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rive1\stringboot\"/>
    </mc:Choice>
  </mc:AlternateContent>
  <xr:revisionPtr revIDLastSave="0" documentId="8_{F2E48D06-5A3C-4423-A908-4E13B527D29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ind" sheetId="25" r:id="rId1"/>
    <sheet name="code" sheetId="26" r:id="rId2"/>
    <sheet name="TỒN" sheetId="1" r:id="rId3"/>
    <sheet name="Bìa" sheetId="2" r:id="rId4"/>
    <sheet name="Qhan+BC+BB(05)" sheetId="3" r:id="rId5"/>
    <sheet name="ỐG+BTT TAISEI(6)" sheetId="4" r:id="rId6"/>
    <sheet name="Gas (03)" sheetId="5" r:id="rId7"/>
    <sheet name="TAISEI + D ĐỒNG (02) + OĐLX" sheetId="6" r:id="rId8"/>
    <sheet name="Taisei Kép + Bạc(01)" sheetId="7" r:id="rId9"/>
    <sheet name="Aeroflex Sợi" sheetId="8" state="hidden" r:id="rId10"/>
    <sheet name="Armaflex Sợi" sheetId="9" state="hidden" r:id="rId11"/>
    <sheet name="Aeroflex Tấm" sheetId="10" state="hidden" r:id="rId12"/>
    <sheet name="Phân loại đồng ống 20.8" sheetId="11" r:id="rId13"/>
    <sheet name="Hàng D - Dàn, Lốc, Vật tư" sheetId="12" r:id="rId14"/>
    <sheet name="Hàng D - Bảo ôn, CN" sheetId="13" r:id="rId15"/>
    <sheet name="Hàng co cút" sheetId="14" state="hidden" r:id="rId16"/>
    <sheet name="Ds các dự án" sheetId="15" state="hidden" r:id="rId17"/>
    <sheet name="ĐỒNG" sheetId="16" r:id="rId18"/>
    <sheet name="OĐLX" sheetId="17" r:id="rId19"/>
    <sheet name="XỐP ỐNG" sheetId="18" r:id="rId20"/>
    <sheet name="XỐP TẤM" sheetId="19" r:id="rId21"/>
    <sheet name="GAS" sheetId="20" r:id="rId22"/>
    <sheet name="ỐNG GIÓ" sheetId="21" r:id="rId23"/>
    <sheet name="BTT+BK" sheetId="22" r:id="rId24"/>
    <sheet name="CÁCH NHIỆT KHÁC" sheetId="23" r:id="rId25"/>
    <sheet name="VẬT TƯ" sheetId="24" r:id="rId26"/>
  </sheets>
  <definedNames>
    <definedName name="_xlnm._FilterDatabase" localSheetId="10" hidden="1">'Armaflex Sợi'!$A$2:$L$103</definedName>
    <definedName name="_xlnm._FilterDatabase" localSheetId="16" hidden="1">'Ds các dự án'!$A$2:$E$588</definedName>
    <definedName name="_xlnm._FilterDatabase" localSheetId="12" hidden="1">'Phân loại đồng ống 20.8'!$A$6:$P$2000</definedName>
    <definedName name="_xlnm._FilterDatabase" localSheetId="25" hidden="1">'VẬT TƯ'!$A$4:$K$778</definedName>
    <definedName name="_xlnm._FilterDatabase" localSheetId="19" hidden="1">'XỐP ỐNG'!$A$4:$K$4</definedName>
    <definedName name="ISFORMULA">#REF!</definedName>
  </definedNames>
  <calcPr calcId="191029"/>
  <fileRecoveryPr repairLoad="1"/>
</workbook>
</file>

<file path=xl/calcChain.xml><?xml version="1.0" encoding="utf-8"?>
<calcChain xmlns="http://schemas.openxmlformats.org/spreadsheetml/2006/main">
  <c r="M15" i="3" l="1"/>
  <c r="A2151" i="26"/>
  <c r="A2150" i="26"/>
  <c r="A2149" i="26"/>
  <c r="A2148" i="26"/>
  <c r="A2147" i="26"/>
  <c r="A2146" i="26"/>
  <c r="A2145" i="26"/>
  <c r="A2144" i="26"/>
  <c r="A2143" i="26"/>
  <c r="A2142" i="26"/>
  <c r="A2141" i="26"/>
  <c r="A2140" i="26"/>
  <c r="A2139" i="26"/>
  <c r="A2138" i="26"/>
  <c r="A2137" i="26"/>
  <c r="A2136" i="26"/>
  <c r="A2135" i="26"/>
  <c r="A2134" i="26"/>
  <c r="A2133" i="26"/>
  <c r="A2132" i="26"/>
  <c r="A2131" i="26"/>
  <c r="A2130" i="26"/>
  <c r="A2129" i="26"/>
  <c r="A2128" i="26"/>
  <c r="A2127" i="26"/>
  <c r="A2126" i="26"/>
  <c r="A2125" i="26"/>
  <c r="A2124" i="26"/>
  <c r="A2123" i="26"/>
  <c r="A2122" i="26"/>
  <c r="A2121" i="26"/>
  <c r="A2120" i="26"/>
  <c r="A2119" i="26"/>
  <c r="A2118" i="26"/>
  <c r="A2117" i="26"/>
  <c r="A2116" i="26"/>
  <c r="A2115" i="26"/>
  <c r="A2114" i="26"/>
  <c r="A2113" i="26"/>
  <c r="A2112" i="26"/>
  <c r="A2111" i="26"/>
  <c r="A2110" i="26"/>
  <c r="A2109" i="26"/>
  <c r="A2108" i="26"/>
  <c r="A2107" i="26"/>
  <c r="A2106" i="26"/>
  <c r="A2105" i="26"/>
  <c r="A2104" i="26"/>
  <c r="A2103" i="26"/>
  <c r="A2102" i="26"/>
  <c r="A2101" i="26"/>
  <c r="A2100" i="26"/>
  <c r="A2099" i="26"/>
  <c r="A2098" i="26"/>
  <c r="A2097" i="26"/>
  <c r="A2096" i="26"/>
  <c r="A2095" i="26"/>
  <c r="A2094" i="26"/>
  <c r="A2093" i="26"/>
  <c r="A2092" i="26"/>
  <c r="A2091" i="26"/>
  <c r="A2090" i="26"/>
  <c r="A2089" i="26"/>
  <c r="A2088" i="26"/>
  <c r="A2087" i="26"/>
  <c r="A2086" i="26"/>
  <c r="A2085" i="26"/>
  <c r="A2084" i="26"/>
  <c r="A2083" i="26"/>
  <c r="A2082" i="26"/>
  <c r="A2081" i="26"/>
  <c r="A2080" i="26"/>
  <c r="A2079" i="26"/>
  <c r="A2078" i="26"/>
  <c r="A2077" i="26"/>
  <c r="A2076" i="26"/>
  <c r="A2075" i="26"/>
  <c r="A2074" i="26"/>
  <c r="A2073" i="26"/>
  <c r="A2072" i="26"/>
  <c r="A2071" i="26"/>
  <c r="A2070" i="26"/>
  <c r="A2069" i="26"/>
  <c r="A2068" i="26"/>
  <c r="A2067" i="26"/>
  <c r="A2066" i="26"/>
  <c r="A2065" i="26"/>
  <c r="A2064" i="26"/>
  <c r="A2063" i="26"/>
  <c r="A2062" i="26"/>
  <c r="A2061" i="26"/>
  <c r="A2060" i="26"/>
  <c r="A2059" i="26"/>
  <c r="A2058" i="26"/>
  <c r="A2057" i="26"/>
  <c r="A2056" i="26"/>
  <c r="A2055" i="26"/>
  <c r="A2054" i="26"/>
  <c r="A2053" i="26"/>
  <c r="A2052" i="26"/>
  <c r="A2051" i="26"/>
  <c r="A2050" i="26"/>
  <c r="A2049" i="26"/>
  <c r="A2048" i="26"/>
  <c r="A2047" i="26"/>
  <c r="A2046" i="26"/>
  <c r="A2045" i="26"/>
  <c r="A2044" i="26"/>
  <c r="A2043" i="26"/>
  <c r="A2042" i="26"/>
  <c r="A2041" i="26"/>
  <c r="A2040" i="26"/>
  <c r="A2039" i="26"/>
  <c r="A2038" i="26"/>
  <c r="A2037" i="26"/>
  <c r="A2036" i="26"/>
  <c r="A2035" i="26"/>
  <c r="A2034" i="26"/>
  <c r="A2033" i="26"/>
  <c r="A2032" i="26"/>
  <c r="A2031" i="26"/>
  <c r="A2030" i="26"/>
  <c r="A2029" i="26"/>
  <c r="A2028" i="26"/>
  <c r="A2027" i="26"/>
  <c r="A2026" i="26"/>
  <c r="A2025" i="26"/>
  <c r="A2024" i="26"/>
  <c r="A2023" i="26"/>
  <c r="A2022" i="26"/>
  <c r="A2021" i="26"/>
  <c r="A2020" i="26"/>
  <c r="A2019" i="26"/>
  <c r="A2018" i="26"/>
  <c r="A2017" i="26"/>
  <c r="A2016" i="26"/>
  <c r="A2015" i="26"/>
  <c r="A2014" i="26"/>
  <c r="A2013" i="26"/>
  <c r="A2012" i="26"/>
  <c r="A2011" i="26"/>
  <c r="A2010" i="26"/>
  <c r="A2009" i="26"/>
  <c r="A2008" i="26"/>
  <c r="A2007" i="26"/>
  <c r="A2006" i="26"/>
  <c r="A2005" i="26"/>
  <c r="A2004" i="26"/>
  <c r="A2003" i="26"/>
  <c r="A2002" i="26"/>
  <c r="A2001" i="26"/>
  <c r="A2000" i="26"/>
  <c r="A1999" i="26"/>
  <c r="A1998" i="26"/>
  <c r="A1997" i="26"/>
  <c r="A1996" i="26"/>
  <c r="A1995" i="26"/>
  <c r="A1994" i="26"/>
  <c r="A1993" i="26"/>
  <c r="A1992" i="26"/>
  <c r="A1991" i="26"/>
  <c r="A1990" i="26"/>
  <c r="A1989" i="26"/>
  <c r="A1988" i="26"/>
  <c r="A1987" i="26"/>
  <c r="A1986" i="26"/>
  <c r="A1985" i="26"/>
  <c r="A1984" i="26"/>
  <c r="A1983" i="26"/>
  <c r="A1982" i="26"/>
  <c r="A1981" i="26"/>
  <c r="A1980" i="26"/>
  <c r="A1979" i="26"/>
  <c r="A1978" i="26"/>
  <c r="A1977" i="26"/>
  <c r="A1976" i="26"/>
  <c r="A1975" i="26"/>
  <c r="A1974" i="26"/>
  <c r="A1973" i="26"/>
  <c r="A1972" i="26"/>
  <c r="A1971" i="26"/>
  <c r="A1970" i="26"/>
  <c r="A1969" i="26"/>
  <c r="A1968" i="26"/>
  <c r="A1967" i="26"/>
  <c r="A1966" i="26"/>
  <c r="A1965" i="26"/>
  <c r="A1964" i="26"/>
  <c r="A1963" i="26"/>
  <c r="A1962" i="26"/>
  <c r="A1961" i="26"/>
  <c r="A1960" i="26"/>
  <c r="A1959" i="26"/>
  <c r="A1958" i="26"/>
  <c r="A1957" i="26"/>
  <c r="A1956" i="26"/>
  <c r="A1955" i="26"/>
  <c r="A1954" i="26"/>
  <c r="A1953" i="26"/>
  <c r="A1952" i="26"/>
  <c r="A1951" i="26"/>
  <c r="A1950" i="26"/>
  <c r="A1949" i="26"/>
  <c r="A1948" i="26"/>
  <c r="A1947" i="26"/>
  <c r="A1946" i="26"/>
  <c r="A1945" i="26"/>
  <c r="A1944" i="26"/>
  <c r="A1943" i="26"/>
  <c r="A1942" i="26"/>
  <c r="A1941" i="26"/>
  <c r="A1940" i="26"/>
  <c r="A1939" i="26"/>
  <c r="A1938" i="26"/>
  <c r="A1937" i="26"/>
  <c r="A1936" i="26"/>
  <c r="A1935" i="26"/>
  <c r="A1934" i="26"/>
  <c r="A1933" i="26"/>
  <c r="A1932" i="26"/>
  <c r="A1931" i="26"/>
  <c r="A1930" i="26"/>
  <c r="A1929" i="26"/>
  <c r="A1928" i="26"/>
  <c r="A1927" i="26"/>
  <c r="A1926" i="26"/>
  <c r="A1925" i="26"/>
  <c r="A1924" i="26"/>
  <c r="A1923" i="26"/>
  <c r="A1922" i="26"/>
  <c r="A1921" i="26"/>
  <c r="A1920" i="26"/>
  <c r="A1919" i="26"/>
  <c r="A1918" i="26"/>
  <c r="A1917" i="26"/>
  <c r="A1916" i="26"/>
  <c r="A1915" i="26"/>
  <c r="A1914" i="26"/>
  <c r="A1913" i="26"/>
  <c r="A1912" i="26"/>
  <c r="A1911" i="26"/>
  <c r="A1910" i="26"/>
  <c r="A1909" i="26"/>
  <c r="A1908" i="26"/>
  <c r="A1907" i="26"/>
  <c r="A1906" i="26"/>
  <c r="A1905" i="26"/>
  <c r="A1904" i="26"/>
  <c r="A1903" i="26"/>
  <c r="A1902" i="26"/>
  <c r="A1901" i="26"/>
  <c r="A1900" i="26"/>
  <c r="A1899" i="26"/>
  <c r="A1898" i="26"/>
  <c r="A1897" i="26"/>
  <c r="A1896" i="26"/>
  <c r="A1895" i="26"/>
  <c r="A1894" i="26"/>
  <c r="A1893" i="26"/>
  <c r="A1892" i="26"/>
  <c r="A1891" i="26"/>
  <c r="A1890" i="26"/>
  <c r="A1889" i="26"/>
  <c r="A1888" i="26"/>
  <c r="A1887" i="26"/>
  <c r="A1886" i="26"/>
  <c r="A1885" i="26"/>
  <c r="A1884" i="26"/>
  <c r="A1883" i="26"/>
  <c r="A1882" i="26"/>
  <c r="A1881" i="26"/>
  <c r="A1880" i="26"/>
  <c r="A1879" i="26"/>
  <c r="A1878" i="26"/>
  <c r="A1877" i="26"/>
  <c r="A1876" i="26"/>
  <c r="A1875" i="26"/>
  <c r="A1874" i="26"/>
  <c r="A1873" i="26"/>
  <c r="A1872" i="26"/>
  <c r="A1871" i="26"/>
  <c r="A1870" i="26"/>
  <c r="A1869" i="26"/>
  <c r="A1868" i="26"/>
  <c r="A1867" i="26"/>
  <c r="A1866" i="26"/>
  <c r="A1865" i="26"/>
  <c r="A1864" i="26"/>
  <c r="A1863" i="26"/>
  <c r="A1862" i="26"/>
  <c r="A1861" i="26"/>
  <c r="A1860" i="26"/>
  <c r="A1859" i="26"/>
  <c r="A1858" i="26"/>
  <c r="A1857" i="26"/>
  <c r="A1856" i="26"/>
  <c r="A1855" i="26"/>
  <c r="A1854" i="26"/>
  <c r="A1853" i="26"/>
  <c r="A1852" i="26"/>
  <c r="A1851" i="26"/>
  <c r="A1850" i="26"/>
  <c r="A1849" i="26"/>
  <c r="A1848" i="26"/>
  <c r="A1847" i="26"/>
  <c r="A1846" i="26"/>
  <c r="A1845" i="26"/>
  <c r="A1844" i="26"/>
  <c r="A1843" i="26"/>
  <c r="A1842" i="26"/>
  <c r="A1841" i="26"/>
  <c r="A1840" i="26"/>
  <c r="A1839" i="26"/>
  <c r="A1838" i="26"/>
  <c r="A1837" i="26"/>
  <c r="A1836" i="26"/>
  <c r="A1835" i="26"/>
  <c r="A1834" i="26"/>
  <c r="A1833" i="26"/>
  <c r="A1832" i="26"/>
  <c r="A1831" i="26"/>
  <c r="A1830" i="26"/>
  <c r="A1829" i="26"/>
  <c r="A1828" i="26"/>
  <c r="A1827" i="26"/>
  <c r="A1826" i="26"/>
  <c r="A1825" i="26"/>
  <c r="A1824" i="26"/>
  <c r="A1823" i="26"/>
  <c r="A1822" i="26"/>
  <c r="A1821" i="26"/>
  <c r="A1820" i="26"/>
  <c r="A1819" i="26"/>
  <c r="A1818" i="26"/>
  <c r="A1817" i="26"/>
  <c r="A1816" i="26"/>
  <c r="A1815" i="26"/>
  <c r="A1814" i="26"/>
  <c r="A1813" i="26"/>
  <c r="A1812" i="26"/>
  <c r="A1811" i="26"/>
  <c r="A1810" i="26"/>
  <c r="A1809" i="26"/>
  <c r="A1808" i="26"/>
  <c r="A1807" i="26"/>
  <c r="A1806" i="26"/>
  <c r="A1805" i="26"/>
  <c r="A1804" i="26"/>
  <c r="A1803" i="26"/>
  <c r="A1802" i="26"/>
  <c r="A1801" i="26"/>
  <c r="A1800" i="26"/>
  <c r="A1799" i="26"/>
  <c r="A1798" i="26"/>
  <c r="A1797" i="26"/>
  <c r="A1796" i="26"/>
  <c r="A1795" i="26"/>
  <c r="A1794" i="26"/>
  <c r="A1793" i="26"/>
  <c r="A1792" i="26"/>
  <c r="A1791" i="26"/>
  <c r="A1790" i="26"/>
  <c r="A1789" i="26"/>
  <c r="A1788" i="26"/>
  <c r="A1787" i="26"/>
  <c r="A1786" i="26"/>
  <c r="A1785" i="26"/>
  <c r="A1784" i="26"/>
  <c r="A1783" i="26"/>
  <c r="A1782" i="26"/>
  <c r="A1781" i="26"/>
  <c r="A1780" i="26"/>
  <c r="A1779" i="26"/>
  <c r="A1778" i="26"/>
  <c r="A1777" i="26"/>
  <c r="A1776" i="26"/>
  <c r="A1775" i="26"/>
  <c r="A1774" i="26"/>
  <c r="A1773" i="26"/>
  <c r="A1772" i="26"/>
  <c r="A1771" i="26"/>
  <c r="A1770" i="26"/>
  <c r="A1769" i="26"/>
  <c r="A1768" i="26"/>
  <c r="A1767" i="26"/>
  <c r="A1766" i="26"/>
  <c r="A1765" i="26"/>
  <c r="A1764" i="26"/>
  <c r="A1763" i="26"/>
  <c r="A1762" i="26"/>
  <c r="A1761" i="26"/>
  <c r="A1760" i="26"/>
  <c r="A1759" i="26"/>
  <c r="A1758" i="26"/>
  <c r="A1757" i="26"/>
  <c r="A1756" i="26"/>
  <c r="A1755" i="26"/>
  <c r="A1754" i="26"/>
  <c r="A1753" i="26"/>
  <c r="A1752" i="26"/>
  <c r="A1751" i="26"/>
  <c r="A1750" i="26"/>
  <c r="A1749" i="26"/>
  <c r="A1748" i="26"/>
  <c r="A1747" i="26"/>
  <c r="A1746" i="26"/>
  <c r="A1745" i="26"/>
  <c r="A1744" i="26"/>
  <c r="A1743" i="26"/>
  <c r="A1742" i="26"/>
  <c r="A1741" i="26"/>
  <c r="A1740" i="26"/>
  <c r="A1739" i="26"/>
  <c r="A1738" i="26"/>
  <c r="A1737" i="26"/>
  <c r="A1736" i="26"/>
  <c r="A1735" i="26"/>
  <c r="A1734" i="26"/>
  <c r="A1733" i="26"/>
  <c r="A1732" i="26"/>
  <c r="A1731" i="26"/>
  <c r="A1730" i="26"/>
  <c r="A1729" i="26"/>
  <c r="A1728" i="26"/>
  <c r="A1727" i="26"/>
  <c r="A1726" i="26"/>
  <c r="A1725" i="26"/>
  <c r="A1724" i="26"/>
  <c r="A1723" i="26"/>
  <c r="A1722" i="26"/>
  <c r="A1721" i="26"/>
  <c r="A1720" i="26"/>
  <c r="A1719" i="26"/>
  <c r="A1718" i="26"/>
  <c r="A1717" i="26"/>
  <c r="A1716" i="26"/>
  <c r="A1715" i="26"/>
  <c r="A1714" i="26"/>
  <c r="A1713" i="26"/>
  <c r="A1712" i="26"/>
  <c r="A1711" i="26"/>
  <c r="A1710" i="26"/>
  <c r="A1709" i="26"/>
  <c r="A1708" i="26"/>
  <c r="A1707" i="26"/>
  <c r="A1706" i="26"/>
  <c r="A1705" i="26"/>
  <c r="A1704" i="26"/>
  <c r="A1703" i="26"/>
  <c r="A1702" i="26"/>
  <c r="A1701" i="26"/>
  <c r="A1700" i="26"/>
  <c r="A1699" i="26"/>
  <c r="A1698" i="26"/>
  <c r="A1697" i="26"/>
  <c r="A1696" i="26"/>
  <c r="A1695" i="26"/>
  <c r="A1694" i="26"/>
  <c r="A1693" i="26"/>
  <c r="A1692" i="26"/>
  <c r="A1691" i="26"/>
  <c r="A1690" i="26"/>
  <c r="A1689" i="26"/>
  <c r="A1688" i="26"/>
  <c r="A1687" i="26"/>
  <c r="A1686" i="26"/>
  <c r="A1685" i="26"/>
  <c r="A1684" i="26"/>
  <c r="A1683" i="26"/>
  <c r="A1682" i="26"/>
  <c r="A1681" i="26"/>
  <c r="A1680" i="26"/>
  <c r="A1679" i="26"/>
  <c r="A1678" i="26"/>
  <c r="A1677" i="26"/>
  <c r="A1676" i="26"/>
  <c r="A1675" i="26"/>
  <c r="A1674" i="26"/>
  <c r="A1673" i="26"/>
  <c r="A1672" i="26"/>
  <c r="A1671" i="26"/>
  <c r="A1669" i="26"/>
  <c r="A1668" i="26"/>
  <c r="A1667" i="26"/>
  <c r="A1666" i="26"/>
  <c r="A1665" i="26"/>
  <c r="A1664" i="26"/>
  <c r="A1663" i="26"/>
  <c r="A1662" i="26"/>
  <c r="A1661" i="26"/>
  <c r="A1660" i="26"/>
  <c r="A1659" i="26"/>
  <c r="A1658" i="26"/>
  <c r="A1657" i="26"/>
  <c r="A1656" i="26"/>
  <c r="A1655" i="26"/>
  <c r="A1654" i="26"/>
  <c r="A1653" i="26"/>
  <c r="A1652" i="26"/>
  <c r="A1651" i="26"/>
  <c r="A1650" i="26"/>
  <c r="A1649" i="26"/>
  <c r="A1648" i="26"/>
  <c r="A1647" i="26"/>
  <c r="A1646" i="26"/>
  <c r="A1645" i="26"/>
  <c r="A1644" i="26"/>
  <c r="A1643" i="26"/>
  <c r="A1642" i="26"/>
  <c r="A1641" i="26"/>
  <c r="A1640" i="26"/>
  <c r="A1639" i="26"/>
  <c r="A1638" i="26"/>
  <c r="A1637" i="26"/>
  <c r="A1636" i="26"/>
  <c r="A1635" i="26"/>
  <c r="A1634" i="26"/>
  <c r="A1633" i="26"/>
  <c r="A1632" i="26"/>
  <c r="A1631" i="26"/>
  <c r="A1630" i="26"/>
  <c r="A1629" i="26"/>
  <c r="A1628" i="26"/>
  <c r="A1627" i="26"/>
  <c r="A1626" i="26"/>
  <c r="A1625" i="26"/>
  <c r="A1624" i="26"/>
  <c r="A1623" i="26"/>
  <c r="A1622" i="26"/>
  <c r="A1621" i="26"/>
  <c r="A1620" i="26"/>
  <c r="A1619" i="26"/>
  <c r="A1618" i="26"/>
  <c r="A1617" i="26"/>
  <c r="A1616" i="26"/>
  <c r="A1615" i="26"/>
  <c r="A1614" i="26"/>
  <c r="A1613" i="26"/>
  <c r="A1612" i="26"/>
  <c r="A1611" i="26"/>
  <c r="A1610" i="26"/>
  <c r="A1609" i="26"/>
  <c r="A1608" i="26"/>
  <c r="A1607" i="26"/>
  <c r="A1606" i="26"/>
  <c r="A1605" i="26"/>
  <c r="A1604" i="26"/>
  <c r="A1603" i="26"/>
  <c r="A1602" i="26"/>
  <c r="A1601" i="26"/>
  <c r="A1600" i="26"/>
  <c r="A1599" i="26"/>
  <c r="A1598" i="26"/>
  <c r="A1597" i="26"/>
  <c r="A1596" i="26"/>
  <c r="A1595" i="26"/>
  <c r="A1594" i="26"/>
  <c r="A1593" i="26"/>
  <c r="A1592" i="26"/>
  <c r="A1591" i="26"/>
  <c r="A1590" i="26"/>
  <c r="A1589" i="26"/>
  <c r="A1588" i="26"/>
  <c r="A1587" i="26"/>
  <c r="A1586" i="26"/>
  <c r="A1585" i="26"/>
  <c r="A1584" i="26"/>
  <c r="A1583" i="26"/>
  <c r="A1582" i="26"/>
  <c r="A1581" i="26"/>
  <c r="A1580" i="26"/>
  <c r="A1579" i="26"/>
  <c r="A1578" i="26"/>
  <c r="A1577" i="26"/>
  <c r="A1576" i="26"/>
  <c r="A1575" i="26"/>
  <c r="A1574" i="26"/>
  <c r="A1573" i="26"/>
  <c r="A1572" i="26"/>
  <c r="A1571" i="26"/>
  <c r="A1570" i="26"/>
  <c r="A1569" i="26"/>
  <c r="A1568" i="26"/>
  <c r="A1567" i="26"/>
  <c r="A1566" i="26"/>
  <c r="A1565" i="26"/>
  <c r="A1564" i="26"/>
  <c r="A1563" i="26"/>
  <c r="A1562" i="26"/>
  <c r="A1561" i="26"/>
  <c r="A1560" i="26"/>
  <c r="A1559" i="26"/>
  <c r="A1558" i="26"/>
  <c r="A1557" i="26"/>
  <c r="A1556" i="26"/>
  <c r="A1555" i="26"/>
  <c r="A1554" i="26"/>
  <c r="A1553" i="26"/>
  <c r="A1552" i="26"/>
  <c r="A1551" i="26"/>
  <c r="A1550" i="26"/>
  <c r="A1549" i="26"/>
  <c r="A1548" i="26"/>
  <c r="A1547" i="26"/>
  <c r="A1546" i="26"/>
  <c r="A1545" i="26"/>
  <c r="A1544" i="26"/>
  <c r="A1543" i="26"/>
  <c r="A1542" i="26"/>
  <c r="A1541" i="26"/>
  <c r="A1540" i="26"/>
  <c r="A1539" i="26"/>
  <c r="A1538" i="26"/>
  <c r="A1537" i="26"/>
  <c r="A1536" i="26"/>
  <c r="A1535" i="26"/>
  <c r="A1534" i="26"/>
  <c r="A1533" i="26"/>
  <c r="A1532" i="26"/>
  <c r="A1531" i="26"/>
  <c r="A1530" i="26"/>
  <c r="A1529" i="26"/>
  <c r="A1528" i="26"/>
  <c r="A1527" i="26"/>
  <c r="A1526" i="26"/>
  <c r="A1525" i="26"/>
  <c r="A1524" i="26"/>
  <c r="A1523" i="26"/>
  <c r="A1522" i="26"/>
  <c r="A1521" i="26"/>
  <c r="A1520" i="26"/>
  <c r="A1519" i="26"/>
  <c r="A1518" i="26"/>
  <c r="A1517" i="26"/>
  <c r="A1516" i="26"/>
  <c r="A1515" i="26"/>
  <c r="A1514" i="26"/>
  <c r="A1513" i="26"/>
  <c r="A1512" i="26"/>
  <c r="A1511" i="26"/>
  <c r="A1510" i="26"/>
  <c r="A1509" i="26"/>
  <c r="A1508" i="26"/>
  <c r="A1507" i="26"/>
  <c r="A1506" i="26"/>
  <c r="A1505" i="26"/>
  <c r="A1504" i="26"/>
  <c r="A1503" i="26"/>
  <c r="A1502" i="26"/>
  <c r="A1501" i="26"/>
  <c r="A1500" i="26"/>
  <c r="A1499" i="26"/>
  <c r="A1498" i="26"/>
  <c r="A1497" i="26"/>
  <c r="A1496" i="26"/>
  <c r="A1495" i="26"/>
  <c r="A1494" i="26"/>
  <c r="A1493" i="26"/>
  <c r="A1492" i="26"/>
  <c r="A1491" i="26"/>
  <c r="A1490" i="26"/>
  <c r="A1489" i="26"/>
  <c r="A1488" i="26"/>
  <c r="A1487" i="26"/>
  <c r="A1486" i="26"/>
  <c r="A1485" i="26"/>
  <c r="A1484" i="26"/>
  <c r="A1483" i="26"/>
  <c r="A1482" i="26"/>
  <c r="A1481" i="26"/>
  <c r="A1480" i="26"/>
  <c r="A1479" i="26"/>
  <c r="A1478" i="26"/>
  <c r="A1477" i="26"/>
  <c r="A1476" i="26"/>
  <c r="A1475" i="26"/>
  <c r="A1474" i="26"/>
  <c r="A1473" i="26"/>
  <c r="A1472" i="26"/>
  <c r="A1471" i="26"/>
  <c r="A1470" i="26"/>
  <c r="A1469" i="26"/>
  <c r="A1468" i="26"/>
  <c r="A1467" i="26"/>
  <c r="A1466" i="26"/>
  <c r="A1465" i="26"/>
  <c r="A1464" i="26"/>
  <c r="A1463" i="26"/>
  <c r="A1462" i="26"/>
  <c r="A1461" i="26"/>
  <c r="A1460" i="26"/>
  <c r="A1459" i="26"/>
  <c r="A1458" i="26"/>
  <c r="A1457" i="26"/>
  <c r="A1456" i="26"/>
  <c r="A1455" i="26"/>
  <c r="A1454" i="26"/>
  <c r="A1453" i="26"/>
  <c r="A1452" i="26"/>
  <c r="A1451" i="26"/>
  <c r="A1450" i="26"/>
  <c r="A1449" i="26"/>
  <c r="A1448" i="26"/>
  <c r="A1447" i="26"/>
  <c r="A1446" i="26"/>
  <c r="A1445" i="26"/>
  <c r="A1444" i="26"/>
  <c r="A1443" i="26"/>
  <c r="A1442" i="26"/>
  <c r="A1441" i="26"/>
  <c r="A1440" i="26"/>
  <c r="A1439" i="26"/>
  <c r="A1438" i="26"/>
  <c r="A1437" i="26"/>
  <c r="A1436" i="26"/>
  <c r="A1435" i="26"/>
  <c r="A1434" i="26"/>
  <c r="A1433" i="26"/>
  <c r="A1432" i="26"/>
  <c r="A1431" i="26"/>
  <c r="A1430" i="26"/>
  <c r="A1429" i="26"/>
  <c r="A1428" i="26"/>
  <c r="A1427" i="26"/>
  <c r="A1426" i="26"/>
  <c r="A1425" i="26"/>
  <c r="A1424" i="26"/>
  <c r="A1423" i="26"/>
  <c r="A1422" i="26"/>
  <c r="A1421" i="26"/>
  <c r="A1420" i="26"/>
  <c r="A1419" i="26"/>
  <c r="A1418" i="26"/>
  <c r="A1417" i="26"/>
  <c r="A1416" i="26"/>
  <c r="A1415" i="26"/>
  <c r="A1414" i="26"/>
  <c r="A1413" i="26"/>
  <c r="A1412" i="26"/>
  <c r="A1411" i="26"/>
  <c r="A1410" i="26"/>
  <c r="A1409" i="26"/>
  <c r="A1408" i="26"/>
  <c r="A1407" i="26"/>
  <c r="A1406" i="26"/>
  <c r="A1405" i="26"/>
  <c r="A1404" i="26"/>
  <c r="A1403" i="26"/>
  <c r="A1402" i="26"/>
  <c r="A1401" i="26"/>
  <c r="A1400" i="26"/>
  <c r="A1399" i="26"/>
  <c r="A1398" i="26"/>
  <c r="A1397" i="26"/>
  <c r="A1396" i="26"/>
  <c r="A1395" i="26"/>
  <c r="A1394" i="26"/>
  <c r="A1393" i="26"/>
  <c r="A1392" i="26"/>
  <c r="A1391" i="26"/>
  <c r="A1390" i="26"/>
  <c r="A1389" i="26"/>
  <c r="A1388" i="26"/>
  <c r="A1387" i="26"/>
  <c r="A1386" i="26"/>
  <c r="A1385" i="26"/>
  <c r="A1384" i="26"/>
  <c r="A1383" i="26"/>
  <c r="A1382" i="26"/>
  <c r="A1381" i="26"/>
  <c r="A1380" i="26"/>
  <c r="A1379" i="26"/>
  <c r="A1378" i="26"/>
  <c r="A1377" i="26"/>
  <c r="A1376" i="26"/>
  <c r="A1375" i="26"/>
  <c r="A1374" i="26"/>
  <c r="A1373" i="26"/>
  <c r="A1372" i="26"/>
  <c r="A1371" i="26"/>
  <c r="A1370" i="26"/>
  <c r="A1369" i="26"/>
  <c r="A1368" i="26"/>
  <c r="A1367" i="26"/>
  <c r="A1366" i="26"/>
  <c r="A1365" i="26"/>
  <c r="A1364" i="26"/>
  <c r="A1363" i="26"/>
  <c r="A1362" i="26"/>
  <c r="A1361" i="26"/>
  <c r="A1360" i="26"/>
  <c r="A1359" i="26"/>
  <c r="A1358" i="26"/>
  <c r="A1357" i="26"/>
  <c r="A1356" i="26"/>
  <c r="A1355" i="26"/>
  <c r="A1354" i="26"/>
  <c r="A1353" i="26"/>
  <c r="A1352" i="26"/>
  <c r="A1351" i="26"/>
  <c r="A1350" i="26"/>
  <c r="A1349" i="26"/>
  <c r="A1348" i="26"/>
  <c r="A1347" i="26"/>
  <c r="A1346" i="26"/>
  <c r="A1345" i="26"/>
  <c r="A1344" i="26"/>
  <c r="A1343" i="26"/>
  <c r="A1342" i="26"/>
  <c r="A1341" i="26"/>
  <c r="A1340" i="26"/>
  <c r="A1339" i="26"/>
  <c r="A1338" i="26"/>
  <c r="A1337" i="26"/>
  <c r="A1336" i="26"/>
  <c r="A1335" i="26"/>
  <c r="A1334" i="26"/>
  <c r="A1333" i="26"/>
  <c r="A1332" i="26"/>
  <c r="A1331" i="26"/>
  <c r="A1330" i="26"/>
  <c r="A1329" i="26"/>
  <c r="A1328" i="26"/>
  <c r="A1327" i="26"/>
  <c r="A1326" i="26"/>
  <c r="A1325" i="26"/>
  <c r="A1324" i="26"/>
  <c r="A1323" i="26"/>
  <c r="A1322" i="26"/>
  <c r="A1321" i="26"/>
  <c r="A1320" i="26"/>
  <c r="A1319" i="26"/>
  <c r="A1318" i="26"/>
  <c r="A1317" i="26"/>
  <c r="A1316" i="26"/>
  <c r="A1315" i="26"/>
  <c r="A1314" i="26"/>
  <c r="A1313" i="26"/>
  <c r="A1312" i="26"/>
  <c r="A1311" i="26"/>
  <c r="A1310" i="26"/>
  <c r="A1309" i="26"/>
  <c r="A1308" i="26"/>
  <c r="A1307" i="26"/>
  <c r="A1306" i="26"/>
  <c r="A1305" i="26"/>
  <c r="A1304" i="26"/>
  <c r="A1303" i="26"/>
  <c r="A1302" i="26"/>
  <c r="A1301" i="26"/>
  <c r="A1300" i="26"/>
  <c r="A1299" i="26"/>
  <c r="A1298" i="26"/>
  <c r="A1297" i="26"/>
  <c r="A1296" i="26"/>
  <c r="A1295" i="26"/>
  <c r="A1294" i="26"/>
  <c r="A1293" i="26"/>
  <c r="A1292" i="26"/>
  <c r="A1291" i="26"/>
  <c r="A1290" i="26"/>
  <c r="A1289" i="26"/>
  <c r="A1288" i="26"/>
  <c r="A1287" i="26"/>
  <c r="A1286" i="26"/>
  <c r="A1285" i="26"/>
  <c r="A1284" i="26"/>
  <c r="A1283" i="26"/>
  <c r="A1282" i="26"/>
  <c r="A1281" i="26"/>
  <c r="A1280" i="26"/>
  <c r="A1279" i="26"/>
  <c r="A1278" i="26"/>
  <c r="A1277" i="26"/>
  <c r="A1276" i="26"/>
  <c r="A1275" i="26"/>
  <c r="A1274" i="26"/>
  <c r="A1273" i="26"/>
  <c r="A1272" i="26"/>
  <c r="A1271" i="26"/>
  <c r="A1270" i="26"/>
  <c r="A1269" i="26"/>
  <c r="A1268" i="26"/>
  <c r="A1267" i="26"/>
  <c r="A1266" i="26"/>
  <c r="A1265" i="26"/>
  <c r="A1264" i="26"/>
  <c r="A1263" i="26"/>
  <c r="A1262" i="26"/>
  <c r="A1261" i="26"/>
  <c r="A1260" i="26"/>
  <c r="A1259" i="26"/>
  <c r="A1258" i="26"/>
  <c r="A1257" i="26"/>
  <c r="A1256" i="26"/>
  <c r="A1255" i="26"/>
  <c r="A1254" i="26"/>
  <c r="A1253" i="26"/>
  <c r="A1252" i="26"/>
  <c r="A1251" i="26"/>
  <c r="A1250" i="26"/>
  <c r="A1249" i="26"/>
  <c r="A1248" i="26"/>
  <c r="A1247" i="26"/>
  <c r="A1246" i="26"/>
  <c r="A1245" i="26"/>
  <c r="A1244" i="26"/>
  <c r="A1243" i="26"/>
  <c r="A1242" i="26"/>
  <c r="A1241" i="26"/>
  <c r="A1240" i="26"/>
  <c r="A1239" i="26"/>
  <c r="A1238" i="26"/>
  <c r="A1237" i="26"/>
  <c r="A1236" i="26"/>
  <c r="A1235" i="26"/>
  <c r="A1234" i="26"/>
  <c r="A1233" i="26"/>
  <c r="A1232" i="26"/>
  <c r="A1231" i="26"/>
  <c r="A1230" i="26"/>
  <c r="A1229" i="26"/>
  <c r="A1228" i="26"/>
  <c r="A1227" i="26"/>
  <c r="A1226" i="26"/>
  <c r="A1225" i="26"/>
  <c r="A1224" i="26"/>
  <c r="A1223" i="26"/>
  <c r="A1222" i="26"/>
  <c r="A1221" i="26"/>
  <c r="A1220" i="26"/>
  <c r="A1219" i="26"/>
  <c r="A1218" i="26"/>
  <c r="A1217" i="26"/>
  <c r="A1216" i="26"/>
  <c r="A1215" i="26"/>
  <c r="A1214" i="26"/>
  <c r="A1213" i="26"/>
  <c r="A1212" i="26"/>
  <c r="A1211" i="26"/>
  <c r="A1210" i="26"/>
  <c r="A1209" i="26"/>
  <c r="A1208" i="26"/>
  <c r="A1207" i="26"/>
  <c r="A1206" i="26"/>
  <c r="A1205" i="26"/>
  <c r="A1204" i="26"/>
  <c r="A1203" i="26"/>
  <c r="A1202" i="26"/>
  <c r="A1201" i="26"/>
  <c r="A1200" i="26"/>
  <c r="A1199" i="26"/>
  <c r="A1198" i="26"/>
  <c r="A1197" i="26"/>
  <c r="A1196" i="26"/>
  <c r="A1195" i="26"/>
  <c r="A1194" i="26"/>
  <c r="A1193" i="26"/>
  <c r="A1192" i="26"/>
  <c r="A1191" i="26"/>
  <c r="A1190" i="26"/>
  <c r="A1189" i="26"/>
  <c r="A1188" i="26"/>
  <c r="A1187" i="26"/>
  <c r="A1186" i="26"/>
  <c r="A1185" i="26"/>
  <c r="A1184" i="26"/>
  <c r="A1183" i="26"/>
  <c r="A1182" i="26"/>
  <c r="A1181" i="26"/>
  <c r="A1180" i="26"/>
  <c r="A1179" i="26"/>
  <c r="A1178" i="26"/>
  <c r="A1177" i="26"/>
  <c r="A1176" i="26"/>
  <c r="A1175" i="26"/>
  <c r="A1174" i="26"/>
  <c r="A1173" i="26"/>
  <c r="A1172" i="26"/>
  <c r="A1171" i="26"/>
  <c r="A1170" i="26"/>
  <c r="A1169" i="26"/>
  <c r="A1168" i="26"/>
  <c r="A1167" i="26"/>
  <c r="A1166" i="26"/>
  <c r="A1165" i="26"/>
  <c r="A1164" i="26"/>
  <c r="A1163" i="26"/>
  <c r="A1162" i="26"/>
  <c r="A1161" i="26"/>
  <c r="A1160" i="26"/>
  <c r="A1159" i="26"/>
  <c r="A1158" i="26"/>
  <c r="A1157" i="26"/>
  <c r="A1156" i="26"/>
  <c r="A1155" i="26"/>
  <c r="A1154" i="26"/>
  <c r="A1153" i="26"/>
  <c r="A1152" i="26"/>
  <c r="A1151" i="26"/>
  <c r="A1150" i="26"/>
  <c r="A1149" i="26"/>
  <c r="A1148" i="26"/>
  <c r="A1147" i="26"/>
  <c r="A1146" i="26"/>
  <c r="A1145" i="26"/>
  <c r="A1144" i="26"/>
  <c r="A1143" i="26"/>
  <c r="A1142" i="26"/>
  <c r="A1141" i="26"/>
  <c r="A1140" i="26"/>
  <c r="A1139" i="26"/>
  <c r="A1138" i="26"/>
  <c r="A1137" i="26"/>
  <c r="A1136" i="26"/>
  <c r="A1135" i="26"/>
  <c r="A1134" i="26"/>
  <c r="A1133" i="26"/>
  <c r="A1132" i="26"/>
  <c r="A1131" i="26"/>
  <c r="A1130" i="26"/>
  <c r="A1129" i="26"/>
  <c r="A1128" i="26"/>
  <c r="A1127" i="26"/>
  <c r="A1126" i="26"/>
  <c r="A1125" i="26"/>
  <c r="A1124" i="26"/>
  <c r="A1123" i="26"/>
  <c r="A1122" i="26"/>
  <c r="A1121" i="26"/>
  <c r="A1120" i="26"/>
  <c r="A1119" i="26"/>
  <c r="A1118" i="26"/>
  <c r="A1117" i="26"/>
  <c r="A1116" i="26"/>
  <c r="A1115" i="26"/>
  <c r="A1114" i="26"/>
  <c r="A1113" i="26"/>
  <c r="A1112" i="26"/>
  <c r="A1111" i="26"/>
  <c r="A1110" i="26"/>
  <c r="A1109" i="26"/>
  <c r="A1108" i="26"/>
  <c r="A1107" i="26"/>
  <c r="A1106" i="26"/>
  <c r="A1105" i="26"/>
  <c r="A1104" i="26"/>
  <c r="A1103" i="26"/>
  <c r="A1102" i="26"/>
  <c r="A1101" i="26"/>
  <c r="A1100" i="26"/>
  <c r="A1099" i="26"/>
  <c r="A1098" i="26"/>
  <c r="A1097" i="26"/>
  <c r="A1096" i="26"/>
  <c r="A1095" i="26"/>
  <c r="A1094" i="26"/>
  <c r="A1093" i="26"/>
  <c r="A1092" i="26"/>
  <c r="A1091" i="26"/>
  <c r="A1090" i="26"/>
  <c r="A1089" i="26"/>
  <c r="A1088" i="26"/>
  <c r="A1087" i="26"/>
  <c r="A1086" i="26"/>
  <c r="A1085" i="26"/>
  <c r="A1084" i="26"/>
  <c r="A1083" i="26"/>
  <c r="A1082" i="26"/>
  <c r="A1081" i="26"/>
  <c r="A1080" i="26"/>
  <c r="A1079" i="26"/>
  <c r="A1078" i="26"/>
  <c r="A1077" i="26"/>
  <c r="A1076" i="26"/>
  <c r="A1075" i="26"/>
  <c r="A1074" i="26"/>
  <c r="A1073" i="26"/>
  <c r="A1072" i="26"/>
  <c r="A1071" i="26"/>
  <c r="A1070" i="26"/>
  <c r="A1069" i="26"/>
  <c r="A1068" i="26"/>
  <c r="A1067" i="26"/>
  <c r="A1066" i="26"/>
  <c r="A1065" i="26"/>
  <c r="A1064" i="26"/>
  <c r="A1063" i="26"/>
  <c r="A1062" i="26"/>
  <c r="A1061" i="26"/>
  <c r="A1060" i="26"/>
  <c r="A1059" i="26"/>
  <c r="A1058" i="26"/>
  <c r="A1057" i="26"/>
  <c r="A1056" i="26"/>
  <c r="A1055" i="26"/>
  <c r="A1054" i="26"/>
  <c r="A1053" i="26"/>
  <c r="A1052" i="26"/>
  <c r="A1051" i="26"/>
  <c r="A1050" i="26"/>
  <c r="A1049" i="26"/>
  <c r="A1048" i="26"/>
  <c r="A1047" i="26"/>
  <c r="A1046" i="26"/>
  <c r="A1045" i="26"/>
  <c r="A1044" i="26"/>
  <c r="A1043" i="26"/>
  <c r="A1042" i="26"/>
  <c r="A1041" i="26"/>
  <c r="A1040" i="26"/>
  <c r="A1039" i="26"/>
  <c r="A1038" i="26"/>
  <c r="A1037" i="26"/>
  <c r="A1036" i="26"/>
  <c r="A1035" i="26"/>
  <c r="A1034" i="26"/>
  <c r="A1033" i="26"/>
  <c r="A1032" i="26"/>
  <c r="A1031" i="26"/>
  <c r="A1030" i="26"/>
  <c r="A1029" i="26"/>
  <c r="A1028" i="26"/>
  <c r="A1027" i="26"/>
  <c r="A1026" i="26"/>
  <c r="A1025" i="26"/>
  <c r="A1024" i="26"/>
  <c r="A1023" i="26"/>
  <c r="A1022" i="26"/>
  <c r="A1021" i="26"/>
  <c r="A1020" i="26"/>
  <c r="A1019" i="26"/>
  <c r="A1018" i="26"/>
  <c r="A1017" i="26"/>
  <c r="A1016" i="26"/>
  <c r="A1015" i="26"/>
  <c r="A1014" i="26"/>
  <c r="A1013" i="26"/>
  <c r="A1012" i="26"/>
  <c r="A1011" i="26"/>
  <c r="A1010" i="26"/>
  <c r="A1009" i="26"/>
  <c r="A1008" i="26"/>
  <c r="A1007" i="26"/>
  <c r="A1006" i="26"/>
  <c r="A1005" i="26"/>
  <c r="A1004" i="26"/>
  <c r="A1003" i="26"/>
  <c r="A1002" i="26"/>
  <c r="A1001" i="26"/>
  <c r="A1000" i="26"/>
  <c r="A999" i="26"/>
  <c r="A998" i="26"/>
  <c r="A997" i="26"/>
  <c r="A996" i="26"/>
  <c r="A995" i="26"/>
  <c r="A994" i="26"/>
  <c r="A993" i="26"/>
  <c r="A992" i="26"/>
  <c r="A991" i="26"/>
  <c r="A990" i="26"/>
  <c r="A989" i="26"/>
  <c r="A988" i="26"/>
  <c r="A987" i="26"/>
  <c r="A986" i="26"/>
  <c r="A985" i="26"/>
  <c r="A984" i="26"/>
  <c r="A983" i="26"/>
  <c r="A982" i="26"/>
  <c r="A981" i="26"/>
  <c r="A980" i="26"/>
  <c r="A979" i="26"/>
  <c r="A978" i="26"/>
  <c r="A977" i="26"/>
  <c r="A976" i="26"/>
  <c r="A975" i="26"/>
  <c r="A974" i="26"/>
  <c r="A973" i="26"/>
  <c r="A972" i="26"/>
  <c r="A971" i="26"/>
  <c r="A970" i="26"/>
  <c r="A969" i="26"/>
  <c r="A968" i="26"/>
  <c r="A967" i="26"/>
  <c r="A966" i="26"/>
  <c r="A965" i="26"/>
  <c r="A964" i="26"/>
  <c r="A963" i="26"/>
  <c r="A962" i="26"/>
  <c r="A961" i="26"/>
  <c r="A960" i="26"/>
  <c r="A959" i="26"/>
  <c r="A958" i="26"/>
  <c r="A957" i="26"/>
  <c r="A956" i="26"/>
  <c r="A955" i="26"/>
  <c r="A954" i="26"/>
  <c r="A953" i="26"/>
  <c r="A952" i="26"/>
  <c r="A951" i="26"/>
  <c r="A950" i="26"/>
  <c r="A949" i="26"/>
  <c r="A948" i="26"/>
  <c r="A947" i="26"/>
  <c r="A946" i="26"/>
  <c r="A945" i="26"/>
  <c r="A944" i="26"/>
  <c r="A943" i="26"/>
  <c r="A942" i="26"/>
  <c r="A941" i="26"/>
  <c r="A940" i="26"/>
  <c r="A939" i="26"/>
  <c r="A938" i="26"/>
  <c r="A937" i="26"/>
  <c r="A936" i="26"/>
  <c r="A935" i="26"/>
  <c r="A934" i="26"/>
  <c r="A933" i="26"/>
  <c r="A932" i="26"/>
  <c r="A931" i="26"/>
  <c r="A930" i="26"/>
  <c r="A929" i="26"/>
  <c r="A928" i="26"/>
  <c r="A927" i="26"/>
  <c r="A926" i="26"/>
  <c r="A925" i="26"/>
  <c r="A924" i="26"/>
  <c r="A923" i="26"/>
  <c r="A922" i="26"/>
  <c r="A921" i="26"/>
  <c r="A920" i="26"/>
  <c r="A919" i="26"/>
  <c r="A918" i="26"/>
  <c r="A917" i="26"/>
  <c r="A916" i="26"/>
  <c r="A915" i="26"/>
  <c r="A914" i="26"/>
  <c r="A913" i="26"/>
  <c r="A912" i="26"/>
  <c r="A911" i="26"/>
  <c r="A910" i="26"/>
  <c r="A909" i="26"/>
  <c r="A908" i="26"/>
  <c r="A907" i="26"/>
  <c r="A906" i="26"/>
  <c r="A905" i="26"/>
  <c r="A904" i="26"/>
  <c r="A903" i="26"/>
  <c r="A902" i="26"/>
  <c r="A901" i="26"/>
  <c r="A900" i="26"/>
  <c r="A899" i="26"/>
  <c r="A898" i="26"/>
  <c r="A897" i="26"/>
  <c r="A896" i="26"/>
  <c r="A895" i="26"/>
  <c r="A894" i="26"/>
  <c r="A893" i="26"/>
  <c r="A892" i="26"/>
  <c r="A891" i="26"/>
  <c r="A890" i="26"/>
  <c r="A889" i="26"/>
  <c r="A888" i="26"/>
  <c r="A887" i="26"/>
  <c r="A886" i="26"/>
  <c r="A885" i="26"/>
  <c r="A884" i="26"/>
  <c r="A883" i="26"/>
  <c r="A882" i="26"/>
  <c r="A881" i="26"/>
  <c r="A880" i="26"/>
  <c r="A879" i="26"/>
  <c r="A878" i="26"/>
  <c r="A877" i="26"/>
  <c r="A876" i="26"/>
  <c r="A875" i="26"/>
  <c r="A874" i="26"/>
  <c r="A873" i="26"/>
  <c r="A872" i="26"/>
  <c r="A871" i="26"/>
  <c r="A870" i="26"/>
  <c r="A869" i="26"/>
  <c r="A868" i="26"/>
  <c r="A867" i="26"/>
  <c r="A866" i="26"/>
  <c r="A865" i="26"/>
  <c r="A864" i="26"/>
  <c r="A863" i="26"/>
  <c r="A862" i="26"/>
  <c r="A861" i="26"/>
  <c r="A860" i="26"/>
  <c r="A859" i="26"/>
  <c r="A858" i="26"/>
  <c r="A857" i="26"/>
  <c r="A856" i="26"/>
  <c r="A855" i="26"/>
  <c r="A854" i="26"/>
  <c r="A853" i="26"/>
  <c r="A852" i="26"/>
  <c r="A851" i="26"/>
  <c r="A850" i="26"/>
  <c r="A849" i="26"/>
  <c r="A848" i="26"/>
  <c r="A847" i="26"/>
  <c r="A846" i="26"/>
  <c r="A845" i="26"/>
  <c r="A844" i="26"/>
  <c r="A843" i="26"/>
  <c r="A842" i="26"/>
  <c r="A841" i="26"/>
  <c r="A840" i="26"/>
  <c r="A839" i="26"/>
  <c r="A838" i="26"/>
  <c r="A837" i="26"/>
  <c r="A836" i="26"/>
  <c r="A835" i="26"/>
  <c r="A834" i="26"/>
  <c r="A833" i="26"/>
  <c r="A832" i="26"/>
  <c r="A831" i="26"/>
  <c r="A830" i="26"/>
  <c r="A829" i="26"/>
  <c r="A828" i="26"/>
  <c r="A827" i="26"/>
  <c r="A826" i="26"/>
  <c r="A825" i="26"/>
  <c r="A824" i="26"/>
  <c r="A823" i="26"/>
  <c r="A822" i="26"/>
  <c r="A821" i="26"/>
  <c r="A820" i="26"/>
  <c r="A819" i="26"/>
  <c r="A818" i="26"/>
  <c r="A817" i="26"/>
  <c r="A816" i="26"/>
  <c r="A815" i="26"/>
  <c r="A814" i="26"/>
  <c r="A813" i="26"/>
  <c r="A812" i="26"/>
  <c r="A811" i="26"/>
  <c r="A810" i="26"/>
  <c r="A809" i="26"/>
  <c r="A808" i="26"/>
  <c r="A807" i="26"/>
  <c r="A806" i="26"/>
  <c r="A805" i="26"/>
  <c r="A804" i="26"/>
  <c r="A803" i="26"/>
  <c r="A802" i="26"/>
  <c r="A801" i="26"/>
  <c r="A800" i="26"/>
  <c r="A799" i="26"/>
  <c r="A798" i="26"/>
  <c r="A797" i="26"/>
  <c r="A796" i="26"/>
  <c r="A795" i="26"/>
  <c r="A794" i="26"/>
  <c r="A793" i="26"/>
  <c r="A792" i="26"/>
  <c r="A791" i="26"/>
  <c r="A790" i="26"/>
  <c r="A789" i="26"/>
  <c r="A788" i="26"/>
  <c r="A787" i="26"/>
  <c r="A786" i="26"/>
  <c r="A785" i="26"/>
  <c r="A784" i="26"/>
  <c r="A783" i="26"/>
  <c r="A782" i="26"/>
  <c r="A781" i="26"/>
  <c r="A780" i="26"/>
  <c r="A779" i="26"/>
  <c r="A778" i="26"/>
  <c r="A777" i="26"/>
  <c r="A776" i="26"/>
  <c r="A775" i="26"/>
  <c r="A774" i="26"/>
  <c r="A773" i="26"/>
  <c r="A772" i="26"/>
  <c r="A771" i="26"/>
  <c r="A770" i="26"/>
  <c r="A769" i="26"/>
  <c r="A768" i="26"/>
  <c r="A767" i="26"/>
  <c r="A766" i="26"/>
  <c r="A765" i="26"/>
  <c r="A764" i="26"/>
  <c r="A763" i="26"/>
  <c r="A762" i="26"/>
  <c r="A761" i="26"/>
  <c r="A760" i="26"/>
  <c r="A759" i="26"/>
  <c r="A758" i="26"/>
  <c r="A757" i="26"/>
  <c r="A756" i="26"/>
  <c r="A755" i="26"/>
  <c r="A754" i="26"/>
  <c r="A753" i="26"/>
  <c r="A752" i="26"/>
  <c r="A751" i="26"/>
  <c r="A750" i="26"/>
  <c r="A749" i="26"/>
  <c r="A748" i="26"/>
  <c r="A747" i="26"/>
  <c r="A746" i="26"/>
  <c r="A745" i="26"/>
  <c r="A744" i="26"/>
  <c r="A743" i="26"/>
  <c r="A742" i="26"/>
  <c r="A741" i="26"/>
  <c r="A740" i="26"/>
  <c r="A739" i="26"/>
  <c r="A738" i="26"/>
  <c r="A737" i="26"/>
  <c r="A736" i="26"/>
  <c r="A735" i="26"/>
  <c r="A734" i="26"/>
  <c r="A733" i="26"/>
  <c r="A732" i="26"/>
  <c r="A731" i="26"/>
  <c r="A730" i="26"/>
  <c r="A729" i="26"/>
  <c r="A728" i="26"/>
  <c r="A727" i="26"/>
  <c r="A726" i="26"/>
  <c r="A725" i="26"/>
  <c r="A724" i="26"/>
  <c r="A723" i="26"/>
  <c r="A722" i="26"/>
  <c r="A721" i="26"/>
  <c r="A720" i="26"/>
  <c r="A719" i="26"/>
  <c r="A718" i="26"/>
  <c r="A717" i="26"/>
  <c r="A716" i="26"/>
  <c r="A715" i="26"/>
  <c r="A714" i="26"/>
  <c r="A713" i="26"/>
  <c r="A712" i="26"/>
  <c r="A711" i="26"/>
  <c r="A710" i="26"/>
  <c r="A709" i="26"/>
  <c r="A708" i="26"/>
  <c r="A707" i="26"/>
  <c r="A706" i="26"/>
  <c r="A705" i="26"/>
  <c r="A704" i="26"/>
  <c r="A703" i="26"/>
  <c r="A702" i="26"/>
  <c r="A701" i="26"/>
  <c r="A700" i="26"/>
  <c r="A699" i="26"/>
  <c r="A698" i="26"/>
  <c r="A697" i="26"/>
  <c r="A696" i="26"/>
  <c r="A695" i="26"/>
  <c r="A694" i="26"/>
  <c r="A693" i="26"/>
  <c r="A692" i="26"/>
  <c r="A691" i="26"/>
  <c r="A690" i="26"/>
  <c r="A689" i="26"/>
  <c r="A688" i="26"/>
  <c r="A687" i="26"/>
  <c r="A686" i="26"/>
  <c r="A685" i="26"/>
  <c r="A684" i="26"/>
  <c r="A683" i="26"/>
  <c r="A682" i="26"/>
  <c r="A681" i="26"/>
  <c r="A680" i="26"/>
  <c r="A679" i="26"/>
  <c r="A678" i="26"/>
  <c r="A677" i="26"/>
  <c r="A676" i="26"/>
  <c r="A675" i="26"/>
  <c r="A674" i="26"/>
  <c r="A673" i="26"/>
  <c r="A672" i="26"/>
  <c r="A671" i="26"/>
  <c r="A670" i="26"/>
  <c r="A669" i="26"/>
  <c r="A668" i="26"/>
  <c r="A667" i="26"/>
  <c r="A666" i="26"/>
  <c r="A665" i="26"/>
  <c r="A664" i="26"/>
  <c r="A663" i="26"/>
  <c r="A662" i="26"/>
  <c r="A661" i="26"/>
  <c r="A660" i="26"/>
  <c r="A659" i="26"/>
  <c r="A658" i="26"/>
  <c r="A657" i="26"/>
  <c r="A656" i="26"/>
  <c r="A655" i="26"/>
  <c r="A654" i="26"/>
  <c r="A653" i="26"/>
  <c r="A652" i="26"/>
  <c r="A651" i="26"/>
  <c r="A650" i="26"/>
  <c r="A649" i="26"/>
  <c r="A648" i="26"/>
  <c r="A647" i="26"/>
  <c r="A646" i="26"/>
  <c r="A645" i="26"/>
  <c r="A644" i="26"/>
  <c r="A643" i="26"/>
  <c r="A642" i="26"/>
  <c r="A641" i="26"/>
  <c r="A640" i="26"/>
  <c r="A639" i="26"/>
  <c r="A638" i="26"/>
  <c r="A637" i="26"/>
  <c r="A636" i="26"/>
  <c r="A635" i="26"/>
  <c r="A634" i="26"/>
  <c r="A633" i="26"/>
  <c r="A632" i="26"/>
  <c r="A631" i="26"/>
  <c r="A630" i="26"/>
  <c r="A629" i="26"/>
  <c r="A628" i="26"/>
  <c r="A627" i="26"/>
  <c r="A626" i="26"/>
  <c r="A625" i="26"/>
  <c r="A624" i="26"/>
  <c r="A623" i="26"/>
  <c r="A622" i="26"/>
  <c r="A621" i="26"/>
  <c r="A620" i="26"/>
  <c r="A619" i="26"/>
  <c r="A618" i="26"/>
  <c r="A617" i="26"/>
  <c r="A616" i="26"/>
  <c r="A615" i="26"/>
  <c r="A614" i="26"/>
  <c r="A613" i="26"/>
  <c r="A612" i="26"/>
  <c r="A611" i="26"/>
  <c r="A610" i="26"/>
  <c r="A609" i="26"/>
  <c r="A608" i="26"/>
  <c r="A607" i="26"/>
  <c r="A606" i="26"/>
  <c r="A605" i="26"/>
  <c r="A604" i="26"/>
  <c r="A603" i="26"/>
  <c r="A602" i="26"/>
  <c r="A601" i="26"/>
  <c r="A600" i="26"/>
  <c r="A599" i="26"/>
  <c r="A598" i="26"/>
  <c r="A597" i="26"/>
  <c r="A596" i="26"/>
  <c r="A595" i="26"/>
  <c r="A594" i="26"/>
  <c r="A593" i="26"/>
  <c r="A592" i="26"/>
  <c r="A591" i="26"/>
  <c r="A590" i="26"/>
  <c r="A589" i="26"/>
  <c r="A588" i="26"/>
  <c r="A587" i="26"/>
  <c r="A586" i="26"/>
  <c r="A585" i="26"/>
  <c r="A584" i="26"/>
  <c r="A583" i="26"/>
  <c r="A582" i="26"/>
  <c r="A581" i="26"/>
  <c r="A580" i="26"/>
  <c r="A579" i="26"/>
  <c r="A578" i="26"/>
  <c r="A577" i="26"/>
  <c r="A576" i="26"/>
  <c r="A575" i="26"/>
  <c r="A574" i="26"/>
  <c r="A573" i="26"/>
  <c r="A572" i="26"/>
  <c r="A571" i="26"/>
  <c r="A570" i="26"/>
  <c r="A569" i="26"/>
  <c r="A568" i="26"/>
  <c r="A567" i="26"/>
  <c r="A566" i="26"/>
  <c r="A565" i="26"/>
  <c r="A564" i="26"/>
  <c r="A563" i="26"/>
  <c r="A562" i="26"/>
  <c r="A561" i="26"/>
  <c r="A560" i="26"/>
  <c r="A559" i="26"/>
  <c r="A558" i="26"/>
  <c r="A557" i="26"/>
  <c r="A556" i="26"/>
  <c r="A555" i="26"/>
  <c r="A554" i="26"/>
  <c r="A553" i="26"/>
  <c r="A552" i="26"/>
  <c r="A551" i="26"/>
  <c r="A550" i="26"/>
  <c r="A549" i="26"/>
  <c r="A548" i="26"/>
  <c r="A547" i="26"/>
  <c r="A546" i="26"/>
  <c r="A545" i="26"/>
  <c r="A544" i="26"/>
  <c r="A543" i="26"/>
  <c r="A542" i="26"/>
  <c r="A541" i="26"/>
  <c r="A540" i="26"/>
  <c r="A539" i="26"/>
  <c r="A538" i="26"/>
  <c r="A537" i="26"/>
  <c r="A536" i="26"/>
  <c r="A535" i="26"/>
  <c r="P9" i="7"/>
  <c r="G36" i="25"/>
  <c r="H36" i="25"/>
  <c r="I36" i="25"/>
  <c r="J36" i="25"/>
  <c r="R36" i="25" s="1"/>
  <c r="K36" i="25"/>
  <c r="H35" i="25"/>
  <c r="I35" i="25"/>
  <c r="J35" i="25"/>
  <c r="R35" i="25" s="1"/>
  <c r="K35" i="25"/>
  <c r="G35" i="25"/>
  <c r="R28" i="25"/>
  <c r="R29" i="25" s="1"/>
  <c r="O29" i="25"/>
  <c r="N29" i="25"/>
  <c r="M29" i="25"/>
  <c r="L29" i="25"/>
  <c r="K29" i="25"/>
  <c r="J29" i="25"/>
  <c r="I29" i="25"/>
  <c r="H29" i="25"/>
  <c r="H25" i="25"/>
  <c r="I25" i="25"/>
  <c r="J25" i="25"/>
  <c r="K25" i="25"/>
  <c r="L25" i="25"/>
  <c r="M25" i="25"/>
  <c r="N25" i="25"/>
  <c r="O25" i="25"/>
  <c r="R21" i="25"/>
  <c r="R23" i="25" s="1"/>
  <c r="H24" i="25"/>
  <c r="I24" i="25"/>
  <c r="J24" i="25"/>
  <c r="K24" i="25"/>
  <c r="L24" i="25"/>
  <c r="M24" i="25"/>
  <c r="N24" i="25"/>
  <c r="O24" i="25"/>
  <c r="H18" i="25"/>
  <c r="I18" i="25"/>
  <c r="J18" i="25"/>
  <c r="R18" i="25" s="1"/>
  <c r="G18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5" i="18"/>
  <c r="Q5" i="11"/>
  <c r="J778" i="24"/>
  <c r="I778" i="24"/>
  <c r="J777" i="24"/>
  <c r="I777" i="24"/>
  <c r="J776" i="24"/>
  <c r="I776" i="24"/>
  <c r="J775" i="24"/>
  <c r="I775" i="24"/>
  <c r="J774" i="24"/>
  <c r="I774" i="24"/>
  <c r="J773" i="24"/>
  <c r="I773" i="24"/>
  <c r="J772" i="24"/>
  <c r="I772" i="24"/>
  <c r="J771" i="24"/>
  <c r="I771" i="24"/>
  <c r="J770" i="24"/>
  <c r="I770" i="24"/>
  <c r="J769" i="24"/>
  <c r="I769" i="24"/>
  <c r="J768" i="24"/>
  <c r="I768" i="24"/>
  <c r="J767" i="24"/>
  <c r="I767" i="24"/>
  <c r="J766" i="24"/>
  <c r="I766" i="24"/>
  <c r="J765" i="24"/>
  <c r="I765" i="24"/>
  <c r="J764" i="24"/>
  <c r="I764" i="24"/>
  <c r="J763" i="24"/>
  <c r="I763" i="24"/>
  <c r="J762" i="24"/>
  <c r="I762" i="24"/>
  <c r="J761" i="24"/>
  <c r="I761" i="24"/>
  <c r="J760" i="24"/>
  <c r="I760" i="24"/>
  <c r="J759" i="24"/>
  <c r="I759" i="24"/>
  <c r="J758" i="24"/>
  <c r="I758" i="24"/>
  <c r="J757" i="24"/>
  <c r="I757" i="24"/>
  <c r="J756" i="24"/>
  <c r="I756" i="24"/>
  <c r="J755" i="24"/>
  <c r="I755" i="24"/>
  <c r="J754" i="24"/>
  <c r="I754" i="24"/>
  <c r="J753" i="24"/>
  <c r="I753" i="24"/>
  <c r="J752" i="24"/>
  <c r="I752" i="24"/>
  <c r="J751" i="24"/>
  <c r="I751" i="24"/>
  <c r="J750" i="24"/>
  <c r="I750" i="24"/>
  <c r="J749" i="24"/>
  <c r="I749" i="24"/>
  <c r="J748" i="24"/>
  <c r="I748" i="24"/>
  <c r="J747" i="24"/>
  <c r="I747" i="24"/>
  <c r="J746" i="24"/>
  <c r="I746" i="24"/>
  <c r="J745" i="24"/>
  <c r="I745" i="24"/>
  <c r="J744" i="24"/>
  <c r="I744" i="24"/>
  <c r="J743" i="24"/>
  <c r="I743" i="24"/>
  <c r="J742" i="24"/>
  <c r="I742" i="24"/>
  <c r="J741" i="24"/>
  <c r="I741" i="24"/>
  <c r="J740" i="24"/>
  <c r="I740" i="24"/>
  <c r="J739" i="24"/>
  <c r="I739" i="24"/>
  <c r="J738" i="24"/>
  <c r="I738" i="24"/>
  <c r="J737" i="24"/>
  <c r="I737" i="24"/>
  <c r="J736" i="24"/>
  <c r="I736" i="24"/>
  <c r="J735" i="24"/>
  <c r="I735" i="24"/>
  <c r="J734" i="24"/>
  <c r="I734" i="24"/>
  <c r="J733" i="24"/>
  <c r="I733" i="24"/>
  <c r="J732" i="24"/>
  <c r="I732" i="24"/>
  <c r="J731" i="24"/>
  <c r="I731" i="24"/>
  <c r="J730" i="24"/>
  <c r="I730" i="24"/>
  <c r="J729" i="24"/>
  <c r="I729" i="24"/>
  <c r="J728" i="24"/>
  <c r="I728" i="24"/>
  <c r="J727" i="24"/>
  <c r="I727" i="24"/>
  <c r="J726" i="24"/>
  <c r="I726" i="24"/>
  <c r="J725" i="24"/>
  <c r="I725" i="24"/>
  <c r="J724" i="24"/>
  <c r="I724" i="24"/>
  <c r="J723" i="24"/>
  <c r="I723" i="24"/>
  <c r="J722" i="24"/>
  <c r="I722" i="24"/>
  <c r="J721" i="24"/>
  <c r="I721" i="24"/>
  <c r="J720" i="24"/>
  <c r="I720" i="24"/>
  <c r="J719" i="24"/>
  <c r="I719" i="24"/>
  <c r="J718" i="24"/>
  <c r="I718" i="24"/>
  <c r="J717" i="24"/>
  <c r="I717" i="24"/>
  <c r="J716" i="24"/>
  <c r="I716" i="24"/>
  <c r="J715" i="24"/>
  <c r="I715" i="24"/>
  <c r="J714" i="24"/>
  <c r="I714" i="24"/>
  <c r="J713" i="24"/>
  <c r="I713" i="24"/>
  <c r="J712" i="24"/>
  <c r="I712" i="24"/>
  <c r="J711" i="24"/>
  <c r="I711" i="24"/>
  <c r="J710" i="24"/>
  <c r="I710" i="24"/>
  <c r="J709" i="24"/>
  <c r="I709" i="24"/>
  <c r="J708" i="24"/>
  <c r="I708" i="24"/>
  <c r="J707" i="24"/>
  <c r="I707" i="24"/>
  <c r="J706" i="24"/>
  <c r="I706" i="24"/>
  <c r="J705" i="24"/>
  <c r="I705" i="24"/>
  <c r="J704" i="24"/>
  <c r="I704" i="24"/>
  <c r="J703" i="24"/>
  <c r="I703" i="24"/>
  <c r="J702" i="24"/>
  <c r="I702" i="24"/>
  <c r="J701" i="24"/>
  <c r="I701" i="24"/>
  <c r="J700" i="24"/>
  <c r="I700" i="24"/>
  <c r="J699" i="24"/>
  <c r="I699" i="24"/>
  <c r="J698" i="24"/>
  <c r="I698" i="24"/>
  <c r="J697" i="24"/>
  <c r="I697" i="24"/>
  <c r="J696" i="24"/>
  <c r="I696" i="24"/>
  <c r="J695" i="24"/>
  <c r="I695" i="24"/>
  <c r="J694" i="24"/>
  <c r="I694" i="24"/>
  <c r="J693" i="24"/>
  <c r="I693" i="24"/>
  <c r="J692" i="24"/>
  <c r="I692" i="24"/>
  <c r="J691" i="24"/>
  <c r="I691" i="24"/>
  <c r="J690" i="24"/>
  <c r="I690" i="24"/>
  <c r="J689" i="24"/>
  <c r="I689" i="24"/>
  <c r="J688" i="24"/>
  <c r="I688" i="24"/>
  <c r="J687" i="24"/>
  <c r="I687" i="24"/>
  <c r="J686" i="24"/>
  <c r="I686" i="24"/>
  <c r="J685" i="24"/>
  <c r="I685" i="24"/>
  <c r="J684" i="24"/>
  <c r="I684" i="24"/>
  <c r="J683" i="24"/>
  <c r="I683" i="24"/>
  <c r="J682" i="24"/>
  <c r="I682" i="24"/>
  <c r="J681" i="24"/>
  <c r="I681" i="24"/>
  <c r="J680" i="24"/>
  <c r="I680" i="24"/>
  <c r="J679" i="24"/>
  <c r="I679" i="24"/>
  <c r="J678" i="24"/>
  <c r="I678" i="24"/>
  <c r="J677" i="24"/>
  <c r="I677" i="24"/>
  <c r="J676" i="24"/>
  <c r="I676" i="24"/>
  <c r="J675" i="24"/>
  <c r="I675" i="24"/>
  <c r="J674" i="24"/>
  <c r="I674" i="24"/>
  <c r="J673" i="24"/>
  <c r="I673" i="24"/>
  <c r="J672" i="24"/>
  <c r="I672" i="24"/>
  <c r="J671" i="24"/>
  <c r="I671" i="24"/>
  <c r="J670" i="24"/>
  <c r="I670" i="24"/>
  <c r="J669" i="24"/>
  <c r="I669" i="24"/>
  <c r="J668" i="24"/>
  <c r="I668" i="24"/>
  <c r="J667" i="24"/>
  <c r="I667" i="24"/>
  <c r="J666" i="24"/>
  <c r="I666" i="24"/>
  <c r="J665" i="24"/>
  <c r="I665" i="24"/>
  <c r="J664" i="24"/>
  <c r="I664" i="24"/>
  <c r="J663" i="24"/>
  <c r="I663" i="24"/>
  <c r="J662" i="24"/>
  <c r="I662" i="24"/>
  <c r="J661" i="24"/>
  <c r="I661" i="24"/>
  <c r="J660" i="24"/>
  <c r="I660" i="24"/>
  <c r="J659" i="24"/>
  <c r="I659" i="24"/>
  <c r="J658" i="24"/>
  <c r="I658" i="24"/>
  <c r="J657" i="24"/>
  <c r="I657" i="24"/>
  <c r="J656" i="24"/>
  <c r="I656" i="24"/>
  <c r="J655" i="24"/>
  <c r="I655" i="24"/>
  <c r="J654" i="24"/>
  <c r="I654" i="24"/>
  <c r="J653" i="24"/>
  <c r="I653" i="24"/>
  <c r="J652" i="24"/>
  <c r="I652" i="24"/>
  <c r="J651" i="24"/>
  <c r="I651" i="24"/>
  <c r="J650" i="24"/>
  <c r="I650" i="24"/>
  <c r="J649" i="24"/>
  <c r="I649" i="24"/>
  <c r="J648" i="24"/>
  <c r="I648" i="24"/>
  <c r="J647" i="24"/>
  <c r="I647" i="24"/>
  <c r="J646" i="24"/>
  <c r="I646" i="24"/>
  <c r="J645" i="24"/>
  <c r="I645" i="24"/>
  <c r="J644" i="24"/>
  <c r="I644" i="24"/>
  <c r="J643" i="24"/>
  <c r="I643" i="24"/>
  <c r="J642" i="24"/>
  <c r="I642" i="24"/>
  <c r="J641" i="24"/>
  <c r="I641" i="24"/>
  <c r="J640" i="24"/>
  <c r="I640" i="24"/>
  <c r="J639" i="24"/>
  <c r="I639" i="24"/>
  <c r="J638" i="24"/>
  <c r="I638" i="24"/>
  <c r="J637" i="24"/>
  <c r="I637" i="24"/>
  <c r="J636" i="24"/>
  <c r="I636" i="24"/>
  <c r="J635" i="24"/>
  <c r="I635" i="24"/>
  <c r="J634" i="24"/>
  <c r="I634" i="24"/>
  <c r="J633" i="24"/>
  <c r="I633" i="24"/>
  <c r="J632" i="24"/>
  <c r="I632" i="24"/>
  <c r="J631" i="24"/>
  <c r="I631" i="24"/>
  <c r="J630" i="24"/>
  <c r="I630" i="24"/>
  <c r="J629" i="24"/>
  <c r="I629" i="24"/>
  <c r="J628" i="24"/>
  <c r="I628" i="24"/>
  <c r="J627" i="24"/>
  <c r="I627" i="24"/>
  <c r="J626" i="24"/>
  <c r="I626" i="24"/>
  <c r="J625" i="24"/>
  <c r="I625" i="24"/>
  <c r="J624" i="24"/>
  <c r="I624" i="24"/>
  <c r="J623" i="24"/>
  <c r="I623" i="24"/>
  <c r="J622" i="24"/>
  <c r="I622" i="24"/>
  <c r="J621" i="24"/>
  <c r="I621" i="24"/>
  <c r="J620" i="24"/>
  <c r="I620" i="24"/>
  <c r="J619" i="24"/>
  <c r="I619" i="24"/>
  <c r="J618" i="24"/>
  <c r="I618" i="24"/>
  <c r="J617" i="24"/>
  <c r="I617" i="24"/>
  <c r="J616" i="24"/>
  <c r="I616" i="24"/>
  <c r="J615" i="24"/>
  <c r="I615" i="24"/>
  <c r="J614" i="24"/>
  <c r="I614" i="24"/>
  <c r="J613" i="24"/>
  <c r="I613" i="24"/>
  <c r="J612" i="24"/>
  <c r="I612" i="24"/>
  <c r="J611" i="24"/>
  <c r="I611" i="24"/>
  <c r="J610" i="24"/>
  <c r="I610" i="24"/>
  <c r="J609" i="24"/>
  <c r="I609" i="24"/>
  <c r="J608" i="24"/>
  <c r="I608" i="24"/>
  <c r="J607" i="24"/>
  <c r="I607" i="24"/>
  <c r="J606" i="24"/>
  <c r="I606" i="24"/>
  <c r="J605" i="24"/>
  <c r="I605" i="24"/>
  <c r="J604" i="24"/>
  <c r="I604" i="24"/>
  <c r="J603" i="24"/>
  <c r="I603" i="24"/>
  <c r="J602" i="24"/>
  <c r="I602" i="24"/>
  <c r="J601" i="24"/>
  <c r="I601" i="24"/>
  <c r="J600" i="24"/>
  <c r="I600" i="24"/>
  <c r="J599" i="24"/>
  <c r="I599" i="24"/>
  <c r="J598" i="24"/>
  <c r="I598" i="24"/>
  <c r="J597" i="24"/>
  <c r="I597" i="24"/>
  <c r="J596" i="24"/>
  <c r="I596" i="24"/>
  <c r="J595" i="24"/>
  <c r="I595" i="24"/>
  <c r="J594" i="24"/>
  <c r="I594" i="24"/>
  <c r="J593" i="24"/>
  <c r="I593" i="24"/>
  <c r="J592" i="24"/>
  <c r="I592" i="24"/>
  <c r="J591" i="24"/>
  <c r="I591" i="24"/>
  <c r="J590" i="24"/>
  <c r="I590" i="24"/>
  <c r="J589" i="24"/>
  <c r="I589" i="24"/>
  <c r="J588" i="24"/>
  <c r="I588" i="24"/>
  <c r="J587" i="24"/>
  <c r="I587" i="24"/>
  <c r="J586" i="24"/>
  <c r="I586" i="24"/>
  <c r="J585" i="24"/>
  <c r="I585" i="24"/>
  <c r="J584" i="24"/>
  <c r="I584" i="24"/>
  <c r="J583" i="24"/>
  <c r="I583" i="24"/>
  <c r="J582" i="24"/>
  <c r="I582" i="24"/>
  <c r="J581" i="24"/>
  <c r="I581" i="24"/>
  <c r="J580" i="24"/>
  <c r="I580" i="24"/>
  <c r="J579" i="24"/>
  <c r="I579" i="24"/>
  <c r="J578" i="24"/>
  <c r="I578" i="24"/>
  <c r="J577" i="24"/>
  <c r="I577" i="24"/>
  <c r="J576" i="24"/>
  <c r="I576" i="24"/>
  <c r="J575" i="24"/>
  <c r="I575" i="24"/>
  <c r="J574" i="24"/>
  <c r="I574" i="24"/>
  <c r="J573" i="24"/>
  <c r="I573" i="24"/>
  <c r="J572" i="24"/>
  <c r="I572" i="24"/>
  <c r="J571" i="24"/>
  <c r="I571" i="24"/>
  <c r="J570" i="24"/>
  <c r="I570" i="24"/>
  <c r="J569" i="24"/>
  <c r="I569" i="24"/>
  <c r="J568" i="24"/>
  <c r="I568" i="24"/>
  <c r="J567" i="24"/>
  <c r="I567" i="24"/>
  <c r="J566" i="24"/>
  <c r="I566" i="24"/>
  <c r="J565" i="24"/>
  <c r="I565" i="24"/>
  <c r="J564" i="24"/>
  <c r="I564" i="24"/>
  <c r="J563" i="24"/>
  <c r="I563" i="24"/>
  <c r="J562" i="24"/>
  <c r="I562" i="24"/>
  <c r="J561" i="24"/>
  <c r="I561" i="24"/>
  <c r="J560" i="24"/>
  <c r="I560" i="24"/>
  <c r="J559" i="24"/>
  <c r="I559" i="24"/>
  <c r="J558" i="24"/>
  <c r="I558" i="24"/>
  <c r="J557" i="24"/>
  <c r="I557" i="24"/>
  <c r="J556" i="24"/>
  <c r="I556" i="24"/>
  <c r="J555" i="24"/>
  <c r="I555" i="24"/>
  <c r="J554" i="24"/>
  <c r="I554" i="24"/>
  <c r="J553" i="24"/>
  <c r="I553" i="24"/>
  <c r="J552" i="24"/>
  <c r="I552" i="24"/>
  <c r="J551" i="24"/>
  <c r="I551" i="24"/>
  <c r="J550" i="24"/>
  <c r="I550" i="24"/>
  <c r="J549" i="24"/>
  <c r="I549" i="24"/>
  <c r="J548" i="24"/>
  <c r="I548" i="24"/>
  <c r="J547" i="24"/>
  <c r="I547" i="24"/>
  <c r="J546" i="24"/>
  <c r="I546" i="24"/>
  <c r="J545" i="24"/>
  <c r="I545" i="24"/>
  <c r="J544" i="24"/>
  <c r="I544" i="24"/>
  <c r="J543" i="24"/>
  <c r="I543" i="24"/>
  <c r="J542" i="24"/>
  <c r="I542" i="24"/>
  <c r="J541" i="24"/>
  <c r="I541" i="24"/>
  <c r="J540" i="24"/>
  <c r="I540" i="24"/>
  <c r="J539" i="24"/>
  <c r="I539" i="24"/>
  <c r="J538" i="24"/>
  <c r="I538" i="24"/>
  <c r="J537" i="24"/>
  <c r="I537" i="24"/>
  <c r="J536" i="24"/>
  <c r="I536" i="24"/>
  <c r="J535" i="24"/>
  <c r="I535" i="24"/>
  <c r="J534" i="24"/>
  <c r="I534" i="24"/>
  <c r="J533" i="24"/>
  <c r="I533" i="24"/>
  <c r="J532" i="24"/>
  <c r="I532" i="24"/>
  <c r="J531" i="24"/>
  <c r="I531" i="24"/>
  <c r="J530" i="24"/>
  <c r="I530" i="24"/>
  <c r="J529" i="24"/>
  <c r="I529" i="24"/>
  <c r="J528" i="24"/>
  <c r="I528" i="24"/>
  <c r="J527" i="24"/>
  <c r="I527" i="24"/>
  <c r="J526" i="24"/>
  <c r="I526" i="24"/>
  <c r="J525" i="24"/>
  <c r="I525" i="24"/>
  <c r="J524" i="24"/>
  <c r="I524" i="24"/>
  <c r="J523" i="24"/>
  <c r="I523" i="24"/>
  <c r="J522" i="24"/>
  <c r="I522" i="24"/>
  <c r="J521" i="24"/>
  <c r="I521" i="24"/>
  <c r="J520" i="24"/>
  <c r="I520" i="24"/>
  <c r="J519" i="24"/>
  <c r="I519" i="24"/>
  <c r="J518" i="24"/>
  <c r="I518" i="24"/>
  <c r="J517" i="24"/>
  <c r="I517" i="24"/>
  <c r="J516" i="24"/>
  <c r="I516" i="24"/>
  <c r="J515" i="24"/>
  <c r="I515" i="24"/>
  <c r="J514" i="24"/>
  <c r="I514" i="24"/>
  <c r="J513" i="24"/>
  <c r="I513" i="24"/>
  <c r="J512" i="24"/>
  <c r="I512" i="24"/>
  <c r="J511" i="24"/>
  <c r="I511" i="24"/>
  <c r="J510" i="24"/>
  <c r="I510" i="24"/>
  <c r="J509" i="24"/>
  <c r="I509" i="24"/>
  <c r="J508" i="24"/>
  <c r="I508" i="24"/>
  <c r="J507" i="24"/>
  <c r="I507" i="24"/>
  <c r="J506" i="24"/>
  <c r="I506" i="24"/>
  <c r="J505" i="24"/>
  <c r="I505" i="24"/>
  <c r="J504" i="24"/>
  <c r="I504" i="24"/>
  <c r="J503" i="24"/>
  <c r="I503" i="24"/>
  <c r="J502" i="24"/>
  <c r="I502" i="24"/>
  <c r="J501" i="24"/>
  <c r="I501" i="24"/>
  <c r="J500" i="24"/>
  <c r="I500" i="24"/>
  <c r="J499" i="24"/>
  <c r="I499" i="24"/>
  <c r="J498" i="24"/>
  <c r="I498" i="24"/>
  <c r="J497" i="24"/>
  <c r="I497" i="24"/>
  <c r="J496" i="24"/>
  <c r="I496" i="24"/>
  <c r="J495" i="24"/>
  <c r="I495" i="24"/>
  <c r="J494" i="24"/>
  <c r="I494" i="24"/>
  <c r="J493" i="24"/>
  <c r="I493" i="24"/>
  <c r="J492" i="24"/>
  <c r="I492" i="24"/>
  <c r="J491" i="24"/>
  <c r="I491" i="24"/>
  <c r="J490" i="24"/>
  <c r="I490" i="24"/>
  <c r="J489" i="24"/>
  <c r="I489" i="24"/>
  <c r="J488" i="24"/>
  <c r="I488" i="24"/>
  <c r="J487" i="24"/>
  <c r="I487" i="24"/>
  <c r="J486" i="24"/>
  <c r="I486" i="24"/>
  <c r="J485" i="24"/>
  <c r="I485" i="24"/>
  <c r="J484" i="24"/>
  <c r="I484" i="24"/>
  <c r="J483" i="24"/>
  <c r="I483" i="24"/>
  <c r="J482" i="24"/>
  <c r="I482" i="24"/>
  <c r="J481" i="24"/>
  <c r="I481" i="24"/>
  <c r="J480" i="24"/>
  <c r="I480" i="24"/>
  <c r="J479" i="24"/>
  <c r="I479" i="24"/>
  <c r="J478" i="24"/>
  <c r="I478" i="24"/>
  <c r="J477" i="24"/>
  <c r="I477" i="24"/>
  <c r="J476" i="24"/>
  <c r="I476" i="24"/>
  <c r="J475" i="24"/>
  <c r="I475" i="24"/>
  <c r="J474" i="24"/>
  <c r="I474" i="24"/>
  <c r="J473" i="24"/>
  <c r="I473" i="24"/>
  <c r="J472" i="24"/>
  <c r="I472" i="24"/>
  <c r="J471" i="24"/>
  <c r="I471" i="24"/>
  <c r="J470" i="24"/>
  <c r="I470" i="24"/>
  <c r="J469" i="24"/>
  <c r="I469" i="24"/>
  <c r="J468" i="24"/>
  <c r="I468" i="24"/>
  <c r="J467" i="24"/>
  <c r="I467" i="24"/>
  <c r="J466" i="24"/>
  <c r="I466" i="24"/>
  <c r="J465" i="24"/>
  <c r="I465" i="24"/>
  <c r="J464" i="24"/>
  <c r="I464" i="24"/>
  <c r="J463" i="24"/>
  <c r="I463" i="24"/>
  <c r="J462" i="24"/>
  <c r="I462" i="24"/>
  <c r="J461" i="24"/>
  <c r="I461" i="24"/>
  <c r="J460" i="24"/>
  <c r="I460" i="24"/>
  <c r="J459" i="24"/>
  <c r="I459" i="24"/>
  <c r="J458" i="24"/>
  <c r="I458" i="24"/>
  <c r="J457" i="24"/>
  <c r="I457" i="24"/>
  <c r="J456" i="24"/>
  <c r="I456" i="24"/>
  <c r="J455" i="24"/>
  <c r="I455" i="24"/>
  <c r="J454" i="24"/>
  <c r="I454" i="24"/>
  <c r="J453" i="24"/>
  <c r="I453" i="24"/>
  <c r="J452" i="24"/>
  <c r="I452" i="24"/>
  <c r="J451" i="24"/>
  <c r="I451" i="24"/>
  <c r="J450" i="24"/>
  <c r="I450" i="24"/>
  <c r="J449" i="24"/>
  <c r="I449" i="24"/>
  <c r="J448" i="24"/>
  <c r="I448" i="24"/>
  <c r="J447" i="24"/>
  <c r="I447" i="24"/>
  <c r="J446" i="24"/>
  <c r="I446" i="24"/>
  <c r="J445" i="24"/>
  <c r="I445" i="24"/>
  <c r="J444" i="24"/>
  <c r="I444" i="24"/>
  <c r="J443" i="24"/>
  <c r="I443" i="24"/>
  <c r="J442" i="24"/>
  <c r="I442" i="24"/>
  <c r="J441" i="24"/>
  <c r="I441" i="24"/>
  <c r="J440" i="24"/>
  <c r="I440" i="24"/>
  <c r="J439" i="24"/>
  <c r="I439" i="24"/>
  <c r="J438" i="24"/>
  <c r="I438" i="24"/>
  <c r="J437" i="24"/>
  <c r="I437" i="24"/>
  <c r="J436" i="24"/>
  <c r="I436" i="24"/>
  <c r="J435" i="24"/>
  <c r="I435" i="24"/>
  <c r="J434" i="24"/>
  <c r="I434" i="24"/>
  <c r="J433" i="24"/>
  <c r="I433" i="24"/>
  <c r="J432" i="24"/>
  <c r="I432" i="24"/>
  <c r="J431" i="24"/>
  <c r="I431" i="24"/>
  <c r="J430" i="24"/>
  <c r="I430" i="24"/>
  <c r="J429" i="24"/>
  <c r="I429" i="24"/>
  <c r="J428" i="24"/>
  <c r="I428" i="24"/>
  <c r="J427" i="24"/>
  <c r="I427" i="24"/>
  <c r="J426" i="24"/>
  <c r="I426" i="24"/>
  <c r="J425" i="24"/>
  <c r="I425" i="24"/>
  <c r="J424" i="24"/>
  <c r="I424" i="24"/>
  <c r="J423" i="24"/>
  <c r="I423" i="24"/>
  <c r="J422" i="24"/>
  <c r="I422" i="24"/>
  <c r="J421" i="24"/>
  <c r="I421" i="24"/>
  <c r="J420" i="24"/>
  <c r="I420" i="24"/>
  <c r="J419" i="24"/>
  <c r="I419" i="24"/>
  <c r="J418" i="24"/>
  <c r="I418" i="24"/>
  <c r="J417" i="24"/>
  <c r="I417" i="24"/>
  <c r="J416" i="24"/>
  <c r="I416" i="24"/>
  <c r="J415" i="24"/>
  <c r="I415" i="24"/>
  <c r="J414" i="24"/>
  <c r="I414" i="24"/>
  <c r="J413" i="24"/>
  <c r="I413" i="24"/>
  <c r="J412" i="24"/>
  <c r="I412" i="24"/>
  <c r="J411" i="24"/>
  <c r="I411" i="24"/>
  <c r="J410" i="24"/>
  <c r="I410" i="24"/>
  <c r="J409" i="24"/>
  <c r="I409" i="24"/>
  <c r="J408" i="24"/>
  <c r="I408" i="24"/>
  <c r="J407" i="24"/>
  <c r="I407" i="24"/>
  <c r="J406" i="24"/>
  <c r="I406" i="24"/>
  <c r="J405" i="24"/>
  <c r="I405" i="24"/>
  <c r="J404" i="24"/>
  <c r="I404" i="24"/>
  <c r="J403" i="24"/>
  <c r="I403" i="24"/>
  <c r="J402" i="24"/>
  <c r="I402" i="24"/>
  <c r="J401" i="24"/>
  <c r="I401" i="24"/>
  <c r="J400" i="24"/>
  <c r="I400" i="24"/>
  <c r="J399" i="24"/>
  <c r="I399" i="24"/>
  <c r="J398" i="24"/>
  <c r="I398" i="24"/>
  <c r="J397" i="24"/>
  <c r="I397" i="24"/>
  <c r="J396" i="24"/>
  <c r="I396" i="24"/>
  <c r="J395" i="24"/>
  <c r="I395" i="24"/>
  <c r="J394" i="24"/>
  <c r="I394" i="24"/>
  <c r="J393" i="24"/>
  <c r="I393" i="24"/>
  <c r="J392" i="24"/>
  <c r="I392" i="24"/>
  <c r="J391" i="24"/>
  <c r="I391" i="24"/>
  <c r="J390" i="24"/>
  <c r="I390" i="24"/>
  <c r="J389" i="24"/>
  <c r="I389" i="24"/>
  <c r="J388" i="24"/>
  <c r="I388" i="24"/>
  <c r="J387" i="24"/>
  <c r="I387" i="24"/>
  <c r="J386" i="24"/>
  <c r="I386" i="24"/>
  <c r="J385" i="24"/>
  <c r="I385" i="24"/>
  <c r="J384" i="24"/>
  <c r="I384" i="24"/>
  <c r="J383" i="24"/>
  <c r="I383" i="24"/>
  <c r="J382" i="24"/>
  <c r="I382" i="24"/>
  <c r="J381" i="24"/>
  <c r="I381" i="24"/>
  <c r="J380" i="24"/>
  <c r="I380" i="24"/>
  <c r="J379" i="24"/>
  <c r="I379" i="24"/>
  <c r="J378" i="24"/>
  <c r="I378" i="24"/>
  <c r="J377" i="24"/>
  <c r="I377" i="24"/>
  <c r="J376" i="24"/>
  <c r="I376" i="24"/>
  <c r="J375" i="24"/>
  <c r="I375" i="24"/>
  <c r="J374" i="24"/>
  <c r="I374" i="24"/>
  <c r="J373" i="24"/>
  <c r="I373" i="24"/>
  <c r="J372" i="24"/>
  <c r="I372" i="24"/>
  <c r="J371" i="24"/>
  <c r="I371" i="24"/>
  <c r="J370" i="24"/>
  <c r="I370" i="24"/>
  <c r="J369" i="24"/>
  <c r="I369" i="24"/>
  <c r="J368" i="24"/>
  <c r="I368" i="24"/>
  <c r="J367" i="24"/>
  <c r="I367" i="24"/>
  <c r="J366" i="24"/>
  <c r="I366" i="24"/>
  <c r="J365" i="24"/>
  <c r="I365" i="24"/>
  <c r="J364" i="24"/>
  <c r="I364" i="24"/>
  <c r="J363" i="24"/>
  <c r="I363" i="24"/>
  <c r="J362" i="24"/>
  <c r="I362" i="24"/>
  <c r="J361" i="24"/>
  <c r="I361" i="24"/>
  <c r="J360" i="24"/>
  <c r="I360" i="24"/>
  <c r="J359" i="24"/>
  <c r="I359" i="24"/>
  <c r="J358" i="24"/>
  <c r="I358" i="24"/>
  <c r="J357" i="24"/>
  <c r="I357" i="24"/>
  <c r="J356" i="24"/>
  <c r="I356" i="24"/>
  <c r="J355" i="24"/>
  <c r="I355" i="24"/>
  <c r="J354" i="24"/>
  <c r="I354" i="24"/>
  <c r="J353" i="24"/>
  <c r="I353" i="24"/>
  <c r="J352" i="24"/>
  <c r="I352" i="24"/>
  <c r="J351" i="24"/>
  <c r="I351" i="24"/>
  <c r="J350" i="24"/>
  <c r="I350" i="24"/>
  <c r="J349" i="24"/>
  <c r="I349" i="24"/>
  <c r="J348" i="24"/>
  <c r="I348" i="24"/>
  <c r="J347" i="24"/>
  <c r="I347" i="24"/>
  <c r="J346" i="24"/>
  <c r="I346" i="24"/>
  <c r="J345" i="24"/>
  <c r="I345" i="24"/>
  <c r="J344" i="24"/>
  <c r="I344" i="24"/>
  <c r="J343" i="24"/>
  <c r="I343" i="24"/>
  <c r="J342" i="24"/>
  <c r="I342" i="24"/>
  <c r="J341" i="24"/>
  <c r="I341" i="24"/>
  <c r="J340" i="24"/>
  <c r="I340" i="24"/>
  <c r="J339" i="24"/>
  <c r="I339" i="24"/>
  <c r="J338" i="24"/>
  <c r="I338" i="24"/>
  <c r="J337" i="24"/>
  <c r="I337" i="24"/>
  <c r="J336" i="24"/>
  <c r="I336" i="24"/>
  <c r="J335" i="24"/>
  <c r="I335" i="24"/>
  <c r="J334" i="24"/>
  <c r="I334" i="24"/>
  <c r="J333" i="24"/>
  <c r="I333" i="24"/>
  <c r="J332" i="24"/>
  <c r="I332" i="24"/>
  <c r="J331" i="24"/>
  <c r="I331" i="24"/>
  <c r="J330" i="24"/>
  <c r="I330" i="24"/>
  <c r="J329" i="24"/>
  <c r="I329" i="24"/>
  <c r="J328" i="24"/>
  <c r="I328" i="24"/>
  <c r="J327" i="24"/>
  <c r="I327" i="24"/>
  <c r="J326" i="24"/>
  <c r="I326" i="24"/>
  <c r="J325" i="24"/>
  <c r="I325" i="24"/>
  <c r="J324" i="24"/>
  <c r="I324" i="24"/>
  <c r="J323" i="24"/>
  <c r="I323" i="24"/>
  <c r="J322" i="24"/>
  <c r="I322" i="24"/>
  <c r="J321" i="24"/>
  <c r="I321" i="24"/>
  <c r="J320" i="24"/>
  <c r="I320" i="24"/>
  <c r="J319" i="24"/>
  <c r="I319" i="24"/>
  <c r="J318" i="24"/>
  <c r="I318" i="24"/>
  <c r="J317" i="24"/>
  <c r="I317" i="24"/>
  <c r="J316" i="24"/>
  <c r="I316" i="24"/>
  <c r="J315" i="24"/>
  <c r="I315" i="24"/>
  <c r="J314" i="24"/>
  <c r="I314" i="24"/>
  <c r="J313" i="24"/>
  <c r="I313" i="24"/>
  <c r="J312" i="24"/>
  <c r="I312" i="24"/>
  <c r="J311" i="24"/>
  <c r="I311" i="24"/>
  <c r="J310" i="24"/>
  <c r="I310" i="24"/>
  <c r="J309" i="24"/>
  <c r="I309" i="24"/>
  <c r="J308" i="24"/>
  <c r="I308" i="24"/>
  <c r="J307" i="24"/>
  <c r="I307" i="24"/>
  <c r="J306" i="24"/>
  <c r="I306" i="24"/>
  <c r="J305" i="24"/>
  <c r="I305" i="24"/>
  <c r="J304" i="24"/>
  <c r="I304" i="24"/>
  <c r="J303" i="24"/>
  <c r="I303" i="24"/>
  <c r="J302" i="24"/>
  <c r="I302" i="24"/>
  <c r="J301" i="24"/>
  <c r="I301" i="24"/>
  <c r="J300" i="24"/>
  <c r="I300" i="24"/>
  <c r="J299" i="24"/>
  <c r="I299" i="24"/>
  <c r="J298" i="24"/>
  <c r="I298" i="24"/>
  <c r="J297" i="24"/>
  <c r="I297" i="24"/>
  <c r="J296" i="24"/>
  <c r="I296" i="24"/>
  <c r="J295" i="24"/>
  <c r="I295" i="24"/>
  <c r="J294" i="24"/>
  <c r="I294" i="24"/>
  <c r="J293" i="24"/>
  <c r="I293" i="24"/>
  <c r="J292" i="24"/>
  <c r="I292" i="24"/>
  <c r="J291" i="24"/>
  <c r="I291" i="24"/>
  <c r="J290" i="24"/>
  <c r="I290" i="24"/>
  <c r="J289" i="24"/>
  <c r="I289" i="24"/>
  <c r="J288" i="24"/>
  <c r="I288" i="24"/>
  <c r="J287" i="24"/>
  <c r="I287" i="24"/>
  <c r="J286" i="24"/>
  <c r="I286" i="24"/>
  <c r="J285" i="24"/>
  <c r="I285" i="24"/>
  <c r="J284" i="24"/>
  <c r="I284" i="24"/>
  <c r="J283" i="24"/>
  <c r="I283" i="24"/>
  <c r="J282" i="24"/>
  <c r="I282" i="24"/>
  <c r="J281" i="24"/>
  <c r="I281" i="24"/>
  <c r="J280" i="24"/>
  <c r="I280" i="24"/>
  <c r="J279" i="24"/>
  <c r="I279" i="24"/>
  <c r="J278" i="24"/>
  <c r="I278" i="24"/>
  <c r="J277" i="24"/>
  <c r="I277" i="24"/>
  <c r="J276" i="24"/>
  <c r="I276" i="24"/>
  <c r="J275" i="24"/>
  <c r="I275" i="24"/>
  <c r="J274" i="24"/>
  <c r="I274" i="24"/>
  <c r="J273" i="24"/>
  <c r="I273" i="24"/>
  <c r="J272" i="24"/>
  <c r="I272" i="24"/>
  <c r="J271" i="24"/>
  <c r="I271" i="24"/>
  <c r="J270" i="24"/>
  <c r="I270" i="24"/>
  <c r="J269" i="24"/>
  <c r="I269" i="24"/>
  <c r="J268" i="24"/>
  <c r="I268" i="24"/>
  <c r="J267" i="24"/>
  <c r="I267" i="24"/>
  <c r="J266" i="24"/>
  <c r="I266" i="24"/>
  <c r="J265" i="24"/>
  <c r="I265" i="24"/>
  <c r="J264" i="24"/>
  <c r="I264" i="24"/>
  <c r="J263" i="24"/>
  <c r="I263" i="24"/>
  <c r="J262" i="24"/>
  <c r="I262" i="24"/>
  <c r="J261" i="24"/>
  <c r="I261" i="24"/>
  <c r="J260" i="24"/>
  <c r="I260" i="24"/>
  <c r="J259" i="24"/>
  <c r="I259" i="24"/>
  <c r="J258" i="24"/>
  <c r="I258" i="24"/>
  <c r="J257" i="24"/>
  <c r="I257" i="24"/>
  <c r="J256" i="24"/>
  <c r="I256" i="24"/>
  <c r="J255" i="24"/>
  <c r="I255" i="24"/>
  <c r="J254" i="24"/>
  <c r="I254" i="24"/>
  <c r="J253" i="24"/>
  <c r="I253" i="24"/>
  <c r="J252" i="24"/>
  <c r="I252" i="24"/>
  <c r="J251" i="24"/>
  <c r="I251" i="24"/>
  <c r="J250" i="24"/>
  <c r="I250" i="24"/>
  <c r="J249" i="24"/>
  <c r="I249" i="24"/>
  <c r="J248" i="24"/>
  <c r="I248" i="24"/>
  <c r="J247" i="24"/>
  <c r="I247" i="24"/>
  <c r="J246" i="24"/>
  <c r="I246" i="24"/>
  <c r="J245" i="24"/>
  <c r="I245" i="24"/>
  <c r="J244" i="24"/>
  <c r="I244" i="24"/>
  <c r="J243" i="24"/>
  <c r="I243" i="24"/>
  <c r="J242" i="24"/>
  <c r="I242" i="24"/>
  <c r="J241" i="24"/>
  <c r="I241" i="24"/>
  <c r="J240" i="24"/>
  <c r="I240" i="24"/>
  <c r="J239" i="24"/>
  <c r="I239" i="24"/>
  <c r="J238" i="24"/>
  <c r="I238" i="24"/>
  <c r="J237" i="24"/>
  <c r="I237" i="24"/>
  <c r="J236" i="24"/>
  <c r="I236" i="24"/>
  <c r="J235" i="24"/>
  <c r="I235" i="24"/>
  <c r="J234" i="24"/>
  <c r="I234" i="24"/>
  <c r="J233" i="24"/>
  <c r="I233" i="24"/>
  <c r="J232" i="24"/>
  <c r="I232" i="24"/>
  <c r="J231" i="24"/>
  <c r="I231" i="24"/>
  <c r="J230" i="24"/>
  <c r="I230" i="24"/>
  <c r="J229" i="24"/>
  <c r="I229" i="24"/>
  <c r="J228" i="24"/>
  <c r="I228" i="24"/>
  <c r="J227" i="24"/>
  <c r="I227" i="24"/>
  <c r="J226" i="24"/>
  <c r="I226" i="24"/>
  <c r="J225" i="24"/>
  <c r="I225" i="24"/>
  <c r="J224" i="24"/>
  <c r="I224" i="24"/>
  <c r="J223" i="24"/>
  <c r="I223" i="24"/>
  <c r="J222" i="24"/>
  <c r="I222" i="24"/>
  <c r="J221" i="24"/>
  <c r="I221" i="24"/>
  <c r="J220" i="24"/>
  <c r="I220" i="24"/>
  <c r="J219" i="24"/>
  <c r="I219" i="24"/>
  <c r="J218" i="24"/>
  <c r="I218" i="24"/>
  <c r="J217" i="24"/>
  <c r="I217" i="24"/>
  <c r="J216" i="24"/>
  <c r="I216" i="24"/>
  <c r="J215" i="24"/>
  <c r="I215" i="24"/>
  <c r="J214" i="24"/>
  <c r="I214" i="24"/>
  <c r="J213" i="24"/>
  <c r="I213" i="24"/>
  <c r="J212" i="24"/>
  <c r="I212" i="24"/>
  <c r="J211" i="24"/>
  <c r="I211" i="24"/>
  <c r="J210" i="24"/>
  <c r="I210" i="24"/>
  <c r="J209" i="24"/>
  <c r="I209" i="24"/>
  <c r="J208" i="24"/>
  <c r="I208" i="24"/>
  <c r="J207" i="24"/>
  <c r="I207" i="24"/>
  <c r="J206" i="24"/>
  <c r="I206" i="24"/>
  <c r="J205" i="24"/>
  <c r="I205" i="24"/>
  <c r="J204" i="24"/>
  <c r="I204" i="24"/>
  <c r="J203" i="24"/>
  <c r="I203" i="24"/>
  <c r="J202" i="24"/>
  <c r="I202" i="24"/>
  <c r="J201" i="24"/>
  <c r="I201" i="24"/>
  <c r="J200" i="24"/>
  <c r="I200" i="24"/>
  <c r="J199" i="24"/>
  <c r="I199" i="24"/>
  <c r="J198" i="24"/>
  <c r="I198" i="24"/>
  <c r="J197" i="24"/>
  <c r="I197" i="24"/>
  <c r="J196" i="24"/>
  <c r="I196" i="24"/>
  <c r="J195" i="24"/>
  <c r="I195" i="24"/>
  <c r="J194" i="24"/>
  <c r="I194" i="24"/>
  <c r="J193" i="24"/>
  <c r="I193" i="24"/>
  <c r="J192" i="24"/>
  <c r="I192" i="24"/>
  <c r="J191" i="24"/>
  <c r="I191" i="24"/>
  <c r="J190" i="24"/>
  <c r="I190" i="24"/>
  <c r="J189" i="24"/>
  <c r="I189" i="24"/>
  <c r="J188" i="24"/>
  <c r="I188" i="24"/>
  <c r="J187" i="24"/>
  <c r="I187" i="24"/>
  <c r="J186" i="24"/>
  <c r="I186" i="24"/>
  <c r="J185" i="24"/>
  <c r="I185" i="24"/>
  <c r="J184" i="24"/>
  <c r="I184" i="24"/>
  <c r="J183" i="24"/>
  <c r="I183" i="24"/>
  <c r="J182" i="24"/>
  <c r="I182" i="24"/>
  <c r="J181" i="24"/>
  <c r="I181" i="24"/>
  <c r="J180" i="24"/>
  <c r="I180" i="24"/>
  <c r="J179" i="24"/>
  <c r="I179" i="24"/>
  <c r="J178" i="24"/>
  <c r="I178" i="24"/>
  <c r="J177" i="24"/>
  <c r="I177" i="24"/>
  <c r="J176" i="24"/>
  <c r="I176" i="24"/>
  <c r="J175" i="24"/>
  <c r="I175" i="24"/>
  <c r="J174" i="24"/>
  <c r="I174" i="24"/>
  <c r="J173" i="24"/>
  <c r="I173" i="24"/>
  <c r="J172" i="24"/>
  <c r="I172" i="24"/>
  <c r="J171" i="24"/>
  <c r="I171" i="24"/>
  <c r="J170" i="24"/>
  <c r="I170" i="24"/>
  <c r="J169" i="24"/>
  <c r="I169" i="24"/>
  <c r="J168" i="24"/>
  <c r="I168" i="24"/>
  <c r="J167" i="24"/>
  <c r="I167" i="24"/>
  <c r="J166" i="24"/>
  <c r="I166" i="24"/>
  <c r="J165" i="24"/>
  <c r="I165" i="24"/>
  <c r="J164" i="24"/>
  <c r="I164" i="24"/>
  <c r="J163" i="24"/>
  <c r="I163" i="24"/>
  <c r="J162" i="24"/>
  <c r="I162" i="24"/>
  <c r="J161" i="24"/>
  <c r="I161" i="24"/>
  <c r="J160" i="24"/>
  <c r="I160" i="24"/>
  <c r="J159" i="24"/>
  <c r="I159" i="24"/>
  <c r="J158" i="24"/>
  <c r="I158" i="24"/>
  <c r="J157" i="24"/>
  <c r="I157" i="24"/>
  <c r="J156" i="24"/>
  <c r="I156" i="24"/>
  <c r="J155" i="24"/>
  <c r="I155" i="24"/>
  <c r="J154" i="24"/>
  <c r="I154" i="24"/>
  <c r="J153" i="24"/>
  <c r="I153" i="24"/>
  <c r="J152" i="24"/>
  <c r="I152" i="24"/>
  <c r="J151" i="24"/>
  <c r="I151" i="24"/>
  <c r="J150" i="24"/>
  <c r="I150" i="24"/>
  <c r="J149" i="24"/>
  <c r="I149" i="24"/>
  <c r="J148" i="24"/>
  <c r="I148" i="24"/>
  <c r="J147" i="24"/>
  <c r="I147" i="24"/>
  <c r="J146" i="24"/>
  <c r="I146" i="24"/>
  <c r="J145" i="24"/>
  <c r="I145" i="24"/>
  <c r="J144" i="24"/>
  <c r="I144" i="24"/>
  <c r="J143" i="24"/>
  <c r="I143" i="24"/>
  <c r="J142" i="24"/>
  <c r="I142" i="24"/>
  <c r="J141" i="24"/>
  <c r="I141" i="24"/>
  <c r="J140" i="24"/>
  <c r="I140" i="24"/>
  <c r="J139" i="24"/>
  <c r="I139" i="24"/>
  <c r="J138" i="24"/>
  <c r="I138" i="24"/>
  <c r="J137" i="24"/>
  <c r="I137" i="24"/>
  <c r="J136" i="24"/>
  <c r="I136" i="24"/>
  <c r="J135" i="24"/>
  <c r="I135" i="24"/>
  <c r="J134" i="24"/>
  <c r="I134" i="24"/>
  <c r="J133" i="24"/>
  <c r="I133" i="24"/>
  <c r="J132" i="24"/>
  <c r="I132" i="24"/>
  <c r="J131" i="24"/>
  <c r="I131" i="24"/>
  <c r="J130" i="24"/>
  <c r="I130" i="24"/>
  <c r="J129" i="24"/>
  <c r="I129" i="24"/>
  <c r="J128" i="24"/>
  <c r="I128" i="24"/>
  <c r="J127" i="24"/>
  <c r="I127" i="24"/>
  <c r="J126" i="24"/>
  <c r="I126" i="24"/>
  <c r="J125" i="24"/>
  <c r="I125" i="24"/>
  <c r="J124" i="24"/>
  <c r="I124" i="24"/>
  <c r="J123" i="24"/>
  <c r="I123" i="24"/>
  <c r="J122" i="24"/>
  <c r="I122" i="24"/>
  <c r="J121" i="24"/>
  <c r="I121" i="24"/>
  <c r="J120" i="24"/>
  <c r="I120" i="24"/>
  <c r="J119" i="24"/>
  <c r="I119" i="24"/>
  <c r="J118" i="24"/>
  <c r="I118" i="24"/>
  <c r="J117" i="24"/>
  <c r="I117" i="24"/>
  <c r="J116" i="24"/>
  <c r="I116" i="24"/>
  <c r="J115" i="24"/>
  <c r="I115" i="24"/>
  <c r="J114" i="24"/>
  <c r="I114" i="24"/>
  <c r="J113" i="24"/>
  <c r="I113" i="24"/>
  <c r="J112" i="24"/>
  <c r="I112" i="24"/>
  <c r="J111" i="24"/>
  <c r="I111" i="24"/>
  <c r="J110" i="24"/>
  <c r="I110" i="24"/>
  <c r="J109" i="24"/>
  <c r="I109" i="24"/>
  <c r="J108" i="24"/>
  <c r="I108" i="24"/>
  <c r="J107" i="24"/>
  <c r="I107" i="24"/>
  <c r="J106" i="24"/>
  <c r="I106" i="24"/>
  <c r="J105" i="24"/>
  <c r="I105" i="24"/>
  <c r="J104" i="24"/>
  <c r="I104" i="24"/>
  <c r="J103" i="24"/>
  <c r="I103" i="24"/>
  <c r="J102" i="24"/>
  <c r="I102" i="24"/>
  <c r="J101" i="24"/>
  <c r="I101" i="24"/>
  <c r="J100" i="24"/>
  <c r="I100" i="24"/>
  <c r="J99" i="24"/>
  <c r="I99" i="24"/>
  <c r="J98" i="24"/>
  <c r="I98" i="24"/>
  <c r="J97" i="24"/>
  <c r="I97" i="24"/>
  <c r="J96" i="24"/>
  <c r="I96" i="24"/>
  <c r="J95" i="24"/>
  <c r="I95" i="24"/>
  <c r="J94" i="24"/>
  <c r="I94" i="24"/>
  <c r="J93" i="24"/>
  <c r="I93" i="24"/>
  <c r="J92" i="24"/>
  <c r="I92" i="24"/>
  <c r="J91" i="24"/>
  <c r="I91" i="24"/>
  <c r="J90" i="24"/>
  <c r="I90" i="24"/>
  <c r="J89" i="24"/>
  <c r="I89" i="24"/>
  <c r="J88" i="24"/>
  <c r="I88" i="24"/>
  <c r="J87" i="24"/>
  <c r="I87" i="24"/>
  <c r="J86" i="24"/>
  <c r="I86" i="24"/>
  <c r="J85" i="24"/>
  <c r="I85" i="24"/>
  <c r="J84" i="24"/>
  <c r="I84" i="24"/>
  <c r="J83" i="24"/>
  <c r="I83" i="24"/>
  <c r="J82" i="24"/>
  <c r="I82" i="24"/>
  <c r="J81" i="24"/>
  <c r="I81" i="24"/>
  <c r="J80" i="24"/>
  <c r="I80" i="24"/>
  <c r="J79" i="24"/>
  <c r="I79" i="24"/>
  <c r="J78" i="24"/>
  <c r="I78" i="24"/>
  <c r="J77" i="24"/>
  <c r="I77" i="24"/>
  <c r="J76" i="24"/>
  <c r="I76" i="24"/>
  <c r="J75" i="24"/>
  <c r="I75" i="24"/>
  <c r="J74" i="24"/>
  <c r="I74" i="24"/>
  <c r="J73" i="24"/>
  <c r="I73" i="24"/>
  <c r="J72" i="24"/>
  <c r="I72" i="24"/>
  <c r="J71" i="24"/>
  <c r="I71" i="24"/>
  <c r="J70" i="24"/>
  <c r="I70" i="24"/>
  <c r="J69" i="24"/>
  <c r="I69" i="24"/>
  <c r="J68" i="24"/>
  <c r="I68" i="24"/>
  <c r="J67" i="24"/>
  <c r="I67" i="24"/>
  <c r="J66" i="24"/>
  <c r="I66" i="24"/>
  <c r="J65" i="24"/>
  <c r="I65" i="24"/>
  <c r="J64" i="24"/>
  <c r="I64" i="24"/>
  <c r="J63" i="24"/>
  <c r="I63" i="24"/>
  <c r="J62" i="24"/>
  <c r="I62" i="24"/>
  <c r="J61" i="24"/>
  <c r="I61" i="24"/>
  <c r="J60" i="24"/>
  <c r="I60" i="24"/>
  <c r="J59" i="24"/>
  <c r="I59" i="24"/>
  <c r="J58" i="24"/>
  <c r="I58" i="24"/>
  <c r="J57" i="24"/>
  <c r="I57" i="24"/>
  <c r="J56" i="24"/>
  <c r="I56" i="24"/>
  <c r="J55" i="24"/>
  <c r="I55" i="24"/>
  <c r="J54" i="24"/>
  <c r="I54" i="24"/>
  <c r="J53" i="24"/>
  <c r="I53" i="24"/>
  <c r="J52" i="24"/>
  <c r="I52" i="24"/>
  <c r="J51" i="24"/>
  <c r="I51" i="24"/>
  <c r="J50" i="24"/>
  <c r="I50" i="24"/>
  <c r="J49" i="24"/>
  <c r="I49" i="24"/>
  <c r="J48" i="24"/>
  <c r="I48" i="24"/>
  <c r="J47" i="24"/>
  <c r="I47" i="24"/>
  <c r="J46" i="24"/>
  <c r="I46" i="24"/>
  <c r="J45" i="24"/>
  <c r="I45" i="24"/>
  <c r="J44" i="24"/>
  <c r="I44" i="24"/>
  <c r="J43" i="24"/>
  <c r="I43" i="24"/>
  <c r="J42" i="24"/>
  <c r="I42" i="24"/>
  <c r="J41" i="24"/>
  <c r="I41" i="24"/>
  <c r="J40" i="24"/>
  <c r="I40" i="24"/>
  <c r="J39" i="24"/>
  <c r="I39" i="24"/>
  <c r="J38" i="24"/>
  <c r="I38" i="24"/>
  <c r="J37" i="24"/>
  <c r="I37" i="24"/>
  <c r="J36" i="24"/>
  <c r="I36" i="24"/>
  <c r="J35" i="24"/>
  <c r="I35" i="24"/>
  <c r="J34" i="24"/>
  <c r="I34" i="24"/>
  <c r="J33" i="24"/>
  <c r="I33" i="24"/>
  <c r="J32" i="24"/>
  <c r="I32" i="24"/>
  <c r="J31" i="24"/>
  <c r="I31" i="24"/>
  <c r="J30" i="24"/>
  <c r="I30" i="24"/>
  <c r="J29" i="24"/>
  <c r="I29" i="24"/>
  <c r="J28" i="24"/>
  <c r="I28" i="24"/>
  <c r="J27" i="24"/>
  <c r="I27" i="24"/>
  <c r="J26" i="24"/>
  <c r="I26" i="24"/>
  <c r="J25" i="24"/>
  <c r="I25" i="24"/>
  <c r="J24" i="24"/>
  <c r="I24" i="24"/>
  <c r="J23" i="24"/>
  <c r="I23" i="24"/>
  <c r="J22" i="24"/>
  <c r="I22" i="24"/>
  <c r="J21" i="24"/>
  <c r="I21" i="24"/>
  <c r="J20" i="24"/>
  <c r="I20" i="24"/>
  <c r="J19" i="24"/>
  <c r="I19" i="24"/>
  <c r="J18" i="24"/>
  <c r="I18" i="24"/>
  <c r="J17" i="24"/>
  <c r="I17" i="24"/>
  <c r="J16" i="24"/>
  <c r="I16" i="24"/>
  <c r="J15" i="24"/>
  <c r="I15" i="24"/>
  <c r="J14" i="24"/>
  <c r="I14" i="24"/>
  <c r="J13" i="24"/>
  <c r="I13" i="24"/>
  <c r="J12" i="24"/>
  <c r="I12" i="24"/>
  <c r="J11" i="24"/>
  <c r="I11" i="24"/>
  <c r="J10" i="24"/>
  <c r="I10" i="24"/>
  <c r="J9" i="24"/>
  <c r="I9" i="24"/>
  <c r="J8" i="24"/>
  <c r="I8" i="24"/>
  <c r="J7" i="24"/>
  <c r="I7" i="24"/>
  <c r="J6" i="24"/>
  <c r="I6" i="24"/>
  <c r="J5" i="24"/>
  <c r="I5" i="24"/>
  <c r="J81" i="23"/>
  <c r="I81" i="23"/>
  <c r="J80" i="23"/>
  <c r="I80" i="23"/>
  <c r="J79" i="23"/>
  <c r="I79" i="23"/>
  <c r="J78" i="23"/>
  <c r="I78" i="23"/>
  <c r="J77" i="23"/>
  <c r="I77" i="23"/>
  <c r="J76" i="23"/>
  <c r="I76" i="23"/>
  <c r="J75" i="23"/>
  <c r="I75" i="23"/>
  <c r="J74" i="23"/>
  <c r="I74" i="23"/>
  <c r="J73" i="23"/>
  <c r="I73" i="23"/>
  <c r="J72" i="23"/>
  <c r="I72" i="23"/>
  <c r="J71" i="23"/>
  <c r="I71" i="23"/>
  <c r="J70" i="23"/>
  <c r="I70" i="23"/>
  <c r="J69" i="23"/>
  <c r="I69" i="23"/>
  <c r="J68" i="23"/>
  <c r="I68" i="23"/>
  <c r="J67" i="23"/>
  <c r="I67" i="23"/>
  <c r="J66" i="23"/>
  <c r="I66" i="23"/>
  <c r="J65" i="23"/>
  <c r="I65" i="23"/>
  <c r="J64" i="23"/>
  <c r="I64" i="23"/>
  <c r="J63" i="23"/>
  <c r="I63" i="23"/>
  <c r="J62" i="23"/>
  <c r="I62" i="23"/>
  <c r="J61" i="23"/>
  <c r="I61" i="23"/>
  <c r="J60" i="23"/>
  <c r="I60" i="23"/>
  <c r="J59" i="23"/>
  <c r="I59" i="23"/>
  <c r="J58" i="23"/>
  <c r="I58" i="23"/>
  <c r="J57" i="23"/>
  <c r="I57" i="23"/>
  <c r="J56" i="23"/>
  <c r="I56" i="23"/>
  <c r="J55" i="23"/>
  <c r="I55" i="23"/>
  <c r="J54" i="23"/>
  <c r="I54" i="23"/>
  <c r="J53" i="23"/>
  <c r="I53" i="23"/>
  <c r="J52" i="23"/>
  <c r="I52" i="23"/>
  <c r="J51" i="23"/>
  <c r="I51" i="23"/>
  <c r="J50" i="23"/>
  <c r="I50" i="23"/>
  <c r="J49" i="23"/>
  <c r="I49" i="23"/>
  <c r="J48" i="23"/>
  <c r="I48" i="23"/>
  <c r="J47" i="23"/>
  <c r="I47" i="23"/>
  <c r="J46" i="23"/>
  <c r="I46" i="23"/>
  <c r="J45" i="23"/>
  <c r="I45" i="23"/>
  <c r="J44" i="23"/>
  <c r="I44" i="23"/>
  <c r="J43" i="23"/>
  <c r="I43" i="23"/>
  <c r="J42" i="23"/>
  <c r="I42" i="23"/>
  <c r="J41" i="23"/>
  <c r="I41" i="23"/>
  <c r="J40" i="23"/>
  <c r="I40" i="23"/>
  <c r="J39" i="23"/>
  <c r="I39" i="23"/>
  <c r="J38" i="23"/>
  <c r="I38" i="23"/>
  <c r="J37" i="23"/>
  <c r="I37" i="23"/>
  <c r="J36" i="23"/>
  <c r="I36" i="23"/>
  <c r="J35" i="23"/>
  <c r="I35" i="23"/>
  <c r="J34" i="23"/>
  <c r="I34" i="23"/>
  <c r="J33" i="23"/>
  <c r="I33" i="23"/>
  <c r="J32" i="23"/>
  <c r="I32" i="23"/>
  <c r="J31" i="23"/>
  <c r="I31" i="23"/>
  <c r="J30" i="23"/>
  <c r="I30" i="23"/>
  <c r="J29" i="23"/>
  <c r="I29" i="23"/>
  <c r="J28" i="23"/>
  <c r="I28" i="23"/>
  <c r="J27" i="23"/>
  <c r="I27" i="23"/>
  <c r="J26" i="23"/>
  <c r="I26" i="23"/>
  <c r="J25" i="23"/>
  <c r="I25" i="23"/>
  <c r="J24" i="23"/>
  <c r="I24" i="23"/>
  <c r="J23" i="23"/>
  <c r="I23" i="23"/>
  <c r="J22" i="23"/>
  <c r="I22" i="23"/>
  <c r="J21" i="23"/>
  <c r="I21" i="23"/>
  <c r="J20" i="23"/>
  <c r="I20" i="23"/>
  <c r="J19" i="23"/>
  <c r="I19" i="23"/>
  <c r="J18" i="23"/>
  <c r="I18" i="23"/>
  <c r="J17" i="23"/>
  <c r="I17" i="23"/>
  <c r="J16" i="23"/>
  <c r="I16" i="23"/>
  <c r="J15" i="23"/>
  <c r="I15" i="23"/>
  <c r="J14" i="23"/>
  <c r="I14" i="23"/>
  <c r="J13" i="23"/>
  <c r="I13" i="23"/>
  <c r="J12" i="23"/>
  <c r="I12" i="23"/>
  <c r="J11" i="23"/>
  <c r="I11" i="23"/>
  <c r="J10" i="23"/>
  <c r="I10" i="23"/>
  <c r="J9" i="23"/>
  <c r="I9" i="23"/>
  <c r="J8" i="23"/>
  <c r="I8" i="23"/>
  <c r="J7" i="23"/>
  <c r="I7" i="23"/>
  <c r="J6" i="23"/>
  <c r="I6" i="23"/>
  <c r="J5" i="23"/>
  <c r="I5" i="23"/>
  <c r="J260" i="22"/>
  <c r="I260" i="22"/>
  <c r="J259" i="22"/>
  <c r="I259" i="22"/>
  <c r="J258" i="22"/>
  <c r="I258" i="22"/>
  <c r="J257" i="22"/>
  <c r="I257" i="22"/>
  <c r="J256" i="22"/>
  <c r="I256" i="22"/>
  <c r="J255" i="22"/>
  <c r="I255" i="22"/>
  <c r="J254" i="22"/>
  <c r="I254" i="22"/>
  <c r="J253" i="22"/>
  <c r="I253" i="22"/>
  <c r="J252" i="22"/>
  <c r="I252" i="22"/>
  <c r="J251" i="22"/>
  <c r="I251" i="22"/>
  <c r="J250" i="22"/>
  <c r="I250" i="22"/>
  <c r="J249" i="22"/>
  <c r="I249" i="22"/>
  <c r="J248" i="22"/>
  <c r="I248" i="22"/>
  <c r="J247" i="22"/>
  <c r="I247" i="22"/>
  <c r="J246" i="22"/>
  <c r="I246" i="22"/>
  <c r="J245" i="22"/>
  <c r="I245" i="22"/>
  <c r="J244" i="22"/>
  <c r="I244" i="22"/>
  <c r="J243" i="22"/>
  <c r="I243" i="22"/>
  <c r="J242" i="22"/>
  <c r="I242" i="22"/>
  <c r="J241" i="22"/>
  <c r="I241" i="22"/>
  <c r="J240" i="22"/>
  <c r="I240" i="22"/>
  <c r="J239" i="22"/>
  <c r="I239" i="22"/>
  <c r="J238" i="22"/>
  <c r="I238" i="22"/>
  <c r="J237" i="22"/>
  <c r="I237" i="22"/>
  <c r="J236" i="22"/>
  <c r="I236" i="22"/>
  <c r="J235" i="22"/>
  <c r="I235" i="22"/>
  <c r="J234" i="22"/>
  <c r="I234" i="22"/>
  <c r="J233" i="22"/>
  <c r="I233" i="22"/>
  <c r="J232" i="22"/>
  <c r="I232" i="22"/>
  <c r="J231" i="22"/>
  <c r="I231" i="22"/>
  <c r="J230" i="22"/>
  <c r="I230" i="22"/>
  <c r="J229" i="22"/>
  <c r="I229" i="22"/>
  <c r="J228" i="22"/>
  <c r="I228" i="22"/>
  <c r="J227" i="22"/>
  <c r="I227" i="22"/>
  <c r="J226" i="22"/>
  <c r="I226" i="22"/>
  <c r="J225" i="22"/>
  <c r="I225" i="22"/>
  <c r="J224" i="22"/>
  <c r="I224" i="22"/>
  <c r="J223" i="22"/>
  <c r="I223" i="22"/>
  <c r="J222" i="22"/>
  <c r="I222" i="22"/>
  <c r="J221" i="22"/>
  <c r="I221" i="22"/>
  <c r="J220" i="22"/>
  <c r="I220" i="22"/>
  <c r="J219" i="22"/>
  <c r="I219" i="22"/>
  <c r="J218" i="22"/>
  <c r="I218" i="22"/>
  <c r="J217" i="22"/>
  <c r="I217" i="22"/>
  <c r="J216" i="22"/>
  <c r="I216" i="22"/>
  <c r="J215" i="22"/>
  <c r="I215" i="22"/>
  <c r="J214" i="22"/>
  <c r="I214" i="22"/>
  <c r="J213" i="22"/>
  <c r="I213" i="22"/>
  <c r="J212" i="22"/>
  <c r="I212" i="22"/>
  <c r="J211" i="22"/>
  <c r="I211" i="22"/>
  <c r="J210" i="22"/>
  <c r="I210" i="22"/>
  <c r="J209" i="22"/>
  <c r="I209" i="22"/>
  <c r="J208" i="22"/>
  <c r="I208" i="22"/>
  <c r="J207" i="22"/>
  <c r="I207" i="22"/>
  <c r="J206" i="22"/>
  <c r="I206" i="22"/>
  <c r="J205" i="22"/>
  <c r="I205" i="22"/>
  <c r="J204" i="22"/>
  <c r="I204" i="22"/>
  <c r="J203" i="22"/>
  <c r="I203" i="22"/>
  <c r="J202" i="22"/>
  <c r="I202" i="22"/>
  <c r="J201" i="22"/>
  <c r="I201" i="22"/>
  <c r="J200" i="22"/>
  <c r="I200" i="22"/>
  <c r="J199" i="22"/>
  <c r="I199" i="22"/>
  <c r="J198" i="22"/>
  <c r="I198" i="22"/>
  <c r="J197" i="22"/>
  <c r="I197" i="22"/>
  <c r="J196" i="22"/>
  <c r="I196" i="22"/>
  <c r="J195" i="22"/>
  <c r="I195" i="22"/>
  <c r="J194" i="22"/>
  <c r="I194" i="22"/>
  <c r="J193" i="22"/>
  <c r="I193" i="22"/>
  <c r="J192" i="22"/>
  <c r="I192" i="22"/>
  <c r="J191" i="22"/>
  <c r="I191" i="22"/>
  <c r="J190" i="22"/>
  <c r="I190" i="22"/>
  <c r="J189" i="22"/>
  <c r="I189" i="22"/>
  <c r="J188" i="22"/>
  <c r="I188" i="22"/>
  <c r="J187" i="22"/>
  <c r="I187" i="22"/>
  <c r="J186" i="22"/>
  <c r="I186" i="22"/>
  <c r="J185" i="22"/>
  <c r="I185" i="22"/>
  <c r="J184" i="22"/>
  <c r="I184" i="22"/>
  <c r="J183" i="22"/>
  <c r="I183" i="22"/>
  <c r="J182" i="22"/>
  <c r="I182" i="22"/>
  <c r="J181" i="22"/>
  <c r="I181" i="22"/>
  <c r="J180" i="22"/>
  <c r="I180" i="22"/>
  <c r="J179" i="22"/>
  <c r="I179" i="22"/>
  <c r="J178" i="22"/>
  <c r="I178" i="22"/>
  <c r="J177" i="22"/>
  <c r="I177" i="22"/>
  <c r="J176" i="22"/>
  <c r="I176" i="22"/>
  <c r="J175" i="22"/>
  <c r="I175" i="22"/>
  <c r="J174" i="22"/>
  <c r="I174" i="22"/>
  <c r="J173" i="22"/>
  <c r="I173" i="22"/>
  <c r="J172" i="22"/>
  <c r="I172" i="22"/>
  <c r="J171" i="22"/>
  <c r="I171" i="22"/>
  <c r="J170" i="22"/>
  <c r="I170" i="22"/>
  <c r="J169" i="22"/>
  <c r="I169" i="22"/>
  <c r="J168" i="22"/>
  <c r="I168" i="22"/>
  <c r="J167" i="22"/>
  <c r="I167" i="22"/>
  <c r="J166" i="22"/>
  <c r="I166" i="22"/>
  <c r="J165" i="22"/>
  <c r="I165" i="22"/>
  <c r="J164" i="22"/>
  <c r="I164" i="22"/>
  <c r="J163" i="22"/>
  <c r="I163" i="22"/>
  <c r="J162" i="22"/>
  <c r="I162" i="22"/>
  <c r="J161" i="22"/>
  <c r="I161" i="22"/>
  <c r="J160" i="22"/>
  <c r="I160" i="22"/>
  <c r="J159" i="22"/>
  <c r="I159" i="22"/>
  <c r="J158" i="22"/>
  <c r="I158" i="22"/>
  <c r="J157" i="22"/>
  <c r="I157" i="22"/>
  <c r="J156" i="22"/>
  <c r="I156" i="22"/>
  <c r="J155" i="22"/>
  <c r="I155" i="22"/>
  <c r="J154" i="22"/>
  <c r="I154" i="22"/>
  <c r="J153" i="22"/>
  <c r="I153" i="22"/>
  <c r="J152" i="22"/>
  <c r="I152" i="22"/>
  <c r="J151" i="22"/>
  <c r="I151" i="22"/>
  <c r="J150" i="22"/>
  <c r="I150" i="22"/>
  <c r="J149" i="22"/>
  <c r="I149" i="22"/>
  <c r="J148" i="22"/>
  <c r="I148" i="22"/>
  <c r="J147" i="22"/>
  <c r="I147" i="22"/>
  <c r="J146" i="22"/>
  <c r="I146" i="22"/>
  <c r="J145" i="22"/>
  <c r="I145" i="22"/>
  <c r="J144" i="22"/>
  <c r="I144" i="22"/>
  <c r="J143" i="22"/>
  <c r="I143" i="22"/>
  <c r="J142" i="22"/>
  <c r="I142" i="22"/>
  <c r="J141" i="22"/>
  <c r="I141" i="22"/>
  <c r="J140" i="22"/>
  <c r="I140" i="22"/>
  <c r="J139" i="22"/>
  <c r="I139" i="22"/>
  <c r="J138" i="22"/>
  <c r="I138" i="22"/>
  <c r="J137" i="22"/>
  <c r="I137" i="22"/>
  <c r="J136" i="22"/>
  <c r="I136" i="22"/>
  <c r="J135" i="22"/>
  <c r="I135" i="22"/>
  <c r="J134" i="22"/>
  <c r="I134" i="22"/>
  <c r="J133" i="22"/>
  <c r="I133" i="22"/>
  <c r="J132" i="22"/>
  <c r="I132" i="22"/>
  <c r="J131" i="22"/>
  <c r="I131" i="22"/>
  <c r="J130" i="22"/>
  <c r="I130" i="22"/>
  <c r="J129" i="22"/>
  <c r="I129" i="22"/>
  <c r="J128" i="22"/>
  <c r="I128" i="22"/>
  <c r="J127" i="22"/>
  <c r="I127" i="22"/>
  <c r="J126" i="22"/>
  <c r="I126" i="22"/>
  <c r="J125" i="22"/>
  <c r="I125" i="22"/>
  <c r="J124" i="22"/>
  <c r="I124" i="22"/>
  <c r="J123" i="22"/>
  <c r="I123" i="22"/>
  <c r="J122" i="22"/>
  <c r="I122" i="22"/>
  <c r="J121" i="22"/>
  <c r="I121" i="22"/>
  <c r="J120" i="22"/>
  <c r="I120" i="22"/>
  <c r="J119" i="22"/>
  <c r="I119" i="22"/>
  <c r="J118" i="22"/>
  <c r="I118" i="22"/>
  <c r="J117" i="22"/>
  <c r="I117" i="22"/>
  <c r="J116" i="22"/>
  <c r="I116" i="22"/>
  <c r="J115" i="22"/>
  <c r="I115" i="22"/>
  <c r="J114" i="22"/>
  <c r="I114" i="22"/>
  <c r="J113" i="22"/>
  <c r="I113" i="22"/>
  <c r="J112" i="22"/>
  <c r="I112" i="22"/>
  <c r="J111" i="22"/>
  <c r="I111" i="22"/>
  <c r="J110" i="22"/>
  <c r="I110" i="22"/>
  <c r="J109" i="22"/>
  <c r="I109" i="22"/>
  <c r="J108" i="22"/>
  <c r="I108" i="22"/>
  <c r="J107" i="22"/>
  <c r="I107" i="22"/>
  <c r="J106" i="22"/>
  <c r="I106" i="22"/>
  <c r="J105" i="22"/>
  <c r="I105" i="22"/>
  <c r="J104" i="22"/>
  <c r="I104" i="22"/>
  <c r="J103" i="22"/>
  <c r="I103" i="22"/>
  <c r="J102" i="22"/>
  <c r="I102" i="22"/>
  <c r="J101" i="22"/>
  <c r="I101" i="22"/>
  <c r="J100" i="22"/>
  <c r="I100" i="22"/>
  <c r="J99" i="22"/>
  <c r="I99" i="22"/>
  <c r="J98" i="22"/>
  <c r="I98" i="22"/>
  <c r="J97" i="22"/>
  <c r="I97" i="22"/>
  <c r="J96" i="22"/>
  <c r="I96" i="22"/>
  <c r="J95" i="22"/>
  <c r="I95" i="22"/>
  <c r="J94" i="22"/>
  <c r="I94" i="22"/>
  <c r="J93" i="22"/>
  <c r="I93" i="22"/>
  <c r="J92" i="22"/>
  <c r="I92" i="22"/>
  <c r="J91" i="22"/>
  <c r="I91" i="22"/>
  <c r="J90" i="22"/>
  <c r="I90" i="22"/>
  <c r="J89" i="22"/>
  <c r="I89" i="22"/>
  <c r="J88" i="22"/>
  <c r="I88" i="22"/>
  <c r="J87" i="22"/>
  <c r="I87" i="22"/>
  <c r="J86" i="22"/>
  <c r="I86" i="22"/>
  <c r="J85" i="22"/>
  <c r="I85" i="22"/>
  <c r="J84" i="22"/>
  <c r="I84" i="22"/>
  <c r="J83" i="22"/>
  <c r="I83" i="22"/>
  <c r="J82" i="22"/>
  <c r="I82" i="22"/>
  <c r="J81" i="22"/>
  <c r="I81" i="22"/>
  <c r="J80" i="22"/>
  <c r="I80" i="22"/>
  <c r="J79" i="22"/>
  <c r="I79" i="22"/>
  <c r="J78" i="22"/>
  <c r="I78" i="22"/>
  <c r="J77" i="22"/>
  <c r="I77" i="22"/>
  <c r="J76" i="22"/>
  <c r="I76" i="22"/>
  <c r="J75" i="22"/>
  <c r="I75" i="22"/>
  <c r="J74" i="22"/>
  <c r="I74" i="22"/>
  <c r="J73" i="22"/>
  <c r="I73" i="22"/>
  <c r="J72" i="22"/>
  <c r="I72" i="22"/>
  <c r="J71" i="22"/>
  <c r="I71" i="22"/>
  <c r="J70" i="22"/>
  <c r="I70" i="22"/>
  <c r="J69" i="22"/>
  <c r="I69" i="22"/>
  <c r="J68" i="22"/>
  <c r="I68" i="22"/>
  <c r="J67" i="22"/>
  <c r="I67" i="22"/>
  <c r="J66" i="22"/>
  <c r="I66" i="22"/>
  <c r="J65" i="22"/>
  <c r="I65" i="22"/>
  <c r="J64" i="22"/>
  <c r="I64" i="22"/>
  <c r="J63" i="22"/>
  <c r="I63" i="22"/>
  <c r="J62" i="22"/>
  <c r="I62" i="22"/>
  <c r="J61" i="22"/>
  <c r="I61" i="22"/>
  <c r="J60" i="22"/>
  <c r="I60" i="22"/>
  <c r="J59" i="22"/>
  <c r="I59" i="22"/>
  <c r="J58" i="22"/>
  <c r="I58" i="22"/>
  <c r="J57" i="22"/>
  <c r="I57" i="22"/>
  <c r="J56" i="22"/>
  <c r="I56" i="22"/>
  <c r="J55" i="22"/>
  <c r="I55" i="22"/>
  <c r="J54" i="22"/>
  <c r="I54" i="22"/>
  <c r="J53" i="22"/>
  <c r="I53" i="22"/>
  <c r="J52" i="22"/>
  <c r="I52" i="22"/>
  <c r="J51" i="22"/>
  <c r="I51" i="22"/>
  <c r="J50" i="22"/>
  <c r="I50" i="22"/>
  <c r="J49" i="22"/>
  <c r="I49" i="22"/>
  <c r="J48" i="22"/>
  <c r="I48" i="22"/>
  <c r="J47" i="22"/>
  <c r="I47" i="22"/>
  <c r="J46" i="22"/>
  <c r="I46" i="22"/>
  <c r="J45" i="22"/>
  <c r="I45" i="22"/>
  <c r="J44" i="22"/>
  <c r="I44" i="22"/>
  <c r="J43" i="22"/>
  <c r="I43" i="22"/>
  <c r="J42" i="22"/>
  <c r="I42" i="22"/>
  <c r="J41" i="22"/>
  <c r="I41" i="22"/>
  <c r="J40" i="22"/>
  <c r="I40" i="22"/>
  <c r="J39" i="22"/>
  <c r="I39" i="22"/>
  <c r="J38" i="22"/>
  <c r="I38" i="22"/>
  <c r="J37" i="22"/>
  <c r="I37" i="22"/>
  <c r="J36" i="22"/>
  <c r="I36" i="22"/>
  <c r="J35" i="22"/>
  <c r="I35" i="22"/>
  <c r="J34" i="22"/>
  <c r="I34" i="22"/>
  <c r="J33" i="22"/>
  <c r="I33" i="22"/>
  <c r="J32" i="22"/>
  <c r="I32" i="22"/>
  <c r="J31" i="22"/>
  <c r="I31" i="22"/>
  <c r="J30" i="22"/>
  <c r="I30" i="22"/>
  <c r="J29" i="22"/>
  <c r="I29" i="22"/>
  <c r="J28" i="22"/>
  <c r="I28" i="22"/>
  <c r="J27" i="22"/>
  <c r="I27" i="22"/>
  <c r="J26" i="22"/>
  <c r="I26" i="22"/>
  <c r="J25" i="22"/>
  <c r="I25" i="22"/>
  <c r="J24" i="22"/>
  <c r="I24" i="22"/>
  <c r="J23" i="22"/>
  <c r="I23" i="22"/>
  <c r="J22" i="22"/>
  <c r="I22" i="22"/>
  <c r="J21" i="22"/>
  <c r="I21" i="22"/>
  <c r="J20" i="22"/>
  <c r="I20" i="22"/>
  <c r="J19" i="22"/>
  <c r="I19" i="22"/>
  <c r="J18" i="22"/>
  <c r="I18" i="22"/>
  <c r="J17" i="22"/>
  <c r="I17" i="22"/>
  <c r="J16" i="22"/>
  <c r="I16" i="22"/>
  <c r="J15" i="22"/>
  <c r="I15" i="22"/>
  <c r="J14" i="22"/>
  <c r="I14" i="22"/>
  <c r="J13" i="22"/>
  <c r="I13" i="22"/>
  <c r="J12" i="22"/>
  <c r="I12" i="22"/>
  <c r="J11" i="22"/>
  <c r="I11" i="22"/>
  <c r="J10" i="22"/>
  <c r="I10" i="22"/>
  <c r="J9" i="22"/>
  <c r="I9" i="22"/>
  <c r="J8" i="22"/>
  <c r="I8" i="22"/>
  <c r="J7" i="22"/>
  <c r="I7" i="22"/>
  <c r="J6" i="22"/>
  <c r="I6" i="22"/>
  <c r="J5" i="22"/>
  <c r="I5" i="22"/>
  <c r="J84" i="21"/>
  <c r="I84" i="21"/>
  <c r="J83" i="21"/>
  <c r="I83" i="21"/>
  <c r="J82" i="21"/>
  <c r="I82" i="21"/>
  <c r="J81" i="21"/>
  <c r="I81" i="21"/>
  <c r="J80" i="21"/>
  <c r="I80" i="21"/>
  <c r="J79" i="21"/>
  <c r="I79" i="21"/>
  <c r="J78" i="21"/>
  <c r="I78" i="21"/>
  <c r="J77" i="21"/>
  <c r="I77" i="21"/>
  <c r="J76" i="21"/>
  <c r="I76" i="21"/>
  <c r="J75" i="21"/>
  <c r="I75" i="21"/>
  <c r="J74" i="21"/>
  <c r="I74" i="21"/>
  <c r="J73" i="21"/>
  <c r="I73" i="21"/>
  <c r="J72" i="21"/>
  <c r="I72" i="21"/>
  <c r="J71" i="21"/>
  <c r="I71" i="21"/>
  <c r="J70" i="21"/>
  <c r="I70" i="21"/>
  <c r="J69" i="21"/>
  <c r="I69" i="21"/>
  <c r="J68" i="21"/>
  <c r="I68" i="21"/>
  <c r="J67" i="21"/>
  <c r="I67" i="21"/>
  <c r="J66" i="21"/>
  <c r="I66" i="21"/>
  <c r="J65" i="21"/>
  <c r="I65" i="21"/>
  <c r="J64" i="21"/>
  <c r="I64" i="21"/>
  <c r="J63" i="21"/>
  <c r="I63" i="21"/>
  <c r="J62" i="21"/>
  <c r="I62" i="21"/>
  <c r="J61" i="21"/>
  <c r="I61" i="21"/>
  <c r="J60" i="21"/>
  <c r="I60" i="21"/>
  <c r="J59" i="21"/>
  <c r="I59" i="21"/>
  <c r="J58" i="21"/>
  <c r="I58" i="21"/>
  <c r="J57" i="21"/>
  <c r="I57" i="21"/>
  <c r="J56" i="21"/>
  <c r="I56" i="21"/>
  <c r="J55" i="21"/>
  <c r="I55" i="21"/>
  <c r="J54" i="21"/>
  <c r="I54" i="21"/>
  <c r="J53" i="21"/>
  <c r="I53" i="21"/>
  <c r="J52" i="21"/>
  <c r="I52" i="21"/>
  <c r="J51" i="21"/>
  <c r="I51" i="21"/>
  <c r="J50" i="21"/>
  <c r="I50" i="21"/>
  <c r="J49" i="21"/>
  <c r="I49" i="21"/>
  <c r="J48" i="21"/>
  <c r="I48" i="21"/>
  <c r="J47" i="21"/>
  <c r="I47" i="21"/>
  <c r="J46" i="21"/>
  <c r="I46" i="21"/>
  <c r="J45" i="21"/>
  <c r="I45" i="21"/>
  <c r="J44" i="21"/>
  <c r="I44" i="21"/>
  <c r="J43" i="21"/>
  <c r="I43" i="21"/>
  <c r="J42" i="21"/>
  <c r="I42" i="21"/>
  <c r="J41" i="21"/>
  <c r="I41" i="21"/>
  <c r="J40" i="21"/>
  <c r="I40" i="21"/>
  <c r="J39" i="21"/>
  <c r="I39" i="21"/>
  <c r="J38" i="21"/>
  <c r="I38" i="21"/>
  <c r="J37" i="21"/>
  <c r="I37" i="21"/>
  <c r="J36" i="21"/>
  <c r="I36" i="21"/>
  <c r="J35" i="21"/>
  <c r="I35" i="21"/>
  <c r="J34" i="21"/>
  <c r="I34" i="21"/>
  <c r="J33" i="21"/>
  <c r="I33" i="21"/>
  <c r="J32" i="21"/>
  <c r="I32" i="21"/>
  <c r="J31" i="21"/>
  <c r="I31" i="21"/>
  <c r="J30" i="21"/>
  <c r="I30" i="21"/>
  <c r="J29" i="21"/>
  <c r="I29" i="21"/>
  <c r="J28" i="21"/>
  <c r="I28" i="21"/>
  <c r="J27" i="21"/>
  <c r="I27" i="21"/>
  <c r="J26" i="21"/>
  <c r="I26" i="21"/>
  <c r="J25" i="21"/>
  <c r="I25" i="21"/>
  <c r="J24" i="21"/>
  <c r="I24" i="21"/>
  <c r="J23" i="21"/>
  <c r="I23" i="21"/>
  <c r="J22" i="21"/>
  <c r="I22" i="21"/>
  <c r="J21" i="21"/>
  <c r="I21" i="21"/>
  <c r="J20" i="21"/>
  <c r="I20" i="21"/>
  <c r="J19" i="21"/>
  <c r="I19" i="21"/>
  <c r="J18" i="21"/>
  <c r="I18" i="21"/>
  <c r="J17" i="21"/>
  <c r="I17" i="21"/>
  <c r="J16" i="21"/>
  <c r="I16" i="21"/>
  <c r="J15" i="21"/>
  <c r="I15" i="21"/>
  <c r="J14" i="21"/>
  <c r="I14" i="21"/>
  <c r="J13" i="21"/>
  <c r="I13" i="21"/>
  <c r="J12" i="21"/>
  <c r="I12" i="21"/>
  <c r="J11" i="21"/>
  <c r="I11" i="21"/>
  <c r="J10" i="21"/>
  <c r="I10" i="21"/>
  <c r="J9" i="21"/>
  <c r="I9" i="21"/>
  <c r="J8" i="21"/>
  <c r="I8" i="21"/>
  <c r="J7" i="21"/>
  <c r="I7" i="21"/>
  <c r="J6" i="21"/>
  <c r="I6" i="21"/>
  <c r="J5" i="21"/>
  <c r="I5" i="21"/>
  <c r="L45" i="20"/>
  <c r="K45" i="20"/>
  <c r="L44" i="20"/>
  <c r="K44" i="20"/>
  <c r="L43" i="20"/>
  <c r="K43" i="20"/>
  <c r="L42" i="20"/>
  <c r="K42" i="20"/>
  <c r="L41" i="20"/>
  <c r="K41" i="20"/>
  <c r="L40" i="20"/>
  <c r="K40" i="20"/>
  <c r="L39" i="20"/>
  <c r="K39" i="20"/>
  <c r="L38" i="20"/>
  <c r="K38" i="20"/>
  <c r="L37" i="20"/>
  <c r="K37" i="20"/>
  <c r="L36" i="20"/>
  <c r="K36" i="20"/>
  <c r="L35" i="20"/>
  <c r="K35" i="20"/>
  <c r="L34" i="20"/>
  <c r="K34" i="20"/>
  <c r="L33" i="20"/>
  <c r="K33" i="20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25" i="20"/>
  <c r="K25" i="20"/>
  <c r="L24" i="20"/>
  <c r="K24" i="20"/>
  <c r="L23" i="20"/>
  <c r="K23" i="20"/>
  <c r="L22" i="20"/>
  <c r="K22" i="20"/>
  <c r="L21" i="20"/>
  <c r="K21" i="20"/>
  <c r="L20" i="20"/>
  <c r="K20" i="20"/>
  <c r="L19" i="20"/>
  <c r="K19" i="20"/>
  <c r="L18" i="20"/>
  <c r="K18" i="20"/>
  <c r="L17" i="20"/>
  <c r="K17" i="20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I328" i="19"/>
  <c r="I327" i="19"/>
  <c r="I326" i="19"/>
  <c r="I325" i="19"/>
  <c r="I324" i="19"/>
  <c r="I323" i="19"/>
  <c r="I322" i="19"/>
  <c r="I321" i="19"/>
  <c r="I320" i="19"/>
  <c r="I319" i="19"/>
  <c r="I318" i="19"/>
  <c r="I317" i="19"/>
  <c r="I316" i="19"/>
  <c r="I315" i="19"/>
  <c r="I314" i="19"/>
  <c r="I313" i="19"/>
  <c r="I312" i="19"/>
  <c r="I311" i="19"/>
  <c r="I310" i="19"/>
  <c r="I309" i="19"/>
  <c r="I308" i="19"/>
  <c r="I307" i="19"/>
  <c r="I306" i="19"/>
  <c r="I305" i="19"/>
  <c r="I304" i="19"/>
  <c r="I303" i="19"/>
  <c r="I302" i="19"/>
  <c r="I301" i="19"/>
  <c r="I300" i="19"/>
  <c r="I299" i="19"/>
  <c r="I298" i="19"/>
  <c r="I297" i="19"/>
  <c r="I296" i="19"/>
  <c r="I295" i="19"/>
  <c r="I294" i="19"/>
  <c r="I293" i="19"/>
  <c r="I292" i="19"/>
  <c r="I291" i="19"/>
  <c r="I290" i="19"/>
  <c r="I289" i="19"/>
  <c r="I288" i="19"/>
  <c r="I287" i="19"/>
  <c r="I286" i="19"/>
  <c r="I285" i="19"/>
  <c r="I284" i="19"/>
  <c r="I283" i="19"/>
  <c r="I282" i="19"/>
  <c r="I281" i="19"/>
  <c r="I280" i="19"/>
  <c r="I279" i="19"/>
  <c r="I278" i="19"/>
  <c r="I277" i="19"/>
  <c r="I276" i="19"/>
  <c r="I275" i="19"/>
  <c r="I274" i="19"/>
  <c r="I273" i="19"/>
  <c r="I272" i="19"/>
  <c r="I271" i="19"/>
  <c r="I270" i="19"/>
  <c r="I269" i="19"/>
  <c r="I268" i="19"/>
  <c r="I267" i="19"/>
  <c r="I266" i="19"/>
  <c r="I265" i="19"/>
  <c r="I264" i="19"/>
  <c r="I263" i="19"/>
  <c r="I262" i="19"/>
  <c r="I261" i="19"/>
  <c r="I260" i="19"/>
  <c r="I259" i="19"/>
  <c r="I258" i="19"/>
  <c r="I257" i="19"/>
  <c r="I256" i="19"/>
  <c r="I255" i="19"/>
  <c r="I254" i="19"/>
  <c r="I253" i="19"/>
  <c r="I252" i="19"/>
  <c r="I251" i="19"/>
  <c r="I250" i="19"/>
  <c r="I249" i="19"/>
  <c r="I248" i="19"/>
  <c r="I247" i="19"/>
  <c r="I246" i="19"/>
  <c r="I245" i="19"/>
  <c r="I244" i="19"/>
  <c r="I243" i="19"/>
  <c r="I242" i="19"/>
  <c r="I241" i="19"/>
  <c r="I240" i="19"/>
  <c r="I239" i="19"/>
  <c r="I238" i="19"/>
  <c r="I237" i="19"/>
  <c r="I236" i="19"/>
  <c r="I235" i="19"/>
  <c r="I234" i="19"/>
  <c r="I233" i="19"/>
  <c r="I232" i="19"/>
  <c r="I231" i="19"/>
  <c r="I230" i="19"/>
  <c r="I229" i="19"/>
  <c r="I228" i="19"/>
  <c r="I227" i="19"/>
  <c r="I226" i="19"/>
  <c r="I225" i="19"/>
  <c r="I224" i="19"/>
  <c r="I223" i="19"/>
  <c r="I222" i="19"/>
  <c r="I221" i="19"/>
  <c r="I220" i="19"/>
  <c r="I219" i="19"/>
  <c r="I218" i="19"/>
  <c r="I217" i="19"/>
  <c r="I216" i="19"/>
  <c r="I215" i="19"/>
  <c r="I214" i="19"/>
  <c r="I213" i="19"/>
  <c r="I212" i="19"/>
  <c r="I211" i="19"/>
  <c r="I210" i="19"/>
  <c r="I209" i="19"/>
  <c r="I208" i="19"/>
  <c r="I207" i="19"/>
  <c r="I206" i="19"/>
  <c r="I205" i="19"/>
  <c r="I204" i="19"/>
  <c r="I203" i="19"/>
  <c r="I202" i="19"/>
  <c r="I201" i="19"/>
  <c r="I200" i="19"/>
  <c r="I199" i="19"/>
  <c r="I198" i="19"/>
  <c r="I197" i="19"/>
  <c r="I196" i="19"/>
  <c r="I195" i="19"/>
  <c r="I194" i="19"/>
  <c r="I193" i="19"/>
  <c r="I192" i="19"/>
  <c r="I191" i="19"/>
  <c r="I190" i="19"/>
  <c r="I189" i="19"/>
  <c r="I188" i="19"/>
  <c r="I187" i="19"/>
  <c r="I186" i="19"/>
  <c r="I185" i="19"/>
  <c r="I184" i="19"/>
  <c r="I183" i="19"/>
  <c r="I182" i="19"/>
  <c r="I181" i="19"/>
  <c r="I180" i="19"/>
  <c r="I179" i="19"/>
  <c r="I178" i="19"/>
  <c r="I177" i="19"/>
  <c r="I176" i="19"/>
  <c r="I175" i="19"/>
  <c r="I174" i="19"/>
  <c r="I173" i="19"/>
  <c r="I172" i="19"/>
  <c r="I171" i="19"/>
  <c r="I170" i="19"/>
  <c r="I169" i="19"/>
  <c r="I168" i="19"/>
  <c r="I167" i="19"/>
  <c r="I166" i="19"/>
  <c r="I165" i="19"/>
  <c r="I164" i="19"/>
  <c r="I163" i="19"/>
  <c r="I162" i="19"/>
  <c r="I161" i="19"/>
  <c r="I160" i="19"/>
  <c r="I159" i="19"/>
  <c r="I158" i="19"/>
  <c r="I157" i="19"/>
  <c r="I156" i="19"/>
  <c r="I155" i="19"/>
  <c r="I154" i="19"/>
  <c r="I153" i="19"/>
  <c r="I152" i="19"/>
  <c r="I151" i="19"/>
  <c r="I150" i="19"/>
  <c r="I149" i="19"/>
  <c r="I148" i="19"/>
  <c r="I147" i="19"/>
  <c r="I146" i="19"/>
  <c r="I145" i="19"/>
  <c r="I144" i="19"/>
  <c r="I143" i="19"/>
  <c r="I142" i="19"/>
  <c r="I141" i="19"/>
  <c r="I140" i="19"/>
  <c r="I139" i="19"/>
  <c r="I138" i="19"/>
  <c r="I137" i="19"/>
  <c r="I136" i="19"/>
  <c r="I135" i="19"/>
  <c r="I134" i="19"/>
  <c r="I133" i="19"/>
  <c r="I132" i="19"/>
  <c r="I131" i="19"/>
  <c r="I130" i="19"/>
  <c r="I129" i="19"/>
  <c r="I128" i="19"/>
  <c r="I127" i="19"/>
  <c r="I126" i="19"/>
  <c r="I125" i="19"/>
  <c r="I124" i="19"/>
  <c r="I123" i="19"/>
  <c r="I122" i="19"/>
  <c r="I121" i="19"/>
  <c r="I120" i="19"/>
  <c r="I119" i="19"/>
  <c r="I118" i="19"/>
  <c r="I117" i="19"/>
  <c r="I116" i="19"/>
  <c r="I115" i="19"/>
  <c r="I114" i="19"/>
  <c r="I113" i="19"/>
  <c r="I112" i="19"/>
  <c r="I111" i="19"/>
  <c r="I110" i="19"/>
  <c r="I109" i="19"/>
  <c r="I108" i="19"/>
  <c r="I107" i="19"/>
  <c r="I106" i="19"/>
  <c r="I105" i="19"/>
  <c r="I104" i="19"/>
  <c r="I103" i="19"/>
  <c r="I102" i="19"/>
  <c r="I101" i="19"/>
  <c r="I100" i="19"/>
  <c r="I99" i="19"/>
  <c r="I98" i="19"/>
  <c r="I97" i="19"/>
  <c r="I96" i="19"/>
  <c r="I95" i="19"/>
  <c r="I94" i="19"/>
  <c r="I93" i="19"/>
  <c r="I92" i="19"/>
  <c r="I91" i="19"/>
  <c r="I90" i="19"/>
  <c r="I89" i="19"/>
  <c r="I88" i="19"/>
  <c r="I87" i="19"/>
  <c r="I86" i="19"/>
  <c r="I85" i="19"/>
  <c r="I84" i="19"/>
  <c r="I83" i="19"/>
  <c r="I82" i="19"/>
  <c r="I81" i="19"/>
  <c r="I80" i="19"/>
  <c r="I79" i="19"/>
  <c r="I78" i="19"/>
  <c r="I77" i="19"/>
  <c r="I76" i="19"/>
  <c r="I75" i="19"/>
  <c r="I74" i="19"/>
  <c r="I73" i="19"/>
  <c r="I72" i="19"/>
  <c r="I71" i="19"/>
  <c r="I70" i="19"/>
  <c r="I69" i="19"/>
  <c r="I68" i="19"/>
  <c r="I67" i="19"/>
  <c r="I66" i="19"/>
  <c r="I65" i="19"/>
  <c r="I64" i="19"/>
  <c r="I63" i="19"/>
  <c r="I62" i="19"/>
  <c r="I61" i="19"/>
  <c r="I60" i="19"/>
  <c r="I59" i="19"/>
  <c r="I58" i="19"/>
  <c r="I57" i="19"/>
  <c r="I56" i="19"/>
  <c r="I55" i="19"/>
  <c r="I54" i="19"/>
  <c r="I53" i="19"/>
  <c r="I52" i="19"/>
  <c r="I51" i="19"/>
  <c r="I50" i="19"/>
  <c r="I49" i="19"/>
  <c r="I48" i="19"/>
  <c r="I47" i="19"/>
  <c r="I46" i="19"/>
  <c r="I45" i="19"/>
  <c r="I44" i="19"/>
  <c r="I43" i="19"/>
  <c r="I42" i="19"/>
  <c r="I41" i="19"/>
  <c r="I40" i="19"/>
  <c r="I39" i="19"/>
  <c r="I38" i="19"/>
  <c r="I37" i="19"/>
  <c r="I36" i="19"/>
  <c r="I35" i="19"/>
  <c r="I34" i="19"/>
  <c r="I33" i="19"/>
  <c r="I32" i="19"/>
  <c r="I31" i="19"/>
  <c r="I30" i="19"/>
  <c r="I29" i="19"/>
  <c r="I28" i="19"/>
  <c r="I27" i="19"/>
  <c r="I26" i="19"/>
  <c r="I25" i="19"/>
  <c r="I24" i="19"/>
  <c r="I23" i="19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1692" i="18"/>
  <c r="I1691" i="18"/>
  <c r="I1690" i="18"/>
  <c r="I1689" i="18"/>
  <c r="I1688" i="18"/>
  <c r="I1687" i="18"/>
  <c r="I1686" i="18"/>
  <c r="I1685" i="18"/>
  <c r="I1684" i="18"/>
  <c r="I1683" i="18"/>
  <c r="I1682" i="18"/>
  <c r="I1681" i="18"/>
  <c r="I1680" i="18"/>
  <c r="I1679" i="18"/>
  <c r="I1678" i="18"/>
  <c r="I1677" i="18"/>
  <c r="I1676" i="18"/>
  <c r="I1675" i="18"/>
  <c r="I1674" i="18"/>
  <c r="I1673" i="18"/>
  <c r="I1672" i="18"/>
  <c r="I1671" i="18"/>
  <c r="I1670" i="18"/>
  <c r="I1669" i="18"/>
  <c r="I1668" i="18"/>
  <c r="I1667" i="18"/>
  <c r="I1666" i="18"/>
  <c r="I1665" i="18"/>
  <c r="I1664" i="18"/>
  <c r="I1663" i="18"/>
  <c r="I1662" i="18"/>
  <c r="I1661" i="18"/>
  <c r="I1660" i="18"/>
  <c r="I1659" i="18"/>
  <c r="I1658" i="18"/>
  <c r="I1657" i="18"/>
  <c r="I1656" i="18"/>
  <c r="I1655" i="18"/>
  <c r="I1654" i="18"/>
  <c r="I1653" i="18"/>
  <c r="I1652" i="18"/>
  <c r="I1651" i="18"/>
  <c r="I1650" i="18"/>
  <c r="I1649" i="18"/>
  <c r="I1648" i="18"/>
  <c r="I1647" i="18"/>
  <c r="I1646" i="18"/>
  <c r="I1645" i="18"/>
  <c r="I1644" i="18"/>
  <c r="I1643" i="18"/>
  <c r="I1642" i="18"/>
  <c r="I1641" i="18"/>
  <c r="I1640" i="18"/>
  <c r="I1639" i="18"/>
  <c r="I1638" i="18"/>
  <c r="I1637" i="18"/>
  <c r="I1636" i="18"/>
  <c r="I1635" i="18"/>
  <c r="I1634" i="18"/>
  <c r="I1633" i="18"/>
  <c r="I1632" i="18"/>
  <c r="I1631" i="18"/>
  <c r="I1630" i="18"/>
  <c r="I1629" i="18"/>
  <c r="I1628" i="18"/>
  <c r="I1627" i="18"/>
  <c r="I1626" i="18"/>
  <c r="I1625" i="18"/>
  <c r="I1624" i="18"/>
  <c r="I1623" i="18"/>
  <c r="I1622" i="18"/>
  <c r="I1621" i="18"/>
  <c r="I1620" i="18"/>
  <c r="I1619" i="18"/>
  <c r="I1618" i="18"/>
  <c r="I1617" i="18"/>
  <c r="I1616" i="18"/>
  <c r="I1615" i="18"/>
  <c r="I1614" i="18"/>
  <c r="I1613" i="18"/>
  <c r="I1612" i="18"/>
  <c r="I1611" i="18"/>
  <c r="I1610" i="18"/>
  <c r="I1609" i="18"/>
  <c r="I1608" i="18"/>
  <c r="I1607" i="18"/>
  <c r="I1606" i="18"/>
  <c r="I1605" i="18"/>
  <c r="I1604" i="18"/>
  <c r="I1603" i="18"/>
  <c r="I1602" i="18"/>
  <c r="I1601" i="18"/>
  <c r="I1600" i="18"/>
  <c r="I1599" i="18"/>
  <c r="I1598" i="18"/>
  <c r="I1597" i="18"/>
  <c r="I1596" i="18"/>
  <c r="I1595" i="18"/>
  <c r="I1594" i="18"/>
  <c r="I1593" i="18"/>
  <c r="I1592" i="18"/>
  <c r="I1591" i="18"/>
  <c r="I1590" i="18"/>
  <c r="I1589" i="18"/>
  <c r="I1588" i="18"/>
  <c r="I1587" i="18"/>
  <c r="I1586" i="18"/>
  <c r="I1585" i="18"/>
  <c r="I1584" i="18"/>
  <c r="I1583" i="18"/>
  <c r="I1582" i="18"/>
  <c r="I1581" i="18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1494" i="18"/>
  <c r="I1493" i="18"/>
  <c r="I1492" i="18"/>
  <c r="I1491" i="18"/>
  <c r="I1490" i="18"/>
  <c r="I1489" i="18"/>
  <c r="I1488" i="18"/>
  <c r="I1487" i="18"/>
  <c r="I1486" i="18"/>
  <c r="I1485" i="18"/>
  <c r="I1484" i="18"/>
  <c r="I1483" i="18"/>
  <c r="I1482" i="18"/>
  <c r="I1481" i="18"/>
  <c r="I1480" i="18"/>
  <c r="I1479" i="18"/>
  <c r="I1478" i="18"/>
  <c r="I1477" i="18"/>
  <c r="I1476" i="18"/>
  <c r="I1475" i="18"/>
  <c r="I1474" i="18"/>
  <c r="I1473" i="18"/>
  <c r="I1472" i="18"/>
  <c r="I1471" i="18"/>
  <c r="I1470" i="18"/>
  <c r="I1469" i="18"/>
  <c r="I1468" i="18"/>
  <c r="I1467" i="18"/>
  <c r="I1466" i="18"/>
  <c r="I1465" i="18"/>
  <c r="I1464" i="18"/>
  <c r="I1463" i="18"/>
  <c r="I1462" i="18"/>
  <c r="I1461" i="18"/>
  <c r="I1460" i="18"/>
  <c r="I1459" i="18"/>
  <c r="I1458" i="18"/>
  <c r="I1457" i="18"/>
  <c r="I1456" i="18"/>
  <c r="I1455" i="18"/>
  <c r="I1454" i="18"/>
  <c r="I1453" i="18"/>
  <c r="I1452" i="18"/>
  <c r="I1451" i="18"/>
  <c r="I1450" i="18"/>
  <c r="I1449" i="18"/>
  <c r="I1448" i="18"/>
  <c r="I1447" i="18"/>
  <c r="I1446" i="18"/>
  <c r="I1445" i="18"/>
  <c r="I1444" i="18"/>
  <c r="I1443" i="18"/>
  <c r="I1442" i="18"/>
  <c r="I1441" i="18"/>
  <c r="I1440" i="18"/>
  <c r="I1439" i="18"/>
  <c r="I1438" i="18"/>
  <c r="I1437" i="18"/>
  <c r="I1436" i="18"/>
  <c r="I1435" i="18"/>
  <c r="I1434" i="18"/>
  <c r="I1433" i="18"/>
  <c r="I1432" i="18"/>
  <c r="I1431" i="18"/>
  <c r="I1430" i="18"/>
  <c r="I1429" i="18"/>
  <c r="I1428" i="18"/>
  <c r="I1427" i="18"/>
  <c r="I1426" i="18"/>
  <c r="I1425" i="18"/>
  <c r="I1424" i="18"/>
  <c r="I1423" i="18"/>
  <c r="I1422" i="18"/>
  <c r="I1421" i="18"/>
  <c r="I1420" i="18"/>
  <c r="I1419" i="18"/>
  <c r="I1418" i="18"/>
  <c r="I1417" i="18"/>
  <c r="I1416" i="18"/>
  <c r="I1415" i="18"/>
  <c r="I1414" i="18"/>
  <c r="I1413" i="18"/>
  <c r="I1412" i="18"/>
  <c r="I1411" i="18"/>
  <c r="I1410" i="18"/>
  <c r="I1409" i="18"/>
  <c r="I1408" i="18"/>
  <c r="I1407" i="18"/>
  <c r="I1406" i="18"/>
  <c r="I1405" i="18"/>
  <c r="I1404" i="18"/>
  <c r="I1403" i="18"/>
  <c r="I1402" i="18"/>
  <c r="I1401" i="18"/>
  <c r="I1400" i="18"/>
  <c r="I1399" i="18"/>
  <c r="I1398" i="18"/>
  <c r="I1397" i="18"/>
  <c r="I1396" i="18"/>
  <c r="I1395" i="18"/>
  <c r="I1394" i="18"/>
  <c r="I1393" i="18"/>
  <c r="I1392" i="18"/>
  <c r="I1391" i="18"/>
  <c r="I1390" i="18"/>
  <c r="I1389" i="18"/>
  <c r="I1388" i="18"/>
  <c r="I1387" i="18"/>
  <c r="I1386" i="18"/>
  <c r="I1385" i="18"/>
  <c r="I1384" i="18"/>
  <c r="I1383" i="18"/>
  <c r="I1382" i="18"/>
  <c r="I1381" i="18"/>
  <c r="I1380" i="18"/>
  <c r="I1379" i="18"/>
  <c r="I1378" i="18"/>
  <c r="I1377" i="18"/>
  <c r="I1376" i="18"/>
  <c r="I1375" i="18"/>
  <c r="I1374" i="18"/>
  <c r="I1373" i="18"/>
  <c r="I1372" i="18"/>
  <c r="I1371" i="18"/>
  <c r="I1370" i="18"/>
  <c r="I1369" i="18"/>
  <c r="I1368" i="18"/>
  <c r="I1367" i="18"/>
  <c r="I1366" i="18"/>
  <c r="I1365" i="18"/>
  <c r="I1364" i="18"/>
  <c r="I1363" i="18"/>
  <c r="I1362" i="18"/>
  <c r="I1361" i="18"/>
  <c r="I1360" i="18"/>
  <c r="I1359" i="18"/>
  <c r="I1358" i="18"/>
  <c r="I1357" i="18"/>
  <c r="I1356" i="18"/>
  <c r="I1355" i="18"/>
  <c r="I1354" i="18"/>
  <c r="I1353" i="18"/>
  <c r="I1352" i="18"/>
  <c r="I1351" i="18"/>
  <c r="I1350" i="18"/>
  <c r="I1349" i="18"/>
  <c r="I1348" i="18"/>
  <c r="I1347" i="18"/>
  <c r="I1346" i="18"/>
  <c r="I1345" i="18"/>
  <c r="I1344" i="18"/>
  <c r="I1343" i="18"/>
  <c r="I1342" i="18"/>
  <c r="I1341" i="18"/>
  <c r="I1340" i="18"/>
  <c r="I1339" i="18"/>
  <c r="I1338" i="18"/>
  <c r="I1337" i="18"/>
  <c r="I1336" i="18"/>
  <c r="I1335" i="18"/>
  <c r="I1334" i="18"/>
  <c r="I1333" i="18"/>
  <c r="I1332" i="18"/>
  <c r="I1331" i="18"/>
  <c r="I1330" i="18"/>
  <c r="I1329" i="18"/>
  <c r="I1328" i="18"/>
  <c r="I1327" i="18"/>
  <c r="I1326" i="18"/>
  <c r="I1325" i="18"/>
  <c r="I1324" i="18"/>
  <c r="I1323" i="18"/>
  <c r="I1322" i="18"/>
  <c r="I1321" i="18"/>
  <c r="I1320" i="18"/>
  <c r="I1319" i="18"/>
  <c r="I1318" i="18"/>
  <c r="I1317" i="18"/>
  <c r="I1316" i="18"/>
  <c r="I1315" i="18"/>
  <c r="I1314" i="18"/>
  <c r="I1313" i="18"/>
  <c r="I1312" i="18"/>
  <c r="I1311" i="18"/>
  <c r="I1310" i="18"/>
  <c r="I1309" i="18"/>
  <c r="I1308" i="18"/>
  <c r="I1307" i="18"/>
  <c r="I1306" i="18"/>
  <c r="I1305" i="18"/>
  <c r="I1304" i="18"/>
  <c r="I1303" i="18"/>
  <c r="I1302" i="18"/>
  <c r="I1301" i="18"/>
  <c r="I1300" i="18"/>
  <c r="I1299" i="18"/>
  <c r="I1298" i="18"/>
  <c r="I1297" i="18"/>
  <c r="I1296" i="18"/>
  <c r="I1295" i="18"/>
  <c r="I1294" i="18"/>
  <c r="I1293" i="18"/>
  <c r="I1292" i="18"/>
  <c r="I1291" i="18"/>
  <c r="I1290" i="18"/>
  <c r="I1289" i="18"/>
  <c r="I1288" i="18"/>
  <c r="I1287" i="18"/>
  <c r="I1286" i="18"/>
  <c r="I1285" i="18"/>
  <c r="I1284" i="18"/>
  <c r="I1283" i="18"/>
  <c r="I1282" i="18"/>
  <c r="I1281" i="18"/>
  <c r="I1280" i="18"/>
  <c r="I1279" i="18"/>
  <c r="I1278" i="18"/>
  <c r="I1277" i="18"/>
  <c r="I1276" i="18"/>
  <c r="I1275" i="18"/>
  <c r="I1274" i="18"/>
  <c r="I1273" i="18"/>
  <c r="I1272" i="18"/>
  <c r="I1271" i="18"/>
  <c r="I1270" i="18"/>
  <c r="I1269" i="18"/>
  <c r="I1268" i="18"/>
  <c r="I1267" i="18"/>
  <c r="I1266" i="18"/>
  <c r="I1265" i="18"/>
  <c r="I1264" i="18"/>
  <c r="I1263" i="18"/>
  <c r="I1262" i="18"/>
  <c r="I1261" i="18"/>
  <c r="I1260" i="18"/>
  <c r="I1259" i="18"/>
  <c r="I1258" i="18"/>
  <c r="I1257" i="18"/>
  <c r="I1256" i="18"/>
  <c r="I1255" i="18"/>
  <c r="I1254" i="18"/>
  <c r="I1253" i="18"/>
  <c r="I1252" i="18"/>
  <c r="I1251" i="18"/>
  <c r="I1250" i="18"/>
  <c r="I1249" i="18"/>
  <c r="I1248" i="18"/>
  <c r="I1247" i="18"/>
  <c r="I1246" i="18"/>
  <c r="I1245" i="18"/>
  <c r="I1244" i="18"/>
  <c r="I1243" i="18"/>
  <c r="I1242" i="18"/>
  <c r="I1241" i="18"/>
  <c r="I1240" i="18"/>
  <c r="I1239" i="18"/>
  <c r="I1238" i="18"/>
  <c r="I1237" i="18"/>
  <c r="I1236" i="18"/>
  <c r="I1235" i="18"/>
  <c r="I1234" i="18"/>
  <c r="I1233" i="18"/>
  <c r="I1232" i="18"/>
  <c r="I1231" i="18"/>
  <c r="I1230" i="18"/>
  <c r="I1229" i="18"/>
  <c r="I1228" i="18"/>
  <c r="I1227" i="18"/>
  <c r="I1226" i="18"/>
  <c r="I1225" i="18"/>
  <c r="I1224" i="18"/>
  <c r="I1223" i="18"/>
  <c r="I1222" i="18"/>
  <c r="I1221" i="18"/>
  <c r="I1220" i="18"/>
  <c r="I1219" i="18"/>
  <c r="I1218" i="18"/>
  <c r="I1217" i="18"/>
  <c r="I1216" i="18"/>
  <c r="I1215" i="18"/>
  <c r="I1214" i="18"/>
  <c r="I1213" i="18"/>
  <c r="I1212" i="18"/>
  <c r="I1211" i="18"/>
  <c r="I1210" i="18"/>
  <c r="I1209" i="18"/>
  <c r="I1208" i="18"/>
  <c r="I1207" i="18"/>
  <c r="I1206" i="18"/>
  <c r="I1205" i="18"/>
  <c r="I1204" i="18"/>
  <c r="I1203" i="18"/>
  <c r="I1202" i="18"/>
  <c r="I1201" i="18"/>
  <c r="I1200" i="18"/>
  <c r="I1199" i="18"/>
  <c r="I1198" i="18"/>
  <c r="I1197" i="18"/>
  <c r="I1196" i="18"/>
  <c r="I1195" i="18"/>
  <c r="I1194" i="18"/>
  <c r="I1193" i="18"/>
  <c r="I1192" i="18"/>
  <c r="I1191" i="18"/>
  <c r="I1190" i="18"/>
  <c r="I1189" i="18"/>
  <c r="I1188" i="18"/>
  <c r="I1187" i="18"/>
  <c r="I1186" i="18"/>
  <c r="I1185" i="18"/>
  <c r="I1184" i="18"/>
  <c r="I1183" i="18"/>
  <c r="I1182" i="18"/>
  <c r="I1181" i="18"/>
  <c r="I1180" i="18"/>
  <c r="I1179" i="18"/>
  <c r="I1178" i="18"/>
  <c r="I1177" i="18"/>
  <c r="I1176" i="18"/>
  <c r="I1175" i="18"/>
  <c r="I1174" i="18"/>
  <c r="I1173" i="18"/>
  <c r="I1172" i="18"/>
  <c r="I1171" i="18"/>
  <c r="I1170" i="18"/>
  <c r="I1169" i="18"/>
  <c r="I1168" i="18"/>
  <c r="I1167" i="18"/>
  <c r="I1166" i="18"/>
  <c r="I1165" i="18"/>
  <c r="I1164" i="18"/>
  <c r="I1163" i="18"/>
  <c r="I1162" i="18"/>
  <c r="I1161" i="18"/>
  <c r="I1160" i="18"/>
  <c r="I1159" i="18"/>
  <c r="I1158" i="18"/>
  <c r="I1157" i="18"/>
  <c r="I1156" i="18"/>
  <c r="I1155" i="18"/>
  <c r="I1154" i="18"/>
  <c r="I1153" i="18"/>
  <c r="I1152" i="18"/>
  <c r="I1151" i="18"/>
  <c r="I1150" i="18"/>
  <c r="I1149" i="18"/>
  <c r="I1148" i="18"/>
  <c r="I1147" i="18"/>
  <c r="I1146" i="18"/>
  <c r="I1145" i="18"/>
  <c r="I1144" i="18"/>
  <c r="I1143" i="18"/>
  <c r="I1142" i="18"/>
  <c r="I1141" i="18"/>
  <c r="I1140" i="18"/>
  <c r="I1139" i="18"/>
  <c r="I1138" i="18"/>
  <c r="I1137" i="18"/>
  <c r="I1136" i="18"/>
  <c r="I1135" i="18"/>
  <c r="I1134" i="18"/>
  <c r="I1133" i="18"/>
  <c r="I1132" i="18"/>
  <c r="I1131" i="18"/>
  <c r="I1130" i="18"/>
  <c r="I1129" i="18"/>
  <c r="I1128" i="18"/>
  <c r="I1127" i="18"/>
  <c r="I1126" i="18"/>
  <c r="I1125" i="18"/>
  <c r="I1124" i="18"/>
  <c r="I1123" i="18"/>
  <c r="I1122" i="18"/>
  <c r="I1121" i="18"/>
  <c r="I1120" i="18"/>
  <c r="I1119" i="18"/>
  <c r="I1118" i="18"/>
  <c r="I1117" i="18"/>
  <c r="I1116" i="18"/>
  <c r="I1115" i="18"/>
  <c r="I1114" i="18"/>
  <c r="I1113" i="18"/>
  <c r="I1112" i="18"/>
  <c r="I1111" i="18"/>
  <c r="I1110" i="18"/>
  <c r="I1109" i="18"/>
  <c r="I1108" i="18"/>
  <c r="I1107" i="18"/>
  <c r="I1106" i="18"/>
  <c r="I1105" i="18"/>
  <c r="I1104" i="18"/>
  <c r="I1103" i="18"/>
  <c r="I1102" i="18"/>
  <c r="I1101" i="18"/>
  <c r="I1100" i="18"/>
  <c r="I1099" i="18"/>
  <c r="I1098" i="18"/>
  <c r="I1097" i="18"/>
  <c r="I1096" i="18"/>
  <c r="I1095" i="18"/>
  <c r="I1094" i="18"/>
  <c r="I1093" i="18"/>
  <c r="I1092" i="18"/>
  <c r="I1091" i="18"/>
  <c r="I1090" i="18"/>
  <c r="I1089" i="18"/>
  <c r="I1088" i="18"/>
  <c r="I1087" i="18"/>
  <c r="I1086" i="18"/>
  <c r="I1085" i="18"/>
  <c r="I1084" i="18"/>
  <c r="I1083" i="18"/>
  <c r="I1082" i="18"/>
  <c r="I1081" i="18"/>
  <c r="I1080" i="18"/>
  <c r="I1079" i="18"/>
  <c r="I1078" i="18"/>
  <c r="I1077" i="18"/>
  <c r="I1076" i="18"/>
  <c r="I1075" i="18"/>
  <c r="I1074" i="18"/>
  <c r="I1073" i="18"/>
  <c r="I1072" i="18"/>
  <c r="I1071" i="18"/>
  <c r="I1070" i="18"/>
  <c r="I1069" i="18"/>
  <c r="I1068" i="18"/>
  <c r="I1067" i="18"/>
  <c r="I1066" i="18"/>
  <c r="I1065" i="18"/>
  <c r="I1064" i="18"/>
  <c r="I1063" i="18"/>
  <c r="I1062" i="18"/>
  <c r="I1061" i="18"/>
  <c r="I1060" i="18"/>
  <c r="I1059" i="18"/>
  <c r="I1058" i="18"/>
  <c r="I1057" i="18"/>
  <c r="I1056" i="18"/>
  <c r="I1055" i="18"/>
  <c r="I1054" i="18"/>
  <c r="I1053" i="18"/>
  <c r="I1052" i="18"/>
  <c r="I1051" i="18"/>
  <c r="I1050" i="18"/>
  <c r="I1049" i="18"/>
  <c r="I1048" i="18"/>
  <c r="I1047" i="18"/>
  <c r="I1046" i="18"/>
  <c r="I1045" i="18"/>
  <c r="I1044" i="18"/>
  <c r="I1043" i="18"/>
  <c r="I1042" i="18"/>
  <c r="I1041" i="18"/>
  <c r="I1040" i="18"/>
  <c r="I1039" i="18"/>
  <c r="I1038" i="18"/>
  <c r="I1037" i="18"/>
  <c r="I1036" i="18"/>
  <c r="I1035" i="18"/>
  <c r="I1034" i="18"/>
  <c r="I1033" i="18"/>
  <c r="I1032" i="18"/>
  <c r="I1031" i="18"/>
  <c r="I1030" i="18"/>
  <c r="I1029" i="18"/>
  <c r="I1028" i="18"/>
  <c r="I1027" i="18"/>
  <c r="I1026" i="18"/>
  <c r="I1025" i="18"/>
  <c r="I1024" i="18"/>
  <c r="I1023" i="18"/>
  <c r="I1022" i="18"/>
  <c r="I1021" i="18"/>
  <c r="I1020" i="18"/>
  <c r="I1019" i="18"/>
  <c r="I1018" i="18"/>
  <c r="I1017" i="18"/>
  <c r="I1016" i="18"/>
  <c r="I1015" i="18"/>
  <c r="I1014" i="18"/>
  <c r="I1013" i="18"/>
  <c r="I1012" i="18"/>
  <c r="I1011" i="18"/>
  <c r="I1010" i="18"/>
  <c r="I1009" i="18"/>
  <c r="I1008" i="18"/>
  <c r="I1007" i="18"/>
  <c r="I1006" i="18"/>
  <c r="I1005" i="18"/>
  <c r="I1004" i="18"/>
  <c r="I1003" i="18"/>
  <c r="I1002" i="18"/>
  <c r="I1001" i="18"/>
  <c r="I1000" i="18"/>
  <c r="I999" i="18"/>
  <c r="I998" i="18"/>
  <c r="I997" i="18"/>
  <c r="I996" i="18"/>
  <c r="I995" i="18"/>
  <c r="I994" i="18"/>
  <c r="I993" i="18"/>
  <c r="I992" i="18"/>
  <c r="I991" i="18"/>
  <c r="I990" i="18"/>
  <c r="I989" i="18"/>
  <c r="I988" i="18"/>
  <c r="I987" i="18"/>
  <c r="I986" i="18"/>
  <c r="I985" i="18"/>
  <c r="I984" i="18"/>
  <c r="I983" i="18"/>
  <c r="I982" i="18"/>
  <c r="I981" i="18"/>
  <c r="I980" i="18"/>
  <c r="I979" i="18"/>
  <c r="I978" i="18"/>
  <c r="I977" i="18"/>
  <c r="I976" i="18"/>
  <c r="I975" i="18"/>
  <c r="I974" i="18"/>
  <c r="I973" i="18"/>
  <c r="I972" i="18"/>
  <c r="I971" i="18"/>
  <c r="I970" i="18"/>
  <c r="I969" i="18"/>
  <c r="I968" i="18"/>
  <c r="I967" i="18"/>
  <c r="I966" i="18"/>
  <c r="I965" i="18"/>
  <c r="I964" i="18"/>
  <c r="I963" i="18"/>
  <c r="I962" i="18"/>
  <c r="I961" i="18"/>
  <c r="I960" i="18"/>
  <c r="I959" i="18"/>
  <c r="I958" i="18"/>
  <c r="I957" i="18"/>
  <c r="I956" i="18"/>
  <c r="I955" i="18"/>
  <c r="I954" i="18"/>
  <c r="I953" i="18"/>
  <c r="I952" i="18"/>
  <c r="I951" i="18"/>
  <c r="I950" i="18"/>
  <c r="I949" i="18"/>
  <c r="I948" i="18"/>
  <c r="I947" i="18"/>
  <c r="I946" i="18"/>
  <c r="I945" i="18"/>
  <c r="I944" i="18"/>
  <c r="I943" i="18"/>
  <c r="I942" i="18"/>
  <c r="I941" i="18"/>
  <c r="I940" i="18"/>
  <c r="I939" i="18"/>
  <c r="I938" i="18"/>
  <c r="I937" i="18"/>
  <c r="I936" i="18"/>
  <c r="I935" i="18"/>
  <c r="I934" i="18"/>
  <c r="I933" i="18"/>
  <c r="I932" i="18"/>
  <c r="I931" i="18"/>
  <c r="I930" i="18"/>
  <c r="I929" i="18"/>
  <c r="I928" i="18"/>
  <c r="I927" i="18"/>
  <c r="I926" i="18"/>
  <c r="I925" i="18"/>
  <c r="I924" i="18"/>
  <c r="I923" i="18"/>
  <c r="I922" i="18"/>
  <c r="I921" i="18"/>
  <c r="I920" i="18"/>
  <c r="I919" i="18"/>
  <c r="I918" i="18"/>
  <c r="I917" i="18"/>
  <c r="I916" i="18"/>
  <c r="I915" i="18"/>
  <c r="I914" i="18"/>
  <c r="I913" i="18"/>
  <c r="I912" i="18"/>
  <c r="I911" i="18"/>
  <c r="I910" i="18"/>
  <c r="I909" i="18"/>
  <c r="I908" i="18"/>
  <c r="I907" i="18"/>
  <c r="I906" i="18"/>
  <c r="I905" i="18"/>
  <c r="I904" i="18"/>
  <c r="I903" i="18"/>
  <c r="I902" i="18"/>
  <c r="I901" i="18"/>
  <c r="I900" i="18"/>
  <c r="I899" i="18"/>
  <c r="I898" i="18"/>
  <c r="I897" i="18"/>
  <c r="I896" i="18"/>
  <c r="I895" i="18"/>
  <c r="I894" i="18"/>
  <c r="I893" i="18"/>
  <c r="I892" i="18"/>
  <c r="I891" i="18"/>
  <c r="I890" i="18"/>
  <c r="I889" i="18"/>
  <c r="I888" i="18"/>
  <c r="I887" i="18"/>
  <c r="I886" i="18"/>
  <c r="I885" i="18"/>
  <c r="I884" i="18"/>
  <c r="I883" i="18"/>
  <c r="I882" i="18"/>
  <c r="I881" i="18"/>
  <c r="I880" i="18"/>
  <c r="I879" i="18"/>
  <c r="I878" i="18"/>
  <c r="I877" i="18"/>
  <c r="I876" i="18"/>
  <c r="I875" i="18"/>
  <c r="I874" i="18"/>
  <c r="I873" i="18"/>
  <c r="I872" i="18"/>
  <c r="I871" i="18"/>
  <c r="I870" i="18"/>
  <c r="I869" i="18"/>
  <c r="I868" i="18"/>
  <c r="I867" i="18"/>
  <c r="I866" i="18"/>
  <c r="I865" i="18"/>
  <c r="I864" i="18"/>
  <c r="I863" i="18"/>
  <c r="I862" i="18"/>
  <c r="I861" i="18"/>
  <c r="I860" i="18"/>
  <c r="I859" i="18"/>
  <c r="I858" i="18"/>
  <c r="I857" i="18"/>
  <c r="I856" i="18"/>
  <c r="I855" i="18"/>
  <c r="I854" i="18"/>
  <c r="I853" i="18"/>
  <c r="I852" i="18"/>
  <c r="I851" i="18"/>
  <c r="I850" i="18"/>
  <c r="I849" i="18"/>
  <c r="I848" i="18"/>
  <c r="I847" i="18"/>
  <c r="I846" i="18"/>
  <c r="I845" i="18"/>
  <c r="I844" i="18"/>
  <c r="I843" i="18"/>
  <c r="I842" i="18"/>
  <c r="I841" i="18"/>
  <c r="I840" i="18"/>
  <c r="I839" i="18"/>
  <c r="I838" i="18"/>
  <c r="I837" i="18"/>
  <c r="I836" i="18"/>
  <c r="I835" i="18"/>
  <c r="I834" i="18"/>
  <c r="I833" i="18"/>
  <c r="I832" i="18"/>
  <c r="I831" i="18"/>
  <c r="I830" i="18"/>
  <c r="I829" i="18"/>
  <c r="I828" i="18"/>
  <c r="I827" i="18"/>
  <c r="I826" i="18"/>
  <c r="I825" i="18"/>
  <c r="I824" i="18"/>
  <c r="I823" i="18"/>
  <c r="I822" i="18"/>
  <c r="I821" i="18"/>
  <c r="I820" i="18"/>
  <c r="I819" i="18"/>
  <c r="I818" i="18"/>
  <c r="I817" i="18"/>
  <c r="I816" i="18"/>
  <c r="I815" i="18"/>
  <c r="I814" i="18"/>
  <c r="I813" i="18"/>
  <c r="I812" i="18"/>
  <c r="I811" i="18"/>
  <c r="I810" i="18"/>
  <c r="I809" i="18"/>
  <c r="I808" i="18"/>
  <c r="I807" i="18"/>
  <c r="I806" i="18"/>
  <c r="I805" i="18"/>
  <c r="I804" i="18"/>
  <c r="I803" i="18"/>
  <c r="I802" i="18"/>
  <c r="I801" i="18"/>
  <c r="I800" i="18"/>
  <c r="I799" i="18"/>
  <c r="I798" i="18"/>
  <c r="I797" i="18"/>
  <c r="I796" i="18"/>
  <c r="I795" i="18"/>
  <c r="I794" i="18"/>
  <c r="I793" i="18"/>
  <c r="I792" i="18"/>
  <c r="I791" i="18"/>
  <c r="I790" i="18"/>
  <c r="I789" i="18"/>
  <c r="I788" i="18"/>
  <c r="I787" i="18"/>
  <c r="I786" i="18"/>
  <c r="I785" i="18"/>
  <c r="I784" i="18"/>
  <c r="I783" i="18"/>
  <c r="I782" i="18"/>
  <c r="I781" i="18"/>
  <c r="I780" i="18"/>
  <c r="I779" i="18"/>
  <c r="I778" i="18"/>
  <c r="I777" i="18"/>
  <c r="I776" i="18"/>
  <c r="I775" i="18"/>
  <c r="I774" i="18"/>
  <c r="I773" i="18"/>
  <c r="I772" i="18"/>
  <c r="I771" i="18"/>
  <c r="I770" i="18"/>
  <c r="I769" i="18"/>
  <c r="I768" i="18"/>
  <c r="I767" i="18"/>
  <c r="I766" i="18"/>
  <c r="I765" i="18"/>
  <c r="I764" i="18"/>
  <c r="I763" i="18"/>
  <c r="I762" i="18"/>
  <c r="I761" i="18"/>
  <c r="I760" i="18"/>
  <c r="I759" i="18"/>
  <c r="I758" i="18"/>
  <c r="I757" i="18"/>
  <c r="I756" i="18"/>
  <c r="I755" i="18"/>
  <c r="I754" i="18"/>
  <c r="I753" i="18"/>
  <c r="I752" i="18"/>
  <c r="I751" i="18"/>
  <c r="I750" i="18"/>
  <c r="I749" i="18"/>
  <c r="I748" i="18"/>
  <c r="I747" i="18"/>
  <c r="I746" i="18"/>
  <c r="I745" i="18"/>
  <c r="I744" i="18"/>
  <c r="I743" i="18"/>
  <c r="I742" i="18"/>
  <c r="I741" i="18"/>
  <c r="I740" i="18"/>
  <c r="I739" i="18"/>
  <c r="I738" i="18"/>
  <c r="I737" i="18"/>
  <c r="I736" i="18"/>
  <c r="I735" i="18"/>
  <c r="I734" i="18"/>
  <c r="I733" i="18"/>
  <c r="I732" i="18"/>
  <c r="I731" i="18"/>
  <c r="I730" i="18"/>
  <c r="I729" i="18"/>
  <c r="I728" i="18"/>
  <c r="I727" i="18"/>
  <c r="I726" i="18"/>
  <c r="I725" i="18"/>
  <c r="I724" i="18"/>
  <c r="I723" i="18"/>
  <c r="I722" i="18"/>
  <c r="I721" i="18"/>
  <c r="I720" i="18"/>
  <c r="I719" i="18"/>
  <c r="I718" i="18"/>
  <c r="I717" i="18"/>
  <c r="I716" i="18"/>
  <c r="I715" i="18"/>
  <c r="I714" i="18"/>
  <c r="I713" i="18"/>
  <c r="I712" i="18"/>
  <c r="I711" i="18"/>
  <c r="I710" i="18"/>
  <c r="I709" i="18"/>
  <c r="I708" i="18"/>
  <c r="I707" i="18"/>
  <c r="I706" i="18"/>
  <c r="I705" i="18"/>
  <c r="I704" i="18"/>
  <c r="I703" i="18"/>
  <c r="I702" i="18"/>
  <c r="I701" i="18"/>
  <c r="I700" i="18"/>
  <c r="I699" i="18"/>
  <c r="I698" i="18"/>
  <c r="I697" i="18"/>
  <c r="I696" i="18"/>
  <c r="I695" i="18"/>
  <c r="I694" i="18"/>
  <c r="I693" i="18"/>
  <c r="I692" i="18"/>
  <c r="I691" i="18"/>
  <c r="I690" i="18"/>
  <c r="I689" i="18"/>
  <c r="I688" i="18"/>
  <c r="I687" i="18"/>
  <c r="I686" i="18"/>
  <c r="I685" i="18"/>
  <c r="I684" i="18"/>
  <c r="I683" i="18"/>
  <c r="I682" i="18"/>
  <c r="I681" i="18"/>
  <c r="I680" i="18"/>
  <c r="I679" i="18"/>
  <c r="I678" i="18"/>
  <c r="I677" i="18"/>
  <c r="I676" i="18"/>
  <c r="I675" i="18"/>
  <c r="I674" i="18"/>
  <c r="I673" i="18"/>
  <c r="I672" i="18"/>
  <c r="I671" i="18"/>
  <c r="I670" i="18"/>
  <c r="I669" i="18"/>
  <c r="I668" i="18"/>
  <c r="I667" i="18"/>
  <c r="I666" i="18"/>
  <c r="I665" i="18"/>
  <c r="I664" i="18"/>
  <c r="I663" i="18"/>
  <c r="I662" i="18"/>
  <c r="I661" i="18"/>
  <c r="I660" i="18"/>
  <c r="I659" i="18"/>
  <c r="I658" i="18"/>
  <c r="I657" i="18"/>
  <c r="I656" i="18"/>
  <c r="I655" i="18"/>
  <c r="I654" i="18"/>
  <c r="I653" i="18"/>
  <c r="I652" i="18"/>
  <c r="I651" i="18"/>
  <c r="I650" i="18"/>
  <c r="I649" i="18"/>
  <c r="I648" i="18"/>
  <c r="I647" i="18"/>
  <c r="I646" i="18"/>
  <c r="I645" i="18"/>
  <c r="I644" i="18"/>
  <c r="I643" i="18"/>
  <c r="I642" i="18"/>
  <c r="I641" i="18"/>
  <c r="I640" i="18"/>
  <c r="I639" i="18"/>
  <c r="I638" i="18"/>
  <c r="I637" i="18"/>
  <c r="I636" i="18"/>
  <c r="I635" i="18"/>
  <c r="I634" i="18"/>
  <c r="I633" i="18"/>
  <c r="I632" i="18"/>
  <c r="I631" i="18"/>
  <c r="I630" i="18"/>
  <c r="I629" i="18"/>
  <c r="I628" i="18"/>
  <c r="I627" i="18"/>
  <c r="I626" i="18"/>
  <c r="I625" i="18"/>
  <c r="I624" i="18"/>
  <c r="I623" i="18"/>
  <c r="I622" i="18"/>
  <c r="I621" i="18"/>
  <c r="I620" i="18"/>
  <c r="I619" i="18"/>
  <c r="I618" i="18"/>
  <c r="I617" i="18"/>
  <c r="I616" i="18"/>
  <c r="I615" i="18"/>
  <c r="I614" i="18"/>
  <c r="I613" i="18"/>
  <c r="I612" i="18"/>
  <c r="I611" i="18"/>
  <c r="I610" i="18"/>
  <c r="I609" i="18"/>
  <c r="I608" i="18"/>
  <c r="I607" i="18"/>
  <c r="I606" i="18"/>
  <c r="I605" i="18"/>
  <c r="I604" i="18"/>
  <c r="I603" i="18"/>
  <c r="I602" i="18"/>
  <c r="I601" i="18"/>
  <c r="I600" i="18"/>
  <c r="I599" i="18"/>
  <c r="I598" i="18"/>
  <c r="I597" i="18"/>
  <c r="I596" i="18"/>
  <c r="I595" i="18"/>
  <c r="I594" i="18"/>
  <c r="I593" i="18"/>
  <c r="I592" i="18"/>
  <c r="I591" i="18"/>
  <c r="I590" i="18"/>
  <c r="I589" i="18"/>
  <c r="I588" i="18"/>
  <c r="I587" i="18"/>
  <c r="I586" i="18"/>
  <c r="I585" i="18"/>
  <c r="I584" i="18"/>
  <c r="I583" i="18"/>
  <c r="I582" i="18"/>
  <c r="I581" i="18"/>
  <c r="I580" i="18"/>
  <c r="I579" i="18"/>
  <c r="I578" i="18"/>
  <c r="I577" i="18"/>
  <c r="I576" i="18"/>
  <c r="I575" i="18"/>
  <c r="I574" i="18"/>
  <c r="I573" i="18"/>
  <c r="I572" i="18"/>
  <c r="I571" i="18"/>
  <c r="I570" i="18"/>
  <c r="I569" i="18"/>
  <c r="I568" i="18"/>
  <c r="I567" i="18"/>
  <c r="I566" i="18"/>
  <c r="I565" i="18"/>
  <c r="I564" i="18"/>
  <c r="I563" i="18"/>
  <c r="I562" i="18"/>
  <c r="I561" i="18"/>
  <c r="I560" i="18"/>
  <c r="I559" i="18"/>
  <c r="I558" i="18"/>
  <c r="I557" i="18"/>
  <c r="I556" i="18"/>
  <c r="I555" i="18"/>
  <c r="I554" i="18"/>
  <c r="I553" i="18"/>
  <c r="I552" i="18"/>
  <c r="I551" i="18"/>
  <c r="I550" i="18"/>
  <c r="I549" i="18"/>
  <c r="I548" i="18"/>
  <c r="I547" i="18"/>
  <c r="I546" i="18"/>
  <c r="I545" i="18"/>
  <c r="I544" i="18"/>
  <c r="I543" i="18"/>
  <c r="I542" i="18"/>
  <c r="I541" i="18"/>
  <c r="I540" i="18"/>
  <c r="I539" i="18"/>
  <c r="I538" i="18"/>
  <c r="I537" i="18"/>
  <c r="I536" i="18"/>
  <c r="I535" i="18"/>
  <c r="I534" i="18"/>
  <c r="I533" i="18"/>
  <c r="I532" i="18"/>
  <c r="I531" i="18"/>
  <c r="I530" i="18"/>
  <c r="I529" i="18"/>
  <c r="I528" i="18"/>
  <c r="I527" i="18"/>
  <c r="I526" i="18"/>
  <c r="I525" i="18"/>
  <c r="I524" i="18"/>
  <c r="I523" i="18"/>
  <c r="I522" i="18"/>
  <c r="I521" i="18"/>
  <c r="I520" i="18"/>
  <c r="I519" i="18"/>
  <c r="I518" i="18"/>
  <c r="I517" i="18"/>
  <c r="I516" i="18"/>
  <c r="I515" i="18"/>
  <c r="I514" i="18"/>
  <c r="I513" i="18"/>
  <c r="I512" i="18"/>
  <c r="I511" i="18"/>
  <c r="I510" i="18"/>
  <c r="I509" i="18"/>
  <c r="I508" i="18"/>
  <c r="I507" i="18"/>
  <c r="I506" i="18"/>
  <c r="I505" i="18"/>
  <c r="I504" i="18"/>
  <c r="I503" i="18"/>
  <c r="I502" i="18"/>
  <c r="I501" i="18"/>
  <c r="I500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O1623" i="11"/>
  <c r="N1623" i="11"/>
  <c r="L1623" i="11"/>
  <c r="K1623" i="11"/>
  <c r="J1623" i="11"/>
  <c r="I1623" i="11"/>
  <c r="G1623" i="11"/>
  <c r="F1623" i="11"/>
  <c r="E1623" i="11"/>
  <c r="D1623" i="11"/>
  <c r="C1623" i="11"/>
  <c r="B1623" i="11"/>
  <c r="A1623" i="11"/>
  <c r="O1622" i="11"/>
  <c r="N1622" i="11"/>
  <c r="L1622" i="11"/>
  <c r="K1622" i="11"/>
  <c r="J1622" i="11"/>
  <c r="I1622" i="11"/>
  <c r="G1622" i="11"/>
  <c r="F1622" i="11"/>
  <c r="E1622" i="11"/>
  <c r="D1622" i="11"/>
  <c r="C1622" i="11"/>
  <c r="B1622" i="11"/>
  <c r="A1622" i="11"/>
  <c r="N1621" i="11"/>
  <c r="L1621" i="11"/>
  <c r="K1621" i="11"/>
  <c r="J1621" i="11"/>
  <c r="I1621" i="11"/>
  <c r="G1621" i="11"/>
  <c r="F1621" i="11"/>
  <c r="E1621" i="11"/>
  <c r="D1621" i="11"/>
  <c r="C1621" i="11"/>
  <c r="B1621" i="11"/>
  <c r="A1621" i="11"/>
  <c r="O1620" i="11"/>
  <c r="N1620" i="11"/>
  <c r="L1620" i="11"/>
  <c r="K1620" i="11"/>
  <c r="J1620" i="11"/>
  <c r="I1620" i="11"/>
  <c r="G1620" i="11"/>
  <c r="F1620" i="11"/>
  <c r="E1620" i="11"/>
  <c r="D1620" i="11"/>
  <c r="C1620" i="11"/>
  <c r="B1620" i="11"/>
  <c r="A1620" i="11"/>
  <c r="O1619" i="11"/>
  <c r="N1619" i="11"/>
  <c r="L1619" i="11"/>
  <c r="K1619" i="11"/>
  <c r="J1619" i="11"/>
  <c r="I1619" i="11"/>
  <c r="G1619" i="11"/>
  <c r="F1619" i="11"/>
  <c r="E1619" i="11"/>
  <c r="D1619" i="11"/>
  <c r="C1619" i="11"/>
  <c r="B1619" i="11"/>
  <c r="A1619" i="11"/>
  <c r="O1618" i="11"/>
  <c r="N1618" i="11"/>
  <c r="L1618" i="11"/>
  <c r="K1618" i="11"/>
  <c r="J1618" i="11"/>
  <c r="I1618" i="11"/>
  <c r="G1618" i="11"/>
  <c r="F1618" i="11"/>
  <c r="E1618" i="11"/>
  <c r="D1618" i="11"/>
  <c r="C1618" i="11"/>
  <c r="B1618" i="11"/>
  <c r="A1618" i="11"/>
  <c r="O1617" i="11"/>
  <c r="N1617" i="11"/>
  <c r="L1617" i="11"/>
  <c r="K1617" i="11"/>
  <c r="J1617" i="11"/>
  <c r="I1617" i="11"/>
  <c r="G1617" i="11"/>
  <c r="F1617" i="11"/>
  <c r="E1617" i="11"/>
  <c r="D1617" i="11"/>
  <c r="C1617" i="11"/>
  <c r="B1617" i="11"/>
  <c r="A1617" i="11"/>
  <c r="N1616" i="11"/>
  <c r="L1616" i="11"/>
  <c r="K1616" i="11"/>
  <c r="J1616" i="11"/>
  <c r="I1616" i="11"/>
  <c r="G1616" i="11"/>
  <c r="F1616" i="11"/>
  <c r="E1616" i="11"/>
  <c r="D1616" i="11"/>
  <c r="C1616" i="11"/>
  <c r="B1616" i="11"/>
  <c r="A1616" i="11"/>
  <c r="O1615" i="11"/>
  <c r="N1615" i="11"/>
  <c r="L1615" i="11"/>
  <c r="K1615" i="11"/>
  <c r="J1615" i="11"/>
  <c r="I1615" i="11"/>
  <c r="G1615" i="11"/>
  <c r="F1615" i="11"/>
  <c r="E1615" i="11"/>
  <c r="D1615" i="11"/>
  <c r="C1615" i="11"/>
  <c r="B1615" i="11"/>
  <c r="A1615" i="11"/>
  <c r="N1614" i="11"/>
  <c r="L1614" i="11"/>
  <c r="K1614" i="11"/>
  <c r="J1614" i="11"/>
  <c r="I1614" i="11"/>
  <c r="G1614" i="11"/>
  <c r="F1614" i="11"/>
  <c r="E1614" i="11"/>
  <c r="D1614" i="11"/>
  <c r="C1614" i="11"/>
  <c r="B1614" i="11"/>
  <c r="A1614" i="11"/>
  <c r="O1613" i="11"/>
  <c r="N1613" i="11"/>
  <c r="L1613" i="11"/>
  <c r="K1613" i="11"/>
  <c r="J1613" i="11"/>
  <c r="I1613" i="11"/>
  <c r="G1613" i="11"/>
  <c r="F1613" i="11"/>
  <c r="E1613" i="11"/>
  <c r="D1613" i="11"/>
  <c r="C1613" i="11"/>
  <c r="B1613" i="11"/>
  <c r="A1613" i="11"/>
  <c r="N1612" i="11"/>
  <c r="L1612" i="11"/>
  <c r="K1612" i="11"/>
  <c r="J1612" i="11"/>
  <c r="I1612" i="11"/>
  <c r="G1612" i="11"/>
  <c r="F1612" i="11"/>
  <c r="E1612" i="11"/>
  <c r="D1612" i="11"/>
  <c r="C1612" i="11"/>
  <c r="B1612" i="11"/>
  <c r="A1612" i="11"/>
  <c r="N1611" i="11"/>
  <c r="L1611" i="11"/>
  <c r="K1611" i="11"/>
  <c r="J1611" i="11"/>
  <c r="I1611" i="11"/>
  <c r="G1611" i="11"/>
  <c r="F1611" i="11"/>
  <c r="E1611" i="11"/>
  <c r="D1611" i="11"/>
  <c r="C1611" i="11"/>
  <c r="B1611" i="11"/>
  <c r="A1611" i="11"/>
  <c r="O1610" i="11"/>
  <c r="N1610" i="11"/>
  <c r="L1610" i="11"/>
  <c r="K1610" i="11"/>
  <c r="J1610" i="11"/>
  <c r="I1610" i="11"/>
  <c r="G1610" i="11"/>
  <c r="F1610" i="11"/>
  <c r="E1610" i="11"/>
  <c r="D1610" i="11"/>
  <c r="C1610" i="11"/>
  <c r="B1610" i="11"/>
  <c r="A1610" i="11"/>
  <c r="O1609" i="11"/>
  <c r="N1609" i="11"/>
  <c r="L1609" i="11"/>
  <c r="K1609" i="11"/>
  <c r="J1609" i="11"/>
  <c r="I1609" i="11"/>
  <c r="G1609" i="11"/>
  <c r="F1609" i="11"/>
  <c r="E1609" i="11"/>
  <c r="D1609" i="11"/>
  <c r="C1609" i="11"/>
  <c r="B1609" i="11"/>
  <c r="A1609" i="11"/>
  <c r="N1608" i="11"/>
  <c r="L1608" i="11"/>
  <c r="K1608" i="11"/>
  <c r="J1608" i="11"/>
  <c r="I1608" i="11"/>
  <c r="G1608" i="11"/>
  <c r="F1608" i="11"/>
  <c r="E1608" i="11"/>
  <c r="D1608" i="11"/>
  <c r="C1608" i="11"/>
  <c r="B1608" i="11"/>
  <c r="A1608" i="11"/>
  <c r="O1607" i="11"/>
  <c r="N1607" i="11"/>
  <c r="L1607" i="11"/>
  <c r="K1607" i="11"/>
  <c r="J1607" i="11"/>
  <c r="I1607" i="11"/>
  <c r="G1607" i="11"/>
  <c r="F1607" i="11"/>
  <c r="E1607" i="11"/>
  <c r="D1607" i="11"/>
  <c r="C1607" i="11"/>
  <c r="B1607" i="11"/>
  <c r="A1607" i="11"/>
  <c r="O1606" i="11"/>
  <c r="N1606" i="11"/>
  <c r="L1606" i="11"/>
  <c r="K1606" i="11"/>
  <c r="J1606" i="11"/>
  <c r="I1606" i="11"/>
  <c r="G1606" i="11"/>
  <c r="F1606" i="11"/>
  <c r="E1606" i="11"/>
  <c r="D1606" i="11"/>
  <c r="C1606" i="11"/>
  <c r="B1606" i="11"/>
  <c r="A1606" i="11"/>
  <c r="N1605" i="11"/>
  <c r="L1605" i="11"/>
  <c r="K1605" i="11"/>
  <c r="J1605" i="11"/>
  <c r="I1605" i="11"/>
  <c r="G1605" i="11"/>
  <c r="F1605" i="11"/>
  <c r="E1605" i="11"/>
  <c r="D1605" i="11"/>
  <c r="C1605" i="11"/>
  <c r="B1605" i="11"/>
  <c r="A1605" i="11"/>
  <c r="O1604" i="11"/>
  <c r="N1604" i="11"/>
  <c r="L1604" i="11"/>
  <c r="K1604" i="11"/>
  <c r="J1604" i="11"/>
  <c r="I1604" i="11"/>
  <c r="G1604" i="11"/>
  <c r="F1604" i="11"/>
  <c r="E1604" i="11"/>
  <c r="D1604" i="11"/>
  <c r="C1604" i="11"/>
  <c r="B1604" i="11"/>
  <c r="A1604" i="11"/>
  <c r="N1603" i="11"/>
  <c r="L1603" i="11"/>
  <c r="K1603" i="11"/>
  <c r="J1603" i="11"/>
  <c r="I1603" i="11"/>
  <c r="G1603" i="11"/>
  <c r="F1603" i="11"/>
  <c r="E1603" i="11"/>
  <c r="D1603" i="11"/>
  <c r="C1603" i="11"/>
  <c r="B1603" i="11"/>
  <c r="A1603" i="11"/>
  <c r="N1602" i="11"/>
  <c r="L1602" i="11"/>
  <c r="K1602" i="11"/>
  <c r="J1602" i="11"/>
  <c r="I1602" i="11"/>
  <c r="G1602" i="11"/>
  <c r="F1602" i="11"/>
  <c r="E1602" i="11"/>
  <c r="D1602" i="11"/>
  <c r="C1602" i="11"/>
  <c r="B1602" i="11"/>
  <c r="A1602" i="11"/>
  <c r="O1601" i="11"/>
  <c r="N1601" i="11"/>
  <c r="L1601" i="11"/>
  <c r="K1601" i="11"/>
  <c r="J1601" i="11"/>
  <c r="I1601" i="11"/>
  <c r="G1601" i="11"/>
  <c r="F1601" i="11"/>
  <c r="E1601" i="11"/>
  <c r="D1601" i="11"/>
  <c r="C1601" i="11"/>
  <c r="B1601" i="11"/>
  <c r="A1601" i="11"/>
  <c r="N1600" i="11"/>
  <c r="L1600" i="11"/>
  <c r="K1600" i="11"/>
  <c r="J1600" i="11"/>
  <c r="I1600" i="11"/>
  <c r="G1600" i="11"/>
  <c r="F1600" i="11"/>
  <c r="E1600" i="11"/>
  <c r="D1600" i="11"/>
  <c r="C1600" i="11"/>
  <c r="B1600" i="11"/>
  <c r="A1600" i="11"/>
  <c r="O1599" i="11"/>
  <c r="N1599" i="11"/>
  <c r="L1599" i="11"/>
  <c r="K1599" i="11"/>
  <c r="J1599" i="11"/>
  <c r="I1599" i="11"/>
  <c r="G1599" i="11"/>
  <c r="F1599" i="11"/>
  <c r="E1599" i="11"/>
  <c r="D1599" i="11"/>
  <c r="C1599" i="11"/>
  <c r="B1599" i="11"/>
  <c r="A1599" i="11"/>
  <c r="O1598" i="11"/>
  <c r="N1598" i="11"/>
  <c r="L1598" i="11"/>
  <c r="K1598" i="11"/>
  <c r="J1598" i="11"/>
  <c r="I1598" i="11"/>
  <c r="G1598" i="11"/>
  <c r="F1598" i="11"/>
  <c r="E1598" i="11"/>
  <c r="D1598" i="11"/>
  <c r="C1598" i="11"/>
  <c r="B1598" i="11"/>
  <c r="A1598" i="11"/>
  <c r="N1597" i="11"/>
  <c r="L1597" i="11"/>
  <c r="K1597" i="11"/>
  <c r="J1597" i="11"/>
  <c r="I1597" i="11"/>
  <c r="G1597" i="11"/>
  <c r="F1597" i="11"/>
  <c r="E1597" i="11"/>
  <c r="D1597" i="11"/>
  <c r="C1597" i="11"/>
  <c r="B1597" i="11"/>
  <c r="A1597" i="11"/>
  <c r="N1596" i="11"/>
  <c r="L1596" i="11"/>
  <c r="K1596" i="11"/>
  <c r="J1596" i="11"/>
  <c r="I1596" i="11"/>
  <c r="G1596" i="11"/>
  <c r="F1596" i="11"/>
  <c r="E1596" i="11"/>
  <c r="D1596" i="11"/>
  <c r="C1596" i="11"/>
  <c r="B1596" i="11"/>
  <c r="A1596" i="11"/>
  <c r="O1595" i="11"/>
  <c r="N1595" i="11"/>
  <c r="L1595" i="11"/>
  <c r="K1595" i="11"/>
  <c r="J1595" i="11"/>
  <c r="I1595" i="11"/>
  <c r="G1595" i="11"/>
  <c r="F1595" i="11"/>
  <c r="E1595" i="11"/>
  <c r="D1595" i="11"/>
  <c r="C1595" i="11"/>
  <c r="B1595" i="11"/>
  <c r="A1595" i="11"/>
  <c r="O1594" i="11"/>
  <c r="N1594" i="11"/>
  <c r="L1594" i="11"/>
  <c r="K1594" i="11"/>
  <c r="J1594" i="11"/>
  <c r="I1594" i="11"/>
  <c r="G1594" i="11"/>
  <c r="F1594" i="11"/>
  <c r="E1594" i="11"/>
  <c r="D1594" i="11"/>
  <c r="C1594" i="11"/>
  <c r="B1594" i="11"/>
  <c r="A1594" i="11"/>
  <c r="N1593" i="11"/>
  <c r="L1593" i="11"/>
  <c r="K1593" i="11"/>
  <c r="J1593" i="11"/>
  <c r="I1593" i="11"/>
  <c r="G1593" i="11"/>
  <c r="F1593" i="11"/>
  <c r="E1593" i="11"/>
  <c r="D1593" i="11"/>
  <c r="C1593" i="11"/>
  <c r="B1593" i="11"/>
  <c r="A1593" i="11"/>
  <c r="N1592" i="11"/>
  <c r="L1592" i="11"/>
  <c r="K1592" i="11"/>
  <c r="J1592" i="11"/>
  <c r="I1592" i="11"/>
  <c r="G1592" i="11"/>
  <c r="F1592" i="11"/>
  <c r="E1592" i="11"/>
  <c r="D1592" i="11"/>
  <c r="C1592" i="11"/>
  <c r="B1592" i="11"/>
  <c r="A1592" i="11"/>
  <c r="N1591" i="11"/>
  <c r="L1591" i="11"/>
  <c r="K1591" i="11"/>
  <c r="J1591" i="11"/>
  <c r="I1591" i="11"/>
  <c r="G1591" i="11"/>
  <c r="F1591" i="11"/>
  <c r="E1591" i="11"/>
  <c r="D1591" i="11"/>
  <c r="C1591" i="11"/>
  <c r="B1591" i="11"/>
  <c r="A1591" i="11"/>
  <c r="N1590" i="11"/>
  <c r="L1590" i="11"/>
  <c r="K1590" i="11"/>
  <c r="J1590" i="11"/>
  <c r="I1590" i="11"/>
  <c r="G1590" i="11"/>
  <c r="F1590" i="11"/>
  <c r="E1590" i="11"/>
  <c r="D1590" i="11"/>
  <c r="C1590" i="11"/>
  <c r="B1590" i="11"/>
  <c r="A1590" i="11"/>
  <c r="N1589" i="11"/>
  <c r="L1589" i="11"/>
  <c r="K1589" i="11"/>
  <c r="J1589" i="11"/>
  <c r="I1589" i="11"/>
  <c r="G1589" i="11"/>
  <c r="F1589" i="11"/>
  <c r="E1589" i="11"/>
  <c r="D1589" i="11"/>
  <c r="C1589" i="11"/>
  <c r="B1589" i="11"/>
  <c r="A1589" i="11"/>
  <c r="N1588" i="11"/>
  <c r="L1588" i="11"/>
  <c r="K1588" i="11"/>
  <c r="J1588" i="11"/>
  <c r="I1588" i="11"/>
  <c r="G1588" i="11"/>
  <c r="F1588" i="11"/>
  <c r="E1588" i="11"/>
  <c r="D1588" i="11"/>
  <c r="C1588" i="11"/>
  <c r="B1588" i="11"/>
  <c r="A1588" i="11"/>
  <c r="N1587" i="11"/>
  <c r="L1587" i="11"/>
  <c r="K1587" i="11"/>
  <c r="J1587" i="11"/>
  <c r="I1587" i="11"/>
  <c r="G1587" i="11"/>
  <c r="F1587" i="11"/>
  <c r="E1587" i="11"/>
  <c r="D1587" i="11"/>
  <c r="C1587" i="11"/>
  <c r="B1587" i="11"/>
  <c r="A1587" i="11"/>
  <c r="N1586" i="11"/>
  <c r="L1586" i="11"/>
  <c r="K1586" i="11"/>
  <c r="J1586" i="11"/>
  <c r="I1586" i="11"/>
  <c r="G1586" i="11"/>
  <c r="F1586" i="11"/>
  <c r="E1586" i="11"/>
  <c r="D1586" i="11"/>
  <c r="C1586" i="11"/>
  <c r="B1586" i="11"/>
  <c r="A1586" i="11"/>
  <c r="N1585" i="11"/>
  <c r="L1585" i="11"/>
  <c r="K1585" i="11"/>
  <c r="J1585" i="11"/>
  <c r="I1585" i="11"/>
  <c r="G1585" i="11"/>
  <c r="F1585" i="11"/>
  <c r="E1585" i="11"/>
  <c r="D1585" i="11"/>
  <c r="C1585" i="11"/>
  <c r="B1585" i="11"/>
  <c r="A1585" i="11"/>
  <c r="N1584" i="11"/>
  <c r="L1584" i="11"/>
  <c r="K1584" i="11"/>
  <c r="J1584" i="11"/>
  <c r="I1584" i="11"/>
  <c r="G1584" i="11"/>
  <c r="F1584" i="11"/>
  <c r="E1584" i="11"/>
  <c r="D1584" i="11"/>
  <c r="C1584" i="11"/>
  <c r="B1584" i="11"/>
  <c r="A1584" i="11"/>
  <c r="O1583" i="11"/>
  <c r="N1583" i="11"/>
  <c r="L1583" i="11"/>
  <c r="K1583" i="11"/>
  <c r="J1583" i="11"/>
  <c r="I1583" i="11"/>
  <c r="G1583" i="11"/>
  <c r="F1583" i="11"/>
  <c r="E1583" i="11"/>
  <c r="D1583" i="11"/>
  <c r="C1583" i="11"/>
  <c r="B1583" i="11"/>
  <c r="A1583" i="11"/>
  <c r="N1582" i="11"/>
  <c r="L1582" i="11"/>
  <c r="K1582" i="11"/>
  <c r="J1582" i="11"/>
  <c r="I1582" i="11"/>
  <c r="G1582" i="11"/>
  <c r="F1582" i="11"/>
  <c r="E1582" i="11"/>
  <c r="D1582" i="11"/>
  <c r="C1582" i="11"/>
  <c r="B1582" i="11"/>
  <c r="A1582" i="11"/>
  <c r="O1581" i="11"/>
  <c r="N1581" i="11"/>
  <c r="L1581" i="11"/>
  <c r="K1581" i="11"/>
  <c r="J1581" i="11"/>
  <c r="I1581" i="11"/>
  <c r="G1581" i="11"/>
  <c r="F1581" i="11"/>
  <c r="E1581" i="11"/>
  <c r="D1581" i="11"/>
  <c r="C1581" i="11"/>
  <c r="B1581" i="11"/>
  <c r="A1581" i="11"/>
  <c r="N1580" i="11"/>
  <c r="L1580" i="11"/>
  <c r="K1580" i="11"/>
  <c r="J1580" i="11"/>
  <c r="I1580" i="11"/>
  <c r="G1580" i="11"/>
  <c r="F1580" i="11"/>
  <c r="E1580" i="11"/>
  <c r="D1580" i="11"/>
  <c r="C1580" i="11"/>
  <c r="B1580" i="11"/>
  <c r="A1580" i="11"/>
  <c r="N1579" i="11"/>
  <c r="L1579" i="11"/>
  <c r="K1579" i="11"/>
  <c r="J1579" i="11"/>
  <c r="I1579" i="11"/>
  <c r="G1579" i="11"/>
  <c r="F1579" i="11"/>
  <c r="E1579" i="11"/>
  <c r="D1579" i="11"/>
  <c r="C1579" i="11"/>
  <c r="B1579" i="11"/>
  <c r="A1579" i="11"/>
  <c r="O1578" i="11"/>
  <c r="N1578" i="11"/>
  <c r="L1578" i="11"/>
  <c r="K1578" i="11"/>
  <c r="J1578" i="11"/>
  <c r="I1578" i="11"/>
  <c r="G1578" i="11"/>
  <c r="F1578" i="11"/>
  <c r="E1578" i="11"/>
  <c r="D1578" i="11"/>
  <c r="C1578" i="11"/>
  <c r="B1578" i="11"/>
  <c r="A1578" i="11"/>
  <c r="N1577" i="11"/>
  <c r="L1577" i="11"/>
  <c r="K1577" i="11"/>
  <c r="J1577" i="11"/>
  <c r="I1577" i="11"/>
  <c r="G1577" i="11"/>
  <c r="F1577" i="11"/>
  <c r="E1577" i="11"/>
  <c r="D1577" i="11"/>
  <c r="C1577" i="11"/>
  <c r="B1577" i="11"/>
  <c r="A1577" i="11"/>
  <c r="N1576" i="11"/>
  <c r="L1576" i="11"/>
  <c r="K1576" i="11"/>
  <c r="J1576" i="11"/>
  <c r="I1576" i="11"/>
  <c r="G1576" i="11"/>
  <c r="F1576" i="11"/>
  <c r="E1576" i="11"/>
  <c r="D1576" i="11"/>
  <c r="C1576" i="11"/>
  <c r="B1576" i="11"/>
  <c r="A1576" i="11"/>
  <c r="N1575" i="11"/>
  <c r="L1575" i="11"/>
  <c r="K1575" i="11"/>
  <c r="J1575" i="11"/>
  <c r="I1575" i="11"/>
  <c r="G1575" i="11"/>
  <c r="F1575" i="11"/>
  <c r="E1575" i="11"/>
  <c r="D1575" i="11"/>
  <c r="C1575" i="11"/>
  <c r="B1575" i="11"/>
  <c r="A1575" i="11"/>
  <c r="N1574" i="11"/>
  <c r="L1574" i="11"/>
  <c r="K1574" i="11"/>
  <c r="J1574" i="11"/>
  <c r="I1574" i="11"/>
  <c r="G1574" i="11"/>
  <c r="F1574" i="11"/>
  <c r="E1574" i="11"/>
  <c r="D1574" i="11"/>
  <c r="C1574" i="11"/>
  <c r="B1574" i="11"/>
  <c r="A1574" i="11"/>
  <c r="N1573" i="11"/>
  <c r="L1573" i="11"/>
  <c r="K1573" i="11"/>
  <c r="J1573" i="11"/>
  <c r="I1573" i="11"/>
  <c r="G1573" i="11"/>
  <c r="F1573" i="11"/>
  <c r="E1573" i="11"/>
  <c r="D1573" i="11"/>
  <c r="C1573" i="11"/>
  <c r="B1573" i="11"/>
  <c r="A1573" i="11"/>
  <c r="N1572" i="11"/>
  <c r="L1572" i="11"/>
  <c r="K1572" i="11"/>
  <c r="J1572" i="11"/>
  <c r="I1572" i="11"/>
  <c r="G1572" i="11"/>
  <c r="F1572" i="11"/>
  <c r="E1572" i="11"/>
  <c r="D1572" i="11"/>
  <c r="C1572" i="11"/>
  <c r="B1572" i="11"/>
  <c r="A1572" i="11"/>
  <c r="N1571" i="11"/>
  <c r="L1571" i="11"/>
  <c r="K1571" i="11"/>
  <c r="J1571" i="11"/>
  <c r="I1571" i="11"/>
  <c r="G1571" i="11"/>
  <c r="F1571" i="11"/>
  <c r="E1571" i="11"/>
  <c r="D1571" i="11"/>
  <c r="C1571" i="11"/>
  <c r="B1571" i="11"/>
  <c r="A1571" i="11"/>
  <c r="N1570" i="11"/>
  <c r="L1570" i="11"/>
  <c r="K1570" i="11"/>
  <c r="J1570" i="11"/>
  <c r="I1570" i="11"/>
  <c r="G1570" i="11"/>
  <c r="F1570" i="11"/>
  <c r="E1570" i="11"/>
  <c r="D1570" i="11"/>
  <c r="C1570" i="11"/>
  <c r="B1570" i="11"/>
  <c r="A1570" i="11"/>
  <c r="N1569" i="11"/>
  <c r="L1569" i="11"/>
  <c r="K1569" i="11"/>
  <c r="J1569" i="11"/>
  <c r="I1569" i="11"/>
  <c r="G1569" i="11"/>
  <c r="F1569" i="11"/>
  <c r="E1569" i="11"/>
  <c r="D1569" i="11"/>
  <c r="C1569" i="11"/>
  <c r="B1569" i="11"/>
  <c r="A1569" i="11"/>
  <c r="N1568" i="11"/>
  <c r="L1568" i="11"/>
  <c r="K1568" i="11"/>
  <c r="J1568" i="11"/>
  <c r="I1568" i="11"/>
  <c r="G1568" i="11"/>
  <c r="F1568" i="11"/>
  <c r="E1568" i="11"/>
  <c r="D1568" i="11"/>
  <c r="C1568" i="11"/>
  <c r="B1568" i="11"/>
  <c r="A1568" i="11"/>
  <c r="N1567" i="11"/>
  <c r="L1567" i="11"/>
  <c r="K1567" i="11"/>
  <c r="J1567" i="11"/>
  <c r="I1567" i="11"/>
  <c r="G1567" i="11"/>
  <c r="F1567" i="11"/>
  <c r="E1567" i="11"/>
  <c r="D1567" i="11"/>
  <c r="C1567" i="11"/>
  <c r="B1567" i="11"/>
  <c r="A1567" i="11"/>
  <c r="N1566" i="11"/>
  <c r="L1566" i="11"/>
  <c r="K1566" i="11"/>
  <c r="J1566" i="11"/>
  <c r="I1566" i="11"/>
  <c r="G1566" i="11"/>
  <c r="F1566" i="11"/>
  <c r="E1566" i="11"/>
  <c r="D1566" i="11"/>
  <c r="C1566" i="11"/>
  <c r="B1566" i="11"/>
  <c r="A1566" i="11"/>
  <c r="N1565" i="11"/>
  <c r="L1565" i="11"/>
  <c r="K1565" i="11"/>
  <c r="J1565" i="11"/>
  <c r="I1565" i="11"/>
  <c r="G1565" i="11"/>
  <c r="F1565" i="11"/>
  <c r="E1565" i="11"/>
  <c r="D1565" i="11"/>
  <c r="C1565" i="11"/>
  <c r="B1565" i="11"/>
  <c r="A1565" i="11"/>
  <c r="N1564" i="11"/>
  <c r="L1564" i="11"/>
  <c r="K1564" i="11"/>
  <c r="J1564" i="11"/>
  <c r="I1564" i="11"/>
  <c r="G1564" i="11"/>
  <c r="F1564" i="11"/>
  <c r="E1564" i="11"/>
  <c r="D1564" i="11"/>
  <c r="C1564" i="11"/>
  <c r="B1564" i="11"/>
  <c r="A1564" i="11"/>
  <c r="N1563" i="11"/>
  <c r="L1563" i="11"/>
  <c r="K1563" i="11"/>
  <c r="J1563" i="11"/>
  <c r="I1563" i="11"/>
  <c r="G1563" i="11"/>
  <c r="F1563" i="11"/>
  <c r="E1563" i="11"/>
  <c r="D1563" i="11"/>
  <c r="C1563" i="11"/>
  <c r="B1563" i="11"/>
  <c r="A1563" i="11"/>
  <c r="N1562" i="11"/>
  <c r="L1562" i="11"/>
  <c r="K1562" i="11"/>
  <c r="J1562" i="11"/>
  <c r="I1562" i="11"/>
  <c r="G1562" i="11"/>
  <c r="F1562" i="11"/>
  <c r="E1562" i="11"/>
  <c r="D1562" i="11"/>
  <c r="C1562" i="11"/>
  <c r="B1562" i="11"/>
  <c r="A1562" i="11"/>
  <c r="N1561" i="11"/>
  <c r="L1561" i="11"/>
  <c r="K1561" i="11"/>
  <c r="J1561" i="11"/>
  <c r="I1561" i="11"/>
  <c r="G1561" i="11"/>
  <c r="F1561" i="11"/>
  <c r="E1561" i="11"/>
  <c r="D1561" i="11"/>
  <c r="C1561" i="11"/>
  <c r="B1561" i="11"/>
  <c r="A1561" i="11"/>
  <c r="N1560" i="11"/>
  <c r="L1560" i="11"/>
  <c r="K1560" i="11"/>
  <c r="J1560" i="11"/>
  <c r="I1560" i="11"/>
  <c r="G1560" i="11"/>
  <c r="F1560" i="11"/>
  <c r="E1560" i="11"/>
  <c r="D1560" i="11"/>
  <c r="C1560" i="11"/>
  <c r="B1560" i="11"/>
  <c r="A1560" i="11"/>
  <c r="N1559" i="11"/>
  <c r="L1559" i="11"/>
  <c r="K1559" i="11"/>
  <c r="J1559" i="11"/>
  <c r="I1559" i="11"/>
  <c r="G1559" i="11"/>
  <c r="F1559" i="11"/>
  <c r="E1559" i="11"/>
  <c r="D1559" i="11"/>
  <c r="C1559" i="11"/>
  <c r="B1559" i="11"/>
  <c r="A1559" i="11"/>
  <c r="N1558" i="11"/>
  <c r="L1558" i="11"/>
  <c r="K1558" i="11"/>
  <c r="J1558" i="11"/>
  <c r="I1558" i="11"/>
  <c r="G1558" i="11"/>
  <c r="F1558" i="11"/>
  <c r="E1558" i="11"/>
  <c r="D1558" i="11"/>
  <c r="C1558" i="11"/>
  <c r="B1558" i="11"/>
  <c r="A1558" i="11"/>
  <c r="N1557" i="11"/>
  <c r="L1557" i="11"/>
  <c r="K1557" i="11"/>
  <c r="J1557" i="11"/>
  <c r="I1557" i="11"/>
  <c r="G1557" i="11"/>
  <c r="F1557" i="11"/>
  <c r="E1557" i="11"/>
  <c r="D1557" i="11"/>
  <c r="C1557" i="11"/>
  <c r="B1557" i="11"/>
  <c r="A1557" i="11"/>
  <c r="N1556" i="11"/>
  <c r="L1556" i="11"/>
  <c r="K1556" i="11"/>
  <c r="J1556" i="11"/>
  <c r="I1556" i="11"/>
  <c r="G1556" i="11"/>
  <c r="F1556" i="11"/>
  <c r="E1556" i="11"/>
  <c r="D1556" i="11"/>
  <c r="C1556" i="11"/>
  <c r="B1556" i="11"/>
  <c r="A1556" i="11"/>
  <c r="N1555" i="11"/>
  <c r="L1555" i="11"/>
  <c r="K1555" i="11"/>
  <c r="J1555" i="11"/>
  <c r="I1555" i="11"/>
  <c r="G1555" i="11"/>
  <c r="F1555" i="11"/>
  <c r="E1555" i="11"/>
  <c r="D1555" i="11"/>
  <c r="C1555" i="11"/>
  <c r="B1555" i="11"/>
  <c r="A1555" i="11"/>
  <c r="N1554" i="11"/>
  <c r="L1554" i="11"/>
  <c r="K1554" i="11"/>
  <c r="J1554" i="11"/>
  <c r="I1554" i="11"/>
  <c r="G1554" i="11"/>
  <c r="F1554" i="11"/>
  <c r="E1554" i="11"/>
  <c r="D1554" i="11"/>
  <c r="C1554" i="11"/>
  <c r="B1554" i="11"/>
  <c r="A1554" i="11"/>
  <c r="N1553" i="11"/>
  <c r="L1553" i="11"/>
  <c r="K1553" i="11"/>
  <c r="J1553" i="11"/>
  <c r="I1553" i="11"/>
  <c r="G1553" i="11"/>
  <c r="F1553" i="11"/>
  <c r="E1553" i="11"/>
  <c r="D1553" i="11"/>
  <c r="C1553" i="11"/>
  <c r="B1553" i="11"/>
  <c r="A1553" i="11"/>
  <c r="N1552" i="11"/>
  <c r="L1552" i="11"/>
  <c r="K1552" i="11"/>
  <c r="J1552" i="11"/>
  <c r="I1552" i="11"/>
  <c r="G1552" i="11"/>
  <c r="F1552" i="11"/>
  <c r="E1552" i="11"/>
  <c r="D1552" i="11"/>
  <c r="C1552" i="11"/>
  <c r="B1552" i="11"/>
  <c r="A1552" i="11"/>
  <c r="N1551" i="11"/>
  <c r="L1551" i="11"/>
  <c r="K1551" i="11"/>
  <c r="J1551" i="11"/>
  <c r="I1551" i="11"/>
  <c r="G1551" i="11"/>
  <c r="F1551" i="11"/>
  <c r="E1551" i="11"/>
  <c r="D1551" i="11"/>
  <c r="C1551" i="11"/>
  <c r="B1551" i="11"/>
  <c r="A1551" i="11"/>
  <c r="N1550" i="11"/>
  <c r="L1550" i="11"/>
  <c r="K1550" i="11"/>
  <c r="J1550" i="11"/>
  <c r="I1550" i="11"/>
  <c r="G1550" i="11"/>
  <c r="F1550" i="11"/>
  <c r="E1550" i="11"/>
  <c r="D1550" i="11"/>
  <c r="C1550" i="11"/>
  <c r="B1550" i="11"/>
  <c r="A1550" i="11"/>
  <c r="N1549" i="11"/>
  <c r="L1549" i="11"/>
  <c r="K1549" i="11"/>
  <c r="J1549" i="11"/>
  <c r="I1549" i="11"/>
  <c r="G1549" i="11"/>
  <c r="F1549" i="11"/>
  <c r="E1549" i="11"/>
  <c r="D1549" i="11"/>
  <c r="C1549" i="11"/>
  <c r="B1549" i="11"/>
  <c r="A1549" i="11"/>
  <c r="N1548" i="11"/>
  <c r="L1548" i="11"/>
  <c r="K1548" i="11"/>
  <c r="J1548" i="11"/>
  <c r="I1548" i="11"/>
  <c r="G1548" i="11"/>
  <c r="F1548" i="11"/>
  <c r="E1548" i="11"/>
  <c r="D1548" i="11"/>
  <c r="C1548" i="11"/>
  <c r="B1548" i="11"/>
  <c r="A1548" i="11"/>
  <c r="N1547" i="11"/>
  <c r="L1547" i="11"/>
  <c r="K1547" i="11"/>
  <c r="J1547" i="11"/>
  <c r="I1547" i="11"/>
  <c r="G1547" i="11"/>
  <c r="F1547" i="11"/>
  <c r="E1547" i="11"/>
  <c r="D1547" i="11"/>
  <c r="C1547" i="11"/>
  <c r="B1547" i="11"/>
  <c r="A1547" i="11"/>
  <c r="N1546" i="11"/>
  <c r="L1546" i="11"/>
  <c r="K1546" i="11"/>
  <c r="J1546" i="11"/>
  <c r="I1546" i="11"/>
  <c r="G1546" i="11"/>
  <c r="F1546" i="11"/>
  <c r="E1546" i="11"/>
  <c r="D1546" i="11"/>
  <c r="C1546" i="11"/>
  <c r="B1546" i="11"/>
  <c r="A1546" i="11"/>
  <c r="N1545" i="11"/>
  <c r="L1545" i="11"/>
  <c r="K1545" i="11"/>
  <c r="J1545" i="11"/>
  <c r="I1545" i="11"/>
  <c r="G1545" i="11"/>
  <c r="F1545" i="11"/>
  <c r="E1545" i="11"/>
  <c r="D1545" i="11"/>
  <c r="C1545" i="11"/>
  <c r="B1545" i="11"/>
  <c r="A1545" i="11"/>
  <c r="N1544" i="11"/>
  <c r="L1544" i="11"/>
  <c r="K1544" i="11"/>
  <c r="J1544" i="11"/>
  <c r="I1544" i="11"/>
  <c r="G1544" i="11"/>
  <c r="F1544" i="11"/>
  <c r="E1544" i="11"/>
  <c r="D1544" i="11"/>
  <c r="C1544" i="11"/>
  <c r="B1544" i="11"/>
  <c r="A1544" i="11"/>
  <c r="N1543" i="11"/>
  <c r="L1543" i="11"/>
  <c r="K1543" i="11"/>
  <c r="J1543" i="11"/>
  <c r="I1543" i="11"/>
  <c r="G1543" i="11"/>
  <c r="F1543" i="11"/>
  <c r="E1543" i="11"/>
  <c r="D1543" i="11"/>
  <c r="C1543" i="11"/>
  <c r="B1543" i="11"/>
  <c r="A1543" i="11"/>
  <c r="N1542" i="11"/>
  <c r="L1542" i="11"/>
  <c r="K1542" i="11"/>
  <c r="J1542" i="11"/>
  <c r="I1542" i="11"/>
  <c r="G1542" i="11"/>
  <c r="F1542" i="11"/>
  <c r="E1542" i="11"/>
  <c r="D1542" i="11"/>
  <c r="C1542" i="11"/>
  <c r="B1542" i="11"/>
  <c r="A1542" i="11"/>
  <c r="N1541" i="11"/>
  <c r="L1541" i="11"/>
  <c r="K1541" i="11"/>
  <c r="J1541" i="11"/>
  <c r="I1541" i="11"/>
  <c r="G1541" i="11"/>
  <c r="F1541" i="11"/>
  <c r="E1541" i="11"/>
  <c r="D1541" i="11"/>
  <c r="C1541" i="11"/>
  <c r="B1541" i="11"/>
  <c r="A1541" i="11"/>
  <c r="N1540" i="11"/>
  <c r="L1540" i="11"/>
  <c r="K1540" i="11"/>
  <c r="J1540" i="11"/>
  <c r="I1540" i="11"/>
  <c r="G1540" i="11"/>
  <c r="F1540" i="11"/>
  <c r="E1540" i="11"/>
  <c r="D1540" i="11"/>
  <c r="C1540" i="11"/>
  <c r="B1540" i="11"/>
  <c r="A1540" i="11"/>
  <c r="N1539" i="11"/>
  <c r="L1539" i="11"/>
  <c r="K1539" i="11"/>
  <c r="J1539" i="11"/>
  <c r="I1539" i="11"/>
  <c r="G1539" i="11"/>
  <c r="F1539" i="11"/>
  <c r="E1539" i="11"/>
  <c r="D1539" i="11"/>
  <c r="C1539" i="11"/>
  <c r="B1539" i="11"/>
  <c r="A1539" i="11"/>
  <c r="N1538" i="11"/>
  <c r="L1538" i="11"/>
  <c r="K1538" i="11"/>
  <c r="J1538" i="11"/>
  <c r="I1538" i="11"/>
  <c r="G1538" i="11"/>
  <c r="F1538" i="11"/>
  <c r="E1538" i="11"/>
  <c r="D1538" i="11"/>
  <c r="C1538" i="11"/>
  <c r="B1538" i="11"/>
  <c r="A1538" i="11"/>
  <c r="N1537" i="11"/>
  <c r="L1537" i="11"/>
  <c r="K1537" i="11"/>
  <c r="J1537" i="11"/>
  <c r="I1537" i="11"/>
  <c r="G1537" i="11"/>
  <c r="F1537" i="11"/>
  <c r="E1537" i="11"/>
  <c r="D1537" i="11"/>
  <c r="C1537" i="11"/>
  <c r="B1537" i="11"/>
  <c r="A1537" i="11"/>
  <c r="N1536" i="11"/>
  <c r="L1536" i="11"/>
  <c r="K1536" i="11"/>
  <c r="J1536" i="11"/>
  <c r="I1536" i="11"/>
  <c r="G1536" i="11"/>
  <c r="F1536" i="11"/>
  <c r="E1536" i="11"/>
  <c r="D1536" i="11"/>
  <c r="C1536" i="11"/>
  <c r="B1536" i="11"/>
  <c r="A1536" i="11"/>
  <c r="N1535" i="11"/>
  <c r="L1535" i="11"/>
  <c r="K1535" i="11"/>
  <c r="J1535" i="11"/>
  <c r="I1535" i="11"/>
  <c r="G1535" i="11"/>
  <c r="F1535" i="11"/>
  <c r="E1535" i="11"/>
  <c r="D1535" i="11"/>
  <c r="C1535" i="11"/>
  <c r="B1535" i="11"/>
  <c r="A1535" i="11"/>
  <c r="N1534" i="11"/>
  <c r="L1534" i="11"/>
  <c r="K1534" i="11"/>
  <c r="J1534" i="11"/>
  <c r="I1534" i="11"/>
  <c r="G1534" i="11"/>
  <c r="F1534" i="11"/>
  <c r="E1534" i="11"/>
  <c r="D1534" i="11"/>
  <c r="C1534" i="11"/>
  <c r="B1534" i="11"/>
  <c r="A1534" i="11"/>
  <c r="N1533" i="11"/>
  <c r="L1533" i="11"/>
  <c r="K1533" i="11"/>
  <c r="J1533" i="11"/>
  <c r="I1533" i="11"/>
  <c r="G1533" i="11"/>
  <c r="F1533" i="11"/>
  <c r="E1533" i="11"/>
  <c r="D1533" i="11"/>
  <c r="C1533" i="11"/>
  <c r="B1533" i="11"/>
  <c r="A1533" i="11"/>
  <c r="N1532" i="11"/>
  <c r="L1532" i="11"/>
  <c r="K1532" i="11"/>
  <c r="J1532" i="11"/>
  <c r="I1532" i="11"/>
  <c r="G1532" i="11"/>
  <c r="F1532" i="11"/>
  <c r="E1532" i="11"/>
  <c r="D1532" i="11"/>
  <c r="C1532" i="11"/>
  <c r="B1532" i="11"/>
  <c r="A1532" i="11"/>
  <c r="N1531" i="11"/>
  <c r="L1531" i="11"/>
  <c r="K1531" i="11"/>
  <c r="J1531" i="11"/>
  <c r="I1531" i="11"/>
  <c r="G1531" i="11"/>
  <c r="F1531" i="11"/>
  <c r="E1531" i="11"/>
  <c r="D1531" i="11"/>
  <c r="C1531" i="11"/>
  <c r="B1531" i="11"/>
  <c r="A1531" i="11"/>
  <c r="N1530" i="11"/>
  <c r="L1530" i="11"/>
  <c r="K1530" i="11"/>
  <c r="J1530" i="11"/>
  <c r="I1530" i="11"/>
  <c r="G1530" i="11"/>
  <c r="F1530" i="11"/>
  <c r="E1530" i="11"/>
  <c r="D1530" i="11"/>
  <c r="C1530" i="11"/>
  <c r="B1530" i="11"/>
  <c r="A1530" i="11"/>
  <c r="N1529" i="11"/>
  <c r="L1529" i="11"/>
  <c r="K1529" i="11"/>
  <c r="J1529" i="11"/>
  <c r="I1529" i="11"/>
  <c r="G1529" i="11"/>
  <c r="F1529" i="11"/>
  <c r="E1529" i="11"/>
  <c r="D1529" i="11"/>
  <c r="C1529" i="11"/>
  <c r="B1529" i="11"/>
  <c r="A1529" i="11"/>
  <c r="N1528" i="11"/>
  <c r="L1528" i="11"/>
  <c r="K1528" i="11"/>
  <c r="J1528" i="11"/>
  <c r="I1528" i="11"/>
  <c r="G1528" i="11"/>
  <c r="F1528" i="11"/>
  <c r="E1528" i="11"/>
  <c r="D1528" i="11"/>
  <c r="C1528" i="11"/>
  <c r="B1528" i="11"/>
  <c r="A1528" i="11"/>
  <c r="N1527" i="11"/>
  <c r="L1527" i="11"/>
  <c r="K1527" i="11"/>
  <c r="J1527" i="11"/>
  <c r="I1527" i="11"/>
  <c r="G1527" i="11"/>
  <c r="F1527" i="11"/>
  <c r="E1527" i="11"/>
  <c r="D1527" i="11"/>
  <c r="C1527" i="11"/>
  <c r="B1527" i="11"/>
  <c r="A1527" i="11"/>
  <c r="N1526" i="11"/>
  <c r="L1526" i="11"/>
  <c r="K1526" i="11"/>
  <c r="J1526" i="11"/>
  <c r="I1526" i="11"/>
  <c r="G1526" i="11"/>
  <c r="F1526" i="11"/>
  <c r="E1526" i="11"/>
  <c r="D1526" i="11"/>
  <c r="C1526" i="11"/>
  <c r="B1526" i="11"/>
  <c r="A1526" i="11"/>
  <c r="N1525" i="11"/>
  <c r="L1525" i="11"/>
  <c r="K1525" i="11"/>
  <c r="J1525" i="11"/>
  <c r="I1525" i="11"/>
  <c r="G1525" i="11"/>
  <c r="F1525" i="11"/>
  <c r="E1525" i="11"/>
  <c r="D1525" i="11"/>
  <c r="C1525" i="11"/>
  <c r="B1525" i="11"/>
  <c r="A1525" i="11"/>
  <c r="N1524" i="11"/>
  <c r="L1524" i="11"/>
  <c r="K1524" i="11"/>
  <c r="J1524" i="11"/>
  <c r="I1524" i="11"/>
  <c r="G1524" i="11"/>
  <c r="F1524" i="11"/>
  <c r="E1524" i="11"/>
  <c r="D1524" i="11"/>
  <c r="C1524" i="11"/>
  <c r="B1524" i="11"/>
  <c r="A1524" i="11"/>
  <c r="N1523" i="11"/>
  <c r="L1523" i="11"/>
  <c r="K1523" i="11"/>
  <c r="J1523" i="11"/>
  <c r="I1523" i="11"/>
  <c r="G1523" i="11"/>
  <c r="F1523" i="11"/>
  <c r="E1523" i="11"/>
  <c r="D1523" i="11"/>
  <c r="C1523" i="11"/>
  <c r="B1523" i="11"/>
  <c r="A1523" i="11"/>
  <c r="N1522" i="11"/>
  <c r="L1522" i="11"/>
  <c r="K1522" i="11"/>
  <c r="J1522" i="11"/>
  <c r="I1522" i="11"/>
  <c r="G1522" i="11"/>
  <c r="F1522" i="11"/>
  <c r="E1522" i="11"/>
  <c r="D1522" i="11"/>
  <c r="C1522" i="11"/>
  <c r="B1522" i="11"/>
  <c r="A1522" i="11"/>
  <c r="N1521" i="11"/>
  <c r="L1521" i="11"/>
  <c r="K1521" i="11"/>
  <c r="J1521" i="11"/>
  <c r="I1521" i="11"/>
  <c r="G1521" i="11"/>
  <c r="F1521" i="11"/>
  <c r="E1521" i="11"/>
  <c r="D1521" i="11"/>
  <c r="C1521" i="11"/>
  <c r="B1521" i="11"/>
  <c r="A1521" i="11"/>
  <c r="N1520" i="11"/>
  <c r="L1520" i="11"/>
  <c r="K1520" i="11"/>
  <c r="J1520" i="11"/>
  <c r="I1520" i="11"/>
  <c r="G1520" i="11"/>
  <c r="F1520" i="11"/>
  <c r="E1520" i="11"/>
  <c r="D1520" i="11"/>
  <c r="C1520" i="11"/>
  <c r="B1520" i="11"/>
  <c r="A1520" i="11"/>
  <c r="N1519" i="11"/>
  <c r="L1519" i="11"/>
  <c r="K1519" i="11"/>
  <c r="J1519" i="11"/>
  <c r="I1519" i="11"/>
  <c r="G1519" i="11"/>
  <c r="F1519" i="11"/>
  <c r="E1519" i="11"/>
  <c r="D1519" i="11"/>
  <c r="C1519" i="11"/>
  <c r="B1519" i="11"/>
  <c r="A1519" i="11"/>
  <c r="N1518" i="11"/>
  <c r="L1518" i="11"/>
  <c r="K1518" i="11"/>
  <c r="J1518" i="11"/>
  <c r="I1518" i="11"/>
  <c r="G1518" i="11"/>
  <c r="F1518" i="11"/>
  <c r="E1518" i="11"/>
  <c r="D1518" i="11"/>
  <c r="C1518" i="11"/>
  <c r="B1518" i="11"/>
  <c r="A1518" i="11"/>
  <c r="N1517" i="11"/>
  <c r="L1517" i="11"/>
  <c r="K1517" i="11"/>
  <c r="J1517" i="11"/>
  <c r="I1517" i="11"/>
  <c r="G1517" i="11"/>
  <c r="F1517" i="11"/>
  <c r="E1517" i="11"/>
  <c r="D1517" i="11"/>
  <c r="C1517" i="11"/>
  <c r="B1517" i="11"/>
  <c r="A1517" i="11"/>
  <c r="N1516" i="11"/>
  <c r="L1516" i="11"/>
  <c r="K1516" i="11"/>
  <c r="J1516" i="11"/>
  <c r="I1516" i="11"/>
  <c r="G1516" i="11"/>
  <c r="F1516" i="11"/>
  <c r="E1516" i="11"/>
  <c r="D1516" i="11"/>
  <c r="C1516" i="11"/>
  <c r="B1516" i="11"/>
  <c r="A1516" i="11"/>
  <c r="N1515" i="11"/>
  <c r="L1515" i="11"/>
  <c r="K1515" i="11"/>
  <c r="J1515" i="11"/>
  <c r="I1515" i="11"/>
  <c r="G1515" i="11"/>
  <c r="F1515" i="11"/>
  <c r="E1515" i="11"/>
  <c r="D1515" i="11"/>
  <c r="C1515" i="11"/>
  <c r="B1515" i="11"/>
  <c r="A1515" i="11"/>
  <c r="N1514" i="11"/>
  <c r="L1514" i="11"/>
  <c r="K1514" i="11"/>
  <c r="J1514" i="11"/>
  <c r="I1514" i="11"/>
  <c r="G1514" i="11"/>
  <c r="F1514" i="11"/>
  <c r="E1514" i="11"/>
  <c r="D1514" i="11"/>
  <c r="C1514" i="11"/>
  <c r="B1514" i="11"/>
  <c r="A1514" i="11"/>
  <c r="N1513" i="11"/>
  <c r="L1513" i="11"/>
  <c r="K1513" i="11"/>
  <c r="J1513" i="11"/>
  <c r="I1513" i="11"/>
  <c r="G1513" i="11"/>
  <c r="F1513" i="11"/>
  <c r="E1513" i="11"/>
  <c r="D1513" i="11"/>
  <c r="C1513" i="11"/>
  <c r="B1513" i="11"/>
  <c r="A1513" i="11"/>
  <c r="N1512" i="11"/>
  <c r="L1512" i="11"/>
  <c r="K1512" i="11"/>
  <c r="J1512" i="11"/>
  <c r="I1512" i="11"/>
  <c r="G1512" i="11"/>
  <c r="F1512" i="11"/>
  <c r="E1512" i="11"/>
  <c r="D1512" i="11"/>
  <c r="C1512" i="11"/>
  <c r="B1512" i="11"/>
  <c r="A1512" i="11"/>
  <c r="N1511" i="11"/>
  <c r="L1511" i="11"/>
  <c r="K1511" i="11"/>
  <c r="J1511" i="11"/>
  <c r="I1511" i="11"/>
  <c r="G1511" i="11"/>
  <c r="F1511" i="11"/>
  <c r="E1511" i="11"/>
  <c r="D1511" i="11"/>
  <c r="C1511" i="11"/>
  <c r="B1511" i="11"/>
  <c r="A1511" i="11"/>
  <c r="N1510" i="11"/>
  <c r="L1510" i="11"/>
  <c r="K1510" i="11"/>
  <c r="J1510" i="11"/>
  <c r="I1510" i="11"/>
  <c r="G1510" i="11"/>
  <c r="F1510" i="11"/>
  <c r="E1510" i="11"/>
  <c r="D1510" i="11"/>
  <c r="C1510" i="11"/>
  <c r="B1510" i="11"/>
  <c r="A1510" i="11"/>
  <c r="N1509" i="11"/>
  <c r="L1509" i="11"/>
  <c r="K1509" i="11"/>
  <c r="J1509" i="11"/>
  <c r="I1509" i="11"/>
  <c r="G1509" i="11"/>
  <c r="F1509" i="11"/>
  <c r="E1509" i="11"/>
  <c r="D1509" i="11"/>
  <c r="C1509" i="11"/>
  <c r="B1509" i="11"/>
  <c r="A1509" i="11"/>
  <c r="N1508" i="11"/>
  <c r="L1508" i="11"/>
  <c r="K1508" i="11"/>
  <c r="J1508" i="11"/>
  <c r="I1508" i="11"/>
  <c r="G1508" i="11"/>
  <c r="F1508" i="11"/>
  <c r="E1508" i="11"/>
  <c r="D1508" i="11"/>
  <c r="C1508" i="11"/>
  <c r="B1508" i="11"/>
  <c r="A1508" i="11"/>
  <c r="N1507" i="11"/>
  <c r="L1507" i="11"/>
  <c r="K1507" i="11"/>
  <c r="J1507" i="11"/>
  <c r="I1507" i="11"/>
  <c r="G1507" i="11"/>
  <c r="F1507" i="11"/>
  <c r="E1507" i="11"/>
  <c r="D1507" i="11"/>
  <c r="C1507" i="11"/>
  <c r="B1507" i="11"/>
  <c r="A1507" i="11"/>
  <c r="N1506" i="11"/>
  <c r="L1506" i="11"/>
  <c r="K1506" i="11"/>
  <c r="J1506" i="11"/>
  <c r="I1506" i="11"/>
  <c r="G1506" i="11"/>
  <c r="F1506" i="11"/>
  <c r="E1506" i="11"/>
  <c r="D1506" i="11"/>
  <c r="C1506" i="11"/>
  <c r="B1506" i="11"/>
  <c r="A1506" i="11"/>
  <c r="N1505" i="11"/>
  <c r="L1505" i="11"/>
  <c r="K1505" i="11"/>
  <c r="J1505" i="11"/>
  <c r="I1505" i="11"/>
  <c r="G1505" i="11"/>
  <c r="F1505" i="11"/>
  <c r="E1505" i="11"/>
  <c r="D1505" i="11"/>
  <c r="C1505" i="11"/>
  <c r="B1505" i="11"/>
  <c r="A1505" i="11"/>
  <c r="N1504" i="11"/>
  <c r="L1504" i="11"/>
  <c r="K1504" i="11"/>
  <c r="J1504" i="11"/>
  <c r="I1504" i="11"/>
  <c r="G1504" i="11"/>
  <c r="F1504" i="11"/>
  <c r="E1504" i="11"/>
  <c r="D1504" i="11"/>
  <c r="C1504" i="11"/>
  <c r="B1504" i="11"/>
  <c r="A1504" i="11"/>
  <c r="N1503" i="11"/>
  <c r="L1503" i="11"/>
  <c r="K1503" i="11"/>
  <c r="J1503" i="11"/>
  <c r="I1503" i="11"/>
  <c r="G1503" i="11"/>
  <c r="F1503" i="11"/>
  <c r="E1503" i="11"/>
  <c r="D1503" i="11"/>
  <c r="C1503" i="11"/>
  <c r="B1503" i="11"/>
  <c r="A1503" i="11"/>
  <c r="N1502" i="11"/>
  <c r="L1502" i="11"/>
  <c r="K1502" i="11"/>
  <c r="J1502" i="11"/>
  <c r="I1502" i="11"/>
  <c r="G1502" i="11"/>
  <c r="F1502" i="11"/>
  <c r="E1502" i="11"/>
  <c r="D1502" i="11"/>
  <c r="C1502" i="11"/>
  <c r="B1502" i="11"/>
  <c r="A1502" i="11"/>
  <c r="N1501" i="11"/>
  <c r="L1501" i="11"/>
  <c r="K1501" i="11"/>
  <c r="J1501" i="11"/>
  <c r="I1501" i="11"/>
  <c r="G1501" i="11"/>
  <c r="F1501" i="11"/>
  <c r="E1501" i="11"/>
  <c r="D1501" i="11"/>
  <c r="C1501" i="11"/>
  <c r="B1501" i="11"/>
  <c r="A1501" i="11"/>
  <c r="N1500" i="11"/>
  <c r="L1500" i="11"/>
  <c r="K1500" i="11"/>
  <c r="J1500" i="11"/>
  <c r="I1500" i="11"/>
  <c r="G1500" i="11"/>
  <c r="F1500" i="11"/>
  <c r="E1500" i="11"/>
  <c r="D1500" i="11"/>
  <c r="C1500" i="11"/>
  <c r="B1500" i="11"/>
  <c r="A1500" i="11"/>
  <c r="N1499" i="11"/>
  <c r="L1499" i="11"/>
  <c r="K1499" i="11"/>
  <c r="J1499" i="11"/>
  <c r="I1499" i="11"/>
  <c r="G1499" i="11"/>
  <c r="F1499" i="11"/>
  <c r="E1499" i="11"/>
  <c r="D1499" i="11"/>
  <c r="C1499" i="11"/>
  <c r="B1499" i="11"/>
  <c r="A1499" i="11"/>
  <c r="N1498" i="11"/>
  <c r="L1498" i="11"/>
  <c r="K1498" i="11"/>
  <c r="J1498" i="11"/>
  <c r="I1498" i="11"/>
  <c r="G1498" i="11"/>
  <c r="F1498" i="11"/>
  <c r="E1498" i="11"/>
  <c r="D1498" i="11"/>
  <c r="C1498" i="11"/>
  <c r="B1498" i="11"/>
  <c r="A1498" i="11"/>
  <c r="N1497" i="11"/>
  <c r="L1497" i="11"/>
  <c r="K1497" i="11"/>
  <c r="J1497" i="11"/>
  <c r="I1497" i="11"/>
  <c r="G1497" i="11"/>
  <c r="F1497" i="11"/>
  <c r="E1497" i="11"/>
  <c r="D1497" i="11"/>
  <c r="C1497" i="11"/>
  <c r="B1497" i="11"/>
  <c r="A1497" i="11"/>
  <c r="N1496" i="11"/>
  <c r="L1496" i="11"/>
  <c r="K1496" i="11"/>
  <c r="J1496" i="11"/>
  <c r="I1496" i="11"/>
  <c r="G1496" i="11"/>
  <c r="F1496" i="11"/>
  <c r="E1496" i="11"/>
  <c r="D1496" i="11"/>
  <c r="C1496" i="11"/>
  <c r="B1496" i="11"/>
  <c r="A1496" i="11"/>
  <c r="N1495" i="11"/>
  <c r="L1495" i="11"/>
  <c r="K1495" i="11"/>
  <c r="J1495" i="11"/>
  <c r="I1495" i="11"/>
  <c r="G1495" i="11"/>
  <c r="F1495" i="11"/>
  <c r="E1495" i="11"/>
  <c r="D1495" i="11"/>
  <c r="C1495" i="11"/>
  <c r="B1495" i="11"/>
  <c r="A1495" i="11"/>
  <c r="N1494" i="11"/>
  <c r="L1494" i="11"/>
  <c r="K1494" i="11"/>
  <c r="J1494" i="11"/>
  <c r="I1494" i="11"/>
  <c r="G1494" i="11"/>
  <c r="F1494" i="11"/>
  <c r="E1494" i="11"/>
  <c r="D1494" i="11"/>
  <c r="C1494" i="11"/>
  <c r="B1494" i="11"/>
  <c r="A1494" i="11"/>
  <c r="N1493" i="11"/>
  <c r="L1493" i="11"/>
  <c r="K1493" i="11"/>
  <c r="J1493" i="11"/>
  <c r="I1493" i="11"/>
  <c r="G1493" i="11"/>
  <c r="F1493" i="11"/>
  <c r="E1493" i="11"/>
  <c r="D1493" i="11"/>
  <c r="C1493" i="11"/>
  <c r="B1493" i="11"/>
  <c r="A1493" i="11"/>
  <c r="N1492" i="11"/>
  <c r="L1492" i="11"/>
  <c r="K1492" i="11"/>
  <c r="J1492" i="11"/>
  <c r="I1492" i="11"/>
  <c r="G1492" i="11"/>
  <c r="F1492" i="11"/>
  <c r="E1492" i="11"/>
  <c r="D1492" i="11"/>
  <c r="C1492" i="11"/>
  <c r="B1492" i="11"/>
  <c r="A1492" i="11"/>
  <c r="N1491" i="11"/>
  <c r="L1491" i="11"/>
  <c r="K1491" i="11"/>
  <c r="J1491" i="11"/>
  <c r="I1491" i="11"/>
  <c r="G1491" i="11"/>
  <c r="F1491" i="11"/>
  <c r="E1491" i="11"/>
  <c r="D1491" i="11"/>
  <c r="C1491" i="11"/>
  <c r="B1491" i="11"/>
  <c r="A1491" i="11"/>
  <c r="N1490" i="11"/>
  <c r="L1490" i="11"/>
  <c r="K1490" i="11"/>
  <c r="J1490" i="11"/>
  <c r="I1490" i="11"/>
  <c r="G1490" i="11"/>
  <c r="F1490" i="11"/>
  <c r="E1490" i="11"/>
  <c r="D1490" i="11"/>
  <c r="C1490" i="11"/>
  <c r="B1490" i="11"/>
  <c r="A1490" i="11"/>
  <c r="N1489" i="11"/>
  <c r="L1489" i="11"/>
  <c r="K1489" i="11"/>
  <c r="J1489" i="11"/>
  <c r="I1489" i="11"/>
  <c r="G1489" i="11"/>
  <c r="F1489" i="11"/>
  <c r="E1489" i="11"/>
  <c r="D1489" i="11"/>
  <c r="C1489" i="11"/>
  <c r="B1489" i="11"/>
  <c r="A1489" i="11"/>
  <c r="N1488" i="11"/>
  <c r="L1488" i="11"/>
  <c r="K1488" i="11"/>
  <c r="J1488" i="11"/>
  <c r="I1488" i="11"/>
  <c r="G1488" i="11"/>
  <c r="F1488" i="11"/>
  <c r="E1488" i="11"/>
  <c r="D1488" i="11"/>
  <c r="C1488" i="11"/>
  <c r="B1488" i="11"/>
  <c r="A1488" i="11"/>
  <c r="N1487" i="11"/>
  <c r="L1487" i="11"/>
  <c r="K1487" i="11"/>
  <c r="J1487" i="11"/>
  <c r="I1487" i="11"/>
  <c r="G1487" i="11"/>
  <c r="F1487" i="11"/>
  <c r="E1487" i="11"/>
  <c r="D1487" i="11"/>
  <c r="C1487" i="11"/>
  <c r="B1487" i="11"/>
  <c r="A1487" i="11"/>
  <c r="N1486" i="11"/>
  <c r="L1486" i="11"/>
  <c r="K1486" i="11"/>
  <c r="J1486" i="11"/>
  <c r="I1486" i="11"/>
  <c r="G1486" i="11"/>
  <c r="F1486" i="11"/>
  <c r="E1486" i="11"/>
  <c r="D1486" i="11"/>
  <c r="C1486" i="11"/>
  <c r="B1486" i="11"/>
  <c r="A1486" i="11"/>
  <c r="N1485" i="11"/>
  <c r="L1485" i="11"/>
  <c r="K1485" i="11"/>
  <c r="J1485" i="11"/>
  <c r="I1485" i="11"/>
  <c r="G1485" i="11"/>
  <c r="F1485" i="11"/>
  <c r="E1485" i="11"/>
  <c r="D1485" i="11"/>
  <c r="C1485" i="11"/>
  <c r="B1485" i="11"/>
  <c r="A1485" i="11"/>
  <c r="N1484" i="11"/>
  <c r="L1484" i="11"/>
  <c r="K1484" i="11"/>
  <c r="J1484" i="11"/>
  <c r="I1484" i="11"/>
  <c r="G1484" i="11"/>
  <c r="F1484" i="11"/>
  <c r="E1484" i="11"/>
  <c r="D1484" i="11"/>
  <c r="C1484" i="11"/>
  <c r="B1484" i="11"/>
  <c r="A1484" i="11"/>
  <c r="N1483" i="11"/>
  <c r="L1483" i="11"/>
  <c r="K1483" i="11"/>
  <c r="J1483" i="11"/>
  <c r="I1483" i="11"/>
  <c r="G1483" i="11"/>
  <c r="F1483" i="11"/>
  <c r="E1483" i="11"/>
  <c r="D1483" i="11"/>
  <c r="C1483" i="11"/>
  <c r="B1483" i="11"/>
  <c r="A1483" i="11"/>
  <c r="N1482" i="11"/>
  <c r="L1482" i="11"/>
  <c r="K1482" i="11"/>
  <c r="J1482" i="11"/>
  <c r="I1482" i="11"/>
  <c r="H1482" i="11"/>
  <c r="G1482" i="11"/>
  <c r="F1482" i="11"/>
  <c r="E1482" i="11"/>
  <c r="D1482" i="11"/>
  <c r="C1482" i="11"/>
  <c r="B1482" i="11"/>
  <c r="A1482" i="11"/>
  <c r="O1481" i="11"/>
  <c r="N1481" i="11"/>
  <c r="L1481" i="11"/>
  <c r="K1481" i="11"/>
  <c r="J1481" i="11"/>
  <c r="I1481" i="11"/>
  <c r="H1481" i="11"/>
  <c r="G1481" i="11"/>
  <c r="F1481" i="11"/>
  <c r="E1481" i="11"/>
  <c r="D1481" i="11"/>
  <c r="C1481" i="11"/>
  <c r="B1481" i="11"/>
  <c r="A1481" i="11"/>
  <c r="O1480" i="11"/>
  <c r="N1480" i="11"/>
  <c r="L1480" i="11"/>
  <c r="K1480" i="11"/>
  <c r="J1480" i="11"/>
  <c r="I1480" i="11"/>
  <c r="H1480" i="11"/>
  <c r="G1480" i="11"/>
  <c r="F1480" i="11"/>
  <c r="E1480" i="11"/>
  <c r="D1480" i="11"/>
  <c r="C1480" i="11"/>
  <c r="B1480" i="11"/>
  <c r="A1480" i="11"/>
  <c r="O1479" i="11"/>
  <c r="N1479" i="11"/>
  <c r="L1479" i="11"/>
  <c r="K1479" i="11"/>
  <c r="J1479" i="11"/>
  <c r="I1479" i="11"/>
  <c r="H1479" i="11"/>
  <c r="G1479" i="11"/>
  <c r="F1479" i="11"/>
  <c r="E1479" i="11"/>
  <c r="D1479" i="11"/>
  <c r="C1479" i="11"/>
  <c r="B1479" i="11"/>
  <c r="A1479" i="11"/>
  <c r="O1478" i="11"/>
  <c r="N1478" i="11"/>
  <c r="L1478" i="11"/>
  <c r="K1478" i="11"/>
  <c r="J1478" i="11"/>
  <c r="I1478" i="11"/>
  <c r="H1478" i="11"/>
  <c r="G1478" i="11"/>
  <c r="F1478" i="11"/>
  <c r="E1478" i="11"/>
  <c r="D1478" i="11"/>
  <c r="C1478" i="11"/>
  <c r="B1478" i="11"/>
  <c r="A1478" i="11"/>
  <c r="O1477" i="11"/>
  <c r="N1477" i="11"/>
  <c r="L1477" i="11"/>
  <c r="K1477" i="11"/>
  <c r="J1477" i="11"/>
  <c r="I1477" i="11"/>
  <c r="H1477" i="11"/>
  <c r="G1477" i="11"/>
  <c r="F1477" i="11"/>
  <c r="E1477" i="11"/>
  <c r="D1477" i="11"/>
  <c r="C1477" i="11"/>
  <c r="B1477" i="11"/>
  <c r="A1477" i="11"/>
  <c r="O1476" i="11"/>
  <c r="N1476" i="11"/>
  <c r="L1476" i="11"/>
  <c r="K1476" i="11"/>
  <c r="J1476" i="11"/>
  <c r="I1476" i="11"/>
  <c r="H1476" i="11"/>
  <c r="G1476" i="11"/>
  <c r="F1476" i="11"/>
  <c r="E1476" i="11"/>
  <c r="D1476" i="11"/>
  <c r="C1476" i="11"/>
  <c r="B1476" i="11"/>
  <c r="A1476" i="11"/>
  <c r="O1475" i="11"/>
  <c r="N1475" i="11"/>
  <c r="L1475" i="11"/>
  <c r="K1475" i="11"/>
  <c r="J1475" i="11"/>
  <c r="I1475" i="11"/>
  <c r="H1475" i="11"/>
  <c r="G1475" i="11"/>
  <c r="F1475" i="11"/>
  <c r="E1475" i="11"/>
  <c r="D1475" i="11"/>
  <c r="C1475" i="11"/>
  <c r="B1475" i="11"/>
  <c r="A1475" i="11"/>
  <c r="O1474" i="11"/>
  <c r="N1474" i="11"/>
  <c r="L1474" i="11"/>
  <c r="K1474" i="11"/>
  <c r="J1474" i="11"/>
  <c r="I1474" i="11"/>
  <c r="H1474" i="11"/>
  <c r="G1474" i="11"/>
  <c r="F1474" i="11"/>
  <c r="E1474" i="11"/>
  <c r="D1474" i="11"/>
  <c r="C1474" i="11"/>
  <c r="B1474" i="11"/>
  <c r="A1474" i="11"/>
  <c r="O1473" i="11"/>
  <c r="N1473" i="11"/>
  <c r="L1473" i="11"/>
  <c r="K1473" i="11"/>
  <c r="J1473" i="11"/>
  <c r="I1473" i="11"/>
  <c r="H1473" i="11"/>
  <c r="G1473" i="11"/>
  <c r="F1473" i="11"/>
  <c r="E1473" i="11"/>
  <c r="D1473" i="11"/>
  <c r="C1473" i="11"/>
  <c r="B1473" i="11"/>
  <c r="A1473" i="11"/>
  <c r="O1472" i="11"/>
  <c r="N1472" i="11"/>
  <c r="L1472" i="11"/>
  <c r="K1472" i="11"/>
  <c r="J1472" i="11"/>
  <c r="I1472" i="11"/>
  <c r="H1472" i="11"/>
  <c r="G1472" i="11"/>
  <c r="F1472" i="11"/>
  <c r="E1472" i="11"/>
  <c r="D1472" i="11"/>
  <c r="C1472" i="11"/>
  <c r="B1472" i="11"/>
  <c r="A1472" i="11"/>
  <c r="O1471" i="11"/>
  <c r="N1471" i="11"/>
  <c r="L1471" i="11"/>
  <c r="K1471" i="11"/>
  <c r="J1471" i="11"/>
  <c r="I1471" i="11"/>
  <c r="H1471" i="11"/>
  <c r="G1471" i="11"/>
  <c r="F1471" i="11"/>
  <c r="E1471" i="11"/>
  <c r="D1471" i="11"/>
  <c r="C1471" i="11"/>
  <c r="B1471" i="11"/>
  <c r="A1471" i="11"/>
  <c r="O1470" i="11"/>
  <c r="N1470" i="11"/>
  <c r="L1470" i="11"/>
  <c r="K1470" i="11"/>
  <c r="J1470" i="11"/>
  <c r="I1470" i="11"/>
  <c r="H1470" i="11"/>
  <c r="G1470" i="11"/>
  <c r="F1470" i="11"/>
  <c r="E1470" i="11"/>
  <c r="D1470" i="11"/>
  <c r="C1470" i="11"/>
  <c r="B1470" i="11"/>
  <c r="A1470" i="11"/>
  <c r="O1469" i="11"/>
  <c r="N1469" i="11"/>
  <c r="L1469" i="11"/>
  <c r="K1469" i="11"/>
  <c r="J1469" i="11"/>
  <c r="I1469" i="11"/>
  <c r="H1469" i="11"/>
  <c r="G1469" i="11"/>
  <c r="F1469" i="11"/>
  <c r="E1469" i="11"/>
  <c r="D1469" i="11"/>
  <c r="C1469" i="11"/>
  <c r="B1469" i="11"/>
  <c r="A1469" i="11"/>
  <c r="O1468" i="11"/>
  <c r="N1468" i="11"/>
  <c r="L1468" i="11"/>
  <c r="K1468" i="11"/>
  <c r="J1468" i="11"/>
  <c r="I1468" i="11"/>
  <c r="H1468" i="11"/>
  <c r="G1468" i="11"/>
  <c r="F1468" i="11"/>
  <c r="E1468" i="11"/>
  <c r="D1468" i="11"/>
  <c r="C1468" i="11"/>
  <c r="B1468" i="11"/>
  <c r="A1468" i="11"/>
  <c r="O1467" i="11"/>
  <c r="N1467" i="11"/>
  <c r="L1467" i="11"/>
  <c r="K1467" i="11"/>
  <c r="J1467" i="11"/>
  <c r="I1467" i="11"/>
  <c r="H1467" i="11"/>
  <c r="G1467" i="11"/>
  <c r="F1467" i="11"/>
  <c r="E1467" i="11"/>
  <c r="D1467" i="11"/>
  <c r="C1467" i="11"/>
  <c r="B1467" i="11"/>
  <c r="A1467" i="11"/>
  <c r="O1466" i="11"/>
  <c r="N1466" i="11"/>
  <c r="L1466" i="11"/>
  <c r="K1466" i="11"/>
  <c r="J1466" i="11"/>
  <c r="I1466" i="11"/>
  <c r="H1466" i="11"/>
  <c r="G1466" i="11"/>
  <c r="F1466" i="11"/>
  <c r="E1466" i="11"/>
  <c r="D1466" i="11"/>
  <c r="C1466" i="11"/>
  <c r="B1466" i="11"/>
  <c r="A1466" i="11"/>
  <c r="O1465" i="11"/>
  <c r="N1465" i="11"/>
  <c r="L1465" i="11"/>
  <c r="K1465" i="11"/>
  <c r="J1465" i="11"/>
  <c r="I1465" i="11"/>
  <c r="H1465" i="11"/>
  <c r="G1465" i="11"/>
  <c r="F1465" i="11"/>
  <c r="E1465" i="11"/>
  <c r="D1465" i="11"/>
  <c r="C1465" i="11"/>
  <c r="B1465" i="11"/>
  <c r="A1465" i="11"/>
  <c r="O1464" i="11"/>
  <c r="N1464" i="11"/>
  <c r="L1464" i="11"/>
  <c r="K1464" i="11"/>
  <c r="J1464" i="11"/>
  <c r="I1464" i="11"/>
  <c r="H1464" i="11"/>
  <c r="G1464" i="11"/>
  <c r="F1464" i="11"/>
  <c r="E1464" i="11"/>
  <c r="D1464" i="11"/>
  <c r="C1464" i="11"/>
  <c r="B1464" i="11"/>
  <c r="A1464" i="11"/>
  <c r="O1463" i="11"/>
  <c r="N1463" i="11"/>
  <c r="L1463" i="11"/>
  <c r="K1463" i="11"/>
  <c r="J1463" i="11"/>
  <c r="I1463" i="11"/>
  <c r="G1463" i="11"/>
  <c r="F1463" i="11"/>
  <c r="E1463" i="11"/>
  <c r="D1463" i="11"/>
  <c r="C1463" i="11"/>
  <c r="B1463" i="11"/>
  <c r="A1463" i="11"/>
  <c r="O1462" i="11"/>
  <c r="N1462" i="11"/>
  <c r="L1462" i="11"/>
  <c r="K1462" i="11"/>
  <c r="J1462" i="11"/>
  <c r="I1462" i="11"/>
  <c r="G1462" i="11"/>
  <c r="F1462" i="11"/>
  <c r="E1462" i="11"/>
  <c r="D1462" i="11"/>
  <c r="C1462" i="11"/>
  <c r="B1462" i="11"/>
  <c r="A1462" i="11"/>
  <c r="O1461" i="11"/>
  <c r="N1461" i="11"/>
  <c r="L1461" i="11"/>
  <c r="K1461" i="11"/>
  <c r="J1461" i="11"/>
  <c r="I1461" i="11"/>
  <c r="G1461" i="11"/>
  <c r="F1461" i="11"/>
  <c r="E1461" i="11"/>
  <c r="D1461" i="11"/>
  <c r="C1461" i="11"/>
  <c r="B1461" i="11"/>
  <c r="A1461" i="11"/>
  <c r="O1460" i="11"/>
  <c r="N1460" i="11"/>
  <c r="L1460" i="11"/>
  <c r="K1460" i="11"/>
  <c r="J1460" i="11"/>
  <c r="I1460" i="11"/>
  <c r="G1460" i="11"/>
  <c r="F1460" i="11"/>
  <c r="E1460" i="11"/>
  <c r="D1460" i="11"/>
  <c r="C1460" i="11"/>
  <c r="B1460" i="11"/>
  <c r="A1460" i="11"/>
  <c r="O1459" i="11"/>
  <c r="N1459" i="11"/>
  <c r="L1459" i="11"/>
  <c r="K1459" i="11"/>
  <c r="J1459" i="11"/>
  <c r="I1459" i="11"/>
  <c r="H1459" i="11"/>
  <c r="G1459" i="11"/>
  <c r="F1459" i="11"/>
  <c r="E1459" i="11"/>
  <c r="D1459" i="11"/>
  <c r="C1459" i="11"/>
  <c r="B1459" i="11"/>
  <c r="A1459" i="11"/>
  <c r="O1458" i="11"/>
  <c r="N1458" i="11"/>
  <c r="L1458" i="11"/>
  <c r="K1458" i="11"/>
  <c r="J1458" i="11"/>
  <c r="I1458" i="11"/>
  <c r="H1458" i="11"/>
  <c r="G1458" i="11"/>
  <c r="F1458" i="11"/>
  <c r="E1458" i="11"/>
  <c r="D1458" i="11"/>
  <c r="C1458" i="11"/>
  <c r="B1458" i="11"/>
  <c r="A1458" i="11"/>
  <c r="O1457" i="11"/>
  <c r="N1457" i="11"/>
  <c r="L1457" i="11"/>
  <c r="K1457" i="11"/>
  <c r="J1457" i="11"/>
  <c r="I1457" i="11"/>
  <c r="H1457" i="11"/>
  <c r="G1457" i="11"/>
  <c r="F1457" i="11"/>
  <c r="E1457" i="11"/>
  <c r="D1457" i="11"/>
  <c r="C1457" i="11"/>
  <c r="B1457" i="11"/>
  <c r="A1457" i="11"/>
  <c r="O1456" i="11"/>
  <c r="N1456" i="11"/>
  <c r="L1456" i="11"/>
  <c r="K1456" i="11"/>
  <c r="J1456" i="11"/>
  <c r="I1456" i="11"/>
  <c r="H1456" i="11"/>
  <c r="G1456" i="11"/>
  <c r="F1456" i="11"/>
  <c r="E1456" i="11"/>
  <c r="D1456" i="11"/>
  <c r="C1456" i="11"/>
  <c r="B1456" i="11"/>
  <c r="A1456" i="11"/>
  <c r="O1455" i="11"/>
  <c r="N1455" i="11"/>
  <c r="L1455" i="11"/>
  <c r="K1455" i="11"/>
  <c r="J1455" i="11"/>
  <c r="I1455" i="11"/>
  <c r="H1455" i="11"/>
  <c r="G1455" i="11"/>
  <c r="F1455" i="11"/>
  <c r="E1455" i="11"/>
  <c r="D1455" i="11"/>
  <c r="C1455" i="11"/>
  <c r="B1455" i="11"/>
  <c r="A1455" i="11"/>
  <c r="O1454" i="11"/>
  <c r="N1454" i="11"/>
  <c r="L1454" i="11"/>
  <c r="K1454" i="11"/>
  <c r="J1454" i="11"/>
  <c r="I1454" i="11"/>
  <c r="H1454" i="11"/>
  <c r="G1454" i="11"/>
  <c r="F1454" i="11"/>
  <c r="E1454" i="11"/>
  <c r="D1454" i="11"/>
  <c r="C1454" i="11"/>
  <c r="B1454" i="11"/>
  <c r="A1454" i="11"/>
  <c r="O1453" i="11"/>
  <c r="N1453" i="11"/>
  <c r="L1453" i="11"/>
  <c r="K1453" i="11"/>
  <c r="J1453" i="11"/>
  <c r="I1453" i="11"/>
  <c r="H1453" i="11"/>
  <c r="G1453" i="11"/>
  <c r="F1453" i="11"/>
  <c r="E1453" i="11"/>
  <c r="D1453" i="11"/>
  <c r="C1453" i="11"/>
  <c r="B1453" i="11"/>
  <c r="A1453" i="11"/>
  <c r="N1452" i="11"/>
  <c r="L1452" i="11"/>
  <c r="K1452" i="11"/>
  <c r="J1452" i="11"/>
  <c r="I1452" i="11"/>
  <c r="Q1452" i="11" s="1"/>
  <c r="G1452" i="11"/>
  <c r="F1452" i="11"/>
  <c r="E1452" i="11"/>
  <c r="D1452" i="11"/>
  <c r="C1452" i="11"/>
  <c r="B1452" i="11"/>
  <c r="A1452" i="11"/>
  <c r="N1451" i="11"/>
  <c r="L1451" i="11"/>
  <c r="K1451" i="11"/>
  <c r="J1451" i="11"/>
  <c r="I1451" i="11"/>
  <c r="Q1451" i="11" s="1"/>
  <c r="G1451" i="11"/>
  <c r="F1451" i="11"/>
  <c r="E1451" i="11"/>
  <c r="D1451" i="11"/>
  <c r="C1451" i="11"/>
  <c r="B1451" i="11"/>
  <c r="A1451" i="11"/>
  <c r="O1450" i="11"/>
  <c r="N1450" i="11"/>
  <c r="L1450" i="11"/>
  <c r="K1450" i="11"/>
  <c r="J1450" i="11"/>
  <c r="I1450" i="11"/>
  <c r="G1450" i="11"/>
  <c r="F1450" i="11"/>
  <c r="E1450" i="11"/>
  <c r="D1450" i="11"/>
  <c r="C1450" i="11"/>
  <c r="B1450" i="11"/>
  <c r="A1450" i="11"/>
  <c r="O1449" i="11"/>
  <c r="N1449" i="11"/>
  <c r="L1449" i="11"/>
  <c r="K1449" i="11"/>
  <c r="J1449" i="11"/>
  <c r="I1449" i="11"/>
  <c r="G1449" i="11"/>
  <c r="F1449" i="11"/>
  <c r="E1449" i="11"/>
  <c r="D1449" i="11"/>
  <c r="C1449" i="11"/>
  <c r="B1449" i="11"/>
  <c r="A1449" i="11"/>
  <c r="O1448" i="11"/>
  <c r="N1448" i="11"/>
  <c r="M1448" i="11"/>
  <c r="L1448" i="11"/>
  <c r="K1448" i="11"/>
  <c r="J1448" i="11"/>
  <c r="I1448" i="11"/>
  <c r="G1448" i="11"/>
  <c r="F1448" i="11"/>
  <c r="E1448" i="11"/>
  <c r="D1448" i="11"/>
  <c r="C1448" i="11"/>
  <c r="B1448" i="11"/>
  <c r="A1448" i="11"/>
  <c r="O1447" i="11"/>
  <c r="N1447" i="11"/>
  <c r="L1447" i="11"/>
  <c r="K1447" i="11"/>
  <c r="J1447" i="11"/>
  <c r="I1447" i="11"/>
  <c r="G1447" i="11"/>
  <c r="F1447" i="11"/>
  <c r="E1447" i="11"/>
  <c r="D1447" i="11"/>
  <c r="C1447" i="11"/>
  <c r="B1447" i="11"/>
  <c r="A1447" i="11"/>
  <c r="O1446" i="11"/>
  <c r="N1446" i="11"/>
  <c r="M1446" i="11"/>
  <c r="L1446" i="11"/>
  <c r="K1446" i="11"/>
  <c r="J1446" i="11"/>
  <c r="I1446" i="11"/>
  <c r="G1446" i="11"/>
  <c r="F1446" i="11"/>
  <c r="E1446" i="11"/>
  <c r="D1446" i="11"/>
  <c r="C1446" i="11"/>
  <c r="B1446" i="11"/>
  <c r="A1446" i="11"/>
  <c r="O1445" i="11"/>
  <c r="N1445" i="11"/>
  <c r="L1445" i="11"/>
  <c r="K1445" i="11"/>
  <c r="J1445" i="11"/>
  <c r="I1445" i="11"/>
  <c r="G1445" i="11"/>
  <c r="F1445" i="11"/>
  <c r="E1445" i="11"/>
  <c r="D1445" i="11"/>
  <c r="C1445" i="11"/>
  <c r="B1445" i="11"/>
  <c r="A1445" i="11"/>
  <c r="O1444" i="11"/>
  <c r="N1444" i="11"/>
  <c r="L1444" i="11"/>
  <c r="K1444" i="11"/>
  <c r="J1444" i="11"/>
  <c r="I1444" i="11"/>
  <c r="G1444" i="11"/>
  <c r="F1444" i="11"/>
  <c r="E1444" i="11"/>
  <c r="D1444" i="11"/>
  <c r="C1444" i="11"/>
  <c r="B1444" i="11"/>
  <c r="A1444" i="11"/>
  <c r="O1443" i="11"/>
  <c r="N1443" i="11"/>
  <c r="M1443" i="11"/>
  <c r="L1443" i="11"/>
  <c r="K1443" i="11"/>
  <c r="J1443" i="11"/>
  <c r="I1443" i="11"/>
  <c r="G1443" i="11"/>
  <c r="F1443" i="11"/>
  <c r="E1443" i="11"/>
  <c r="D1443" i="11"/>
  <c r="C1443" i="11"/>
  <c r="B1443" i="11"/>
  <c r="A1443" i="11"/>
  <c r="O1442" i="11"/>
  <c r="N1442" i="11"/>
  <c r="L1442" i="11"/>
  <c r="K1442" i="11"/>
  <c r="J1442" i="11"/>
  <c r="I1442" i="11"/>
  <c r="G1442" i="11"/>
  <c r="F1442" i="11"/>
  <c r="E1442" i="11"/>
  <c r="D1442" i="11"/>
  <c r="C1442" i="11"/>
  <c r="B1442" i="11"/>
  <c r="A1442" i="11"/>
  <c r="N1441" i="11"/>
  <c r="M1441" i="11"/>
  <c r="L1441" i="11"/>
  <c r="K1441" i="11"/>
  <c r="J1441" i="11"/>
  <c r="I1441" i="11"/>
  <c r="G1441" i="11"/>
  <c r="F1441" i="11"/>
  <c r="E1441" i="11"/>
  <c r="D1441" i="11"/>
  <c r="C1441" i="11"/>
  <c r="B1441" i="11"/>
  <c r="A1441" i="11"/>
  <c r="N1440" i="11"/>
  <c r="L1440" i="11"/>
  <c r="K1440" i="11"/>
  <c r="J1440" i="11"/>
  <c r="I1440" i="11"/>
  <c r="G1440" i="11"/>
  <c r="F1440" i="11"/>
  <c r="E1440" i="11"/>
  <c r="D1440" i="11"/>
  <c r="C1440" i="11"/>
  <c r="B1440" i="11"/>
  <c r="A1440" i="11"/>
  <c r="N1439" i="11"/>
  <c r="L1439" i="11"/>
  <c r="K1439" i="11"/>
  <c r="J1439" i="11"/>
  <c r="I1439" i="11"/>
  <c r="G1439" i="11"/>
  <c r="F1439" i="11"/>
  <c r="E1439" i="11"/>
  <c r="D1439" i="11"/>
  <c r="C1439" i="11"/>
  <c r="B1439" i="11"/>
  <c r="A1439" i="11"/>
  <c r="O1438" i="11"/>
  <c r="N1438" i="11"/>
  <c r="M1438" i="11"/>
  <c r="L1438" i="11"/>
  <c r="K1438" i="11"/>
  <c r="J1438" i="11"/>
  <c r="I1438" i="11"/>
  <c r="G1438" i="11"/>
  <c r="F1438" i="11"/>
  <c r="E1438" i="11"/>
  <c r="D1438" i="11"/>
  <c r="C1438" i="11"/>
  <c r="B1438" i="11"/>
  <c r="A1438" i="11"/>
  <c r="O1437" i="11"/>
  <c r="N1437" i="11"/>
  <c r="L1437" i="11"/>
  <c r="K1437" i="11"/>
  <c r="J1437" i="11"/>
  <c r="I1437" i="11"/>
  <c r="G1437" i="11"/>
  <c r="F1437" i="11"/>
  <c r="E1437" i="11"/>
  <c r="D1437" i="11"/>
  <c r="C1437" i="11"/>
  <c r="B1437" i="11"/>
  <c r="A1437" i="11"/>
  <c r="O1436" i="11"/>
  <c r="N1436" i="11"/>
  <c r="M1436" i="11"/>
  <c r="L1436" i="11"/>
  <c r="K1436" i="11"/>
  <c r="J1436" i="11"/>
  <c r="I1436" i="11"/>
  <c r="G1436" i="11"/>
  <c r="F1436" i="11"/>
  <c r="E1436" i="11"/>
  <c r="D1436" i="11"/>
  <c r="C1436" i="11"/>
  <c r="B1436" i="11"/>
  <c r="A1436" i="11"/>
  <c r="O1435" i="11"/>
  <c r="N1435" i="11"/>
  <c r="L1435" i="11"/>
  <c r="K1435" i="11"/>
  <c r="J1435" i="11"/>
  <c r="I1435" i="11"/>
  <c r="G1435" i="11"/>
  <c r="F1435" i="11"/>
  <c r="E1435" i="11"/>
  <c r="D1435" i="11"/>
  <c r="C1435" i="11"/>
  <c r="B1435" i="11"/>
  <c r="A1435" i="11"/>
  <c r="N1434" i="11"/>
  <c r="M1434" i="11"/>
  <c r="L1434" i="11"/>
  <c r="K1434" i="11"/>
  <c r="J1434" i="11"/>
  <c r="I1434" i="11"/>
  <c r="G1434" i="11"/>
  <c r="F1434" i="11"/>
  <c r="E1434" i="11"/>
  <c r="D1434" i="11"/>
  <c r="C1434" i="11"/>
  <c r="B1434" i="11"/>
  <c r="A1434" i="11"/>
  <c r="N1433" i="11"/>
  <c r="L1433" i="11"/>
  <c r="K1433" i="11"/>
  <c r="J1433" i="11"/>
  <c r="I1433" i="11"/>
  <c r="G1433" i="11"/>
  <c r="F1433" i="11"/>
  <c r="E1433" i="11"/>
  <c r="D1433" i="11"/>
  <c r="C1433" i="11"/>
  <c r="B1433" i="11"/>
  <c r="A1433" i="11"/>
  <c r="N1432" i="11"/>
  <c r="M1432" i="11"/>
  <c r="L1432" i="11"/>
  <c r="K1432" i="11"/>
  <c r="J1432" i="11"/>
  <c r="I1432" i="11"/>
  <c r="G1432" i="11"/>
  <c r="F1432" i="11"/>
  <c r="E1432" i="11"/>
  <c r="D1432" i="11"/>
  <c r="C1432" i="11"/>
  <c r="B1432" i="11"/>
  <c r="A1432" i="11"/>
  <c r="N1431" i="11"/>
  <c r="L1431" i="11"/>
  <c r="K1431" i="11"/>
  <c r="J1431" i="11"/>
  <c r="I1431" i="11"/>
  <c r="G1431" i="11"/>
  <c r="F1431" i="11"/>
  <c r="E1431" i="11"/>
  <c r="D1431" i="11"/>
  <c r="C1431" i="11"/>
  <c r="B1431" i="11"/>
  <c r="A1431" i="11"/>
  <c r="O1430" i="11"/>
  <c r="N1430" i="11"/>
  <c r="M1430" i="11"/>
  <c r="L1430" i="11"/>
  <c r="K1430" i="11"/>
  <c r="J1430" i="11"/>
  <c r="I1430" i="11"/>
  <c r="G1430" i="11"/>
  <c r="F1430" i="11"/>
  <c r="E1430" i="11"/>
  <c r="D1430" i="11"/>
  <c r="C1430" i="11"/>
  <c r="B1430" i="11"/>
  <c r="A1430" i="11"/>
  <c r="O1429" i="11"/>
  <c r="N1429" i="11"/>
  <c r="L1429" i="11"/>
  <c r="K1429" i="11"/>
  <c r="J1429" i="11"/>
  <c r="I1429" i="11"/>
  <c r="G1429" i="11"/>
  <c r="F1429" i="11"/>
  <c r="E1429" i="11"/>
  <c r="D1429" i="11"/>
  <c r="C1429" i="11"/>
  <c r="B1429" i="11"/>
  <c r="A1429" i="11"/>
  <c r="N1428" i="11"/>
  <c r="L1428" i="11"/>
  <c r="K1428" i="11"/>
  <c r="J1428" i="11"/>
  <c r="I1428" i="11"/>
  <c r="G1428" i="11"/>
  <c r="F1428" i="11"/>
  <c r="E1428" i="11"/>
  <c r="D1428" i="11"/>
  <c r="C1428" i="11"/>
  <c r="B1428" i="11"/>
  <c r="A1428" i="11"/>
  <c r="N1427" i="11"/>
  <c r="M1427" i="11"/>
  <c r="L1427" i="11"/>
  <c r="K1427" i="11"/>
  <c r="J1427" i="11"/>
  <c r="I1427" i="11"/>
  <c r="Q1427" i="11" s="1"/>
  <c r="G1427" i="11"/>
  <c r="F1427" i="11"/>
  <c r="E1427" i="11"/>
  <c r="D1427" i="11"/>
  <c r="C1427" i="11"/>
  <c r="B1427" i="11"/>
  <c r="A1427" i="11"/>
  <c r="N1426" i="11"/>
  <c r="L1426" i="11"/>
  <c r="K1426" i="11"/>
  <c r="J1426" i="11"/>
  <c r="I1426" i="11"/>
  <c r="Q1426" i="11" s="1"/>
  <c r="G1426" i="11"/>
  <c r="F1426" i="11"/>
  <c r="E1426" i="11"/>
  <c r="D1426" i="11"/>
  <c r="C1426" i="11"/>
  <c r="B1426" i="11"/>
  <c r="A1426" i="11"/>
  <c r="O1425" i="11"/>
  <c r="N1425" i="11"/>
  <c r="M1425" i="11"/>
  <c r="L1425" i="11"/>
  <c r="K1425" i="11"/>
  <c r="J1425" i="11"/>
  <c r="I1425" i="11"/>
  <c r="G1425" i="11"/>
  <c r="F1425" i="11"/>
  <c r="E1425" i="11"/>
  <c r="D1425" i="11"/>
  <c r="C1425" i="11"/>
  <c r="B1425" i="11"/>
  <c r="A1425" i="11"/>
  <c r="O1424" i="11"/>
  <c r="N1424" i="11"/>
  <c r="L1424" i="11"/>
  <c r="K1424" i="11"/>
  <c r="J1424" i="11"/>
  <c r="I1424" i="11"/>
  <c r="G1424" i="11"/>
  <c r="F1424" i="11"/>
  <c r="E1424" i="11"/>
  <c r="D1424" i="11"/>
  <c r="C1424" i="11"/>
  <c r="B1424" i="11"/>
  <c r="A1424" i="11"/>
  <c r="N1423" i="11"/>
  <c r="M1423" i="11"/>
  <c r="L1423" i="11"/>
  <c r="K1423" i="11"/>
  <c r="J1423" i="11"/>
  <c r="I1423" i="11"/>
  <c r="G1423" i="11"/>
  <c r="F1423" i="11"/>
  <c r="E1423" i="11"/>
  <c r="D1423" i="11"/>
  <c r="C1423" i="11"/>
  <c r="B1423" i="11"/>
  <c r="A1423" i="11"/>
  <c r="N1422" i="11"/>
  <c r="M1422" i="11"/>
  <c r="L1422" i="11"/>
  <c r="K1422" i="11"/>
  <c r="J1422" i="11"/>
  <c r="I1422" i="11"/>
  <c r="G1422" i="11"/>
  <c r="F1422" i="11"/>
  <c r="E1422" i="11"/>
  <c r="D1422" i="11"/>
  <c r="C1422" i="11"/>
  <c r="B1422" i="11"/>
  <c r="A1422" i="11"/>
  <c r="N1421" i="11"/>
  <c r="L1421" i="11"/>
  <c r="K1421" i="11"/>
  <c r="J1421" i="11"/>
  <c r="I1421" i="11"/>
  <c r="G1421" i="11"/>
  <c r="F1421" i="11"/>
  <c r="E1421" i="11"/>
  <c r="D1421" i="11"/>
  <c r="C1421" i="11"/>
  <c r="B1421" i="11"/>
  <c r="A1421" i="11"/>
  <c r="O1420" i="11"/>
  <c r="N1420" i="11"/>
  <c r="M1420" i="11"/>
  <c r="L1420" i="11"/>
  <c r="K1420" i="11"/>
  <c r="J1420" i="11"/>
  <c r="I1420" i="11"/>
  <c r="G1420" i="11"/>
  <c r="F1420" i="11"/>
  <c r="E1420" i="11"/>
  <c r="D1420" i="11"/>
  <c r="C1420" i="11"/>
  <c r="B1420" i="11"/>
  <c r="A1420" i="11"/>
  <c r="O1419" i="11"/>
  <c r="N1419" i="11"/>
  <c r="L1419" i="11"/>
  <c r="K1419" i="11"/>
  <c r="J1419" i="11"/>
  <c r="I1419" i="11"/>
  <c r="G1419" i="11"/>
  <c r="F1419" i="11"/>
  <c r="E1419" i="11"/>
  <c r="D1419" i="11"/>
  <c r="C1419" i="11"/>
  <c r="B1419" i="11"/>
  <c r="A1419" i="11"/>
  <c r="O1418" i="11"/>
  <c r="N1418" i="11"/>
  <c r="M1418" i="11"/>
  <c r="L1418" i="11"/>
  <c r="K1418" i="11"/>
  <c r="J1418" i="11"/>
  <c r="I1418" i="11"/>
  <c r="G1418" i="11"/>
  <c r="F1418" i="11"/>
  <c r="E1418" i="11"/>
  <c r="D1418" i="11"/>
  <c r="C1418" i="11"/>
  <c r="B1418" i="11"/>
  <c r="A1418" i="11"/>
  <c r="N1417" i="11"/>
  <c r="L1417" i="11"/>
  <c r="K1417" i="11"/>
  <c r="J1417" i="11"/>
  <c r="I1417" i="11"/>
  <c r="G1417" i="11"/>
  <c r="F1417" i="11"/>
  <c r="E1417" i="11"/>
  <c r="D1417" i="11"/>
  <c r="C1417" i="11"/>
  <c r="B1417" i="11"/>
  <c r="A1417" i="11"/>
  <c r="N1416" i="11"/>
  <c r="L1416" i="11"/>
  <c r="K1416" i="11"/>
  <c r="J1416" i="11"/>
  <c r="I1416" i="11"/>
  <c r="G1416" i="11"/>
  <c r="F1416" i="11"/>
  <c r="E1416" i="11"/>
  <c r="D1416" i="11"/>
  <c r="C1416" i="11"/>
  <c r="B1416" i="11"/>
  <c r="A1416" i="11"/>
  <c r="N1415" i="11"/>
  <c r="L1415" i="11"/>
  <c r="K1415" i="11"/>
  <c r="J1415" i="11"/>
  <c r="I1415" i="11"/>
  <c r="G1415" i="11"/>
  <c r="F1415" i="11"/>
  <c r="E1415" i="11"/>
  <c r="D1415" i="11"/>
  <c r="C1415" i="11"/>
  <c r="B1415" i="11"/>
  <c r="A1415" i="11"/>
  <c r="N1414" i="11"/>
  <c r="L1414" i="11"/>
  <c r="K1414" i="11"/>
  <c r="J1414" i="11"/>
  <c r="I1414" i="11"/>
  <c r="G1414" i="11"/>
  <c r="F1414" i="11"/>
  <c r="E1414" i="11"/>
  <c r="D1414" i="11"/>
  <c r="C1414" i="11"/>
  <c r="B1414" i="11"/>
  <c r="A1414" i="11"/>
  <c r="N1413" i="11"/>
  <c r="L1413" i="11"/>
  <c r="K1413" i="11"/>
  <c r="J1413" i="11"/>
  <c r="I1413" i="11"/>
  <c r="G1413" i="11"/>
  <c r="F1413" i="11"/>
  <c r="E1413" i="11"/>
  <c r="D1413" i="11"/>
  <c r="C1413" i="11"/>
  <c r="B1413" i="11"/>
  <c r="A1413" i="11"/>
  <c r="N1412" i="11"/>
  <c r="L1412" i="11"/>
  <c r="K1412" i="11"/>
  <c r="J1412" i="11"/>
  <c r="I1412" i="11"/>
  <c r="G1412" i="11"/>
  <c r="F1412" i="11"/>
  <c r="E1412" i="11"/>
  <c r="D1412" i="11"/>
  <c r="C1412" i="11"/>
  <c r="B1412" i="11"/>
  <c r="A1412" i="11"/>
  <c r="N1411" i="11"/>
  <c r="L1411" i="11"/>
  <c r="K1411" i="11"/>
  <c r="J1411" i="11"/>
  <c r="I1411" i="11"/>
  <c r="G1411" i="11"/>
  <c r="F1411" i="11"/>
  <c r="E1411" i="11"/>
  <c r="D1411" i="11"/>
  <c r="C1411" i="11"/>
  <c r="B1411" i="11"/>
  <c r="A1411" i="11"/>
  <c r="N1410" i="11"/>
  <c r="L1410" i="11"/>
  <c r="K1410" i="11"/>
  <c r="J1410" i="11"/>
  <c r="I1410" i="11"/>
  <c r="G1410" i="11"/>
  <c r="F1410" i="11"/>
  <c r="E1410" i="11"/>
  <c r="D1410" i="11"/>
  <c r="C1410" i="11"/>
  <c r="B1410" i="11"/>
  <c r="A1410" i="11"/>
  <c r="N1409" i="11"/>
  <c r="L1409" i="11"/>
  <c r="K1409" i="11"/>
  <c r="J1409" i="11"/>
  <c r="I1409" i="11"/>
  <c r="G1409" i="11"/>
  <c r="F1409" i="11"/>
  <c r="E1409" i="11"/>
  <c r="D1409" i="11"/>
  <c r="C1409" i="11"/>
  <c r="B1409" i="11"/>
  <c r="A1409" i="11"/>
  <c r="N1408" i="11"/>
  <c r="L1408" i="11"/>
  <c r="K1408" i="11"/>
  <c r="J1408" i="11"/>
  <c r="I1408" i="11"/>
  <c r="G1408" i="11"/>
  <c r="F1408" i="11"/>
  <c r="E1408" i="11"/>
  <c r="D1408" i="11"/>
  <c r="C1408" i="11"/>
  <c r="B1408" i="11"/>
  <c r="A1408" i="11"/>
  <c r="N1407" i="11"/>
  <c r="L1407" i="11"/>
  <c r="K1407" i="11"/>
  <c r="J1407" i="11"/>
  <c r="I1407" i="11"/>
  <c r="G1407" i="11"/>
  <c r="F1407" i="11"/>
  <c r="E1407" i="11"/>
  <c r="D1407" i="11"/>
  <c r="C1407" i="11"/>
  <c r="B1407" i="11"/>
  <c r="A1407" i="11"/>
  <c r="N1406" i="11"/>
  <c r="L1406" i="11"/>
  <c r="K1406" i="11"/>
  <c r="J1406" i="11"/>
  <c r="I1406" i="11"/>
  <c r="G1406" i="11"/>
  <c r="F1406" i="11"/>
  <c r="E1406" i="11"/>
  <c r="D1406" i="11"/>
  <c r="C1406" i="11"/>
  <c r="B1406" i="11"/>
  <c r="A1406" i="11"/>
  <c r="N1405" i="11"/>
  <c r="L1405" i="11"/>
  <c r="K1405" i="11"/>
  <c r="J1405" i="11"/>
  <c r="I1405" i="11"/>
  <c r="G1405" i="11"/>
  <c r="F1405" i="11"/>
  <c r="E1405" i="11"/>
  <c r="D1405" i="11"/>
  <c r="C1405" i="11"/>
  <c r="B1405" i="11"/>
  <c r="A1405" i="11"/>
  <c r="N1404" i="11"/>
  <c r="L1404" i="11"/>
  <c r="K1404" i="11"/>
  <c r="J1404" i="11"/>
  <c r="I1404" i="11"/>
  <c r="G1404" i="11"/>
  <c r="F1404" i="11"/>
  <c r="E1404" i="11"/>
  <c r="D1404" i="11"/>
  <c r="C1404" i="11"/>
  <c r="B1404" i="11"/>
  <c r="A1404" i="11"/>
  <c r="N1403" i="11"/>
  <c r="L1403" i="11"/>
  <c r="K1403" i="11"/>
  <c r="J1403" i="11"/>
  <c r="I1403" i="11"/>
  <c r="G1403" i="11"/>
  <c r="F1403" i="11"/>
  <c r="E1403" i="11"/>
  <c r="D1403" i="11"/>
  <c r="C1403" i="11"/>
  <c r="B1403" i="11"/>
  <c r="A1403" i="11"/>
  <c r="N1402" i="11"/>
  <c r="L1402" i="11"/>
  <c r="K1402" i="11"/>
  <c r="J1402" i="11"/>
  <c r="I1402" i="11"/>
  <c r="G1402" i="11"/>
  <c r="F1402" i="11"/>
  <c r="E1402" i="11"/>
  <c r="D1402" i="11"/>
  <c r="C1402" i="11"/>
  <c r="B1402" i="11"/>
  <c r="A1402" i="11"/>
  <c r="N1401" i="11"/>
  <c r="L1401" i="11"/>
  <c r="K1401" i="11"/>
  <c r="J1401" i="11"/>
  <c r="I1401" i="11"/>
  <c r="G1401" i="11"/>
  <c r="F1401" i="11"/>
  <c r="E1401" i="11"/>
  <c r="D1401" i="11"/>
  <c r="C1401" i="11"/>
  <c r="B1401" i="11"/>
  <c r="A1401" i="11"/>
  <c r="N1400" i="11"/>
  <c r="L1400" i="11"/>
  <c r="K1400" i="11"/>
  <c r="J1400" i="11"/>
  <c r="I1400" i="11"/>
  <c r="G1400" i="11"/>
  <c r="F1400" i="11"/>
  <c r="E1400" i="11"/>
  <c r="D1400" i="11"/>
  <c r="C1400" i="11"/>
  <c r="B1400" i="11"/>
  <c r="A1400" i="11"/>
  <c r="N1399" i="11"/>
  <c r="L1399" i="11"/>
  <c r="K1399" i="11"/>
  <c r="J1399" i="11"/>
  <c r="I1399" i="11"/>
  <c r="G1399" i="11"/>
  <c r="F1399" i="11"/>
  <c r="E1399" i="11"/>
  <c r="D1399" i="11"/>
  <c r="C1399" i="11"/>
  <c r="B1399" i="11"/>
  <c r="A1399" i="11"/>
  <c r="N1398" i="11"/>
  <c r="L1398" i="11"/>
  <c r="K1398" i="11"/>
  <c r="J1398" i="11"/>
  <c r="I1398" i="11"/>
  <c r="G1398" i="11"/>
  <c r="F1398" i="11"/>
  <c r="E1398" i="11"/>
  <c r="D1398" i="11"/>
  <c r="C1398" i="11"/>
  <c r="B1398" i="11"/>
  <c r="A1398" i="11"/>
  <c r="N1397" i="11"/>
  <c r="L1397" i="11"/>
  <c r="K1397" i="11"/>
  <c r="J1397" i="11"/>
  <c r="I1397" i="11"/>
  <c r="G1397" i="11"/>
  <c r="F1397" i="11"/>
  <c r="E1397" i="11"/>
  <c r="D1397" i="11"/>
  <c r="C1397" i="11"/>
  <c r="B1397" i="11"/>
  <c r="A1397" i="11"/>
  <c r="N1396" i="11"/>
  <c r="L1396" i="11"/>
  <c r="K1396" i="11"/>
  <c r="J1396" i="11"/>
  <c r="I1396" i="11"/>
  <c r="G1396" i="11"/>
  <c r="F1396" i="11"/>
  <c r="E1396" i="11"/>
  <c r="D1396" i="11"/>
  <c r="C1396" i="11"/>
  <c r="B1396" i="11"/>
  <c r="A1396" i="11"/>
  <c r="N1395" i="11"/>
  <c r="L1395" i="11"/>
  <c r="K1395" i="11"/>
  <c r="J1395" i="11"/>
  <c r="I1395" i="11"/>
  <c r="G1395" i="11"/>
  <c r="F1395" i="11"/>
  <c r="E1395" i="11"/>
  <c r="D1395" i="11"/>
  <c r="C1395" i="11"/>
  <c r="B1395" i="11"/>
  <c r="A1395" i="11"/>
  <c r="N1394" i="11"/>
  <c r="K1394" i="11"/>
  <c r="J1394" i="11"/>
  <c r="I1394" i="11"/>
  <c r="G1394" i="11"/>
  <c r="F1394" i="11"/>
  <c r="E1394" i="11"/>
  <c r="D1394" i="11"/>
  <c r="C1394" i="11"/>
  <c r="B1394" i="11"/>
  <c r="A1394" i="11"/>
  <c r="N1393" i="11"/>
  <c r="L1393" i="11"/>
  <c r="K1393" i="11"/>
  <c r="J1393" i="11"/>
  <c r="I1393" i="11"/>
  <c r="G1393" i="11"/>
  <c r="F1393" i="11"/>
  <c r="E1393" i="11"/>
  <c r="D1393" i="11"/>
  <c r="C1393" i="11"/>
  <c r="B1393" i="11"/>
  <c r="A1393" i="11"/>
  <c r="N1392" i="11"/>
  <c r="L1392" i="11"/>
  <c r="K1392" i="11"/>
  <c r="J1392" i="11"/>
  <c r="I1392" i="11"/>
  <c r="G1392" i="11"/>
  <c r="F1392" i="11"/>
  <c r="E1392" i="11"/>
  <c r="D1392" i="11"/>
  <c r="C1392" i="11"/>
  <c r="B1392" i="11"/>
  <c r="A1392" i="11"/>
  <c r="N1391" i="11"/>
  <c r="L1391" i="11"/>
  <c r="K1391" i="11"/>
  <c r="J1391" i="11"/>
  <c r="I1391" i="11"/>
  <c r="G1391" i="11"/>
  <c r="F1391" i="11"/>
  <c r="E1391" i="11"/>
  <c r="D1391" i="11"/>
  <c r="C1391" i="11"/>
  <c r="B1391" i="11"/>
  <c r="A1391" i="11"/>
  <c r="N1390" i="11"/>
  <c r="L1390" i="11"/>
  <c r="K1390" i="11"/>
  <c r="J1390" i="11"/>
  <c r="I1390" i="11"/>
  <c r="G1390" i="11"/>
  <c r="F1390" i="11"/>
  <c r="E1390" i="11"/>
  <c r="D1390" i="11"/>
  <c r="C1390" i="11"/>
  <c r="B1390" i="11"/>
  <c r="A1390" i="11"/>
  <c r="N1389" i="11"/>
  <c r="L1389" i="11"/>
  <c r="K1389" i="11"/>
  <c r="J1389" i="11"/>
  <c r="I1389" i="11"/>
  <c r="G1389" i="11"/>
  <c r="F1389" i="11"/>
  <c r="E1389" i="11"/>
  <c r="D1389" i="11"/>
  <c r="C1389" i="11"/>
  <c r="B1389" i="11"/>
  <c r="A1389" i="11"/>
  <c r="N1388" i="11"/>
  <c r="L1388" i="11"/>
  <c r="K1388" i="11"/>
  <c r="J1388" i="11"/>
  <c r="I1388" i="11"/>
  <c r="G1388" i="11"/>
  <c r="F1388" i="11"/>
  <c r="E1388" i="11"/>
  <c r="D1388" i="11"/>
  <c r="C1388" i="11"/>
  <c r="B1388" i="11"/>
  <c r="A1388" i="11"/>
  <c r="N1387" i="11"/>
  <c r="L1387" i="11"/>
  <c r="K1387" i="11"/>
  <c r="J1387" i="11"/>
  <c r="I1387" i="11"/>
  <c r="G1387" i="11"/>
  <c r="F1387" i="11"/>
  <c r="E1387" i="11"/>
  <c r="D1387" i="11"/>
  <c r="C1387" i="11"/>
  <c r="B1387" i="11"/>
  <c r="A1387" i="11"/>
  <c r="N1386" i="11"/>
  <c r="L1386" i="11"/>
  <c r="K1386" i="11"/>
  <c r="J1386" i="11"/>
  <c r="I1386" i="11"/>
  <c r="G1386" i="11"/>
  <c r="F1386" i="11"/>
  <c r="E1386" i="11"/>
  <c r="D1386" i="11"/>
  <c r="C1386" i="11"/>
  <c r="B1386" i="11"/>
  <c r="A1386" i="11"/>
  <c r="N1385" i="11"/>
  <c r="L1385" i="11"/>
  <c r="K1385" i="11"/>
  <c r="J1385" i="11"/>
  <c r="I1385" i="11"/>
  <c r="G1385" i="11"/>
  <c r="F1385" i="11"/>
  <c r="E1385" i="11"/>
  <c r="D1385" i="11"/>
  <c r="C1385" i="11"/>
  <c r="B1385" i="11"/>
  <c r="A1385" i="11"/>
  <c r="N1384" i="11"/>
  <c r="L1384" i="11"/>
  <c r="K1384" i="11"/>
  <c r="J1384" i="11"/>
  <c r="I1384" i="11"/>
  <c r="G1384" i="11"/>
  <c r="F1384" i="11"/>
  <c r="E1384" i="11"/>
  <c r="D1384" i="11"/>
  <c r="C1384" i="11"/>
  <c r="B1384" i="11"/>
  <c r="A1384" i="11"/>
  <c r="N1383" i="11"/>
  <c r="L1383" i="11"/>
  <c r="K1383" i="11"/>
  <c r="J1383" i="11"/>
  <c r="I1383" i="11"/>
  <c r="G1383" i="11"/>
  <c r="F1383" i="11"/>
  <c r="E1383" i="11"/>
  <c r="D1383" i="11"/>
  <c r="C1383" i="11"/>
  <c r="B1383" i="11"/>
  <c r="A1383" i="11"/>
  <c r="N1382" i="11"/>
  <c r="L1382" i="11"/>
  <c r="K1382" i="11"/>
  <c r="J1382" i="11"/>
  <c r="I1382" i="11"/>
  <c r="G1382" i="11"/>
  <c r="F1382" i="11"/>
  <c r="E1382" i="11"/>
  <c r="D1382" i="11"/>
  <c r="C1382" i="11"/>
  <c r="B1382" i="11"/>
  <c r="A1382" i="11"/>
  <c r="N1381" i="11"/>
  <c r="L1381" i="11"/>
  <c r="K1381" i="11"/>
  <c r="J1381" i="11"/>
  <c r="I1381" i="11"/>
  <c r="G1381" i="11"/>
  <c r="F1381" i="11"/>
  <c r="E1381" i="11"/>
  <c r="D1381" i="11"/>
  <c r="C1381" i="11"/>
  <c r="B1381" i="11"/>
  <c r="A1381" i="11"/>
  <c r="N1380" i="11"/>
  <c r="L1380" i="11"/>
  <c r="K1380" i="11"/>
  <c r="J1380" i="11"/>
  <c r="I1380" i="11"/>
  <c r="H1380" i="11"/>
  <c r="G1380" i="11"/>
  <c r="F1380" i="11"/>
  <c r="E1380" i="11"/>
  <c r="D1380" i="11"/>
  <c r="C1380" i="11"/>
  <c r="B1380" i="11"/>
  <c r="A1380" i="11"/>
  <c r="N1379" i="11"/>
  <c r="L1379" i="11"/>
  <c r="K1379" i="11"/>
  <c r="J1379" i="11"/>
  <c r="I1379" i="11"/>
  <c r="G1379" i="11"/>
  <c r="F1379" i="11"/>
  <c r="E1379" i="11"/>
  <c r="D1379" i="11"/>
  <c r="C1379" i="11"/>
  <c r="B1379" i="11"/>
  <c r="A1379" i="11"/>
  <c r="N1378" i="11"/>
  <c r="L1378" i="11"/>
  <c r="K1378" i="11"/>
  <c r="J1378" i="11"/>
  <c r="I1378" i="11"/>
  <c r="G1378" i="11"/>
  <c r="F1378" i="11"/>
  <c r="E1378" i="11"/>
  <c r="D1378" i="11"/>
  <c r="C1378" i="11"/>
  <c r="B1378" i="11"/>
  <c r="A1378" i="11"/>
  <c r="N1377" i="11"/>
  <c r="L1377" i="11"/>
  <c r="K1377" i="11"/>
  <c r="J1377" i="11"/>
  <c r="I1377" i="11"/>
  <c r="G1377" i="11"/>
  <c r="F1377" i="11"/>
  <c r="E1377" i="11"/>
  <c r="D1377" i="11"/>
  <c r="C1377" i="11"/>
  <c r="B1377" i="11"/>
  <c r="A1377" i="11"/>
  <c r="N1376" i="11"/>
  <c r="L1376" i="11"/>
  <c r="K1376" i="11"/>
  <c r="J1376" i="11"/>
  <c r="I1376" i="11"/>
  <c r="G1376" i="11"/>
  <c r="F1376" i="11"/>
  <c r="E1376" i="11"/>
  <c r="D1376" i="11"/>
  <c r="C1376" i="11"/>
  <c r="B1376" i="11"/>
  <c r="A1376" i="11"/>
  <c r="N1375" i="11"/>
  <c r="L1375" i="11"/>
  <c r="K1375" i="11"/>
  <c r="J1375" i="11"/>
  <c r="I1375" i="11"/>
  <c r="G1375" i="11"/>
  <c r="F1375" i="11"/>
  <c r="E1375" i="11"/>
  <c r="D1375" i="11"/>
  <c r="C1375" i="11"/>
  <c r="B1375" i="11"/>
  <c r="A1375" i="11"/>
  <c r="N1374" i="11"/>
  <c r="L1374" i="11"/>
  <c r="K1374" i="11"/>
  <c r="J1374" i="11"/>
  <c r="I1374" i="11"/>
  <c r="G1374" i="11"/>
  <c r="F1374" i="11"/>
  <c r="E1374" i="11"/>
  <c r="D1374" i="11"/>
  <c r="C1374" i="11"/>
  <c r="B1374" i="11"/>
  <c r="A1374" i="11"/>
  <c r="N1373" i="11"/>
  <c r="L1373" i="11"/>
  <c r="K1373" i="11"/>
  <c r="J1373" i="11"/>
  <c r="I1373" i="11"/>
  <c r="G1373" i="11"/>
  <c r="F1373" i="11"/>
  <c r="E1373" i="11"/>
  <c r="D1373" i="11"/>
  <c r="C1373" i="11"/>
  <c r="B1373" i="11"/>
  <c r="A1373" i="11"/>
  <c r="N1372" i="11"/>
  <c r="L1372" i="11"/>
  <c r="K1372" i="11"/>
  <c r="J1372" i="11"/>
  <c r="I1372" i="11"/>
  <c r="G1372" i="11"/>
  <c r="F1372" i="11"/>
  <c r="E1372" i="11"/>
  <c r="D1372" i="11"/>
  <c r="C1372" i="11"/>
  <c r="B1372" i="11"/>
  <c r="A1372" i="11"/>
  <c r="N1371" i="11"/>
  <c r="L1371" i="11"/>
  <c r="K1371" i="11"/>
  <c r="J1371" i="11"/>
  <c r="I1371" i="11"/>
  <c r="G1371" i="11"/>
  <c r="F1371" i="11"/>
  <c r="E1371" i="11"/>
  <c r="D1371" i="11"/>
  <c r="C1371" i="11"/>
  <c r="B1371" i="11"/>
  <c r="A1371" i="11"/>
  <c r="N1370" i="11"/>
  <c r="L1370" i="11"/>
  <c r="K1370" i="11"/>
  <c r="J1370" i="11"/>
  <c r="I1370" i="11"/>
  <c r="G1370" i="11"/>
  <c r="F1370" i="11"/>
  <c r="E1370" i="11"/>
  <c r="D1370" i="11"/>
  <c r="C1370" i="11"/>
  <c r="B1370" i="11"/>
  <c r="A1370" i="11"/>
  <c r="N1369" i="11"/>
  <c r="L1369" i="11"/>
  <c r="K1369" i="11"/>
  <c r="J1369" i="11"/>
  <c r="I1369" i="11"/>
  <c r="G1369" i="11"/>
  <c r="F1369" i="11"/>
  <c r="E1369" i="11"/>
  <c r="D1369" i="11"/>
  <c r="C1369" i="11"/>
  <c r="B1369" i="11"/>
  <c r="A1369" i="11"/>
  <c r="N1368" i="11"/>
  <c r="L1368" i="11"/>
  <c r="K1368" i="11"/>
  <c r="J1368" i="11"/>
  <c r="I1368" i="11"/>
  <c r="G1368" i="11"/>
  <c r="F1368" i="11"/>
  <c r="E1368" i="11"/>
  <c r="D1368" i="11"/>
  <c r="C1368" i="11"/>
  <c r="B1368" i="11"/>
  <c r="A1368" i="11"/>
  <c r="N1367" i="11"/>
  <c r="L1367" i="11"/>
  <c r="K1367" i="11"/>
  <c r="J1367" i="11"/>
  <c r="I1367" i="11"/>
  <c r="G1367" i="11"/>
  <c r="F1367" i="11"/>
  <c r="E1367" i="11"/>
  <c r="D1367" i="11"/>
  <c r="C1367" i="11"/>
  <c r="B1367" i="11"/>
  <c r="A1367" i="11"/>
  <c r="N1366" i="11"/>
  <c r="L1366" i="11"/>
  <c r="K1366" i="11"/>
  <c r="J1366" i="11"/>
  <c r="I1366" i="11"/>
  <c r="G1366" i="11"/>
  <c r="F1366" i="11"/>
  <c r="E1366" i="11"/>
  <c r="D1366" i="11"/>
  <c r="C1366" i="11"/>
  <c r="B1366" i="11"/>
  <c r="A1366" i="11"/>
  <c r="N1365" i="11"/>
  <c r="L1365" i="11"/>
  <c r="K1365" i="11"/>
  <c r="J1365" i="11"/>
  <c r="I1365" i="11"/>
  <c r="G1365" i="11"/>
  <c r="F1365" i="11"/>
  <c r="E1365" i="11"/>
  <c r="D1365" i="11"/>
  <c r="C1365" i="11"/>
  <c r="B1365" i="11"/>
  <c r="A1365" i="11"/>
  <c r="N1364" i="11"/>
  <c r="L1364" i="11"/>
  <c r="K1364" i="11"/>
  <c r="J1364" i="11"/>
  <c r="I1364" i="11"/>
  <c r="G1364" i="11"/>
  <c r="F1364" i="11"/>
  <c r="E1364" i="11"/>
  <c r="D1364" i="11"/>
  <c r="C1364" i="11"/>
  <c r="B1364" i="11"/>
  <c r="A1364" i="11"/>
  <c r="N1363" i="11"/>
  <c r="L1363" i="11"/>
  <c r="K1363" i="11"/>
  <c r="J1363" i="11"/>
  <c r="I1363" i="11"/>
  <c r="G1363" i="11"/>
  <c r="F1363" i="11"/>
  <c r="E1363" i="11"/>
  <c r="D1363" i="11"/>
  <c r="C1363" i="11"/>
  <c r="B1363" i="11"/>
  <c r="A1363" i="11"/>
  <c r="N1362" i="11"/>
  <c r="L1362" i="11"/>
  <c r="K1362" i="11"/>
  <c r="J1362" i="11"/>
  <c r="I1362" i="11"/>
  <c r="G1362" i="11"/>
  <c r="F1362" i="11"/>
  <c r="E1362" i="11"/>
  <c r="D1362" i="11"/>
  <c r="C1362" i="11"/>
  <c r="B1362" i="11"/>
  <c r="A1362" i="11"/>
  <c r="N1361" i="11"/>
  <c r="L1361" i="11"/>
  <c r="K1361" i="11"/>
  <c r="J1361" i="11"/>
  <c r="I1361" i="11"/>
  <c r="G1361" i="11"/>
  <c r="F1361" i="11"/>
  <c r="E1361" i="11"/>
  <c r="D1361" i="11"/>
  <c r="C1361" i="11"/>
  <c r="B1361" i="11"/>
  <c r="A1361" i="11"/>
  <c r="N1360" i="11"/>
  <c r="L1360" i="11"/>
  <c r="K1360" i="11"/>
  <c r="J1360" i="11"/>
  <c r="I1360" i="11"/>
  <c r="G1360" i="11"/>
  <c r="F1360" i="11"/>
  <c r="E1360" i="11"/>
  <c r="D1360" i="11"/>
  <c r="C1360" i="11"/>
  <c r="B1360" i="11"/>
  <c r="A1360" i="11"/>
  <c r="N1359" i="11"/>
  <c r="L1359" i="11"/>
  <c r="K1359" i="11"/>
  <c r="J1359" i="11"/>
  <c r="I1359" i="11"/>
  <c r="G1359" i="11"/>
  <c r="F1359" i="11"/>
  <c r="E1359" i="11"/>
  <c r="D1359" i="11"/>
  <c r="C1359" i="11"/>
  <c r="B1359" i="11"/>
  <c r="A1359" i="11"/>
  <c r="N1358" i="11"/>
  <c r="L1358" i="11"/>
  <c r="K1358" i="11"/>
  <c r="J1358" i="11"/>
  <c r="I1358" i="11"/>
  <c r="G1358" i="11"/>
  <c r="F1358" i="11"/>
  <c r="E1358" i="11"/>
  <c r="D1358" i="11"/>
  <c r="C1358" i="11"/>
  <c r="B1358" i="11"/>
  <c r="A1358" i="11"/>
  <c r="N1357" i="11"/>
  <c r="L1357" i="11"/>
  <c r="K1357" i="11"/>
  <c r="J1357" i="11"/>
  <c r="I1357" i="11"/>
  <c r="G1357" i="11"/>
  <c r="F1357" i="11"/>
  <c r="E1357" i="11"/>
  <c r="D1357" i="11"/>
  <c r="C1357" i="11"/>
  <c r="B1357" i="11"/>
  <c r="A1357" i="11"/>
  <c r="N1356" i="11"/>
  <c r="L1356" i="11"/>
  <c r="K1356" i="11"/>
  <c r="J1356" i="11"/>
  <c r="I1356" i="11"/>
  <c r="G1356" i="11"/>
  <c r="F1356" i="11"/>
  <c r="E1356" i="11"/>
  <c r="D1356" i="11"/>
  <c r="C1356" i="11"/>
  <c r="B1356" i="11"/>
  <c r="A1356" i="11"/>
  <c r="N1355" i="11"/>
  <c r="L1355" i="11"/>
  <c r="K1355" i="11"/>
  <c r="J1355" i="11"/>
  <c r="I1355" i="11"/>
  <c r="G1355" i="11"/>
  <c r="F1355" i="11"/>
  <c r="E1355" i="11"/>
  <c r="D1355" i="11"/>
  <c r="C1355" i="11"/>
  <c r="B1355" i="11"/>
  <c r="A1355" i="11"/>
  <c r="N1354" i="11"/>
  <c r="L1354" i="11"/>
  <c r="K1354" i="11"/>
  <c r="J1354" i="11"/>
  <c r="I1354" i="11"/>
  <c r="G1354" i="11"/>
  <c r="F1354" i="11"/>
  <c r="E1354" i="11"/>
  <c r="D1354" i="11"/>
  <c r="C1354" i="11"/>
  <c r="B1354" i="11"/>
  <c r="A1354" i="11"/>
  <c r="N1353" i="11"/>
  <c r="L1353" i="11"/>
  <c r="K1353" i="11"/>
  <c r="J1353" i="11"/>
  <c r="I1353" i="11"/>
  <c r="G1353" i="11"/>
  <c r="F1353" i="11"/>
  <c r="E1353" i="11"/>
  <c r="D1353" i="11"/>
  <c r="C1353" i="11"/>
  <c r="B1353" i="11"/>
  <c r="A1353" i="11"/>
  <c r="N1352" i="11"/>
  <c r="L1352" i="11"/>
  <c r="K1352" i="11"/>
  <c r="J1352" i="11"/>
  <c r="I1352" i="11"/>
  <c r="G1352" i="11"/>
  <c r="F1352" i="11"/>
  <c r="E1352" i="11"/>
  <c r="D1352" i="11"/>
  <c r="C1352" i="11"/>
  <c r="B1352" i="11"/>
  <c r="A1352" i="11"/>
  <c r="N1351" i="11"/>
  <c r="L1351" i="11"/>
  <c r="K1351" i="11"/>
  <c r="J1351" i="11"/>
  <c r="I1351" i="11"/>
  <c r="G1351" i="11"/>
  <c r="F1351" i="11"/>
  <c r="E1351" i="11"/>
  <c r="D1351" i="11"/>
  <c r="C1351" i="11"/>
  <c r="B1351" i="11"/>
  <c r="A1351" i="11"/>
  <c r="N1350" i="11"/>
  <c r="L1350" i="11"/>
  <c r="K1350" i="11"/>
  <c r="J1350" i="11"/>
  <c r="I1350" i="11"/>
  <c r="G1350" i="11"/>
  <c r="F1350" i="11"/>
  <c r="E1350" i="11"/>
  <c r="D1350" i="11"/>
  <c r="C1350" i="11"/>
  <c r="B1350" i="11"/>
  <c r="A1350" i="11"/>
  <c r="N1349" i="11"/>
  <c r="L1349" i="11"/>
  <c r="K1349" i="11"/>
  <c r="J1349" i="11"/>
  <c r="I1349" i="11"/>
  <c r="G1349" i="11"/>
  <c r="F1349" i="11"/>
  <c r="E1349" i="11"/>
  <c r="D1349" i="11"/>
  <c r="C1349" i="11"/>
  <c r="B1349" i="11"/>
  <c r="A1349" i="11"/>
  <c r="N1348" i="11"/>
  <c r="L1348" i="11"/>
  <c r="K1348" i="11"/>
  <c r="J1348" i="11"/>
  <c r="I1348" i="11"/>
  <c r="G1348" i="11"/>
  <c r="F1348" i="11"/>
  <c r="E1348" i="11"/>
  <c r="D1348" i="11"/>
  <c r="C1348" i="11"/>
  <c r="B1348" i="11"/>
  <c r="A1348" i="11"/>
  <c r="N1347" i="11"/>
  <c r="L1347" i="11"/>
  <c r="K1347" i="11"/>
  <c r="J1347" i="11"/>
  <c r="I1347" i="11"/>
  <c r="G1347" i="11"/>
  <c r="F1347" i="11"/>
  <c r="E1347" i="11"/>
  <c r="D1347" i="11"/>
  <c r="C1347" i="11"/>
  <c r="B1347" i="11"/>
  <c r="A1347" i="11"/>
  <c r="N1346" i="11"/>
  <c r="L1346" i="11"/>
  <c r="K1346" i="11"/>
  <c r="J1346" i="11"/>
  <c r="I1346" i="11"/>
  <c r="G1346" i="11"/>
  <c r="F1346" i="11"/>
  <c r="E1346" i="11"/>
  <c r="D1346" i="11"/>
  <c r="C1346" i="11"/>
  <c r="B1346" i="11"/>
  <c r="A1346" i="11"/>
  <c r="N1345" i="11"/>
  <c r="L1345" i="11"/>
  <c r="K1345" i="11"/>
  <c r="J1345" i="11"/>
  <c r="I1345" i="11"/>
  <c r="G1345" i="11"/>
  <c r="F1345" i="11"/>
  <c r="E1345" i="11"/>
  <c r="D1345" i="11"/>
  <c r="C1345" i="11"/>
  <c r="B1345" i="11"/>
  <c r="A1345" i="11"/>
  <c r="N1344" i="11"/>
  <c r="L1344" i="11"/>
  <c r="K1344" i="11"/>
  <c r="J1344" i="11"/>
  <c r="I1344" i="11"/>
  <c r="G1344" i="11"/>
  <c r="F1344" i="11"/>
  <c r="E1344" i="11"/>
  <c r="D1344" i="11"/>
  <c r="C1344" i="11"/>
  <c r="B1344" i="11"/>
  <c r="A1344" i="11"/>
  <c r="N1343" i="11"/>
  <c r="L1343" i="11"/>
  <c r="K1343" i="11"/>
  <c r="J1343" i="11"/>
  <c r="I1343" i="11"/>
  <c r="G1343" i="11"/>
  <c r="F1343" i="11"/>
  <c r="E1343" i="11"/>
  <c r="D1343" i="11"/>
  <c r="C1343" i="11"/>
  <c r="B1343" i="11"/>
  <c r="A1343" i="11"/>
  <c r="N1342" i="11"/>
  <c r="L1342" i="11"/>
  <c r="K1342" i="11"/>
  <c r="J1342" i="11"/>
  <c r="I1342" i="11"/>
  <c r="G1342" i="11"/>
  <c r="F1342" i="11"/>
  <c r="E1342" i="11"/>
  <c r="D1342" i="11"/>
  <c r="C1342" i="11"/>
  <c r="B1342" i="11"/>
  <c r="A1342" i="11"/>
  <c r="N1341" i="11"/>
  <c r="L1341" i="11"/>
  <c r="K1341" i="11"/>
  <c r="J1341" i="11"/>
  <c r="I1341" i="11"/>
  <c r="G1341" i="11"/>
  <c r="F1341" i="11"/>
  <c r="E1341" i="11"/>
  <c r="D1341" i="11"/>
  <c r="C1341" i="11"/>
  <c r="B1341" i="11"/>
  <c r="A1341" i="11"/>
  <c r="N1340" i="11"/>
  <c r="L1340" i="11"/>
  <c r="K1340" i="11"/>
  <c r="J1340" i="11"/>
  <c r="I1340" i="11"/>
  <c r="G1340" i="11"/>
  <c r="F1340" i="11"/>
  <c r="E1340" i="11"/>
  <c r="D1340" i="11"/>
  <c r="C1340" i="11"/>
  <c r="B1340" i="11"/>
  <c r="A1340" i="11"/>
  <c r="N1339" i="11"/>
  <c r="L1339" i="11"/>
  <c r="K1339" i="11"/>
  <c r="J1339" i="11"/>
  <c r="I1339" i="11"/>
  <c r="Q1339" i="11" s="1"/>
  <c r="G1339" i="11"/>
  <c r="F1339" i="11"/>
  <c r="E1339" i="11"/>
  <c r="D1339" i="11"/>
  <c r="C1339" i="11"/>
  <c r="B1339" i="11"/>
  <c r="A1339" i="11"/>
  <c r="N1338" i="11"/>
  <c r="L1338" i="11"/>
  <c r="K1338" i="11"/>
  <c r="J1338" i="11"/>
  <c r="I1338" i="11"/>
  <c r="G1338" i="11"/>
  <c r="F1338" i="11"/>
  <c r="E1338" i="11"/>
  <c r="D1338" i="11"/>
  <c r="C1338" i="11"/>
  <c r="B1338" i="11"/>
  <c r="A1338" i="11"/>
  <c r="N1337" i="11"/>
  <c r="L1337" i="11"/>
  <c r="K1337" i="11"/>
  <c r="J1337" i="11"/>
  <c r="I1337" i="11"/>
  <c r="G1337" i="11"/>
  <c r="F1337" i="11"/>
  <c r="E1337" i="11"/>
  <c r="D1337" i="11"/>
  <c r="C1337" i="11"/>
  <c r="B1337" i="11"/>
  <c r="A1337" i="11"/>
  <c r="N1336" i="11"/>
  <c r="L1336" i="11"/>
  <c r="K1336" i="11"/>
  <c r="J1336" i="11"/>
  <c r="I1336" i="11"/>
  <c r="G1336" i="11"/>
  <c r="F1336" i="11"/>
  <c r="E1336" i="11"/>
  <c r="D1336" i="11"/>
  <c r="C1336" i="11"/>
  <c r="B1336" i="11"/>
  <c r="A1336" i="11"/>
  <c r="N1335" i="11"/>
  <c r="L1335" i="11"/>
  <c r="K1335" i="11"/>
  <c r="J1335" i="11"/>
  <c r="I1335" i="11"/>
  <c r="G1335" i="11"/>
  <c r="F1335" i="11"/>
  <c r="E1335" i="11"/>
  <c r="D1335" i="11"/>
  <c r="C1335" i="11"/>
  <c r="B1335" i="11"/>
  <c r="A1335" i="11"/>
  <c r="N1334" i="11"/>
  <c r="L1334" i="11"/>
  <c r="K1334" i="11"/>
  <c r="J1334" i="11"/>
  <c r="I1334" i="11"/>
  <c r="G1334" i="11"/>
  <c r="F1334" i="11"/>
  <c r="E1334" i="11"/>
  <c r="D1334" i="11"/>
  <c r="C1334" i="11"/>
  <c r="B1334" i="11"/>
  <c r="A1334" i="11"/>
  <c r="N1333" i="11"/>
  <c r="L1333" i="11"/>
  <c r="K1333" i="11"/>
  <c r="J1333" i="11"/>
  <c r="I1333" i="11"/>
  <c r="G1333" i="11"/>
  <c r="F1333" i="11"/>
  <c r="E1333" i="11"/>
  <c r="D1333" i="11"/>
  <c r="C1333" i="11"/>
  <c r="B1333" i="11"/>
  <c r="A1333" i="11"/>
  <c r="N1332" i="11"/>
  <c r="L1332" i="11"/>
  <c r="K1332" i="11"/>
  <c r="J1332" i="11"/>
  <c r="I1332" i="11"/>
  <c r="Q1332" i="11" s="1"/>
  <c r="G1332" i="11"/>
  <c r="F1332" i="11"/>
  <c r="E1332" i="11"/>
  <c r="D1332" i="11"/>
  <c r="C1332" i="11"/>
  <c r="B1332" i="11"/>
  <c r="A1332" i="11"/>
  <c r="N1331" i="11"/>
  <c r="L1331" i="11"/>
  <c r="K1331" i="11"/>
  <c r="J1331" i="11"/>
  <c r="I1331" i="11"/>
  <c r="G1331" i="11"/>
  <c r="F1331" i="11"/>
  <c r="E1331" i="11"/>
  <c r="D1331" i="11"/>
  <c r="C1331" i="11"/>
  <c r="B1331" i="11"/>
  <c r="A1331" i="11"/>
  <c r="N1330" i="11"/>
  <c r="L1330" i="11"/>
  <c r="K1330" i="11"/>
  <c r="J1330" i="11"/>
  <c r="I1330" i="11"/>
  <c r="G1330" i="11"/>
  <c r="F1330" i="11"/>
  <c r="E1330" i="11"/>
  <c r="D1330" i="11"/>
  <c r="C1330" i="11"/>
  <c r="B1330" i="11"/>
  <c r="A1330" i="11"/>
  <c r="N1329" i="11"/>
  <c r="L1329" i="11"/>
  <c r="K1329" i="11"/>
  <c r="J1329" i="11"/>
  <c r="I1329" i="11"/>
  <c r="G1329" i="11"/>
  <c r="F1329" i="11"/>
  <c r="E1329" i="11"/>
  <c r="D1329" i="11"/>
  <c r="C1329" i="11"/>
  <c r="B1329" i="11"/>
  <c r="A1329" i="11"/>
  <c r="N1328" i="11"/>
  <c r="L1328" i="11"/>
  <c r="K1328" i="11"/>
  <c r="J1328" i="11"/>
  <c r="I1328" i="11"/>
  <c r="G1328" i="11"/>
  <c r="F1328" i="11"/>
  <c r="E1328" i="11"/>
  <c r="D1328" i="11"/>
  <c r="C1328" i="11"/>
  <c r="B1328" i="11"/>
  <c r="A1328" i="11"/>
  <c r="N1327" i="11"/>
  <c r="L1327" i="11"/>
  <c r="K1327" i="11"/>
  <c r="J1327" i="11"/>
  <c r="I1327" i="11"/>
  <c r="G1327" i="11"/>
  <c r="F1327" i="11"/>
  <c r="E1327" i="11"/>
  <c r="D1327" i="11"/>
  <c r="C1327" i="11"/>
  <c r="B1327" i="11"/>
  <c r="A1327" i="11"/>
  <c r="N1326" i="11"/>
  <c r="L1326" i="11"/>
  <c r="K1326" i="11"/>
  <c r="J1326" i="11"/>
  <c r="I1326" i="11"/>
  <c r="G1326" i="11"/>
  <c r="F1326" i="11"/>
  <c r="E1326" i="11"/>
  <c r="D1326" i="11"/>
  <c r="C1326" i="11"/>
  <c r="B1326" i="11"/>
  <c r="A1326" i="11"/>
  <c r="N1325" i="11"/>
  <c r="L1325" i="11"/>
  <c r="K1325" i="11"/>
  <c r="J1325" i="11"/>
  <c r="I1325" i="11"/>
  <c r="G1325" i="11"/>
  <c r="F1325" i="11"/>
  <c r="E1325" i="11"/>
  <c r="D1325" i="11"/>
  <c r="C1325" i="11"/>
  <c r="B1325" i="11"/>
  <c r="A1325" i="11"/>
  <c r="N1324" i="11"/>
  <c r="L1324" i="11"/>
  <c r="K1324" i="11"/>
  <c r="J1324" i="11"/>
  <c r="I1324" i="11"/>
  <c r="G1324" i="11"/>
  <c r="F1324" i="11"/>
  <c r="E1324" i="11"/>
  <c r="D1324" i="11"/>
  <c r="C1324" i="11"/>
  <c r="B1324" i="11"/>
  <c r="A1324" i="11"/>
  <c r="N1323" i="11"/>
  <c r="L1323" i="11"/>
  <c r="K1323" i="11"/>
  <c r="J1323" i="11"/>
  <c r="I1323" i="11"/>
  <c r="G1323" i="11"/>
  <c r="F1323" i="11"/>
  <c r="E1323" i="11"/>
  <c r="D1323" i="11"/>
  <c r="C1323" i="11"/>
  <c r="B1323" i="11"/>
  <c r="A1323" i="11"/>
  <c r="N1322" i="11"/>
  <c r="L1322" i="11"/>
  <c r="K1322" i="11"/>
  <c r="J1322" i="11"/>
  <c r="I1322" i="11"/>
  <c r="G1322" i="11"/>
  <c r="F1322" i="11"/>
  <c r="E1322" i="11"/>
  <c r="D1322" i="11"/>
  <c r="C1322" i="11"/>
  <c r="B1322" i="11"/>
  <c r="A1322" i="11"/>
  <c r="N1321" i="11"/>
  <c r="L1321" i="11"/>
  <c r="K1321" i="11"/>
  <c r="J1321" i="11"/>
  <c r="I1321" i="11"/>
  <c r="G1321" i="11"/>
  <c r="F1321" i="11"/>
  <c r="E1321" i="11"/>
  <c r="D1321" i="11"/>
  <c r="C1321" i="11"/>
  <c r="B1321" i="11"/>
  <c r="A1321" i="11"/>
  <c r="N1320" i="11"/>
  <c r="L1320" i="11"/>
  <c r="K1320" i="11"/>
  <c r="J1320" i="11"/>
  <c r="I1320" i="11"/>
  <c r="G1320" i="11"/>
  <c r="F1320" i="11"/>
  <c r="E1320" i="11"/>
  <c r="D1320" i="11"/>
  <c r="C1320" i="11"/>
  <c r="B1320" i="11"/>
  <c r="A1320" i="11"/>
  <c r="N1319" i="11"/>
  <c r="L1319" i="11"/>
  <c r="K1319" i="11"/>
  <c r="J1319" i="11"/>
  <c r="I1319" i="11"/>
  <c r="G1319" i="11"/>
  <c r="F1319" i="11"/>
  <c r="E1319" i="11"/>
  <c r="D1319" i="11"/>
  <c r="C1319" i="11"/>
  <c r="B1319" i="11"/>
  <c r="A1319" i="11"/>
  <c r="O1318" i="11"/>
  <c r="N1318" i="11"/>
  <c r="L1318" i="11"/>
  <c r="K1318" i="11"/>
  <c r="J1318" i="11"/>
  <c r="I1318" i="11"/>
  <c r="G1318" i="11"/>
  <c r="F1318" i="11"/>
  <c r="E1318" i="11"/>
  <c r="D1318" i="11"/>
  <c r="C1318" i="11"/>
  <c r="B1318" i="11"/>
  <c r="A1318" i="11"/>
  <c r="N1317" i="11"/>
  <c r="L1317" i="11"/>
  <c r="K1317" i="11"/>
  <c r="J1317" i="11"/>
  <c r="I1317" i="11"/>
  <c r="G1317" i="11"/>
  <c r="F1317" i="11"/>
  <c r="E1317" i="11"/>
  <c r="D1317" i="11"/>
  <c r="C1317" i="11"/>
  <c r="B1317" i="11"/>
  <c r="A1317" i="11"/>
  <c r="N1316" i="11"/>
  <c r="L1316" i="11"/>
  <c r="K1316" i="11"/>
  <c r="J1316" i="11"/>
  <c r="I1316" i="11"/>
  <c r="Q1316" i="11" s="1"/>
  <c r="G1316" i="11"/>
  <c r="F1316" i="11"/>
  <c r="E1316" i="11"/>
  <c r="D1316" i="11"/>
  <c r="C1316" i="11"/>
  <c r="B1316" i="11"/>
  <c r="A1316" i="11"/>
  <c r="N1315" i="11"/>
  <c r="L1315" i="11"/>
  <c r="K1315" i="11"/>
  <c r="J1315" i="11"/>
  <c r="I1315" i="11"/>
  <c r="Q1315" i="11" s="1"/>
  <c r="G1315" i="11"/>
  <c r="F1315" i="11"/>
  <c r="E1315" i="11"/>
  <c r="D1315" i="11"/>
  <c r="C1315" i="11"/>
  <c r="B1315" i="11"/>
  <c r="A1315" i="11"/>
  <c r="N1314" i="11"/>
  <c r="L1314" i="11"/>
  <c r="K1314" i="11"/>
  <c r="J1314" i="11"/>
  <c r="I1314" i="11"/>
  <c r="Q1314" i="11" s="1"/>
  <c r="G1314" i="11"/>
  <c r="F1314" i="11"/>
  <c r="E1314" i="11"/>
  <c r="D1314" i="11"/>
  <c r="C1314" i="11"/>
  <c r="B1314" i="11"/>
  <c r="A1314" i="11"/>
  <c r="N1313" i="11"/>
  <c r="L1313" i="11"/>
  <c r="K1313" i="11"/>
  <c r="J1313" i="11"/>
  <c r="I1313" i="11"/>
  <c r="Q1313" i="11" s="1"/>
  <c r="G1313" i="11"/>
  <c r="F1313" i="11"/>
  <c r="E1313" i="11"/>
  <c r="D1313" i="11"/>
  <c r="C1313" i="11"/>
  <c r="B1313" i="11"/>
  <c r="A1313" i="11"/>
  <c r="N1312" i="11"/>
  <c r="L1312" i="11"/>
  <c r="K1312" i="11"/>
  <c r="J1312" i="11"/>
  <c r="I1312" i="11"/>
  <c r="Q1312" i="11" s="1"/>
  <c r="G1312" i="11"/>
  <c r="F1312" i="11"/>
  <c r="E1312" i="11"/>
  <c r="D1312" i="11"/>
  <c r="C1312" i="11"/>
  <c r="B1312" i="11"/>
  <c r="A1312" i="11"/>
  <c r="O1311" i="11"/>
  <c r="N1311" i="11"/>
  <c r="L1311" i="11"/>
  <c r="K1311" i="11"/>
  <c r="J1311" i="11"/>
  <c r="I1311" i="11"/>
  <c r="H1311" i="11"/>
  <c r="G1311" i="11"/>
  <c r="F1311" i="11"/>
  <c r="E1311" i="11"/>
  <c r="D1311" i="11"/>
  <c r="C1311" i="11"/>
  <c r="B1311" i="11"/>
  <c r="A1311" i="11"/>
  <c r="N1310" i="11"/>
  <c r="L1310" i="11"/>
  <c r="K1310" i="11"/>
  <c r="J1310" i="11"/>
  <c r="I1310" i="11"/>
  <c r="H1310" i="11"/>
  <c r="G1310" i="11"/>
  <c r="F1310" i="11"/>
  <c r="E1310" i="11"/>
  <c r="D1310" i="11"/>
  <c r="C1310" i="11"/>
  <c r="B1310" i="11"/>
  <c r="A1310" i="11"/>
  <c r="O1309" i="11"/>
  <c r="N1309" i="11"/>
  <c r="L1309" i="11"/>
  <c r="K1309" i="11"/>
  <c r="J1309" i="11"/>
  <c r="I1309" i="11"/>
  <c r="H1309" i="11"/>
  <c r="G1309" i="11"/>
  <c r="F1309" i="11"/>
  <c r="E1309" i="11"/>
  <c r="D1309" i="11"/>
  <c r="C1309" i="11"/>
  <c r="B1309" i="11"/>
  <c r="A1309" i="11"/>
  <c r="N1308" i="11"/>
  <c r="L1308" i="11"/>
  <c r="K1308" i="11"/>
  <c r="J1308" i="11"/>
  <c r="I1308" i="11"/>
  <c r="H1308" i="11"/>
  <c r="G1308" i="11"/>
  <c r="F1308" i="11"/>
  <c r="E1308" i="11"/>
  <c r="D1308" i="11"/>
  <c r="C1308" i="11"/>
  <c r="B1308" i="11"/>
  <c r="A1308" i="11"/>
  <c r="N1307" i="11"/>
  <c r="L1307" i="11"/>
  <c r="K1307" i="11"/>
  <c r="J1307" i="11"/>
  <c r="I1307" i="11"/>
  <c r="H1307" i="11"/>
  <c r="G1307" i="11"/>
  <c r="F1307" i="11"/>
  <c r="E1307" i="11"/>
  <c r="D1307" i="11"/>
  <c r="C1307" i="11"/>
  <c r="B1307" i="11"/>
  <c r="A1307" i="11"/>
  <c r="O1306" i="11"/>
  <c r="N1306" i="11"/>
  <c r="L1306" i="11"/>
  <c r="K1306" i="11"/>
  <c r="J1306" i="11"/>
  <c r="I1306" i="11"/>
  <c r="H1306" i="11"/>
  <c r="G1306" i="11"/>
  <c r="F1306" i="11"/>
  <c r="E1306" i="11"/>
  <c r="D1306" i="11"/>
  <c r="C1306" i="11"/>
  <c r="B1306" i="11"/>
  <c r="A1306" i="11"/>
  <c r="N1305" i="11"/>
  <c r="L1305" i="11"/>
  <c r="K1305" i="11"/>
  <c r="J1305" i="11"/>
  <c r="I1305" i="11"/>
  <c r="H1305" i="11"/>
  <c r="G1305" i="11"/>
  <c r="F1305" i="11"/>
  <c r="E1305" i="11"/>
  <c r="D1305" i="11"/>
  <c r="C1305" i="11"/>
  <c r="B1305" i="11"/>
  <c r="A1305" i="11"/>
  <c r="O1304" i="11"/>
  <c r="N1304" i="11"/>
  <c r="L1304" i="11"/>
  <c r="K1304" i="11"/>
  <c r="J1304" i="11"/>
  <c r="I1304" i="11"/>
  <c r="H1304" i="11"/>
  <c r="G1304" i="11"/>
  <c r="F1304" i="11"/>
  <c r="E1304" i="11"/>
  <c r="D1304" i="11"/>
  <c r="C1304" i="11"/>
  <c r="B1304" i="11"/>
  <c r="A1304" i="11"/>
  <c r="O1303" i="11"/>
  <c r="N1303" i="11"/>
  <c r="L1303" i="11"/>
  <c r="K1303" i="11"/>
  <c r="J1303" i="11"/>
  <c r="I1303" i="11"/>
  <c r="H1303" i="11"/>
  <c r="G1303" i="11"/>
  <c r="F1303" i="11"/>
  <c r="E1303" i="11"/>
  <c r="D1303" i="11"/>
  <c r="C1303" i="11"/>
  <c r="B1303" i="11"/>
  <c r="A1303" i="11"/>
  <c r="O1302" i="11"/>
  <c r="N1302" i="11"/>
  <c r="L1302" i="11"/>
  <c r="K1302" i="11"/>
  <c r="J1302" i="11"/>
  <c r="I1302" i="11"/>
  <c r="H1302" i="11"/>
  <c r="G1302" i="11"/>
  <c r="F1302" i="11"/>
  <c r="E1302" i="11"/>
  <c r="D1302" i="11"/>
  <c r="C1302" i="11"/>
  <c r="B1302" i="11"/>
  <c r="A1302" i="11"/>
  <c r="O1301" i="11"/>
  <c r="N1301" i="11"/>
  <c r="L1301" i="11"/>
  <c r="K1301" i="11"/>
  <c r="J1301" i="11"/>
  <c r="I1301" i="11"/>
  <c r="H1301" i="11"/>
  <c r="G1301" i="11"/>
  <c r="F1301" i="11"/>
  <c r="E1301" i="11"/>
  <c r="D1301" i="11"/>
  <c r="C1301" i="11"/>
  <c r="B1301" i="11"/>
  <c r="A1301" i="11"/>
  <c r="O1300" i="11"/>
  <c r="N1300" i="11"/>
  <c r="L1300" i="11"/>
  <c r="K1300" i="11"/>
  <c r="J1300" i="11"/>
  <c r="I1300" i="11"/>
  <c r="H1300" i="11"/>
  <c r="G1300" i="11"/>
  <c r="F1300" i="11"/>
  <c r="E1300" i="11"/>
  <c r="D1300" i="11"/>
  <c r="C1300" i="11"/>
  <c r="B1300" i="11"/>
  <c r="A1300" i="11"/>
  <c r="O1299" i="11"/>
  <c r="N1299" i="11"/>
  <c r="L1299" i="11"/>
  <c r="K1299" i="11"/>
  <c r="J1299" i="11"/>
  <c r="I1299" i="11"/>
  <c r="H1299" i="11"/>
  <c r="G1299" i="11"/>
  <c r="F1299" i="11"/>
  <c r="E1299" i="11"/>
  <c r="D1299" i="11"/>
  <c r="C1299" i="11"/>
  <c r="B1299" i="11"/>
  <c r="A1299" i="11"/>
  <c r="O1298" i="11"/>
  <c r="N1298" i="11"/>
  <c r="L1298" i="11"/>
  <c r="K1298" i="11"/>
  <c r="J1298" i="11"/>
  <c r="I1298" i="11"/>
  <c r="H1298" i="11"/>
  <c r="G1298" i="11"/>
  <c r="F1298" i="11"/>
  <c r="E1298" i="11"/>
  <c r="D1298" i="11"/>
  <c r="C1298" i="11"/>
  <c r="B1298" i="11"/>
  <c r="A1298" i="11"/>
  <c r="O1297" i="11"/>
  <c r="N1297" i="11"/>
  <c r="L1297" i="11"/>
  <c r="K1297" i="11"/>
  <c r="J1297" i="11"/>
  <c r="I1297" i="11"/>
  <c r="H1297" i="11"/>
  <c r="G1297" i="11"/>
  <c r="F1297" i="11"/>
  <c r="E1297" i="11"/>
  <c r="D1297" i="11"/>
  <c r="C1297" i="11"/>
  <c r="B1297" i="11"/>
  <c r="A1297" i="11"/>
  <c r="O1296" i="11"/>
  <c r="N1296" i="11"/>
  <c r="L1296" i="11"/>
  <c r="K1296" i="11"/>
  <c r="J1296" i="11"/>
  <c r="I1296" i="11"/>
  <c r="H1296" i="11"/>
  <c r="G1296" i="11"/>
  <c r="F1296" i="11"/>
  <c r="E1296" i="11"/>
  <c r="D1296" i="11"/>
  <c r="C1296" i="11"/>
  <c r="B1296" i="11"/>
  <c r="A1296" i="11"/>
  <c r="N1295" i="11"/>
  <c r="L1295" i="11"/>
  <c r="K1295" i="11"/>
  <c r="J1295" i="11"/>
  <c r="I1295" i="11"/>
  <c r="H1295" i="11"/>
  <c r="G1295" i="11"/>
  <c r="F1295" i="11"/>
  <c r="E1295" i="11"/>
  <c r="D1295" i="11"/>
  <c r="C1295" i="11"/>
  <c r="B1295" i="11"/>
  <c r="A1295" i="11"/>
  <c r="O1294" i="11"/>
  <c r="N1294" i="11"/>
  <c r="L1294" i="11"/>
  <c r="K1294" i="11"/>
  <c r="J1294" i="11"/>
  <c r="I1294" i="11"/>
  <c r="H1294" i="11"/>
  <c r="G1294" i="11"/>
  <c r="F1294" i="11"/>
  <c r="E1294" i="11"/>
  <c r="D1294" i="11"/>
  <c r="C1294" i="11"/>
  <c r="B1294" i="11"/>
  <c r="A1294" i="11"/>
  <c r="O1293" i="11"/>
  <c r="N1293" i="11"/>
  <c r="L1293" i="11"/>
  <c r="K1293" i="11"/>
  <c r="J1293" i="11"/>
  <c r="I1293" i="11"/>
  <c r="H1293" i="11"/>
  <c r="G1293" i="11"/>
  <c r="F1293" i="11"/>
  <c r="E1293" i="11"/>
  <c r="D1293" i="11"/>
  <c r="C1293" i="11"/>
  <c r="B1293" i="11"/>
  <c r="A1293" i="11"/>
  <c r="O1292" i="11"/>
  <c r="N1292" i="11"/>
  <c r="L1292" i="11"/>
  <c r="K1292" i="11"/>
  <c r="J1292" i="11"/>
  <c r="I1292" i="11"/>
  <c r="H1292" i="11"/>
  <c r="G1292" i="11"/>
  <c r="F1292" i="11"/>
  <c r="E1292" i="11"/>
  <c r="D1292" i="11"/>
  <c r="C1292" i="11"/>
  <c r="B1292" i="11"/>
  <c r="A1292" i="11"/>
  <c r="N1291" i="11"/>
  <c r="L1291" i="11"/>
  <c r="K1291" i="11"/>
  <c r="J1291" i="11"/>
  <c r="I1291" i="11"/>
  <c r="H1291" i="11"/>
  <c r="G1291" i="11"/>
  <c r="F1291" i="11"/>
  <c r="E1291" i="11"/>
  <c r="D1291" i="11"/>
  <c r="C1291" i="11"/>
  <c r="B1291" i="11"/>
  <c r="A1291" i="11"/>
  <c r="O1290" i="11"/>
  <c r="N1290" i="11"/>
  <c r="L1290" i="11"/>
  <c r="K1290" i="11"/>
  <c r="J1290" i="11"/>
  <c r="I1290" i="11"/>
  <c r="H1290" i="11"/>
  <c r="G1290" i="11"/>
  <c r="F1290" i="11"/>
  <c r="E1290" i="11"/>
  <c r="D1290" i="11"/>
  <c r="C1290" i="11"/>
  <c r="B1290" i="11"/>
  <c r="A1290" i="11"/>
  <c r="O1289" i="11"/>
  <c r="N1289" i="11"/>
  <c r="L1289" i="11"/>
  <c r="K1289" i="11"/>
  <c r="J1289" i="11"/>
  <c r="I1289" i="11"/>
  <c r="H1289" i="11"/>
  <c r="G1289" i="11"/>
  <c r="F1289" i="11"/>
  <c r="E1289" i="11"/>
  <c r="D1289" i="11"/>
  <c r="C1289" i="11"/>
  <c r="B1289" i="11"/>
  <c r="A1289" i="11"/>
  <c r="N1288" i="11"/>
  <c r="L1288" i="11"/>
  <c r="K1288" i="11"/>
  <c r="J1288" i="11"/>
  <c r="I1288" i="11"/>
  <c r="Q1288" i="11" s="1"/>
  <c r="H1288" i="11"/>
  <c r="G1288" i="11"/>
  <c r="F1288" i="11"/>
  <c r="E1288" i="11"/>
  <c r="D1288" i="11"/>
  <c r="C1288" i="11"/>
  <c r="B1288" i="11"/>
  <c r="A1288" i="11"/>
  <c r="N1287" i="11"/>
  <c r="L1287" i="11"/>
  <c r="K1287" i="11"/>
  <c r="J1287" i="11"/>
  <c r="I1287" i="11"/>
  <c r="Q1287" i="11" s="1"/>
  <c r="H1287" i="11"/>
  <c r="G1287" i="11"/>
  <c r="F1287" i="11"/>
  <c r="E1287" i="11"/>
  <c r="D1287" i="11"/>
  <c r="C1287" i="11"/>
  <c r="B1287" i="11"/>
  <c r="A1287" i="11"/>
  <c r="N1286" i="11"/>
  <c r="L1286" i="11"/>
  <c r="K1286" i="11"/>
  <c r="J1286" i="11"/>
  <c r="I1286" i="11"/>
  <c r="Q1286" i="11" s="1"/>
  <c r="H1286" i="11"/>
  <c r="G1286" i="11"/>
  <c r="F1286" i="11"/>
  <c r="E1286" i="11"/>
  <c r="D1286" i="11"/>
  <c r="C1286" i="11"/>
  <c r="B1286" i="11"/>
  <c r="A1286" i="11"/>
  <c r="N1285" i="11"/>
  <c r="L1285" i="11"/>
  <c r="K1285" i="11"/>
  <c r="J1285" i="11"/>
  <c r="I1285" i="11"/>
  <c r="Q1285" i="11" s="1"/>
  <c r="H1285" i="11"/>
  <c r="G1285" i="11"/>
  <c r="F1285" i="11"/>
  <c r="E1285" i="11"/>
  <c r="D1285" i="11"/>
  <c r="C1285" i="11"/>
  <c r="B1285" i="11"/>
  <c r="A1285" i="11"/>
  <c r="N1284" i="11"/>
  <c r="L1284" i="11"/>
  <c r="K1284" i="11"/>
  <c r="J1284" i="11"/>
  <c r="I1284" i="11"/>
  <c r="Q1284" i="11" s="1"/>
  <c r="H1284" i="11"/>
  <c r="G1284" i="11"/>
  <c r="F1284" i="11"/>
  <c r="E1284" i="11"/>
  <c r="D1284" i="11"/>
  <c r="C1284" i="11"/>
  <c r="B1284" i="11"/>
  <c r="A1284" i="11"/>
  <c r="N1283" i="11"/>
  <c r="L1283" i="11"/>
  <c r="K1283" i="11"/>
  <c r="J1283" i="11"/>
  <c r="I1283" i="11"/>
  <c r="Q1283" i="11" s="1"/>
  <c r="H1283" i="11"/>
  <c r="G1283" i="11"/>
  <c r="F1283" i="11"/>
  <c r="E1283" i="11"/>
  <c r="D1283" i="11"/>
  <c r="C1283" i="11"/>
  <c r="B1283" i="11"/>
  <c r="A1283" i="11"/>
  <c r="N1282" i="11"/>
  <c r="L1282" i="11"/>
  <c r="K1282" i="11"/>
  <c r="J1282" i="11"/>
  <c r="I1282" i="11"/>
  <c r="Q1282" i="11" s="1"/>
  <c r="H1282" i="11"/>
  <c r="G1282" i="11"/>
  <c r="F1282" i="11"/>
  <c r="E1282" i="11"/>
  <c r="D1282" i="11"/>
  <c r="C1282" i="11"/>
  <c r="B1282" i="11"/>
  <c r="A1282" i="11"/>
  <c r="N1281" i="11"/>
  <c r="L1281" i="11"/>
  <c r="K1281" i="11"/>
  <c r="J1281" i="11"/>
  <c r="I1281" i="11"/>
  <c r="Q1281" i="11" s="1"/>
  <c r="H1281" i="11"/>
  <c r="G1281" i="11"/>
  <c r="F1281" i="11"/>
  <c r="E1281" i="11"/>
  <c r="D1281" i="11"/>
  <c r="C1281" i="11"/>
  <c r="B1281" i="11"/>
  <c r="A1281" i="11"/>
  <c r="N1280" i="11"/>
  <c r="L1280" i="11"/>
  <c r="K1280" i="11"/>
  <c r="J1280" i="11"/>
  <c r="I1280" i="11"/>
  <c r="Q1280" i="11" s="1"/>
  <c r="H1280" i="11"/>
  <c r="G1280" i="11"/>
  <c r="F1280" i="11"/>
  <c r="E1280" i="11"/>
  <c r="D1280" i="11"/>
  <c r="C1280" i="11"/>
  <c r="B1280" i="11"/>
  <c r="A1280" i="11"/>
  <c r="N1279" i="11"/>
  <c r="L1279" i="11"/>
  <c r="K1279" i="11"/>
  <c r="J1279" i="11"/>
  <c r="I1279" i="11"/>
  <c r="Q1279" i="11" s="1"/>
  <c r="H1279" i="11"/>
  <c r="G1279" i="11"/>
  <c r="F1279" i="11"/>
  <c r="E1279" i="11"/>
  <c r="D1279" i="11"/>
  <c r="C1279" i="11"/>
  <c r="B1279" i="11"/>
  <c r="A1279" i="11"/>
  <c r="N1278" i="11"/>
  <c r="L1278" i="11"/>
  <c r="K1278" i="11"/>
  <c r="J1278" i="11"/>
  <c r="I1278" i="11"/>
  <c r="Q1278" i="11" s="1"/>
  <c r="H1278" i="11"/>
  <c r="G1278" i="11"/>
  <c r="F1278" i="11"/>
  <c r="E1278" i="11"/>
  <c r="D1278" i="11"/>
  <c r="C1278" i="11"/>
  <c r="B1278" i="11"/>
  <c r="A1278" i="11"/>
  <c r="N1277" i="11"/>
  <c r="L1277" i="11"/>
  <c r="K1277" i="11"/>
  <c r="J1277" i="11"/>
  <c r="I1277" i="11"/>
  <c r="Q1277" i="11" s="1"/>
  <c r="H1277" i="11"/>
  <c r="G1277" i="11"/>
  <c r="F1277" i="11"/>
  <c r="E1277" i="11"/>
  <c r="D1277" i="11"/>
  <c r="C1277" i="11"/>
  <c r="B1277" i="11"/>
  <c r="A1277" i="11"/>
  <c r="N1276" i="11"/>
  <c r="L1276" i="11"/>
  <c r="K1276" i="11"/>
  <c r="J1276" i="11"/>
  <c r="I1276" i="11"/>
  <c r="Q1276" i="11" s="1"/>
  <c r="H1276" i="11"/>
  <c r="G1276" i="11"/>
  <c r="F1276" i="11"/>
  <c r="E1276" i="11"/>
  <c r="D1276" i="11"/>
  <c r="C1276" i="11"/>
  <c r="B1276" i="11"/>
  <c r="A1276" i="11"/>
  <c r="N1275" i="11"/>
  <c r="L1275" i="11"/>
  <c r="K1275" i="11"/>
  <c r="J1275" i="11"/>
  <c r="I1275" i="11"/>
  <c r="Q1275" i="11" s="1"/>
  <c r="H1275" i="11"/>
  <c r="G1275" i="11"/>
  <c r="F1275" i="11"/>
  <c r="E1275" i="11"/>
  <c r="D1275" i="11"/>
  <c r="C1275" i="11"/>
  <c r="B1275" i="11"/>
  <c r="A1275" i="11"/>
  <c r="N1274" i="11"/>
  <c r="L1274" i="11"/>
  <c r="K1274" i="11"/>
  <c r="J1274" i="11"/>
  <c r="I1274" i="11"/>
  <c r="Q1274" i="11" s="1"/>
  <c r="H1274" i="11"/>
  <c r="G1274" i="11"/>
  <c r="F1274" i="11"/>
  <c r="E1274" i="11"/>
  <c r="D1274" i="11"/>
  <c r="C1274" i="11"/>
  <c r="B1274" i="11"/>
  <c r="A1274" i="11"/>
  <c r="N1273" i="11"/>
  <c r="L1273" i="11"/>
  <c r="K1273" i="11"/>
  <c r="J1273" i="11"/>
  <c r="I1273" i="11"/>
  <c r="Q1273" i="11" s="1"/>
  <c r="G1273" i="11"/>
  <c r="F1273" i="11"/>
  <c r="E1273" i="11"/>
  <c r="D1273" i="11"/>
  <c r="C1273" i="11"/>
  <c r="B1273" i="11"/>
  <c r="A1273" i="11"/>
  <c r="N1272" i="11"/>
  <c r="L1272" i="11"/>
  <c r="K1272" i="11"/>
  <c r="J1272" i="11"/>
  <c r="I1272" i="11"/>
  <c r="Q1272" i="11" s="1"/>
  <c r="G1272" i="11"/>
  <c r="F1272" i="11"/>
  <c r="E1272" i="11"/>
  <c r="D1272" i="11"/>
  <c r="C1272" i="11"/>
  <c r="B1272" i="11"/>
  <c r="A1272" i="11"/>
  <c r="N1271" i="11"/>
  <c r="L1271" i="11"/>
  <c r="K1271" i="11"/>
  <c r="J1271" i="11"/>
  <c r="I1271" i="11"/>
  <c r="Q1271" i="11" s="1"/>
  <c r="G1271" i="11"/>
  <c r="F1271" i="11"/>
  <c r="E1271" i="11"/>
  <c r="D1271" i="11"/>
  <c r="C1271" i="11"/>
  <c r="B1271" i="11"/>
  <c r="A1271" i="11"/>
  <c r="N1270" i="11"/>
  <c r="L1270" i="11"/>
  <c r="K1270" i="11"/>
  <c r="J1270" i="11"/>
  <c r="I1270" i="11"/>
  <c r="Q1270" i="11" s="1"/>
  <c r="G1270" i="11"/>
  <c r="F1270" i="11"/>
  <c r="E1270" i="11"/>
  <c r="D1270" i="11"/>
  <c r="C1270" i="11"/>
  <c r="B1270" i="11"/>
  <c r="A1270" i="11"/>
  <c r="N1269" i="11"/>
  <c r="L1269" i="11"/>
  <c r="K1269" i="11"/>
  <c r="J1269" i="11"/>
  <c r="I1269" i="11"/>
  <c r="Q1269" i="11" s="1"/>
  <c r="G1269" i="11"/>
  <c r="F1269" i="11"/>
  <c r="E1269" i="11"/>
  <c r="D1269" i="11"/>
  <c r="C1269" i="11"/>
  <c r="B1269" i="11"/>
  <c r="A1269" i="11"/>
  <c r="N1268" i="11"/>
  <c r="L1268" i="11"/>
  <c r="K1268" i="11"/>
  <c r="J1268" i="11"/>
  <c r="I1268" i="11"/>
  <c r="Q1268" i="11" s="1"/>
  <c r="G1268" i="11"/>
  <c r="F1268" i="11"/>
  <c r="E1268" i="11"/>
  <c r="D1268" i="11"/>
  <c r="C1268" i="11"/>
  <c r="B1268" i="11"/>
  <c r="A1268" i="11"/>
  <c r="N1267" i="11"/>
  <c r="L1267" i="11"/>
  <c r="K1267" i="11"/>
  <c r="J1267" i="11"/>
  <c r="I1267" i="11"/>
  <c r="Q1267" i="11" s="1"/>
  <c r="G1267" i="11"/>
  <c r="F1267" i="11"/>
  <c r="E1267" i="11"/>
  <c r="D1267" i="11"/>
  <c r="C1267" i="11"/>
  <c r="B1267" i="11"/>
  <c r="A1267" i="11"/>
  <c r="N1266" i="11"/>
  <c r="L1266" i="11"/>
  <c r="K1266" i="11"/>
  <c r="J1266" i="11"/>
  <c r="I1266" i="11"/>
  <c r="Q1266" i="11" s="1"/>
  <c r="G1266" i="11"/>
  <c r="F1266" i="11"/>
  <c r="E1266" i="11"/>
  <c r="D1266" i="11"/>
  <c r="C1266" i="11"/>
  <c r="B1266" i="11"/>
  <c r="A1266" i="11"/>
  <c r="N1265" i="11"/>
  <c r="L1265" i="11"/>
  <c r="K1265" i="11"/>
  <c r="J1265" i="11"/>
  <c r="I1265" i="11"/>
  <c r="Q1265" i="11" s="1"/>
  <c r="G1265" i="11"/>
  <c r="F1265" i="11"/>
  <c r="E1265" i="11"/>
  <c r="D1265" i="11"/>
  <c r="C1265" i="11"/>
  <c r="B1265" i="11"/>
  <c r="A1265" i="11"/>
  <c r="N1264" i="11"/>
  <c r="L1264" i="11"/>
  <c r="K1264" i="11"/>
  <c r="J1264" i="11"/>
  <c r="I1264" i="11"/>
  <c r="Q1264" i="11" s="1"/>
  <c r="G1264" i="11"/>
  <c r="F1264" i="11"/>
  <c r="E1264" i="11"/>
  <c r="D1264" i="11"/>
  <c r="C1264" i="11"/>
  <c r="B1264" i="11"/>
  <c r="A1264" i="11"/>
  <c r="N1263" i="11"/>
  <c r="L1263" i="11"/>
  <c r="K1263" i="11"/>
  <c r="J1263" i="11"/>
  <c r="I1263" i="11"/>
  <c r="G1263" i="11"/>
  <c r="F1263" i="11"/>
  <c r="E1263" i="11"/>
  <c r="D1263" i="11"/>
  <c r="C1263" i="11"/>
  <c r="B1263" i="11"/>
  <c r="A1263" i="11"/>
  <c r="N1262" i="11"/>
  <c r="L1262" i="11"/>
  <c r="K1262" i="11"/>
  <c r="J1262" i="11"/>
  <c r="I1262" i="11"/>
  <c r="G1262" i="11"/>
  <c r="F1262" i="11"/>
  <c r="E1262" i="11"/>
  <c r="D1262" i="11"/>
  <c r="C1262" i="11"/>
  <c r="B1262" i="11"/>
  <c r="A1262" i="11"/>
  <c r="O1261" i="11"/>
  <c r="N1261" i="11"/>
  <c r="L1261" i="11"/>
  <c r="K1261" i="11"/>
  <c r="J1261" i="11"/>
  <c r="I1261" i="11"/>
  <c r="G1261" i="11"/>
  <c r="F1261" i="11"/>
  <c r="E1261" i="11"/>
  <c r="D1261" i="11"/>
  <c r="C1261" i="11"/>
  <c r="B1261" i="11"/>
  <c r="A1261" i="11"/>
  <c r="O1260" i="11"/>
  <c r="N1260" i="11"/>
  <c r="L1260" i="11"/>
  <c r="K1260" i="11"/>
  <c r="J1260" i="11"/>
  <c r="I1260" i="11"/>
  <c r="G1260" i="11"/>
  <c r="F1260" i="11"/>
  <c r="E1260" i="11"/>
  <c r="D1260" i="11"/>
  <c r="C1260" i="11"/>
  <c r="B1260" i="11"/>
  <c r="A1260" i="11"/>
  <c r="O1259" i="11"/>
  <c r="N1259" i="11"/>
  <c r="L1259" i="11"/>
  <c r="K1259" i="11"/>
  <c r="J1259" i="11"/>
  <c r="I1259" i="11"/>
  <c r="G1259" i="11"/>
  <c r="F1259" i="11"/>
  <c r="E1259" i="11"/>
  <c r="D1259" i="11"/>
  <c r="C1259" i="11"/>
  <c r="B1259" i="11"/>
  <c r="A1259" i="11"/>
  <c r="O1258" i="11"/>
  <c r="N1258" i="11"/>
  <c r="L1258" i="11"/>
  <c r="K1258" i="11"/>
  <c r="J1258" i="11"/>
  <c r="I1258" i="11"/>
  <c r="G1258" i="11"/>
  <c r="F1258" i="11"/>
  <c r="E1258" i="11"/>
  <c r="D1258" i="11"/>
  <c r="C1258" i="11"/>
  <c r="B1258" i="11"/>
  <c r="A1258" i="11"/>
  <c r="O1257" i="11"/>
  <c r="N1257" i="11"/>
  <c r="L1257" i="11"/>
  <c r="K1257" i="11"/>
  <c r="J1257" i="11"/>
  <c r="I1257" i="11"/>
  <c r="G1257" i="11"/>
  <c r="F1257" i="11"/>
  <c r="E1257" i="11"/>
  <c r="D1257" i="11"/>
  <c r="C1257" i="11"/>
  <c r="B1257" i="11"/>
  <c r="A1257" i="11"/>
  <c r="O1256" i="11"/>
  <c r="N1256" i="11"/>
  <c r="L1256" i="11"/>
  <c r="K1256" i="11"/>
  <c r="J1256" i="11"/>
  <c r="I1256" i="11"/>
  <c r="G1256" i="11"/>
  <c r="F1256" i="11"/>
  <c r="E1256" i="11"/>
  <c r="D1256" i="11"/>
  <c r="C1256" i="11"/>
  <c r="B1256" i="11"/>
  <c r="A1256" i="11"/>
  <c r="O1255" i="11"/>
  <c r="N1255" i="11"/>
  <c r="L1255" i="11"/>
  <c r="K1255" i="11"/>
  <c r="J1255" i="11"/>
  <c r="I1255" i="11"/>
  <c r="G1255" i="11"/>
  <c r="F1255" i="11"/>
  <c r="E1255" i="11"/>
  <c r="D1255" i="11"/>
  <c r="C1255" i="11"/>
  <c r="B1255" i="11"/>
  <c r="A1255" i="11"/>
  <c r="O1254" i="11"/>
  <c r="N1254" i="11"/>
  <c r="L1254" i="11"/>
  <c r="K1254" i="11"/>
  <c r="J1254" i="11"/>
  <c r="I1254" i="11"/>
  <c r="G1254" i="11"/>
  <c r="F1254" i="11"/>
  <c r="E1254" i="11"/>
  <c r="D1254" i="11"/>
  <c r="C1254" i="11"/>
  <c r="B1254" i="11"/>
  <c r="A1254" i="11"/>
  <c r="O1253" i="11"/>
  <c r="N1253" i="11"/>
  <c r="L1253" i="11"/>
  <c r="K1253" i="11"/>
  <c r="J1253" i="11"/>
  <c r="I1253" i="11"/>
  <c r="G1253" i="11"/>
  <c r="F1253" i="11"/>
  <c r="E1253" i="11"/>
  <c r="D1253" i="11"/>
  <c r="C1253" i="11"/>
  <c r="B1253" i="11"/>
  <c r="A1253" i="11"/>
  <c r="O1252" i="11"/>
  <c r="N1252" i="11"/>
  <c r="L1252" i="11"/>
  <c r="K1252" i="11"/>
  <c r="J1252" i="11"/>
  <c r="I1252" i="11"/>
  <c r="G1252" i="11"/>
  <c r="F1252" i="11"/>
  <c r="E1252" i="11"/>
  <c r="D1252" i="11"/>
  <c r="C1252" i="11"/>
  <c r="B1252" i="11"/>
  <c r="A1252" i="11"/>
  <c r="O1251" i="11"/>
  <c r="N1251" i="11"/>
  <c r="L1251" i="11"/>
  <c r="K1251" i="11"/>
  <c r="J1251" i="11"/>
  <c r="I1251" i="11"/>
  <c r="G1251" i="11"/>
  <c r="F1251" i="11"/>
  <c r="E1251" i="11"/>
  <c r="D1251" i="11"/>
  <c r="C1251" i="11"/>
  <c r="B1251" i="11"/>
  <c r="A1251" i="11"/>
  <c r="O1250" i="11"/>
  <c r="N1250" i="11"/>
  <c r="L1250" i="11"/>
  <c r="K1250" i="11"/>
  <c r="J1250" i="11"/>
  <c r="I1250" i="11"/>
  <c r="G1250" i="11"/>
  <c r="F1250" i="11"/>
  <c r="E1250" i="11"/>
  <c r="D1250" i="11"/>
  <c r="C1250" i="11"/>
  <c r="B1250" i="11"/>
  <c r="A1250" i="11"/>
  <c r="O1249" i="11"/>
  <c r="N1249" i="11"/>
  <c r="L1249" i="11"/>
  <c r="K1249" i="11"/>
  <c r="J1249" i="11"/>
  <c r="I1249" i="11"/>
  <c r="G1249" i="11"/>
  <c r="F1249" i="11"/>
  <c r="E1249" i="11"/>
  <c r="D1249" i="11"/>
  <c r="C1249" i="11"/>
  <c r="B1249" i="11"/>
  <c r="A1249" i="11"/>
  <c r="O1248" i="11"/>
  <c r="N1248" i="11"/>
  <c r="L1248" i="11"/>
  <c r="K1248" i="11"/>
  <c r="J1248" i="11"/>
  <c r="I1248" i="11"/>
  <c r="G1248" i="11"/>
  <c r="F1248" i="11"/>
  <c r="E1248" i="11"/>
  <c r="D1248" i="11"/>
  <c r="C1248" i="11"/>
  <c r="B1248" i="11"/>
  <c r="A1248" i="11"/>
  <c r="O1247" i="11"/>
  <c r="N1247" i="11"/>
  <c r="L1247" i="11"/>
  <c r="K1247" i="11"/>
  <c r="J1247" i="11"/>
  <c r="I1247" i="11"/>
  <c r="G1247" i="11"/>
  <c r="F1247" i="11"/>
  <c r="E1247" i="11"/>
  <c r="D1247" i="11"/>
  <c r="C1247" i="11"/>
  <c r="B1247" i="11"/>
  <c r="A1247" i="11"/>
  <c r="O1246" i="11"/>
  <c r="N1246" i="11"/>
  <c r="L1246" i="11"/>
  <c r="K1246" i="11"/>
  <c r="J1246" i="11"/>
  <c r="I1246" i="11"/>
  <c r="G1246" i="11"/>
  <c r="F1246" i="11"/>
  <c r="E1246" i="11"/>
  <c r="D1246" i="11"/>
  <c r="C1246" i="11"/>
  <c r="B1246" i="11"/>
  <c r="A1246" i="11"/>
  <c r="O1245" i="11"/>
  <c r="N1245" i="11"/>
  <c r="L1245" i="11"/>
  <c r="K1245" i="11"/>
  <c r="J1245" i="11"/>
  <c r="I1245" i="11"/>
  <c r="G1245" i="11"/>
  <c r="F1245" i="11"/>
  <c r="E1245" i="11"/>
  <c r="D1245" i="11"/>
  <c r="C1245" i="11"/>
  <c r="B1245" i="11"/>
  <c r="A1245" i="11"/>
  <c r="O1244" i="11"/>
  <c r="N1244" i="11"/>
  <c r="L1244" i="11"/>
  <c r="K1244" i="11"/>
  <c r="J1244" i="11"/>
  <c r="I1244" i="11"/>
  <c r="G1244" i="11"/>
  <c r="F1244" i="11"/>
  <c r="E1244" i="11"/>
  <c r="D1244" i="11"/>
  <c r="C1244" i="11"/>
  <c r="B1244" i="11"/>
  <c r="A1244" i="11"/>
  <c r="O1243" i="11"/>
  <c r="N1243" i="11"/>
  <c r="L1243" i="11"/>
  <c r="K1243" i="11"/>
  <c r="J1243" i="11"/>
  <c r="I1243" i="11"/>
  <c r="G1243" i="11"/>
  <c r="F1243" i="11"/>
  <c r="E1243" i="11"/>
  <c r="D1243" i="11"/>
  <c r="C1243" i="11"/>
  <c r="B1243" i="11"/>
  <c r="A1243" i="11"/>
  <c r="O1242" i="11"/>
  <c r="N1242" i="11"/>
  <c r="L1242" i="11"/>
  <c r="K1242" i="11"/>
  <c r="J1242" i="11"/>
  <c r="I1242" i="11"/>
  <c r="G1242" i="11"/>
  <c r="F1242" i="11"/>
  <c r="E1242" i="11"/>
  <c r="D1242" i="11"/>
  <c r="C1242" i="11"/>
  <c r="B1242" i="11"/>
  <c r="A1242" i="11"/>
  <c r="N1241" i="11"/>
  <c r="L1241" i="11"/>
  <c r="K1241" i="11"/>
  <c r="J1241" i="11"/>
  <c r="I1241" i="11"/>
  <c r="G1241" i="11"/>
  <c r="F1241" i="11"/>
  <c r="E1241" i="11"/>
  <c r="D1241" i="11"/>
  <c r="C1241" i="11"/>
  <c r="B1241" i="11"/>
  <c r="A1241" i="11"/>
  <c r="N1240" i="11"/>
  <c r="L1240" i="11"/>
  <c r="K1240" i="11"/>
  <c r="J1240" i="11"/>
  <c r="I1240" i="11"/>
  <c r="G1240" i="11"/>
  <c r="F1240" i="11"/>
  <c r="E1240" i="11"/>
  <c r="D1240" i="11"/>
  <c r="C1240" i="11"/>
  <c r="B1240" i="11"/>
  <c r="A1240" i="11"/>
  <c r="N1239" i="11"/>
  <c r="L1239" i="11"/>
  <c r="K1239" i="11"/>
  <c r="J1239" i="11"/>
  <c r="I1239" i="11"/>
  <c r="G1239" i="11"/>
  <c r="F1239" i="11"/>
  <c r="E1239" i="11"/>
  <c r="D1239" i="11"/>
  <c r="C1239" i="11"/>
  <c r="B1239" i="11"/>
  <c r="A1239" i="11"/>
  <c r="N1238" i="11"/>
  <c r="L1238" i="11"/>
  <c r="K1238" i="11"/>
  <c r="J1238" i="11"/>
  <c r="I1238" i="11"/>
  <c r="G1238" i="11"/>
  <c r="F1238" i="11"/>
  <c r="E1238" i="11"/>
  <c r="D1238" i="11"/>
  <c r="C1238" i="11"/>
  <c r="B1238" i="11"/>
  <c r="A1238" i="11"/>
  <c r="N1237" i="11"/>
  <c r="L1237" i="11"/>
  <c r="K1237" i="11"/>
  <c r="J1237" i="11"/>
  <c r="I1237" i="11"/>
  <c r="G1237" i="11"/>
  <c r="F1237" i="11"/>
  <c r="E1237" i="11"/>
  <c r="D1237" i="11"/>
  <c r="C1237" i="11"/>
  <c r="B1237" i="11"/>
  <c r="A1237" i="11"/>
  <c r="N1236" i="11"/>
  <c r="L1236" i="11"/>
  <c r="K1236" i="11"/>
  <c r="J1236" i="11"/>
  <c r="I1236" i="11"/>
  <c r="G1236" i="11"/>
  <c r="F1236" i="11"/>
  <c r="E1236" i="11"/>
  <c r="D1236" i="11"/>
  <c r="C1236" i="11"/>
  <c r="B1236" i="11"/>
  <c r="A1236" i="11"/>
  <c r="N1235" i="11"/>
  <c r="L1235" i="11"/>
  <c r="K1235" i="11"/>
  <c r="J1235" i="11"/>
  <c r="I1235" i="11"/>
  <c r="G1235" i="11"/>
  <c r="F1235" i="11"/>
  <c r="E1235" i="11"/>
  <c r="D1235" i="11"/>
  <c r="C1235" i="11"/>
  <c r="B1235" i="11"/>
  <c r="A1235" i="11"/>
  <c r="N1234" i="11"/>
  <c r="L1234" i="11"/>
  <c r="K1234" i="11"/>
  <c r="J1234" i="11"/>
  <c r="I1234" i="11"/>
  <c r="G1234" i="11"/>
  <c r="F1234" i="11"/>
  <c r="E1234" i="11"/>
  <c r="D1234" i="11"/>
  <c r="C1234" i="11"/>
  <c r="B1234" i="11"/>
  <c r="A1234" i="11"/>
  <c r="N1233" i="11"/>
  <c r="L1233" i="11"/>
  <c r="K1233" i="11"/>
  <c r="J1233" i="11"/>
  <c r="I1233" i="11"/>
  <c r="G1233" i="11"/>
  <c r="F1233" i="11"/>
  <c r="E1233" i="11"/>
  <c r="D1233" i="11"/>
  <c r="C1233" i="11"/>
  <c r="B1233" i="11"/>
  <c r="A1233" i="11"/>
  <c r="N1232" i="11"/>
  <c r="L1232" i="11"/>
  <c r="K1232" i="11"/>
  <c r="J1232" i="11"/>
  <c r="I1232" i="11"/>
  <c r="G1232" i="11"/>
  <c r="F1232" i="11"/>
  <c r="E1232" i="11"/>
  <c r="D1232" i="11"/>
  <c r="C1232" i="11"/>
  <c r="B1232" i="11"/>
  <c r="A1232" i="11"/>
  <c r="N1231" i="11"/>
  <c r="L1231" i="11"/>
  <c r="K1231" i="11"/>
  <c r="J1231" i="11"/>
  <c r="I1231" i="11"/>
  <c r="G1231" i="11"/>
  <c r="F1231" i="11"/>
  <c r="E1231" i="11"/>
  <c r="D1231" i="11"/>
  <c r="C1231" i="11"/>
  <c r="B1231" i="11"/>
  <c r="A1231" i="11"/>
  <c r="N1230" i="11"/>
  <c r="L1230" i="11"/>
  <c r="K1230" i="11"/>
  <c r="J1230" i="11"/>
  <c r="I1230" i="11"/>
  <c r="G1230" i="11"/>
  <c r="F1230" i="11"/>
  <c r="E1230" i="11"/>
  <c r="D1230" i="11"/>
  <c r="C1230" i="11"/>
  <c r="B1230" i="11"/>
  <c r="A1230" i="11"/>
  <c r="N1229" i="11"/>
  <c r="L1229" i="11"/>
  <c r="K1229" i="11"/>
  <c r="J1229" i="11"/>
  <c r="I1229" i="11"/>
  <c r="G1229" i="11"/>
  <c r="F1229" i="11"/>
  <c r="E1229" i="11"/>
  <c r="D1229" i="11"/>
  <c r="C1229" i="11"/>
  <c r="B1229" i="11"/>
  <c r="A1229" i="11"/>
  <c r="N1228" i="11"/>
  <c r="L1228" i="11"/>
  <c r="K1228" i="11"/>
  <c r="J1228" i="11"/>
  <c r="I1228" i="11"/>
  <c r="G1228" i="11"/>
  <c r="F1228" i="11"/>
  <c r="E1228" i="11"/>
  <c r="D1228" i="11"/>
  <c r="C1228" i="11"/>
  <c r="B1228" i="11"/>
  <c r="A1228" i="11"/>
  <c r="O1227" i="11"/>
  <c r="N1227" i="11"/>
  <c r="L1227" i="11"/>
  <c r="K1227" i="11"/>
  <c r="J1227" i="11"/>
  <c r="I1227" i="11"/>
  <c r="Q1227" i="11" s="1"/>
  <c r="G1227" i="11"/>
  <c r="F1227" i="11"/>
  <c r="E1227" i="11"/>
  <c r="D1227" i="11"/>
  <c r="C1227" i="11"/>
  <c r="B1227" i="11"/>
  <c r="A1227" i="11"/>
  <c r="N1226" i="11"/>
  <c r="L1226" i="11"/>
  <c r="K1226" i="11"/>
  <c r="J1226" i="11"/>
  <c r="I1226" i="11"/>
  <c r="G1226" i="11"/>
  <c r="F1226" i="11"/>
  <c r="E1226" i="11"/>
  <c r="D1226" i="11"/>
  <c r="C1226" i="11"/>
  <c r="B1226" i="11"/>
  <c r="A1226" i="11"/>
  <c r="N1225" i="11"/>
  <c r="L1225" i="11"/>
  <c r="K1225" i="11"/>
  <c r="J1225" i="11"/>
  <c r="I1225" i="11"/>
  <c r="G1225" i="11"/>
  <c r="F1225" i="11"/>
  <c r="E1225" i="11"/>
  <c r="D1225" i="11"/>
  <c r="C1225" i="11"/>
  <c r="B1225" i="11"/>
  <c r="A1225" i="11"/>
  <c r="N1224" i="11"/>
  <c r="L1224" i="11"/>
  <c r="K1224" i="11"/>
  <c r="J1224" i="11"/>
  <c r="I1224" i="11"/>
  <c r="G1224" i="11"/>
  <c r="F1224" i="11"/>
  <c r="E1224" i="11"/>
  <c r="D1224" i="11"/>
  <c r="C1224" i="11"/>
  <c r="B1224" i="11"/>
  <c r="A1224" i="11"/>
  <c r="O1223" i="11"/>
  <c r="N1223" i="11"/>
  <c r="L1223" i="11"/>
  <c r="K1223" i="11"/>
  <c r="J1223" i="11"/>
  <c r="I1223" i="11"/>
  <c r="Q1223" i="11" s="1"/>
  <c r="G1223" i="11"/>
  <c r="F1223" i="11"/>
  <c r="E1223" i="11"/>
  <c r="D1223" i="11"/>
  <c r="C1223" i="11"/>
  <c r="B1223" i="11"/>
  <c r="A1223" i="11"/>
  <c r="N1222" i="11"/>
  <c r="L1222" i="11"/>
  <c r="K1222" i="11"/>
  <c r="J1222" i="11"/>
  <c r="I1222" i="11"/>
  <c r="G1222" i="11"/>
  <c r="F1222" i="11"/>
  <c r="E1222" i="11"/>
  <c r="D1222" i="11"/>
  <c r="C1222" i="11"/>
  <c r="B1222" i="11"/>
  <c r="A1222" i="11"/>
  <c r="N1221" i="11"/>
  <c r="L1221" i="11"/>
  <c r="K1221" i="11"/>
  <c r="J1221" i="11"/>
  <c r="I1221" i="11"/>
  <c r="G1221" i="11"/>
  <c r="F1221" i="11"/>
  <c r="E1221" i="11"/>
  <c r="D1221" i="11"/>
  <c r="C1221" i="11"/>
  <c r="B1221" i="11"/>
  <c r="A1221" i="11"/>
  <c r="N1220" i="11"/>
  <c r="L1220" i="11"/>
  <c r="K1220" i="11"/>
  <c r="J1220" i="11"/>
  <c r="I1220" i="11"/>
  <c r="G1220" i="11"/>
  <c r="F1220" i="11"/>
  <c r="E1220" i="11"/>
  <c r="D1220" i="11"/>
  <c r="C1220" i="11"/>
  <c r="B1220" i="11"/>
  <c r="A1220" i="11"/>
  <c r="N1219" i="11"/>
  <c r="L1219" i="11"/>
  <c r="K1219" i="11"/>
  <c r="J1219" i="11"/>
  <c r="I1219" i="11"/>
  <c r="G1219" i="11"/>
  <c r="F1219" i="11"/>
  <c r="E1219" i="11"/>
  <c r="D1219" i="11"/>
  <c r="C1219" i="11"/>
  <c r="B1219" i="11"/>
  <c r="A1219" i="11"/>
  <c r="N1218" i="11"/>
  <c r="L1218" i="11"/>
  <c r="K1218" i="11"/>
  <c r="J1218" i="11"/>
  <c r="I1218" i="11"/>
  <c r="G1218" i="11"/>
  <c r="F1218" i="11"/>
  <c r="E1218" i="11"/>
  <c r="D1218" i="11"/>
  <c r="C1218" i="11"/>
  <c r="B1218" i="11"/>
  <c r="A1218" i="11"/>
  <c r="O1217" i="11"/>
  <c r="N1217" i="11"/>
  <c r="L1217" i="11"/>
  <c r="K1217" i="11"/>
  <c r="J1217" i="11"/>
  <c r="I1217" i="11"/>
  <c r="Q1217" i="11" s="1"/>
  <c r="G1217" i="11"/>
  <c r="F1217" i="11"/>
  <c r="E1217" i="11"/>
  <c r="D1217" i="11"/>
  <c r="C1217" i="11"/>
  <c r="B1217" i="11"/>
  <c r="A1217" i="11"/>
  <c r="O1216" i="11"/>
  <c r="N1216" i="11"/>
  <c r="L1216" i="11"/>
  <c r="K1216" i="11"/>
  <c r="J1216" i="11"/>
  <c r="I1216" i="11"/>
  <c r="Q1216" i="11" s="1"/>
  <c r="G1216" i="11"/>
  <c r="F1216" i="11"/>
  <c r="E1216" i="11"/>
  <c r="D1216" i="11"/>
  <c r="C1216" i="11"/>
  <c r="B1216" i="11"/>
  <c r="A1216" i="11"/>
  <c r="N1215" i="11"/>
  <c r="L1215" i="11"/>
  <c r="K1215" i="11"/>
  <c r="J1215" i="11"/>
  <c r="I1215" i="11"/>
  <c r="G1215" i="11"/>
  <c r="F1215" i="11"/>
  <c r="E1215" i="11"/>
  <c r="D1215" i="11"/>
  <c r="C1215" i="11"/>
  <c r="B1215" i="11"/>
  <c r="A1215" i="11"/>
  <c r="N1214" i="11"/>
  <c r="L1214" i="11"/>
  <c r="K1214" i="11"/>
  <c r="J1214" i="11"/>
  <c r="I1214" i="11"/>
  <c r="G1214" i="11"/>
  <c r="F1214" i="11"/>
  <c r="E1214" i="11"/>
  <c r="D1214" i="11"/>
  <c r="C1214" i="11"/>
  <c r="B1214" i="11"/>
  <c r="A1214" i="11"/>
  <c r="N1213" i="11"/>
  <c r="L1213" i="11"/>
  <c r="K1213" i="11"/>
  <c r="J1213" i="11"/>
  <c r="I1213" i="11"/>
  <c r="G1213" i="11"/>
  <c r="F1213" i="11"/>
  <c r="E1213" i="11"/>
  <c r="D1213" i="11"/>
  <c r="C1213" i="11"/>
  <c r="B1213" i="11"/>
  <c r="A1213" i="11"/>
  <c r="N1212" i="11"/>
  <c r="L1212" i="11"/>
  <c r="K1212" i="11"/>
  <c r="J1212" i="11"/>
  <c r="I1212" i="11"/>
  <c r="G1212" i="11"/>
  <c r="F1212" i="11"/>
  <c r="E1212" i="11"/>
  <c r="D1212" i="11"/>
  <c r="C1212" i="11"/>
  <c r="B1212" i="11"/>
  <c r="A1212" i="11"/>
  <c r="N1211" i="11"/>
  <c r="L1211" i="11"/>
  <c r="K1211" i="11"/>
  <c r="J1211" i="11"/>
  <c r="I1211" i="11"/>
  <c r="G1211" i="11"/>
  <c r="F1211" i="11"/>
  <c r="E1211" i="11"/>
  <c r="D1211" i="11"/>
  <c r="C1211" i="11"/>
  <c r="B1211" i="11"/>
  <c r="A1211" i="11"/>
  <c r="N1210" i="11"/>
  <c r="L1210" i="11"/>
  <c r="K1210" i="11"/>
  <c r="J1210" i="11"/>
  <c r="I1210" i="11"/>
  <c r="G1210" i="11"/>
  <c r="F1210" i="11"/>
  <c r="E1210" i="11"/>
  <c r="D1210" i="11"/>
  <c r="C1210" i="11"/>
  <c r="B1210" i="11"/>
  <c r="A1210" i="11"/>
  <c r="N1209" i="11"/>
  <c r="L1209" i="11"/>
  <c r="K1209" i="11"/>
  <c r="J1209" i="11"/>
  <c r="I1209" i="11"/>
  <c r="G1209" i="11"/>
  <c r="F1209" i="11"/>
  <c r="E1209" i="11"/>
  <c r="D1209" i="11"/>
  <c r="C1209" i="11"/>
  <c r="B1209" i="11"/>
  <c r="A1209" i="11"/>
  <c r="N1208" i="11"/>
  <c r="L1208" i="11"/>
  <c r="K1208" i="11"/>
  <c r="J1208" i="11"/>
  <c r="I1208" i="11"/>
  <c r="G1208" i="11"/>
  <c r="F1208" i="11"/>
  <c r="E1208" i="11"/>
  <c r="D1208" i="11"/>
  <c r="C1208" i="11"/>
  <c r="B1208" i="11"/>
  <c r="A1208" i="11"/>
  <c r="N1207" i="11"/>
  <c r="L1207" i="11"/>
  <c r="K1207" i="11"/>
  <c r="J1207" i="11"/>
  <c r="I1207" i="11"/>
  <c r="G1207" i="11"/>
  <c r="F1207" i="11"/>
  <c r="E1207" i="11"/>
  <c r="D1207" i="11"/>
  <c r="C1207" i="11"/>
  <c r="B1207" i="11"/>
  <c r="A1207" i="11"/>
  <c r="N1206" i="11"/>
  <c r="L1206" i="11"/>
  <c r="K1206" i="11"/>
  <c r="J1206" i="11"/>
  <c r="I1206" i="11"/>
  <c r="G1206" i="11"/>
  <c r="F1206" i="11"/>
  <c r="E1206" i="11"/>
  <c r="D1206" i="11"/>
  <c r="C1206" i="11"/>
  <c r="B1206" i="11"/>
  <c r="A1206" i="11"/>
  <c r="N1205" i="11"/>
  <c r="L1205" i="11"/>
  <c r="K1205" i="11"/>
  <c r="J1205" i="11"/>
  <c r="I1205" i="11"/>
  <c r="G1205" i="11"/>
  <c r="F1205" i="11"/>
  <c r="E1205" i="11"/>
  <c r="D1205" i="11"/>
  <c r="C1205" i="11"/>
  <c r="B1205" i="11"/>
  <c r="A1205" i="11"/>
  <c r="N1204" i="11"/>
  <c r="L1204" i="11"/>
  <c r="K1204" i="11"/>
  <c r="J1204" i="11"/>
  <c r="I1204" i="11"/>
  <c r="G1204" i="11"/>
  <c r="F1204" i="11"/>
  <c r="E1204" i="11"/>
  <c r="D1204" i="11"/>
  <c r="C1204" i="11"/>
  <c r="B1204" i="11"/>
  <c r="A1204" i="11"/>
  <c r="N1203" i="11"/>
  <c r="L1203" i="11"/>
  <c r="K1203" i="11"/>
  <c r="J1203" i="11"/>
  <c r="I1203" i="11"/>
  <c r="Q1203" i="11" s="1"/>
  <c r="G1203" i="11"/>
  <c r="F1203" i="11"/>
  <c r="E1203" i="11"/>
  <c r="D1203" i="11"/>
  <c r="C1203" i="11"/>
  <c r="B1203" i="11"/>
  <c r="A1203" i="11"/>
  <c r="N1202" i="11"/>
  <c r="L1202" i="11"/>
  <c r="K1202" i="11"/>
  <c r="J1202" i="11"/>
  <c r="I1202" i="11"/>
  <c r="G1202" i="11"/>
  <c r="F1202" i="11"/>
  <c r="E1202" i="11"/>
  <c r="D1202" i="11"/>
  <c r="C1202" i="11"/>
  <c r="B1202" i="11"/>
  <c r="A1202" i="11"/>
  <c r="N1201" i="11"/>
  <c r="L1201" i="11"/>
  <c r="K1201" i="11"/>
  <c r="J1201" i="11"/>
  <c r="I1201" i="11"/>
  <c r="G1201" i="11"/>
  <c r="F1201" i="11"/>
  <c r="E1201" i="11"/>
  <c r="D1201" i="11"/>
  <c r="C1201" i="11"/>
  <c r="B1201" i="11"/>
  <c r="A1201" i="11"/>
  <c r="N1200" i="11"/>
  <c r="L1200" i="11"/>
  <c r="K1200" i="11"/>
  <c r="J1200" i="11"/>
  <c r="I1200" i="11"/>
  <c r="G1200" i="11"/>
  <c r="F1200" i="11"/>
  <c r="E1200" i="11"/>
  <c r="D1200" i="11"/>
  <c r="C1200" i="11"/>
  <c r="B1200" i="11"/>
  <c r="A1200" i="11"/>
  <c r="N1199" i="11"/>
  <c r="L1199" i="11"/>
  <c r="K1199" i="11"/>
  <c r="J1199" i="11"/>
  <c r="I1199" i="11"/>
  <c r="Q1199" i="11" s="1"/>
  <c r="G1199" i="11"/>
  <c r="F1199" i="11"/>
  <c r="E1199" i="11"/>
  <c r="D1199" i="11"/>
  <c r="C1199" i="11"/>
  <c r="B1199" i="11"/>
  <c r="A1199" i="11"/>
  <c r="N1198" i="11"/>
  <c r="L1198" i="11"/>
  <c r="K1198" i="11"/>
  <c r="J1198" i="11"/>
  <c r="I1198" i="11"/>
  <c r="G1198" i="11"/>
  <c r="F1198" i="11"/>
  <c r="E1198" i="11"/>
  <c r="D1198" i="11"/>
  <c r="C1198" i="11"/>
  <c r="B1198" i="11"/>
  <c r="A1198" i="11"/>
  <c r="N1197" i="11"/>
  <c r="L1197" i="11"/>
  <c r="K1197" i="11"/>
  <c r="J1197" i="11"/>
  <c r="I1197" i="11"/>
  <c r="G1197" i="11"/>
  <c r="F1197" i="11"/>
  <c r="E1197" i="11"/>
  <c r="D1197" i="11"/>
  <c r="C1197" i="11"/>
  <c r="B1197" i="11"/>
  <c r="A1197" i="11"/>
  <c r="N1196" i="11"/>
  <c r="L1196" i="11"/>
  <c r="K1196" i="11"/>
  <c r="J1196" i="11"/>
  <c r="I1196" i="11"/>
  <c r="G1196" i="11"/>
  <c r="F1196" i="11"/>
  <c r="E1196" i="11"/>
  <c r="D1196" i="11"/>
  <c r="C1196" i="11"/>
  <c r="B1196" i="11"/>
  <c r="A1196" i="11"/>
  <c r="N1195" i="11"/>
  <c r="L1195" i="11"/>
  <c r="K1195" i="11"/>
  <c r="J1195" i="11"/>
  <c r="I1195" i="11"/>
  <c r="G1195" i="11"/>
  <c r="F1195" i="11"/>
  <c r="E1195" i="11"/>
  <c r="D1195" i="11"/>
  <c r="C1195" i="11"/>
  <c r="B1195" i="11"/>
  <c r="A1195" i="11"/>
  <c r="N1194" i="11"/>
  <c r="L1194" i="11"/>
  <c r="K1194" i="11"/>
  <c r="J1194" i="11"/>
  <c r="I1194" i="11"/>
  <c r="G1194" i="11"/>
  <c r="F1194" i="11"/>
  <c r="E1194" i="11"/>
  <c r="D1194" i="11"/>
  <c r="C1194" i="11"/>
  <c r="B1194" i="11"/>
  <c r="A1194" i="11"/>
  <c r="N1193" i="11"/>
  <c r="L1193" i="11"/>
  <c r="K1193" i="11"/>
  <c r="J1193" i="11"/>
  <c r="I1193" i="11"/>
  <c r="G1193" i="11"/>
  <c r="F1193" i="11"/>
  <c r="E1193" i="11"/>
  <c r="D1193" i="11"/>
  <c r="C1193" i="11"/>
  <c r="B1193" i="11"/>
  <c r="A1193" i="11"/>
  <c r="N1192" i="11"/>
  <c r="L1192" i="11"/>
  <c r="K1192" i="11"/>
  <c r="J1192" i="11"/>
  <c r="I1192" i="11"/>
  <c r="G1192" i="11"/>
  <c r="F1192" i="11"/>
  <c r="E1192" i="11"/>
  <c r="D1192" i="11"/>
  <c r="C1192" i="11"/>
  <c r="B1192" i="11"/>
  <c r="A1192" i="11"/>
  <c r="N1191" i="11"/>
  <c r="L1191" i="11"/>
  <c r="K1191" i="11"/>
  <c r="J1191" i="11"/>
  <c r="I1191" i="11"/>
  <c r="G1191" i="11"/>
  <c r="F1191" i="11"/>
  <c r="E1191" i="11"/>
  <c r="D1191" i="11"/>
  <c r="C1191" i="11"/>
  <c r="B1191" i="11"/>
  <c r="A1191" i="11"/>
  <c r="N1190" i="11"/>
  <c r="L1190" i="11"/>
  <c r="K1190" i="11"/>
  <c r="J1190" i="11"/>
  <c r="I1190" i="11"/>
  <c r="G1190" i="11"/>
  <c r="F1190" i="11"/>
  <c r="E1190" i="11"/>
  <c r="D1190" i="11"/>
  <c r="C1190" i="11"/>
  <c r="B1190" i="11"/>
  <c r="A1190" i="11"/>
  <c r="N1189" i="11"/>
  <c r="L1189" i="11"/>
  <c r="K1189" i="11"/>
  <c r="J1189" i="11"/>
  <c r="I1189" i="11"/>
  <c r="G1189" i="11"/>
  <c r="F1189" i="11"/>
  <c r="E1189" i="11"/>
  <c r="D1189" i="11"/>
  <c r="C1189" i="11"/>
  <c r="B1189" i="11"/>
  <c r="A1189" i="11"/>
  <c r="N1188" i="11"/>
  <c r="L1188" i="11"/>
  <c r="K1188" i="11"/>
  <c r="J1188" i="11"/>
  <c r="I1188" i="11"/>
  <c r="G1188" i="11"/>
  <c r="F1188" i="11"/>
  <c r="E1188" i="11"/>
  <c r="D1188" i="11"/>
  <c r="C1188" i="11"/>
  <c r="B1188" i="11"/>
  <c r="A1188" i="11"/>
  <c r="N1187" i="11"/>
  <c r="L1187" i="11"/>
  <c r="K1187" i="11"/>
  <c r="J1187" i="11"/>
  <c r="I1187" i="11"/>
  <c r="G1187" i="11"/>
  <c r="F1187" i="11"/>
  <c r="E1187" i="11"/>
  <c r="D1187" i="11"/>
  <c r="C1187" i="11"/>
  <c r="B1187" i="11"/>
  <c r="A1187" i="11"/>
  <c r="N1186" i="11"/>
  <c r="L1186" i="11"/>
  <c r="K1186" i="11"/>
  <c r="J1186" i="11"/>
  <c r="I1186" i="11"/>
  <c r="G1186" i="11"/>
  <c r="F1186" i="11"/>
  <c r="E1186" i="11"/>
  <c r="D1186" i="11"/>
  <c r="C1186" i="11"/>
  <c r="B1186" i="11"/>
  <c r="A1186" i="11"/>
  <c r="N1185" i="11"/>
  <c r="L1185" i="11"/>
  <c r="K1185" i="11"/>
  <c r="J1185" i="11"/>
  <c r="I1185" i="11"/>
  <c r="G1185" i="11"/>
  <c r="F1185" i="11"/>
  <c r="E1185" i="11"/>
  <c r="D1185" i="11"/>
  <c r="C1185" i="11"/>
  <c r="B1185" i="11"/>
  <c r="A1185" i="11"/>
  <c r="N1184" i="11"/>
  <c r="L1184" i="11"/>
  <c r="K1184" i="11"/>
  <c r="J1184" i="11"/>
  <c r="I1184" i="11"/>
  <c r="G1184" i="11"/>
  <c r="F1184" i="11"/>
  <c r="E1184" i="11"/>
  <c r="D1184" i="11"/>
  <c r="C1184" i="11"/>
  <c r="B1184" i="11"/>
  <c r="A1184" i="11"/>
  <c r="N1183" i="11"/>
  <c r="L1183" i="11"/>
  <c r="K1183" i="11"/>
  <c r="J1183" i="11"/>
  <c r="I1183" i="11"/>
  <c r="G1183" i="11"/>
  <c r="F1183" i="11"/>
  <c r="E1183" i="11"/>
  <c r="D1183" i="11"/>
  <c r="C1183" i="11"/>
  <c r="B1183" i="11"/>
  <c r="A1183" i="11"/>
  <c r="N1182" i="11"/>
  <c r="L1182" i="11"/>
  <c r="K1182" i="11"/>
  <c r="J1182" i="11"/>
  <c r="I1182" i="11"/>
  <c r="G1182" i="11"/>
  <c r="F1182" i="11"/>
  <c r="E1182" i="11"/>
  <c r="D1182" i="11"/>
  <c r="C1182" i="11"/>
  <c r="B1182" i="11"/>
  <c r="A1182" i="11"/>
  <c r="N1181" i="11"/>
  <c r="L1181" i="11"/>
  <c r="K1181" i="11"/>
  <c r="J1181" i="11"/>
  <c r="I1181" i="11"/>
  <c r="Q1181" i="11" s="1"/>
  <c r="G1181" i="11"/>
  <c r="F1181" i="11"/>
  <c r="E1181" i="11"/>
  <c r="D1181" i="11"/>
  <c r="C1181" i="11"/>
  <c r="B1181" i="11"/>
  <c r="A1181" i="11"/>
  <c r="N1180" i="11"/>
  <c r="L1180" i="11"/>
  <c r="K1180" i="11"/>
  <c r="J1180" i="11"/>
  <c r="I1180" i="11"/>
  <c r="G1180" i="11"/>
  <c r="F1180" i="11"/>
  <c r="E1180" i="11"/>
  <c r="D1180" i="11"/>
  <c r="C1180" i="11"/>
  <c r="B1180" i="11"/>
  <c r="A1180" i="11"/>
  <c r="N1179" i="11"/>
  <c r="L1179" i="11"/>
  <c r="K1179" i="11"/>
  <c r="J1179" i="11"/>
  <c r="I1179" i="11"/>
  <c r="G1179" i="11"/>
  <c r="F1179" i="11"/>
  <c r="E1179" i="11"/>
  <c r="D1179" i="11"/>
  <c r="C1179" i="11"/>
  <c r="B1179" i="11"/>
  <c r="A1179" i="11"/>
  <c r="N1178" i="11"/>
  <c r="L1178" i="11"/>
  <c r="K1178" i="11"/>
  <c r="J1178" i="11"/>
  <c r="I1178" i="11"/>
  <c r="Q1178" i="11" s="1"/>
  <c r="G1178" i="11"/>
  <c r="F1178" i="11"/>
  <c r="E1178" i="11"/>
  <c r="D1178" i="11"/>
  <c r="C1178" i="11"/>
  <c r="B1178" i="11"/>
  <c r="A1178" i="11"/>
  <c r="N1177" i="11"/>
  <c r="L1177" i="11"/>
  <c r="K1177" i="11"/>
  <c r="J1177" i="11"/>
  <c r="I1177" i="11"/>
  <c r="G1177" i="11"/>
  <c r="F1177" i="11"/>
  <c r="E1177" i="11"/>
  <c r="D1177" i="11"/>
  <c r="C1177" i="11"/>
  <c r="B1177" i="11"/>
  <c r="A1177" i="11"/>
  <c r="N1176" i="11"/>
  <c r="L1176" i="11"/>
  <c r="K1176" i="11"/>
  <c r="J1176" i="11"/>
  <c r="I1176" i="11"/>
  <c r="G1176" i="11"/>
  <c r="F1176" i="11"/>
  <c r="E1176" i="11"/>
  <c r="D1176" i="11"/>
  <c r="C1176" i="11"/>
  <c r="B1176" i="11"/>
  <c r="A1176" i="11"/>
  <c r="N1175" i="11"/>
  <c r="L1175" i="11"/>
  <c r="K1175" i="11"/>
  <c r="J1175" i="11"/>
  <c r="I1175" i="11"/>
  <c r="G1175" i="11"/>
  <c r="F1175" i="11"/>
  <c r="E1175" i="11"/>
  <c r="D1175" i="11"/>
  <c r="C1175" i="11"/>
  <c r="B1175" i="11"/>
  <c r="A1175" i="11"/>
  <c r="N1174" i="11"/>
  <c r="L1174" i="11"/>
  <c r="K1174" i="11"/>
  <c r="J1174" i="11"/>
  <c r="I1174" i="11"/>
  <c r="G1174" i="11"/>
  <c r="F1174" i="11"/>
  <c r="E1174" i="11"/>
  <c r="D1174" i="11"/>
  <c r="C1174" i="11"/>
  <c r="B1174" i="11"/>
  <c r="A1174" i="11"/>
  <c r="N1173" i="11"/>
  <c r="L1173" i="11"/>
  <c r="K1173" i="11"/>
  <c r="J1173" i="11"/>
  <c r="I1173" i="11"/>
  <c r="G1173" i="11"/>
  <c r="F1173" i="11"/>
  <c r="E1173" i="11"/>
  <c r="D1173" i="11"/>
  <c r="C1173" i="11"/>
  <c r="B1173" i="11"/>
  <c r="A1173" i="11"/>
  <c r="N1172" i="11"/>
  <c r="L1172" i="11"/>
  <c r="K1172" i="11"/>
  <c r="J1172" i="11"/>
  <c r="I1172" i="11"/>
  <c r="G1172" i="11"/>
  <c r="F1172" i="11"/>
  <c r="E1172" i="11"/>
  <c r="D1172" i="11"/>
  <c r="C1172" i="11"/>
  <c r="B1172" i="11"/>
  <c r="A1172" i="11"/>
  <c r="N1171" i="11"/>
  <c r="L1171" i="11"/>
  <c r="K1171" i="11"/>
  <c r="J1171" i="11"/>
  <c r="I1171" i="11"/>
  <c r="G1171" i="11"/>
  <c r="F1171" i="11"/>
  <c r="E1171" i="11"/>
  <c r="D1171" i="11"/>
  <c r="C1171" i="11"/>
  <c r="B1171" i="11"/>
  <c r="A1171" i="11"/>
  <c r="N1170" i="11"/>
  <c r="L1170" i="11"/>
  <c r="K1170" i="11"/>
  <c r="J1170" i="11"/>
  <c r="I1170" i="11"/>
  <c r="G1170" i="11"/>
  <c r="F1170" i="11"/>
  <c r="E1170" i="11"/>
  <c r="D1170" i="11"/>
  <c r="C1170" i="11"/>
  <c r="B1170" i="11"/>
  <c r="A1170" i="11"/>
  <c r="N1169" i="11"/>
  <c r="L1169" i="11"/>
  <c r="K1169" i="11"/>
  <c r="J1169" i="11"/>
  <c r="I1169" i="11"/>
  <c r="G1169" i="11"/>
  <c r="F1169" i="11"/>
  <c r="E1169" i="11"/>
  <c r="D1169" i="11"/>
  <c r="C1169" i="11"/>
  <c r="B1169" i="11"/>
  <c r="A1169" i="11"/>
  <c r="N1168" i="11"/>
  <c r="L1168" i="11"/>
  <c r="K1168" i="11"/>
  <c r="J1168" i="11"/>
  <c r="I1168" i="11"/>
  <c r="G1168" i="11"/>
  <c r="F1168" i="11"/>
  <c r="E1168" i="11"/>
  <c r="D1168" i="11"/>
  <c r="C1168" i="11"/>
  <c r="B1168" i="11"/>
  <c r="A1168" i="11"/>
  <c r="N1167" i="11"/>
  <c r="L1167" i="11"/>
  <c r="K1167" i="11"/>
  <c r="J1167" i="11"/>
  <c r="I1167" i="11"/>
  <c r="G1167" i="11"/>
  <c r="F1167" i="11"/>
  <c r="E1167" i="11"/>
  <c r="D1167" i="11"/>
  <c r="C1167" i="11"/>
  <c r="B1167" i="11"/>
  <c r="A1167" i="11"/>
  <c r="N1166" i="11"/>
  <c r="L1166" i="11"/>
  <c r="K1166" i="11"/>
  <c r="J1166" i="11"/>
  <c r="I1166" i="11"/>
  <c r="G1166" i="11"/>
  <c r="F1166" i="11"/>
  <c r="E1166" i="11"/>
  <c r="D1166" i="11"/>
  <c r="C1166" i="11"/>
  <c r="B1166" i="11"/>
  <c r="A1166" i="11"/>
  <c r="N1165" i="11"/>
  <c r="L1165" i="11"/>
  <c r="K1165" i="11"/>
  <c r="J1165" i="11"/>
  <c r="I1165" i="11"/>
  <c r="G1165" i="11"/>
  <c r="F1165" i="11"/>
  <c r="E1165" i="11"/>
  <c r="D1165" i="11"/>
  <c r="C1165" i="11"/>
  <c r="B1165" i="11"/>
  <c r="A1165" i="11"/>
  <c r="N1164" i="11"/>
  <c r="L1164" i="11"/>
  <c r="K1164" i="11"/>
  <c r="J1164" i="11"/>
  <c r="I1164" i="11"/>
  <c r="G1164" i="11"/>
  <c r="F1164" i="11"/>
  <c r="E1164" i="11"/>
  <c r="D1164" i="11"/>
  <c r="C1164" i="11"/>
  <c r="B1164" i="11"/>
  <c r="A1164" i="11"/>
  <c r="N1163" i="11"/>
  <c r="L1163" i="11"/>
  <c r="K1163" i="11"/>
  <c r="J1163" i="11"/>
  <c r="I1163" i="11"/>
  <c r="G1163" i="11"/>
  <c r="F1163" i="11"/>
  <c r="E1163" i="11"/>
  <c r="D1163" i="11"/>
  <c r="C1163" i="11"/>
  <c r="B1163" i="11"/>
  <c r="A1163" i="11"/>
  <c r="N1162" i="11"/>
  <c r="L1162" i="11"/>
  <c r="K1162" i="11"/>
  <c r="J1162" i="11"/>
  <c r="I1162" i="11"/>
  <c r="G1162" i="11"/>
  <c r="F1162" i="11"/>
  <c r="E1162" i="11"/>
  <c r="D1162" i="11"/>
  <c r="C1162" i="11"/>
  <c r="B1162" i="11"/>
  <c r="A1162" i="11"/>
  <c r="N1161" i="11"/>
  <c r="L1161" i="11"/>
  <c r="K1161" i="11"/>
  <c r="J1161" i="11"/>
  <c r="I1161" i="11"/>
  <c r="G1161" i="11"/>
  <c r="F1161" i="11"/>
  <c r="E1161" i="11"/>
  <c r="D1161" i="11"/>
  <c r="C1161" i="11"/>
  <c r="B1161" i="11"/>
  <c r="A1161" i="11"/>
  <c r="N1160" i="11"/>
  <c r="L1160" i="11"/>
  <c r="K1160" i="11"/>
  <c r="J1160" i="11"/>
  <c r="I1160" i="11"/>
  <c r="G1160" i="11"/>
  <c r="F1160" i="11"/>
  <c r="E1160" i="11"/>
  <c r="D1160" i="11"/>
  <c r="C1160" i="11"/>
  <c r="B1160" i="11"/>
  <c r="A1160" i="11"/>
  <c r="N1159" i="11"/>
  <c r="L1159" i="11"/>
  <c r="K1159" i="11"/>
  <c r="J1159" i="11"/>
  <c r="I1159" i="11"/>
  <c r="Q1159" i="11" s="1"/>
  <c r="G1159" i="11"/>
  <c r="F1159" i="11"/>
  <c r="E1159" i="11"/>
  <c r="D1159" i="11"/>
  <c r="C1159" i="11"/>
  <c r="B1159" i="11"/>
  <c r="A1159" i="11"/>
  <c r="N1158" i="11"/>
  <c r="L1158" i="11"/>
  <c r="K1158" i="11"/>
  <c r="J1158" i="11"/>
  <c r="I1158" i="11"/>
  <c r="G1158" i="11"/>
  <c r="F1158" i="11"/>
  <c r="E1158" i="11"/>
  <c r="D1158" i="11"/>
  <c r="C1158" i="11"/>
  <c r="B1158" i="11"/>
  <c r="A1158" i="11"/>
  <c r="N1157" i="11"/>
  <c r="L1157" i="11"/>
  <c r="K1157" i="11"/>
  <c r="J1157" i="11"/>
  <c r="I1157" i="11"/>
  <c r="G1157" i="11"/>
  <c r="F1157" i="11"/>
  <c r="E1157" i="11"/>
  <c r="D1157" i="11"/>
  <c r="C1157" i="11"/>
  <c r="B1157" i="11"/>
  <c r="A1157" i="11"/>
  <c r="N1156" i="11"/>
  <c r="L1156" i="11"/>
  <c r="K1156" i="11"/>
  <c r="J1156" i="11"/>
  <c r="I1156" i="11"/>
  <c r="G1156" i="11"/>
  <c r="F1156" i="11"/>
  <c r="E1156" i="11"/>
  <c r="D1156" i="11"/>
  <c r="C1156" i="11"/>
  <c r="B1156" i="11"/>
  <c r="A1156" i="11"/>
  <c r="N1155" i="11"/>
  <c r="L1155" i="11"/>
  <c r="K1155" i="11"/>
  <c r="J1155" i="11"/>
  <c r="I1155" i="11"/>
  <c r="Q1155" i="11" s="1"/>
  <c r="G1155" i="11"/>
  <c r="F1155" i="11"/>
  <c r="E1155" i="11"/>
  <c r="D1155" i="11"/>
  <c r="C1155" i="11"/>
  <c r="B1155" i="11"/>
  <c r="A1155" i="11"/>
  <c r="N1154" i="11"/>
  <c r="L1154" i="11"/>
  <c r="K1154" i="11"/>
  <c r="J1154" i="11"/>
  <c r="I1154" i="11"/>
  <c r="G1154" i="11"/>
  <c r="F1154" i="11"/>
  <c r="E1154" i="11"/>
  <c r="D1154" i="11"/>
  <c r="C1154" i="11"/>
  <c r="B1154" i="11"/>
  <c r="A1154" i="11"/>
  <c r="N1153" i="11"/>
  <c r="L1153" i="11"/>
  <c r="K1153" i="11"/>
  <c r="J1153" i="11"/>
  <c r="I1153" i="11"/>
  <c r="G1153" i="11"/>
  <c r="F1153" i="11"/>
  <c r="E1153" i="11"/>
  <c r="D1153" i="11"/>
  <c r="C1153" i="11"/>
  <c r="B1153" i="11"/>
  <c r="A1153" i="11"/>
  <c r="N1152" i="11"/>
  <c r="L1152" i="11"/>
  <c r="K1152" i="11"/>
  <c r="J1152" i="11"/>
  <c r="I1152" i="11"/>
  <c r="G1152" i="11"/>
  <c r="F1152" i="11"/>
  <c r="E1152" i="11"/>
  <c r="D1152" i="11"/>
  <c r="C1152" i="11"/>
  <c r="B1152" i="11"/>
  <c r="A1152" i="11"/>
  <c r="N1151" i="11"/>
  <c r="L1151" i="11"/>
  <c r="K1151" i="11"/>
  <c r="J1151" i="11"/>
  <c r="I1151" i="11"/>
  <c r="G1151" i="11"/>
  <c r="F1151" i="11"/>
  <c r="E1151" i="11"/>
  <c r="D1151" i="11"/>
  <c r="C1151" i="11"/>
  <c r="B1151" i="11"/>
  <c r="A1151" i="11"/>
  <c r="N1150" i="11"/>
  <c r="L1150" i="11"/>
  <c r="K1150" i="11"/>
  <c r="J1150" i="11"/>
  <c r="I1150" i="11"/>
  <c r="G1150" i="11"/>
  <c r="F1150" i="11"/>
  <c r="E1150" i="11"/>
  <c r="D1150" i="11"/>
  <c r="C1150" i="11"/>
  <c r="B1150" i="11"/>
  <c r="A1150" i="11"/>
  <c r="N1149" i="11"/>
  <c r="L1149" i="11"/>
  <c r="K1149" i="11"/>
  <c r="J1149" i="11"/>
  <c r="I1149" i="11"/>
  <c r="G1149" i="11"/>
  <c r="F1149" i="11"/>
  <c r="E1149" i="11"/>
  <c r="D1149" i="11"/>
  <c r="C1149" i="11"/>
  <c r="B1149" i="11"/>
  <c r="A1149" i="11"/>
  <c r="N1148" i="11"/>
  <c r="L1148" i="11"/>
  <c r="K1148" i="11"/>
  <c r="J1148" i="11"/>
  <c r="I1148" i="11"/>
  <c r="G1148" i="11"/>
  <c r="F1148" i="11"/>
  <c r="E1148" i="11"/>
  <c r="D1148" i="11"/>
  <c r="C1148" i="11"/>
  <c r="B1148" i="11"/>
  <c r="A1148" i="11"/>
  <c r="N1147" i="11"/>
  <c r="L1147" i="11"/>
  <c r="K1147" i="11"/>
  <c r="J1147" i="11"/>
  <c r="I1147" i="11"/>
  <c r="G1147" i="11"/>
  <c r="F1147" i="11"/>
  <c r="E1147" i="11"/>
  <c r="D1147" i="11"/>
  <c r="C1147" i="11"/>
  <c r="B1147" i="11"/>
  <c r="A1147" i="11"/>
  <c r="N1146" i="11"/>
  <c r="L1146" i="11"/>
  <c r="K1146" i="11"/>
  <c r="J1146" i="11"/>
  <c r="I1146" i="11"/>
  <c r="G1146" i="11"/>
  <c r="F1146" i="11"/>
  <c r="E1146" i="11"/>
  <c r="D1146" i="11"/>
  <c r="C1146" i="11"/>
  <c r="B1146" i="11"/>
  <c r="A1146" i="11"/>
  <c r="N1145" i="11"/>
  <c r="L1145" i="11"/>
  <c r="K1145" i="11"/>
  <c r="J1145" i="11"/>
  <c r="I1145" i="11"/>
  <c r="G1145" i="11"/>
  <c r="F1145" i="11"/>
  <c r="E1145" i="11"/>
  <c r="D1145" i="11"/>
  <c r="C1145" i="11"/>
  <c r="B1145" i="11"/>
  <c r="A1145" i="11"/>
  <c r="N1144" i="11"/>
  <c r="L1144" i="11"/>
  <c r="K1144" i="11"/>
  <c r="J1144" i="11"/>
  <c r="I1144" i="11"/>
  <c r="G1144" i="11"/>
  <c r="F1144" i="11"/>
  <c r="E1144" i="11"/>
  <c r="D1144" i="11"/>
  <c r="C1144" i="11"/>
  <c r="B1144" i="11"/>
  <c r="A1144" i="11"/>
  <c r="N1143" i="11"/>
  <c r="L1143" i="11"/>
  <c r="K1143" i="11"/>
  <c r="J1143" i="11"/>
  <c r="I1143" i="11"/>
  <c r="G1143" i="11"/>
  <c r="F1143" i="11"/>
  <c r="E1143" i="11"/>
  <c r="D1143" i="11"/>
  <c r="C1143" i="11"/>
  <c r="B1143" i="11"/>
  <c r="A1143" i="11"/>
  <c r="N1142" i="11"/>
  <c r="L1142" i="11"/>
  <c r="K1142" i="11"/>
  <c r="J1142" i="11"/>
  <c r="I1142" i="11"/>
  <c r="G1142" i="11"/>
  <c r="F1142" i="11"/>
  <c r="E1142" i="11"/>
  <c r="D1142" i="11"/>
  <c r="B1142" i="11"/>
  <c r="A1142" i="11"/>
  <c r="N1141" i="11"/>
  <c r="L1141" i="11"/>
  <c r="K1141" i="11"/>
  <c r="J1141" i="11"/>
  <c r="I1141" i="11"/>
  <c r="G1141" i="11"/>
  <c r="F1141" i="11"/>
  <c r="E1141" i="11"/>
  <c r="D1141" i="11"/>
  <c r="C1141" i="11"/>
  <c r="B1141" i="11"/>
  <c r="A1141" i="11"/>
  <c r="N1140" i="11"/>
  <c r="L1140" i="11"/>
  <c r="K1140" i="11"/>
  <c r="J1140" i="11"/>
  <c r="I1140" i="11"/>
  <c r="Q1140" i="11" s="1"/>
  <c r="G1140" i="11"/>
  <c r="F1140" i="11"/>
  <c r="E1140" i="11"/>
  <c r="D1140" i="11"/>
  <c r="C1140" i="11"/>
  <c r="B1140" i="11"/>
  <c r="A1140" i="11"/>
  <c r="N1139" i="11"/>
  <c r="L1139" i="11"/>
  <c r="K1139" i="11"/>
  <c r="J1139" i="11"/>
  <c r="I1139" i="11"/>
  <c r="G1139" i="11"/>
  <c r="F1139" i="11"/>
  <c r="E1139" i="11"/>
  <c r="D1139" i="11"/>
  <c r="C1139" i="11"/>
  <c r="B1139" i="11"/>
  <c r="A1139" i="11"/>
  <c r="N1138" i="11"/>
  <c r="L1138" i="11"/>
  <c r="K1138" i="11"/>
  <c r="J1138" i="11"/>
  <c r="I1138" i="11"/>
  <c r="G1138" i="11"/>
  <c r="F1138" i="11"/>
  <c r="E1138" i="11"/>
  <c r="D1138" i="11"/>
  <c r="C1138" i="11"/>
  <c r="B1138" i="11"/>
  <c r="A1138" i="11"/>
  <c r="N1137" i="11"/>
  <c r="L1137" i="11"/>
  <c r="K1137" i="11"/>
  <c r="J1137" i="11"/>
  <c r="I1137" i="11"/>
  <c r="G1137" i="11"/>
  <c r="F1137" i="11"/>
  <c r="E1137" i="11"/>
  <c r="D1137" i="11"/>
  <c r="C1137" i="11"/>
  <c r="B1137" i="11"/>
  <c r="A1137" i="11"/>
  <c r="N1136" i="11"/>
  <c r="L1136" i="11"/>
  <c r="K1136" i="11"/>
  <c r="J1136" i="11"/>
  <c r="I1136" i="11"/>
  <c r="Q1136" i="11" s="1"/>
  <c r="G1136" i="11"/>
  <c r="F1136" i="11"/>
  <c r="E1136" i="11"/>
  <c r="D1136" i="11"/>
  <c r="C1136" i="11"/>
  <c r="B1136" i="11"/>
  <c r="A1136" i="11"/>
  <c r="N1135" i="11"/>
  <c r="L1135" i="11"/>
  <c r="K1135" i="11"/>
  <c r="J1135" i="11"/>
  <c r="I1135" i="11"/>
  <c r="G1135" i="11"/>
  <c r="F1135" i="11"/>
  <c r="E1135" i="11"/>
  <c r="D1135" i="11"/>
  <c r="C1135" i="11"/>
  <c r="B1135" i="11"/>
  <c r="A1135" i="11"/>
  <c r="N1134" i="11"/>
  <c r="L1134" i="11"/>
  <c r="K1134" i="11"/>
  <c r="J1134" i="11"/>
  <c r="I1134" i="11"/>
  <c r="G1134" i="11"/>
  <c r="F1134" i="11"/>
  <c r="E1134" i="11"/>
  <c r="D1134" i="11"/>
  <c r="C1134" i="11"/>
  <c r="B1134" i="11"/>
  <c r="A1134" i="11"/>
  <c r="N1133" i="11"/>
  <c r="L1133" i="11"/>
  <c r="K1133" i="11"/>
  <c r="J1133" i="11"/>
  <c r="I1133" i="11"/>
  <c r="G1133" i="11"/>
  <c r="F1133" i="11"/>
  <c r="E1133" i="11"/>
  <c r="D1133" i="11"/>
  <c r="C1133" i="11"/>
  <c r="B1133" i="11"/>
  <c r="A1133" i="11"/>
  <c r="N1132" i="11"/>
  <c r="L1132" i="11"/>
  <c r="K1132" i="11"/>
  <c r="J1132" i="11"/>
  <c r="I1132" i="11"/>
  <c r="G1132" i="11"/>
  <c r="F1132" i="11"/>
  <c r="E1132" i="11"/>
  <c r="D1132" i="11"/>
  <c r="C1132" i="11"/>
  <c r="B1132" i="11"/>
  <c r="A1132" i="11"/>
  <c r="N1131" i="11"/>
  <c r="L1131" i="11"/>
  <c r="K1131" i="11"/>
  <c r="J1131" i="11"/>
  <c r="I1131" i="11"/>
  <c r="G1131" i="11"/>
  <c r="F1131" i="11"/>
  <c r="E1131" i="11"/>
  <c r="D1131" i="11"/>
  <c r="C1131" i="11"/>
  <c r="B1131" i="11"/>
  <c r="A1131" i="11"/>
  <c r="N1130" i="11"/>
  <c r="L1130" i="11"/>
  <c r="K1130" i="11"/>
  <c r="J1130" i="11"/>
  <c r="I1130" i="11"/>
  <c r="G1130" i="11"/>
  <c r="F1130" i="11"/>
  <c r="E1130" i="11"/>
  <c r="D1130" i="11"/>
  <c r="C1130" i="11"/>
  <c r="B1130" i="11"/>
  <c r="A1130" i="11"/>
  <c r="N1129" i="11"/>
  <c r="L1129" i="11"/>
  <c r="K1129" i="11"/>
  <c r="J1129" i="11"/>
  <c r="I1129" i="11"/>
  <c r="G1129" i="11"/>
  <c r="F1129" i="11"/>
  <c r="E1129" i="11"/>
  <c r="D1129" i="11"/>
  <c r="C1129" i="11"/>
  <c r="B1129" i="11"/>
  <c r="A1129" i="11"/>
  <c r="N1128" i="11"/>
  <c r="L1128" i="11"/>
  <c r="K1128" i="11"/>
  <c r="J1128" i="11"/>
  <c r="I1128" i="11"/>
  <c r="H1128" i="11"/>
  <c r="G1128" i="11"/>
  <c r="F1128" i="11"/>
  <c r="E1128" i="11"/>
  <c r="D1128" i="11"/>
  <c r="C1128" i="11"/>
  <c r="B1128" i="11"/>
  <c r="A1128" i="11"/>
  <c r="N1127" i="11"/>
  <c r="L1127" i="11"/>
  <c r="K1127" i="11"/>
  <c r="J1127" i="11"/>
  <c r="I1127" i="11"/>
  <c r="H1127" i="11"/>
  <c r="G1127" i="11"/>
  <c r="F1127" i="11"/>
  <c r="E1127" i="11"/>
  <c r="D1127" i="11"/>
  <c r="C1127" i="11"/>
  <c r="B1127" i="11"/>
  <c r="A1127" i="11"/>
  <c r="N1126" i="11"/>
  <c r="L1126" i="11"/>
  <c r="K1126" i="11"/>
  <c r="J1126" i="11"/>
  <c r="I1126" i="11"/>
  <c r="H1126" i="11"/>
  <c r="G1126" i="11"/>
  <c r="F1126" i="11"/>
  <c r="E1126" i="11"/>
  <c r="D1126" i="11"/>
  <c r="C1126" i="11"/>
  <c r="B1126" i="11"/>
  <c r="A1126" i="11"/>
  <c r="N1125" i="11"/>
  <c r="L1125" i="11"/>
  <c r="K1125" i="11"/>
  <c r="J1125" i="11"/>
  <c r="I1125" i="11"/>
  <c r="H1125" i="11"/>
  <c r="G1125" i="11"/>
  <c r="F1125" i="11"/>
  <c r="E1125" i="11"/>
  <c r="D1125" i="11"/>
  <c r="C1125" i="11"/>
  <c r="B1125" i="11"/>
  <c r="A1125" i="11"/>
  <c r="N1124" i="11"/>
  <c r="L1124" i="11"/>
  <c r="K1124" i="11"/>
  <c r="J1124" i="11"/>
  <c r="I1124" i="11"/>
  <c r="H1124" i="11"/>
  <c r="G1124" i="11"/>
  <c r="F1124" i="11"/>
  <c r="E1124" i="11"/>
  <c r="D1124" i="11"/>
  <c r="C1124" i="11"/>
  <c r="B1124" i="11"/>
  <c r="A1124" i="11"/>
  <c r="N1123" i="11"/>
  <c r="L1123" i="11"/>
  <c r="K1123" i="11"/>
  <c r="J1123" i="11"/>
  <c r="I1123" i="11"/>
  <c r="H1123" i="11"/>
  <c r="G1123" i="11"/>
  <c r="F1123" i="11"/>
  <c r="E1123" i="11"/>
  <c r="D1123" i="11"/>
  <c r="C1123" i="11"/>
  <c r="B1123" i="11"/>
  <c r="A1123" i="11"/>
  <c r="N1122" i="11"/>
  <c r="L1122" i="11"/>
  <c r="K1122" i="11"/>
  <c r="J1122" i="11"/>
  <c r="I1122" i="11"/>
  <c r="H1122" i="11"/>
  <c r="G1122" i="11"/>
  <c r="F1122" i="11"/>
  <c r="E1122" i="11"/>
  <c r="D1122" i="11"/>
  <c r="C1122" i="11"/>
  <c r="B1122" i="11"/>
  <c r="A1122" i="11"/>
  <c r="N1121" i="11"/>
  <c r="L1121" i="11"/>
  <c r="K1121" i="11"/>
  <c r="J1121" i="11"/>
  <c r="I1121" i="11"/>
  <c r="H1121" i="11"/>
  <c r="G1121" i="11"/>
  <c r="F1121" i="11"/>
  <c r="E1121" i="11"/>
  <c r="D1121" i="11"/>
  <c r="C1121" i="11"/>
  <c r="B1121" i="11"/>
  <c r="A1121" i="11"/>
  <c r="N1120" i="11"/>
  <c r="L1120" i="11"/>
  <c r="K1120" i="11"/>
  <c r="J1120" i="11"/>
  <c r="I1120" i="11"/>
  <c r="H1120" i="11"/>
  <c r="G1120" i="11"/>
  <c r="F1120" i="11"/>
  <c r="E1120" i="11"/>
  <c r="D1120" i="11"/>
  <c r="C1120" i="11"/>
  <c r="B1120" i="11"/>
  <c r="A1120" i="11"/>
  <c r="N1119" i="11"/>
  <c r="L1119" i="11"/>
  <c r="K1119" i="11"/>
  <c r="J1119" i="11"/>
  <c r="I1119" i="11"/>
  <c r="H1119" i="11"/>
  <c r="G1119" i="11"/>
  <c r="F1119" i="11"/>
  <c r="E1119" i="11"/>
  <c r="D1119" i="11"/>
  <c r="C1119" i="11"/>
  <c r="B1119" i="11"/>
  <c r="A1119" i="11"/>
  <c r="N1118" i="11"/>
  <c r="L1118" i="11"/>
  <c r="K1118" i="11"/>
  <c r="J1118" i="11"/>
  <c r="I1118" i="11"/>
  <c r="H1118" i="11"/>
  <c r="G1118" i="11"/>
  <c r="F1118" i="11"/>
  <c r="E1118" i="11"/>
  <c r="D1118" i="11"/>
  <c r="C1118" i="11"/>
  <c r="B1118" i="11"/>
  <c r="A1118" i="11"/>
  <c r="N1117" i="11"/>
  <c r="L1117" i="11"/>
  <c r="K1117" i="11"/>
  <c r="J1117" i="11"/>
  <c r="I1117" i="11"/>
  <c r="H1117" i="11"/>
  <c r="G1117" i="11"/>
  <c r="F1117" i="11"/>
  <c r="E1117" i="11"/>
  <c r="D1117" i="11"/>
  <c r="C1117" i="11"/>
  <c r="B1117" i="11"/>
  <c r="A1117" i="11"/>
  <c r="N1116" i="11"/>
  <c r="L1116" i="11"/>
  <c r="K1116" i="11"/>
  <c r="J1116" i="11"/>
  <c r="I1116" i="11"/>
  <c r="H1116" i="11"/>
  <c r="G1116" i="11"/>
  <c r="F1116" i="11"/>
  <c r="E1116" i="11"/>
  <c r="D1116" i="11"/>
  <c r="C1116" i="11"/>
  <c r="B1116" i="11"/>
  <c r="A1116" i="11"/>
  <c r="N1115" i="11"/>
  <c r="L1115" i="11"/>
  <c r="K1115" i="11"/>
  <c r="J1115" i="11"/>
  <c r="I1115" i="11"/>
  <c r="H1115" i="11"/>
  <c r="G1115" i="11"/>
  <c r="F1115" i="11"/>
  <c r="E1115" i="11"/>
  <c r="D1115" i="11"/>
  <c r="C1115" i="11"/>
  <c r="B1115" i="11"/>
  <c r="A1115" i="11"/>
  <c r="N1114" i="11"/>
  <c r="L1114" i="11"/>
  <c r="K1114" i="11"/>
  <c r="J1114" i="11"/>
  <c r="I1114" i="11"/>
  <c r="G1114" i="11"/>
  <c r="F1114" i="11"/>
  <c r="E1114" i="11"/>
  <c r="D1114" i="11"/>
  <c r="C1114" i="11"/>
  <c r="B1114" i="11"/>
  <c r="A1114" i="11"/>
  <c r="N1113" i="11"/>
  <c r="L1113" i="11"/>
  <c r="K1113" i="11"/>
  <c r="J1113" i="11"/>
  <c r="I1113" i="11"/>
  <c r="H1113" i="11"/>
  <c r="G1113" i="11"/>
  <c r="F1113" i="11"/>
  <c r="E1113" i="11"/>
  <c r="D1113" i="11"/>
  <c r="C1113" i="11"/>
  <c r="B1113" i="11"/>
  <c r="A1113" i="11"/>
  <c r="N1112" i="11"/>
  <c r="L1112" i="11"/>
  <c r="K1112" i="11"/>
  <c r="J1112" i="11"/>
  <c r="I1112" i="11"/>
  <c r="H1112" i="11"/>
  <c r="G1112" i="11"/>
  <c r="F1112" i="11"/>
  <c r="E1112" i="11"/>
  <c r="D1112" i="11"/>
  <c r="C1112" i="11"/>
  <c r="B1112" i="11"/>
  <c r="A1112" i="11"/>
  <c r="N1111" i="11"/>
  <c r="L1111" i="11"/>
  <c r="K1111" i="11"/>
  <c r="J1111" i="11"/>
  <c r="I1111" i="11"/>
  <c r="Q1111" i="11" s="1"/>
  <c r="H1111" i="11"/>
  <c r="G1111" i="11"/>
  <c r="F1111" i="11"/>
  <c r="E1111" i="11"/>
  <c r="D1111" i="11"/>
  <c r="C1111" i="11"/>
  <c r="B1111" i="11"/>
  <c r="A1111" i="11"/>
  <c r="N1110" i="11"/>
  <c r="L1110" i="11"/>
  <c r="K1110" i="11"/>
  <c r="J1110" i="11"/>
  <c r="I1110" i="11"/>
  <c r="H1110" i="11"/>
  <c r="G1110" i="11"/>
  <c r="F1110" i="11"/>
  <c r="E1110" i="11"/>
  <c r="D1110" i="11"/>
  <c r="C1110" i="11"/>
  <c r="B1110" i="11"/>
  <c r="A1110" i="11"/>
  <c r="N1109" i="11"/>
  <c r="L1109" i="11"/>
  <c r="K1109" i="11"/>
  <c r="J1109" i="11"/>
  <c r="I1109" i="11"/>
  <c r="H1109" i="11"/>
  <c r="G1109" i="11"/>
  <c r="F1109" i="11"/>
  <c r="E1109" i="11"/>
  <c r="D1109" i="11"/>
  <c r="C1109" i="11"/>
  <c r="B1109" i="11"/>
  <c r="A1109" i="11"/>
  <c r="N1108" i="11"/>
  <c r="L1108" i="11"/>
  <c r="K1108" i="11"/>
  <c r="J1108" i="11"/>
  <c r="I1108" i="11"/>
  <c r="Q1108" i="11" s="1"/>
  <c r="H1108" i="11"/>
  <c r="G1108" i="11"/>
  <c r="F1108" i="11"/>
  <c r="E1108" i="11"/>
  <c r="D1108" i="11"/>
  <c r="C1108" i="11"/>
  <c r="B1108" i="11"/>
  <c r="A1108" i="11"/>
  <c r="N1107" i="11"/>
  <c r="L1107" i="11"/>
  <c r="K1107" i="11"/>
  <c r="J1107" i="11"/>
  <c r="I1107" i="11"/>
  <c r="H1107" i="11"/>
  <c r="G1107" i="11"/>
  <c r="F1107" i="11"/>
  <c r="E1107" i="11"/>
  <c r="D1107" i="11"/>
  <c r="C1107" i="11"/>
  <c r="B1107" i="11"/>
  <c r="A1107" i="11"/>
  <c r="N1106" i="11"/>
  <c r="L1106" i="11"/>
  <c r="K1106" i="11"/>
  <c r="J1106" i="11"/>
  <c r="I1106" i="11"/>
  <c r="H1106" i="11"/>
  <c r="G1106" i="11"/>
  <c r="F1106" i="11"/>
  <c r="E1106" i="11"/>
  <c r="D1106" i="11"/>
  <c r="C1106" i="11"/>
  <c r="B1106" i="11"/>
  <c r="A1106" i="11"/>
  <c r="N1105" i="11"/>
  <c r="L1105" i="11"/>
  <c r="K1105" i="11"/>
  <c r="J1105" i="11"/>
  <c r="I1105" i="11"/>
  <c r="H1105" i="11"/>
  <c r="G1105" i="11"/>
  <c r="F1105" i="11"/>
  <c r="E1105" i="11"/>
  <c r="D1105" i="11"/>
  <c r="C1105" i="11"/>
  <c r="B1105" i="11"/>
  <c r="A1105" i="11"/>
  <c r="N1104" i="11"/>
  <c r="L1104" i="11"/>
  <c r="K1104" i="11"/>
  <c r="J1104" i="11"/>
  <c r="I1104" i="11"/>
  <c r="H1104" i="11"/>
  <c r="G1104" i="11"/>
  <c r="F1104" i="11"/>
  <c r="E1104" i="11"/>
  <c r="D1104" i="11"/>
  <c r="C1104" i="11"/>
  <c r="B1104" i="11"/>
  <c r="A1104" i="11"/>
  <c r="N1103" i="11"/>
  <c r="L1103" i="11"/>
  <c r="K1103" i="11"/>
  <c r="J1103" i="11"/>
  <c r="I1103" i="11"/>
  <c r="H1103" i="11"/>
  <c r="G1103" i="11"/>
  <c r="F1103" i="11"/>
  <c r="E1103" i="11"/>
  <c r="D1103" i="11"/>
  <c r="C1103" i="11"/>
  <c r="B1103" i="11"/>
  <c r="A1103" i="11"/>
  <c r="N1102" i="11"/>
  <c r="L1102" i="11"/>
  <c r="K1102" i="11"/>
  <c r="J1102" i="11"/>
  <c r="I1102" i="11"/>
  <c r="H1102" i="11"/>
  <c r="G1102" i="11"/>
  <c r="F1102" i="11"/>
  <c r="E1102" i="11"/>
  <c r="D1102" i="11"/>
  <c r="C1102" i="11"/>
  <c r="B1102" i="11"/>
  <c r="A1102" i="11"/>
  <c r="N1101" i="11"/>
  <c r="L1101" i="11"/>
  <c r="K1101" i="11"/>
  <c r="J1101" i="11"/>
  <c r="I1101" i="11"/>
  <c r="H1101" i="11"/>
  <c r="G1101" i="11"/>
  <c r="F1101" i="11"/>
  <c r="E1101" i="11"/>
  <c r="D1101" i="11"/>
  <c r="C1101" i="11"/>
  <c r="B1101" i="11"/>
  <c r="A1101" i="11"/>
  <c r="N1100" i="11"/>
  <c r="L1100" i="11"/>
  <c r="K1100" i="11"/>
  <c r="J1100" i="11"/>
  <c r="I1100" i="11"/>
  <c r="G1100" i="11"/>
  <c r="F1100" i="11"/>
  <c r="E1100" i="11"/>
  <c r="D1100" i="11"/>
  <c r="C1100" i="11"/>
  <c r="B1100" i="11"/>
  <c r="A1100" i="11"/>
  <c r="N1099" i="11"/>
  <c r="L1099" i="11"/>
  <c r="K1099" i="11"/>
  <c r="J1099" i="11"/>
  <c r="I1099" i="11"/>
  <c r="Q1099" i="11" s="1"/>
  <c r="H1099" i="11"/>
  <c r="G1099" i="11"/>
  <c r="F1099" i="11"/>
  <c r="E1099" i="11"/>
  <c r="D1099" i="11"/>
  <c r="C1099" i="11"/>
  <c r="B1099" i="11"/>
  <c r="A1099" i="11"/>
  <c r="N1098" i="11"/>
  <c r="L1098" i="11"/>
  <c r="K1098" i="11"/>
  <c r="J1098" i="11"/>
  <c r="I1098" i="11"/>
  <c r="H1098" i="11"/>
  <c r="G1098" i="11"/>
  <c r="F1098" i="11"/>
  <c r="E1098" i="11"/>
  <c r="D1098" i="11"/>
  <c r="C1098" i="11"/>
  <c r="B1098" i="11"/>
  <c r="A1098" i="11"/>
  <c r="N1097" i="11"/>
  <c r="L1097" i="11"/>
  <c r="K1097" i="11"/>
  <c r="J1097" i="11"/>
  <c r="I1097" i="11"/>
  <c r="H1097" i="11"/>
  <c r="G1097" i="11"/>
  <c r="F1097" i="11"/>
  <c r="E1097" i="11"/>
  <c r="D1097" i="11"/>
  <c r="C1097" i="11"/>
  <c r="B1097" i="11"/>
  <c r="A1097" i="11"/>
  <c r="N1096" i="11"/>
  <c r="L1096" i="11"/>
  <c r="K1096" i="11"/>
  <c r="J1096" i="11"/>
  <c r="I1096" i="11"/>
  <c r="H1096" i="11"/>
  <c r="G1096" i="11"/>
  <c r="F1096" i="11"/>
  <c r="E1096" i="11"/>
  <c r="D1096" i="11"/>
  <c r="C1096" i="11"/>
  <c r="B1096" i="11"/>
  <c r="A1096" i="11"/>
  <c r="N1095" i="11"/>
  <c r="L1095" i="11"/>
  <c r="K1095" i="11"/>
  <c r="J1095" i="11"/>
  <c r="I1095" i="11"/>
  <c r="H1095" i="11"/>
  <c r="G1095" i="11"/>
  <c r="F1095" i="11"/>
  <c r="E1095" i="11"/>
  <c r="D1095" i="11"/>
  <c r="C1095" i="11"/>
  <c r="B1095" i="11"/>
  <c r="A1095" i="11"/>
  <c r="N1094" i="11"/>
  <c r="L1094" i="11"/>
  <c r="K1094" i="11"/>
  <c r="J1094" i="11"/>
  <c r="I1094" i="11"/>
  <c r="H1094" i="11"/>
  <c r="G1094" i="11"/>
  <c r="F1094" i="11"/>
  <c r="E1094" i="11"/>
  <c r="D1094" i="11"/>
  <c r="C1094" i="11"/>
  <c r="B1094" i="11"/>
  <c r="A1094" i="11"/>
  <c r="N1093" i="11"/>
  <c r="L1093" i="11"/>
  <c r="K1093" i="11"/>
  <c r="J1093" i="11"/>
  <c r="I1093" i="11"/>
  <c r="H1093" i="11"/>
  <c r="G1093" i="11"/>
  <c r="F1093" i="11"/>
  <c r="E1093" i="11"/>
  <c r="D1093" i="11"/>
  <c r="C1093" i="11"/>
  <c r="B1093" i="11"/>
  <c r="A1093" i="11"/>
  <c r="N1092" i="11"/>
  <c r="L1092" i="11"/>
  <c r="K1092" i="11"/>
  <c r="J1092" i="11"/>
  <c r="I1092" i="11"/>
  <c r="Q1092" i="11" s="1"/>
  <c r="H1092" i="11"/>
  <c r="G1092" i="11"/>
  <c r="F1092" i="11"/>
  <c r="E1092" i="11"/>
  <c r="D1092" i="11"/>
  <c r="C1092" i="11"/>
  <c r="B1092" i="11"/>
  <c r="A1092" i="11"/>
  <c r="N1091" i="11"/>
  <c r="L1091" i="11"/>
  <c r="K1091" i="11"/>
  <c r="J1091" i="11"/>
  <c r="I1091" i="11"/>
  <c r="H1091" i="11"/>
  <c r="G1091" i="11"/>
  <c r="F1091" i="11"/>
  <c r="E1091" i="11"/>
  <c r="D1091" i="11"/>
  <c r="C1091" i="11"/>
  <c r="B1091" i="11"/>
  <c r="A1091" i="11"/>
  <c r="N1090" i="11"/>
  <c r="L1090" i="11"/>
  <c r="K1090" i="11"/>
  <c r="J1090" i="11"/>
  <c r="I1090" i="11"/>
  <c r="H1090" i="11"/>
  <c r="G1090" i="11"/>
  <c r="F1090" i="11"/>
  <c r="E1090" i="11"/>
  <c r="D1090" i="11"/>
  <c r="C1090" i="11"/>
  <c r="B1090" i="11"/>
  <c r="A1090" i="11"/>
  <c r="N1089" i="11"/>
  <c r="L1089" i="11"/>
  <c r="K1089" i="11"/>
  <c r="J1089" i="11"/>
  <c r="I1089" i="11"/>
  <c r="H1089" i="11"/>
  <c r="G1089" i="11"/>
  <c r="F1089" i="11"/>
  <c r="E1089" i="11"/>
  <c r="D1089" i="11"/>
  <c r="C1089" i="11"/>
  <c r="B1089" i="11"/>
  <c r="A1089" i="11"/>
  <c r="N1088" i="11"/>
  <c r="L1088" i="11"/>
  <c r="K1088" i="11"/>
  <c r="J1088" i="11"/>
  <c r="I1088" i="11"/>
  <c r="Q1088" i="11" s="1"/>
  <c r="H1088" i="11"/>
  <c r="G1088" i="11"/>
  <c r="F1088" i="11"/>
  <c r="E1088" i="11"/>
  <c r="D1088" i="11"/>
  <c r="C1088" i="11"/>
  <c r="B1088" i="11"/>
  <c r="A1088" i="11"/>
  <c r="N1087" i="11"/>
  <c r="L1087" i="11"/>
  <c r="K1087" i="11"/>
  <c r="J1087" i="11"/>
  <c r="I1087" i="11"/>
  <c r="H1087" i="11"/>
  <c r="G1087" i="11"/>
  <c r="F1087" i="11"/>
  <c r="E1087" i="11"/>
  <c r="D1087" i="11"/>
  <c r="C1087" i="11"/>
  <c r="B1087" i="11"/>
  <c r="A1087" i="11"/>
  <c r="N1086" i="11"/>
  <c r="L1086" i="11"/>
  <c r="K1086" i="11"/>
  <c r="J1086" i="11"/>
  <c r="I1086" i="11"/>
  <c r="H1086" i="11"/>
  <c r="G1086" i="11"/>
  <c r="F1086" i="11"/>
  <c r="E1086" i="11"/>
  <c r="D1086" i="11"/>
  <c r="C1086" i="11"/>
  <c r="B1086" i="11"/>
  <c r="A1086" i="11"/>
  <c r="N1085" i="11"/>
  <c r="L1085" i="11"/>
  <c r="K1085" i="11"/>
  <c r="J1085" i="11"/>
  <c r="I1085" i="11"/>
  <c r="H1085" i="11"/>
  <c r="G1085" i="11"/>
  <c r="F1085" i="11"/>
  <c r="E1085" i="11"/>
  <c r="D1085" i="11"/>
  <c r="C1085" i="11"/>
  <c r="B1085" i="11"/>
  <c r="A1085" i="11"/>
  <c r="N1084" i="11"/>
  <c r="L1084" i="11"/>
  <c r="K1084" i="11"/>
  <c r="J1084" i="11"/>
  <c r="I1084" i="11"/>
  <c r="G1084" i="11"/>
  <c r="F1084" i="11"/>
  <c r="E1084" i="11"/>
  <c r="D1084" i="11"/>
  <c r="C1084" i="11"/>
  <c r="B1084" i="11"/>
  <c r="A1084" i="11"/>
  <c r="N1083" i="11"/>
  <c r="L1083" i="11"/>
  <c r="K1083" i="11"/>
  <c r="J1083" i="11"/>
  <c r="I1083" i="11"/>
  <c r="G1083" i="11"/>
  <c r="F1083" i="11"/>
  <c r="E1083" i="11"/>
  <c r="D1083" i="11"/>
  <c r="C1083" i="11"/>
  <c r="B1083" i="11"/>
  <c r="A1083" i="11"/>
  <c r="N1082" i="11"/>
  <c r="L1082" i="11"/>
  <c r="K1082" i="11"/>
  <c r="J1082" i="11"/>
  <c r="I1082" i="11"/>
  <c r="G1082" i="11"/>
  <c r="F1082" i="11"/>
  <c r="E1082" i="11"/>
  <c r="D1082" i="11"/>
  <c r="C1082" i="11"/>
  <c r="B1082" i="11"/>
  <c r="A1082" i="11"/>
  <c r="N1081" i="11"/>
  <c r="L1081" i="11"/>
  <c r="K1081" i="11"/>
  <c r="J1081" i="11"/>
  <c r="I1081" i="11"/>
  <c r="G1081" i="11"/>
  <c r="F1081" i="11"/>
  <c r="E1081" i="11"/>
  <c r="D1081" i="11"/>
  <c r="C1081" i="11"/>
  <c r="B1081" i="11"/>
  <c r="A1081" i="11"/>
  <c r="N1080" i="11"/>
  <c r="L1080" i="11"/>
  <c r="K1080" i="11"/>
  <c r="J1080" i="11"/>
  <c r="I1080" i="11"/>
  <c r="G1080" i="11"/>
  <c r="F1080" i="11"/>
  <c r="E1080" i="11"/>
  <c r="D1080" i="11"/>
  <c r="C1080" i="11"/>
  <c r="B1080" i="11"/>
  <c r="A1080" i="11"/>
  <c r="N1079" i="11"/>
  <c r="L1079" i="11"/>
  <c r="K1079" i="11"/>
  <c r="J1079" i="11"/>
  <c r="I1079" i="11"/>
  <c r="G1079" i="11"/>
  <c r="F1079" i="11"/>
  <c r="E1079" i="11"/>
  <c r="D1079" i="11"/>
  <c r="C1079" i="11"/>
  <c r="B1079" i="11"/>
  <c r="A1079" i="11"/>
  <c r="N1078" i="11"/>
  <c r="L1078" i="11"/>
  <c r="K1078" i="11"/>
  <c r="J1078" i="11"/>
  <c r="I1078" i="11"/>
  <c r="G1078" i="11"/>
  <c r="F1078" i="11"/>
  <c r="E1078" i="11"/>
  <c r="D1078" i="11"/>
  <c r="C1078" i="11"/>
  <c r="B1078" i="11"/>
  <c r="A1078" i="11"/>
  <c r="N1077" i="11"/>
  <c r="L1077" i="11"/>
  <c r="K1077" i="11"/>
  <c r="J1077" i="11"/>
  <c r="I1077" i="11"/>
  <c r="G1077" i="11"/>
  <c r="F1077" i="11"/>
  <c r="E1077" i="11"/>
  <c r="D1077" i="11"/>
  <c r="C1077" i="11"/>
  <c r="B1077" i="11"/>
  <c r="A1077" i="11"/>
  <c r="N1076" i="11"/>
  <c r="L1076" i="11"/>
  <c r="K1076" i="11"/>
  <c r="J1076" i="11"/>
  <c r="I1076" i="11"/>
  <c r="G1076" i="11"/>
  <c r="F1076" i="11"/>
  <c r="E1076" i="11"/>
  <c r="D1076" i="11"/>
  <c r="C1076" i="11"/>
  <c r="B1076" i="11"/>
  <c r="A1076" i="11"/>
  <c r="N1075" i="11"/>
  <c r="L1075" i="11"/>
  <c r="K1075" i="11"/>
  <c r="J1075" i="11"/>
  <c r="I1075" i="11"/>
  <c r="G1075" i="11"/>
  <c r="F1075" i="11"/>
  <c r="E1075" i="11"/>
  <c r="D1075" i="11"/>
  <c r="C1075" i="11"/>
  <c r="B1075" i="11"/>
  <c r="A1075" i="11"/>
  <c r="N1074" i="11"/>
  <c r="L1074" i="11"/>
  <c r="K1074" i="11"/>
  <c r="J1074" i="11"/>
  <c r="I1074" i="11"/>
  <c r="G1074" i="11"/>
  <c r="F1074" i="11"/>
  <c r="E1074" i="11"/>
  <c r="D1074" i="11"/>
  <c r="C1074" i="11"/>
  <c r="B1074" i="11"/>
  <c r="A1074" i="11"/>
  <c r="N1073" i="11"/>
  <c r="L1073" i="11"/>
  <c r="K1073" i="11"/>
  <c r="J1073" i="11"/>
  <c r="I1073" i="11"/>
  <c r="G1073" i="11"/>
  <c r="F1073" i="11"/>
  <c r="E1073" i="11"/>
  <c r="D1073" i="11"/>
  <c r="C1073" i="11"/>
  <c r="B1073" i="11"/>
  <c r="A1073" i="11"/>
  <c r="N1072" i="11"/>
  <c r="L1072" i="11"/>
  <c r="K1072" i="11"/>
  <c r="J1072" i="11"/>
  <c r="I1072" i="11"/>
  <c r="G1072" i="11"/>
  <c r="F1072" i="11"/>
  <c r="E1072" i="11"/>
  <c r="D1072" i="11"/>
  <c r="C1072" i="11"/>
  <c r="B1072" i="11"/>
  <c r="A1072" i="11"/>
  <c r="N1071" i="11"/>
  <c r="L1071" i="11"/>
  <c r="K1071" i="11"/>
  <c r="J1071" i="11"/>
  <c r="I1071" i="11"/>
  <c r="G1071" i="11"/>
  <c r="F1071" i="11"/>
  <c r="E1071" i="11"/>
  <c r="D1071" i="11"/>
  <c r="C1071" i="11"/>
  <c r="B1071" i="11"/>
  <c r="A1071" i="11"/>
  <c r="N1070" i="11"/>
  <c r="L1070" i="11"/>
  <c r="K1070" i="11"/>
  <c r="J1070" i="11"/>
  <c r="I1070" i="11"/>
  <c r="G1070" i="11"/>
  <c r="F1070" i="11"/>
  <c r="E1070" i="11"/>
  <c r="D1070" i="11"/>
  <c r="C1070" i="11"/>
  <c r="B1070" i="11"/>
  <c r="A1070" i="11"/>
  <c r="N1069" i="11"/>
  <c r="L1069" i="11"/>
  <c r="K1069" i="11"/>
  <c r="J1069" i="11"/>
  <c r="I1069" i="11"/>
  <c r="Q1069" i="11" s="1"/>
  <c r="H1069" i="11"/>
  <c r="G1069" i="11"/>
  <c r="F1069" i="11"/>
  <c r="E1069" i="11"/>
  <c r="D1069" i="11"/>
  <c r="C1069" i="11"/>
  <c r="B1069" i="11"/>
  <c r="A1069" i="11"/>
  <c r="N1068" i="11"/>
  <c r="L1068" i="11"/>
  <c r="K1068" i="11"/>
  <c r="J1068" i="11"/>
  <c r="I1068" i="11"/>
  <c r="H1068" i="11"/>
  <c r="G1068" i="11"/>
  <c r="F1068" i="11"/>
  <c r="E1068" i="11"/>
  <c r="D1068" i="11"/>
  <c r="C1068" i="11"/>
  <c r="B1068" i="11"/>
  <c r="A1068" i="11"/>
  <c r="N1067" i="11"/>
  <c r="L1067" i="11"/>
  <c r="K1067" i="11"/>
  <c r="J1067" i="11"/>
  <c r="I1067" i="11"/>
  <c r="Q1067" i="11" s="1"/>
  <c r="H1067" i="11"/>
  <c r="G1067" i="11"/>
  <c r="F1067" i="11"/>
  <c r="E1067" i="11"/>
  <c r="D1067" i="11"/>
  <c r="C1067" i="11"/>
  <c r="B1067" i="11"/>
  <c r="A1067" i="11"/>
  <c r="N1066" i="11"/>
  <c r="L1066" i="11"/>
  <c r="K1066" i="11"/>
  <c r="J1066" i="11"/>
  <c r="I1066" i="11"/>
  <c r="H1066" i="11"/>
  <c r="G1066" i="11"/>
  <c r="F1066" i="11"/>
  <c r="E1066" i="11"/>
  <c r="D1066" i="11"/>
  <c r="C1066" i="11"/>
  <c r="B1066" i="11"/>
  <c r="A1066" i="11"/>
  <c r="N1065" i="11"/>
  <c r="L1065" i="11"/>
  <c r="K1065" i="11"/>
  <c r="J1065" i="11"/>
  <c r="I1065" i="11"/>
  <c r="H1065" i="11"/>
  <c r="G1065" i="11"/>
  <c r="F1065" i="11"/>
  <c r="E1065" i="11"/>
  <c r="D1065" i="11"/>
  <c r="C1065" i="11"/>
  <c r="B1065" i="11"/>
  <c r="A1065" i="11"/>
  <c r="N1064" i="11"/>
  <c r="L1064" i="11"/>
  <c r="K1064" i="11"/>
  <c r="J1064" i="11"/>
  <c r="I1064" i="11"/>
  <c r="Q1064" i="11" s="1"/>
  <c r="H1064" i="11"/>
  <c r="G1064" i="11"/>
  <c r="F1064" i="11"/>
  <c r="E1064" i="11"/>
  <c r="D1064" i="11"/>
  <c r="C1064" i="11"/>
  <c r="B1064" i="11"/>
  <c r="A1064" i="11"/>
  <c r="N1063" i="11"/>
  <c r="L1063" i="11"/>
  <c r="K1063" i="11"/>
  <c r="J1063" i="11"/>
  <c r="I1063" i="11"/>
  <c r="G1063" i="11"/>
  <c r="F1063" i="11"/>
  <c r="E1063" i="11"/>
  <c r="D1063" i="11"/>
  <c r="C1063" i="11"/>
  <c r="B1063" i="11"/>
  <c r="A1063" i="11"/>
  <c r="N1062" i="11"/>
  <c r="L1062" i="11"/>
  <c r="K1062" i="11"/>
  <c r="J1062" i="11"/>
  <c r="I1062" i="11"/>
  <c r="H1062" i="11"/>
  <c r="G1062" i="11"/>
  <c r="F1062" i="11"/>
  <c r="E1062" i="11"/>
  <c r="D1062" i="11"/>
  <c r="C1062" i="11"/>
  <c r="B1062" i="11"/>
  <c r="A1062" i="11"/>
  <c r="N1061" i="11"/>
  <c r="L1061" i="11"/>
  <c r="K1061" i="11"/>
  <c r="J1061" i="11"/>
  <c r="I1061" i="11"/>
  <c r="Q1061" i="11" s="1"/>
  <c r="H1061" i="11"/>
  <c r="G1061" i="11"/>
  <c r="F1061" i="11"/>
  <c r="E1061" i="11"/>
  <c r="D1061" i="11"/>
  <c r="C1061" i="11"/>
  <c r="B1061" i="11"/>
  <c r="A1061" i="11"/>
  <c r="N1060" i="11"/>
  <c r="L1060" i="11"/>
  <c r="K1060" i="11"/>
  <c r="J1060" i="11"/>
  <c r="I1060" i="11"/>
  <c r="H1060" i="11"/>
  <c r="G1060" i="11"/>
  <c r="F1060" i="11"/>
  <c r="E1060" i="11"/>
  <c r="D1060" i="11"/>
  <c r="C1060" i="11"/>
  <c r="B1060" i="11"/>
  <c r="A1060" i="11"/>
  <c r="N1059" i="11"/>
  <c r="L1059" i="11"/>
  <c r="K1059" i="11"/>
  <c r="J1059" i="11"/>
  <c r="I1059" i="11"/>
  <c r="H1059" i="11"/>
  <c r="G1059" i="11"/>
  <c r="F1059" i="11"/>
  <c r="E1059" i="11"/>
  <c r="D1059" i="11"/>
  <c r="C1059" i="11"/>
  <c r="B1059" i="11"/>
  <c r="A1059" i="11"/>
  <c r="N1058" i="11"/>
  <c r="L1058" i="11"/>
  <c r="K1058" i="11"/>
  <c r="J1058" i="11"/>
  <c r="I1058" i="11"/>
  <c r="H1058" i="11"/>
  <c r="G1058" i="11"/>
  <c r="F1058" i="11"/>
  <c r="E1058" i="11"/>
  <c r="D1058" i="11"/>
  <c r="C1058" i="11"/>
  <c r="B1058" i="11"/>
  <c r="A1058" i="11"/>
  <c r="N1057" i="11"/>
  <c r="L1057" i="11"/>
  <c r="K1057" i="11"/>
  <c r="J1057" i="11"/>
  <c r="I1057" i="11"/>
  <c r="H1057" i="11"/>
  <c r="G1057" i="11"/>
  <c r="F1057" i="11"/>
  <c r="E1057" i="11"/>
  <c r="D1057" i="11"/>
  <c r="C1057" i="11"/>
  <c r="B1057" i="11"/>
  <c r="A1057" i="11"/>
  <c r="N1056" i="11"/>
  <c r="L1056" i="11"/>
  <c r="K1056" i="11"/>
  <c r="J1056" i="11"/>
  <c r="I1056" i="11"/>
  <c r="H1056" i="11"/>
  <c r="G1056" i="11"/>
  <c r="F1056" i="11"/>
  <c r="E1056" i="11"/>
  <c r="D1056" i="11"/>
  <c r="C1056" i="11"/>
  <c r="B1056" i="11"/>
  <c r="A1056" i="11"/>
  <c r="N1055" i="11"/>
  <c r="L1055" i="11"/>
  <c r="K1055" i="11"/>
  <c r="J1055" i="11"/>
  <c r="I1055" i="11"/>
  <c r="Q1055" i="11" s="1"/>
  <c r="H1055" i="11"/>
  <c r="G1055" i="11"/>
  <c r="F1055" i="11"/>
  <c r="E1055" i="11"/>
  <c r="D1055" i="11"/>
  <c r="C1055" i="11"/>
  <c r="B1055" i="11"/>
  <c r="A1055" i="11"/>
  <c r="N1054" i="11"/>
  <c r="L1054" i="11"/>
  <c r="K1054" i="11"/>
  <c r="J1054" i="11"/>
  <c r="I1054" i="11"/>
  <c r="H1054" i="11"/>
  <c r="G1054" i="11"/>
  <c r="F1054" i="11"/>
  <c r="E1054" i="11"/>
  <c r="D1054" i="11"/>
  <c r="C1054" i="11"/>
  <c r="B1054" i="11"/>
  <c r="A1054" i="11"/>
  <c r="N1053" i="11"/>
  <c r="L1053" i="11"/>
  <c r="K1053" i="11"/>
  <c r="J1053" i="11"/>
  <c r="I1053" i="11"/>
  <c r="H1053" i="11"/>
  <c r="G1053" i="11"/>
  <c r="F1053" i="11"/>
  <c r="E1053" i="11"/>
  <c r="D1053" i="11"/>
  <c r="C1053" i="11"/>
  <c r="B1053" i="11"/>
  <c r="A1053" i="11"/>
  <c r="N1052" i="11"/>
  <c r="L1052" i="11"/>
  <c r="K1052" i="11"/>
  <c r="J1052" i="11"/>
  <c r="I1052" i="11"/>
  <c r="H1052" i="11"/>
  <c r="G1052" i="11"/>
  <c r="F1052" i="11"/>
  <c r="E1052" i="11"/>
  <c r="D1052" i="11"/>
  <c r="C1052" i="11"/>
  <c r="B1052" i="11"/>
  <c r="A1052" i="11"/>
  <c r="N1051" i="11"/>
  <c r="L1051" i="11"/>
  <c r="K1051" i="11"/>
  <c r="J1051" i="11"/>
  <c r="I1051" i="11"/>
  <c r="H1051" i="11"/>
  <c r="G1051" i="11"/>
  <c r="F1051" i="11"/>
  <c r="E1051" i="11"/>
  <c r="D1051" i="11"/>
  <c r="C1051" i="11"/>
  <c r="B1051" i="11"/>
  <c r="A1051" i="11"/>
  <c r="N1050" i="11"/>
  <c r="L1050" i="11"/>
  <c r="K1050" i="11"/>
  <c r="J1050" i="11"/>
  <c r="I1050" i="11"/>
  <c r="Q1050" i="11" s="1"/>
  <c r="H1050" i="11"/>
  <c r="G1050" i="11"/>
  <c r="F1050" i="11"/>
  <c r="E1050" i="11"/>
  <c r="D1050" i="11"/>
  <c r="C1050" i="11"/>
  <c r="B1050" i="11"/>
  <c r="A1050" i="11"/>
  <c r="N1049" i="11"/>
  <c r="L1049" i="11"/>
  <c r="K1049" i="11"/>
  <c r="J1049" i="11"/>
  <c r="I1049" i="11"/>
  <c r="G1049" i="11"/>
  <c r="F1049" i="11"/>
  <c r="E1049" i="11"/>
  <c r="D1049" i="11"/>
  <c r="C1049" i="11"/>
  <c r="B1049" i="11"/>
  <c r="A1049" i="11"/>
  <c r="N1048" i="11"/>
  <c r="L1048" i="11"/>
  <c r="K1048" i="11"/>
  <c r="J1048" i="11"/>
  <c r="I1048" i="11"/>
  <c r="H1048" i="11"/>
  <c r="G1048" i="11"/>
  <c r="F1048" i="11"/>
  <c r="E1048" i="11"/>
  <c r="D1048" i="11"/>
  <c r="C1048" i="11"/>
  <c r="B1048" i="11"/>
  <c r="A1048" i="11"/>
  <c r="N1047" i="11"/>
  <c r="L1047" i="11"/>
  <c r="K1047" i="11"/>
  <c r="J1047" i="11"/>
  <c r="I1047" i="11"/>
  <c r="H1047" i="11"/>
  <c r="G1047" i="11"/>
  <c r="F1047" i="11"/>
  <c r="E1047" i="11"/>
  <c r="D1047" i="11"/>
  <c r="C1047" i="11"/>
  <c r="B1047" i="11"/>
  <c r="A1047" i="11"/>
  <c r="N1046" i="11"/>
  <c r="L1046" i="11"/>
  <c r="K1046" i="11"/>
  <c r="J1046" i="11"/>
  <c r="I1046" i="11"/>
  <c r="H1046" i="11"/>
  <c r="G1046" i="11"/>
  <c r="F1046" i="11"/>
  <c r="E1046" i="11"/>
  <c r="D1046" i="11"/>
  <c r="C1046" i="11"/>
  <c r="B1046" i="11"/>
  <c r="A1046" i="11"/>
  <c r="N1045" i="11"/>
  <c r="L1045" i="11"/>
  <c r="K1045" i="11"/>
  <c r="J1045" i="11"/>
  <c r="I1045" i="11"/>
  <c r="H1045" i="11"/>
  <c r="G1045" i="11"/>
  <c r="F1045" i="11"/>
  <c r="E1045" i="11"/>
  <c r="D1045" i="11"/>
  <c r="C1045" i="11"/>
  <c r="B1045" i="11"/>
  <c r="A1045" i="11"/>
  <c r="N1044" i="11"/>
  <c r="L1044" i="11"/>
  <c r="K1044" i="11"/>
  <c r="J1044" i="11"/>
  <c r="I1044" i="11"/>
  <c r="Q1044" i="11" s="1"/>
  <c r="H1044" i="11"/>
  <c r="G1044" i="11"/>
  <c r="F1044" i="11"/>
  <c r="E1044" i="11"/>
  <c r="D1044" i="11"/>
  <c r="C1044" i="11"/>
  <c r="B1044" i="11"/>
  <c r="A1044" i="11"/>
  <c r="N1043" i="11"/>
  <c r="L1043" i="11"/>
  <c r="K1043" i="11"/>
  <c r="J1043" i="11"/>
  <c r="I1043" i="11"/>
  <c r="H1043" i="11"/>
  <c r="G1043" i="11"/>
  <c r="F1043" i="11"/>
  <c r="E1043" i="11"/>
  <c r="D1043" i="11"/>
  <c r="C1043" i="11"/>
  <c r="B1043" i="11"/>
  <c r="A1043" i="11"/>
  <c r="N1042" i="11"/>
  <c r="L1042" i="11"/>
  <c r="K1042" i="11"/>
  <c r="J1042" i="11"/>
  <c r="I1042" i="11"/>
  <c r="H1042" i="11"/>
  <c r="G1042" i="11"/>
  <c r="F1042" i="11"/>
  <c r="E1042" i="11"/>
  <c r="D1042" i="11"/>
  <c r="C1042" i="11"/>
  <c r="B1042" i="11"/>
  <c r="A1042" i="11"/>
  <c r="N1041" i="11"/>
  <c r="L1041" i="11"/>
  <c r="K1041" i="11"/>
  <c r="J1041" i="11"/>
  <c r="I1041" i="11"/>
  <c r="H1041" i="11"/>
  <c r="G1041" i="11"/>
  <c r="F1041" i="11"/>
  <c r="E1041" i="11"/>
  <c r="D1041" i="11"/>
  <c r="C1041" i="11"/>
  <c r="B1041" i="11"/>
  <c r="A1041" i="11"/>
  <c r="N1040" i="11"/>
  <c r="L1040" i="11"/>
  <c r="K1040" i="11"/>
  <c r="J1040" i="11"/>
  <c r="I1040" i="11"/>
  <c r="H1040" i="11"/>
  <c r="G1040" i="11"/>
  <c r="F1040" i="11"/>
  <c r="E1040" i="11"/>
  <c r="D1040" i="11"/>
  <c r="C1040" i="11"/>
  <c r="B1040" i="11"/>
  <c r="A1040" i="11"/>
  <c r="N1039" i="11"/>
  <c r="L1039" i="11"/>
  <c r="K1039" i="11"/>
  <c r="J1039" i="11"/>
  <c r="I1039" i="11"/>
  <c r="Q1039" i="11" s="1"/>
  <c r="H1039" i="11"/>
  <c r="G1039" i="11"/>
  <c r="F1039" i="11"/>
  <c r="E1039" i="11"/>
  <c r="D1039" i="11"/>
  <c r="C1039" i="11"/>
  <c r="B1039" i="11"/>
  <c r="A1039" i="11"/>
  <c r="N1038" i="11"/>
  <c r="L1038" i="11"/>
  <c r="K1038" i="11"/>
  <c r="J1038" i="11"/>
  <c r="I1038" i="11"/>
  <c r="H1038" i="11"/>
  <c r="G1038" i="11"/>
  <c r="F1038" i="11"/>
  <c r="E1038" i="11"/>
  <c r="D1038" i="11"/>
  <c r="C1038" i="11"/>
  <c r="B1038" i="11"/>
  <c r="A1038" i="11"/>
  <c r="N1037" i="11"/>
  <c r="L1037" i="11"/>
  <c r="K1037" i="11"/>
  <c r="J1037" i="11"/>
  <c r="I1037" i="11"/>
  <c r="H1037" i="11"/>
  <c r="G1037" i="11"/>
  <c r="F1037" i="11"/>
  <c r="E1037" i="11"/>
  <c r="D1037" i="11"/>
  <c r="C1037" i="11"/>
  <c r="B1037" i="11"/>
  <c r="A1037" i="11"/>
  <c r="N1036" i="11"/>
  <c r="L1036" i="11"/>
  <c r="K1036" i="11"/>
  <c r="J1036" i="11"/>
  <c r="I1036" i="11"/>
  <c r="H1036" i="11"/>
  <c r="G1036" i="11"/>
  <c r="F1036" i="11"/>
  <c r="E1036" i="11"/>
  <c r="D1036" i="11"/>
  <c r="C1036" i="11"/>
  <c r="B1036" i="11"/>
  <c r="A1036" i="11"/>
  <c r="N1035" i="11"/>
  <c r="L1035" i="11"/>
  <c r="K1035" i="11"/>
  <c r="J1035" i="11"/>
  <c r="I1035" i="11"/>
  <c r="H1035" i="11"/>
  <c r="G1035" i="11"/>
  <c r="F1035" i="11"/>
  <c r="E1035" i="11"/>
  <c r="D1035" i="11"/>
  <c r="C1035" i="11"/>
  <c r="B1035" i="11"/>
  <c r="A1035" i="11"/>
  <c r="N1034" i="11"/>
  <c r="L1034" i="11"/>
  <c r="K1034" i="11"/>
  <c r="J1034" i="11"/>
  <c r="I1034" i="11"/>
  <c r="H1034" i="11"/>
  <c r="G1034" i="11"/>
  <c r="F1034" i="11"/>
  <c r="E1034" i="11"/>
  <c r="D1034" i="11"/>
  <c r="C1034" i="11"/>
  <c r="B1034" i="11"/>
  <c r="A1034" i="11"/>
  <c r="N1033" i="11"/>
  <c r="L1033" i="11"/>
  <c r="K1033" i="11"/>
  <c r="J1033" i="11"/>
  <c r="I1033" i="11"/>
  <c r="Q1033" i="11" s="1"/>
  <c r="H1033" i="11"/>
  <c r="G1033" i="11"/>
  <c r="F1033" i="11"/>
  <c r="E1033" i="11"/>
  <c r="D1033" i="11"/>
  <c r="C1033" i="11"/>
  <c r="B1033" i="11"/>
  <c r="A1033" i="11"/>
  <c r="O1032" i="11"/>
  <c r="N1032" i="11"/>
  <c r="L1032" i="11"/>
  <c r="K1032" i="11"/>
  <c r="J1032" i="11"/>
  <c r="I1032" i="11"/>
  <c r="H1032" i="11"/>
  <c r="G1032" i="11"/>
  <c r="F1032" i="11"/>
  <c r="E1032" i="11"/>
  <c r="D1032" i="11"/>
  <c r="C1032" i="11"/>
  <c r="B1032" i="11"/>
  <c r="A1032" i="11"/>
  <c r="N1031" i="11"/>
  <c r="L1031" i="11"/>
  <c r="K1031" i="11"/>
  <c r="J1031" i="11"/>
  <c r="I1031" i="11"/>
  <c r="H1031" i="11"/>
  <c r="G1031" i="11"/>
  <c r="F1031" i="11"/>
  <c r="E1031" i="11"/>
  <c r="D1031" i="11"/>
  <c r="C1031" i="11"/>
  <c r="B1031" i="11"/>
  <c r="A1031" i="11"/>
  <c r="N1030" i="11"/>
  <c r="L1030" i="11"/>
  <c r="K1030" i="11"/>
  <c r="J1030" i="11"/>
  <c r="I1030" i="11"/>
  <c r="H1030" i="11"/>
  <c r="G1030" i="11"/>
  <c r="F1030" i="11"/>
  <c r="E1030" i="11"/>
  <c r="D1030" i="11"/>
  <c r="C1030" i="11"/>
  <c r="B1030" i="11"/>
  <c r="A1030" i="11"/>
  <c r="N1029" i="11"/>
  <c r="L1029" i="11"/>
  <c r="K1029" i="11"/>
  <c r="J1029" i="11"/>
  <c r="I1029" i="11"/>
  <c r="H1029" i="11"/>
  <c r="G1029" i="11"/>
  <c r="F1029" i="11"/>
  <c r="E1029" i="11"/>
  <c r="D1029" i="11"/>
  <c r="C1029" i="11"/>
  <c r="B1029" i="11"/>
  <c r="A1029" i="11"/>
  <c r="N1028" i="11"/>
  <c r="L1028" i="11"/>
  <c r="K1028" i="11"/>
  <c r="J1028" i="11"/>
  <c r="I1028" i="11"/>
  <c r="H1028" i="11"/>
  <c r="G1028" i="11"/>
  <c r="F1028" i="11"/>
  <c r="E1028" i="11"/>
  <c r="D1028" i="11"/>
  <c r="C1028" i="11"/>
  <c r="B1028" i="11"/>
  <c r="A1028" i="11"/>
  <c r="N1027" i="11"/>
  <c r="L1027" i="11"/>
  <c r="K1027" i="11"/>
  <c r="J1027" i="11"/>
  <c r="I1027" i="11"/>
  <c r="H1027" i="11"/>
  <c r="G1027" i="11"/>
  <c r="F1027" i="11"/>
  <c r="E1027" i="11"/>
  <c r="D1027" i="11"/>
  <c r="C1027" i="11"/>
  <c r="B1027" i="11"/>
  <c r="A1027" i="11"/>
  <c r="N1026" i="11"/>
  <c r="L1026" i="11"/>
  <c r="K1026" i="11"/>
  <c r="J1026" i="11"/>
  <c r="I1026" i="11"/>
  <c r="G1026" i="11"/>
  <c r="F1026" i="11"/>
  <c r="E1026" i="11"/>
  <c r="D1026" i="11"/>
  <c r="C1026" i="11"/>
  <c r="B1026" i="11"/>
  <c r="A1026" i="11"/>
  <c r="N1025" i="11"/>
  <c r="L1025" i="11"/>
  <c r="K1025" i="11"/>
  <c r="J1025" i="11"/>
  <c r="I1025" i="11"/>
  <c r="G1025" i="11"/>
  <c r="F1025" i="11"/>
  <c r="E1025" i="11"/>
  <c r="D1025" i="11"/>
  <c r="C1025" i="11"/>
  <c r="B1025" i="11"/>
  <c r="A1025" i="11"/>
  <c r="N1024" i="11"/>
  <c r="L1024" i="11"/>
  <c r="K1024" i="11"/>
  <c r="J1024" i="11"/>
  <c r="I1024" i="11"/>
  <c r="G1024" i="11"/>
  <c r="F1024" i="11"/>
  <c r="E1024" i="11"/>
  <c r="D1024" i="11"/>
  <c r="C1024" i="11"/>
  <c r="B1024" i="11"/>
  <c r="A1024" i="11"/>
  <c r="N1023" i="11"/>
  <c r="L1023" i="11"/>
  <c r="K1023" i="11"/>
  <c r="J1023" i="11"/>
  <c r="I1023" i="11"/>
  <c r="G1023" i="11"/>
  <c r="F1023" i="11"/>
  <c r="E1023" i="11"/>
  <c r="D1023" i="11"/>
  <c r="C1023" i="11"/>
  <c r="B1023" i="11"/>
  <c r="A1023" i="11"/>
  <c r="N1022" i="11"/>
  <c r="L1022" i="11"/>
  <c r="K1022" i="11"/>
  <c r="J1022" i="11"/>
  <c r="I1022" i="11"/>
  <c r="G1022" i="11"/>
  <c r="F1022" i="11"/>
  <c r="E1022" i="11"/>
  <c r="D1022" i="11"/>
  <c r="C1022" i="11"/>
  <c r="B1022" i="11"/>
  <c r="A1022" i="11"/>
  <c r="N1021" i="11"/>
  <c r="L1021" i="11"/>
  <c r="K1021" i="11"/>
  <c r="J1021" i="11"/>
  <c r="I1021" i="11"/>
  <c r="G1021" i="11"/>
  <c r="F1021" i="11"/>
  <c r="E1021" i="11"/>
  <c r="D1021" i="11"/>
  <c r="C1021" i="11"/>
  <c r="B1021" i="11"/>
  <c r="A1021" i="11"/>
  <c r="N1020" i="11"/>
  <c r="L1020" i="11"/>
  <c r="K1020" i="11"/>
  <c r="J1020" i="11"/>
  <c r="I1020" i="11"/>
  <c r="G1020" i="11"/>
  <c r="F1020" i="11"/>
  <c r="E1020" i="11"/>
  <c r="D1020" i="11"/>
  <c r="C1020" i="11"/>
  <c r="B1020" i="11"/>
  <c r="A1020" i="11"/>
  <c r="N1019" i="11"/>
  <c r="L1019" i="11"/>
  <c r="K1019" i="11"/>
  <c r="J1019" i="11"/>
  <c r="I1019" i="11"/>
  <c r="G1019" i="11"/>
  <c r="F1019" i="11"/>
  <c r="E1019" i="11"/>
  <c r="D1019" i="11"/>
  <c r="C1019" i="11"/>
  <c r="B1019" i="11"/>
  <c r="A1019" i="11"/>
  <c r="N1018" i="11"/>
  <c r="L1018" i="11"/>
  <c r="K1018" i="11"/>
  <c r="J1018" i="11"/>
  <c r="I1018" i="11"/>
  <c r="G1018" i="11"/>
  <c r="F1018" i="11"/>
  <c r="E1018" i="11"/>
  <c r="D1018" i="11"/>
  <c r="C1018" i="11"/>
  <c r="B1018" i="11"/>
  <c r="A1018" i="11"/>
  <c r="N1017" i="11"/>
  <c r="L1017" i="11"/>
  <c r="K1017" i="11"/>
  <c r="J1017" i="11"/>
  <c r="I1017" i="11"/>
  <c r="G1017" i="11"/>
  <c r="F1017" i="11"/>
  <c r="E1017" i="11"/>
  <c r="D1017" i="11"/>
  <c r="C1017" i="11"/>
  <c r="B1017" i="11"/>
  <c r="A1017" i="11"/>
  <c r="O1016" i="11"/>
  <c r="N1016" i="11"/>
  <c r="L1016" i="11"/>
  <c r="K1016" i="11"/>
  <c r="J1016" i="11"/>
  <c r="I1016" i="11"/>
  <c r="G1016" i="11"/>
  <c r="F1016" i="11"/>
  <c r="E1016" i="11"/>
  <c r="D1016" i="11"/>
  <c r="C1016" i="11"/>
  <c r="B1016" i="11"/>
  <c r="A1016" i="11"/>
  <c r="N1015" i="11"/>
  <c r="L1015" i="11"/>
  <c r="K1015" i="11"/>
  <c r="J1015" i="11"/>
  <c r="I1015" i="11"/>
  <c r="G1015" i="11"/>
  <c r="F1015" i="11"/>
  <c r="E1015" i="11"/>
  <c r="D1015" i="11"/>
  <c r="C1015" i="11"/>
  <c r="B1015" i="11"/>
  <c r="A1015" i="11"/>
  <c r="N1014" i="11"/>
  <c r="L1014" i="11"/>
  <c r="K1014" i="11"/>
  <c r="J1014" i="11"/>
  <c r="I1014" i="11"/>
  <c r="G1014" i="11"/>
  <c r="F1014" i="11"/>
  <c r="E1014" i="11"/>
  <c r="D1014" i="11"/>
  <c r="C1014" i="11"/>
  <c r="B1014" i="11"/>
  <c r="A1014" i="11"/>
  <c r="N1013" i="11"/>
  <c r="L1013" i="11"/>
  <c r="K1013" i="11"/>
  <c r="J1013" i="11"/>
  <c r="I1013" i="11"/>
  <c r="G1013" i="11"/>
  <c r="F1013" i="11"/>
  <c r="E1013" i="11"/>
  <c r="D1013" i="11"/>
  <c r="C1013" i="11"/>
  <c r="B1013" i="11"/>
  <c r="A1013" i="11"/>
  <c r="N1012" i="11"/>
  <c r="L1012" i="11"/>
  <c r="K1012" i="11"/>
  <c r="J1012" i="11"/>
  <c r="I1012" i="11"/>
  <c r="G1012" i="11"/>
  <c r="F1012" i="11"/>
  <c r="E1012" i="11"/>
  <c r="D1012" i="11"/>
  <c r="C1012" i="11"/>
  <c r="B1012" i="11"/>
  <c r="A1012" i="11"/>
  <c r="N1011" i="11"/>
  <c r="L1011" i="11"/>
  <c r="K1011" i="11"/>
  <c r="J1011" i="11"/>
  <c r="I1011" i="11"/>
  <c r="G1011" i="11"/>
  <c r="F1011" i="11"/>
  <c r="E1011" i="11"/>
  <c r="D1011" i="11"/>
  <c r="C1011" i="11"/>
  <c r="B1011" i="11"/>
  <c r="A1011" i="11"/>
  <c r="N1010" i="11"/>
  <c r="L1010" i="11"/>
  <c r="K1010" i="11"/>
  <c r="J1010" i="11"/>
  <c r="I1010" i="11"/>
  <c r="G1010" i="11"/>
  <c r="F1010" i="11"/>
  <c r="E1010" i="11"/>
  <c r="D1010" i="11"/>
  <c r="C1010" i="11"/>
  <c r="B1010" i="11"/>
  <c r="A1010" i="11"/>
  <c r="O1009" i="11"/>
  <c r="N1009" i="11"/>
  <c r="L1009" i="11"/>
  <c r="K1009" i="11"/>
  <c r="J1009" i="11"/>
  <c r="I1009" i="11"/>
  <c r="G1009" i="11"/>
  <c r="F1009" i="11"/>
  <c r="E1009" i="11"/>
  <c r="D1009" i="11"/>
  <c r="C1009" i="11"/>
  <c r="B1009" i="11"/>
  <c r="A1009" i="11"/>
  <c r="N1008" i="11"/>
  <c r="L1008" i="11"/>
  <c r="K1008" i="11"/>
  <c r="J1008" i="11"/>
  <c r="I1008" i="11"/>
  <c r="G1008" i="11"/>
  <c r="F1008" i="11"/>
  <c r="E1008" i="11"/>
  <c r="D1008" i="11"/>
  <c r="C1008" i="11"/>
  <c r="B1008" i="11"/>
  <c r="A1008" i="11"/>
  <c r="N1007" i="11"/>
  <c r="L1007" i="11"/>
  <c r="K1007" i="11"/>
  <c r="J1007" i="11"/>
  <c r="I1007" i="11"/>
  <c r="G1007" i="11"/>
  <c r="F1007" i="11"/>
  <c r="E1007" i="11"/>
  <c r="D1007" i="11"/>
  <c r="C1007" i="11"/>
  <c r="B1007" i="11"/>
  <c r="A1007" i="11"/>
  <c r="N1006" i="11"/>
  <c r="L1006" i="11"/>
  <c r="K1006" i="11"/>
  <c r="J1006" i="11"/>
  <c r="I1006" i="11"/>
  <c r="G1006" i="11"/>
  <c r="F1006" i="11"/>
  <c r="E1006" i="11"/>
  <c r="D1006" i="11"/>
  <c r="C1006" i="11"/>
  <c r="B1006" i="11"/>
  <c r="A1006" i="11"/>
  <c r="O1005" i="11"/>
  <c r="N1005" i="11"/>
  <c r="L1005" i="11"/>
  <c r="K1005" i="11"/>
  <c r="J1005" i="11"/>
  <c r="I1005" i="11"/>
  <c r="G1005" i="11"/>
  <c r="F1005" i="11"/>
  <c r="E1005" i="11"/>
  <c r="D1005" i="11"/>
  <c r="C1005" i="11"/>
  <c r="B1005" i="11"/>
  <c r="A1005" i="11"/>
  <c r="N1004" i="11"/>
  <c r="L1004" i="11"/>
  <c r="K1004" i="11"/>
  <c r="J1004" i="11"/>
  <c r="I1004" i="11"/>
  <c r="G1004" i="11"/>
  <c r="F1004" i="11"/>
  <c r="E1004" i="11"/>
  <c r="D1004" i="11"/>
  <c r="C1004" i="11"/>
  <c r="B1004" i="11"/>
  <c r="A1004" i="11"/>
  <c r="N1003" i="11"/>
  <c r="L1003" i="11"/>
  <c r="K1003" i="11"/>
  <c r="J1003" i="11"/>
  <c r="I1003" i="11"/>
  <c r="G1003" i="11"/>
  <c r="F1003" i="11"/>
  <c r="E1003" i="11"/>
  <c r="D1003" i="11"/>
  <c r="C1003" i="11"/>
  <c r="B1003" i="11"/>
  <c r="A1003" i="11"/>
  <c r="N1002" i="11"/>
  <c r="L1002" i="11"/>
  <c r="K1002" i="11"/>
  <c r="J1002" i="11"/>
  <c r="I1002" i="11"/>
  <c r="G1002" i="11"/>
  <c r="F1002" i="11"/>
  <c r="E1002" i="11"/>
  <c r="D1002" i="11"/>
  <c r="C1002" i="11"/>
  <c r="B1002" i="11"/>
  <c r="A1002" i="11"/>
  <c r="N1001" i="11"/>
  <c r="L1001" i="11"/>
  <c r="K1001" i="11"/>
  <c r="J1001" i="11"/>
  <c r="I1001" i="11"/>
  <c r="G1001" i="11"/>
  <c r="F1001" i="11"/>
  <c r="E1001" i="11"/>
  <c r="D1001" i="11"/>
  <c r="C1001" i="11"/>
  <c r="B1001" i="11"/>
  <c r="A1001" i="11"/>
  <c r="N1000" i="11"/>
  <c r="L1000" i="11"/>
  <c r="K1000" i="11"/>
  <c r="J1000" i="11"/>
  <c r="I1000" i="11"/>
  <c r="G1000" i="11"/>
  <c r="F1000" i="11"/>
  <c r="E1000" i="11"/>
  <c r="D1000" i="11"/>
  <c r="C1000" i="11"/>
  <c r="B1000" i="11"/>
  <c r="A1000" i="11"/>
  <c r="N999" i="11"/>
  <c r="L999" i="11"/>
  <c r="K999" i="11"/>
  <c r="J999" i="11"/>
  <c r="I999" i="11"/>
  <c r="G999" i="11"/>
  <c r="F999" i="11"/>
  <c r="E999" i="11"/>
  <c r="D999" i="11"/>
  <c r="C999" i="11"/>
  <c r="B999" i="11"/>
  <c r="A999" i="11"/>
  <c r="N998" i="11"/>
  <c r="L998" i="11"/>
  <c r="K998" i="11"/>
  <c r="J998" i="11"/>
  <c r="I998" i="11"/>
  <c r="G998" i="11"/>
  <c r="F998" i="11"/>
  <c r="E998" i="11"/>
  <c r="D998" i="11"/>
  <c r="C998" i="11"/>
  <c r="B998" i="11"/>
  <c r="A998" i="11"/>
  <c r="N997" i="11"/>
  <c r="L997" i="11"/>
  <c r="K997" i="11"/>
  <c r="J997" i="11"/>
  <c r="I997" i="11"/>
  <c r="G997" i="11"/>
  <c r="F997" i="11"/>
  <c r="E997" i="11"/>
  <c r="D997" i="11"/>
  <c r="C997" i="11"/>
  <c r="B997" i="11"/>
  <c r="A997" i="11"/>
  <c r="O996" i="11"/>
  <c r="N996" i="11"/>
  <c r="L996" i="11"/>
  <c r="K996" i="11"/>
  <c r="J996" i="11"/>
  <c r="I996" i="11"/>
  <c r="G996" i="11"/>
  <c r="F996" i="11"/>
  <c r="E996" i="11"/>
  <c r="D996" i="11"/>
  <c r="C996" i="11"/>
  <c r="B996" i="11"/>
  <c r="A996" i="11"/>
  <c r="N995" i="11"/>
  <c r="L995" i="11"/>
  <c r="K995" i="11"/>
  <c r="J995" i="11"/>
  <c r="I995" i="11"/>
  <c r="G995" i="11"/>
  <c r="F995" i="11"/>
  <c r="E995" i="11"/>
  <c r="D995" i="11"/>
  <c r="C995" i="11"/>
  <c r="B995" i="11"/>
  <c r="A995" i="11"/>
  <c r="N994" i="11"/>
  <c r="L994" i="11"/>
  <c r="K994" i="11"/>
  <c r="J994" i="11"/>
  <c r="I994" i="11"/>
  <c r="G994" i="11"/>
  <c r="F994" i="11"/>
  <c r="E994" i="11"/>
  <c r="D994" i="11"/>
  <c r="C994" i="11"/>
  <c r="B994" i="11"/>
  <c r="A994" i="11"/>
  <c r="N993" i="11"/>
  <c r="L993" i="11"/>
  <c r="K993" i="11"/>
  <c r="J993" i="11"/>
  <c r="I993" i="11"/>
  <c r="G993" i="11"/>
  <c r="F993" i="11"/>
  <c r="E993" i="11"/>
  <c r="D993" i="11"/>
  <c r="C993" i="11"/>
  <c r="B993" i="11"/>
  <c r="A993" i="11"/>
  <c r="N992" i="11"/>
  <c r="L992" i="11"/>
  <c r="K992" i="11"/>
  <c r="J992" i="11"/>
  <c r="I992" i="11"/>
  <c r="G992" i="11"/>
  <c r="F992" i="11"/>
  <c r="E992" i="11"/>
  <c r="D992" i="11"/>
  <c r="C992" i="11"/>
  <c r="B992" i="11"/>
  <c r="A992" i="11"/>
  <c r="N991" i="11"/>
  <c r="L991" i="11"/>
  <c r="K991" i="11"/>
  <c r="J991" i="11"/>
  <c r="I991" i="11"/>
  <c r="G991" i="11"/>
  <c r="F991" i="11"/>
  <c r="E991" i="11"/>
  <c r="D991" i="11"/>
  <c r="C991" i="11"/>
  <c r="B991" i="11"/>
  <c r="A991" i="11"/>
  <c r="N990" i="11"/>
  <c r="L990" i="11"/>
  <c r="K990" i="11"/>
  <c r="J990" i="11"/>
  <c r="I990" i="11"/>
  <c r="G990" i="11"/>
  <c r="F990" i="11"/>
  <c r="E990" i="11"/>
  <c r="D990" i="11"/>
  <c r="C990" i="11"/>
  <c r="B990" i="11"/>
  <c r="A990" i="11"/>
  <c r="N989" i="11"/>
  <c r="L989" i="11"/>
  <c r="K989" i="11"/>
  <c r="J989" i="11"/>
  <c r="I989" i="11"/>
  <c r="G989" i="11"/>
  <c r="F989" i="11"/>
  <c r="E989" i="11"/>
  <c r="D989" i="11"/>
  <c r="C989" i="11"/>
  <c r="B989" i="11"/>
  <c r="A989" i="11"/>
  <c r="N988" i="11"/>
  <c r="L988" i="11"/>
  <c r="K988" i="11"/>
  <c r="J988" i="11"/>
  <c r="I988" i="11"/>
  <c r="Q988" i="11" s="1"/>
  <c r="G988" i="11"/>
  <c r="F988" i="11"/>
  <c r="E988" i="11"/>
  <c r="D988" i="11"/>
  <c r="C988" i="11"/>
  <c r="B988" i="11"/>
  <c r="A988" i="11"/>
  <c r="N987" i="11"/>
  <c r="L987" i="11"/>
  <c r="K987" i="11"/>
  <c r="J987" i="11"/>
  <c r="I987" i="11"/>
  <c r="G987" i="11"/>
  <c r="F987" i="11"/>
  <c r="E987" i="11"/>
  <c r="D987" i="11"/>
  <c r="C987" i="11"/>
  <c r="B987" i="11"/>
  <c r="A987" i="11"/>
  <c r="N986" i="11"/>
  <c r="L986" i="11"/>
  <c r="K986" i="11"/>
  <c r="J986" i="11"/>
  <c r="I986" i="11"/>
  <c r="G986" i="11"/>
  <c r="F986" i="11"/>
  <c r="E986" i="11"/>
  <c r="D986" i="11"/>
  <c r="C986" i="11"/>
  <c r="B986" i="11"/>
  <c r="A986" i="11"/>
  <c r="O985" i="11"/>
  <c r="N985" i="11"/>
  <c r="L985" i="11"/>
  <c r="K985" i="11"/>
  <c r="J985" i="11"/>
  <c r="I985" i="11"/>
  <c r="G985" i="11"/>
  <c r="F985" i="11"/>
  <c r="E985" i="11"/>
  <c r="D985" i="11"/>
  <c r="C985" i="11"/>
  <c r="B985" i="11"/>
  <c r="A985" i="11"/>
  <c r="N984" i="11"/>
  <c r="L984" i="11"/>
  <c r="K984" i="11"/>
  <c r="J984" i="11"/>
  <c r="I984" i="11"/>
  <c r="G984" i="11"/>
  <c r="F984" i="11"/>
  <c r="E984" i="11"/>
  <c r="D984" i="11"/>
  <c r="C984" i="11"/>
  <c r="B984" i="11"/>
  <c r="A984" i="11"/>
  <c r="O983" i="11"/>
  <c r="N983" i="11"/>
  <c r="L983" i="11"/>
  <c r="K983" i="11"/>
  <c r="J983" i="11"/>
  <c r="I983" i="11"/>
  <c r="G983" i="11"/>
  <c r="F983" i="11"/>
  <c r="E983" i="11"/>
  <c r="D983" i="11"/>
  <c r="C983" i="11"/>
  <c r="B983" i="11"/>
  <c r="A983" i="11"/>
  <c r="O982" i="11"/>
  <c r="N982" i="11"/>
  <c r="L982" i="11"/>
  <c r="K982" i="11"/>
  <c r="J982" i="11"/>
  <c r="I982" i="11"/>
  <c r="G982" i="11"/>
  <c r="F982" i="11"/>
  <c r="E982" i="11"/>
  <c r="D982" i="11"/>
  <c r="C982" i="11"/>
  <c r="B982" i="11"/>
  <c r="A982" i="11"/>
  <c r="O981" i="11"/>
  <c r="N981" i="11"/>
  <c r="L981" i="11"/>
  <c r="K981" i="11"/>
  <c r="J981" i="11"/>
  <c r="I981" i="11"/>
  <c r="G981" i="11"/>
  <c r="F981" i="11"/>
  <c r="E981" i="11"/>
  <c r="D981" i="11"/>
  <c r="C981" i="11"/>
  <c r="B981" i="11"/>
  <c r="A981" i="11"/>
  <c r="N980" i="11"/>
  <c r="L980" i="11"/>
  <c r="K980" i="11"/>
  <c r="J980" i="11"/>
  <c r="I980" i="11"/>
  <c r="G980" i="11"/>
  <c r="F980" i="11"/>
  <c r="E980" i="11"/>
  <c r="D980" i="11"/>
  <c r="C980" i="11"/>
  <c r="B980" i="11"/>
  <c r="A980" i="11"/>
  <c r="O979" i="11"/>
  <c r="N979" i="11"/>
  <c r="L979" i="11"/>
  <c r="K979" i="11"/>
  <c r="J979" i="11"/>
  <c r="I979" i="11"/>
  <c r="G979" i="11"/>
  <c r="F979" i="11"/>
  <c r="E979" i="11"/>
  <c r="D979" i="11"/>
  <c r="C979" i="11"/>
  <c r="B979" i="11"/>
  <c r="A979" i="11"/>
  <c r="N978" i="11"/>
  <c r="L978" i="11"/>
  <c r="K978" i="11"/>
  <c r="J978" i="11"/>
  <c r="I978" i="11"/>
  <c r="G978" i="11"/>
  <c r="F978" i="11"/>
  <c r="E978" i="11"/>
  <c r="D978" i="11"/>
  <c r="C978" i="11"/>
  <c r="B978" i="11"/>
  <c r="A978" i="11"/>
  <c r="N977" i="11"/>
  <c r="L977" i="11"/>
  <c r="K977" i="11"/>
  <c r="J977" i="11"/>
  <c r="I977" i="11"/>
  <c r="G977" i="11"/>
  <c r="F977" i="11"/>
  <c r="E977" i="11"/>
  <c r="D977" i="11"/>
  <c r="C977" i="11"/>
  <c r="B977" i="11"/>
  <c r="A977" i="11"/>
  <c r="O976" i="11"/>
  <c r="N976" i="11"/>
  <c r="L976" i="11"/>
  <c r="K976" i="11"/>
  <c r="J976" i="11"/>
  <c r="I976" i="11"/>
  <c r="G976" i="11"/>
  <c r="F976" i="11"/>
  <c r="E976" i="11"/>
  <c r="D976" i="11"/>
  <c r="C976" i="11"/>
  <c r="B976" i="11"/>
  <c r="A976" i="11"/>
  <c r="N975" i="11"/>
  <c r="L975" i="11"/>
  <c r="K975" i="11"/>
  <c r="J975" i="11"/>
  <c r="I975" i="11"/>
  <c r="G975" i="11"/>
  <c r="F975" i="11"/>
  <c r="E975" i="11"/>
  <c r="D975" i="11"/>
  <c r="C975" i="11"/>
  <c r="B975" i="11"/>
  <c r="A975" i="11"/>
  <c r="O974" i="11"/>
  <c r="N974" i="11"/>
  <c r="L974" i="11"/>
  <c r="K974" i="11"/>
  <c r="J974" i="11"/>
  <c r="I974" i="11"/>
  <c r="G974" i="11"/>
  <c r="F974" i="11"/>
  <c r="E974" i="11"/>
  <c r="D974" i="11"/>
  <c r="C974" i="11"/>
  <c r="B974" i="11"/>
  <c r="A974" i="11"/>
  <c r="O973" i="11"/>
  <c r="N973" i="11"/>
  <c r="L973" i="11"/>
  <c r="K973" i="11"/>
  <c r="J973" i="11"/>
  <c r="I973" i="11"/>
  <c r="G973" i="11"/>
  <c r="F973" i="11"/>
  <c r="E973" i="11"/>
  <c r="D973" i="11"/>
  <c r="C973" i="11"/>
  <c r="B973" i="11"/>
  <c r="A973" i="11"/>
  <c r="N972" i="11"/>
  <c r="L972" i="11"/>
  <c r="K972" i="11"/>
  <c r="J972" i="11"/>
  <c r="I972" i="11"/>
  <c r="G972" i="11"/>
  <c r="F972" i="11"/>
  <c r="E972" i="11"/>
  <c r="D972" i="11"/>
  <c r="C972" i="11"/>
  <c r="B972" i="11"/>
  <c r="A972" i="11"/>
  <c r="O971" i="11"/>
  <c r="N971" i="11"/>
  <c r="L971" i="11"/>
  <c r="K971" i="11"/>
  <c r="J971" i="11"/>
  <c r="I971" i="11"/>
  <c r="G971" i="11"/>
  <c r="F971" i="11"/>
  <c r="E971" i="11"/>
  <c r="D971" i="11"/>
  <c r="C971" i="11"/>
  <c r="B971" i="11"/>
  <c r="A971" i="11"/>
  <c r="N970" i="11"/>
  <c r="L970" i="11"/>
  <c r="K970" i="11"/>
  <c r="J970" i="11"/>
  <c r="I970" i="11"/>
  <c r="G970" i="11"/>
  <c r="F970" i="11"/>
  <c r="E970" i="11"/>
  <c r="D970" i="11"/>
  <c r="C970" i="11"/>
  <c r="B970" i="11"/>
  <c r="A970" i="11"/>
  <c r="O969" i="11"/>
  <c r="N969" i="11"/>
  <c r="L969" i="11"/>
  <c r="K969" i="11"/>
  <c r="J969" i="11"/>
  <c r="I969" i="11"/>
  <c r="G969" i="11"/>
  <c r="F969" i="11"/>
  <c r="E969" i="11"/>
  <c r="D969" i="11"/>
  <c r="C969" i="11"/>
  <c r="B969" i="11"/>
  <c r="A969" i="11"/>
  <c r="N968" i="11"/>
  <c r="L968" i="11"/>
  <c r="K968" i="11"/>
  <c r="J968" i="11"/>
  <c r="I968" i="11"/>
  <c r="G968" i="11"/>
  <c r="F968" i="11"/>
  <c r="E968" i="11"/>
  <c r="D968" i="11"/>
  <c r="C968" i="11"/>
  <c r="B968" i="11"/>
  <c r="A968" i="11"/>
  <c r="O967" i="11"/>
  <c r="N967" i="11"/>
  <c r="L967" i="11"/>
  <c r="K967" i="11"/>
  <c r="J967" i="11"/>
  <c r="I967" i="11"/>
  <c r="G967" i="11"/>
  <c r="F967" i="11"/>
  <c r="E967" i="11"/>
  <c r="D967" i="11"/>
  <c r="C967" i="11"/>
  <c r="B967" i="11"/>
  <c r="A967" i="11"/>
  <c r="O966" i="11"/>
  <c r="N966" i="11"/>
  <c r="L966" i="11"/>
  <c r="K966" i="11"/>
  <c r="J966" i="11"/>
  <c r="I966" i="11"/>
  <c r="G966" i="11"/>
  <c r="F966" i="11"/>
  <c r="E966" i="11"/>
  <c r="D966" i="11"/>
  <c r="C966" i="11"/>
  <c r="B966" i="11"/>
  <c r="A966" i="11"/>
  <c r="N965" i="11"/>
  <c r="L965" i="11"/>
  <c r="K965" i="11"/>
  <c r="J965" i="11"/>
  <c r="I965" i="11"/>
  <c r="G965" i="11"/>
  <c r="F965" i="11"/>
  <c r="E965" i="11"/>
  <c r="D965" i="11"/>
  <c r="C965" i="11"/>
  <c r="B965" i="11"/>
  <c r="A965" i="11"/>
  <c r="N964" i="11"/>
  <c r="L964" i="11"/>
  <c r="K964" i="11"/>
  <c r="J964" i="11"/>
  <c r="I964" i="11"/>
  <c r="G964" i="11"/>
  <c r="F964" i="11"/>
  <c r="E964" i="11"/>
  <c r="D964" i="11"/>
  <c r="C964" i="11"/>
  <c r="B964" i="11"/>
  <c r="A964" i="11"/>
  <c r="O963" i="11"/>
  <c r="N963" i="11"/>
  <c r="L963" i="11"/>
  <c r="K963" i="11"/>
  <c r="J963" i="11"/>
  <c r="I963" i="11"/>
  <c r="G963" i="11"/>
  <c r="F963" i="11"/>
  <c r="E963" i="11"/>
  <c r="D963" i="11"/>
  <c r="C963" i="11"/>
  <c r="B963" i="11"/>
  <c r="A963" i="11"/>
  <c r="N962" i="11"/>
  <c r="L962" i="11"/>
  <c r="K962" i="11"/>
  <c r="J962" i="11"/>
  <c r="I962" i="11"/>
  <c r="G962" i="11"/>
  <c r="F962" i="11"/>
  <c r="E962" i="11"/>
  <c r="D962" i="11"/>
  <c r="C962" i="11"/>
  <c r="B962" i="11"/>
  <c r="A962" i="11"/>
  <c r="N961" i="11"/>
  <c r="L961" i="11"/>
  <c r="K961" i="11"/>
  <c r="J961" i="11"/>
  <c r="I961" i="11"/>
  <c r="G961" i="11"/>
  <c r="F961" i="11"/>
  <c r="E961" i="11"/>
  <c r="D961" i="11"/>
  <c r="C961" i="11"/>
  <c r="B961" i="11"/>
  <c r="A961" i="11"/>
  <c r="O960" i="11"/>
  <c r="N960" i="11"/>
  <c r="L960" i="11"/>
  <c r="K960" i="11"/>
  <c r="J960" i="11"/>
  <c r="I960" i="11"/>
  <c r="G960" i="11"/>
  <c r="F960" i="11"/>
  <c r="E960" i="11"/>
  <c r="D960" i="11"/>
  <c r="C960" i="11"/>
  <c r="B960" i="11"/>
  <c r="A960" i="11"/>
  <c r="O959" i="11"/>
  <c r="N959" i="11"/>
  <c r="L959" i="11"/>
  <c r="K959" i="11"/>
  <c r="J959" i="11"/>
  <c r="I959" i="11"/>
  <c r="G959" i="11"/>
  <c r="F959" i="11"/>
  <c r="E959" i="11"/>
  <c r="D959" i="11"/>
  <c r="C959" i="11"/>
  <c r="B959" i="11"/>
  <c r="A959" i="11"/>
  <c r="N958" i="11"/>
  <c r="L958" i="11"/>
  <c r="K958" i="11"/>
  <c r="J958" i="11"/>
  <c r="I958" i="11"/>
  <c r="G958" i="11"/>
  <c r="F958" i="11"/>
  <c r="E958" i="11"/>
  <c r="D958" i="11"/>
  <c r="C958" i="11"/>
  <c r="B958" i="11"/>
  <c r="A958" i="11"/>
  <c r="O957" i="11"/>
  <c r="N957" i="11"/>
  <c r="L957" i="11"/>
  <c r="K957" i="11"/>
  <c r="J957" i="11"/>
  <c r="I957" i="11"/>
  <c r="G957" i="11"/>
  <c r="F957" i="11"/>
  <c r="E957" i="11"/>
  <c r="D957" i="11"/>
  <c r="C957" i="11"/>
  <c r="B957" i="11"/>
  <c r="A957" i="11"/>
  <c r="N956" i="11"/>
  <c r="L956" i="11"/>
  <c r="K956" i="11"/>
  <c r="J956" i="11"/>
  <c r="I956" i="11"/>
  <c r="G956" i="11"/>
  <c r="F956" i="11"/>
  <c r="E956" i="11"/>
  <c r="D956" i="11"/>
  <c r="C956" i="11"/>
  <c r="B956" i="11"/>
  <c r="A956" i="11"/>
  <c r="N955" i="11"/>
  <c r="L955" i="11"/>
  <c r="K955" i="11"/>
  <c r="J955" i="11"/>
  <c r="I955" i="11"/>
  <c r="G955" i="11"/>
  <c r="F955" i="11"/>
  <c r="E955" i="11"/>
  <c r="D955" i="11"/>
  <c r="C955" i="11"/>
  <c r="B955" i="11"/>
  <c r="A955" i="11"/>
  <c r="O954" i="11"/>
  <c r="N954" i="11"/>
  <c r="L954" i="11"/>
  <c r="K954" i="11"/>
  <c r="J954" i="11"/>
  <c r="I954" i="11"/>
  <c r="G954" i="11"/>
  <c r="F954" i="11"/>
  <c r="E954" i="11"/>
  <c r="D954" i="11"/>
  <c r="C954" i="11"/>
  <c r="B954" i="11"/>
  <c r="A954" i="11"/>
  <c r="O953" i="11"/>
  <c r="N953" i="11"/>
  <c r="L953" i="11"/>
  <c r="K953" i="11"/>
  <c r="J953" i="11"/>
  <c r="I953" i="11"/>
  <c r="G953" i="11"/>
  <c r="F953" i="11"/>
  <c r="E953" i="11"/>
  <c r="D953" i="11"/>
  <c r="C953" i="11"/>
  <c r="B953" i="11"/>
  <c r="A953" i="11"/>
  <c r="N952" i="11"/>
  <c r="L952" i="11"/>
  <c r="K952" i="11"/>
  <c r="J952" i="11"/>
  <c r="I952" i="11"/>
  <c r="G952" i="11"/>
  <c r="F952" i="11"/>
  <c r="E952" i="11"/>
  <c r="D952" i="11"/>
  <c r="C952" i="11"/>
  <c r="B952" i="11"/>
  <c r="A952" i="11"/>
  <c r="N951" i="11"/>
  <c r="L951" i="11"/>
  <c r="K951" i="11"/>
  <c r="J951" i="11"/>
  <c r="I951" i="11"/>
  <c r="G951" i="11"/>
  <c r="F951" i="11"/>
  <c r="E951" i="11"/>
  <c r="D951" i="11"/>
  <c r="C951" i="11"/>
  <c r="B951" i="11"/>
  <c r="A951" i="11"/>
  <c r="N950" i="11"/>
  <c r="L950" i="11"/>
  <c r="K950" i="11"/>
  <c r="J950" i="11"/>
  <c r="I950" i="11"/>
  <c r="Q950" i="11" s="1"/>
  <c r="G950" i="11"/>
  <c r="F950" i="11"/>
  <c r="E950" i="11"/>
  <c r="D950" i="11"/>
  <c r="C950" i="11"/>
  <c r="B950" i="11"/>
  <c r="A950" i="11"/>
  <c r="O949" i="11"/>
  <c r="N949" i="11"/>
  <c r="L949" i="11"/>
  <c r="K949" i="11"/>
  <c r="J949" i="11"/>
  <c r="I949" i="11"/>
  <c r="G949" i="11"/>
  <c r="F949" i="11"/>
  <c r="E949" i="11"/>
  <c r="D949" i="11"/>
  <c r="C949" i="11"/>
  <c r="B949" i="11"/>
  <c r="A949" i="11"/>
  <c r="N948" i="11"/>
  <c r="L948" i="11"/>
  <c r="K948" i="11"/>
  <c r="J948" i="11"/>
  <c r="I948" i="11"/>
  <c r="G948" i="11"/>
  <c r="F948" i="11"/>
  <c r="E948" i="11"/>
  <c r="D948" i="11"/>
  <c r="C948" i="11"/>
  <c r="B948" i="11"/>
  <c r="A948" i="11"/>
  <c r="N947" i="11"/>
  <c r="L947" i="11"/>
  <c r="K947" i="11"/>
  <c r="J947" i="11"/>
  <c r="I947" i="11"/>
  <c r="G947" i="11"/>
  <c r="F947" i="11"/>
  <c r="E947" i="11"/>
  <c r="D947" i="11"/>
  <c r="C947" i="11"/>
  <c r="B947" i="11"/>
  <c r="A947" i="11"/>
  <c r="N946" i="11"/>
  <c r="L946" i="11"/>
  <c r="K946" i="11"/>
  <c r="J946" i="11"/>
  <c r="I946" i="11"/>
  <c r="G946" i="11"/>
  <c r="F946" i="11"/>
  <c r="E946" i="11"/>
  <c r="D946" i="11"/>
  <c r="C946" i="11"/>
  <c r="B946" i="11"/>
  <c r="A946" i="11"/>
  <c r="N945" i="11"/>
  <c r="L945" i="11"/>
  <c r="K945" i="11"/>
  <c r="J945" i="11"/>
  <c r="I945" i="11"/>
  <c r="Q945" i="11" s="1"/>
  <c r="G945" i="11"/>
  <c r="F945" i="11"/>
  <c r="E945" i="11"/>
  <c r="D945" i="11"/>
  <c r="C945" i="11"/>
  <c r="B945" i="11"/>
  <c r="A945" i="11"/>
  <c r="N944" i="11"/>
  <c r="L944" i="11"/>
  <c r="K944" i="11"/>
  <c r="J944" i="11"/>
  <c r="I944" i="11"/>
  <c r="G944" i="11"/>
  <c r="F944" i="11"/>
  <c r="E944" i="11"/>
  <c r="D944" i="11"/>
  <c r="C944" i="11"/>
  <c r="B944" i="11"/>
  <c r="A944" i="11"/>
  <c r="N943" i="11"/>
  <c r="L943" i="11"/>
  <c r="K943" i="11"/>
  <c r="J943" i="11"/>
  <c r="I943" i="11"/>
  <c r="G943" i="11"/>
  <c r="F943" i="11"/>
  <c r="E943" i="11"/>
  <c r="D943" i="11"/>
  <c r="C943" i="11"/>
  <c r="B943" i="11"/>
  <c r="A943" i="11"/>
  <c r="N942" i="11"/>
  <c r="L942" i="11"/>
  <c r="K942" i="11"/>
  <c r="J942" i="11"/>
  <c r="I942" i="11"/>
  <c r="Q942" i="11" s="1"/>
  <c r="G942" i="11"/>
  <c r="F942" i="11"/>
  <c r="E942" i="11"/>
  <c r="D942" i="11"/>
  <c r="C942" i="11"/>
  <c r="B942" i="11"/>
  <c r="A942" i="11"/>
  <c r="O941" i="11"/>
  <c r="N941" i="11"/>
  <c r="L941" i="11"/>
  <c r="K941" i="11"/>
  <c r="J941" i="11"/>
  <c r="I941" i="11"/>
  <c r="G941" i="11"/>
  <c r="F941" i="11"/>
  <c r="E941" i="11"/>
  <c r="D941" i="11"/>
  <c r="C941" i="11"/>
  <c r="B941" i="11"/>
  <c r="A941" i="11"/>
  <c r="N940" i="11"/>
  <c r="L940" i="11"/>
  <c r="K940" i="11"/>
  <c r="J940" i="11"/>
  <c r="I940" i="11"/>
  <c r="G940" i="11"/>
  <c r="F940" i="11"/>
  <c r="E940" i="11"/>
  <c r="D940" i="11"/>
  <c r="C940" i="11"/>
  <c r="B940" i="11"/>
  <c r="A940" i="11"/>
  <c r="N939" i="11"/>
  <c r="L939" i="11"/>
  <c r="K939" i="11"/>
  <c r="J939" i="11"/>
  <c r="I939" i="11"/>
  <c r="G939" i="11"/>
  <c r="F939" i="11"/>
  <c r="E939" i="11"/>
  <c r="D939" i="11"/>
  <c r="C939" i="11"/>
  <c r="B939" i="11"/>
  <c r="A939" i="11"/>
  <c r="N938" i="11"/>
  <c r="L938" i="11"/>
  <c r="K938" i="11"/>
  <c r="J938" i="11"/>
  <c r="I938" i="11"/>
  <c r="G938" i="11"/>
  <c r="F938" i="11"/>
  <c r="E938" i="11"/>
  <c r="D938" i="11"/>
  <c r="C938" i="11"/>
  <c r="B938" i="11"/>
  <c r="A938" i="11"/>
  <c r="N937" i="11"/>
  <c r="L937" i="11"/>
  <c r="K937" i="11"/>
  <c r="J937" i="11"/>
  <c r="I937" i="11"/>
  <c r="G937" i="11"/>
  <c r="F937" i="11"/>
  <c r="E937" i="11"/>
  <c r="D937" i="11"/>
  <c r="C937" i="11"/>
  <c r="B937" i="11"/>
  <c r="A937" i="11"/>
  <c r="N936" i="11"/>
  <c r="L936" i="11"/>
  <c r="K936" i="11"/>
  <c r="J936" i="11"/>
  <c r="I936" i="11"/>
  <c r="Q936" i="11" s="1"/>
  <c r="G936" i="11"/>
  <c r="F936" i="11"/>
  <c r="E936" i="11"/>
  <c r="D936" i="11"/>
  <c r="C936" i="11"/>
  <c r="B936" i="11"/>
  <c r="A936" i="11"/>
  <c r="O935" i="11"/>
  <c r="N935" i="11"/>
  <c r="L935" i="11"/>
  <c r="K935" i="11"/>
  <c r="J935" i="11"/>
  <c r="I935" i="11"/>
  <c r="G935" i="11"/>
  <c r="F935" i="11"/>
  <c r="E935" i="11"/>
  <c r="D935" i="11"/>
  <c r="C935" i="11"/>
  <c r="B935" i="11"/>
  <c r="A935" i="11"/>
  <c r="N934" i="11"/>
  <c r="L934" i="11"/>
  <c r="K934" i="11"/>
  <c r="J934" i="11"/>
  <c r="I934" i="11"/>
  <c r="Q934" i="11" s="1"/>
  <c r="G934" i="11"/>
  <c r="F934" i="11"/>
  <c r="E934" i="11"/>
  <c r="D934" i="11"/>
  <c r="C934" i="11"/>
  <c r="B934" i="11"/>
  <c r="A934" i="11"/>
  <c r="O933" i="11"/>
  <c r="N933" i="11"/>
  <c r="L933" i="11"/>
  <c r="K933" i="11"/>
  <c r="J933" i="11"/>
  <c r="I933" i="11"/>
  <c r="G933" i="11"/>
  <c r="F933" i="11"/>
  <c r="E933" i="11"/>
  <c r="D933" i="11"/>
  <c r="C933" i="11"/>
  <c r="B933" i="11"/>
  <c r="A933" i="11"/>
  <c r="N932" i="11"/>
  <c r="L932" i="11"/>
  <c r="K932" i="11"/>
  <c r="J932" i="11"/>
  <c r="I932" i="11"/>
  <c r="G932" i="11"/>
  <c r="F932" i="11"/>
  <c r="E932" i="11"/>
  <c r="D932" i="11"/>
  <c r="C932" i="11"/>
  <c r="B932" i="11"/>
  <c r="A932" i="11"/>
  <c r="N931" i="11"/>
  <c r="L931" i="11"/>
  <c r="K931" i="11"/>
  <c r="J931" i="11"/>
  <c r="I931" i="11"/>
  <c r="G931" i="11"/>
  <c r="F931" i="11"/>
  <c r="E931" i="11"/>
  <c r="D931" i="11"/>
  <c r="C931" i="11"/>
  <c r="B931" i="11"/>
  <c r="A931" i="11"/>
  <c r="N930" i="11"/>
  <c r="L930" i="11"/>
  <c r="K930" i="11"/>
  <c r="J930" i="11"/>
  <c r="I930" i="11"/>
  <c r="G930" i="11"/>
  <c r="F930" i="11"/>
  <c r="E930" i="11"/>
  <c r="D930" i="11"/>
  <c r="C930" i="11"/>
  <c r="B930" i="11"/>
  <c r="A930" i="11"/>
  <c r="N929" i="11"/>
  <c r="L929" i="11"/>
  <c r="K929" i="11"/>
  <c r="J929" i="11"/>
  <c r="I929" i="11"/>
  <c r="G929" i="11"/>
  <c r="F929" i="11"/>
  <c r="E929" i="11"/>
  <c r="D929" i="11"/>
  <c r="C929" i="11"/>
  <c r="B929" i="11"/>
  <c r="A929" i="11"/>
  <c r="O928" i="11"/>
  <c r="N928" i="11"/>
  <c r="L928" i="11"/>
  <c r="K928" i="11"/>
  <c r="J928" i="11"/>
  <c r="I928" i="11"/>
  <c r="G928" i="11"/>
  <c r="F928" i="11"/>
  <c r="E928" i="11"/>
  <c r="D928" i="11"/>
  <c r="C928" i="11"/>
  <c r="B928" i="11"/>
  <c r="A928" i="11"/>
  <c r="N927" i="11"/>
  <c r="L927" i="11"/>
  <c r="K927" i="11"/>
  <c r="J927" i="11"/>
  <c r="I927" i="11"/>
  <c r="Q927" i="11" s="1"/>
  <c r="G927" i="11"/>
  <c r="F927" i="11"/>
  <c r="E927" i="11"/>
  <c r="D927" i="11"/>
  <c r="C927" i="11"/>
  <c r="B927" i="11"/>
  <c r="A927" i="11"/>
  <c r="N926" i="11"/>
  <c r="L926" i="11"/>
  <c r="K926" i="11"/>
  <c r="J926" i="11"/>
  <c r="I926" i="11"/>
  <c r="G926" i="11"/>
  <c r="F926" i="11"/>
  <c r="E926" i="11"/>
  <c r="D926" i="11"/>
  <c r="C926" i="11"/>
  <c r="B926" i="11"/>
  <c r="A926" i="11"/>
  <c r="N925" i="11"/>
  <c r="L925" i="11"/>
  <c r="K925" i="11"/>
  <c r="J925" i="11"/>
  <c r="I925" i="11"/>
  <c r="G925" i="11"/>
  <c r="F925" i="11"/>
  <c r="E925" i="11"/>
  <c r="D925" i="11"/>
  <c r="C925" i="11"/>
  <c r="B925" i="11"/>
  <c r="A925" i="11"/>
  <c r="N924" i="11"/>
  <c r="L924" i="11"/>
  <c r="K924" i="11"/>
  <c r="J924" i="11"/>
  <c r="I924" i="11"/>
  <c r="G924" i="11"/>
  <c r="F924" i="11"/>
  <c r="E924" i="11"/>
  <c r="D924" i="11"/>
  <c r="C924" i="11"/>
  <c r="B924" i="11"/>
  <c r="A924" i="11"/>
  <c r="N923" i="11"/>
  <c r="L923" i="11"/>
  <c r="K923" i="11"/>
  <c r="J923" i="11"/>
  <c r="I923" i="11"/>
  <c r="G923" i="11"/>
  <c r="F923" i="11"/>
  <c r="E923" i="11"/>
  <c r="D923" i="11"/>
  <c r="C923" i="11"/>
  <c r="B923" i="11"/>
  <c r="A923" i="11"/>
  <c r="N922" i="11"/>
  <c r="L922" i="11"/>
  <c r="K922" i="11"/>
  <c r="J922" i="11"/>
  <c r="I922" i="11"/>
  <c r="G922" i="11"/>
  <c r="F922" i="11"/>
  <c r="E922" i="11"/>
  <c r="D922" i="11"/>
  <c r="C922" i="11"/>
  <c r="B922" i="11"/>
  <c r="A922" i="11"/>
  <c r="N921" i="11"/>
  <c r="L921" i="11"/>
  <c r="K921" i="11"/>
  <c r="J921" i="11"/>
  <c r="I921" i="11"/>
  <c r="G921" i="11"/>
  <c r="F921" i="11"/>
  <c r="E921" i="11"/>
  <c r="D921" i="11"/>
  <c r="C921" i="11"/>
  <c r="B921" i="11"/>
  <c r="A921" i="11"/>
  <c r="N920" i="11"/>
  <c r="L920" i="11"/>
  <c r="K920" i="11"/>
  <c r="J920" i="11"/>
  <c r="I920" i="11"/>
  <c r="Q920" i="11" s="1"/>
  <c r="G920" i="11"/>
  <c r="F920" i="11"/>
  <c r="E920" i="11"/>
  <c r="D920" i="11"/>
  <c r="C920" i="11"/>
  <c r="B920" i="11"/>
  <c r="A920" i="11"/>
  <c r="O919" i="11"/>
  <c r="N919" i="11"/>
  <c r="L919" i="11"/>
  <c r="K919" i="11"/>
  <c r="J919" i="11"/>
  <c r="I919" i="11"/>
  <c r="G919" i="11"/>
  <c r="F919" i="11"/>
  <c r="E919" i="11"/>
  <c r="D919" i="11"/>
  <c r="C919" i="11"/>
  <c r="B919" i="11"/>
  <c r="A919" i="11"/>
  <c r="N918" i="11"/>
  <c r="L918" i="11"/>
  <c r="K918" i="11"/>
  <c r="J918" i="11"/>
  <c r="I918" i="11"/>
  <c r="G918" i="11"/>
  <c r="F918" i="11"/>
  <c r="E918" i="11"/>
  <c r="D918" i="11"/>
  <c r="C918" i="11"/>
  <c r="B918" i="11"/>
  <c r="A918" i="11"/>
  <c r="N917" i="11"/>
  <c r="L917" i="11"/>
  <c r="K917" i="11"/>
  <c r="J917" i="11"/>
  <c r="I917" i="11"/>
  <c r="G917" i="11"/>
  <c r="F917" i="11"/>
  <c r="E917" i="11"/>
  <c r="D917" i="11"/>
  <c r="C917" i="11"/>
  <c r="B917" i="11"/>
  <c r="A917" i="11"/>
  <c r="N916" i="11"/>
  <c r="L916" i="11"/>
  <c r="K916" i="11"/>
  <c r="J916" i="11"/>
  <c r="I916" i="11"/>
  <c r="Q916" i="11" s="1"/>
  <c r="G916" i="11"/>
  <c r="F916" i="11"/>
  <c r="E916" i="11"/>
  <c r="D916" i="11"/>
  <c r="C916" i="11"/>
  <c r="B916" i="11"/>
  <c r="A916" i="11"/>
  <c r="O915" i="11"/>
  <c r="N915" i="11"/>
  <c r="L915" i="11"/>
  <c r="K915" i="11"/>
  <c r="J915" i="11"/>
  <c r="I915" i="11"/>
  <c r="G915" i="11"/>
  <c r="F915" i="11"/>
  <c r="E915" i="11"/>
  <c r="D915" i="11"/>
  <c r="C915" i="11"/>
  <c r="B915" i="11"/>
  <c r="A915" i="11"/>
  <c r="N914" i="11"/>
  <c r="L914" i="11"/>
  <c r="K914" i="11"/>
  <c r="J914" i="11"/>
  <c r="I914" i="11"/>
  <c r="G914" i="11"/>
  <c r="F914" i="11"/>
  <c r="E914" i="11"/>
  <c r="D914" i="11"/>
  <c r="C914" i="11"/>
  <c r="B914" i="11"/>
  <c r="A914" i="11"/>
  <c r="N913" i="11"/>
  <c r="L913" i="11"/>
  <c r="K913" i="11"/>
  <c r="J913" i="11"/>
  <c r="I913" i="11"/>
  <c r="G913" i="11"/>
  <c r="F913" i="11"/>
  <c r="E913" i="11"/>
  <c r="D913" i="11"/>
  <c r="C913" i="11"/>
  <c r="B913" i="11"/>
  <c r="A913" i="11"/>
  <c r="N912" i="11"/>
  <c r="L912" i="11"/>
  <c r="K912" i="11"/>
  <c r="J912" i="11"/>
  <c r="I912" i="11"/>
  <c r="G912" i="11"/>
  <c r="F912" i="11"/>
  <c r="E912" i="11"/>
  <c r="D912" i="11"/>
  <c r="C912" i="11"/>
  <c r="B912" i="11"/>
  <c r="A912" i="11"/>
  <c r="N911" i="11"/>
  <c r="L911" i="11"/>
  <c r="K911" i="11"/>
  <c r="J911" i="11"/>
  <c r="I911" i="11"/>
  <c r="Q911" i="11" s="1"/>
  <c r="G911" i="11"/>
  <c r="F911" i="11"/>
  <c r="E911" i="11"/>
  <c r="D911" i="11"/>
  <c r="C911" i="11"/>
  <c r="B911" i="11"/>
  <c r="A911" i="11"/>
  <c r="O910" i="11"/>
  <c r="N910" i="11"/>
  <c r="L910" i="11"/>
  <c r="K910" i="11"/>
  <c r="J910" i="11"/>
  <c r="I910" i="11"/>
  <c r="G910" i="11"/>
  <c r="F910" i="11"/>
  <c r="E910" i="11"/>
  <c r="D910" i="11"/>
  <c r="C910" i="11"/>
  <c r="B910" i="11"/>
  <c r="A910" i="11"/>
  <c r="N909" i="11"/>
  <c r="L909" i="11"/>
  <c r="K909" i="11"/>
  <c r="J909" i="11"/>
  <c r="I909" i="11"/>
  <c r="G909" i="11"/>
  <c r="F909" i="11"/>
  <c r="E909" i="11"/>
  <c r="D909" i="11"/>
  <c r="C909" i="11"/>
  <c r="B909" i="11"/>
  <c r="A909" i="11"/>
  <c r="N908" i="11"/>
  <c r="L908" i="11"/>
  <c r="K908" i="11"/>
  <c r="J908" i="11"/>
  <c r="I908" i="11"/>
  <c r="G908" i="11"/>
  <c r="F908" i="11"/>
  <c r="E908" i="11"/>
  <c r="D908" i="11"/>
  <c r="C908" i="11"/>
  <c r="B908" i="11"/>
  <c r="A908" i="11"/>
  <c r="N907" i="11"/>
  <c r="L907" i="11"/>
  <c r="K907" i="11"/>
  <c r="J907" i="11"/>
  <c r="I907" i="11"/>
  <c r="G907" i="11"/>
  <c r="F907" i="11"/>
  <c r="E907" i="11"/>
  <c r="D907" i="11"/>
  <c r="C907" i="11"/>
  <c r="B907" i="11"/>
  <c r="A907" i="11"/>
  <c r="N906" i="11"/>
  <c r="L906" i="11"/>
  <c r="K906" i="11"/>
  <c r="J906" i="11"/>
  <c r="I906" i="11"/>
  <c r="G906" i="11"/>
  <c r="F906" i="11"/>
  <c r="E906" i="11"/>
  <c r="D906" i="11"/>
  <c r="C906" i="11"/>
  <c r="B906" i="11"/>
  <c r="A906" i="11"/>
  <c r="N905" i="11"/>
  <c r="L905" i="11"/>
  <c r="K905" i="11"/>
  <c r="J905" i="11"/>
  <c r="I905" i="11"/>
  <c r="G905" i="11"/>
  <c r="F905" i="11"/>
  <c r="E905" i="11"/>
  <c r="D905" i="11"/>
  <c r="C905" i="11"/>
  <c r="B905" i="11"/>
  <c r="A905" i="11"/>
  <c r="N904" i="11"/>
  <c r="L904" i="11"/>
  <c r="K904" i="11"/>
  <c r="J904" i="11"/>
  <c r="I904" i="11"/>
  <c r="G904" i="11"/>
  <c r="F904" i="11"/>
  <c r="E904" i="11"/>
  <c r="D904" i="11"/>
  <c r="C904" i="11"/>
  <c r="B904" i="11"/>
  <c r="A904" i="11"/>
  <c r="N903" i="11"/>
  <c r="L903" i="11"/>
  <c r="K903" i="11"/>
  <c r="J903" i="11"/>
  <c r="I903" i="11"/>
  <c r="G903" i="11"/>
  <c r="F903" i="11"/>
  <c r="E903" i="11"/>
  <c r="D903" i="11"/>
  <c r="C903" i="11"/>
  <c r="B903" i="11"/>
  <c r="A903" i="11"/>
  <c r="N902" i="11"/>
  <c r="L902" i="11"/>
  <c r="K902" i="11"/>
  <c r="J902" i="11"/>
  <c r="I902" i="11"/>
  <c r="G902" i="11"/>
  <c r="F902" i="11"/>
  <c r="E902" i="11"/>
  <c r="D902" i="11"/>
  <c r="C902" i="11"/>
  <c r="B902" i="11"/>
  <c r="A902" i="11"/>
  <c r="N901" i="11"/>
  <c r="L901" i="11"/>
  <c r="K901" i="11"/>
  <c r="J901" i="11"/>
  <c r="I901" i="11"/>
  <c r="G901" i="11"/>
  <c r="F901" i="11"/>
  <c r="E901" i="11"/>
  <c r="D901" i="11"/>
  <c r="C901" i="11"/>
  <c r="B901" i="11"/>
  <c r="A901" i="11"/>
  <c r="N900" i="11"/>
  <c r="L900" i="11"/>
  <c r="K900" i="11"/>
  <c r="J900" i="11"/>
  <c r="I900" i="11"/>
  <c r="G900" i="11"/>
  <c r="F900" i="11"/>
  <c r="E900" i="11"/>
  <c r="D900" i="11"/>
  <c r="C900" i="11"/>
  <c r="B900" i="11"/>
  <c r="A900" i="11"/>
  <c r="N899" i="11"/>
  <c r="L899" i="11"/>
  <c r="K899" i="11"/>
  <c r="J899" i="11"/>
  <c r="I899" i="11"/>
  <c r="G899" i="11"/>
  <c r="F899" i="11"/>
  <c r="E899" i="11"/>
  <c r="D899" i="11"/>
  <c r="C899" i="11"/>
  <c r="B899" i="11"/>
  <c r="A899" i="11"/>
  <c r="N898" i="11"/>
  <c r="L898" i="11"/>
  <c r="K898" i="11"/>
  <c r="J898" i="11"/>
  <c r="I898" i="11"/>
  <c r="G898" i="11"/>
  <c r="F898" i="11"/>
  <c r="E898" i="11"/>
  <c r="D898" i="11"/>
  <c r="C898" i="11"/>
  <c r="B898" i="11"/>
  <c r="A898" i="11"/>
  <c r="N897" i="11"/>
  <c r="L897" i="11"/>
  <c r="K897" i="11"/>
  <c r="J897" i="11"/>
  <c r="I897" i="11"/>
  <c r="G897" i="11"/>
  <c r="F897" i="11"/>
  <c r="E897" i="11"/>
  <c r="D897" i="11"/>
  <c r="C897" i="11"/>
  <c r="B897" i="11"/>
  <c r="A897" i="11"/>
  <c r="N896" i="11"/>
  <c r="L896" i="11"/>
  <c r="K896" i="11"/>
  <c r="J896" i="11"/>
  <c r="I896" i="11"/>
  <c r="Q896" i="11" s="1"/>
  <c r="G896" i="11"/>
  <c r="F896" i="11"/>
  <c r="E896" i="11"/>
  <c r="D896" i="11"/>
  <c r="C896" i="11"/>
  <c r="B896" i="11"/>
  <c r="A896" i="11"/>
  <c r="N895" i="11"/>
  <c r="L895" i="11"/>
  <c r="K895" i="11"/>
  <c r="J895" i="11"/>
  <c r="I895" i="11"/>
  <c r="G895" i="11"/>
  <c r="F895" i="11"/>
  <c r="E895" i="11"/>
  <c r="D895" i="11"/>
  <c r="C895" i="11"/>
  <c r="B895" i="11"/>
  <c r="A895" i="11"/>
  <c r="N894" i="11"/>
  <c r="L894" i="11"/>
  <c r="K894" i="11"/>
  <c r="J894" i="11"/>
  <c r="I894" i="11"/>
  <c r="G894" i="11"/>
  <c r="F894" i="11"/>
  <c r="E894" i="11"/>
  <c r="D894" i="11"/>
  <c r="C894" i="11"/>
  <c r="B894" i="11"/>
  <c r="A894" i="11"/>
  <c r="N893" i="11"/>
  <c r="L893" i="11"/>
  <c r="K893" i="11"/>
  <c r="J893" i="11"/>
  <c r="I893" i="11"/>
  <c r="Q893" i="11" s="1"/>
  <c r="G893" i="11"/>
  <c r="F893" i="11"/>
  <c r="E893" i="11"/>
  <c r="D893" i="11"/>
  <c r="C893" i="11"/>
  <c r="B893" i="11"/>
  <c r="A893" i="11"/>
  <c r="O892" i="11"/>
  <c r="N892" i="11"/>
  <c r="L892" i="11"/>
  <c r="K892" i="11"/>
  <c r="J892" i="11"/>
  <c r="I892" i="11"/>
  <c r="G892" i="11"/>
  <c r="F892" i="11"/>
  <c r="E892" i="11"/>
  <c r="D892" i="11"/>
  <c r="C892" i="11"/>
  <c r="B892" i="11"/>
  <c r="A892" i="11"/>
  <c r="N891" i="11"/>
  <c r="L891" i="11"/>
  <c r="K891" i="11"/>
  <c r="J891" i="11"/>
  <c r="I891" i="11"/>
  <c r="G891" i="11"/>
  <c r="F891" i="11"/>
  <c r="E891" i="11"/>
  <c r="D891" i="11"/>
  <c r="C891" i="11"/>
  <c r="B891" i="11"/>
  <c r="A891" i="11"/>
  <c r="N890" i="11"/>
  <c r="L890" i="11"/>
  <c r="K890" i="11"/>
  <c r="J890" i="11"/>
  <c r="I890" i="11"/>
  <c r="G890" i="11"/>
  <c r="F890" i="11"/>
  <c r="E890" i="11"/>
  <c r="D890" i="11"/>
  <c r="C890" i="11"/>
  <c r="B890" i="11"/>
  <c r="A890" i="11"/>
  <c r="N889" i="11"/>
  <c r="L889" i="11"/>
  <c r="K889" i="11"/>
  <c r="J889" i="11"/>
  <c r="I889" i="11"/>
  <c r="Q889" i="11" s="1"/>
  <c r="G889" i="11"/>
  <c r="F889" i="11"/>
  <c r="E889" i="11"/>
  <c r="D889" i="11"/>
  <c r="C889" i="11"/>
  <c r="B889" i="11"/>
  <c r="A889" i="11"/>
  <c r="O888" i="11"/>
  <c r="N888" i="11"/>
  <c r="L888" i="11"/>
  <c r="K888" i="11"/>
  <c r="J888" i="11"/>
  <c r="I888" i="11"/>
  <c r="G888" i="11"/>
  <c r="F888" i="11"/>
  <c r="E888" i="11"/>
  <c r="D888" i="11"/>
  <c r="C888" i="11"/>
  <c r="B888" i="11"/>
  <c r="A888" i="11"/>
  <c r="N887" i="11"/>
  <c r="L887" i="11"/>
  <c r="K887" i="11"/>
  <c r="J887" i="11"/>
  <c r="I887" i="11"/>
  <c r="G887" i="11"/>
  <c r="F887" i="11"/>
  <c r="E887" i="11"/>
  <c r="D887" i="11"/>
  <c r="C887" i="11"/>
  <c r="B887" i="11"/>
  <c r="A887" i="11"/>
  <c r="N886" i="11"/>
  <c r="L886" i="11"/>
  <c r="K886" i="11"/>
  <c r="J886" i="11"/>
  <c r="I886" i="11"/>
  <c r="G886" i="11"/>
  <c r="F886" i="11"/>
  <c r="E886" i="11"/>
  <c r="D886" i="11"/>
  <c r="C886" i="11"/>
  <c r="B886" i="11"/>
  <c r="A886" i="11"/>
  <c r="N885" i="11"/>
  <c r="L885" i="11"/>
  <c r="K885" i="11"/>
  <c r="J885" i="11"/>
  <c r="I885" i="11"/>
  <c r="G885" i="11"/>
  <c r="F885" i="11"/>
  <c r="E885" i="11"/>
  <c r="D885" i="11"/>
  <c r="C885" i="11"/>
  <c r="B885" i="11"/>
  <c r="A885" i="11"/>
  <c r="N884" i="11"/>
  <c r="L884" i="11"/>
  <c r="K884" i="11"/>
  <c r="J884" i="11"/>
  <c r="I884" i="11"/>
  <c r="G884" i="11"/>
  <c r="F884" i="11"/>
  <c r="E884" i="11"/>
  <c r="D884" i="11"/>
  <c r="C884" i="11"/>
  <c r="B884" i="11"/>
  <c r="A884" i="11"/>
  <c r="N883" i="11"/>
  <c r="L883" i="11"/>
  <c r="K883" i="11"/>
  <c r="J883" i="11"/>
  <c r="I883" i="11"/>
  <c r="G883" i="11"/>
  <c r="F883" i="11"/>
  <c r="E883" i="11"/>
  <c r="D883" i="11"/>
  <c r="C883" i="11"/>
  <c r="B883" i="11"/>
  <c r="A883" i="11"/>
  <c r="N882" i="11"/>
  <c r="L882" i="11"/>
  <c r="K882" i="11"/>
  <c r="J882" i="11"/>
  <c r="I882" i="11"/>
  <c r="G882" i="11"/>
  <c r="F882" i="11"/>
  <c r="E882" i="11"/>
  <c r="D882" i="11"/>
  <c r="C882" i="11"/>
  <c r="B882" i="11"/>
  <c r="A882" i="11"/>
  <c r="N881" i="11"/>
  <c r="L881" i="11"/>
  <c r="K881" i="11"/>
  <c r="J881" i="11"/>
  <c r="I881" i="11"/>
  <c r="G881" i="11"/>
  <c r="F881" i="11"/>
  <c r="E881" i="11"/>
  <c r="D881" i="11"/>
  <c r="C881" i="11"/>
  <c r="B881" i="11"/>
  <c r="A881" i="11"/>
  <c r="N880" i="11"/>
  <c r="L880" i="11"/>
  <c r="K880" i="11"/>
  <c r="J880" i="11"/>
  <c r="I880" i="11"/>
  <c r="G880" i="11"/>
  <c r="F880" i="11"/>
  <c r="E880" i="11"/>
  <c r="D880" i="11"/>
  <c r="C880" i="11"/>
  <c r="B880" i="11"/>
  <c r="A880" i="11"/>
  <c r="N879" i="11"/>
  <c r="L879" i="11"/>
  <c r="K879" i="11"/>
  <c r="J879" i="11"/>
  <c r="I879" i="11"/>
  <c r="G879" i="11"/>
  <c r="F879" i="11"/>
  <c r="E879" i="11"/>
  <c r="D879" i="11"/>
  <c r="C879" i="11"/>
  <c r="B879" i="11"/>
  <c r="A879" i="11"/>
  <c r="N878" i="11"/>
  <c r="L878" i="11"/>
  <c r="K878" i="11"/>
  <c r="J878" i="11"/>
  <c r="I878" i="11"/>
  <c r="G878" i="11"/>
  <c r="F878" i="11"/>
  <c r="E878" i="11"/>
  <c r="D878" i="11"/>
  <c r="C878" i="11"/>
  <c r="B878" i="11"/>
  <c r="A878" i="11"/>
  <c r="N877" i="11"/>
  <c r="L877" i="11"/>
  <c r="K877" i="11"/>
  <c r="J877" i="11"/>
  <c r="I877" i="11"/>
  <c r="G877" i="11"/>
  <c r="F877" i="11"/>
  <c r="E877" i="11"/>
  <c r="D877" i="11"/>
  <c r="C877" i="11"/>
  <c r="B877" i="11"/>
  <c r="A877" i="11"/>
  <c r="N876" i="11"/>
  <c r="L876" i="11"/>
  <c r="K876" i="11"/>
  <c r="J876" i="11"/>
  <c r="I876" i="11"/>
  <c r="G876" i="11"/>
  <c r="F876" i="11"/>
  <c r="E876" i="11"/>
  <c r="D876" i="11"/>
  <c r="C876" i="11"/>
  <c r="B876" i="11"/>
  <c r="A876" i="11"/>
  <c r="N875" i="11"/>
  <c r="L875" i="11"/>
  <c r="K875" i="11"/>
  <c r="J875" i="11"/>
  <c r="I875" i="11"/>
  <c r="G875" i="11"/>
  <c r="F875" i="11"/>
  <c r="E875" i="11"/>
  <c r="D875" i="11"/>
  <c r="C875" i="11"/>
  <c r="B875" i="11"/>
  <c r="A875" i="11"/>
  <c r="N874" i="11"/>
  <c r="L874" i="11"/>
  <c r="K874" i="11"/>
  <c r="J874" i="11"/>
  <c r="I874" i="11"/>
  <c r="G874" i="11"/>
  <c r="F874" i="11"/>
  <c r="E874" i="11"/>
  <c r="D874" i="11"/>
  <c r="C874" i="11"/>
  <c r="B874" i="11"/>
  <c r="A874" i="11"/>
  <c r="N873" i="11"/>
  <c r="L873" i="11"/>
  <c r="K873" i="11"/>
  <c r="J873" i="11"/>
  <c r="I873" i="11"/>
  <c r="G873" i="11"/>
  <c r="F873" i="11"/>
  <c r="E873" i="11"/>
  <c r="D873" i="11"/>
  <c r="C873" i="11"/>
  <c r="B873" i="11"/>
  <c r="A873" i="11"/>
  <c r="N872" i="11"/>
  <c r="L872" i="11"/>
  <c r="K872" i="11"/>
  <c r="J872" i="11"/>
  <c r="I872" i="11"/>
  <c r="G872" i="11"/>
  <c r="F872" i="11"/>
  <c r="E872" i="11"/>
  <c r="D872" i="11"/>
  <c r="C872" i="11"/>
  <c r="B872" i="11"/>
  <c r="A872" i="11"/>
  <c r="N871" i="11"/>
  <c r="L871" i="11"/>
  <c r="K871" i="11"/>
  <c r="J871" i="11"/>
  <c r="I871" i="11"/>
  <c r="G871" i="11"/>
  <c r="F871" i="11"/>
  <c r="E871" i="11"/>
  <c r="D871" i="11"/>
  <c r="C871" i="11"/>
  <c r="B871" i="11"/>
  <c r="A871" i="11"/>
  <c r="N870" i="11"/>
  <c r="L870" i="11"/>
  <c r="K870" i="11"/>
  <c r="J870" i="11"/>
  <c r="I870" i="11"/>
  <c r="G870" i="11"/>
  <c r="F870" i="11"/>
  <c r="E870" i="11"/>
  <c r="D870" i="11"/>
  <c r="C870" i="11"/>
  <c r="B870" i="11"/>
  <c r="A870" i="11"/>
  <c r="N869" i="11"/>
  <c r="L869" i="11"/>
  <c r="K869" i="11"/>
  <c r="J869" i="11"/>
  <c r="I869" i="11"/>
  <c r="G869" i="11"/>
  <c r="F869" i="11"/>
  <c r="E869" i="11"/>
  <c r="D869" i="11"/>
  <c r="C869" i="11"/>
  <c r="B869" i="11"/>
  <c r="A869" i="11"/>
  <c r="N868" i="11"/>
  <c r="L868" i="11"/>
  <c r="K868" i="11"/>
  <c r="J868" i="11"/>
  <c r="I868" i="11"/>
  <c r="G868" i="11"/>
  <c r="F868" i="11"/>
  <c r="E868" i="11"/>
  <c r="D868" i="11"/>
  <c r="C868" i="11"/>
  <c r="B868" i="11"/>
  <c r="A868" i="11"/>
  <c r="N867" i="11"/>
  <c r="L867" i="11"/>
  <c r="K867" i="11"/>
  <c r="J867" i="11"/>
  <c r="I867" i="11"/>
  <c r="G867" i="11"/>
  <c r="F867" i="11"/>
  <c r="E867" i="11"/>
  <c r="D867" i="11"/>
  <c r="C867" i="11"/>
  <c r="B867" i="11"/>
  <c r="A867" i="11"/>
  <c r="N866" i="11"/>
  <c r="L866" i="11"/>
  <c r="K866" i="11"/>
  <c r="J866" i="11"/>
  <c r="I866" i="11"/>
  <c r="G866" i="11"/>
  <c r="F866" i="11"/>
  <c r="E866" i="11"/>
  <c r="D866" i="11"/>
  <c r="C866" i="11"/>
  <c r="B866" i="11"/>
  <c r="A866" i="11"/>
  <c r="N865" i="11"/>
  <c r="L865" i="11"/>
  <c r="K865" i="11"/>
  <c r="J865" i="11"/>
  <c r="I865" i="11"/>
  <c r="G865" i="11"/>
  <c r="F865" i="11"/>
  <c r="E865" i="11"/>
  <c r="D865" i="11"/>
  <c r="C865" i="11"/>
  <c r="B865" i="11"/>
  <c r="A865" i="11"/>
  <c r="N864" i="11"/>
  <c r="L864" i="11"/>
  <c r="K864" i="11"/>
  <c r="J864" i="11"/>
  <c r="I864" i="11"/>
  <c r="G864" i="11"/>
  <c r="F864" i="11"/>
  <c r="E864" i="11"/>
  <c r="D864" i="11"/>
  <c r="C864" i="11"/>
  <c r="B864" i="11"/>
  <c r="A864" i="11"/>
  <c r="O863" i="11"/>
  <c r="N863" i="11"/>
  <c r="L863" i="11"/>
  <c r="K863" i="11"/>
  <c r="J863" i="11"/>
  <c r="I863" i="11"/>
  <c r="G863" i="11"/>
  <c r="F863" i="11"/>
  <c r="E863" i="11"/>
  <c r="D863" i="11"/>
  <c r="C863" i="11"/>
  <c r="B863" i="11"/>
  <c r="A863" i="11"/>
  <c r="O862" i="11"/>
  <c r="N862" i="11"/>
  <c r="L862" i="11"/>
  <c r="K862" i="11"/>
  <c r="J862" i="11"/>
  <c r="I862" i="11"/>
  <c r="G862" i="11"/>
  <c r="F862" i="11"/>
  <c r="E862" i="11"/>
  <c r="D862" i="11"/>
  <c r="C862" i="11"/>
  <c r="B862" i="11"/>
  <c r="A862" i="11"/>
  <c r="O861" i="11"/>
  <c r="N861" i="11"/>
  <c r="L861" i="11"/>
  <c r="K861" i="11"/>
  <c r="J861" i="11"/>
  <c r="I861" i="11"/>
  <c r="G861" i="11"/>
  <c r="F861" i="11"/>
  <c r="E861" i="11"/>
  <c r="D861" i="11"/>
  <c r="C861" i="11"/>
  <c r="B861" i="11"/>
  <c r="A861" i="11"/>
  <c r="O860" i="11"/>
  <c r="N860" i="11"/>
  <c r="L860" i="11"/>
  <c r="K860" i="11"/>
  <c r="J860" i="11"/>
  <c r="I860" i="11"/>
  <c r="G860" i="11"/>
  <c r="F860" i="11"/>
  <c r="E860" i="11"/>
  <c r="D860" i="11"/>
  <c r="C860" i="11"/>
  <c r="B860" i="11"/>
  <c r="A860" i="11"/>
  <c r="O859" i="11"/>
  <c r="N859" i="11"/>
  <c r="L859" i="11"/>
  <c r="K859" i="11"/>
  <c r="J859" i="11"/>
  <c r="I859" i="11"/>
  <c r="G859" i="11"/>
  <c r="F859" i="11"/>
  <c r="E859" i="11"/>
  <c r="D859" i="11"/>
  <c r="C859" i="11"/>
  <c r="B859" i="11"/>
  <c r="A859" i="11"/>
  <c r="O858" i="11"/>
  <c r="N858" i="11"/>
  <c r="L858" i="11"/>
  <c r="K858" i="11"/>
  <c r="J858" i="11"/>
  <c r="I858" i="11"/>
  <c r="G858" i="11"/>
  <c r="F858" i="11"/>
  <c r="E858" i="11"/>
  <c r="D858" i="11"/>
  <c r="C858" i="11"/>
  <c r="B858" i="11"/>
  <c r="A858" i="11"/>
  <c r="O857" i="11"/>
  <c r="N857" i="11"/>
  <c r="L857" i="11"/>
  <c r="K857" i="11"/>
  <c r="J857" i="11"/>
  <c r="I857" i="11"/>
  <c r="G857" i="11"/>
  <c r="F857" i="11"/>
  <c r="E857" i="11"/>
  <c r="D857" i="11"/>
  <c r="C857" i="11"/>
  <c r="B857" i="11"/>
  <c r="A857" i="11"/>
  <c r="O856" i="11"/>
  <c r="N856" i="11"/>
  <c r="L856" i="11"/>
  <c r="K856" i="11"/>
  <c r="J856" i="11"/>
  <c r="I856" i="11"/>
  <c r="G856" i="11"/>
  <c r="F856" i="11"/>
  <c r="E856" i="11"/>
  <c r="D856" i="11"/>
  <c r="C856" i="11"/>
  <c r="B856" i="11"/>
  <c r="A856" i="11"/>
  <c r="O855" i="11"/>
  <c r="N855" i="11"/>
  <c r="L855" i="11"/>
  <c r="K855" i="11"/>
  <c r="J855" i="11"/>
  <c r="I855" i="11"/>
  <c r="G855" i="11"/>
  <c r="F855" i="11"/>
  <c r="E855" i="11"/>
  <c r="D855" i="11"/>
  <c r="C855" i="11"/>
  <c r="B855" i="11"/>
  <c r="A855" i="11"/>
  <c r="O854" i="11"/>
  <c r="N854" i="11"/>
  <c r="L854" i="11"/>
  <c r="K854" i="11"/>
  <c r="J854" i="11"/>
  <c r="I854" i="11"/>
  <c r="G854" i="11"/>
  <c r="F854" i="11"/>
  <c r="E854" i="11"/>
  <c r="D854" i="11"/>
  <c r="C854" i="11"/>
  <c r="B854" i="11"/>
  <c r="A854" i="11"/>
  <c r="O853" i="11"/>
  <c r="N853" i="11"/>
  <c r="L853" i="11"/>
  <c r="K853" i="11"/>
  <c r="J853" i="11"/>
  <c r="I853" i="11"/>
  <c r="G853" i="11"/>
  <c r="F853" i="11"/>
  <c r="E853" i="11"/>
  <c r="D853" i="11"/>
  <c r="C853" i="11"/>
  <c r="B853" i="11"/>
  <c r="A853" i="11"/>
  <c r="O852" i="11"/>
  <c r="N852" i="11"/>
  <c r="L852" i="11"/>
  <c r="K852" i="11"/>
  <c r="J852" i="11"/>
  <c r="I852" i="11"/>
  <c r="G852" i="11"/>
  <c r="F852" i="11"/>
  <c r="E852" i="11"/>
  <c r="D852" i="11"/>
  <c r="C852" i="11"/>
  <c r="B852" i="11"/>
  <c r="A852" i="11"/>
  <c r="O851" i="11"/>
  <c r="N851" i="11"/>
  <c r="L851" i="11"/>
  <c r="K851" i="11"/>
  <c r="J851" i="11"/>
  <c r="I851" i="11"/>
  <c r="G851" i="11"/>
  <c r="F851" i="11"/>
  <c r="E851" i="11"/>
  <c r="D851" i="11"/>
  <c r="C851" i="11"/>
  <c r="B851" i="11"/>
  <c r="A851" i="11"/>
  <c r="N850" i="11"/>
  <c r="L850" i="11"/>
  <c r="K850" i="11"/>
  <c r="J850" i="11"/>
  <c r="I850" i="11"/>
  <c r="G850" i="11"/>
  <c r="F850" i="11"/>
  <c r="E850" i="11"/>
  <c r="D850" i="11"/>
  <c r="C850" i="11"/>
  <c r="B850" i="11"/>
  <c r="A850" i="11"/>
  <c r="N849" i="11"/>
  <c r="L849" i="11"/>
  <c r="K849" i="11"/>
  <c r="J849" i="11"/>
  <c r="I849" i="11"/>
  <c r="G849" i="11"/>
  <c r="F849" i="11"/>
  <c r="E849" i="11"/>
  <c r="D849" i="11"/>
  <c r="C849" i="11"/>
  <c r="B849" i="11"/>
  <c r="A849" i="11"/>
  <c r="N848" i="11"/>
  <c r="L848" i="11"/>
  <c r="K848" i="11"/>
  <c r="J848" i="11"/>
  <c r="I848" i="11"/>
  <c r="H848" i="11"/>
  <c r="G848" i="11"/>
  <c r="F848" i="11"/>
  <c r="E848" i="11"/>
  <c r="D848" i="11"/>
  <c r="C848" i="11"/>
  <c r="B848" i="11"/>
  <c r="A848" i="11"/>
  <c r="N847" i="11"/>
  <c r="L847" i="11"/>
  <c r="K847" i="11"/>
  <c r="J847" i="11"/>
  <c r="I847" i="11"/>
  <c r="H847" i="11"/>
  <c r="G847" i="11"/>
  <c r="F847" i="11"/>
  <c r="E847" i="11"/>
  <c r="D847" i="11"/>
  <c r="C847" i="11"/>
  <c r="B847" i="11"/>
  <c r="A847" i="11"/>
  <c r="N846" i="11"/>
  <c r="L846" i="11"/>
  <c r="K846" i="11"/>
  <c r="J846" i="11"/>
  <c r="I846" i="11"/>
  <c r="H846" i="11"/>
  <c r="G846" i="11"/>
  <c r="F846" i="11"/>
  <c r="E846" i="11"/>
  <c r="D846" i="11"/>
  <c r="C846" i="11"/>
  <c r="B846" i="11"/>
  <c r="A846" i="11"/>
  <c r="N845" i="11"/>
  <c r="L845" i="11"/>
  <c r="K845" i="11"/>
  <c r="J845" i="11"/>
  <c r="I845" i="11"/>
  <c r="H845" i="11"/>
  <c r="G845" i="11"/>
  <c r="F845" i="11"/>
  <c r="E845" i="11"/>
  <c r="D845" i="11"/>
  <c r="C845" i="11"/>
  <c r="B845" i="11"/>
  <c r="A845" i="11"/>
  <c r="N844" i="11"/>
  <c r="L844" i="11"/>
  <c r="K844" i="11"/>
  <c r="J844" i="11"/>
  <c r="I844" i="11"/>
  <c r="H844" i="11"/>
  <c r="G844" i="11"/>
  <c r="F844" i="11"/>
  <c r="E844" i="11"/>
  <c r="D844" i="11"/>
  <c r="C844" i="11"/>
  <c r="B844" i="11"/>
  <c r="A844" i="11"/>
  <c r="N843" i="11"/>
  <c r="L843" i="11"/>
  <c r="K843" i="11"/>
  <c r="J843" i="11"/>
  <c r="I843" i="11"/>
  <c r="H843" i="11"/>
  <c r="G843" i="11"/>
  <c r="F843" i="11"/>
  <c r="E843" i="11"/>
  <c r="D843" i="11"/>
  <c r="C843" i="11"/>
  <c r="B843" i="11"/>
  <c r="A843" i="11"/>
  <c r="N842" i="11"/>
  <c r="L842" i="11"/>
  <c r="K842" i="11"/>
  <c r="J842" i="11"/>
  <c r="I842" i="11"/>
  <c r="H842" i="11"/>
  <c r="G842" i="11"/>
  <c r="F842" i="11"/>
  <c r="E842" i="11"/>
  <c r="D842" i="11"/>
  <c r="C842" i="11"/>
  <c r="B842" i="11"/>
  <c r="A842" i="11"/>
  <c r="N841" i="11"/>
  <c r="L841" i="11"/>
  <c r="K841" i="11"/>
  <c r="J841" i="11"/>
  <c r="I841" i="11"/>
  <c r="H841" i="11"/>
  <c r="G841" i="11"/>
  <c r="F841" i="11"/>
  <c r="E841" i="11"/>
  <c r="D841" i="11"/>
  <c r="C841" i="11"/>
  <c r="B841" i="11"/>
  <c r="A841" i="11"/>
  <c r="N840" i="11"/>
  <c r="L840" i="11"/>
  <c r="K840" i="11"/>
  <c r="J840" i="11"/>
  <c r="I840" i="11"/>
  <c r="H840" i="11"/>
  <c r="G840" i="11"/>
  <c r="F840" i="11"/>
  <c r="E840" i="11"/>
  <c r="D840" i="11"/>
  <c r="C840" i="11"/>
  <c r="B840" i="11"/>
  <c r="A840" i="11"/>
  <c r="N839" i="11"/>
  <c r="L839" i="11"/>
  <c r="K839" i="11"/>
  <c r="J839" i="11"/>
  <c r="I839" i="11"/>
  <c r="H839" i="11"/>
  <c r="G839" i="11"/>
  <c r="F839" i="11"/>
  <c r="E839" i="11"/>
  <c r="D839" i="11"/>
  <c r="C839" i="11"/>
  <c r="B839" i="11"/>
  <c r="A839" i="11"/>
  <c r="N838" i="11"/>
  <c r="L838" i="11"/>
  <c r="K838" i="11"/>
  <c r="J838" i="11"/>
  <c r="I838" i="11"/>
  <c r="H838" i="11"/>
  <c r="G838" i="11"/>
  <c r="F838" i="11"/>
  <c r="E838" i="11"/>
  <c r="D838" i="11"/>
  <c r="C838" i="11"/>
  <c r="B838" i="11"/>
  <c r="A838" i="11"/>
  <c r="N837" i="11"/>
  <c r="L837" i="11"/>
  <c r="K837" i="11"/>
  <c r="J837" i="11"/>
  <c r="I837" i="11"/>
  <c r="H837" i="11"/>
  <c r="G837" i="11"/>
  <c r="F837" i="11"/>
  <c r="E837" i="11"/>
  <c r="D837" i="11"/>
  <c r="C837" i="11"/>
  <c r="B837" i="11"/>
  <c r="A837" i="11"/>
  <c r="N836" i="11"/>
  <c r="L836" i="11"/>
  <c r="K836" i="11"/>
  <c r="J836" i="11"/>
  <c r="I836" i="11"/>
  <c r="H836" i="11"/>
  <c r="G836" i="11"/>
  <c r="F836" i="11"/>
  <c r="E836" i="11"/>
  <c r="D836" i="11"/>
  <c r="C836" i="11"/>
  <c r="B836" i="11"/>
  <c r="A836" i="11"/>
  <c r="N835" i="11"/>
  <c r="L835" i="11"/>
  <c r="K835" i="11"/>
  <c r="J835" i="11"/>
  <c r="I835" i="11"/>
  <c r="H835" i="11"/>
  <c r="G835" i="11"/>
  <c r="F835" i="11"/>
  <c r="E835" i="11"/>
  <c r="D835" i="11"/>
  <c r="C835" i="11"/>
  <c r="B835" i="11"/>
  <c r="A835" i="11"/>
  <c r="N834" i="11"/>
  <c r="L834" i="11"/>
  <c r="K834" i="11"/>
  <c r="J834" i="11"/>
  <c r="I834" i="11"/>
  <c r="H834" i="11"/>
  <c r="G834" i="11"/>
  <c r="F834" i="11"/>
  <c r="E834" i="11"/>
  <c r="D834" i="11"/>
  <c r="C834" i="11"/>
  <c r="B834" i="11"/>
  <c r="A834" i="11"/>
  <c r="N833" i="11"/>
  <c r="L833" i="11"/>
  <c r="K833" i="11"/>
  <c r="J833" i="11"/>
  <c r="I833" i="11"/>
  <c r="H833" i="11"/>
  <c r="G833" i="11"/>
  <c r="F833" i="11"/>
  <c r="E833" i="11"/>
  <c r="D833" i="11"/>
  <c r="C833" i="11"/>
  <c r="B833" i="11"/>
  <c r="A833" i="11"/>
  <c r="N832" i="11"/>
  <c r="L832" i="11"/>
  <c r="K832" i="11"/>
  <c r="J832" i="11"/>
  <c r="I832" i="11"/>
  <c r="H832" i="11"/>
  <c r="G832" i="11"/>
  <c r="F832" i="11"/>
  <c r="E832" i="11"/>
  <c r="D832" i="11"/>
  <c r="C832" i="11"/>
  <c r="B832" i="11"/>
  <c r="A832" i="11"/>
  <c r="N831" i="11"/>
  <c r="L831" i="11"/>
  <c r="K831" i="11"/>
  <c r="J831" i="11"/>
  <c r="I831" i="11"/>
  <c r="H831" i="11"/>
  <c r="G831" i="11"/>
  <c r="F831" i="11"/>
  <c r="E831" i="11"/>
  <c r="D831" i="11"/>
  <c r="C831" i="11"/>
  <c r="B831" i="11"/>
  <c r="A831" i="11"/>
  <c r="N830" i="11"/>
  <c r="L830" i="11"/>
  <c r="K830" i="11"/>
  <c r="J830" i="11"/>
  <c r="I830" i="11"/>
  <c r="H830" i="11"/>
  <c r="G830" i="11"/>
  <c r="F830" i="11"/>
  <c r="E830" i="11"/>
  <c r="D830" i="11"/>
  <c r="C830" i="11"/>
  <c r="B830" i="11"/>
  <c r="A830" i="11"/>
  <c r="N829" i="11"/>
  <c r="L829" i="11"/>
  <c r="K829" i="11"/>
  <c r="J829" i="11"/>
  <c r="I829" i="11"/>
  <c r="H829" i="11"/>
  <c r="G829" i="11"/>
  <c r="F829" i="11"/>
  <c r="E829" i="11"/>
  <c r="D829" i="11"/>
  <c r="C829" i="11"/>
  <c r="B829" i="11"/>
  <c r="A829" i="11"/>
  <c r="N828" i="11"/>
  <c r="L828" i="11"/>
  <c r="K828" i="11"/>
  <c r="J828" i="11"/>
  <c r="I828" i="11"/>
  <c r="G828" i="11"/>
  <c r="F828" i="11"/>
  <c r="E828" i="11"/>
  <c r="D828" i="11"/>
  <c r="C828" i="11"/>
  <c r="B828" i="11"/>
  <c r="A828" i="11"/>
  <c r="N827" i="11"/>
  <c r="L827" i="11"/>
  <c r="K827" i="11"/>
  <c r="J827" i="11"/>
  <c r="I827" i="11"/>
  <c r="G827" i="11"/>
  <c r="F827" i="11"/>
  <c r="E827" i="11"/>
  <c r="D827" i="11"/>
  <c r="C827" i="11"/>
  <c r="B827" i="11"/>
  <c r="A827" i="11"/>
  <c r="N826" i="11"/>
  <c r="L826" i="11"/>
  <c r="K826" i="11"/>
  <c r="J826" i="11"/>
  <c r="I826" i="11"/>
  <c r="G826" i="11"/>
  <c r="F826" i="11"/>
  <c r="E826" i="11"/>
  <c r="D826" i="11"/>
  <c r="C826" i="11"/>
  <c r="B826" i="11"/>
  <c r="A826" i="11"/>
  <c r="N825" i="11"/>
  <c r="L825" i="11"/>
  <c r="K825" i="11"/>
  <c r="J825" i="11"/>
  <c r="I825" i="11"/>
  <c r="G825" i="11"/>
  <c r="F825" i="11"/>
  <c r="E825" i="11"/>
  <c r="D825" i="11"/>
  <c r="C825" i="11"/>
  <c r="B825" i="11"/>
  <c r="A825" i="11"/>
  <c r="N824" i="11"/>
  <c r="L824" i="11"/>
  <c r="K824" i="11"/>
  <c r="J824" i="11"/>
  <c r="I824" i="11"/>
  <c r="G824" i="11"/>
  <c r="F824" i="11"/>
  <c r="E824" i="11"/>
  <c r="D824" i="11"/>
  <c r="C824" i="11"/>
  <c r="B824" i="11"/>
  <c r="A824" i="11"/>
  <c r="N823" i="11"/>
  <c r="L823" i="11"/>
  <c r="K823" i="11"/>
  <c r="J823" i="11"/>
  <c r="I823" i="11"/>
  <c r="G823" i="11"/>
  <c r="F823" i="11"/>
  <c r="E823" i="11"/>
  <c r="D823" i="11"/>
  <c r="C823" i="11"/>
  <c r="B823" i="11"/>
  <c r="A823" i="11"/>
  <c r="N822" i="11"/>
  <c r="L822" i="11"/>
  <c r="K822" i="11"/>
  <c r="J822" i="11"/>
  <c r="I822" i="11"/>
  <c r="Q822" i="11" s="1"/>
  <c r="G822" i="11"/>
  <c r="F822" i="11"/>
  <c r="E822" i="11"/>
  <c r="D822" i="11"/>
  <c r="C822" i="11"/>
  <c r="B822" i="11"/>
  <c r="A822" i="11"/>
  <c r="N821" i="11"/>
  <c r="L821" i="11"/>
  <c r="K821" i="11"/>
  <c r="J821" i="11"/>
  <c r="I821" i="11"/>
  <c r="Q821" i="11" s="1"/>
  <c r="G821" i="11"/>
  <c r="F821" i="11"/>
  <c r="E821" i="11"/>
  <c r="D821" i="11"/>
  <c r="C821" i="11"/>
  <c r="B821" i="11"/>
  <c r="A821" i="11"/>
  <c r="N820" i="11"/>
  <c r="L820" i="11"/>
  <c r="K820" i="11"/>
  <c r="J820" i="11"/>
  <c r="I820" i="11"/>
  <c r="G820" i="11"/>
  <c r="F820" i="11"/>
  <c r="E820" i="11"/>
  <c r="D820" i="11"/>
  <c r="C820" i="11"/>
  <c r="B820" i="11"/>
  <c r="A820" i="11"/>
  <c r="N819" i="11"/>
  <c r="L819" i="11"/>
  <c r="K819" i="11"/>
  <c r="J819" i="11"/>
  <c r="I819" i="11"/>
  <c r="G819" i="11"/>
  <c r="F819" i="11"/>
  <c r="E819" i="11"/>
  <c r="D819" i="11"/>
  <c r="C819" i="11"/>
  <c r="B819" i="11"/>
  <c r="A819" i="11"/>
  <c r="N818" i="11"/>
  <c r="L818" i="11"/>
  <c r="K818" i="11"/>
  <c r="J818" i="11"/>
  <c r="I818" i="11"/>
  <c r="Q818" i="11" s="1"/>
  <c r="G818" i="11"/>
  <c r="F818" i="11"/>
  <c r="E818" i="11"/>
  <c r="D818" i="11"/>
  <c r="C818" i="11"/>
  <c r="B818" i="11"/>
  <c r="A818" i="11"/>
  <c r="N817" i="11"/>
  <c r="L817" i="11"/>
  <c r="K817" i="11"/>
  <c r="J817" i="11"/>
  <c r="I817" i="11"/>
  <c r="G817" i="11"/>
  <c r="F817" i="11"/>
  <c r="E817" i="11"/>
  <c r="D817" i="11"/>
  <c r="C817" i="11"/>
  <c r="B817" i="11"/>
  <c r="A817" i="11"/>
  <c r="N816" i="11"/>
  <c r="L816" i="11"/>
  <c r="K816" i="11"/>
  <c r="J816" i="11"/>
  <c r="I816" i="11"/>
  <c r="G816" i="11"/>
  <c r="F816" i="11"/>
  <c r="E816" i="11"/>
  <c r="D816" i="11"/>
  <c r="C816" i="11"/>
  <c r="B816" i="11"/>
  <c r="A816" i="11"/>
  <c r="N815" i="11"/>
  <c r="L815" i="11"/>
  <c r="K815" i="11"/>
  <c r="J815" i="11"/>
  <c r="I815" i="11"/>
  <c r="G815" i="11"/>
  <c r="F815" i="11"/>
  <c r="E815" i="11"/>
  <c r="D815" i="11"/>
  <c r="C815" i="11"/>
  <c r="B815" i="11"/>
  <c r="A815" i="11"/>
  <c r="N814" i="11"/>
  <c r="L814" i="11"/>
  <c r="K814" i="11"/>
  <c r="J814" i="11"/>
  <c r="I814" i="11"/>
  <c r="G814" i="11"/>
  <c r="F814" i="11"/>
  <c r="E814" i="11"/>
  <c r="D814" i="11"/>
  <c r="C814" i="11"/>
  <c r="B814" i="11"/>
  <c r="A814" i="11"/>
  <c r="N813" i="11"/>
  <c r="L813" i="11"/>
  <c r="K813" i="11"/>
  <c r="J813" i="11"/>
  <c r="I813" i="11"/>
  <c r="G813" i="11"/>
  <c r="F813" i="11"/>
  <c r="E813" i="11"/>
  <c r="D813" i="11"/>
  <c r="C813" i="11"/>
  <c r="B813" i="11"/>
  <c r="A813" i="11"/>
  <c r="N812" i="11"/>
  <c r="L812" i="11"/>
  <c r="K812" i="11"/>
  <c r="J812" i="11"/>
  <c r="I812" i="11"/>
  <c r="G812" i="11"/>
  <c r="F812" i="11"/>
  <c r="E812" i="11"/>
  <c r="D812" i="11"/>
  <c r="C812" i="11"/>
  <c r="B812" i="11"/>
  <c r="A812" i="11"/>
  <c r="N811" i="11"/>
  <c r="L811" i="11"/>
  <c r="K811" i="11"/>
  <c r="J811" i="11"/>
  <c r="I811" i="11"/>
  <c r="G811" i="11"/>
  <c r="F811" i="11"/>
  <c r="E811" i="11"/>
  <c r="D811" i="11"/>
  <c r="C811" i="11"/>
  <c r="B811" i="11"/>
  <c r="A811" i="11"/>
  <c r="N810" i="11"/>
  <c r="L810" i="11"/>
  <c r="K810" i="11"/>
  <c r="J810" i="11"/>
  <c r="I810" i="11"/>
  <c r="G810" i="11"/>
  <c r="F810" i="11"/>
  <c r="E810" i="11"/>
  <c r="D810" i="11"/>
  <c r="C810" i="11"/>
  <c r="B810" i="11"/>
  <c r="A810" i="11"/>
  <c r="N809" i="11"/>
  <c r="L809" i="11"/>
  <c r="K809" i="11"/>
  <c r="J809" i="11"/>
  <c r="I809" i="11"/>
  <c r="H809" i="11"/>
  <c r="G809" i="11"/>
  <c r="F809" i="11"/>
  <c r="E809" i="11"/>
  <c r="D809" i="11"/>
  <c r="C809" i="11"/>
  <c r="B809" i="11"/>
  <c r="A809" i="11"/>
  <c r="N808" i="11"/>
  <c r="L808" i="11"/>
  <c r="K808" i="11"/>
  <c r="J808" i="11"/>
  <c r="I808" i="11"/>
  <c r="H808" i="11"/>
  <c r="G808" i="11"/>
  <c r="F808" i="11"/>
  <c r="E808" i="11"/>
  <c r="D808" i="11"/>
  <c r="C808" i="11"/>
  <c r="B808" i="11"/>
  <c r="A808" i="11"/>
  <c r="N807" i="11"/>
  <c r="L807" i="11"/>
  <c r="K807" i="11"/>
  <c r="J807" i="11"/>
  <c r="I807" i="11"/>
  <c r="G807" i="11"/>
  <c r="F807" i="11"/>
  <c r="E807" i="11"/>
  <c r="D807" i="11"/>
  <c r="C807" i="11"/>
  <c r="B807" i="11"/>
  <c r="A807" i="11"/>
  <c r="N806" i="11"/>
  <c r="L806" i="11"/>
  <c r="K806" i="11"/>
  <c r="J806" i="11"/>
  <c r="I806" i="11"/>
  <c r="H806" i="11"/>
  <c r="G806" i="11"/>
  <c r="F806" i="11"/>
  <c r="E806" i="11"/>
  <c r="D806" i="11"/>
  <c r="C806" i="11"/>
  <c r="B806" i="11"/>
  <c r="A806" i="11"/>
  <c r="N805" i="11"/>
  <c r="L805" i="11"/>
  <c r="K805" i="11"/>
  <c r="J805" i="11"/>
  <c r="I805" i="11"/>
  <c r="H805" i="11"/>
  <c r="G805" i="11"/>
  <c r="F805" i="11"/>
  <c r="E805" i="11"/>
  <c r="D805" i="11"/>
  <c r="C805" i="11"/>
  <c r="B805" i="11"/>
  <c r="A805" i="11"/>
  <c r="N804" i="11"/>
  <c r="L804" i="11"/>
  <c r="K804" i="11"/>
  <c r="J804" i="11"/>
  <c r="I804" i="11"/>
  <c r="H804" i="11"/>
  <c r="G804" i="11"/>
  <c r="F804" i="11"/>
  <c r="E804" i="11"/>
  <c r="D804" i="11"/>
  <c r="C804" i="11"/>
  <c r="B804" i="11"/>
  <c r="A804" i="11"/>
  <c r="N803" i="11"/>
  <c r="L803" i="11"/>
  <c r="K803" i="11"/>
  <c r="J803" i="11"/>
  <c r="I803" i="11"/>
  <c r="H803" i="11"/>
  <c r="G803" i="11"/>
  <c r="F803" i="11"/>
  <c r="E803" i="11"/>
  <c r="D803" i="11"/>
  <c r="C803" i="11"/>
  <c r="B803" i="11"/>
  <c r="A803" i="11"/>
  <c r="N802" i="11"/>
  <c r="L802" i="11"/>
  <c r="K802" i="11"/>
  <c r="J802" i="11"/>
  <c r="I802" i="11"/>
  <c r="H802" i="11"/>
  <c r="G802" i="11"/>
  <c r="F802" i="11"/>
  <c r="E802" i="11"/>
  <c r="D802" i="11"/>
  <c r="C802" i="11"/>
  <c r="B802" i="11"/>
  <c r="A802" i="11"/>
  <c r="N801" i="11"/>
  <c r="L801" i="11"/>
  <c r="K801" i="11"/>
  <c r="J801" i="11"/>
  <c r="I801" i="11"/>
  <c r="G801" i="11"/>
  <c r="F801" i="11"/>
  <c r="E801" i="11"/>
  <c r="D801" i="11"/>
  <c r="C801" i="11"/>
  <c r="B801" i="11"/>
  <c r="A801" i="11"/>
  <c r="N800" i="11"/>
  <c r="L800" i="11"/>
  <c r="K800" i="11"/>
  <c r="J800" i="11"/>
  <c r="I800" i="11"/>
  <c r="H800" i="11"/>
  <c r="G800" i="11"/>
  <c r="F800" i="11"/>
  <c r="E800" i="11"/>
  <c r="D800" i="11"/>
  <c r="C800" i="11"/>
  <c r="B800" i="11"/>
  <c r="A800" i="11"/>
  <c r="N799" i="11"/>
  <c r="L799" i="11"/>
  <c r="K799" i="11"/>
  <c r="J799" i="11"/>
  <c r="I799" i="11"/>
  <c r="G799" i="11"/>
  <c r="F799" i="11"/>
  <c r="E799" i="11"/>
  <c r="D799" i="11"/>
  <c r="C799" i="11"/>
  <c r="B799" i="11"/>
  <c r="A799" i="11"/>
  <c r="N798" i="11"/>
  <c r="L798" i="11"/>
  <c r="K798" i="11"/>
  <c r="J798" i="11"/>
  <c r="I798" i="11"/>
  <c r="H798" i="11"/>
  <c r="G798" i="11"/>
  <c r="F798" i="11"/>
  <c r="E798" i="11"/>
  <c r="D798" i="11"/>
  <c r="C798" i="11"/>
  <c r="B798" i="11"/>
  <c r="A798" i="11"/>
  <c r="N797" i="11"/>
  <c r="L797" i="11"/>
  <c r="K797" i="11"/>
  <c r="J797" i="11"/>
  <c r="I797" i="11"/>
  <c r="H797" i="11"/>
  <c r="G797" i="11"/>
  <c r="F797" i="11"/>
  <c r="E797" i="11"/>
  <c r="D797" i="11"/>
  <c r="C797" i="11"/>
  <c r="B797" i="11"/>
  <c r="A797" i="11"/>
  <c r="N796" i="11"/>
  <c r="L796" i="11"/>
  <c r="K796" i="11"/>
  <c r="J796" i="11"/>
  <c r="I796" i="11"/>
  <c r="H796" i="11"/>
  <c r="G796" i="11"/>
  <c r="F796" i="11"/>
  <c r="E796" i="11"/>
  <c r="D796" i="11"/>
  <c r="C796" i="11"/>
  <c r="B796" i="11"/>
  <c r="A796" i="11"/>
  <c r="N795" i="11"/>
  <c r="L795" i="11"/>
  <c r="K795" i="11"/>
  <c r="J795" i="11"/>
  <c r="I795" i="11"/>
  <c r="G795" i="11"/>
  <c r="F795" i="11"/>
  <c r="E795" i="11"/>
  <c r="D795" i="11"/>
  <c r="C795" i="11"/>
  <c r="B795" i="11"/>
  <c r="A795" i="11"/>
  <c r="N794" i="11"/>
  <c r="L794" i="11"/>
  <c r="K794" i="11"/>
  <c r="J794" i="11"/>
  <c r="I794" i="11"/>
  <c r="Q794" i="11" s="1"/>
  <c r="H794" i="11"/>
  <c r="G794" i="11"/>
  <c r="F794" i="11"/>
  <c r="E794" i="11"/>
  <c r="D794" i="11"/>
  <c r="C794" i="11"/>
  <c r="B794" i="11"/>
  <c r="A794" i="11"/>
  <c r="N793" i="11"/>
  <c r="L793" i="11"/>
  <c r="K793" i="11"/>
  <c r="J793" i="11"/>
  <c r="I793" i="11"/>
  <c r="H793" i="11"/>
  <c r="G793" i="11"/>
  <c r="F793" i="11"/>
  <c r="E793" i="11"/>
  <c r="D793" i="11"/>
  <c r="C793" i="11"/>
  <c r="B793" i="11"/>
  <c r="A793" i="11"/>
  <c r="N792" i="11"/>
  <c r="L792" i="11"/>
  <c r="K792" i="11"/>
  <c r="J792" i="11"/>
  <c r="I792" i="11"/>
  <c r="H792" i="11"/>
  <c r="G792" i="11"/>
  <c r="F792" i="11"/>
  <c r="E792" i="11"/>
  <c r="D792" i="11"/>
  <c r="C792" i="11"/>
  <c r="B792" i="11"/>
  <c r="A792" i="11"/>
  <c r="N791" i="11"/>
  <c r="L791" i="11"/>
  <c r="K791" i="11"/>
  <c r="J791" i="11"/>
  <c r="I791" i="11"/>
  <c r="G791" i="11"/>
  <c r="F791" i="11"/>
  <c r="E791" i="11"/>
  <c r="D791" i="11"/>
  <c r="C791" i="11"/>
  <c r="B791" i="11"/>
  <c r="A791" i="11"/>
  <c r="N790" i="11"/>
  <c r="L790" i="11"/>
  <c r="K790" i="11"/>
  <c r="J790" i="11"/>
  <c r="I790" i="11"/>
  <c r="Q790" i="11" s="1"/>
  <c r="H790" i="11"/>
  <c r="G790" i="11"/>
  <c r="F790" i="11"/>
  <c r="E790" i="11"/>
  <c r="D790" i="11"/>
  <c r="C790" i="11"/>
  <c r="B790" i="11"/>
  <c r="A790" i="11"/>
  <c r="N789" i="11"/>
  <c r="L789" i="11"/>
  <c r="K789" i="11"/>
  <c r="J789" i="11"/>
  <c r="I789" i="11"/>
  <c r="H789" i="11"/>
  <c r="G789" i="11"/>
  <c r="F789" i="11"/>
  <c r="E789" i="11"/>
  <c r="D789" i="11"/>
  <c r="C789" i="11"/>
  <c r="B789" i="11"/>
  <c r="A789" i="11"/>
  <c r="N788" i="11"/>
  <c r="L788" i="11"/>
  <c r="K788" i="11"/>
  <c r="J788" i="11"/>
  <c r="I788" i="11"/>
  <c r="H788" i="11"/>
  <c r="G788" i="11"/>
  <c r="F788" i="11"/>
  <c r="E788" i="11"/>
  <c r="D788" i="11"/>
  <c r="C788" i="11"/>
  <c r="B788" i="11"/>
  <c r="A788" i="11"/>
  <c r="N787" i="11"/>
  <c r="L787" i="11"/>
  <c r="K787" i="11"/>
  <c r="J787" i="11"/>
  <c r="I787" i="11"/>
  <c r="H787" i="11"/>
  <c r="G787" i="11"/>
  <c r="F787" i="11"/>
  <c r="E787" i="11"/>
  <c r="D787" i="11"/>
  <c r="C787" i="11"/>
  <c r="B787" i="11"/>
  <c r="A787" i="11"/>
  <c r="N786" i="11"/>
  <c r="L786" i="11"/>
  <c r="K786" i="11"/>
  <c r="J786" i="11"/>
  <c r="I786" i="11"/>
  <c r="Q786" i="11" s="1"/>
  <c r="H786" i="11"/>
  <c r="G786" i="11"/>
  <c r="F786" i="11"/>
  <c r="E786" i="11"/>
  <c r="D786" i="11"/>
  <c r="C786" i="11"/>
  <c r="B786" i="11"/>
  <c r="A786" i="11"/>
  <c r="N785" i="11"/>
  <c r="L785" i="11"/>
  <c r="K785" i="11"/>
  <c r="J785" i="11"/>
  <c r="I785" i="11"/>
  <c r="G785" i="11"/>
  <c r="F785" i="11"/>
  <c r="E785" i="11"/>
  <c r="D785" i="11"/>
  <c r="C785" i="11"/>
  <c r="B785" i="11"/>
  <c r="A785" i="11"/>
  <c r="N784" i="11"/>
  <c r="L784" i="11"/>
  <c r="K784" i="11"/>
  <c r="J784" i="11"/>
  <c r="I784" i="11"/>
  <c r="H784" i="11"/>
  <c r="G784" i="11"/>
  <c r="F784" i="11"/>
  <c r="E784" i="11"/>
  <c r="D784" i="11"/>
  <c r="C784" i="11"/>
  <c r="B784" i="11"/>
  <c r="A784" i="11"/>
  <c r="N783" i="11"/>
  <c r="L783" i="11"/>
  <c r="K783" i="11"/>
  <c r="J783" i="11"/>
  <c r="I783" i="11"/>
  <c r="H783" i="11"/>
  <c r="G783" i="11"/>
  <c r="F783" i="11"/>
  <c r="E783" i="11"/>
  <c r="D783" i="11"/>
  <c r="C783" i="11"/>
  <c r="B783" i="11"/>
  <c r="A783" i="11"/>
  <c r="N782" i="11"/>
  <c r="L782" i="11"/>
  <c r="K782" i="11"/>
  <c r="J782" i="11"/>
  <c r="I782" i="11"/>
  <c r="G782" i="11"/>
  <c r="F782" i="11"/>
  <c r="E782" i="11"/>
  <c r="D782" i="11"/>
  <c r="C782" i="11"/>
  <c r="B782" i="11"/>
  <c r="A782" i="11"/>
  <c r="N781" i="11"/>
  <c r="L781" i="11"/>
  <c r="K781" i="11"/>
  <c r="J781" i="11"/>
  <c r="I781" i="11"/>
  <c r="H781" i="11"/>
  <c r="G781" i="11"/>
  <c r="F781" i="11"/>
  <c r="E781" i="11"/>
  <c r="D781" i="11"/>
  <c r="C781" i="11"/>
  <c r="B781" i="11"/>
  <c r="A781" i="11"/>
  <c r="N780" i="11"/>
  <c r="L780" i="11"/>
  <c r="K780" i="11"/>
  <c r="J780" i="11"/>
  <c r="I780" i="11"/>
  <c r="H780" i="11"/>
  <c r="G780" i="11"/>
  <c r="F780" i="11"/>
  <c r="E780" i="11"/>
  <c r="D780" i="11"/>
  <c r="C780" i="11"/>
  <c r="B780" i="11"/>
  <c r="A780" i="11"/>
  <c r="N779" i="11"/>
  <c r="L779" i="11"/>
  <c r="K779" i="11"/>
  <c r="J779" i="11"/>
  <c r="I779" i="11"/>
  <c r="H779" i="11"/>
  <c r="G779" i="11"/>
  <c r="F779" i="11"/>
  <c r="E779" i="11"/>
  <c r="D779" i="11"/>
  <c r="C779" i="11"/>
  <c r="B779" i="11"/>
  <c r="A779" i="11"/>
  <c r="N778" i="11"/>
  <c r="L778" i="11"/>
  <c r="K778" i="11"/>
  <c r="J778" i="11"/>
  <c r="I778" i="11"/>
  <c r="Q778" i="11" s="1"/>
  <c r="H778" i="11"/>
  <c r="G778" i="11"/>
  <c r="F778" i="11"/>
  <c r="E778" i="11"/>
  <c r="D778" i="11"/>
  <c r="C778" i="11"/>
  <c r="B778" i="11"/>
  <c r="A778" i="11"/>
  <c r="N777" i="11"/>
  <c r="L777" i="11"/>
  <c r="K777" i="11"/>
  <c r="J777" i="11"/>
  <c r="I777" i="11"/>
  <c r="G777" i="11"/>
  <c r="F777" i="11"/>
  <c r="E777" i="11"/>
  <c r="D777" i="11"/>
  <c r="C777" i="11"/>
  <c r="B777" i="11"/>
  <c r="A777" i="11"/>
  <c r="N776" i="11"/>
  <c r="L776" i="11"/>
  <c r="K776" i="11"/>
  <c r="J776" i="11"/>
  <c r="I776" i="11"/>
  <c r="G776" i="11"/>
  <c r="F776" i="11"/>
  <c r="E776" i="11"/>
  <c r="D776" i="11"/>
  <c r="C776" i="11"/>
  <c r="B776" i="11"/>
  <c r="A776" i="11"/>
  <c r="N775" i="11"/>
  <c r="L775" i="11"/>
  <c r="K775" i="11"/>
  <c r="J775" i="11"/>
  <c r="I775" i="11"/>
  <c r="H775" i="11"/>
  <c r="G775" i="11"/>
  <c r="F775" i="11"/>
  <c r="E775" i="11"/>
  <c r="D775" i="11"/>
  <c r="C775" i="11"/>
  <c r="B775" i="11"/>
  <c r="A775" i="11"/>
  <c r="N774" i="11"/>
  <c r="L774" i="11"/>
  <c r="K774" i="11"/>
  <c r="J774" i="11"/>
  <c r="I774" i="11"/>
  <c r="G774" i="11"/>
  <c r="F774" i="11"/>
  <c r="E774" i="11"/>
  <c r="D774" i="11"/>
  <c r="C774" i="11"/>
  <c r="B774" i="11"/>
  <c r="A774" i="11"/>
  <c r="N773" i="11"/>
  <c r="L773" i="11"/>
  <c r="K773" i="11"/>
  <c r="J773" i="11"/>
  <c r="I773" i="11"/>
  <c r="G773" i="11"/>
  <c r="F773" i="11"/>
  <c r="E773" i="11"/>
  <c r="D773" i="11"/>
  <c r="C773" i="11"/>
  <c r="B773" i="11"/>
  <c r="A773" i="11"/>
  <c r="N772" i="11"/>
  <c r="L772" i="11"/>
  <c r="K772" i="11"/>
  <c r="J772" i="11"/>
  <c r="I772" i="11"/>
  <c r="H772" i="11"/>
  <c r="G772" i="11"/>
  <c r="F772" i="11"/>
  <c r="E772" i="11"/>
  <c r="D772" i="11"/>
  <c r="C772" i="11"/>
  <c r="B772" i="11"/>
  <c r="A772" i="11"/>
  <c r="N771" i="11"/>
  <c r="L771" i="11"/>
  <c r="K771" i="11"/>
  <c r="J771" i="11"/>
  <c r="I771" i="11"/>
  <c r="Q771" i="11" s="1"/>
  <c r="H771" i="11"/>
  <c r="G771" i="11"/>
  <c r="F771" i="11"/>
  <c r="E771" i="11"/>
  <c r="D771" i="11"/>
  <c r="C771" i="11"/>
  <c r="B771" i="11"/>
  <c r="A771" i="11"/>
  <c r="N770" i="11"/>
  <c r="L770" i="11"/>
  <c r="K770" i="11"/>
  <c r="J770" i="11"/>
  <c r="I770" i="11"/>
  <c r="H770" i="11"/>
  <c r="G770" i="11"/>
  <c r="F770" i="11"/>
  <c r="E770" i="11"/>
  <c r="D770" i="11"/>
  <c r="C770" i="11"/>
  <c r="B770" i="11"/>
  <c r="A770" i="11"/>
  <c r="N769" i="11"/>
  <c r="L769" i="11"/>
  <c r="K769" i="11"/>
  <c r="J769" i="11"/>
  <c r="I769" i="11"/>
  <c r="H769" i="11"/>
  <c r="G769" i="11"/>
  <c r="F769" i="11"/>
  <c r="E769" i="11"/>
  <c r="D769" i="11"/>
  <c r="C769" i="11"/>
  <c r="B769" i="11"/>
  <c r="A769" i="11"/>
  <c r="N768" i="11"/>
  <c r="L768" i="11"/>
  <c r="K768" i="11"/>
  <c r="J768" i="11"/>
  <c r="I768" i="11"/>
  <c r="G768" i="11"/>
  <c r="F768" i="11"/>
  <c r="E768" i="11"/>
  <c r="D768" i="11"/>
  <c r="C768" i="11"/>
  <c r="B768" i="11"/>
  <c r="A768" i="11"/>
  <c r="N767" i="11"/>
  <c r="L767" i="11"/>
  <c r="K767" i="11"/>
  <c r="J767" i="11"/>
  <c r="I767" i="11"/>
  <c r="H767" i="11"/>
  <c r="G767" i="11"/>
  <c r="F767" i="11"/>
  <c r="E767" i="11"/>
  <c r="D767" i="11"/>
  <c r="C767" i="11"/>
  <c r="B767" i="11"/>
  <c r="A767" i="11"/>
  <c r="N766" i="11"/>
  <c r="L766" i="11"/>
  <c r="K766" i="11"/>
  <c r="J766" i="11"/>
  <c r="I766" i="11"/>
  <c r="H766" i="11"/>
  <c r="G766" i="11"/>
  <c r="F766" i="11"/>
  <c r="E766" i="11"/>
  <c r="D766" i="11"/>
  <c r="C766" i="11"/>
  <c r="B766" i="11"/>
  <c r="A766" i="11"/>
  <c r="N765" i="11"/>
  <c r="L765" i="11"/>
  <c r="K765" i="11"/>
  <c r="J765" i="11"/>
  <c r="I765" i="11"/>
  <c r="H765" i="11"/>
  <c r="G765" i="11"/>
  <c r="F765" i="11"/>
  <c r="E765" i="11"/>
  <c r="D765" i="11"/>
  <c r="C765" i="11"/>
  <c r="B765" i="11"/>
  <c r="A765" i="11"/>
  <c r="N764" i="11"/>
  <c r="L764" i="11"/>
  <c r="K764" i="11"/>
  <c r="J764" i="11"/>
  <c r="I764" i="11"/>
  <c r="H764" i="11"/>
  <c r="G764" i="11"/>
  <c r="F764" i="11"/>
  <c r="E764" i="11"/>
  <c r="D764" i="11"/>
  <c r="C764" i="11"/>
  <c r="B764" i="11"/>
  <c r="A764" i="11"/>
  <c r="N763" i="11"/>
  <c r="L763" i="11"/>
  <c r="K763" i="11"/>
  <c r="J763" i="11"/>
  <c r="I763" i="11"/>
  <c r="G763" i="11"/>
  <c r="F763" i="11"/>
  <c r="E763" i="11"/>
  <c r="D763" i="11"/>
  <c r="C763" i="11"/>
  <c r="B763" i="11"/>
  <c r="A763" i="11"/>
  <c r="N762" i="11"/>
  <c r="L762" i="11"/>
  <c r="K762" i="11"/>
  <c r="J762" i="11"/>
  <c r="I762" i="11"/>
  <c r="G762" i="11"/>
  <c r="F762" i="11"/>
  <c r="E762" i="11"/>
  <c r="D762" i="11"/>
  <c r="C762" i="11"/>
  <c r="B762" i="11"/>
  <c r="A762" i="11"/>
  <c r="N761" i="11"/>
  <c r="L761" i="11"/>
  <c r="K761" i="11"/>
  <c r="J761" i="11"/>
  <c r="I761" i="11"/>
  <c r="H761" i="11"/>
  <c r="G761" i="11"/>
  <c r="F761" i="11"/>
  <c r="E761" i="11"/>
  <c r="D761" i="11"/>
  <c r="C761" i="11"/>
  <c r="B761" i="11"/>
  <c r="A761" i="11"/>
  <c r="N760" i="11"/>
  <c r="L760" i="11"/>
  <c r="K760" i="11"/>
  <c r="J760" i="11"/>
  <c r="I760" i="11"/>
  <c r="H760" i="11"/>
  <c r="G760" i="11"/>
  <c r="F760" i="11"/>
  <c r="E760" i="11"/>
  <c r="D760" i="11"/>
  <c r="C760" i="11"/>
  <c r="B760" i="11"/>
  <c r="A760" i="11"/>
  <c r="N759" i="11"/>
  <c r="L759" i="11"/>
  <c r="K759" i="11"/>
  <c r="J759" i="11"/>
  <c r="I759" i="11"/>
  <c r="G759" i="11"/>
  <c r="F759" i="11"/>
  <c r="E759" i="11"/>
  <c r="D759" i="11"/>
  <c r="C759" i="11"/>
  <c r="B759" i="11"/>
  <c r="A759" i="11"/>
  <c r="N758" i="11"/>
  <c r="L758" i="11"/>
  <c r="K758" i="11"/>
  <c r="J758" i="11"/>
  <c r="I758" i="11"/>
  <c r="H758" i="11"/>
  <c r="G758" i="11"/>
  <c r="F758" i="11"/>
  <c r="E758" i="11"/>
  <c r="D758" i="11"/>
  <c r="C758" i="11"/>
  <c r="B758" i="11"/>
  <c r="A758" i="11"/>
  <c r="N757" i="11"/>
  <c r="L757" i="11"/>
  <c r="K757" i="11"/>
  <c r="J757" i="11"/>
  <c r="I757" i="11"/>
  <c r="H757" i="11"/>
  <c r="G757" i="11"/>
  <c r="F757" i="11"/>
  <c r="E757" i="11"/>
  <c r="D757" i="11"/>
  <c r="C757" i="11"/>
  <c r="B757" i="11"/>
  <c r="A757" i="11"/>
  <c r="N756" i="11"/>
  <c r="L756" i="11"/>
  <c r="K756" i="11"/>
  <c r="J756" i="11"/>
  <c r="I756" i="11"/>
  <c r="Q756" i="11" s="1"/>
  <c r="H756" i="11"/>
  <c r="G756" i="11"/>
  <c r="F756" i="11"/>
  <c r="E756" i="11"/>
  <c r="D756" i="11"/>
  <c r="C756" i="11"/>
  <c r="B756" i="11"/>
  <c r="A756" i="11"/>
  <c r="N755" i="11"/>
  <c r="L755" i="11"/>
  <c r="K755" i="11"/>
  <c r="J755" i="11"/>
  <c r="I755" i="11"/>
  <c r="G755" i="11"/>
  <c r="F755" i="11"/>
  <c r="E755" i="11"/>
  <c r="D755" i="11"/>
  <c r="C755" i="11"/>
  <c r="B755" i="11"/>
  <c r="A755" i="11"/>
  <c r="N754" i="11"/>
  <c r="L754" i="11"/>
  <c r="K754" i="11"/>
  <c r="J754" i="11"/>
  <c r="I754" i="11"/>
  <c r="G754" i="11"/>
  <c r="F754" i="11"/>
  <c r="E754" i="11"/>
  <c r="D754" i="11"/>
  <c r="C754" i="11"/>
  <c r="B754" i="11"/>
  <c r="A754" i="11"/>
  <c r="N753" i="11"/>
  <c r="L753" i="11"/>
  <c r="K753" i="11"/>
  <c r="J753" i="11"/>
  <c r="I753" i="11"/>
  <c r="H753" i="11"/>
  <c r="G753" i="11"/>
  <c r="F753" i="11"/>
  <c r="E753" i="11"/>
  <c r="D753" i="11"/>
  <c r="C753" i="11"/>
  <c r="B753" i="11"/>
  <c r="A753" i="11"/>
  <c r="N752" i="11"/>
  <c r="L752" i="11"/>
  <c r="K752" i="11"/>
  <c r="J752" i="11"/>
  <c r="I752" i="11"/>
  <c r="H752" i="11"/>
  <c r="G752" i="11"/>
  <c r="F752" i="11"/>
  <c r="E752" i="11"/>
  <c r="D752" i="11"/>
  <c r="C752" i="11"/>
  <c r="B752" i="11"/>
  <c r="A752" i="11"/>
  <c r="N751" i="11"/>
  <c r="L751" i="11"/>
  <c r="K751" i="11"/>
  <c r="J751" i="11"/>
  <c r="I751" i="11"/>
  <c r="H751" i="11"/>
  <c r="G751" i="11"/>
  <c r="F751" i="11"/>
  <c r="E751" i="11"/>
  <c r="D751" i="11"/>
  <c r="C751" i="11"/>
  <c r="B751" i="11"/>
  <c r="A751" i="11"/>
  <c r="N750" i="11"/>
  <c r="L750" i="11"/>
  <c r="K750" i="11"/>
  <c r="J750" i="11"/>
  <c r="I750" i="11"/>
  <c r="H750" i="11"/>
  <c r="G750" i="11"/>
  <c r="F750" i="11"/>
  <c r="E750" i="11"/>
  <c r="D750" i="11"/>
  <c r="C750" i="11"/>
  <c r="B750" i="11"/>
  <c r="A750" i="11"/>
  <c r="N749" i="11"/>
  <c r="L749" i="11"/>
  <c r="K749" i="11"/>
  <c r="J749" i="11"/>
  <c r="I749" i="11"/>
  <c r="G749" i="11"/>
  <c r="F749" i="11"/>
  <c r="E749" i="11"/>
  <c r="D749" i="11"/>
  <c r="C749" i="11"/>
  <c r="B749" i="11"/>
  <c r="A749" i="11"/>
  <c r="N748" i="11"/>
  <c r="L748" i="11"/>
  <c r="K748" i="11"/>
  <c r="J748" i="11"/>
  <c r="I748" i="11"/>
  <c r="Q748" i="11" s="1"/>
  <c r="H748" i="11"/>
  <c r="G748" i="11"/>
  <c r="F748" i="11"/>
  <c r="E748" i="11"/>
  <c r="D748" i="11"/>
  <c r="C748" i="11"/>
  <c r="B748" i="11"/>
  <c r="A748" i="11"/>
  <c r="N747" i="11"/>
  <c r="L747" i="11"/>
  <c r="K747" i="11"/>
  <c r="J747" i="11"/>
  <c r="I747" i="11"/>
  <c r="H747" i="11"/>
  <c r="G747" i="11"/>
  <c r="F747" i="11"/>
  <c r="E747" i="11"/>
  <c r="D747" i="11"/>
  <c r="C747" i="11"/>
  <c r="B747" i="11"/>
  <c r="A747" i="11"/>
  <c r="N746" i="11"/>
  <c r="L746" i="11"/>
  <c r="K746" i="11"/>
  <c r="J746" i="11"/>
  <c r="I746" i="11"/>
  <c r="H746" i="11"/>
  <c r="G746" i="11"/>
  <c r="F746" i="11"/>
  <c r="E746" i="11"/>
  <c r="D746" i="11"/>
  <c r="C746" i="11"/>
  <c r="B746" i="11"/>
  <c r="A746" i="11"/>
  <c r="N745" i="11"/>
  <c r="L745" i="11"/>
  <c r="K745" i="11"/>
  <c r="J745" i="11"/>
  <c r="I745" i="11"/>
  <c r="G745" i="11"/>
  <c r="F745" i="11"/>
  <c r="E745" i="11"/>
  <c r="D745" i="11"/>
  <c r="C745" i="11"/>
  <c r="B745" i="11"/>
  <c r="A745" i="11"/>
  <c r="N744" i="11"/>
  <c r="L744" i="11"/>
  <c r="K744" i="11"/>
  <c r="J744" i="11"/>
  <c r="I744" i="11"/>
  <c r="H744" i="11"/>
  <c r="G744" i="11"/>
  <c r="F744" i="11"/>
  <c r="E744" i="11"/>
  <c r="D744" i="11"/>
  <c r="C744" i="11"/>
  <c r="B744" i="11"/>
  <c r="A744" i="11"/>
  <c r="N743" i="11"/>
  <c r="L743" i="11"/>
  <c r="K743" i="11"/>
  <c r="J743" i="11"/>
  <c r="I743" i="11"/>
  <c r="H743" i="11"/>
  <c r="G743" i="11"/>
  <c r="F743" i="11"/>
  <c r="E743" i="11"/>
  <c r="D743" i="11"/>
  <c r="C743" i="11"/>
  <c r="B743" i="11"/>
  <c r="A743" i="11"/>
  <c r="N742" i="11"/>
  <c r="L742" i="11"/>
  <c r="K742" i="11"/>
  <c r="J742" i="11"/>
  <c r="I742" i="11"/>
  <c r="G742" i="11"/>
  <c r="F742" i="11"/>
  <c r="E742" i="11"/>
  <c r="D742" i="11"/>
  <c r="C742" i="11"/>
  <c r="B742" i="11"/>
  <c r="A742" i="11"/>
  <c r="N741" i="11"/>
  <c r="L741" i="11"/>
  <c r="K741" i="11"/>
  <c r="J741" i="11"/>
  <c r="I741" i="11"/>
  <c r="G741" i="11"/>
  <c r="F741" i="11"/>
  <c r="E741" i="11"/>
  <c r="D741" i="11"/>
  <c r="C741" i="11"/>
  <c r="B741" i="11"/>
  <c r="A741" i="11"/>
  <c r="N740" i="11"/>
  <c r="L740" i="11"/>
  <c r="K740" i="11"/>
  <c r="J740" i="11"/>
  <c r="I740" i="11"/>
  <c r="Q740" i="11" s="1"/>
  <c r="H740" i="11"/>
  <c r="G740" i="11"/>
  <c r="F740" i="11"/>
  <c r="E740" i="11"/>
  <c r="D740" i="11"/>
  <c r="C740" i="11"/>
  <c r="B740" i="11"/>
  <c r="A740" i="11"/>
  <c r="N739" i="11"/>
  <c r="L739" i="11"/>
  <c r="K739" i="11"/>
  <c r="J739" i="11"/>
  <c r="I739" i="11"/>
  <c r="H739" i="11"/>
  <c r="G739" i="11"/>
  <c r="F739" i="11"/>
  <c r="E739" i="11"/>
  <c r="D739" i="11"/>
  <c r="C739" i="11"/>
  <c r="B739" i="11"/>
  <c r="A739" i="11"/>
  <c r="N738" i="11"/>
  <c r="L738" i="11"/>
  <c r="K738" i="11"/>
  <c r="J738" i="11"/>
  <c r="I738" i="11"/>
  <c r="H738" i="11"/>
  <c r="G738" i="11"/>
  <c r="F738" i="11"/>
  <c r="E738" i="11"/>
  <c r="D738" i="11"/>
  <c r="C738" i="11"/>
  <c r="B738" i="11"/>
  <c r="A738" i="11"/>
  <c r="N737" i="11"/>
  <c r="L737" i="11"/>
  <c r="K737" i="11"/>
  <c r="J737" i="11"/>
  <c r="I737" i="11"/>
  <c r="H737" i="11"/>
  <c r="G737" i="11"/>
  <c r="F737" i="11"/>
  <c r="E737" i="11"/>
  <c r="D737" i="11"/>
  <c r="C737" i="11"/>
  <c r="B737" i="11"/>
  <c r="A737" i="11"/>
  <c r="N736" i="11"/>
  <c r="L736" i="11"/>
  <c r="K736" i="11"/>
  <c r="J736" i="11"/>
  <c r="I736" i="11"/>
  <c r="H736" i="11"/>
  <c r="G736" i="11"/>
  <c r="F736" i="11"/>
  <c r="E736" i="11"/>
  <c r="D736" i="11"/>
  <c r="C736" i="11"/>
  <c r="B736" i="11"/>
  <c r="A736" i="11"/>
  <c r="N735" i="11"/>
  <c r="L735" i="11"/>
  <c r="K735" i="11"/>
  <c r="J735" i="11"/>
  <c r="I735" i="11"/>
  <c r="H735" i="11"/>
  <c r="G735" i="11"/>
  <c r="F735" i="11"/>
  <c r="E735" i="11"/>
  <c r="D735" i="11"/>
  <c r="C735" i="11"/>
  <c r="B735" i="11"/>
  <c r="A735" i="11"/>
  <c r="N734" i="11"/>
  <c r="L734" i="11"/>
  <c r="K734" i="11"/>
  <c r="J734" i="11"/>
  <c r="I734" i="11"/>
  <c r="H734" i="11"/>
  <c r="G734" i="11"/>
  <c r="F734" i="11"/>
  <c r="E734" i="11"/>
  <c r="D734" i="11"/>
  <c r="C734" i="11"/>
  <c r="B734" i="11"/>
  <c r="A734" i="11"/>
  <c r="N733" i="11"/>
  <c r="L733" i="11"/>
  <c r="K733" i="11"/>
  <c r="J733" i="11"/>
  <c r="I733" i="11"/>
  <c r="H733" i="11"/>
  <c r="G733" i="11"/>
  <c r="F733" i="11"/>
  <c r="E733" i="11"/>
  <c r="D733" i="11"/>
  <c r="C733" i="11"/>
  <c r="B733" i="11"/>
  <c r="A733" i="11"/>
  <c r="N732" i="11"/>
  <c r="L732" i="11"/>
  <c r="K732" i="11"/>
  <c r="J732" i="11"/>
  <c r="I732" i="11"/>
  <c r="H732" i="11"/>
  <c r="G732" i="11"/>
  <c r="F732" i="11"/>
  <c r="E732" i="11"/>
  <c r="D732" i="11"/>
  <c r="C732" i="11"/>
  <c r="B732" i="11"/>
  <c r="A732" i="11"/>
  <c r="N731" i="11"/>
  <c r="L731" i="11"/>
  <c r="K731" i="11"/>
  <c r="J731" i="11"/>
  <c r="I731" i="11"/>
  <c r="G731" i="11"/>
  <c r="F731" i="11"/>
  <c r="E731" i="11"/>
  <c r="D731" i="11"/>
  <c r="C731" i="11"/>
  <c r="B731" i="11"/>
  <c r="A731" i="11"/>
  <c r="N730" i="11"/>
  <c r="L730" i="11"/>
  <c r="K730" i="11"/>
  <c r="J730" i="11"/>
  <c r="I730" i="11"/>
  <c r="G730" i="11"/>
  <c r="F730" i="11"/>
  <c r="E730" i="11"/>
  <c r="D730" i="11"/>
  <c r="C730" i="11"/>
  <c r="B730" i="11"/>
  <c r="A730" i="11"/>
  <c r="N729" i="11"/>
  <c r="L729" i="11"/>
  <c r="K729" i="11"/>
  <c r="J729" i="11"/>
  <c r="I729" i="11"/>
  <c r="G729" i="11"/>
  <c r="F729" i="11"/>
  <c r="E729" i="11"/>
  <c r="D729" i="11"/>
  <c r="C729" i="11"/>
  <c r="B729" i="11"/>
  <c r="A729" i="11"/>
  <c r="N728" i="11"/>
  <c r="L728" i="11"/>
  <c r="K728" i="11"/>
  <c r="J728" i="11"/>
  <c r="I728" i="11"/>
  <c r="G728" i="11"/>
  <c r="F728" i="11"/>
  <c r="E728" i="11"/>
  <c r="D728" i="11"/>
  <c r="C728" i="11"/>
  <c r="B728" i="11"/>
  <c r="A728" i="11"/>
  <c r="N727" i="11"/>
  <c r="L727" i="11"/>
  <c r="K727" i="11"/>
  <c r="J727" i="11"/>
  <c r="I727" i="11"/>
  <c r="G727" i="11"/>
  <c r="F727" i="11"/>
  <c r="E727" i="11"/>
  <c r="D727" i="11"/>
  <c r="C727" i="11"/>
  <c r="B727" i="11"/>
  <c r="A727" i="11"/>
  <c r="N726" i="11"/>
  <c r="L726" i="11"/>
  <c r="K726" i="11"/>
  <c r="J726" i="11"/>
  <c r="I726" i="11"/>
  <c r="G726" i="11"/>
  <c r="F726" i="11"/>
  <c r="E726" i="11"/>
  <c r="D726" i="11"/>
  <c r="C726" i="11"/>
  <c r="B726" i="11"/>
  <c r="A726" i="11"/>
  <c r="N725" i="11"/>
  <c r="L725" i="11"/>
  <c r="K725" i="11"/>
  <c r="J725" i="11"/>
  <c r="I725" i="11"/>
  <c r="G725" i="11"/>
  <c r="F725" i="11"/>
  <c r="E725" i="11"/>
  <c r="D725" i="11"/>
  <c r="C725" i="11"/>
  <c r="B725" i="11"/>
  <c r="A725" i="11"/>
  <c r="N724" i="11"/>
  <c r="L724" i="11"/>
  <c r="K724" i="11"/>
  <c r="J724" i="11"/>
  <c r="I724" i="11"/>
  <c r="G724" i="11"/>
  <c r="F724" i="11"/>
  <c r="E724" i="11"/>
  <c r="D724" i="11"/>
  <c r="C724" i="11"/>
  <c r="B724" i="11"/>
  <c r="A724" i="11"/>
  <c r="N723" i="11"/>
  <c r="L723" i="11"/>
  <c r="K723" i="11"/>
  <c r="J723" i="11"/>
  <c r="I723" i="11"/>
  <c r="G723" i="11"/>
  <c r="F723" i="11"/>
  <c r="E723" i="11"/>
  <c r="D723" i="11"/>
  <c r="C723" i="11"/>
  <c r="B723" i="11"/>
  <c r="A723" i="11"/>
  <c r="N722" i="11"/>
  <c r="L722" i="11"/>
  <c r="K722" i="11"/>
  <c r="J722" i="11"/>
  <c r="I722" i="11"/>
  <c r="G722" i="11"/>
  <c r="F722" i="11"/>
  <c r="E722" i="11"/>
  <c r="D722" i="11"/>
  <c r="C722" i="11"/>
  <c r="B722" i="11"/>
  <c r="A722" i="11"/>
  <c r="N721" i="11"/>
  <c r="L721" i="11"/>
  <c r="K721" i="11"/>
  <c r="J721" i="11"/>
  <c r="I721" i="11"/>
  <c r="G721" i="11"/>
  <c r="F721" i="11"/>
  <c r="E721" i="11"/>
  <c r="D721" i="11"/>
  <c r="C721" i="11"/>
  <c r="B721" i="11"/>
  <c r="A721" i="11"/>
  <c r="N720" i="11"/>
  <c r="L720" i="11"/>
  <c r="K720" i="11"/>
  <c r="J720" i="11"/>
  <c r="I720" i="11"/>
  <c r="G720" i="11"/>
  <c r="F720" i="11"/>
  <c r="E720" i="11"/>
  <c r="D720" i="11"/>
  <c r="C720" i="11"/>
  <c r="B720" i="11"/>
  <c r="A720" i="11"/>
  <c r="N719" i="11"/>
  <c r="L719" i="11"/>
  <c r="K719" i="11"/>
  <c r="J719" i="11"/>
  <c r="I719" i="11"/>
  <c r="G719" i="11"/>
  <c r="F719" i="11"/>
  <c r="E719" i="11"/>
  <c r="D719" i="11"/>
  <c r="C719" i="11"/>
  <c r="B719" i="11"/>
  <c r="A719" i="11"/>
  <c r="N718" i="11"/>
  <c r="L718" i="11"/>
  <c r="K718" i="11"/>
  <c r="J718" i="11"/>
  <c r="I718" i="11"/>
  <c r="G718" i="11"/>
  <c r="F718" i="11"/>
  <c r="E718" i="11"/>
  <c r="D718" i="11"/>
  <c r="C718" i="11"/>
  <c r="B718" i="11"/>
  <c r="A718" i="11"/>
  <c r="N717" i="11"/>
  <c r="L717" i="11"/>
  <c r="K717" i="11"/>
  <c r="J717" i="11"/>
  <c r="I717" i="11"/>
  <c r="H717" i="11"/>
  <c r="G717" i="11"/>
  <c r="F717" i="11"/>
  <c r="E717" i="11"/>
  <c r="D717" i="11"/>
  <c r="C717" i="11"/>
  <c r="B717" i="11"/>
  <c r="A717" i="11"/>
  <c r="N716" i="11"/>
  <c r="L716" i="11"/>
  <c r="K716" i="11"/>
  <c r="J716" i="11"/>
  <c r="I716" i="11"/>
  <c r="H716" i="11"/>
  <c r="G716" i="11"/>
  <c r="F716" i="11"/>
  <c r="E716" i="11"/>
  <c r="D716" i="11"/>
  <c r="C716" i="11"/>
  <c r="B716" i="11"/>
  <c r="A716" i="11"/>
  <c r="N715" i="11"/>
  <c r="L715" i="11"/>
  <c r="K715" i="11"/>
  <c r="J715" i="11"/>
  <c r="I715" i="11"/>
  <c r="H715" i="11"/>
  <c r="G715" i="11"/>
  <c r="F715" i="11"/>
  <c r="E715" i="11"/>
  <c r="D715" i="11"/>
  <c r="C715" i="11"/>
  <c r="B715" i="11"/>
  <c r="A715" i="11"/>
  <c r="N714" i="11"/>
  <c r="L714" i="11"/>
  <c r="K714" i="11"/>
  <c r="J714" i="11"/>
  <c r="I714" i="11"/>
  <c r="H714" i="11"/>
  <c r="G714" i="11"/>
  <c r="F714" i="11"/>
  <c r="E714" i="11"/>
  <c r="D714" i="11"/>
  <c r="C714" i="11"/>
  <c r="B714" i="11"/>
  <c r="A714" i="11"/>
  <c r="N713" i="11"/>
  <c r="L713" i="11"/>
  <c r="K713" i="11"/>
  <c r="J713" i="11"/>
  <c r="I713" i="11"/>
  <c r="H713" i="11"/>
  <c r="G713" i="11"/>
  <c r="F713" i="11"/>
  <c r="E713" i="11"/>
  <c r="D713" i="11"/>
  <c r="C713" i="11"/>
  <c r="B713" i="11"/>
  <c r="A713" i="11"/>
  <c r="N712" i="11"/>
  <c r="L712" i="11"/>
  <c r="K712" i="11"/>
  <c r="J712" i="11"/>
  <c r="I712" i="11"/>
  <c r="H712" i="11"/>
  <c r="G712" i="11"/>
  <c r="F712" i="11"/>
  <c r="E712" i="11"/>
  <c r="D712" i="11"/>
  <c r="C712" i="11"/>
  <c r="B712" i="11"/>
  <c r="A712" i="11"/>
  <c r="N711" i="11"/>
  <c r="L711" i="11"/>
  <c r="K711" i="11"/>
  <c r="J711" i="11"/>
  <c r="I711" i="11"/>
  <c r="Q711" i="11" s="1"/>
  <c r="H711" i="11"/>
  <c r="G711" i="11"/>
  <c r="F711" i="11"/>
  <c r="E711" i="11"/>
  <c r="D711" i="11"/>
  <c r="C711" i="11"/>
  <c r="B711" i="11"/>
  <c r="A711" i="11"/>
  <c r="N710" i="11"/>
  <c r="L710" i="11"/>
  <c r="K710" i="11"/>
  <c r="J710" i="11"/>
  <c r="I710" i="11"/>
  <c r="G710" i="11"/>
  <c r="F710" i="11"/>
  <c r="E710" i="11"/>
  <c r="D710" i="11"/>
  <c r="C710" i="11"/>
  <c r="B710" i="11"/>
  <c r="A710" i="11"/>
  <c r="N709" i="11"/>
  <c r="L709" i="11"/>
  <c r="K709" i="11"/>
  <c r="J709" i="11"/>
  <c r="I709" i="11"/>
  <c r="H709" i="11"/>
  <c r="G709" i="11"/>
  <c r="F709" i="11"/>
  <c r="E709" i="11"/>
  <c r="D709" i="11"/>
  <c r="C709" i="11"/>
  <c r="B709" i="11"/>
  <c r="A709" i="11"/>
  <c r="N708" i="11"/>
  <c r="L708" i="11"/>
  <c r="K708" i="11"/>
  <c r="J708" i="11"/>
  <c r="I708" i="11"/>
  <c r="G708" i="11"/>
  <c r="F708" i="11"/>
  <c r="E708" i="11"/>
  <c r="D708" i="11"/>
  <c r="C708" i="11"/>
  <c r="B708" i="11"/>
  <c r="A708" i="11"/>
  <c r="N707" i="11"/>
  <c r="L707" i="11"/>
  <c r="K707" i="11"/>
  <c r="J707" i="11"/>
  <c r="I707" i="11"/>
  <c r="H707" i="11"/>
  <c r="G707" i="11"/>
  <c r="F707" i="11"/>
  <c r="E707" i="11"/>
  <c r="D707" i="11"/>
  <c r="C707" i="11"/>
  <c r="B707" i="11"/>
  <c r="A707" i="11"/>
  <c r="N706" i="11"/>
  <c r="L706" i="11"/>
  <c r="K706" i="11"/>
  <c r="J706" i="11"/>
  <c r="I706" i="11"/>
  <c r="Q706" i="11" s="1"/>
  <c r="H706" i="11"/>
  <c r="G706" i="11"/>
  <c r="F706" i="11"/>
  <c r="E706" i="11"/>
  <c r="D706" i="11"/>
  <c r="C706" i="11"/>
  <c r="B706" i="11"/>
  <c r="A706" i="11"/>
  <c r="N705" i="11"/>
  <c r="L705" i="11"/>
  <c r="K705" i="11"/>
  <c r="J705" i="11"/>
  <c r="I705" i="11"/>
  <c r="G705" i="11"/>
  <c r="F705" i="11"/>
  <c r="E705" i="11"/>
  <c r="D705" i="11"/>
  <c r="C705" i="11"/>
  <c r="B705" i="11"/>
  <c r="A705" i="11"/>
  <c r="N704" i="11"/>
  <c r="L704" i="11"/>
  <c r="K704" i="11"/>
  <c r="J704" i="11"/>
  <c r="I704" i="11"/>
  <c r="H704" i="11"/>
  <c r="G704" i="11"/>
  <c r="F704" i="11"/>
  <c r="E704" i="11"/>
  <c r="D704" i="11"/>
  <c r="C704" i="11"/>
  <c r="B704" i="11"/>
  <c r="A704" i="11"/>
  <c r="N703" i="11"/>
  <c r="L703" i="11"/>
  <c r="K703" i="11"/>
  <c r="J703" i="11"/>
  <c r="I703" i="11"/>
  <c r="H703" i="11"/>
  <c r="G703" i="11"/>
  <c r="F703" i="11"/>
  <c r="E703" i="11"/>
  <c r="D703" i="11"/>
  <c r="C703" i="11"/>
  <c r="B703" i="11"/>
  <c r="A703" i="11"/>
  <c r="N702" i="11"/>
  <c r="L702" i="11"/>
  <c r="K702" i="11"/>
  <c r="J702" i="11"/>
  <c r="I702" i="11"/>
  <c r="H702" i="11"/>
  <c r="G702" i="11"/>
  <c r="F702" i="11"/>
  <c r="E702" i="11"/>
  <c r="D702" i="11"/>
  <c r="C702" i="11"/>
  <c r="B702" i="11"/>
  <c r="A702" i="11"/>
  <c r="N701" i="11"/>
  <c r="L701" i="11"/>
  <c r="K701" i="11"/>
  <c r="J701" i="11"/>
  <c r="I701" i="11"/>
  <c r="H701" i="11"/>
  <c r="G701" i="11"/>
  <c r="F701" i="11"/>
  <c r="E701" i="11"/>
  <c r="D701" i="11"/>
  <c r="C701" i="11"/>
  <c r="B701" i="11"/>
  <c r="A701" i="11"/>
  <c r="N700" i="11"/>
  <c r="L700" i="11"/>
  <c r="K700" i="11"/>
  <c r="J700" i="11"/>
  <c r="I700" i="11"/>
  <c r="H700" i="11"/>
  <c r="G700" i="11"/>
  <c r="F700" i="11"/>
  <c r="E700" i="11"/>
  <c r="D700" i="11"/>
  <c r="C700" i="11"/>
  <c r="B700" i="11"/>
  <c r="A700" i="11"/>
  <c r="N699" i="11"/>
  <c r="L699" i="11"/>
  <c r="K699" i="11"/>
  <c r="J699" i="11"/>
  <c r="I699" i="11"/>
  <c r="H699" i="11"/>
  <c r="G699" i="11"/>
  <c r="F699" i="11"/>
  <c r="E699" i="11"/>
  <c r="D699" i="11"/>
  <c r="C699" i="11"/>
  <c r="B699" i="11"/>
  <c r="A699" i="11"/>
  <c r="N698" i="11"/>
  <c r="L698" i="11"/>
  <c r="K698" i="11"/>
  <c r="J698" i="11"/>
  <c r="I698" i="11"/>
  <c r="H698" i="11"/>
  <c r="G698" i="11"/>
  <c r="F698" i="11"/>
  <c r="E698" i="11"/>
  <c r="D698" i="11"/>
  <c r="C698" i="11"/>
  <c r="B698" i="11"/>
  <c r="A698" i="11"/>
  <c r="N697" i="11"/>
  <c r="L697" i="11"/>
  <c r="K697" i="11"/>
  <c r="J697" i="11"/>
  <c r="I697" i="11"/>
  <c r="H697" i="11"/>
  <c r="G697" i="11"/>
  <c r="F697" i="11"/>
  <c r="E697" i="11"/>
  <c r="D697" i="11"/>
  <c r="C697" i="11"/>
  <c r="B697" i="11"/>
  <c r="A697" i="11"/>
  <c r="N696" i="11"/>
  <c r="L696" i="11"/>
  <c r="K696" i="11"/>
  <c r="J696" i="11"/>
  <c r="I696" i="11"/>
  <c r="G696" i="11"/>
  <c r="F696" i="11"/>
  <c r="E696" i="11"/>
  <c r="D696" i="11"/>
  <c r="C696" i="11"/>
  <c r="B696" i="11"/>
  <c r="A696" i="11"/>
  <c r="N695" i="11"/>
  <c r="L695" i="11"/>
  <c r="K695" i="11"/>
  <c r="J695" i="11"/>
  <c r="I695" i="11"/>
  <c r="G695" i="11"/>
  <c r="F695" i="11"/>
  <c r="E695" i="11"/>
  <c r="D695" i="11"/>
  <c r="C695" i="11"/>
  <c r="B695" i="11"/>
  <c r="A695" i="11"/>
  <c r="N694" i="11"/>
  <c r="L694" i="11"/>
  <c r="K694" i="11"/>
  <c r="J694" i="11"/>
  <c r="I694" i="11"/>
  <c r="G694" i="11"/>
  <c r="F694" i="11"/>
  <c r="E694" i="11"/>
  <c r="D694" i="11"/>
  <c r="C694" i="11"/>
  <c r="B694" i="11"/>
  <c r="A694" i="11"/>
  <c r="N693" i="11"/>
  <c r="L693" i="11"/>
  <c r="K693" i="11"/>
  <c r="J693" i="11"/>
  <c r="I693" i="11"/>
  <c r="G693" i="11"/>
  <c r="F693" i="11"/>
  <c r="E693" i="11"/>
  <c r="D693" i="11"/>
  <c r="C693" i="11"/>
  <c r="B693" i="11"/>
  <c r="A693" i="11"/>
  <c r="N692" i="11"/>
  <c r="L692" i="11"/>
  <c r="K692" i="11"/>
  <c r="J692" i="11"/>
  <c r="I692" i="11"/>
  <c r="G692" i="11"/>
  <c r="F692" i="11"/>
  <c r="E692" i="11"/>
  <c r="D692" i="11"/>
  <c r="C692" i="11"/>
  <c r="B692" i="11"/>
  <c r="A692" i="11"/>
  <c r="N691" i="11"/>
  <c r="L691" i="11"/>
  <c r="K691" i="11"/>
  <c r="J691" i="11"/>
  <c r="I691" i="11"/>
  <c r="G691" i="11"/>
  <c r="F691" i="11"/>
  <c r="E691" i="11"/>
  <c r="D691" i="11"/>
  <c r="C691" i="11"/>
  <c r="B691" i="11"/>
  <c r="A691" i="11"/>
  <c r="N690" i="11"/>
  <c r="L690" i="11"/>
  <c r="K690" i="11"/>
  <c r="J690" i="11"/>
  <c r="I690" i="11"/>
  <c r="G690" i="11"/>
  <c r="F690" i="11"/>
  <c r="E690" i="11"/>
  <c r="D690" i="11"/>
  <c r="C690" i="11"/>
  <c r="B690" i="11"/>
  <c r="A690" i="11"/>
  <c r="N689" i="11"/>
  <c r="L689" i="11"/>
  <c r="K689" i="11"/>
  <c r="J689" i="11"/>
  <c r="I689" i="11"/>
  <c r="G689" i="11"/>
  <c r="F689" i="11"/>
  <c r="E689" i="11"/>
  <c r="D689" i="11"/>
  <c r="C689" i="11"/>
  <c r="B689" i="11"/>
  <c r="A689" i="11"/>
  <c r="N688" i="11"/>
  <c r="L688" i="11"/>
  <c r="K688" i="11"/>
  <c r="J688" i="11"/>
  <c r="I688" i="11"/>
  <c r="G688" i="11"/>
  <c r="F688" i="11"/>
  <c r="E688" i="11"/>
  <c r="D688" i="11"/>
  <c r="C688" i="11"/>
  <c r="B688" i="11"/>
  <c r="A688" i="11"/>
  <c r="N687" i="11"/>
  <c r="L687" i="11"/>
  <c r="K687" i="11"/>
  <c r="J687" i="11"/>
  <c r="I687" i="11"/>
  <c r="G687" i="11"/>
  <c r="F687" i="11"/>
  <c r="E687" i="11"/>
  <c r="D687" i="11"/>
  <c r="C687" i="11"/>
  <c r="B687" i="11"/>
  <c r="A687" i="11"/>
  <c r="N686" i="11"/>
  <c r="L686" i="11"/>
  <c r="K686" i="11"/>
  <c r="J686" i="11"/>
  <c r="I686" i="11"/>
  <c r="G686" i="11"/>
  <c r="F686" i="11"/>
  <c r="E686" i="11"/>
  <c r="D686" i="11"/>
  <c r="C686" i="11"/>
  <c r="B686" i="11"/>
  <c r="A686" i="11"/>
  <c r="N685" i="11"/>
  <c r="L685" i="11"/>
  <c r="K685" i="11"/>
  <c r="J685" i="11"/>
  <c r="I685" i="11"/>
  <c r="G685" i="11"/>
  <c r="F685" i="11"/>
  <c r="E685" i="11"/>
  <c r="D685" i="11"/>
  <c r="C685" i="11"/>
  <c r="B685" i="11"/>
  <c r="A685" i="11"/>
  <c r="N684" i="11"/>
  <c r="L684" i="11"/>
  <c r="K684" i="11"/>
  <c r="J684" i="11"/>
  <c r="I684" i="11"/>
  <c r="G684" i="11"/>
  <c r="F684" i="11"/>
  <c r="E684" i="11"/>
  <c r="D684" i="11"/>
  <c r="C684" i="11"/>
  <c r="B684" i="11"/>
  <c r="A684" i="11"/>
  <c r="N683" i="11"/>
  <c r="L683" i="11"/>
  <c r="K683" i="11"/>
  <c r="J683" i="11"/>
  <c r="I683" i="11"/>
  <c r="G683" i="11"/>
  <c r="F683" i="11"/>
  <c r="E683" i="11"/>
  <c r="D683" i="11"/>
  <c r="C683" i="11"/>
  <c r="B683" i="11"/>
  <c r="A683" i="11"/>
  <c r="N682" i="11"/>
  <c r="L682" i="11"/>
  <c r="K682" i="11"/>
  <c r="J682" i="11"/>
  <c r="I682" i="11"/>
  <c r="G682" i="11"/>
  <c r="F682" i="11"/>
  <c r="E682" i="11"/>
  <c r="D682" i="11"/>
  <c r="C682" i="11"/>
  <c r="B682" i="11"/>
  <c r="A682" i="11"/>
  <c r="N681" i="11"/>
  <c r="L681" i="11"/>
  <c r="K681" i="11"/>
  <c r="J681" i="11"/>
  <c r="I681" i="11"/>
  <c r="G681" i="11"/>
  <c r="F681" i="11"/>
  <c r="E681" i="11"/>
  <c r="D681" i="11"/>
  <c r="C681" i="11"/>
  <c r="B681" i="11"/>
  <c r="A681" i="11"/>
  <c r="N680" i="11"/>
  <c r="L680" i="11"/>
  <c r="K680" i="11"/>
  <c r="J680" i="11"/>
  <c r="I680" i="11"/>
  <c r="G680" i="11"/>
  <c r="F680" i="11"/>
  <c r="E680" i="11"/>
  <c r="D680" i="11"/>
  <c r="C680" i="11"/>
  <c r="B680" i="11"/>
  <c r="A680" i="11"/>
  <c r="N679" i="11"/>
  <c r="L679" i="11"/>
  <c r="K679" i="11"/>
  <c r="J679" i="11"/>
  <c r="I679" i="11"/>
  <c r="G679" i="11"/>
  <c r="F679" i="11"/>
  <c r="E679" i="11"/>
  <c r="D679" i="11"/>
  <c r="C679" i="11"/>
  <c r="B679" i="11"/>
  <c r="A679" i="11"/>
  <c r="N678" i="11"/>
  <c r="L678" i="11"/>
  <c r="K678" i="11"/>
  <c r="J678" i="11"/>
  <c r="I678" i="11"/>
  <c r="G678" i="11"/>
  <c r="F678" i="11"/>
  <c r="E678" i="11"/>
  <c r="D678" i="11"/>
  <c r="C678" i="11"/>
  <c r="B678" i="11"/>
  <c r="A678" i="11"/>
  <c r="N677" i="11"/>
  <c r="L677" i="11"/>
  <c r="K677" i="11"/>
  <c r="J677" i="11"/>
  <c r="I677" i="11"/>
  <c r="G677" i="11"/>
  <c r="F677" i="11"/>
  <c r="E677" i="11"/>
  <c r="D677" i="11"/>
  <c r="C677" i="11"/>
  <c r="B677" i="11"/>
  <c r="A677" i="11"/>
  <c r="N676" i="11"/>
  <c r="L676" i="11"/>
  <c r="K676" i="11"/>
  <c r="J676" i="11"/>
  <c r="I676" i="11"/>
  <c r="G676" i="11"/>
  <c r="F676" i="11"/>
  <c r="E676" i="11"/>
  <c r="D676" i="11"/>
  <c r="C676" i="11"/>
  <c r="B676" i="11"/>
  <c r="A676" i="11"/>
  <c r="N675" i="11"/>
  <c r="L675" i="11"/>
  <c r="K675" i="11"/>
  <c r="J675" i="11"/>
  <c r="I675" i="11"/>
  <c r="G675" i="11"/>
  <c r="F675" i="11"/>
  <c r="E675" i="11"/>
  <c r="D675" i="11"/>
  <c r="C675" i="11"/>
  <c r="B675" i="11"/>
  <c r="A675" i="11"/>
  <c r="N674" i="11"/>
  <c r="L674" i="11"/>
  <c r="K674" i="11"/>
  <c r="J674" i="11"/>
  <c r="I674" i="11"/>
  <c r="H674" i="11"/>
  <c r="G674" i="11"/>
  <c r="F674" i="11"/>
  <c r="E674" i="11"/>
  <c r="D674" i="11"/>
  <c r="C674" i="11"/>
  <c r="B674" i="11"/>
  <c r="A674" i="11"/>
  <c r="N673" i="11"/>
  <c r="L673" i="11"/>
  <c r="K673" i="11"/>
  <c r="J673" i="11"/>
  <c r="I673" i="11"/>
  <c r="H673" i="11"/>
  <c r="G673" i="11"/>
  <c r="F673" i="11"/>
  <c r="E673" i="11"/>
  <c r="D673" i="11"/>
  <c r="C673" i="11"/>
  <c r="B673" i="11"/>
  <c r="A673" i="11"/>
  <c r="N672" i="11"/>
  <c r="L672" i="11"/>
  <c r="K672" i="11"/>
  <c r="J672" i="11"/>
  <c r="I672" i="11"/>
  <c r="G672" i="11"/>
  <c r="F672" i="11"/>
  <c r="E672" i="11"/>
  <c r="D672" i="11"/>
  <c r="C672" i="11"/>
  <c r="B672" i="11"/>
  <c r="A672" i="11"/>
  <c r="N671" i="11"/>
  <c r="L671" i="11"/>
  <c r="K671" i="11"/>
  <c r="J671" i="11"/>
  <c r="I671" i="11"/>
  <c r="H671" i="11"/>
  <c r="G671" i="11"/>
  <c r="F671" i="11"/>
  <c r="E671" i="11"/>
  <c r="D671" i="11"/>
  <c r="C671" i="11"/>
  <c r="B671" i="11"/>
  <c r="A671" i="11"/>
  <c r="N670" i="11"/>
  <c r="L670" i="11"/>
  <c r="K670" i="11"/>
  <c r="J670" i="11"/>
  <c r="I670" i="11"/>
  <c r="H670" i="11"/>
  <c r="G670" i="11"/>
  <c r="F670" i="11"/>
  <c r="E670" i="11"/>
  <c r="D670" i="11"/>
  <c r="C670" i="11"/>
  <c r="B670" i="11"/>
  <c r="A670" i="11"/>
  <c r="N669" i="11"/>
  <c r="L669" i="11"/>
  <c r="K669" i="11"/>
  <c r="J669" i="11"/>
  <c r="I669" i="11"/>
  <c r="H669" i="11"/>
  <c r="G669" i="11"/>
  <c r="F669" i="11"/>
  <c r="E669" i="11"/>
  <c r="D669" i="11"/>
  <c r="C669" i="11"/>
  <c r="B669" i="11"/>
  <c r="A669" i="11"/>
  <c r="N668" i="11"/>
  <c r="L668" i="11"/>
  <c r="K668" i="11"/>
  <c r="J668" i="11"/>
  <c r="I668" i="11"/>
  <c r="H668" i="11"/>
  <c r="G668" i="11"/>
  <c r="F668" i="11"/>
  <c r="E668" i="11"/>
  <c r="D668" i="11"/>
  <c r="C668" i="11"/>
  <c r="B668" i="11"/>
  <c r="A668" i="11"/>
  <c r="N667" i="11"/>
  <c r="L667" i="11"/>
  <c r="K667" i="11"/>
  <c r="J667" i="11"/>
  <c r="I667" i="11"/>
  <c r="H667" i="11"/>
  <c r="G667" i="11"/>
  <c r="F667" i="11"/>
  <c r="E667" i="11"/>
  <c r="D667" i="11"/>
  <c r="C667" i="11"/>
  <c r="B667" i="11"/>
  <c r="A667" i="11"/>
  <c r="N666" i="11"/>
  <c r="L666" i="11"/>
  <c r="K666" i="11"/>
  <c r="J666" i="11"/>
  <c r="I666" i="11"/>
  <c r="G666" i="11"/>
  <c r="F666" i="11"/>
  <c r="E666" i="11"/>
  <c r="D666" i="11"/>
  <c r="C666" i="11"/>
  <c r="B666" i="11"/>
  <c r="A666" i="11"/>
  <c r="N665" i="11"/>
  <c r="L665" i="11"/>
  <c r="K665" i="11"/>
  <c r="J665" i="11"/>
  <c r="I665" i="11"/>
  <c r="Q665" i="11" s="1"/>
  <c r="H665" i="11"/>
  <c r="G665" i="11"/>
  <c r="F665" i="11"/>
  <c r="E665" i="11"/>
  <c r="D665" i="11"/>
  <c r="C665" i="11"/>
  <c r="B665" i="11"/>
  <c r="A665" i="11"/>
  <c r="N664" i="11"/>
  <c r="L664" i="11"/>
  <c r="K664" i="11"/>
  <c r="J664" i="11"/>
  <c r="I664" i="11"/>
  <c r="G664" i="11"/>
  <c r="F664" i="11"/>
  <c r="E664" i="11"/>
  <c r="D664" i="11"/>
  <c r="C664" i="11"/>
  <c r="B664" i="11"/>
  <c r="A664" i="11"/>
  <c r="N663" i="11"/>
  <c r="L663" i="11"/>
  <c r="K663" i="11"/>
  <c r="J663" i="11"/>
  <c r="I663" i="11"/>
  <c r="H663" i="11"/>
  <c r="G663" i="11"/>
  <c r="F663" i="11"/>
  <c r="E663" i="11"/>
  <c r="D663" i="11"/>
  <c r="C663" i="11"/>
  <c r="B663" i="11"/>
  <c r="A663" i="11"/>
  <c r="N662" i="11"/>
  <c r="L662" i="11"/>
  <c r="K662" i="11"/>
  <c r="J662" i="11"/>
  <c r="I662" i="11"/>
  <c r="G662" i="11"/>
  <c r="F662" i="11"/>
  <c r="E662" i="11"/>
  <c r="D662" i="11"/>
  <c r="C662" i="11"/>
  <c r="B662" i="11"/>
  <c r="A662" i="11"/>
  <c r="N661" i="11"/>
  <c r="L661" i="11"/>
  <c r="K661" i="11"/>
  <c r="J661" i="11"/>
  <c r="I661" i="11"/>
  <c r="H661" i="11"/>
  <c r="G661" i="11"/>
  <c r="F661" i="11"/>
  <c r="E661" i="11"/>
  <c r="D661" i="11"/>
  <c r="C661" i="11"/>
  <c r="B661" i="11"/>
  <c r="A661" i="11"/>
  <c r="N660" i="11"/>
  <c r="L660" i="11"/>
  <c r="K660" i="11"/>
  <c r="J660" i="11"/>
  <c r="I660" i="11"/>
  <c r="G660" i="11"/>
  <c r="F660" i="11"/>
  <c r="E660" i="11"/>
  <c r="D660" i="11"/>
  <c r="C660" i="11"/>
  <c r="B660" i="11"/>
  <c r="A660" i="11"/>
  <c r="N659" i="11"/>
  <c r="L659" i="11"/>
  <c r="K659" i="11"/>
  <c r="J659" i="11"/>
  <c r="I659" i="11"/>
  <c r="H659" i="11"/>
  <c r="G659" i="11"/>
  <c r="F659" i="11"/>
  <c r="E659" i="11"/>
  <c r="D659" i="11"/>
  <c r="C659" i="11"/>
  <c r="B659" i="11"/>
  <c r="A659" i="11"/>
  <c r="N658" i="11"/>
  <c r="L658" i="11"/>
  <c r="K658" i="11"/>
  <c r="J658" i="11"/>
  <c r="I658" i="11"/>
  <c r="H658" i="11"/>
  <c r="G658" i="11"/>
  <c r="F658" i="11"/>
  <c r="E658" i="11"/>
  <c r="D658" i="11"/>
  <c r="C658" i="11"/>
  <c r="B658" i="11"/>
  <c r="A658" i="11"/>
  <c r="N657" i="11"/>
  <c r="L657" i="11"/>
  <c r="K657" i="11"/>
  <c r="J657" i="11"/>
  <c r="I657" i="11"/>
  <c r="G657" i="11"/>
  <c r="F657" i="11"/>
  <c r="E657" i="11"/>
  <c r="D657" i="11"/>
  <c r="C657" i="11"/>
  <c r="B657" i="11"/>
  <c r="A657" i="11"/>
  <c r="N656" i="11"/>
  <c r="L656" i="11"/>
  <c r="K656" i="11"/>
  <c r="J656" i="11"/>
  <c r="I656" i="11"/>
  <c r="Q656" i="11" s="1"/>
  <c r="H656" i="11"/>
  <c r="G656" i="11"/>
  <c r="F656" i="11"/>
  <c r="E656" i="11"/>
  <c r="D656" i="11"/>
  <c r="C656" i="11"/>
  <c r="B656" i="11"/>
  <c r="A656" i="11"/>
  <c r="N655" i="11"/>
  <c r="L655" i="11"/>
  <c r="K655" i="11"/>
  <c r="J655" i="11"/>
  <c r="I655" i="11"/>
  <c r="G655" i="11"/>
  <c r="F655" i="11"/>
  <c r="E655" i="11"/>
  <c r="D655" i="11"/>
  <c r="C655" i="11"/>
  <c r="B655" i="11"/>
  <c r="A655" i="11"/>
  <c r="N654" i="11"/>
  <c r="L654" i="11"/>
  <c r="K654" i="11"/>
  <c r="J654" i="11"/>
  <c r="I654" i="11"/>
  <c r="H654" i="11"/>
  <c r="G654" i="11"/>
  <c r="F654" i="11"/>
  <c r="E654" i="11"/>
  <c r="D654" i="11"/>
  <c r="C654" i="11"/>
  <c r="B654" i="11"/>
  <c r="A654" i="11"/>
  <c r="N653" i="11"/>
  <c r="L653" i="11"/>
  <c r="K653" i="11"/>
  <c r="J653" i="11"/>
  <c r="I653" i="11"/>
  <c r="G653" i="11"/>
  <c r="F653" i="11"/>
  <c r="E653" i="11"/>
  <c r="D653" i="11"/>
  <c r="C653" i="11"/>
  <c r="B653" i="11"/>
  <c r="A653" i="11"/>
  <c r="N652" i="11"/>
  <c r="L652" i="11"/>
  <c r="K652" i="11"/>
  <c r="J652" i="11"/>
  <c r="I652" i="11"/>
  <c r="H652" i="11"/>
  <c r="G652" i="11"/>
  <c r="F652" i="11"/>
  <c r="E652" i="11"/>
  <c r="D652" i="11"/>
  <c r="C652" i="11"/>
  <c r="B652" i="11"/>
  <c r="A652" i="11"/>
  <c r="N651" i="11"/>
  <c r="L651" i="11"/>
  <c r="K651" i="11"/>
  <c r="J651" i="11"/>
  <c r="I651" i="11"/>
  <c r="G651" i="11"/>
  <c r="F651" i="11"/>
  <c r="E651" i="11"/>
  <c r="D651" i="11"/>
  <c r="C651" i="11"/>
  <c r="B651" i="11"/>
  <c r="A651" i="11"/>
  <c r="N650" i="11"/>
  <c r="L650" i="11"/>
  <c r="K650" i="11"/>
  <c r="J650" i="11"/>
  <c r="I650" i="11"/>
  <c r="H650" i="11"/>
  <c r="G650" i="11"/>
  <c r="F650" i="11"/>
  <c r="E650" i="11"/>
  <c r="D650" i="11"/>
  <c r="C650" i="11"/>
  <c r="B650" i="11"/>
  <c r="A650" i="11"/>
  <c r="N649" i="11"/>
  <c r="L649" i="11"/>
  <c r="K649" i="11"/>
  <c r="J649" i="11"/>
  <c r="I649" i="11"/>
  <c r="Q649" i="11" s="1"/>
  <c r="H649" i="11"/>
  <c r="G649" i="11"/>
  <c r="F649" i="11"/>
  <c r="E649" i="11"/>
  <c r="D649" i="11"/>
  <c r="C649" i="11"/>
  <c r="B649" i="11"/>
  <c r="A649" i="11"/>
  <c r="N648" i="11"/>
  <c r="L648" i="11"/>
  <c r="K648" i="11"/>
  <c r="J648" i="11"/>
  <c r="I648" i="11"/>
  <c r="G648" i="11"/>
  <c r="F648" i="11"/>
  <c r="E648" i="11"/>
  <c r="D648" i="11"/>
  <c r="C648" i="11"/>
  <c r="B648" i="11"/>
  <c r="A648" i="11"/>
  <c r="N647" i="11"/>
  <c r="L647" i="11"/>
  <c r="K647" i="11"/>
  <c r="J647" i="11"/>
  <c r="I647" i="11"/>
  <c r="H647" i="11"/>
  <c r="G647" i="11"/>
  <c r="F647" i="11"/>
  <c r="E647" i="11"/>
  <c r="D647" i="11"/>
  <c r="C647" i="11"/>
  <c r="B647" i="11"/>
  <c r="A647" i="11"/>
  <c r="N646" i="11"/>
  <c r="L646" i="11"/>
  <c r="K646" i="11"/>
  <c r="J646" i="11"/>
  <c r="I646" i="11"/>
  <c r="H646" i="11"/>
  <c r="G646" i="11"/>
  <c r="F646" i="11"/>
  <c r="E646" i="11"/>
  <c r="D646" i="11"/>
  <c r="C646" i="11"/>
  <c r="B646" i="11"/>
  <c r="A646" i="11"/>
  <c r="N645" i="11"/>
  <c r="L645" i="11"/>
  <c r="K645" i="11"/>
  <c r="J645" i="11"/>
  <c r="I645" i="11"/>
  <c r="G645" i="11"/>
  <c r="F645" i="11"/>
  <c r="E645" i="11"/>
  <c r="D645" i="11"/>
  <c r="C645" i="11"/>
  <c r="B645" i="11"/>
  <c r="A645" i="11"/>
  <c r="N644" i="11"/>
  <c r="L644" i="11"/>
  <c r="K644" i="11"/>
  <c r="J644" i="11"/>
  <c r="I644" i="11"/>
  <c r="H644" i="11"/>
  <c r="G644" i="11"/>
  <c r="F644" i="11"/>
  <c r="E644" i="11"/>
  <c r="D644" i="11"/>
  <c r="C644" i="11"/>
  <c r="B644" i="11"/>
  <c r="A644" i="11"/>
  <c r="N643" i="11"/>
  <c r="L643" i="11"/>
  <c r="K643" i="11"/>
  <c r="J643" i="11"/>
  <c r="I643" i="11"/>
  <c r="H643" i="11"/>
  <c r="G643" i="11"/>
  <c r="F643" i="11"/>
  <c r="E643" i="11"/>
  <c r="D643" i="11"/>
  <c r="C643" i="11"/>
  <c r="B643" i="11"/>
  <c r="A643" i="11"/>
  <c r="N642" i="11"/>
  <c r="L642" i="11"/>
  <c r="K642" i="11"/>
  <c r="J642" i="11"/>
  <c r="I642" i="11"/>
  <c r="H642" i="11"/>
  <c r="G642" i="11"/>
  <c r="F642" i="11"/>
  <c r="E642" i="11"/>
  <c r="D642" i="11"/>
  <c r="C642" i="11"/>
  <c r="B642" i="11"/>
  <c r="A642" i="11"/>
  <c r="N641" i="11"/>
  <c r="L641" i="11"/>
  <c r="K641" i="11"/>
  <c r="J641" i="11"/>
  <c r="I641" i="11"/>
  <c r="H641" i="11"/>
  <c r="G641" i="11"/>
  <c r="F641" i="11"/>
  <c r="E641" i="11"/>
  <c r="D641" i="11"/>
  <c r="C641" i="11"/>
  <c r="B641" i="11"/>
  <c r="A641" i="11"/>
  <c r="N640" i="11"/>
  <c r="L640" i="11"/>
  <c r="K640" i="11"/>
  <c r="J640" i="11"/>
  <c r="I640" i="11"/>
  <c r="G640" i="11"/>
  <c r="F640" i="11"/>
  <c r="E640" i="11"/>
  <c r="D640" i="11"/>
  <c r="C640" i="11"/>
  <c r="B640" i="11"/>
  <c r="A640" i="11"/>
  <c r="N639" i="11"/>
  <c r="L639" i="11"/>
  <c r="K639" i="11"/>
  <c r="J639" i="11"/>
  <c r="I639" i="11"/>
  <c r="G639" i="11"/>
  <c r="F639" i="11"/>
  <c r="E639" i="11"/>
  <c r="D639" i="11"/>
  <c r="C639" i="11"/>
  <c r="B639" i="11"/>
  <c r="A639" i="11"/>
  <c r="N638" i="11"/>
  <c r="L638" i="11"/>
  <c r="K638" i="11"/>
  <c r="J638" i="11"/>
  <c r="I638" i="11"/>
  <c r="G638" i="11"/>
  <c r="F638" i="11"/>
  <c r="E638" i="11"/>
  <c r="D638" i="11"/>
  <c r="C638" i="11"/>
  <c r="B638" i="11"/>
  <c r="A638" i="11"/>
  <c r="N637" i="11"/>
  <c r="L637" i="11"/>
  <c r="K637" i="11"/>
  <c r="J637" i="11"/>
  <c r="I637" i="11"/>
  <c r="G637" i="11"/>
  <c r="F637" i="11"/>
  <c r="E637" i="11"/>
  <c r="D637" i="11"/>
  <c r="C637" i="11"/>
  <c r="B637" i="11"/>
  <c r="A637" i="11"/>
  <c r="N636" i="11"/>
  <c r="L636" i="11"/>
  <c r="K636" i="11"/>
  <c r="J636" i="11"/>
  <c r="I636" i="11"/>
  <c r="G636" i="11"/>
  <c r="F636" i="11"/>
  <c r="E636" i="11"/>
  <c r="D636" i="11"/>
  <c r="C636" i="11"/>
  <c r="B636" i="11"/>
  <c r="A636" i="11"/>
  <c r="N635" i="11"/>
  <c r="L635" i="11"/>
  <c r="K635" i="11"/>
  <c r="J635" i="11"/>
  <c r="I635" i="11"/>
  <c r="G635" i="11"/>
  <c r="F635" i="11"/>
  <c r="E635" i="11"/>
  <c r="D635" i="11"/>
  <c r="C635" i="11"/>
  <c r="B635" i="11"/>
  <c r="A635" i="11"/>
  <c r="N634" i="11"/>
  <c r="L634" i="11"/>
  <c r="K634" i="11"/>
  <c r="J634" i="11"/>
  <c r="I634" i="11"/>
  <c r="G634" i="11"/>
  <c r="F634" i="11"/>
  <c r="E634" i="11"/>
  <c r="D634" i="11"/>
  <c r="C634" i="11"/>
  <c r="B634" i="11"/>
  <c r="A634" i="11"/>
  <c r="N633" i="11"/>
  <c r="L633" i="11"/>
  <c r="K633" i="11"/>
  <c r="J633" i="11"/>
  <c r="I633" i="11"/>
  <c r="G633" i="11"/>
  <c r="F633" i="11"/>
  <c r="E633" i="11"/>
  <c r="D633" i="11"/>
  <c r="C633" i="11"/>
  <c r="B633" i="11"/>
  <c r="A633" i="11"/>
  <c r="N632" i="11"/>
  <c r="L632" i="11"/>
  <c r="K632" i="11"/>
  <c r="J632" i="11"/>
  <c r="I632" i="11"/>
  <c r="G632" i="11"/>
  <c r="F632" i="11"/>
  <c r="E632" i="11"/>
  <c r="D632" i="11"/>
  <c r="C632" i="11"/>
  <c r="B632" i="11"/>
  <c r="A632" i="11"/>
  <c r="N631" i="11"/>
  <c r="L631" i="11"/>
  <c r="K631" i="11"/>
  <c r="J631" i="11"/>
  <c r="I631" i="11"/>
  <c r="G631" i="11"/>
  <c r="F631" i="11"/>
  <c r="E631" i="11"/>
  <c r="D631" i="11"/>
  <c r="C631" i="11"/>
  <c r="B631" i="11"/>
  <c r="A631" i="11"/>
  <c r="N630" i="11"/>
  <c r="L630" i="11"/>
  <c r="K630" i="11"/>
  <c r="J630" i="11"/>
  <c r="I630" i="11"/>
  <c r="G630" i="11"/>
  <c r="F630" i="11"/>
  <c r="E630" i="11"/>
  <c r="D630" i="11"/>
  <c r="C630" i="11"/>
  <c r="B630" i="11"/>
  <c r="A630" i="11"/>
  <c r="N629" i="11"/>
  <c r="L629" i="11"/>
  <c r="K629" i="11"/>
  <c r="J629" i="11"/>
  <c r="I629" i="11"/>
  <c r="G629" i="11"/>
  <c r="F629" i="11"/>
  <c r="E629" i="11"/>
  <c r="D629" i="11"/>
  <c r="C629" i="11"/>
  <c r="B629" i="11"/>
  <c r="A629" i="11"/>
  <c r="N628" i="11"/>
  <c r="L628" i="11"/>
  <c r="K628" i="11"/>
  <c r="J628" i="11"/>
  <c r="I628" i="11"/>
  <c r="G628" i="11"/>
  <c r="F628" i="11"/>
  <c r="E628" i="11"/>
  <c r="D628" i="11"/>
  <c r="C628" i="11"/>
  <c r="B628" i="11"/>
  <c r="A628" i="11"/>
  <c r="N627" i="11"/>
  <c r="L627" i="11"/>
  <c r="K627" i="11"/>
  <c r="J627" i="11"/>
  <c r="I627" i="11"/>
  <c r="G627" i="11"/>
  <c r="F627" i="11"/>
  <c r="E627" i="11"/>
  <c r="D627" i="11"/>
  <c r="C627" i="11"/>
  <c r="B627" i="11"/>
  <c r="A627" i="11"/>
  <c r="N626" i="11"/>
  <c r="L626" i="11"/>
  <c r="K626" i="11"/>
  <c r="J626" i="11"/>
  <c r="I626" i="11"/>
  <c r="G626" i="11"/>
  <c r="F626" i="11"/>
  <c r="E626" i="11"/>
  <c r="D626" i="11"/>
  <c r="C626" i="11"/>
  <c r="B626" i="11"/>
  <c r="A626" i="11"/>
  <c r="N625" i="11"/>
  <c r="L625" i="11"/>
  <c r="K625" i="11"/>
  <c r="J625" i="11"/>
  <c r="I625" i="11"/>
  <c r="G625" i="11"/>
  <c r="F625" i="11"/>
  <c r="E625" i="11"/>
  <c r="D625" i="11"/>
  <c r="C625" i="11"/>
  <c r="B625" i="11"/>
  <c r="A625" i="11"/>
  <c r="N624" i="11"/>
  <c r="L624" i="11"/>
  <c r="K624" i="11"/>
  <c r="J624" i="11"/>
  <c r="I624" i="11"/>
  <c r="G624" i="11"/>
  <c r="F624" i="11"/>
  <c r="E624" i="11"/>
  <c r="D624" i="11"/>
  <c r="C624" i="11"/>
  <c r="B624" i="11"/>
  <c r="A624" i="11"/>
  <c r="N623" i="11"/>
  <c r="L623" i="11"/>
  <c r="K623" i="11"/>
  <c r="J623" i="11"/>
  <c r="I623" i="11"/>
  <c r="G623" i="11"/>
  <c r="F623" i="11"/>
  <c r="E623" i="11"/>
  <c r="D623" i="11"/>
  <c r="C623" i="11"/>
  <c r="B623" i="11"/>
  <c r="A623" i="11"/>
  <c r="N622" i="11"/>
  <c r="L622" i="11"/>
  <c r="K622" i="11"/>
  <c r="J622" i="11"/>
  <c r="I622" i="11"/>
  <c r="G622" i="11"/>
  <c r="F622" i="11"/>
  <c r="E622" i="11"/>
  <c r="D622" i="11"/>
  <c r="C622" i="11"/>
  <c r="B622" i="11"/>
  <c r="A622" i="11"/>
  <c r="N621" i="11"/>
  <c r="L621" i="11"/>
  <c r="K621" i="11"/>
  <c r="J621" i="11"/>
  <c r="I621" i="11"/>
  <c r="G621" i="11"/>
  <c r="F621" i="11"/>
  <c r="E621" i="11"/>
  <c r="D621" i="11"/>
  <c r="C621" i="11"/>
  <c r="B621" i="11"/>
  <c r="A621" i="11"/>
  <c r="N620" i="11"/>
  <c r="L620" i="11"/>
  <c r="K620" i="11"/>
  <c r="J620" i="11"/>
  <c r="I620" i="11"/>
  <c r="G620" i="11"/>
  <c r="F620" i="11"/>
  <c r="E620" i="11"/>
  <c r="D620" i="11"/>
  <c r="C620" i="11"/>
  <c r="B620" i="11"/>
  <c r="A620" i="11"/>
  <c r="N619" i="11"/>
  <c r="L619" i="11"/>
  <c r="K619" i="11"/>
  <c r="J619" i="11"/>
  <c r="I619" i="11"/>
  <c r="H619" i="11"/>
  <c r="G619" i="11"/>
  <c r="F619" i="11"/>
  <c r="E619" i="11"/>
  <c r="D619" i="11"/>
  <c r="C619" i="11"/>
  <c r="B619" i="11"/>
  <c r="A619" i="11"/>
  <c r="N618" i="11"/>
  <c r="L618" i="11"/>
  <c r="K618" i="11"/>
  <c r="J618" i="11"/>
  <c r="I618" i="11"/>
  <c r="Q618" i="11" s="1"/>
  <c r="H618" i="11"/>
  <c r="G618" i="11"/>
  <c r="F618" i="11"/>
  <c r="E618" i="11"/>
  <c r="D618" i="11"/>
  <c r="C618" i="11"/>
  <c r="B618" i="11"/>
  <c r="A618" i="11"/>
  <c r="N617" i="11"/>
  <c r="L617" i="11"/>
  <c r="K617" i="11"/>
  <c r="J617" i="11"/>
  <c r="I617" i="11"/>
  <c r="H617" i="11"/>
  <c r="G617" i="11"/>
  <c r="F617" i="11"/>
  <c r="E617" i="11"/>
  <c r="D617" i="11"/>
  <c r="C617" i="11"/>
  <c r="B617" i="11"/>
  <c r="A617" i="11"/>
  <c r="N616" i="11"/>
  <c r="L616" i="11"/>
  <c r="K616" i="11"/>
  <c r="J616" i="11"/>
  <c r="I616" i="11"/>
  <c r="H616" i="11"/>
  <c r="G616" i="11"/>
  <c r="F616" i="11"/>
  <c r="E616" i="11"/>
  <c r="D616" i="11"/>
  <c r="C616" i="11"/>
  <c r="B616" i="11"/>
  <c r="A616" i="11"/>
  <c r="N615" i="11"/>
  <c r="L615" i="11"/>
  <c r="K615" i="11"/>
  <c r="J615" i="11"/>
  <c r="I615" i="11"/>
  <c r="Q615" i="11" s="1"/>
  <c r="H615" i="11"/>
  <c r="G615" i="11"/>
  <c r="F615" i="11"/>
  <c r="E615" i="11"/>
  <c r="D615" i="11"/>
  <c r="C615" i="11"/>
  <c r="B615" i="11"/>
  <c r="A615" i="11"/>
  <c r="N614" i="11"/>
  <c r="L614" i="11"/>
  <c r="K614" i="11"/>
  <c r="J614" i="11"/>
  <c r="I614" i="11"/>
  <c r="H614" i="11"/>
  <c r="G614" i="11"/>
  <c r="F614" i="11"/>
  <c r="E614" i="11"/>
  <c r="D614" i="11"/>
  <c r="C614" i="11"/>
  <c r="B614" i="11"/>
  <c r="A614" i="11"/>
  <c r="N613" i="11"/>
  <c r="L613" i="11"/>
  <c r="K613" i="11"/>
  <c r="J613" i="11"/>
  <c r="I613" i="11"/>
  <c r="H613" i="11"/>
  <c r="G613" i="11"/>
  <c r="F613" i="11"/>
  <c r="E613" i="11"/>
  <c r="D613" i="11"/>
  <c r="C613" i="11"/>
  <c r="B613" i="11"/>
  <c r="A613" i="11"/>
  <c r="N612" i="11"/>
  <c r="L612" i="11"/>
  <c r="K612" i="11"/>
  <c r="J612" i="11"/>
  <c r="I612" i="11"/>
  <c r="H612" i="11"/>
  <c r="G612" i="11"/>
  <c r="F612" i="11"/>
  <c r="E612" i="11"/>
  <c r="D612" i="11"/>
  <c r="C612" i="11"/>
  <c r="B612" i="11"/>
  <c r="A612" i="11"/>
  <c r="N611" i="11"/>
  <c r="L611" i="11"/>
  <c r="K611" i="11"/>
  <c r="J611" i="11"/>
  <c r="I611" i="11"/>
  <c r="H611" i="11"/>
  <c r="G611" i="11"/>
  <c r="F611" i="11"/>
  <c r="E611" i="11"/>
  <c r="D611" i="11"/>
  <c r="C611" i="11"/>
  <c r="B611" i="11"/>
  <c r="A611" i="11"/>
  <c r="N610" i="11"/>
  <c r="L610" i="11"/>
  <c r="K610" i="11"/>
  <c r="J610" i="11"/>
  <c r="I610" i="11"/>
  <c r="H610" i="11"/>
  <c r="G610" i="11"/>
  <c r="F610" i="11"/>
  <c r="E610" i="11"/>
  <c r="D610" i="11"/>
  <c r="C610" i="11"/>
  <c r="B610" i="11"/>
  <c r="A610" i="11"/>
  <c r="N609" i="11"/>
  <c r="L609" i="11"/>
  <c r="K609" i="11"/>
  <c r="J609" i="11"/>
  <c r="I609" i="11"/>
  <c r="H609" i="11"/>
  <c r="G609" i="11"/>
  <c r="F609" i="11"/>
  <c r="E609" i="11"/>
  <c r="D609" i="11"/>
  <c r="C609" i="11"/>
  <c r="B609" i="11"/>
  <c r="A609" i="11"/>
  <c r="N608" i="11"/>
  <c r="L608" i="11"/>
  <c r="K608" i="11"/>
  <c r="J608" i="11"/>
  <c r="I608" i="11"/>
  <c r="H608" i="11"/>
  <c r="G608" i="11"/>
  <c r="F608" i="11"/>
  <c r="E608" i="11"/>
  <c r="D608" i="11"/>
  <c r="C608" i="11"/>
  <c r="B608" i="11"/>
  <c r="A608" i="11"/>
  <c r="N607" i="11"/>
  <c r="L607" i="11"/>
  <c r="K607" i="11"/>
  <c r="J607" i="11"/>
  <c r="I607" i="11"/>
  <c r="H607" i="11"/>
  <c r="G607" i="11"/>
  <c r="F607" i="11"/>
  <c r="E607" i="11"/>
  <c r="D607" i="11"/>
  <c r="C607" i="11"/>
  <c r="B607" i="11"/>
  <c r="A607" i="11"/>
  <c r="N606" i="11"/>
  <c r="L606" i="11"/>
  <c r="K606" i="11"/>
  <c r="J606" i="11"/>
  <c r="I606" i="11"/>
  <c r="H606" i="11"/>
  <c r="G606" i="11"/>
  <c r="F606" i="11"/>
  <c r="E606" i="11"/>
  <c r="D606" i="11"/>
  <c r="C606" i="11"/>
  <c r="B606" i="11"/>
  <c r="A606" i="11"/>
  <c r="N605" i="11"/>
  <c r="L605" i="11"/>
  <c r="K605" i="11"/>
  <c r="J605" i="11"/>
  <c r="I605" i="11"/>
  <c r="H605" i="11"/>
  <c r="G605" i="11"/>
  <c r="F605" i="11"/>
  <c r="E605" i="11"/>
  <c r="D605" i="11"/>
  <c r="C605" i="11"/>
  <c r="B605" i="11"/>
  <c r="A605" i="11"/>
  <c r="N604" i="11"/>
  <c r="L604" i="11"/>
  <c r="K604" i="11"/>
  <c r="J604" i="11"/>
  <c r="I604" i="11"/>
  <c r="H604" i="11"/>
  <c r="G604" i="11"/>
  <c r="F604" i="11"/>
  <c r="E604" i="11"/>
  <c r="D604" i="11"/>
  <c r="C604" i="11"/>
  <c r="B604" i="11"/>
  <c r="A604" i="11"/>
  <c r="N603" i="11"/>
  <c r="L603" i="11"/>
  <c r="K603" i="11"/>
  <c r="J603" i="11"/>
  <c r="I603" i="11"/>
  <c r="G603" i="11"/>
  <c r="F603" i="11"/>
  <c r="E603" i="11"/>
  <c r="D603" i="11"/>
  <c r="C603" i="11"/>
  <c r="B603" i="11"/>
  <c r="A603" i="11"/>
  <c r="N602" i="11"/>
  <c r="L602" i="11"/>
  <c r="K602" i="11"/>
  <c r="J602" i="11"/>
  <c r="I602" i="11"/>
  <c r="G602" i="11"/>
  <c r="F602" i="11"/>
  <c r="E602" i="11"/>
  <c r="D602" i="11"/>
  <c r="C602" i="11"/>
  <c r="B602" i="11"/>
  <c r="A602" i="11"/>
  <c r="N601" i="11"/>
  <c r="L601" i="11"/>
  <c r="K601" i="11"/>
  <c r="J601" i="11"/>
  <c r="I601" i="11"/>
  <c r="G601" i="11"/>
  <c r="F601" i="11"/>
  <c r="E601" i="11"/>
  <c r="D601" i="11"/>
  <c r="C601" i="11"/>
  <c r="B601" i="11"/>
  <c r="A601" i="11"/>
  <c r="N600" i="11"/>
  <c r="L600" i="11"/>
  <c r="K600" i="11"/>
  <c r="J600" i="11"/>
  <c r="I600" i="11"/>
  <c r="G600" i="11"/>
  <c r="F600" i="11"/>
  <c r="E600" i="11"/>
  <c r="D600" i="11"/>
  <c r="C600" i="11"/>
  <c r="B600" i="11"/>
  <c r="A600" i="11"/>
  <c r="N599" i="11"/>
  <c r="L599" i="11"/>
  <c r="K599" i="11"/>
  <c r="J599" i="11"/>
  <c r="I599" i="11"/>
  <c r="G599" i="11"/>
  <c r="F599" i="11"/>
  <c r="E599" i="11"/>
  <c r="D599" i="11"/>
  <c r="C599" i="11"/>
  <c r="B599" i="11"/>
  <c r="A599" i="11"/>
  <c r="N598" i="11"/>
  <c r="L598" i="11"/>
  <c r="K598" i="11"/>
  <c r="J598" i="11"/>
  <c r="I598" i="11"/>
  <c r="G598" i="11"/>
  <c r="F598" i="11"/>
  <c r="E598" i="11"/>
  <c r="D598" i="11"/>
  <c r="C598" i="11"/>
  <c r="B598" i="11"/>
  <c r="A598" i="11"/>
  <c r="N597" i="11"/>
  <c r="L597" i="11"/>
  <c r="K597" i="11"/>
  <c r="J597" i="11"/>
  <c r="I597" i="11"/>
  <c r="G597" i="11"/>
  <c r="F597" i="11"/>
  <c r="E597" i="11"/>
  <c r="D597" i="11"/>
  <c r="C597" i="11"/>
  <c r="B597" i="11"/>
  <c r="A597" i="11"/>
  <c r="N596" i="11"/>
  <c r="L596" i="11"/>
  <c r="K596" i="11"/>
  <c r="J596" i="11"/>
  <c r="I596" i="11"/>
  <c r="G596" i="11"/>
  <c r="F596" i="11"/>
  <c r="E596" i="11"/>
  <c r="D596" i="11"/>
  <c r="C596" i="11"/>
  <c r="B596" i="11"/>
  <c r="A596" i="11"/>
  <c r="N595" i="11"/>
  <c r="L595" i="11"/>
  <c r="K595" i="11"/>
  <c r="J595" i="11"/>
  <c r="I595" i="11"/>
  <c r="G595" i="11"/>
  <c r="F595" i="11"/>
  <c r="E595" i="11"/>
  <c r="D595" i="11"/>
  <c r="C595" i="11"/>
  <c r="B595" i="11"/>
  <c r="A595" i="11"/>
  <c r="N594" i="11"/>
  <c r="L594" i="11"/>
  <c r="K594" i="11"/>
  <c r="J594" i="11"/>
  <c r="I594" i="11"/>
  <c r="G594" i="11"/>
  <c r="F594" i="11"/>
  <c r="E594" i="11"/>
  <c r="D594" i="11"/>
  <c r="C594" i="11"/>
  <c r="B594" i="11"/>
  <c r="A594" i="11"/>
  <c r="N593" i="11"/>
  <c r="L593" i="11"/>
  <c r="K593" i="11"/>
  <c r="J593" i="11"/>
  <c r="I593" i="11"/>
  <c r="G593" i="11"/>
  <c r="F593" i="11"/>
  <c r="E593" i="11"/>
  <c r="D593" i="11"/>
  <c r="C593" i="11"/>
  <c r="B593" i="11"/>
  <c r="A593" i="11"/>
  <c r="N592" i="11"/>
  <c r="L592" i="11"/>
  <c r="K592" i="11"/>
  <c r="J592" i="11"/>
  <c r="I592" i="11"/>
  <c r="G592" i="11"/>
  <c r="F592" i="11"/>
  <c r="E592" i="11"/>
  <c r="D592" i="11"/>
  <c r="C592" i="11"/>
  <c r="B592" i="11"/>
  <c r="A592" i="11"/>
  <c r="N591" i="11"/>
  <c r="L591" i="11"/>
  <c r="K591" i="11"/>
  <c r="J591" i="11"/>
  <c r="I591" i="11"/>
  <c r="G591" i="11"/>
  <c r="F591" i="11"/>
  <c r="E591" i="11"/>
  <c r="D591" i="11"/>
  <c r="C591" i="11"/>
  <c r="B591" i="11"/>
  <c r="A591" i="11"/>
  <c r="N590" i="11"/>
  <c r="L590" i="11"/>
  <c r="K590" i="11"/>
  <c r="J590" i="11"/>
  <c r="I590" i="11"/>
  <c r="G590" i="11"/>
  <c r="F590" i="11"/>
  <c r="E590" i="11"/>
  <c r="D590" i="11"/>
  <c r="C590" i="11"/>
  <c r="B590" i="11"/>
  <c r="A590" i="11"/>
  <c r="N589" i="11"/>
  <c r="L589" i="11"/>
  <c r="K589" i="11"/>
  <c r="J589" i="11"/>
  <c r="I589" i="11"/>
  <c r="G589" i="11"/>
  <c r="F589" i="11"/>
  <c r="E589" i="11"/>
  <c r="D589" i="11"/>
  <c r="C589" i="11"/>
  <c r="B589" i="11"/>
  <c r="A589" i="11"/>
  <c r="N588" i="11"/>
  <c r="L588" i="11"/>
  <c r="K588" i="11"/>
  <c r="J588" i="11"/>
  <c r="I588" i="11"/>
  <c r="G588" i="11"/>
  <c r="F588" i="11"/>
  <c r="E588" i="11"/>
  <c r="D588" i="11"/>
  <c r="C588" i="11"/>
  <c r="B588" i="11"/>
  <c r="A588" i="11"/>
  <c r="N587" i="11"/>
  <c r="L587" i="11"/>
  <c r="K587" i="11"/>
  <c r="J587" i="11"/>
  <c r="I587" i="11"/>
  <c r="G587" i="11"/>
  <c r="F587" i="11"/>
  <c r="E587" i="11"/>
  <c r="D587" i="11"/>
  <c r="C587" i="11"/>
  <c r="B587" i="11"/>
  <c r="A587" i="11"/>
  <c r="N586" i="11"/>
  <c r="L586" i="11"/>
  <c r="K586" i="11"/>
  <c r="J586" i="11"/>
  <c r="I586" i="11"/>
  <c r="G586" i="11"/>
  <c r="F586" i="11"/>
  <c r="E586" i="11"/>
  <c r="D586" i="11"/>
  <c r="C586" i="11"/>
  <c r="B586" i="11"/>
  <c r="A586" i="11"/>
  <c r="N585" i="11"/>
  <c r="L585" i="11"/>
  <c r="K585" i="11"/>
  <c r="J585" i="11"/>
  <c r="I585" i="11"/>
  <c r="G585" i="11"/>
  <c r="F585" i="11"/>
  <c r="E585" i="11"/>
  <c r="D585" i="11"/>
  <c r="C585" i="11"/>
  <c r="B585" i="11"/>
  <c r="A585" i="11"/>
  <c r="N584" i="11"/>
  <c r="L584" i="11"/>
  <c r="K584" i="11"/>
  <c r="J584" i="11"/>
  <c r="I584" i="11"/>
  <c r="G584" i="11"/>
  <c r="F584" i="11"/>
  <c r="E584" i="11"/>
  <c r="D584" i="11"/>
  <c r="C584" i="11"/>
  <c r="B584" i="11"/>
  <c r="A584" i="11"/>
  <c r="N583" i="11"/>
  <c r="L583" i="11"/>
  <c r="K583" i="11"/>
  <c r="J583" i="11"/>
  <c r="I583" i="11"/>
  <c r="G583" i="11"/>
  <c r="F583" i="11"/>
  <c r="E583" i="11"/>
  <c r="D583" i="11"/>
  <c r="C583" i="11"/>
  <c r="B583" i="11"/>
  <c r="A583" i="11"/>
  <c r="N582" i="11"/>
  <c r="L582" i="11"/>
  <c r="K582" i="11"/>
  <c r="J582" i="11"/>
  <c r="I582" i="11"/>
  <c r="H582" i="11"/>
  <c r="G582" i="11"/>
  <c r="F582" i="11"/>
  <c r="E582" i="11"/>
  <c r="D582" i="11"/>
  <c r="C582" i="11"/>
  <c r="B582" i="11"/>
  <c r="A582" i="11"/>
  <c r="N581" i="11"/>
  <c r="L581" i="11"/>
  <c r="K581" i="11"/>
  <c r="J581" i="11"/>
  <c r="I581" i="11"/>
  <c r="H581" i="11"/>
  <c r="G581" i="11"/>
  <c r="F581" i="11"/>
  <c r="E581" i="11"/>
  <c r="D581" i="11"/>
  <c r="C581" i="11"/>
  <c r="B581" i="11"/>
  <c r="A581" i="11"/>
  <c r="N580" i="11"/>
  <c r="L580" i="11"/>
  <c r="K580" i="11"/>
  <c r="J580" i="11"/>
  <c r="I580" i="11"/>
  <c r="H580" i="11"/>
  <c r="G580" i="11"/>
  <c r="F580" i="11"/>
  <c r="E580" i="11"/>
  <c r="D580" i="11"/>
  <c r="C580" i="11"/>
  <c r="B580" i="11"/>
  <c r="A580" i="11"/>
  <c r="N579" i="11"/>
  <c r="L579" i="11"/>
  <c r="K579" i="11"/>
  <c r="J579" i="11"/>
  <c r="I579" i="11"/>
  <c r="H579" i="11"/>
  <c r="G579" i="11"/>
  <c r="F579" i="11"/>
  <c r="E579" i="11"/>
  <c r="D579" i="11"/>
  <c r="C579" i="11"/>
  <c r="B579" i="11"/>
  <c r="A579" i="11"/>
  <c r="N578" i="11"/>
  <c r="L578" i="11"/>
  <c r="K578" i="11"/>
  <c r="J578" i="11"/>
  <c r="I578" i="11"/>
  <c r="H578" i="11"/>
  <c r="G578" i="11"/>
  <c r="F578" i="11"/>
  <c r="E578" i="11"/>
  <c r="D578" i="11"/>
  <c r="C578" i="11"/>
  <c r="B578" i="11"/>
  <c r="A578" i="11"/>
  <c r="N577" i="11"/>
  <c r="L577" i="11"/>
  <c r="K577" i="11"/>
  <c r="J577" i="11"/>
  <c r="I577" i="11"/>
  <c r="H577" i="11"/>
  <c r="G577" i="11"/>
  <c r="F577" i="11"/>
  <c r="E577" i="11"/>
  <c r="D577" i="11"/>
  <c r="C577" i="11"/>
  <c r="B577" i="11"/>
  <c r="A577" i="11"/>
  <c r="N576" i="11"/>
  <c r="L576" i="11"/>
  <c r="K576" i="11"/>
  <c r="J576" i="11"/>
  <c r="I576" i="11"/>
  <c r="Q576" i="11" s="1"/>
  <c r="H576" i="11"/>
  <c r="G576" i="11"/>
  <c r="F576" i="11"/>
  <c r="E576" i="11"/>
  <c r="D576" i="11"/>
  <c r="C576" i="11"/>
  <c r="B576" i="11"/>
  <c r="A576" i="11"/>
  <c r="N575" i="11"/>
  <c r="L575" i="11"/>
  <c r="K575" i="11"/>
  <c r="J575" i="11"/>
  <c r="I575" i="11"/>
  <c r="H575" i="11"/>
  <c r="G575" i="11"/>
  <c r="F575" i="11"/>
  <c r="E575" i="11"/>
  <c r="D575" i="11"/>
  <c r="C575" i="11"/>
  <c r="B575" i="11"/>
  <c r="A575" i="11"/>
  <c r="N574" i="11"/>
  <c r="L574" i="11"/>
  <c r="K574" i="11"/>
  <c r="J574" i="11"/>
  <c r="I574" i="11"/>
  <c r="H574" i="11"/>
  <c r="G574" i="11"/>
  <c r="F574" i="11"/>
  <c r="E574" i="11"/>
  <c r="D574" i="11"/>
  <c r="C574" i="11"/>
  <c r="B574" i="11"/>
  <c r="A574" i="11"/>
  <c r="N573" i="11"/>
  <c r="L573" i="11"/>
  <c r="K573" i="11"/>
  <c r="J573" i="11"/>
  <c r="I573" i="11"/>
  <c r="H573" i="11"/>
  <c r="G573" i="11"/>
  <c r="F573" i="11"/>
  <c r="E573" i="11"/>
  <c r="D573" i="11"/>
  <c r="C573" i="11"/>
  <c r="B573" i="11"/>
  <c r="A573" i="11"/>
  <c r="N572" i="11"/>
  <c r="L572" i="11"/>
  <c r="K572" i="11"/>
  <c r="J572" i="11"/>
  <c r="I572" i="11"/>
  <c r="H572" i="11"/>
  <c r="G572" i="11"/>
  <c r="F572" i="11"/>
  <c r="E572" i="11"/>
  <c r="D572" i="11"/>
  <c r="C572" i="11"/>
  <c r="B572" i="11"/>
  <c r="A572" i="11"/>
  <c r="N571" i="11"/>
  <c r="L571" i="11"/>
  <c r="K571" i="11"/>
  <c r="J571" i="11"/>
  <c r="I571" i="11"/>
  <c r="H571" i="11"/>
  <c r="G571" i="11"/>
  <c r="F571" i="11"/>
  <c r="E571" i="11"/>
  <c r="D571" i="11"/>
  <c r="C571" i="11"/>
  <c r="B571" i="11"/>
  <c r="A571" i="11"/>
  <c r="N570" i="11"/>
  <c r="L570" i="11"/>
  <c r="K570" i="11"/>
  <c r="J570" i="11"/>
  <c r="I570" i="11"/>
  <c r="H570" i="11"/>
  <c r="G570" i="11"/>
  <c r="F570" i="11"/>
  <c r="E570" i="11"/>
  <c r="D570" i="11"/>
  <c r="C570" i="11"/>
  <c r="B570" i="11"/>
  <c r="A570" i="11"/>
  <c r="N569" i="11"/>
  <c r="L569" i="11"/>
  <c r="K569" i="11"/>
  <c r="J569" i="11"/>
  <c r="I569" i="11"/>
  <c r="H569" i="11"/>
  <c r="G569" i="11"/>
  <c r="F569" i="11"/>
  <c r="E569" i="11"/>
  <c r="D569" i="11"/>
  <c r="C569" i="11"/>
  <c r="B569" i="11"/>
  <c r="A569" i="11"/>
  <c r="N568" i="11"/>
  <c r="L568" i="11"/>
  <c r="K568" i="11"/>
  <c r="J568" i="11"/>
  <c r="I568" i="11"/>
  <c r="H568" i="11"/>
  <c r="G568" i="11"/>
  <c r="F568" i="11"/>
  <c r="E568" i="11"/>
  <c r="D568" i="11"/>
  <c r="C568" i="11"/>
  <c r="B568" i="11"/>
  <c r="A568" i="11"/>
  <c r="N567" i="11"/>
  <c r="L567" i="11"/>
  <c r="K567" i="11"/>
  <c r="J567" i="11"/>
  <c r="I567" i="11"/>
  <c r="Q567" i="11" s="1"/>
  <c r="H567" i="11"/>
  <c r="G567" i="11"/>
  <c r="F567" i="11"/>
  <c r="E567" i="11"/>
  <c r="D567" i="11"/>
  <c r="C567" i="11"/>
  <c r="B567" i="11"/>
  <c r="A567" i="11"/>
  <c r="N566" i="11"/>
  <c r="L566" i="11"/>
  <c r="K566" i="11"/>
  <c r="J566" i="11"/>
  <c r="I566" i="11"/>
  <c r="H566" i="11"/>
  <c r="G566" i="11"/>
  <c r="F566" i="11"/>
  <c r="E566" i="11"/>
  <c r="D566" i="11"/>
  <c r="C566" i="11"/>
  <c r="B566" i="11"/>
  <c r="A566" i="11"/>
  <c r="N565" i="11"/>
  <c r="L565" i="11"/>
  <c r="K565" i="11"/>
  <c r="J565" i="11"/>
  <c r="I565" i="11"/>
  <c r="H565" i="11"/>
  <c r="G565" i="11"/>
  <c r="F565" i="11"/>
  <c r="E565" i="11"/>
  <c r="D565" i="11"/>
  <c r="C565" i="11"/>
  <c r="B565" i="11"/>
  <c r="A565" i="11"/>
  <c r="N564" i="11"/>
  <c r="L564" i="11"/>
  <c r="K564" i="11"/>
  <c r="J564" i="11"/>
  <c r="I564" i="11"/>
  <c r="H564" i="11"/>
  <c r="G564" i="11"/>
  <c r="F564" i="11"/>
  <c r="E564" i="11"/>
  <c r="D564" i="11"/>
  <c r="C564" i="11"/>
  <c r="B564" i="11"/>
  <c r="A564" i="11"/>
  <c r="N563" i="11"/>
  <c r="L563" i="11"/>
  <c r="K563" i="11"/>
  <c r="J563" i="11"/>
  <c r="I563" i="11"/>
  <c r="H563" i="11"/>
  <c r="G563" i="11"/>
  <c r="F563" i="11"/>
  <c r="E563" i="11"/>
  <c r="D563" i="11"/>
  <c r="C563" i="11"/>
  <c r="B563" i="11"/>
  <c r="A563" i="11"/>
  <c r="N562" i="11"/>
  <c r="L562" i="11"/>
  <c r="K562" i="11"/>
  <c r="J562" i="11"/>
  <c r="I562" i="11"/>
  <c r="Q562" i="11" s="1"/>
  <c r="H562" i="11"/>
  <c r="G562" i="11"/>
  <c r="F562" i="11"/>
  <c r="E562" i="11"/>
  <c r="D562" i="11"/>
  <c r="C562" i="11"/>
  <c r="B562" i="11"/>
  <c r="A562" i="11"/>
  <c r="N561" i="11"/>
  <c r="L561" i="11"/>
  <c r="K561" i="11"/>
  <c r="J561" i="11"/>
  <c r="I561" i="11"/>
  <c r="H561" i="11"/>
  <c r="G561" i="11"/>
  <c r="F561" i="11"/>
  <c r="E561" i="11"/>
  <c r="D561" i="11"/>
  <c r="C561" i="11"/>
  <c r="B561" i="11"/>
  <c r="A561" i="11"/>
  <c r="N560" i="11"/>
  <c r="L560" i="11"/>
  <c r="K560" i="11"/>
  <c r="J560" i="11"/>
  <c r="I560" i="11"/>
  <c r="H560" i="11"/>
  <c r="G560" i="11"/>
  <c r="F560" i="11"/>
  <c r="E560" i="11"/>
  <c r="D560" i="11"/>
  <c r="C560" i="11"/>
  <c r="B560" i="11"/>
  <c r="A560" i="11"/>
  <c r="N559" i="11"/>
  <c r="L559" i="11"/>
  <c r="K559" i="11"/>
  <c r="J559" i="11"/>
  <c r="I559" i="11"/>
  <c r="H559" i="11"/>
  <c r="G559" i="11"/>
  <c r="F559" i="11"/>
  <c r="E559" i="11"/>
  <c r="D559" i="11"/>
  <c r="C559" i="11"/>
  <c r="B559" i="11"/>
  <c r="A559" i="11"/>
  <c r="N558" i="11"/>
  <c r="L558" i="11"/>
  <c r="K558" i="11"/>
  <c r="J558" i="11"/>
  <c r="I558" i="11"/>
  <c r="H558" i="11"/>
  <c r="G558" i="11"/>
  <c r="F558" i="11"/>
  <c r="E558" i="11"/>
  <c r="D558" i="11"/>
  <c r="C558" i="11"/>
  <c r="B558" i="11"/>
  <c r="A558" i="11"/>
  <c r="N557" i="11"/>
  <c r="L557" i="11"/>
  <c r="K557" i="11"/>
  <c r="J557" i="11"/>
  <c r="I557" i="11"/>
  <c r="H557" i="11"/>
  <c r="G557" i="11"/>
  <c r="F557" i="11"/>
  <c r="E557" i="11"/>
  <c r="D557" i="11"/>
  <c r="C557" i="11"/>
  <c r="B557" i="11"/>
  <c r="A557" i="11"/>
  <c r="N556" i="11"/>
  <c r="L556" i="11"/>
  <c r="K556" i="11"/>
  <c r="J556" i="11"/>
  <c r="I556" i="11"/>
  <c r="H556" i="11"/>
  <c r="G556" i="11"/>
  <c r="F556" i="11"/>
  <c r="E556" i="11"/>
  <c r="D556" i="11"/>
  <c r="C556" i="11"/>
  <c r="B556" i="11"/>
  <c r="A556" i="11"/>
  <c r="N555" i="11"/>
  <c r="L555" i="11"/>
  <c r="K555" i="11"/>
  <c r="J555" i="11"/>
  <c r="I555" i="11"/>
  <c r="H555" i="11"/>
  <c r="G555" i="11"/>
  <c r="F555" i="11"/>
  <c r="E555" i="11"/>
  <c r="D555" i="11"/>
  <c r="C555" i="11"/>
  <c r="B555" i="11"/>
  <c r="A555" i="11"/>
  <c r="N554" i="11"/>
  <c r="L554" i="11"/>
  <c r="K554" i="11"/>
  <c r="J554" i="11"/>
  <c r="I554" i="11"/>
  <c r="H554" i="11"/>
  <c r="G554" i="11"/>
  <c r="F554" i="11"/>
  <c r="E554" i="11"/>
  <c r="D554" i="11"/>
  <c r="C554" i="11"/>
  <c r="B554" i="11"/>
  <c r="A554" i="11"/>
  <c r="N553" i="11"/>
  <c r="L553" i="11"/>
  <c r="K553" i="11"/>
  <c r="J553" i="11"/>
  <c r="I553" i="11"/>
  <c r="H553" i="11"/>
  <c r="G553" i="11"/>
  <c r="F553" i="11"/>
  <c r="E553" i="11"/>
  <c r="D553" i="11"/>
  <c r="C553" i="11"/>
  <c r="B553" i="11"/>
  <c r="A553" i="11"/>
  <c r="N552" i="11"/>
  <c r="L552" i="11"/>
  <c r="K552" i="11"/>
  <c r="J552" i="11"/>
  <c r="I552" i="11"/>
  <c r="H552" i="11"/>
  <c r="G552" i="11"/>
  <c r="F552" i="11"/>
  <c r="E552" i="11"/>
  <c r="D552" i="11"/>
  <c r="C552" i="11"/>
  <c r="B552" i="11"/>
  <c r="A552" i="11"/>
  <c r="N551" i="11"/>
  <c r="L551" i="11"/>
  <c r="K551" i="11"/>
  <c r="J551" i="11"/>
  <c r="I551" i="11"/>
  <c r="H551" i="11"/>
  <c r="G551" i="11"/>
  <c r="F551" i="11"/>
  <c r="E551" i="11"/>
  <c r="D551" i="11"/>
  <c r="C551" i="11"/>
  <c r="B551" i="11"/>
  <c r="A551" i="11"/>
  <c r="N550" i="11"/>
  <c r="L550" i="11"/>
  <c r="K550" i="11"/>
  <c r="J550" i="11"/>
  <c r="I550" i="11"/>
  <c r="H550" i="11"/>
  <c r="G550" i="11"/>
  <c r="F550" i="11"/>
  <c r="E550" i="11"/>
  <c r="D550" i="11"/>
  <c r="C550" i="11"/>
  <c r="B550" i="11"/>
  <c r="A550" i="11"/>
  <c r="N549" i="11"/>
  <c r="L549" i="11"/>
  <c r="K549" i="11"/>
  <c r="J549" i="11"/>
  <c r="I549" i="11"/>
  <c r="G549" i="11"/>
  <c r="F549" i="11"/>
  <c r="E549" i="11"/>
  <c r="D549" i="11"/>
  <c r="C549" i="11"/>
  <c r="B549" i="11"/>
  <c r="A549" i="11"/>
  <c r="N548" i="11"/>
  <c r="L548" i="11"/>
  <c r="K548" i="11"/>
  <c r="J548" i="11"/>
  <c r="I548" i="11"/>
  <c r="G548" i="11"/>
  <c r="F548" i="11"/>
  <c r="E548" i="11"/>
  <c r="D548" i="11"/>
  <c r="C548" i="11"/>
  <c r="B548" i="11"/>
  <c r="A548" i="11"/>
  <c r="N547" i="11"/>
  <c r="L547" i="11"/>
  <c r="K547" i="11"/>
  <c r="J547" i="11"/>
  <c r="I547" i="11"/>
  <c r="G547" i="11"/>
  <c r="F547" i="11"/>
  <c r="E547" i="11"/>
  <c r="D547" i="11"/>
  <c r="C547" i="11"/>
  <c r="B547" i="11"/>
  <c r="A547" i="11"/>
  <c r="N546" i="11"/>
  <c r="L546" i="11"/>
  <c r="K546" i="11"/>
  <c r="J546" i="11"/>
  <c r="I546" i="11"/>
  <c r="G546" i="11"/>
  <c r="F546" i="11"/>
  <c r="E546" i="11"/>
  <c r="D546" i="11"/>
  <c r="C546" i="11"/>
  <c r="B546" i="11"/>
  <c r="A546" i="11"/>
  <c r="N545" i="11"/>
  <c r="L545" i="11"/>
  <c r="K545" i="11"/>
  <c r="J545" i="11"/>
  <c r="I545" i="11"/>
  <c r="G545" i="11"/>
  <c r="F545" i="11"/>
  <c r="E545" i="11"/>
  <c r="D545" i="11"/>
  <c r="C545" i="11"/>
  <c r="B545" i="11"/>
  <c r="A545" i="11"/>
  <c r="N544" i="11"/>
  <c r="L544" i="11"/>
  <c r="K544" i="11"/>
  <c r="J544" i="11"/>
  <c r="I544" i="11"/>
  <c r="G544" i="11"/>
  <c r="F544" i="11"/>
  <c r="E544" i="11"/>
  <c r="D544" i="11"/>
  <c r="C544" i="11"/>
  <c r="B544" i="11"/>
  <c r="A544" i="11"/>
  <c r="N543" i="11"/>
  <c r="L543" i="11"/>
  <c r="K543" i="11"/>
  <c r="J543" i="11"/>
  <c r="I543" i="11"/>
  <c r="G543" i="11"/>
  <c r="F543" i="11"/>
  <c r="E543" i="11"/>
  <c r="D543" i="11"/>
  <c r="C543" i="11"/>
  <c r="B543" i="11"/>
  <c r="A543" i="11"/>
  <c r="N542" i="11"/>
  <c r="L542" i="11"/>
  <c r="K542" i="11"/>
  <c r="J542" i="11"/>
  <c r="I542" i="11"/>
  <c r="G542" i="11"/>
  <c r="F542" i="11"/>
  <c r="E542" i="11"/>
  <c r="D542" i="11"/>
  <c r="C542" i="11"/>
  <c r="B542" i="11"/>
  <c r="A542" i="11"/>
  <c r="N541" i="11"/>
  <c r="L541" i="11"/>
  <c r="K541" i="11"/>
  <c r="J541" i="11"/>
  <c r="I541" i="11"/>
  <c r="G541" i="11"/>
  <c r="F541" i="11"/>
  <c r="E541" i="11"/>
  <c r="D541" i="11"/>
  <c r="C541" i="11"/>
  <c r="B541" i="11"/>
  <c r="A541" i="11"/>
  <c r="N540" i="11"/>
  <c r="L540" i="11"/>
  <c r="K540" i="11"/>
  <c r="J540" i="11"/>
  <c r="I540" i="11"/>
  <c r="G540" i="11"/>
  <c r="F540" i="11"/>
  <c r="E540" i="11"/>
  <c r="D540" i="11"/>
  <c r="C540" i="11"/>
  <c r="B540" i="11"/>
  <c r="A540" i="11"/>
  <c r="N539" i="11"/>
  <c r="L539" i="11"/>
  <c r="K539" i="11"/>
  <c r="J539" i="11"/>
  <c r="I539" i="11"/>
  <c r="G539" i="11"/>
  <c r="F539" i="11"/>
  <c r="E539" i="11"/>
  <c r="D539" i="11"/>
  <c r="C539" i="11"/>
  <c r="B539" i="11"/>
  <c r="A539" i="11"/>
  <c r="N538" i="11"/>
  <c r="L538" i="11"/>
  <c r="K538" i="11"/>
  <c r="J538" i="11"/>
  <c r="I538" i="11"/>
  <c r="G538" i="11"/>
  <c r="F538" i="11"/>
  <c r="E538" i="11"/>
  <c r="D538" i="11"/>
  <c r="C538" i="11"/>
  <c r="B538" i="11"/>
  <c r="A538" i="11"/>
  <c r="N537" i="11"/>
  <c r="L537" i="11"/>
  <c r="K537" i="11"/>
  <c r="J537" i="11"/>
  <c r="I537" i="11"/>
  <c r="G537" i="11"/>
  <c r="F537" i="11"/>
  <c r="E537" i="11"/>
  <c r="D537" i="11"/>
  <c r="C537" i="11"/>
  <c r="B537" i="11"/>
  <c r="A537" i="11"/>
  <c r="N536" i="11"/>
  <c r="L536" i="11"/>
  <c r="K536" i="11"/>
  <c r="J536" i="11"/>
  <c r="I536" i="11"/>
  <c r="G536" i="11"/>
  <c r="F536" i="11"/>
  <c r="E536" i="11"/>
  <c r="D536" i="11"/>
  <c r="C536" i="11"/>
  <c r="B536" i="11"/>
  <c r="A536" i="11"/>
  <c r="N535" i="11"/>
  <c r="L535" i="11"/>
  <c r="K535" i="11"/>
  <c r="J535" i="11"/>
  <c r="I535" i="11"/>
  <c r="G535" i="11"/>
  <c r="F535" i="11"/>
  <c r="E535" i="11"/>
  <c r="D535" i="11"/>
  <c r="C535" i="11"/>
  <c r="B535" i="11"/>
  <c r="A535" i="11"/>
  <c r="N534" i="11"/>
  <c r="L534" i="11"/>
  <c r="K534" i="11"/>
  <c r="J534" i="11"/>
  <c r="I534" i="11"/>
  <c r="G534" i="11"/>
  <c r="F534" i="11"/>
  <c r="E534" i="11"/>
  <c r="D534" i="11"/>
  <c r="C534" i="11"/>
  <c r="B534" i="11"/>
  <c r="A534" i="11"/>
  <c r="N533" i="11"/>
  <c r="L533" i="11"/>
  <c r="K533" i="11"/>
  <c r="J533" i="11"/>
  <c r="I533" i="11"/>
  <c r="G533" i="11"/>
  <c r="F533" i="11"/>
  <c r="E533" i="11"/>
  <c r="D533" i="11"/>
  <c r="C533" i="11"/>
  <c r="B533" i="11"/>
  <c r="A533" i="11"/>
  <c r="N532" i="11"/>
  <c r="L532" i="11"/>
  <c r="K532" i="11"/>
  <c r="J532" i="11"/>
  <c r="I532" i="11"/>
  <c r="G532" i="11"/>
  <c r="F532" i="11"/>
  <c r="E532" i="11"/>
  <c r="D532" i="11"/>
  <c r="C532" i="11"/>
  <c r="B532" i="11"/>
  <c r="A532" i="11"/>
  <c r="N531" i="11"/>
  <c r="L531" i="11"/>
  <c r="K531" i="11"/>
  <c r="J531" i="11"/>
  <c r="I531" i="11"/>
  <c r="G531" i="11"/>
  <c r="F531" i="11"/>
  <c r="E531" i="11"/>
  <c r="D531" i="11"/>
  <c r="C531" i="11"/>
  <c r="B531" i="11"/>
  <c r="A531" i="11"/>
  <c r="N530" i="11"/>
  <c r="L530" i="11"/>
  <c r="K530" i="11"/>
  <c r="J530" i="11"/>
  <c r="I530" i="11"/>
  <c r="G530" i="11"/>
  <c r="F530" i="11"/>
  <c r="E530" i="11"/>
  <c r="D530" i="11"/>
  <c r="C530" i="11"/>
  <c r="B530" i="11"/>
  <c r="A530" i="11"/>
  <c r="N529" i="11"/>
  <c r="L529" i="11"/>
  <c r="K529" i="11"/>
  <c r="J529" i="11"/>
  <c r="I529" i="11"/>
  <c r="G529" i="11"/>
  <c r="F529" i="11"/>
  <c r="E529" i="11"/>
  <c r="D529" i="11"/>
  <c r="C529" i="11"/>
  <c r="B529" i="11"/>
  <c r="A529" i="11"/>
  <c r="N528" i="11"/>
  <c r="L528" i="11"/>
  <c r="K528" i="11"/>
  <c r="J528" i="11"/>
  <c r="I528" i="11"/>
  <c r="G528" i="11"/>
  <c r="F528" i="11"/>
  <c r="E528" i="11"/>
  <c r="D528" i="11"/>
  <c r="C528" i="11"/>
  <c r="B528" i="11"/>
  <c r="A528" i="11"/>
  <c r="N527" i="11"/>
  <c r="L527" i="11"/>
  <c r="K527" i="11"/>
  <c r="J527" i="11"/>
  <c r="I527" i="11"/>
  <c r="G527" i="11"/>
  <c r="F527" i="11"/>
  <c r="E527" i="11"/>
  <c r="D527" i="11"/>
  <c r="C527" i="11"/>
  <c r="B527" i="11"/>
  <c r="A527" i="11"/>
  <c r="N526" i="11"/>
  <c r="L526" i="11"/>
  <c r="K526" i="11"/>
  <c r="J526" i="11"/>
  <c r="I526" i="11"/>
  <c r="G526" i="11"/>
  <c r="F526" i="11"/>
  <c r="E526" i="11"/>
  <c r="D526" i="11"/>
  <c r="C526" i="11"/>
  <c r="B526" i="11"/>
  <c r="A526" i="11"/>
  <c r="N525" i="11"/>
  <c r="L525" i="11"/>
  <c r="K525" i="11"/>
  <c r="J525" i="11"/>
  <c r="I525" i="11"/>
  <c r="G525" i="11"/>
  <c r="F525" i="11"/>
  <c r="E525" i="11"/>
  <c r="D525" i="11"/>
  <c r="C525" i="11"/>
  <c r="B525" i="11"/>
  <c r="A525" i="11"/>
  <c r="N524" i="11"/>
  <c r="L524" i="11"/>
  <c r="K524" i="11"/>
  <c r="J524" i="11"/>
  <c r="I524" i="11"/>
  <c r="G524" i="11"/>
  <c r="F524" i="11"/>
  <c r="E524" i="11"/>
  <c r="D524" i="11"/>
  <c r="C524" i="11"/>
  <c r="B524" i="11"/>
  <c r="A524" i="11"/>
  <c r="N523" i="11"/>
  <c r="L523" i="11"/>
  <c r="K523" i="11"/>
  <c r="J523" i="11"/>
  <c r="I523" i="11"/>
  <c r="G523" i="11"/>
  <c r="F523" i="11"/>
  <c r="E523" i="11"/>
  <c r="D523" i="11"/>
  <c r="C523" i="11"/>
  <c r="B523" i="11"/>
  <c r="A523" i="11"/>
  <c r="N522" i="11"/>
  <c r="L522" i="11"/>
  <c r="K522" i="11"/>
  <c r="J522" i="11"/>
  <c r="I522" i="11"/>
  <c r="G522" i="11"/>
  <c r="F522" i="11"/>
  <c r="E522" i="11"/>
  <c r="D522" i="11"/>
  <c r="C522" i="11"/>
  <c r="B522" i="11"/>
  <c r="A522" i="11"/>
  <c r="N521" i="11"/>
  <c r="L521" i="11"/>
  <c r="K521" i="11"/>
  <c r="J521" i="11"/>
  <c r="I521" i="11"/>
  <c r="G521" i="11"/>
  <c r="F521" i="11"/>
  <c r="E521" i="11"/>
  <c r="D521" i="11"/>
  <c r="C521" i="11"/>
  <c r="B521" i="11"/>
  <c r="A521" i="11"/>
  <c r="N520" i="11"/>
  <c r="L520" i="11"/>
  <c r="K520" i="11"/>
  <c r="J520" i="11"/>
  <c r="I520" i="11"/>
  <c r="G520" i="11"/>
  <c r="F520" i="11"/>
  <c r="E520" i="11"/>
  <c r="D520" i="11"/>
  <c r="C520" i="11"/>
  <c r="B520" i="11"/>
  <c r="A520" i="11"/>
  <c r="N519" i="11"/>
  <c r="L519" i="11"/>
  <c r="K519" i="11"/>
  <c r="J519" i="11"/>
  <c r="I519" i="11"/>
  <c r="G519" i="11"/>
  <c r="F519" i="11"/>
  <c r="E519" i="11"/>
  <c r="D519" i="11"/>
  <c r="C519" i="11"/>
  <c r="B519" i="11"/>
  <c r="A519" i="11"/>
  <c r="N518" i="11"/>
  <c r="L518" i="11"/>
  <c r="K518" i="11"/>
  <c r="J518" i="11"/>
  <c r="I518" i="11"/>
  <c r="G518" i="11"/>
  <c r="F518" i="11"/>
  <c r="E518" i="11"/>
  <c r="D518" i="11"/>
  <c r="C518" i="11"/>
  <c r="B518" i="11"/>
  <c r="A518" i="11"/>
  <c r="N517" i="11"/>
  <c r="L517" i="11"/>
  <c r="K517" i="11"/>
  <c r="J517" i="11"/>
  <c r="I517" i="11"/>
  <c r="G517" i="11"/>
  <c r="F517" i="11"/>
  <c r="E517" i="11"/>
  <c r="D517" i="11"/>
  <c r="C517" i="11"/>
  <c r="B517" i="11"/>
  <c r="A517" i="11"/>
  <c r="N516" i="11"/>
  <c r="L516" i="11"/>
  <c r="K516" i="11"/>
  <c r="J516" i="11"/>
  <c r="I516" i="11"/>
  <c r="G516" i="11"/>
  <c r="F516" i="11"/>
  <c r="E516" i="11"/>
  <c r="D516" i="11"/>
  <c r="C516" i="11"/>
  <c r="B516" i="11"/>
  <c r="A516" i="11"/>
  <c r="N515" i="11"/>
  <c r="L515" i="11"/>
  <c r="K515" i="11"/>
  <c r="J515" i="11"/>
  <c r="I515" i="11"/>
  <c r="G515" i="11"/>
  <c r="F515" i="11"/>
  <c r="E515" i="11"/>
  <c r="D515" i="11"/>
  <c r="C515" i="11"/>
  <c r="B515" i="11"/>
  <c r="A515" i="11"/>
  <c r="N514" i="11"/>
  <c r="L514" i="11"/>
  <c r="K514" i="11"/>
  <c r="J514" i="11"/>
  <c r="I514" i="11"/>
  <c r="G514" i="11"/>
  <c r="F514" i="11"/>
  <c r="E514" i="11"/>
  <c r="D514" i="11"/>
  <c r="C514" i="11"/>
  <c r="B514" i="11"/>
  <c r="A514" i="11"/>
  <c r="N513" i="11"/>
  <c r="L513" i="11"/>
  <c r="K513" i="11"/>
  <c r="J513" i="11"/>
  <c r="I513" i="11"/>
  <c r="G513" i="11"/>
  <c r="F513" i="11"/>
  <c r="E513" i="11"/>
  <c r="D513" i="11"/>
  <c r="C513" i="11"/>
  <c r="B513" i="11"/>
  <c r="A513" i="11"/>
  <c r="N512" i="11"/>
  <c r="L512" i="11"/>
  <c r="K512" i="11"/>
  <c r="J512" i="11"/>
  <c r="I512" i="11"/>
  <c r="G512" i="11"/>
  <c r="F512" i="11"/>
  <c r="E512" i="11"/>
  <c r="D512" i="11"/>
  <c r="C512" i="11"/>
  <c r="B512" i="11"/>
  <c r="A512" i="11"/>
  <c r="N511" i="11"/>
  <c r="L511" i="11"/>
  <c r="K511" i="11"/>
  <c r="J511" i="11"/>
  <c r="I511" i="11"/>
  <c r="G511" i="11"/>
  <c r="F511" i="11"/>
  <c r="E511" i="11"/>
  <c r="D511" i="11"/>
  <c r="C511" i="11"/>
  <c r="B511" i="11"/>
  <c r="A511" i="11"/>
  <c r="N510" i="11"/>
  <c r="L510" i="11"/>
  <c r="K510" i="11"/>
  <c r="J510" i="11"/>
  <c r="I510" i="11"/>
  <c r="G510" i="11"/>
  <c r="F510" i="11"/>
  <c r="E510" i="11"/>
  <c r="D510" i="11"/>
  <c r="C510" i="11"/>
  <c r="B510" i="11"/>
  <c r="A510" i="11"/>
  <c r="N509" i="11"/>
  <c r="L509" i="11"/>
  <c r="K509" i="11"/>
  <c r="J509" i="11"/>
  <c r="I509" i="11"/>
  <c r="G509" i="11"/>
  <c r="F509" i="11"/>
  <c r="E509" i="11"/>
  <c r="D509" i="11"/>
  <c r="C509" i="11"/>
  <c r="B509" i="11"/>
  <c r="A509" i="11"/>
  <c r="N508" i="11"/>
  <c r="L508" i="11"/>
  <c r="K508" i="11"/>
  <c r="J508" i="11"/>
  <c r="I508" i="11"/>
  <c r="G508" i="11"/>
  <c r="F508" i="11"/>
  <c r="E508" i="11"/>
  <c r="D508" i="11"/>
  <c r="C508" i="11"/>
  <c r="B508" i="11"/>
  <c r="A508" i="11"/>
  <c r="N507" i="11"/>
  <c r="L507" i="11"/>
  <c r="K507" i="11"/>
  <c r="J507" i="11"/>
  <c r="I507" i="11"/>
  <c r="H507" i="11"/>
  <c r="G507" i="11"/>
  <c r="F507" i="11"/>
  <c r="E507" i="11"/>
  <c r="D507" i="11"/>
  <c r="C507" i="11"/>
  <c r="B507" i="11"/>
  <c r="A507" i="11"/>
  <c r="N506" i="11"/>
  <c r="L506" i="11"/>
  <c r="K506" i="11"/>
  <c r="J506" i="11"/>
  <c r="I506" i="11"/>
  <c r="H506" i="11"/>
  <c r="G506" i="11"/>
  <c r="F506" i="11"/>
  <c r="E506" i="11"/>
  <c r="D506" i="11"/>
  <c r="C506" i="11"/>
  <c r="B506" i="11"/>
  <c r="A506" i="11"/>
  <c r="N505" i="11"/>
  <c r="L505" i="11"/>
  <c r="K505" i="11"/>
  <c r="J505" i="11"/>
  <c r="I505" i="11"/>
  <c r="H505" i="11"/>
  <c r="G505" i="11"/>
  <c r="F505" i="11"/>
  <c r="E505" i="11"/>
  <c r="D505" i="11"/>
  <c r="C505" i="11"/>
  <c r="B505" i="11"/>
  <c r="A505" i="11"/>
  <c r="N504" i="11"/>
  <c r="L504" i="11"/>
  <c r="K504" i="11"/>
  <c r="J504" i="11"/>
  <c r="I504" i="11"/>
  <c r="H504" i="11"/>
  <c r="G504" i="11"/>
  <c r="F504" i="11"/>
  <c r="E504" i="11"/>
  <c r="D504" i="11"/>
  <c r="C504" i="11"/>
  <c r="B504" i="11"/>
  <c r="A504" i="11"/>
  <c r="N503" i="11"/>
  <c r="L503" i="11"/>
  <c r="K503" i="11"/>
  <c r="J503" i="11"/>
  <c r="I503" i="11"/>
  <c r="H503" i="11"/>
  <c r="G503" i="11"/>
  <c r="F503" i="11"/>
  <c r="E503" i="11"/>
  <c r="D503" i="11"/>
  <c r="C503" i="11"/>
  <c r="B503" i="11"/>
  <c r="A503" i="11"/>
  <c r="N502" i="11"/>
  <c r="L502" i="11"/>
  <c r="K502" i="11"/>
  <c r="J502" i="11"/>
  <c r="I502" i="11"/>
  <c r="Q502" i="11" s="1"/>
  <c r="H502" i="11"/>
  <c r="G502" i="11"/>
  <c r="F502" i="11"/>
  <c r="E502" i="11"/>
  <c r="D502" i="11"/>
  <c r="C502" i="11"/>
  <c r="B502" i="11"/>
  <c r="A502" i="11"/>
  <c r="N501" i="11"/>
  <c r="L501" i="11"/>
  <c r="K501" i="11"/>
  <c r="J501" i="11"/>
  <c r="I501" i="11"/>
  <c r="G501" i="11"/>
  <c r="F501" i="11"/>
  <c r="E501" i="11"/>
  <c r="D501" i="11"/>
  <c r="C501" i="11"/>
  <c r="B501" i="11"/>
  <c r="A501" i="11"/>
  <c r="N500" i="11"/>
  <c r="L500" i="11"/>
  <c r="K500" i="11"/>
  <c r="J500" i="11"/>
  <c r="I500" i="11"/>
  <c r="H500" i="11"/>
  <c r="G500" i="11"/>
  <c r="F500" i="11"/>
  <c r="E500" i="11"/>
  <c r="D500" i="11"/>
  <c r="C500" i="11"/>
  <c r="B500" i="11"/>
  <c r="A500" i="11"/>
  <c r="N499" i="11"/>
  <c r="L499" i="11"/>
  <c r="K499" i="11"/>
  <c r="J499" i="11"/>
  <c r="I499" i="11"/>
  <c r="G499" i="11"/>
  <c r="F499" i="11"/>
  <c r="E499" i="11"/>
  <c r="D499" i="11"/>
  <c r="C499" i="11"/>
  <c r="B499" i="11"/>
  <c r="A499" i="11"/>
  <c r="N498" i="11"/>
  <c r="L498" i="11"/>
  <c r="K498" i="11"/>
  <c r="J498" i="11"/>
  <c r="I498" i="11"/>
  <c r="H498" i="11"/>
  <c r="G498" i="11"/>
  <c r="F498" i="11"/>
  <c r="E498" i="11"/>
  <c r="D498" i="11"/>
  <c r="C498" i="11"/>
  <c r="B498" i="11"/>
  <c r="A498" i="11"/>
  <c r="N497" i="11"/>
  <c r="L497" i="11"/>
  <c r="K497" i="11"/>
  <c r="J497" i="11"/>
  <c r="I497" i="11"/>
  <c r="G497" i="11"/>
  <c r="F497" i="11"/>
  <c r="E497" i="11"/>
  <c r="D497" i="11"/>
  <c r="C497" i="11"/>
  <c r="B497" i="11"/>
  <c r="A497" i="11"/>
  <c r="O496" i="11"/>
  <c r="N496" i="11"/>
  <c r="L496" i="11"/>
  <c r="K496" i="11"/>
  <c r="J496" i="11"/>
  <c r="I496" i="11"/>
  <c r="H496" i="11"/>
  <c r="G496" i="11"/>
  <c r="F496" i="11"/>
  <c r="E496" i="11"/>
  <c r="D496" i="11"/>
  <c r="C496" i="11"/>
  <c r="B496" i="11"/>
  <c r="A496" i="11"/>
  <c r="N495" i="11"/>
  <c r="L495" i="11"/>
  <c r="K495" i="11"/>
  <c r="J495" i="11"/>
  <c r="I495" i="11"/>
  <c r="G495" i="11"/>
  <c r="F495" i="11"/>
  <c r="E495" i="11"/>
  <c r="D495" i="11"/>
  <c r="C495" i="11"/>
  <c r="B495" i="11"/>
  <c r="A495" i="11"/>
  <c r="N494" i="11"/>
  <c r="L494" i="11"/>
  <c r="K494" i="11"/>
  <c r="J494" i="11"/>
  <c r="I494" i="11"/>
  <c r="H494" i="11"/>
  <c r="G494" i="11"/>
  <c r="F494" i="11"/>
  <c r="E494" i="11"/>
  <c r="D494" i="11"/>
  <c r="C494" i="11"/>
  <c r="B494" i="11"/>
  <c r="A494" i="11"/>
  <c r="N493" i="11"/>
  <c r="L493" i="11"/>
  <c r="K493" i="11"/>
  <c r="J493" i="11"/>
  <c r="I493" i="11"/>
  <c r="G493" i="11"/>
  <c r="F493" i="11"/>
  <c r="E493" i="11"/>
  <c r="D493" i="11"/>
  <c r="C493" i="11"/>
  <c r="B493" i="11"/>
  <c r="A493" i="11"/>
  <c r="N492" i="11"/>
  <c r="L492" i="11"/>
  <c r="K492" i="11"/>
  <c r="J492" i="11"/>
  <c r="I492" i="11"/>
  <c r="H492" i="11"/>
  <c r="G492" i="11"/>
  <c r="F492" i="11"/>
  <c r="E492" i="11"/>
  <c r="D492" i="11"/>
  <c r="C492" i="11"/>
  <c r="B492" i="11"/>
  <c r="A492" i="11"/>
  <c r="N491" i="11"/>
  <c r="L491" i="11"/>
  <c r="K491" i="11"/>
  <c r="J491" i="11"/>
  <c r="I491" i="11"/>
  <c r="H491" i="11"/>
  <c r="G491" i="11"/>
  <c r="F491" i="11"/>
  <c r="E491" i="11"/>
  <c r="D491" i="11"/>
  <c r="C491" i="11"/>
  <c r="B491" i="11"/>
  <c r="A491" i="11"/>
  <c r="N490" i="11"/>
  <c r="L490" i="11"/>
  <c r="K490" i="11"/>
  <c r="J490" i="11"/>
  <c r="I490" i="11"/>
  <c r="H490" i="11"/>
  <c r="G490" i="11"/>
  <c r="F490" i="11"/>
  <c r="E490" i="11"/>
  <c r="D490" i="11"/>
  <c r="C490" i="11"/>
  <c r="B490" i="11"/>
  <c r="A490" i="11"/>
  <c r="N489" i="11"/>
  <c r="L489" i="11"/>
  <c r="K489" i="11"/>
  <c r="J489" i="11"/>
  <c r="I489" i="11"/>
  <c r="G489" i="11"/>
  <c r="F489" i="11"/>
  <c r="E489" i="11"/>
  <c r="D489" i="11"/>
  <c r="C489" i="11"/>
  <c r="B489" i="11"/>
  <c r="A489" i="11"/>
  <c r="N488" i="11"/>
  <c r="L488" i="11"/>
  <c r="K488" i="11"/>
  <c r="J488" i="11"/>
  <c r="I488" i="11"/>
  <c r="G488" i="11"/>
  <c r="F488" i="11"/>
  <c r="E488" i="11"/>
  <c r="D488" i="11"/>
  <c r="C488" i="11"/>
  <c r="B488" i="11"/>
  <c r="A488" i="11"/>
  <c r="N487" i="11"/>
  <c r="L487" i="11"/>
  <c r="K487" i="11"/>
  <c r="J487" i="11"/>
  <c r="I487" i="11"/>
  <c r="G487" i="11"/>
  <c r="F487" i="11"/>
  <c r="E487" i="11"/>
  <c r="D487" i="11"/>
  <c r="C487" i="11"/>
  <c r="B487" i="11"/>
  <c r="A487" i="11"/>
  <c r="N486" i="11"/>
  <c r="L486" i="11"/>
  <c r="K486" i="11"/>
  <c r="J486" i="11"/>
  <c r="I486" i="11"/>
  <c r="G486" i="11"/>
  <c r="F486" i="11"/>
  <c r="E486" i="11"/>
  <c r="D486" i="11"/>
  <c r="C486" i="11"/>
  <c r="B486" i="11"/>
  <c r="A486" i="11"/>
  <c r="N485" i="11"/>
  <c r="L485" i="11"/>
  <c r="K485" i="11"/>
  <c r="J485" i="11"/>
  <c r="I485" i="11"/>
  <c r="G485" i="11"/>
  <c r="F485" i="11"/>
  <c r="E485" i="11"/>
  <c r="D485" i="11"/>
  <c r="C485" i="11"/>
  <c r="B485" i="11"/>
  <c r="A485" i="11"/>
  <c r="N484" i="11"/>
  <c r="L484" i="11"/>
  <c r="K484" i="11"/>
  <c r="J484" i="11"/>
  <c r="I484" i="11"/>
  <c r="G484" i="11"/>
  <c r="F484" i="11"/>
  <c r="E484" i="11"/>
  <c r="D484" i="11"/>
  <c r="C484" i="11"/>
  <c r="B484" i="11"/>
  <c r="A484" i="11"/>
  <c r="N483" i="11"/>
  <c r="L483" i="11"/>
  <c r="K483" i="11"/>
  <c r="J483" i="11"/>
  <c r="I483" i="11"/>
  <c r="G483" i="11"/>
  <c r="F483" i="11"/>
  <c r="E483" i="11"/>
  <c r="D483" i="11"/>
  <c r="C483" i="11"/>
  <c r="B483" i="11"/>
  <c r="A483" i="11"/>
  <c r="N482" i="11"/>
  <c r="L482" i="11"/>
  <c r="K482" i="11"/>
  <c r="J482" i="11"/>
  <c r="I482" i="11"/>
  <c r="G482" i="11"/>
  <c r="F482" i="11"/>
  <c r="E482" i="11"/>
  <c r="D482" i="11"/>
  <c r="C482" i="11"/>
  <c r="B482" i="11"/>
  <c r="A482" i="11"/>
  <c r="N481" i="11"/>
  <c r="L481" i="11"/>
  <c r="K481" i="11"/>
  <c r="J481" i="11"/>
  <c r="I481" i="11"/>
  <c r="G481" i="11"/>
  <c r="F481" i="11"/>
  <c r="E481" i="11"/>
  <c r="D481" i="11"/>
  <c r="C481" i="11"/>
  <c r="B481" i="11"/>
  <c r="A481" i="11"/>
  <c r="N480" i="11"/>
  <c r="L480" i="11"/>
  <c r="K480" i="11"/>
  <c r="J480" i="11"/>
  <c r="I480" i="11"/>
  <c r="G480" i="11"/>
  <c r="F480" i="11"/>
  <c r="E480" i="11"/>
  <c r="D480" i="11"/>
  <c r="C480" i="11"/>
  <c r="B480" i="11"/>
  <c r="A480" i="11"/>
  <c r="N479" i="11"/>
  <c r="L479" i="11"/>
  <c r="K479" i="11"/>
  <c r="J479" i="11"/>
  <c r="I479" i="11"/>
  <c r="G479" i="11"/>
  <c r="F479" i="11"/>
  <c r="E479" i="11"/>
  <c r="D479" i="11"/>
  <c r="C479" i="11"/>
  <c r="B479" i="11"/>
  <c r="A479" i="11"/>
  <c r="N478" i="11"/>
  <c r="L478" i="11"/>
  <c r="K478" i="11"/>
  <c r="J478" i="11"/>
  <c r="I478" i="11"/>
  <c r="G478" i="11"/>
  <c r="F478" i="11"/>
  <c r="E478" i="11"/>
  <c r="D478" i="11"/>
  <c r="C478" i="11"/>
  <c r="B478" i="11"/>
  <c r="A478" i="11"/>
  <c r="N477" i="11"/>
  <c r="L477" i="11"/>
  <c r="K477" i="11"/>
  <c r="J477" i="11"/>
  <c r="I477" i="11"/>
  <c r="G477" i="11"/>
  <c r="F477" i="11"/>
  <c r="E477" i="11"/>
  <c r="D477" i="11"/>
  <c r="C477" i="11"/>
  <c r="B477" i="11"/>
  <c r="A477" i="11"/>
  <c r="N476" i="11"/>
  <c r="L476" i="11"/>
  <c r="K476" i="11"/>
  <c r="J476" i="11"/>
  <c r="I476" i="11"/>
  <c r="G476" i="11"/>
  <c r="F476" i="11"/>
  <c r="E476" i="11"/>
  <c r="D476" i="11"/>
  <c r="C476" i="11"/>
  <c r="B476" i="11"/>
  <c r="A476" i="11"/>
  <c r="N475" i="11"/>
  <c r="L475" i="11"/>
  <c r="K475" i="11"/>
  <c r="J475" i="11"/>
  <c r="I475" i="11"/>
  <c r="G475" i="11"/>
  <c r="F475" i="11"/>
  <c r="E475" i="11"/>
  <c r="D475" i="11"/>
  <c r="C475" i="11"/>
  <c r="B475" i="11"/>
  <c r="A475" i="11"/>
  <c r="N474" i="11"/>
  <c r="L474" i="11"/>
  <c r="K474" i="11"/>
  <c r="J474" i="11"/>
  <c r="I474" i="11"/>
  <c r="G474" i="11"/>
  <c r="F474" i="11"/>
  <c r="E474" i="11"/>
  <c r="D474" i="11"/>
  <c r="C474" i="11"/>
  <c r="B474" i="11"/>
  <c r="A474" i="11"/>
  <c r="N473" i="11"/>
  <c r="L473" i="11"/>
  <c r="K473" i="11"/>
  <c r="J473" i="11"/>
  <c r="I473" i="11"/>
  <c r="G473" i="11"/>
  <c r="F473" i="11"/>
  <c r="E473" i="11"/>
  <c r="D473" i="11"/>
  <c r="C473" i="11"/>
  <c r="B473" i="11"/>
  <c r="A473" i="11"/>
  <c r="N472" i="11"/>
  <c r="L472" i="11"/>
  <c r="K472" i="11"/>
  <c r="J472" i="11"/>
  <c r="I472" i="11"/>
  <c r="G472" i="11"/>
  <c r="F472" i="11"/>
  <c r="E472" i="11"/>
  <c r="D472" i="11"/>
  <c r="C472" i="11"/>
  <c r="B472" i="11"/>
  <c r="A472" i="11"/>
  <c r="N471" i="11"/>
  <c r="L471" i="11"/>
  <c r="K471" i="11"/>
  <c r="J471" i="11"/>
  <c r="I471" i="11"/>
  <c r="G471" i="11"/>
  <c r="F471" i="11"/>
  <c r="E471" i="11"/>
  <c r="D471" i="11"/>
  <c r="C471" i="11"/>
  <c r="B471" i="11"/>
  <c r="A471" i="11"/>
  <c r="N470" i="11"/>
  <c r="L470" i="11"/>
  <c r="K470" i="11"/>
  <c r="J470" i="11"/>
  <c r="I470" i="11"/>
  <c r="G470" i="11"/>
  <c r="F470" i="11"/>
  <c r="E470" i="11"/>
  <c r="D470" i="11"/>
  <c r="C470" i="11"/>
  <c r="B470" i="11"/>
  <c r="A470" i="11"/>
  <c r="N469" i="11"/>
  <c r="L469" i="11"/>
  <c r="K469" i="11"/>
  <c r="J469" i="11"/>
  <c r="I469" i="11"/>
  <c r="G469" i="11"/>
  <c r="F469" i="11"/>
  <c r="E469" i="11"/>
  <c r="D469" i="11"/>
  <c r="C469" i="11"/>
  <c r="B469" i="11"/>
  <c r="A469" i="11"/>
  <c r="N468" i="11"/>
  <c r="L468" i="11"/>
  <c r="K468" i="11"/>
  <c r="J468" i="11"/>
  <c r="I468" i="11"/>
  <c r="G468" i="11"/>
  <c r="F468" i="11"/>
  <c r="E468" i="11"/>
  <c r="D468" i="11"/>
  <c r="C468" i="11"/>
  <c r="B468" i="11"/>
  <c r="A468" i="11"/>
  <c r="N467" i="11"/>
  <c r="L467" i="11"/>
  <c r="K467" i="11"/>
  <c r="J467" i="11"/>
  <c r="I467" i="11"/>
  <c r="G467" i="11"/>
  <c r="F467" i="11"/>
  <c r="E467" i="11"/>
  <c r="D467" i="11"/>
  <c r="C467" i="11"/>
  <c r="B467" i="11"/>
  <c r="A467" i="11"/>
  <c r="N466" i="11"/>
  <c r="L466" i="11"/>
  <c r="K466" i="11"/>
  <c r="J466" i="11"/>
  <c r="I466" i="11"/>
  <c r="G466" i="11"/>
  <c r="F466" i="11"/>
  <c r="E466" i="11"/>
  <c r="D466" i="11"/>
  <c r="C466" i="11"/>
  <c r="B466" i="11"/>
  <c r="A466" i="11"/>
  <c r="N465" i="11"/>
  <c r="L465" i="11"/>
  <c r="K465" i="11"/>
  <c r="J465" i="11"/>
  <c r="I465" i="11"/>
  <c r="G465" i="11"/>
  <c r="F465" i="11"/>
  <c r="E465" i="11"/>
  <c r="D465" i="11"/>
  <c r="C465" i="11"/>
  <c r="B465" i="11"/>
  <c r="A465" i="11"/>
  <c r="N464" i="11"/>
  <c r="L464" i="11"/>
  <c r="K464" i="11"/>
  <c r="J464" i="11"/>
  <c r="I464" i="11"/>
  <c r="G464" i="11"/>
  <c r="F464" i="11"/>
  <c r="E464" i="11"/>
  <c r="D464" i="11"/>
  <c r="C464" i="11"/>
  <c r="B464" i="11"/>
  <c r="A464" i="11"/>
  <c r="N463" i="11"/>
  <c r="L463" i="11"/>
  <c r="K463" i="11"/>
  <c r="J463" i="11"/>
  <c r="I463" i="11"/>
  <c r="G463" i="11"/>
  <c r="F463" i="11"/>
  <c r="E463" i="11"/>
  <c r="D463" i="11"/>
  <c r="C463" i="11"/>
  <c r="B463" i="11"/>
  <c r="A463" i="11"/>
  <c r="N462" i="11"/>
  <c r="L462" i="11"/>
  <c r="K462" i="11"/>
  <c r="J462" i="11"/>
  <c r="I462" i="11"/>
  <c r="G462" i="11"/>
  <c r="F462" i="11"/>
  <c r="E462" i="11"/>
  <c r="D462" i="11"/>
  <c r="C462" i="11"/>
  <c r="B462" i="11"/>
  <c r="A462" i="11"/>
  <c r="N461" i="11"/>
  <c r="L461" i="11"/>
  <c r="K461" i="11"/>
  <c r="J461" i="11"/>
  <c r="I461" i="11"/>
  <c r="G461" i="11"/>
  <c r="F461" i="11"/>
  <c r="E461" i="11"/>
  <c r="D461" i="11"/>
  <c r="C461" i="11"/>
  <c r="B461" i="11"/>
  <c r="A461" i="11"/>
  <c r="N460" i="11"/>
  <c r="L460" i="11"/>
  <c r="K460" i="11"/>
  <c r="J460" i="11"/>
  <c r="I460" i="11"/>
  <c r="G460" i="11"/>
  <c r="F460" i="11"/>
  <c r="E460" i="11"/>
  <c r="D460" i="11"/>
  <c r="C460" i="11"/>
  <c r="B460" i="11"/>
  <c r="A460" i="11"/>
  <c r="N459" i="11"/>
  <c r="L459" i="11"/>
  <c r="K459" i="11"/>
  <c r="J459" i="11"/>
  <c r="I459" i="11"/>
  <c r="G459" i="11"/>
  <c r="F459" i="11"/>
  <c r="E459" i="11"/>
  <c r="D459" i="11"/>
  <c r="C459" i="11"/>
  <c r="B459" i="11"/>
  <c r="A459" i="11"/>
  <c r="N458" i="11"/>
  <c r="L458" i="11"/>
  <c r="K458" i="11"/>
  <c r="J458" i="11"/>
  <c r="I458" i="11"/>
  <c r="G458" i="11"/>
  <c r="F458" i="11"/>
  <c r="E458" i="11"/>
  <c r="D458" i="11"/>
  <c r="C458" i="11"/>
  <c r="B458" i="11"/>
  <c r="A458" i="11"/>
  <c r="N457" i="11"/>
  <c r="L457" i="11"/>
  <c r="K457" i="11"/>
  <c r="J457" i="11"/>
  <c r="I457" i="11"/>
  <c r="G457" i="11"/>
  <c r="F457" i="11"/>
  <c r="E457" i="11"/>
  <c r="D457" i="11"/>
  <c r="C457" i="11"/>
  <c r="B457" i="11"/>
  <c r="A457" i="11"/>
  <c r="N456" i="11"/>
  <c r="L456" i="11"/>
  <c r="K456" i="11"/>
  <c r="J456" i="11"/>
  <c r="I456" i="11"/>
  <c r="G456" i="11"/>
  <c r="F456" i="11"/>
  <c r="E456" i="11"/>
  <c r="D456" i="11"/>
  <c r="C456" i="11"/>
  <c r="B456" i="11"/>
  <c r="A456" i="11"/>
  <c r="N455" i="11"/>
  <c r="L455" i="11"/>
  <c r="K455" i="11"/>
  <c r="J455" i="11"/>
  <c r="I455" i="11"/>
  <c r="G455" i="11"/>
  <c r="F455" i="11"/>
  <c r="E455" i="11"/>
  <c r="D455" i="11"/>
  <c r="C455" i="11"/>
  <c r="B455" i="11"/>
  <c r="A455" i="11"/>
  <c r="N454" i="11"/>
  <c r="L454" i="11"/>
  <c r="K454" i="11"/>
  <c r="J454" i="11"/>
  <c r="I454" i="11"/>
  <c r="G454" i="11"/>
  <c r="F454" i="11"/>
  <c r="E454" i="11"/>
  <c r="D454" i="11"/>
  <c r="C454" i="11"/>
  <c r="B454" i="11"/>
  <c r="A454" i="11"/>
  <c r="N453" i="11"/>
  <c r="L453" i="11"/>
  <c r="K453" i="11"/>
  <c r="J453" i="11"/>
  <c r="I453" i="11"/>
  <c r="H453" i="11"/>
  <c r="G453" i="11"/>
  <c r="F453" i="11"/>
  <c r="E453" i="11"/>
  <c r="D453" i="11"/>
  <c r="C453" i="11"/>
  <c r="B453" i="11"/>
  <c r="A453" i="11"/>
  <c r="N452" i="11"/>
  <c r="L452" i="11"/>
  <c r="K452" i="11"/>
  <c r="J452" i="11"/>
  <c r="I452" i="11"/>
  <c r="G452" i="11"/>
  <c r="F452" i="11"/>
  <c r="E452" i="11"/>
  <c r="D452" i="11"/>
  <c r="C452" i="11"/>
  <c r="B452" i="11"/>
  <c r="A452" i="11"/>
  <c r="N451" i="11"/>
  <c r="L451" i="11"/>
  <c r="K451" i="11"/>
  <c r="J451" i="11"/>
  <c r="I451" i="11"/>
  <c r="H451" i="11"/>
  <c r="G451" i="11"/>
  <c r="F451" i="11"/>
  <c r="E451" i="11"/>
  <c r="D451" i="11"/>
  <c r="C451" i="11"/>
  <c r="B451" i="11"/>
  <c r="A451" i="11"/>
  <c r="N450" i="11"/>
  <c r="L450" i="11"/>
  <c r="K450" i="11"/>
  <c r="J450" i="11"/>
  <c r="I450" i="11"/>
  <c r="Q450" i="11" s="1"/>
  <c r="H450" i="11"/>
  <c r="G450" i="11"/>
  <c r="F450" i="11"/>
  <c r="E450" i="11"/>
  <c r="D450" i="11"/>
  <c r="C450" i="11"/>
  <c r="B450" i="11"/>
  <c r="A450" i="11"/>
  <c r="N449" i="11"/>
  <c r="L449" i="11"/>
  <c r="K449" i="11"/>
  <c r="J449" i="11"/>
  <c r="I449" i="11"/>
  <c r="G449" i="11"/>
  <c r="F449" i="11"/>
  <c r="E449" i="11"/>
  <c r="D449" i="11"/>
  <c r="C449" i="11"/>
  <c r="B449" i="11"/>
  <c r="A449" i="11"/>
  <c r="N448" i="11"/>
  <c r="L448" i="11"/>
  <c r="K448" i="11"/>
  <c r="J448" i="11"/>
  <c r="I448" i="11"/>
  <c r="G448" i="11"/>
  <c r="F448" i="11"/>
  <c r="E448" i="11"/>
  <c r="D448" i="11"/>
  <c r="C448" i="11"/>
  <c r="B448" i="11"/>
  <c r="A448" i="11"/>
  <c r="N447" i="11"/>
  <c r="L447" i="11"/>
  <c r="K447" i="11"/>
  <c r="J447" i="11"/>
  <c r="I447" i="11"/>
  <c r="G447" i="11"/>
  <c r="F447" i="11"/>
  <c r="E447" i="11"/>
  <c r="D447" i="11"/>
  <c r="C447" i="11"/>
  <c r="B447" i="11"/>
  <c r="A447" i="11"/>
  <c r="N446" i="11"/>
  <c r="L446" i="11"/>
  <c r="K446" i="11"/>
  <c r="J446" i="11"/>
  <c r="I446" i="11"/>
  <c r="G446" i="11"/>
  <c r="F446" i="11"/>
  <c r="E446" i="11"/>
  <c r="D446" i="11"/>
  <c r="C446" i="11"/>
  <c r="B446" i="11"/>
  <c r="A446" i="11"/>
  <c r="N445" i="11"/>
  <c r="L445" i="11"/>
  <c r="K445" i="11"/>
  <c r="J445" i="11"/>
  <c r="I445" i="11"/>
  <c r="H445" i="11"/>
  <c r="G445" i="11"/>
  <c r="F445" i="11"/>
  <c r="E445" i="11"/>
  <c r="D445" i="11"/>
  <c r="C445" i="11"/>
  <c r="B445" i="11"/>
  <c r="A445" i="11"/>
  <c r="N444" i="11"/>
  <c r="L444" i="11"/>
  <c r="K444" i="11"/>
  <c r="J444" i="11"/>
  <c r="I444" i="11"/>
  <c r="G444" i="11"/>
  <c r="F444" i="11"/>
  <c r="E444" i="11"/>
  <c r="D444" i="11"/>
  <c r="C444" i="11"/>
  <c r="B444" i="11"/>
  <c r="A444" i="11"/>
  <c r="N443" i="11"/>
  <c r="L443" i="11"/>
  <c r="K443" i="11"/>
  <c r="J443" i="11"/>
  <c r="I443" i="11"/>
  <c r="H443" i="11"/>
  <c r="G443" i="11"/>
  <c r="F443" i="11"/>
  <c r="E443" i="11"/>
  <c r="D443" i="11"/>
  <c r="C443" i="11"/>
  <c r="B443" i="11"/>
  <c r="A443" i="11"/>
  <c r="N442" i="11"/>
  <c r="L442" i="11"/>
  <c r="K442" i="11"/>
  <c r="J442" i="11"/>
  <c r="I442" i="11"/>
  <c r="G442" i="11"/>
  <c r="F442" i="11"/>
  <c r="E442" i="11"/>
  <c r="D442" i="11"/>
  <c r="C442" i="11"/>
  <c r="B442" i="11"/>
  <c r="A442" i="11"/>
  <c r="N441" i="11"/>
  <c r="L441" i="11"/>
  <c r="K441" i="11"/>
  <c r="J441" i="11"/>
  <c r="I441" i="11"/>
  <c r="G441" i="11"/>
  <c r="F441" i="11"/>
  <c r="E441" i="11"/>
  <c r="D441" i="11"/>
  <c r="C441" i="11"/>
  <c r="B441" i="11"/>
  <c r="A441" i="11"/>
  <c r="O440" i="11"/>
  <c r="N440" i="11"/>
  <c r="L440" i="11"/>
  <c r="K440" i="11"/>
  <c r="J440" i="11"/>
  <c r="I440" i="11"/>
  <c r="H440" i="11"/>
  <c r="G440" i="11"/>
  <c r="F440" i="11"/>
  <c r="E440" i="11"/>
  <c r="D440" i="11"/>
  <c r="C440" i="11"/>
  <c r="B440" i="11"/>
  <c r="A440" i="11"/>
  <c r="N439" i="11"/>
  <c r="L439" i="11"/>
  <c r="K439" i="11"/>
  <c r="J439" i="11"/>
  <c r="I439" i="11"/>
  <c r="G439" i="11"/>
  <c r="F439" i="11"/>
  <c r="E439" i="11"/>
  <c r="D439" i="11"/>
  <c r="C439" i="11"/>
  <c r="B439" i="11"/>
  <c r="A439" i="11"/>
  <c r="N438" i="11"/>
  <c r="L438" i="11"/>
  <c r="K438" i="11"/>
  <c r="J438" i="11"/>
  <c r="I438" i="11"/>
  <c r="Q438" i="11" s="1"/>
  <c r="G438" i="11"/>
  <c r="F438" i="11"/>
  <c r="E438" i="11"/>
  <c r="D438" i="11"/>
  <c r="C438" i="11"/>
  <c r="B438" i="11"/>
  <c r="A438" i="11"/>
  <c r="N437" i="11"/>
  <c r="L437" i="11"/>
  <c r="K437" i="11"/>
  <c r="J437" i="11"/>
  <c r="I437" i="11"/>
  <c r="G437" i="11"/>
  <c r="F437" i="11"/>
  <c r="E437" i="11"/>
  <c r="D437" i="11"/>
  <c r="C437" i="11"/>
  <c r="B437" i="11"/>
  <c r="A437" i="11"/>
  <c r="N436" i="11"/>
  <c r="L436" i="11"/>
  <c r="K436" i="11"/>
  <c r="J436" i="11"/>
  <c r="I436" i="11"/>
  <c r="G436" i="11"/>
  <c r="F436" i="11"/>
  <c r="E436" i="11"/>
  <c r="D436" i="11"/>
  <c r="C436" i="11"/>
  <c r="B436" i="11"/>
  <c r="A436" i="11"/>
  <c r="N435" i="11"/>
  <c r="L435" i="11"/>
  <c r="K435" i="11"/>
  <c r="J435" i="11"/>
  <c r="I435" i="11"/>
  <c r="Q435" i="11" s="1"/>
  <c r="H435" i="11"/>
  <c r="G435" i="11"/>
  <c r="F435" i="11"/>
  <c r="E435" i="11"/>
  <c r="D435" i="11"/>
  <c r="C435" i="11"/>
  <c r="B435" i="11"/>
  <c r="A435" i="11"/>
  <c r="N434" i="11"/>
  <c r="L434" i="11"/>
  <c r="K434" i="11"/>
  <c r="J434" i="11"/>
  <c r="I434" i="11"/>
  <c r="G434" i="11"/>
  <c r="F434" i="11"/>
  <c r="E434" i="11"/>
  <c r="D434" i="11"/>
  <c r="C434" i="11"/>
  <c r="B434" i="11"/>
  <c r="A434" i="11"/>
  <c r="N433" i="11"/>
  <c r="L433" i="11"/>
  <c r="K433" i="11"/>
  <c r="J433" i="11"/>
  <c r="I433" i="11"/>
  <c r="G433" i="11"/>
  <c r="F433" i="11"/>
  <c r="E433" i="11"/>
  <c r="D433" i="11"/>
  <c r="C433" i="11"/>
  <c r="B433" i="11"/>
  <c r="A433" i="11"/>
  <c r="N432" i="11"/>
  <c r="L432" i="11"/>
  <c r="K432" i="11"/>
  <c r="J432" i="11"/>
  <c r="I432" i="11"/>
  <c r="G432" i="11"/>
  <c r="F432" i="11"/>
  <c r="E432" i="11"/>
  <c r="D432" i="11"/>
  <c r="C432" i="11"/>
  <c r="B432" i="11"/>
  <c r="A432" i="11"/>
  <c r="N431" i="11"/>
  <c r="L431" i="11"/>
  <c r="K431" i="11"/>
  <c r="J431" i="11"/>
  <c r="I431" i="11"/>
  <c r="G431" i="11"/>
  <c r="F431" i="11"/>
  <c r="E431" i="11"/>
  <c r="D431" i="11"/>
  <c r="C431" i="11"/>
  <c r="B431" i="11"/>
  <c r="A431" i="11"/>
  <c r="N430" i="11"/>
  <c r="L430" i="11"/>
  <c r="K430" i="11"/>
  <c r="J430" i="11"/>
  <c r="I430" i="11"/>
  <c r="G430" i="11"/>
  <c r="F430" i="11"/>
  <c r="E430" i="11"/>
  <c r="D430" i="11"/>
  <c r="C430" i="11"/>
  <c r="B430" i="11"/>
  <c r="A430" i="11"/>
  <c r="N429" i="11"/>
  <c r="L429" i="11"/>
  <c r="K429" i="11"/>
  <c r="J429" i="11"/>
  <c r="I429" i="11"/>
  <c r="G429" i="11"/>
  <c r="F429" i="11"/>
  <c r="E429" i="11"/>
  <c r="D429" i="11"/>
  <c r="C429" i="11"/>
  <c r="B429" i="11"/>
  <c r="A429" i="11"/>
  <c r="N428" i="11"/>
  <c r="L428" i="11"/>
  <c r="K428" i="11"/>
  <c r="J428" i="11"/>
  <c r="I428" i="11"/>
  <c r="Q428" i="11" s="1"/>
  <c r="H428" i="11"/>
  <c r="G428" i="11"/>
  <c r="F428" i="11"/>
  <c r="E428" i="11"/>
  <c r="D428" i="11"/>
  <c r="C428" i="11"/>
  <c r="B428" i="11"/>
  <c r="A428" i="11"/>
  <c r="N427" i="11"/>
  <c r="L427" i="11"/>
  <c r="K427" i="11"/>
  <c r="J427" i="11"/>
  <c r="I427" i="11"/>
  <c r="G427" i="11"/>
  <c r="F427" i="11"/>
  <c r="E427" i="11"/>
  <c r="D427" i="11"/>
  <c r="C427" i="11"/>
  <c r="B427" i="11"/>
  <c r="A427" i="11"/>
  <c r="N426" i="11"/>
  <c r="L426" i="11"/>
  <c r="K426" i="11"/>
  <c r="J426" i="11"/>
  <c r="I426" i="11"/>
  <c r="G426" i="11"/>
  <c r="F426" i="11"/>
  <c r="E426" i="11"/>
  <c r="D426" i="11"/>
  <c r="C426" i="11"/>
  <c r="B426" i="11"/>
  <c r="A426" i="11"/>
  <c r="N425" i="11"/>
  <c r="L425" i="11"/>
  <c r="K425" i="11"/>
  <c r="J425" i="11"/>
  <c r="I425" i="11"/>
  <c r="H425" i="11"/>
  <c r="G425" i="11"/>
  <c r="F425" i="11"/>
  <c r="E425" i="11"/>
  <c r="D425" i="11"/>
  <c r="C425" i="11"/>
  <c r="B425" i="11"/>
  <c r="A425" i="11"/>
  <c r="N424" i="11"/>
  <c r="L424" i="11"/>
  <c r="K424" i="11"/>
  <c r="J424" i="11"/>
  <c r="I424" i="11"/>
  <c r="G424" i="11"/>
  <c r="F424" i="11"/>
  <c r="E424" i="11"/>
  <c r="D424" i="11"/>
  <c r="C424" i="11"/>
  <c r="B424" i="11"/>
  <c r="A424" i="11"/>
  <c r="N423" i="11"/>
  <c r="L423" i="11"/>
  <c r="K423" i="11"/>
  <c r="J423" i="11"/>
  <c r="I423" i="11"/>
  <c r="H423" i="11"/>
  <c r="G423" i="11"/>
  <c r="F423" i="11"/>
  <c r="E423" i="11"/>
  <c r="D423" i="11"/>
  <c r="C423" i="11"/>
  <c r="B423" i="11"/>
  <c r="A423" i="11"/>
  <c r="N422" i="11"/>
  <c r="L422" i="11"/>
  <c r="K422" i="11"/>
  <c r="J422" i="11"/>
  <c r="I422" i="11"/>
  <c r="G422" i="11"/>
  <c r="F422" i="11"/>
  <c r="E422" i="11"/>
  <c r="D422" i="11"/>
  <c r="C422" i="11"/>
  <c r="B422" i="11"/>
  <c r="A422" i="11"/>
  <c r="N421" i="11"/>
  <c r="L421" i="11"/>
  <c r="K421" i="11"/>
  <c r="J421" i="11"/>
  <c r="I421" i="11"/>
  <c r="G421" i="11"/>
  <c r="F421" i="11"/>
  <c r="E421" i="11"/>
  <c r="D421" i="11"/>
  <c r="C421" i="11"/>
  <c r="B421" i="11"/>
  <c r="A421" i="11"/>
  <c r="N420" i="11"/>
  <c r="L420" i="11"/>
  <c r="K420" i="11"/>
  <c r="J420" i="11"/>
  <c r="I420" i="11"/>
  <c r="G420" i="11"/>
  <c r="F420" i="11"/>
  <c r="E420" i="11"/>
  <c r="D420" i="11"/>
  <c r="C420" i="11"/>
  <c r="B420" i="11"/>
  <c r="A420" i="11"/>
  <c r="N419" i="11"/>
  <c r="L419" i="11"/>
  <c r="K419" i="11"/>
  <c r="J419" i="11"/>
  <c r="I419" i="11"/>
  <c r="G419" i="11"/>
  <c r="F419" i="11"/>
  <c r="E419" i="11"/>
  <c r="D419" i="11"/>
  <c r="C419" i="11"/>
  <c r="B419" i="11"/>
  <c r="A419" i="11"/>
  <c r="N418" i="11"/>
  <c r="L418" i="11"/>
  <c r="K418" i="11"/>
  <c r="J418" i="11"/>
  <c r="I418" i="11"/>
  <c r="G418" i="11"/>
  <c r="F418" i="11"/>
  <c r="E418" i="11"/>
  <c r="D418" i="11"/>
  <c r="C418" i="11"/>
  <c r="B418" i="11"/>
  <c r="A418" i="11"/>
  <c r="N417" i="11"/>
  <c r="L417" i="11"/>
  <c r="K417" i="11"/>
  <c r="J417" i="11"/>
  <c r="I417" i="11"/>
  <c r="G417" i="11"/>
  <c r="F417" i="11"/>
  <c r="E417" i="11"/>
  <c r="D417" i="11"/>
  <c r="C417" i="11"/>
  <c r="B417" i="11"/>
  <c r="A417" i="11"/>
  <c r="N416" i="11"/>
  <c r="L416" i="11"/>
  <c r="K416" i="11"/>
  <c r="J416" i="11"/>
  <c r="I416" i="11"/>
  <c r="H416" i="11"/>
  <c r="G416" i="11"/>
  <c r="F416" i="11"/>
  <c r="E416" i="11"/>
  <c r="D416" i="11"/>
  <c r="C416" i="11"/>
  <c r="B416" i="11"/>
  <c r="A416" i="11"/>
  <c r="N415" i="11"/>
  <c r="L415" i="11"/>
  <c r="K415" i="11"/>
  <c r="J415" i="11"/>
  <c r="I415" i="11"/>
  <c r="G415" i="11"/>
  <c r="F415" i="11"/>
  <c r="E415" i="11"/>
  <c r="D415" i="11"/>
  <c r="C415" i="11"/>
  <c r="B415" i="11"/>
  <c r="A415" i="11"/>
  <c r="N414" i="11"/>
  <c r="L414" i="11"/>
  <c r="K414" i="11"/>
  <c r="J414" i="11"/>
  <c r="I414" i="11"/>
  <c r="G414" i="11"/>
  <c r="F414" i="11"/>
  <c r="E414" i="11"/>
  <c r="D414" i="11"/>
  <c r="C414" i="11"/>
  <c r="B414" i="11"/>
  <c r="A414" i="11"/>
  <c r="N413" i="11"/>
  <c r="L413" i="11"/>
  <c r="K413" i="11"/>
  <c r="J413" i="11"/>
  <c r="I413" i="11"/>
  <c r="G413" i="11"/>
  <c r="F413" i="11"/>
  <c r="E413" i="11"/>
  <c r="D413" i="11"/>
  <c r="C413" i="11"/>
  <c r="B413" i="11"/>
  <c r="A413" i="11"/>
  <c r="N412" i="11"/>
  <c r="L412" i="11"/>
  <c r="K412" i="11"/>
  <c r="J412" i="11"/>
  <c r="I412" i="11"/>
  <c r="G412" i="11"/>
  <c r="F412" i="11"/>
  <c r="E412" i="11"/>
  <c r="D412" i="11"/>
  <c r="C412" i="11"/>
  <c r="B412" i="11"/>
  <c r="A412" i="11"/>
  <c r="N411" i="11"/>
  <c r="L411" i="11"/>
  <c r="K411" i="11"/>
  <c r="J411" i="11"/>
  <c r="I411" i="11"/>
  <c r="G411" i="11"/>
  <c r="F411" i="11"/>
  <c r="E411" i="11"/>
  <c r="D411" i="11"/>
  <c r="C411" i="11"/>
  <c r="B411" i="11"/>
  <c r="A411" i="11"/>
  <c r="N410" i="11"/>
  <c r="L410" i="11"/>
  <c r="K410" i="11"/>
  <c r="J410" i="11"/>
  <c r="I410" i="11"/>
  <c r="G410" i="11"/>
  <c r="F410" i="11"/>
  <c r="E410" i="11"/>
  <c r="D410" i="11"/>
  <c r="C410" i="11"/>
  <c r="B410" i="11"/>
  <c r="A410" i="11"/>
  <c r="N409" i="11"/>
  <c r="L409" i="11"/>
  <c r="K409" i="11"/>
  <c r="J409" i="11"/>
  <c r="I409" i="11"/>
  <c r="G409" i="11"/>
  <c r="F409" i="11"/>
  <c r="E409" i="11"/>
  <c r="D409" i="11"/>
  <c r="C409" i="11"/>
  <c r="B409" i="11"/>
  <c r="A409" i="11"/>
  <c r="N408" i="11"/>
  <c r="L408" i="11"/>
  <c r="K408" i="11"/>
  <c r="J408" i="11"/>
  <c r="I408" i="11"/>
  <c r="G408" i="11"/>
  <c r="F408" i="11"/>
  <c r="E408" i="11"/>
  <c r="D408" i="11"/>
  <c r="C408" i="11"/>
  <c r="B408" i="11"/>
  <c r="A408" i="11"/>
  <c r="N407" i="11"/>
  <c r="L407" i="11"/>
  <c r="K407" i="11"/>
  <c r="J407" i="11"/>
  <c r="I407" i="11"/>
  <c r="G407" i="11"/>
  <c r="F407" i="11"/>
  <c r="E407" i="11"/>
  <c r="D407" i="11"/>
  <c r="C407" i="11"/>
  <c r="B407" i="11"/>
  <c r="A407" i="11"/>
  <c r="N406" i="11"/>
  <c r="L406" i="11"/>
  <c r="K406" i="11"/>
  <c r="J406" i="11"/>
  <c r="I406" i="11"/>
  <c r="G406" i="11"/>
  <c r="F406" i="11"/>
  <c r="E406" i="11"/>
  <c r="D406" i="11"/>
  <c r="C406" i="11"/>
  <c r="B406" i="11"/>
  <c r="A406" i="11"/>
  <c r="N405" i="11"/>
  <c r="L405" i="11"/>
  <c r="K405" i="11"/>
  <c r="J405" i="11"/>
  <c r="I405" i="11"/>
  <c r="G405" i="11"/>
  <c r="F405" i="11"/>
  <c r="E405" i="11"/>
  <c r="D405" i="11"/>
  <c r="C405" i="11"/>
  <c r="B405" i="11"/>
  <c r="A405" i="11"/>
  <c r="N404" i="11"/>
  <c r="L404" i="11"/>
  <c r="K404" i="11"/>
  <c r="J404" i="11"/>
  <c r="I404" i="11"/>
  <c r="G404" i="11"/>
  <c r="F404" i="11"/>
  <c r="E404" i="11"/>
  <c r="D404" i="11"/>
  <c r="C404" i="11"/>
  <c r="B404" i="11"/>
  <c r="A404" i="11"/>
  <c r="N403" i="11"/>
  <c r="L403" i="11"/>
  <c r="K403" i="11"/>
  <c r="J403" i="11"/>
  <c r="I403" i="11"/>
  <c r="G403" i="11"/>
  <c r="F403" i="11"/>
  <c r="E403" i="11"/>
  <c r="D403" i="11"/>
  <c r="C403" i="11"/>
  <c r="B403" i="11"/>
  <c r="A403" i="11"/>
  <c r="N402" i="11"/>
  <c r="L402" i="11"/>
  <c r="K402" i="11"/>
  <c r="J402" i="11"/>
  <c r="I402" i="11"/>
  <c r="G402" i="11"/>
  <c r="F402" i="11"/>
  <c r="E402" i="11"/>
  <c r="D402" i="11"/>
  <c r="C402" i="11"/>
  <c r="B402" i="11"/>
  <c r="A402" i="11"/>
  <c r="N401" i="11"/>
  <c r="L401" i="11"/>
  <c r="K401" i="11"/>
  <c r="J401" i="11"/>
  <c r="I401" i="11"/>
  <c r="G401" i="11"/>
  <c r="F401" i="11"/>
  <c r="E401" i="11"/>
  <c r="D401" i="11"/>
  <c r="C401" i="11"/>
  <c r="B401" i="11"/>
  <c r="A401" i="11"/>
  <c r="N400" i="11"/>
  <c r="L400" i="11"/>
  <c r="K400" i="11"/>
  <c r="J400" i="11"/>
  <c r="I400" i="11"/>
  <c r="G400" i="11"/>
  <c r="F400" i="11"/>
  <c r="E400" i="11"/>
  <c r="D400" i="11"/>
  <c r="C400" i="11"/>
  <c r="B400" i="11"/>
  <c r="A400" i="11"/>
  <c r="N399" i="11"/>
  <c r="L399" i="11"/>
  <c r="K399" i="11"/>
  <c r="J399" i="11"/>
  <c r="I399" i="11"/>
  <c r="G399" i="11"/>
  <c r="F399" i="11"/>
  <c r="E399" i="11"/>
  <c r="D399" i="11"/>
  <c r="C399" i="11"/>
  <c r="B399" i="11"/>
  <c r="A399" i="11"/>
  <c r="N398" i="11"/>
  <c r="L398" i="11"/>
  <c r="K398" i="11"/>
  <c r="J398" i="11"/>
  <c r="I398" i="11"/>
  <c r="G398" i="11"/>
  <c r="F398" i="11"/>
  <c r="E398" i="11"/>
  <c r="D398" i="11"/>
  <c r="C398" i="11"/>
  <c r="B398" i="11"/>
  <c r="A398" i="11"/>
  <c r="N397" i="11"/>
  <c r="L397" i="11"/>
  <c r="K397" i="11"/>
  <c r="J397" i="11"/>
  <c r="I397" i="11"/>
  <c r="G397" i="11"/>
  <c r="F397" i="11"/>
  <c r="E397" i="11"/>
  <c r="D397" i="11"/>
  <c r="C397" i="11"/>
  <c r="B397" i="11"/>
  <c r="A397" i="11"/>
  <c r="N396" i="11"/>
  <c r="L396" i="11"/>
  <c r="K396" i="11"/>
  <c r="J396" i="11"/>
  <c r="I396" i="11"/>
  <c r="G396" i="11"/>
  <c r="F396" i="11"/>
  <c r="E396" i="11"/>
  <c r="D396" i="11"/>
  <c r="C396" i="11"/>
  <c r="B396" i="11"/>
  <c r="A396" i="11"/>
  <c r="N395" i="11"/>
  <c r="L395" i="11"/>
  <c r="K395" i="11"/>
  <c r="J395" i="11"/>
  <c r="I395" i="11"/>
  <c r="G395" i="11"/>
  <c r="F395" i="11"/>
  <c r="E395" i="11"/>
  <c r="D395" i="11"/>
  <c r="C395" i="11"/>
  <c r="B395" i="11"/>
  <c r="A395" i="11"/>
  <c r="N394" i="11"/>
  <c r="L394" i="11"/>
  <c r="K394" i="11"/>
  <c r="J394" i="11"/>
  <c r="I394" i="11"/>
  <c r="G394" i="11"/>
  <c r="F394" i="11"/>
  <c r="E394" i="11"/>
  <c r="D394" i="11"/>
  <c r="C394" i="11"/>
  <c r="B394" i="11"/>
  <c r="A394" i="11"/>
  <c r="N393" i="11"/>
  <c r="L393" i="11"/>
  <c r="K393" i="11"/>
  <c r="J393" i="11"/>
  <c r="I393" i="11"/>
  <c r="G393" i="11"/>
  <c r="F393" i="11"/>
  <c r="E393" i="11"/>
  <c r="D393" i="11"/>
  <c r="C393" i="11"/>
  <c r="B393" i="11"/>
  <c r="A393" i="11"/>
  <c r="N392" i="11"/>
  <c r="L392" i="11"/>
  <c r="K392" i="11"/>
  <c r="J392" i="11"/>
  <c r="I392" i="11"/>
  <c r="G392" i="11"/>
  <c r="F392" i="11"/>
  <c r="E392" i="11"/>
  <c r="D392" i="11"/>
  <c r="C392" i="11"/>
  <c r="B392" i="11"/>
  <c r="A392" i="11"/>
  <c r="N391" i="11"/>
  <c r="L391" i="11"/>
  <c r="K391" i="11"/>
  <c r="J391" i="11"/>
  <c r="I391" i="11"/>
  <c r="G391" i="11"/>
  <c r="F391" i="11"/>
  <c r="E391" i="11"/>
  <c r="D391" i="11"/>
  <c r="C391" i="11"/>
  <c r="B391" i="11"/>
  <c r="A391" i="11"/>
  <c r="N390" i="11"/>
  <c r="L390" i="11"/>
  <c r="K390" i="11"/>
  <c r="J390" i="11"/>
  <c r="I390" i="11"/>
  <c r="H390" i="11"/>
  <c r="G390" i="11"/>
  <c r="F390" i="11"/>
  <c r="E390" i="11"/>
  <c r="D390" i="11"/>
  <c r="C390" i="11"/>
  <c r="B390" i="11"/>
  <c r="A390" i="11"/>
  <c r="N389" i="11"/>
  <c r="L389" i="11"/>
  <c r="K389" i="11"/>
  <c r="J389" i="11"/>
  <c r="I389" i="11"/>
  <c r="H389" i="11"/>
  <c r="G389" i="11"/>
  <c r="F389" i="11"/>
  <c r="E389" i="11"/>
  <c r="D389" i="11"/>
  <c r="C389" i="11"/>
  <c r="B389" i="11"/>
  <c r="A389" i="11"/>
  <c r="N388" i="11"/>
  <c r="L388" i="11"/>
  <c r="K388" i="11"/>
  <c r="J388" i="11"/>
  <c r="I388" i="11"/>
  <c r="H388" i="11"/>
  <c r="G388" i="11"/>
  <c r="F388" i="11"/>
  <c r="E388" i="11"/>
  <c r="D388" i="11"/>
  <c r="C388" i="11"/>
  <c r="B388" i="11"/>
  <c r="A388" i="11"/>
  <c r="N387" i="11"/>
  <c r="L387" i="11"/>
  <c r="K387" i="11"/>
  <c r="J387" i="11"/>
  <c r="I387" i="11"/>
  <c r="G387" i="11"/>
  <c r="F387" i="11"/>
  <c r="E387" i="11"/>
  <c r="D387" i="11"/>
  <c r="C387" i="11"/>
  <c r="B387" i="11"/>
  <c r="A387" i="11"/>
  <c r="N386" i="11"/>
  <c r="L386" i="11"/>
  <c r="K386" i="11"/>
  <c r="J386" i="11"/>
  <c r="I386" i="11"/>
  <c r="G386" i="11"/>
  <c r="F386" i="11"/>
  <c r="E386" i="11"/>
  <c r="D386" i="11"/>
  <c r="C386" i="11"/>
  <c r="B386" i="11"/>
  <c r="A386" i="11"/>
  <c r="O385" i="11"/>
  <c r="N385" i="11"/>
  <c r="L385" i="11"/>
  <c r="K385" i="11"/>
  <c r="J385" i="11"/>
  <c r="I385" i="11"/>
  <c r="H385" i="11"/>
  <c r="G385" i="11"/>
  <c r="F385" i="11"/>
  <c r="E385" i="11"/>
  <c r="D385" i="11"/>
  <c r="C385" i="11"/>
  <c r="B385" i="11"/>
  <c r="A385" i="11"/>
  <c r="N384" i="11"/>
  <c r="L384" i="11"/>
  <c r="K384" i="11"/>
  <c r="J384" i="11"/>
  <c r="I384" i="11"/>
  <c r="G384" i="11"/>
  <c r="F384" i="11"/>
  <c r="E384" i="11"/>
  <c r="D384" i="11"/>
  <c r="C384" i="11"/>
  <c r="B384" i="11"/>
  <c r="A384" i="11"/>
  <c r="N383" i="11"/>
  <c r="L383" i="11"/>
  <c r="K383" i="11"/>
  <c r="J383" i="11"/>
  <c r="I383" i="11"/>
  <c r="G383" i="11"/>
  <c r="F383" i="11"/>
  <c r="E383" i="11"/>
  <c r="D383" i="11"/>
  <c r="C383" i="11"/>
  <c r="B383" i="11"/>
  <c r="A383" i="11"/>
  <c r="N382" i="11"/>
  <c r="L382" i="11"/>
  <c r="K382" i="11"/>
  <c r="J382" i="11"/>
  <c r="I382" i="11"/>
  <c r="Q382" i="11" s="1"/>
  <c r="H382" i="11"/>
  <c r="G382" i="11"/>
  <c r="F382" i="11"/>
  <c r="E382" i="11"/>
  <c r="D382" i="11"/>
  <c r="C382" i="11"/>
  <c r="B382" i="11"/>
  <c r="A382" i="11"/>
  <c r="N381" i="11"/>
  <c r="L381" i="11"/>
  <c r="K381" i="11"/>
  <c r="J381" i="11"/>
  <c r="I381" i="11"/>
  <c r="G381" i="11"/>
  <c r="F381" i="11"/>
  <c r="E381" i="11"/>
  <c r="D381" i="11"/>
  <c r="C381" i="11"/>
  <c r="B381" i="11"/>
  <c r="A381" i="11"/>
  <c r="N380" i="11"/>
  <c r="L380" i="11"/>
  <c r="K380" i="11"/>
  <c r="J380" i="11"/>
  <c r="I380" i="11"/>
  <c r="H380" i="11"/>
  <c r="G380" i="11"/>
  <c r="F380" i="11"/>
  <c r="E380" i="11"/>
  <c r="D380" i="11"/>
  <c r="C380" i="11"/>
  <c r="B380" i="11"/>
  <c r="A380" i="11"/>
  <c r="N379" i="11"/>
  <c r="L379" i="11"/>
  <c r="K379" i="11"/>
  <c r="J379" i="11"/>
  <c r="I379" i="11"/>
  <c r="Q379" i="11" s="1"/>
  <c r="H379" i="11"/>
  <c r="G379" i="11"/>
  <c r="F379" i="11"/>
  <c r="E379" i="11"/>
  <c r="D379" i="11"/>
  <c r="C379" i="11"/>
  <c r="B379" i="11"/>
  <c r="A379" i="11"/>
  <c r="N378" i="11"/>
  <c r="L378" i="11"/>
  <c r="K378" i="11"/>
  <c r="J378" i="11"/>
  <c r="I378" i="11"/>
  <c r="H378" i="11"/>
  <c r="G378" i="11"/>
  <c r="F378" i="11"/>
  <c r="E378" i="11"/>
  <c r="D378" i="11"/>
  <c r="C378" i="11"/>
  <c r="B378" i="11"/>
  <c r="A378" i="11"/>
  <c r="N377" i="11"/>
  <c r="L377" i="11"/>
  <c r="K377" i="11"/>
  <c r="J377" i="11"/>
  <c r="I377" i="11"/>
  <c r="H377" i="11"/>
  <c r="G377" i="11"/>
  <c r="F377" i="11"/>
  <c r="E377" i="11"/>
  <c r="D377" i="11"/>
  <c r="C377" i="11"/>
  <c r="B377" i="11"/>
  <c r="A377" i="11"/>
  <c r="N376" i="11"/>
  <c r="L376" i="11"/>
  <c r="K376" i="11"/>
  <c r="J376" i="11"/>
  <c r="I376" i="11"/>
  <c r="H376" i="11"/>
  <c r="G376" i="11"/>
  <c r="F376" i="11"/>
  <c r="E376" i="11"/>
  <c r="D376" i="11"/>
  <c r="C376" i="11"/>
  <c r="B376" i="11"/>
  <c r="A376" i="11"/>
  <c r="N375" i="11"/>
  <c r="L375" i="11"/>
  <c r="K375" i="11"/>
  <c r="J375" i="11"/>
  <c r="I375" i="11"/>
  <c r="G375" i="11"/>
  <c r="F375" i="11"/>
  <c r="E375" i="11"/>
  <c r="D375" i="11"/>
  <c r="C375" i="11"/>
  <c r="B375" i="11"/>
  <c r="A375" i="11"/>
  <c r="N374" i="11"/>
  <c r="L374" i="11"/>
  <c r="K374" i="11"/>
  <c r="J374" i="11"/>
  <c r="I374" i="11"/>
  <c r="G374" i="11"/>
  <c r="F374" i="11"/>
  <c r="E374" i="11"/>
  <c r="D374" i="11"/>
  <c r="C374" i="11"/>
  <c r="B374" i="11"/>
  <c r="A374" i="11"/>
  <c r="N373" i="11"/>
  <c r="L373" i="11"/>
  <c r="K373" i="11"/>
  <c r="J373" i="11"/>
  <c r="I373" i="11"/>
  <c r="G373" i="11"/>
  <c r="F373" i="11"/>
  <c r="E373" i="11"/>
  <c r="D373" i="11"/>
  <c r="C373" i="11"/>
  <c r="B373" i="11"/>
  <c r="A373" i="11"/>
  <c r="N372" i="11"/>
  <c r="L372" i="11"/>
  <c r="K372" i="11"/>
  <c r="J372" i="11"/>
  <c r="I372" i="11"/>
  <c r="G372" i="11"/>
  <c r="F372" i="11"/>
  <c r="E372" i="11"/>
  <c r="D372" i="11"/>
  <c r="C372" i="11"/>
  <c r="B372" i="11"/>
  <c r="A372" i="11"/>
  <c r="N371" i="11"/>
  <c r="L371" i="11"/>
  <c r="K371" i="11"/>
  <c r="J371" i="11"/>
  <c r="I371" i="11"/>
  <c r="G371" i="11"/>
  <c r="F371" i="11"/>
  <c r="E371" i="11"/>
  <c r="D371" i="11"/>
  <c r="C371" i="11"/>
  <c r="B371" i="11"/>
  <c r="A371" i="11"/>
  <c r="N370" i="11"/>
  <c r="L370" i="11"/>
  <c r="K370" i="11"/>
  <c r="J370" i="11"/>
  <c r="I370" i="11"/>
  <c r="G370" i="11"/>
  <c r="F370" i="11"/>
  <c r="E370" i="11"/>
  <c r="D370" i="11"/>
  <c r="C370" i="11"/>
  <c r="B370" i="11"/>
  <c r="A370" i="11"/>
  <c r="N369" i="11"/>
  <c r="L369" i="11"/>
  <c r="K369" i="11"/>
  <c r="J369" i="11"/>
  <c r="I369" i="11"/>
  <c r="G369" i="11"/>
  <c r="F369" i="11"/>
  <c r="E369" i="11"/>
  <c r="D369" i="11"/>
  <c r="C369" i="11"/>
  <c r="B369" i="11"/>
  <c r="A369" i="11"/>
  <c r="N368" i="11"/>
  <c r="L368" i="11"/>
  <c r="K368" i="11"/>
  <c r="J368" i="11"/>
  <c r="I368" i="11"/>
  <c r="G368" i="11"/>
  <c r="F368" i="11"/>
  <c r="E368" i="11"/>
  <c r="D368" i="11"/>
  <c r="C368" i="11"/>
  <c r="B368" i="11"/>
  <c r="A368" i="11"/>
  <c r="N367" i="11"/>
  <c r="L367" i="11"/>
  <c r="K367" i="11"/>
  <c r="J367" i="11"/>
  <c r="I367" i="11"/>
  <c r="G367" i="11"/>
  <c r="F367" i="11"/>
  <c r="E367" i="11"/>
  <c r="D367" i="11"/>
  <c r="C367" i="11"/>
  <c r="B367" i="11"/>
  <c r="A367" i="11"/>
  <c r="N366" i="11"/>
  <c r="L366" i="11"/>
  <c r="K366" i="11"/>
  <c r="J366" i="11"/>
  <c r="I366" i="11"/>
  <c r="G366" i="11"/>
  <c r="F366" i="11"/>
  <c r="E366" i="11"/>
  <c r="D366" i="11"/>
  <c r="C366" i="11"/>
  <c r="B366" i="11"/>
  <c r="A366" i="11"/>
  <c r="N365" i="11"/>
  <c r="L365" i="11"/>
  <c r="K365" i="11"/>
  <c r="J365" i="11"/>
  <c r="I365" i="11"/>
  <c r="G365" i="11"/>
  <c r="F365" i="11"/>
  <c r="E365" i="11"/>
  <c r="D365" i="11"/>
  <c r="C365" i="11"/>
  <c r="B365" i="11"/>
  <c r="A365" i="11"/>
  <c r="N364" i="11"/>
  <c r="L364" i="11"/>
  <c r="K364" i="11"/>
  <c r="J364" i="11"/>
  <c r="I364" i="11"/>
  <c r="G364" i="11"/>
  <c r="F364" i="11"/>
  <c r="E364" i="11"/>
  <c r="D364" i="11"/>
  <c r="C364" i="11"/>
  <c r="B364" i="11"/>
  <c r="A364" i="11"/>
  <c r="N363" i="11"/>
  <c r="L363" i="11"/>
  <c r="K363" i="11"/>
  <c r="J363" i="11"/>
  <c r="I363" i="11"/>
  <c r="G363" i="11"/>
  <c r="F363" i="11"/>
  <c r="E363" i="11"/>
  <c r="D363" i="11"/>
  <c r="C363" i="11"/>
  <c r="B363" i="11"/>
  <c r="A363" i="11"/>
  <c r="N362" i="11"/>
  <c r="L362" i="11"/>
  <c r="K362" i="11"/>
  <c r="J362" i="11"/>
  <c r="I362" i="11"/>
  <c r="G362" i="11"/>
  <c r="F362" i="11"/>
  <c r="E362" i="11"/>
  <c r="D362" i="11"/>
  <c r="C362" i="11"/>
  <c r="B362" i="11"/>
  <c r="A362" i="11"/>
  <c r="N361" i="11"/>
  <c r="L361" i="11"/>
  <c r="K361" i="11"/>
  <c r="J361" i="11"/>
  <c r="I361" i="11"/>
  <c r="G361" i="11"/>
  <c r="F361" i="11"/>
  <c r="E361" i="11"/>
  <c r="D361" i="11"/>
  <c r="C361" i="11"/>
  <c r="B361" i="11"/>
  <c r="A361" i="11"/>
  <c r="N360" i="11"/>
  <c r="L360" i="11"/>
  <c r="K360" i="11"/>
  <c r="J360" i="11"/>
  <c r="I360" i="11"/>
  <c r="G360" i="11"/>
  <c r="F360" i="11"/>
  <c r="E360" i="11"/>
  <c r="D360" i="11"/>
  <c r="C360" i="11"/>
  <c r="B360" i="11"/>
  <c r="A360" i="11"/>
  <c r="N359" i="11"/>
  <c r="L359" i="11"/>
  <c r="K359" i="11"/>
  <c r="J359" i="11"/>
  <c r="I359" i="11"/>
  <c r="G359" i="11"/>
  <c r="F359" i="11"/>
  <c r="E359" i="11"/>
  <c r="D359" i="11"/>
  <c r="C359" i="11"/>
  <c r="B359" i="11"/>
  <c r="A359" i="11"/>
  <c r="N358" i="11"/>
  <c r="L358" i="11"/>
  <c r="K358" i="11"/>
  <c r="J358" i="11"/>
  <c r="I358" i="11"/>
  <c r="G358" i="11"/>
  <c r="F358" i="11"/>
  <c r="E358" i="11"/>
  <c r="D358" i="11"/>
  <c r="C358" i="11"/>
  <c r="B358" i="11"/>
  <c r="A358" i="11"/>
  <c r="N357" i="11"/>
  <c r="L357" i="11"/>
  <c r="K357" i="11"/>
  <c r="J357" i="11"/>
  <c r="I357" i="11"/>
  <c r="G357" i="11"/>
  <c r="F357" i="11"/>
  <c r="E357" i="11"/>
  <c r="D357" i="11"/>
  <c r="C357" i="11"/>
  <c r="B357" i="11"/>
  <c r="A357" i="11"/>
  <c r="N356" i="11"/>
  <c r="L356" i="11"/>
  <c r="K356" i="11"/>
  <c r="J356" i="11"/>
  <c r="I356" i="11"/>
  <c r="G356" i="11"/>
  <c r="F356" i="11"/>
  <c r="E356" i="11"/>
  <c r="D356" i="11"/>
  <c r="C356" i="11"/>
  <c r="B356" i="11"/>
  <c r="A356" i="11"/>
  <c r="N355" i="11"/>
  <c r="L355" i="11"/>
  <c r="K355" i="11"/>
  <c r="J355" i="11"/>
  <c r="I355" i="11"/>
  <c r="G355" i="11"/>
  <c r="F355" i="11"/>
  <c r="E355" i="11"/>
  <c r="D355" i="11"/>
  <c r="C355" i="11"/>
  <c r="B355" i="11"/>
  <c r="A355" i="11"/>
  <c r="N354" i="11"/>
  <c r="L354" i="11"/>
  <c r="K354" i="11"/>
  <c r="J354" i="11"/>
  <c r="I354" i="11"/>
  <c r="G354" i="11"/>
  <c r="F354" i="11"/>
  <c r="E354" i="11"/>
  <c r="D354" i="11"/>
  <c r="C354" i="11"/>
  <c r="B354" i="11"/>
  <c r="A354" i="11"/>
  <c r="N353" i="11"/>
  <c r="L353" i="11"/>
  <c r="K353" i="11"/>
  <c r="J353" i="11"/>
  <c r="I353" i="11"/>
  <c r="G353" i="11"/>
  <c r="F353" i="11"/>
  <c r="E353" i="11"/>
  <c r="D353" i="11"/>
  <c r="C353" i="11"/>
  <c r="B353" i="11"/>
  <c r="A353" i="11"/>
  <c r="N352" i="11"/>
  <c r="L352" i="11"/>
  <c r="K352" i="11"/>
  <c r="J352" i="11"/>
  <c r="I352" i="11"/>
  <c r="G352" i="11"/>
  <c r="F352" i="11"/>
  <c r="E352" i="11"/>
  <c r="D352" i="11"/>
  <c r="C352" i="11"/>
  <c r="B352" i="11"/>
  <c r="A352" i="11"/>
  <c r="N351" i="11"/>
  <c r="L351" i="11"/>
  <c r="K351" i="11"/>
  <c r="J351" i="11"/>
  <c r="I351" i="11"/>
  <c r="G351" i="11"/>
  <c r="F351" i="11"/>
  <c r="E351" i="11"/>
  <c r="D351" i="11"/>
  <c r="C351" i="11"/>
  <c r="B351" i="11"/>
  <c r="A351" i="11"/>
  <c r="N350" i="11"/>
  <c r="L350" i="11"/>
  <c r="K350" i="11"/>
  <c r="J350" i="11"/>
  <c r="I350" i="11"/>
  <c r="G350" i="11"/>
  <c r="F350" i="11"/>
  <c r="E350" i="11"/>
  <c r="D350" i="11"/>
  <c r="C350" i="11"/>
  <c r="B350" i="11"/>
  <c r="A350" i="11"/>
  <c r="N349" i="11"/>
  <c r="L349" i="11"/>
  <c r="K349" i="11"/>
  <c r="J349" i="11"/>
  <c r="I349" i="11"/>
  <c r="G349" i="11"/>
  <c r="F349" i="11"/>
  <c r="E349" i="11"/>
  <c r="D349" i="11"/>
  <c r="C349" i="11"/>
  <c r="B349" i="11"/>
  <c r="A349" i="11"/>
  <c r="N348" i="11"/>
  <c r="L348" i="11"/>
  <c r="K348" i="11"/>
  <c r="J348" i="11"/>
  <c r="I348" i="11"/>
  <c r="G348" i="11"/>
  <c r="F348" i="11"/>
  <c r="E348" i="11"/>
  <c r="D348" i="11"/>
  <c r="C348" i="11"/>
  <c r="B348" i="11"/>
  <c r="A348" i="11"/>
  <c r="N347" i="11"/>
  <c r="L347" i="11"/>
  <c r="K347" i="11"/>
  <c r="J347" i="11"/>
  <c r="I347" i="11"/>
  <c r="G347" i="11"/>
  <c r="F347" i="11"/>
  <c r="E347" i="11"/>
  <c r="D347" i="11"/>
  <c r="C347" i="11"/>
  <c r="B347" i="11"/>
  <c r="A347" i="11"/>
  <c r="N346" i="11"/>
  <c r="L346" i="11"/>
  <c r="K346" i="11"/>
  <c r="J346" i="11"/>
  <c r="I346" i="11"/>
  <c r="G346" i="11"/>
  <c r="F346" i="11"/>
  <c r="E346" i="11"/>
  <c r="D346" i="11"/>
  <c r="C346" i="11"/>
  <c r="B346" i="11"/>
  <c r="A346" i="11"/>
  <c r="N345" i="11"/>
  <c r="L345" i="11"/>
  <c r="K345" i="11"/>
  <c r="J345" i="11"/>
  <c r="I345" i="11"/>
  <c r="G345" i="11"/>
  <c r="F345" i="11"/>
  <c r="E345" i="11"/>
  <c r="D345" i="11"/>
  <c r="C345" i="11"/>
  <c r="B345" i="11"/>
  <c r="A345" i="11"/>
  <c r="N344" i="11"/>
  <c r="L344" i="11"/>
  <c r="K344" i="11"/>
  <c r="J344" i="11"/>
  <c r="I344" i="11"/>
  <c r="G344" i="11"/>
  <c r="F344" i="11"/>
  <c r="E344" i="11"/>
  <c r="D344" i="11"/>
  <c r="C344" i="11"/>
  <c r="B344" i="11"/>
  <c r="A344" i="11"/>
  <c r="N343" i="11"/>
  <c r="L343" i="11"/>
  <c r="K343" i="11"/>
  <c r="J343" i="11"/>
  <c r="I343" i="11"/>
  <c r="G343" i="11"/>
  <c r="F343" i="11"/>
  <c r="E343" i="11"/>
  <c r="D343" i="11"/>
  <c r="C343" i="11"/>
  <c r="B343" i="11"/>
  <c r="A343" i="11"/>
  <c r="N342" i="11"/>
  <c r="L342" i="11"/>
  <c r="K342" i="11"/>
  <c r="J342" i="11"/>
  <c r="I342" i="11"/>
  <c r="G342" i="11"/>
  <c r="F342" i="11"/>
  <c r="E342" i="11"/>
  <c r="D342" i="11"/>
  <c r="C342" i="11"/>
  <c r="B342" i="11"/>
  <c r="A342" i="11"/>
  <c r="N341" i="11"/>
  <c r="L341" i="11"/>
  <c r="K341" i="11"/>
  <c r="J341" i="11"/>
  <c r="I341" i="11"/>
  <c r="G341" i="11"/>
  <c r="F341" i="11"/>
  <c r="E341" i="11"/>
  <c r="D341" i="11"/>
  <c r="C341" i="11"/>
  <c r="B341" i="11"/>
  <c r="A341" i="11"/>
  <c r="N340" i="11"/>
  <c r="L340" i="11"/>
  <c r="K340" i="11"/>
  <c r="J340" i="11"/>
  <c r="I340" i="11"/>
  <c r="G340" i="11"/>
  <c r="F340" i="11"/>
  <c r="E340" i="11"/>
  <c r="D340" i="11"/>
  <c r="C340" i="11"/>
  <c r="B340" i="11"/>
  <c r="A340" i="11"/>
  <c r="N339" i="11"/>
  <c r="L339" i="11"/>
  <c r="K339" i="11"/>
  <c r="J339" i="11"/>
  <c r="I339" i="11"/>
  <c r="G339" i="11"/>
  <c r="F339" i="11"/>
  <c r="E339" i="11"/>
  <c r="D339" i="11"/>
  <c r="C339" i="11"/>
  <c r="B339" i="11"/>
  <c r="A339" i="11"/>
  <c r="N338" i="11"/>
  <c r="L338" i="11"/>
  <c r="K338" i="11"/>
  <c r="J338" i="11"/>
  <c r="I338" i="11"/>
  <c r="G338" i="11"/>
  <c r="F338" i="11"/>
  <c r="E338" i="11"/>
  <c r="D338" i="11"/>
  <c r="C338" i="11"/>
  <c r="B338" i="11"/>
  <c r="A338" i="11"/>
  <c r="N337" i="11"/>
  <c r="L337" i="11"/>
  <c r="K337" i="11"/>
  <c r="J337" i="11"/>
  <c r="I337" i="11"/>
  <c r="G337" i="11"/>
  <c r="F337" i="11"/>
  <c r="E337" i="11"/>
  <c r="D337" i="11"/>
  <c r="C337" i="11"/>
  <c r="B337" i="11"/>
  <c r="A337" i="11"/>
  <c r="N336" i="11"/>
  <c r="L336" i="11"/>
  <c r="K336" i="11"/>
  <c r="J336" i="11"/>
  <c r="I336" i="11"/>
  <c r="G336" i="11"/>
  <c r="F336" i="11"/>
  <c r="E336" i="11"/>
  <c r="D336" i="11"/>
  <c r="C336" i="11"/>
  <c r="B336" i="11"/>
  <c r="A336" i="11"/>
  <c r="N335" i="11"/>
  <c r="L335" i="11"/>
  <c r="K335" i="11"/>
  <c r="J335" i="11"/>
  <c r="I335" i="11"/>
  <c r="G335" i="11"/>
  <c r="F335" i="11"/>
  <c r="E335" i="11"/>
  <c r="D335" i="11"/>
  <c r="C335" i="11"/>
  <c r="B335" i="11"/>
  <c r="A335" i="11"/>
  <c r="N334" i="11"/>
  <c r="L334" i="11"/>
  <c r="K334" i="11"/>
  <c r="J334" i="11"/>
  <c r="I334" i="11"/>
  <c r="G334" i="11"/>
  <c r="F334" i="11"/>
  <c r="E334" i="11"/>
  <c r="D334" i="11"/>
  <c r="C334" i="11"/>
  <c r="B334" i="11"/>
  <c r="A334" i="11"/>
  <c r="N333" i="11"/>
  <c r="L333" i="11"/>
  <c r="K333" i="11"/>
  <c r="J333" i="11"/>
  <c r="I333" i="11"/>
  <c r="G333" i="11"/>
  <c r="F333" i="11"/>
  <c r="E333" i="11"/>
  <c r="D333" i="11"/>
  <c r="C333" i="11"/>
  <c r="B333" i="11"/>
  <c r="A333" i="11"/>
  <c r="N332" i="11"/>
  <c r="L332" i="11"/>
  <c r="K332" i="11"/>
  <c r="J332" i="11"/>
  <c r="I332" i="11"/>
  <c r="G332" i="11"/>
  <c r="F332" i="11"/>
  <c r="E332" i="11"/>
  <c r="D332" i="11"/>
  <c r="C332" i="11"/>
  <c r="B332" i="11"/>
  <c r="A332" i="11"/>
  <c r="N331" i="11"/>
  <c r="L331" i="11"/>
  <c r="K331" i="11"/>
  <c r="J331" i="11"/>
  <c r="I331" i="11"/>
  <c r="G331" i="11"/>
  <c r="F331" i="11"/>
  <c r="E331" i="11"/>
  <c r="D331" i="11"/>
  <c r="C331" i="11"/>
  <c r="B331" i="11"/>
  <c r="A331" i="11"/>
  <c r="N330" i="11"/>
  <c r="L330" i="11"/>
  <c r="K330" i="11"/>
  <c r="J330" i="11"/>
  <c r="I330" i="11"/>
  <c r="G330" i="11"/>
  <c r="F330" i="11"/>
  <c r="E330" i="11"/>
  <c r="D330" i="11"/>
  <c r="C330" i="11"/>
  <c r="B330" i="11"/>
  <c r="A330" i="11"/>
  <c r="N329" i="11"/>
  <c r="L329" i="11"/>
  <c r="K329" i="11"/>
  <c r="J329" i="11"/>
  <c r="I329" i="11"/>
  <c r="G329" i="11"/>
  <c r="F329" i="11"/>
  <c r="E329" i="11"/>
  <c r="D329" i="11"/>
  <c r="C329" i="11"/>
  <c r="B329" i="11"/>
  <c r="A329" i="11"/>
  <c r="N328" i="11"/>
  <c r="L328" i="11"/>
  <c r="K328" i="11"/>
  <c r="J328" i="11"/>
  <c r="I328" i="11"/>
  <c r="G328" i="11"/>
  <c r="F328" i="11"/>
  <c r="E328" i="11"/>
  <c r="D328" i="11"/>
  <c r="C328" i="11"/>
  <c r="B328" i="11"/>
  <c r="A328" i="11"/>
  <c r="N327" i="11"/>
  <c r="L327" i="11"/>
  <c r="K327" i="11"/>
  <c r="J327" i="11"/>
  <c r="I327" i="11"/>
  <c r="G327" i="11"/>
  <c r="F327" i="11"/>
  <c r="E327" i="11"/>
  <c r="D327" i="11"/>
  <c r="C327" i="11"/>
  <c r="B327" i="11"/>
  <c r="A327" i="11"/>
  <c r="N326" i="11"/>
  <c r="L326" i="11"/>
  <c r="K326" i="11"/>
  <c r="J326" i="11"/>
  <c r="I326" i="11"/>
  <c r="G326" i="11"/>
  <c r="F326" i="11"/>
  <c r="E326" i="11"/>
  <c r="D326" i="11"/>
  <c r="C326" i="11"/>
  <c r="B326" i="11"/>
  <c r="A326" i="11"/>
  <c r="N325" i="11"/>
  <c r="L325" i="11"/>
  <c r="K325" i="11"/>
  <c r="J325" i="11"/>
  <c r="I325" i="11"/>
  <c r="G325" i="11"/>
  <c r="F325" i="11"/>
  <c r="E325" i="11"/>
  <c r="D325" i="11"/>
  <c r="C325" i="11"/>
  <c r="B325" i="11"/>
  <c r="A325" i="11"/>
  <c r="N324" i="11"/>
  <c r="L324" i="11"/>
  <c r="K324" i="11"/>
  <c r="J324" i="11"/>
  <c r="I324" i="11"/>
  <c r="G324" i="11"/>
  <c r="F324" i="11"/>
  <c r="E324" i="11"/>
  <c r="D324" i="11"/>
  <c r="C324" i="11"/>
  <c r="B324" i="11"/>
  <c r="A324" i="11"/>
  <c r="N323" i="11"/>
  <c r="L323" i="11"/>
  <c r="K323" i="11"/>
  <c r="J323" i="11"/>
  <c r="I323" i="11"/>
  <c r="G323" i="11"/>
  <c r="F323" i="11"/>
  <c r="E323" i="11"/>
  <c r="D323" i="11"/>
  <c r="C323" i="11"/>
  <c r="B323" i="11"/>
  <c r="A323" i="11"/>
  <c r="N322" i="11"/>
  <c r="L322" i="11"/>
  <c r="K322" i="11"/>
  <c r="J322" i="11"/>
  <c r="I322" i="11"/>
  <c r="G322" i="11"/>
  <c r="F322" i="11"/>
  <c r="E322" i="11"/>
  <c r="D322" i="11"/>
  <c r="C322" i="11"/>
  <c r="B322" i="11"/>
  <c r="A322" i="11"/>
  <c r="N321" i="11"/>
  <c r="L321" i="11"/>
  <c r="K321" i="11"/>
  <c r="J321" i="11"/>
  <c r="I321" i="11"/>
  <c r="G321" i="11"/>
  <c r="F321" i="11"/>
  <c r="E321" i="11"/>
  <c r="D321" i="11"/>
  <c r="C321" i="11"/>
  <c r="B321" i="11"/>
  <c r="A321" i="11"/>
  <c r="N320" i="11"/>
  <c r="L320" i="11"/>
  <c r="K320" i="11"/>
  <c r="J320" i="11"/>
  <c r="I320" i="11"/>
  <c r="G320" i="11"/>
  <c r="F320" i="11"/>
  <c r="E320" i="11"/>
  <c r="D320" i="11"/>
  <c r="C320" i="11"/>
  <c r="B320" i="11"/>
  <c r="A320" i="11"/>
  <c r="N319" i="11"/>
  <c r="L319" i="11"/>
  <c r="K319" i="11"/>
  <c r="J319" i="11"/>
  <c r="I319" i="11"/>
  <c r="G319" i="11"/>
  <c r="F319" i="11"/>
  <c r="E319" i="11"/>
  <c r="D319" i="11"/>
  <c r="C319" i="11"/>
  <c r="B319" i="11"/>
  <c r="A319" i="11"/>
  <c r="N318" i="11"/>
  <c r="L318" i="11"/>
  <c r="K318" i="11"/>
  <c r="J318" i="11"/>
  <c r="I318" i="11"/>
  <c r="G318" i="11"/>
  <c r="F318" i="11"/>
  <c r="E318" i="11"/>
  <c r="D318" i="11"/>
  <c r="C318" i="11"/>
  <c r="B318" i="11"/>
  <c r="A318" i="11"/>
  <c r="N317" i="11"/>
  <c r="L317" i="11"/>
  <c r="K317" i="11"/>
  <c r="J317" i="11"/>
  <c r="I317" i="11"/>
  <c r="H317" i="11"/>
  <c r="G317" i="11"/>
  <c r="F317" i="11"/>
  <c r="E317" i="11"/>
  <c r="D317" i="11"/>
  <c r="C317" i="11"/>
  <c r="B317" i="11"/>
  <c r="A317" i="11"/>
  <c r="N316" i="11"/>
  <c r="L316" i="11"/>
  <c r="K316" i="11"/>
  <c r="J316" i="11"/>
  <c r="I316" i="11"/>
  <c r="H316" i="11"/>
  <c r="G316" i="11"/>
  <c r="F316" i="11"/>
  <c r="E316" i="11"/>
  <c r="D316" i="11"/>
  <c r="C316" i="11"/>
  <c r="B316" i="11"/>
  <c r="A316" i="11"/>
  <c r="N315" i="11"/>
  <c r="L315" i="11"/>
  <c r="K315" i="11"/>
  <c r="J315" i="11"/>
  <c r="I315" i="11"/>
  <c r="H315" i="11"/>
  <c r="G315" i="11"/>
  <c r="F315" i="11"/>
  <c r="E315" i="11"/>
  <c r="D315" i="11"/>
  <c r="C315" i="11"/>
  <c r="B315" i="11"/>
  <c r="A315" i="11"/>
  <c r="N314" i="11"/>
  <c r="L314" i="11"/>
  <c r="K314" i="11"/>
  <c r="J314" i="11"/>
  <c r="I314" i="11"/>
  <c r="H314" i="11"/>
  <c r="G314" i="11"/>
  <c r="F314" i="11"/>
  <c r="E314" i="11"/>
  <c r="D314" i="11"/>
  <c r="C314" i="11"/>
  <c r="B314" i="11"/>
  <c r="A314" i="11"/>
  <c r="N313" i="11"/>
  <c r="L313" i="11"/>
  <c r="K313" i="11"/>
  <c r="J313" i="11"/>
  <c r="I313" i="11"/>
  <c r="H313" i="11"/>
  <c r="G313" i="11"/>
  <c r="F313" i="11"/>
  <c r="E313" i="11"/>
  <c r="D313" i="11"/>
  <c r="C313" i="11"/>
  <c r="B313" i="11"/>
  <c r="A313" i="11"/>
  <c r="N312" i="11"/>
  <c r="L312" i="11"/>
  <c r="K312" i="11"/>
  <c r="J312" i="11"/>
  <c r="I312" i="11"/>
  <c r="H312" i="11"/>
  <c r="G312" i="11"/>
  <c r="F312" i="11"/>
  <c r="E312" i="11"/>
  <c r="D312" i="11"/>
  <c r="C312" i="11"/>
  <c r="B312" i="11"/>
  <c r="A312" i="11"/>
  <c r="N311" i="11"/>
  <c r="L311" i="11"/>
  <c r="K311" i="11"/>
  <c r="J311" i="11"/>
  <c r="I311" i="11"/>
  <c r="H311" i="11"/>
  <c r="G311" i="11"/>
  <c r="F311" i="11"/>
  <c r="E311" i="11"/>
  <c r="D311" i="11"/>
  <c r="C311" i="11"/>
  <c r="B311" i="11"/>
  <c r="A311" i="11"/>
  <c r="N310" i="11"/>
  <c r="L310" i="11"/>
  <c r="K310" i="11"/>
  <c r="J310" i="11"/>
  <c r="I310" i="11"/>
  <c r="H310" i="11"/>
  <c r="G310" i="11"/>
  <c r="F310" i="11"/>
  <c r="E310" i="11"/>
  <c r="D310" i="11"/>
  <c r="C310" i="11"/>
  <c r="B310" i="11"/>
  <c r="A310" i="11"/>
  <c r="N309" i="11"/>
  <c r="L309" i="11"/>
  <c r="K309" i="11"/>
  <c r="J309" i="11"/>
  <c r="I309" i="11"/>
  <c r="H309" i="11"/>
  <c r="G309" i="11"/>
  <c r="F309" i="11"/>
  <c r="E309" i="11"/>
  <c r="D309" i="11"/>
  <c r="C309" i="11"/>
  <c r="B309" i="11"/>
  <c r="A309" i="11"/>
  <c r="N308" i="11"/>
  <c r="L308" i="11"/>
  <c r="K308" i="11"/>
  <c r="J308" i="11"/>
  <c r="I308" i="11"/>
  <c r="H308" i="11"/>
  <c r="G308" i="11"/>
  <c r="F308" i="11"/>
  <c r="E308" i="11"/>
  <c r="D308" i="11"/>
  <c r="C308" i="11"/>
  <c r="B308" i="11"/>
  <c r="A308" i="11"/>
  <c r="N307" i="11"/>
  <c r="L307" i="11"/>
  <c r="K307" i="11"/>
  <c r="J307" i="11"/>
  <c r="I307" i="11"/>
  <c r="H307" i="11"/>
  <c r="G307" i="11"/>
  <c r="F307" i="11"/>
  <c r="E307" i="11"/>
  <c r="D307" i="11"/>
  <c r="C307" i="11"/>
  <c r="B307" i="11"/>
  <c r="A307" i="11"/>
  <c r="N306" i="11"/>
  <c r="L306" i="11"/>
  <c r="K306" i="11"/>
  <c r="J306" i="11"/>
  <c r="I306" i="11"/>
  <c r="G306" i="11"/>
  <c r="F306" i="11"/>
  <c r="E306" i="11"/>
  <c r="D306" i="11"/>
  <c r="C306" i="11"/>
  <c r="B306" i="11"/>
  <c r="A306" i="11"/>
  <c r="N305" i="11"/>
  <c r="L305" i="11"/>
  <c r="K305" i="11"/>
  <c r="J305" i="11"/>
  <c r="I305" i="11"/>
  <c r="G305" i="11"/>
  <c r="F305" i="11"/>
  <c r="E305" i="11"/>
  <c r="D305" i="11"/>
  <c r="C305" i="11"/>
  <c r="B305" i="11"/>
  <c r="A305" i="11"/>
  <c r="N304" i="11"/>
  <c r="L304" i="11"/>
  <c r="K304" i="11"/>
  <c r="J304" i="11"/>
  <c r="I304" i="11"/>
  <c r="G304" i="11"/>
  <c r="F304" i="11"/>
  <c r="E304" i="11"/>
  <c r="D304" i="11"/>
  <c r="C304" i="11"/>
  <c r="B304" i="11"/>
  <c r="A304" i="11"/>
  <c r="N303" i="11"/>
  <c r="L303" i="11"/>
  <c r="K303" i="11"/>
  <c r="J303" i="11"/>
  <c r="I303" i="11"/>
  <c r="G303" i="11"/>
  <c r="F303" i="11"/>
  <c r="E303" i="11"/>
  <c r="D303" i="11"/>
  <c r="C303" i="11"/>
  <c r="B303" i="11"/>
  <c r="A303" i="11"/>
  <c r="N302" i="11"/>
  <c r="L302" i="11"/>
  <c r="K302" i="11"/>
  <c r="J302" i="11"/>
  <c r="I302" i="11"/>
  <c r="G302" i="11"/>
  <c r="F302" i="11"/>
  <c r="E302" i="11"/>
  <c r="D302" i="11"/>
  <c r="C302" i="11"/>
  <c r="B302" i="11"/>
  <c r="A302" i="11"/>
  <c r="N301" i="11"/>
  <c r="L301" i="11"/>
  <c r="K301" i="11"/>
  <c r="J301" i="11"/>
  <c r="I301" i="11"/>
  <c r="G301" i="11"/>
  <c r="F301" i="11"/>
  <c r="E301" i="11"/>
  <c r="D301" i="11"/>
  <c r="C301" i="11"/>
  <c r="B301" i="11"/>
  <c r="A301" i="11"/>
  <c r="N300" i="11"/>
  <c r="L300" i="11"/>
  <c r="K300" i="11"/>
  <c r="J300" i="11"/>
  <c r="I300" i="11"/>
  <c r="G300" i="11"/>
  <c r="F300" i="11"/>
  <c r="E300" i="11"/>
  <c r="D300" i="11"/>
  <c r="C300" i="11"/>
  <c r="B300" i="11"/>
  <c r="A300" i="11"/>
  <c r="N299" i="11"/>
  <c r="L299" i="11"/>
  <c r="K299" i="11"/>
  <c r="J299" i="11"/>
  <c r="I299" i="11"/>
  <c r="G299" i="11"/>
  <c r="F299" i="11"/>
  <c r="E299" i="11"/>
  <c r="D299" i="11"/>
  <c r="C299" i="11"/>
  <c r="B299" i="11"/>
  <c r="A299" i="11"/>
  <c r="N298" i="11"/>
  <c r="L298" i="11"/>
  <c r="K298" i="11"/>
  <c r="J298" i="11"/>
  <c r="I298" i="11"/>
  <c r="G298" i="11"/>
  <c r="F298" i="11"/>
  <c r="E298" i="11"/>
  <c r="D298" i="11"/>
  <c r="C298" i="11"/>
  <c r="B298" i="11"/>
  <c r="A298" i="11"/>
  <c r="N297" i="11"/>
  <c r="L297" i="11"/>
  <c r="K297" i="11"/>
  <c r="J297" i="11"/>
  <c r="I297" i="11"/>
  <c r="G297" i="11"/>
  <c r="F297" i="11"/>
  <c r="E297" i="11"/>
  <c r="D297" i="11"/>
  <c r="C297" i="11"/>
  <c r="B297" i="11"/>
  <c r="A297" i="11"/>
  <c r="N296" i="11"/>
  <c r="L296" i="11"/>
  <c r="K296" i="11"/>
  <c r="J296" i="11"/>
  <c r="I296" i="11"/>
  <c r="G296" i="11"/>
  <c r="F296" i="11"/>
  <c r="E296" i="11"/>
  <c r="D296" i="11"/>
  <c r="C296" i="11"/>
  <c r="B296" i="11"/>
  <c r="A296" i="11"/>
  <c r="N295" i="11"/>
  <c r="L295" i="11"/>
  <c r="K295" i="11"/>
  <c r="J295" i="11"/>
  <c r="I295" i="11"/>
  <c r="G295" i="11"/>
  <c r="F295" i="11"/>
  <c r="E295" i="11"/>
  <c r="D295" i="11"/>
  <c r="C295" i="11"/>
  <c r="B295" i="11"/>
  <c r="A295" i="11"/>
  <c r="N294" i="11"/>
  <c r="L294" i="11"/>
  <c r="K294" i="11"/>
  <c r="J294" i="11"/>
  <c r="I294" i="11"/>
  <c r="G294" i="11"/>
  <c r="F294" i="11"/>
  <c r="E294" i="11"/>
  <c r="D294" i="11"/>
  <c r="C294" i="11"/>
  <c r="B294" i="11"/>
  <c r="A294" i="11"/>
  <c r="N293" i="11"/>
  <c r="L293" i="11"/>
  <c r="K293" i="11"/>
  <c r="J293" i="11"/>
  <c r="I293" i="11"/>
  <c r="G293" i="11"/>
  <c r="F293" i="11"/>
  <c r="E293" i="11"/>
  <c r="D293" i="11"/>
  <c r="C293" i="11"/>
  <c r="B293" i="11"/>
  <c r="A293" i="11"/>
  <c r="N292" i="11"/>
  <c r="L292" i="11"/>
  <c r="K292" i="11"/>
  <c r="J292" i="11"/>
  <c r="I292" i="11"/>
  <c r="G292" i="11"/>
  <c r="F292" i="11"/>
  <c r="E292" i="11"/>
  <c r="D292" i="11"/>
  <c r="C292" i="11"/>
  <c r="B292" i="11"/>
  <c r="A292" i="11"/>
  <c r="N291" i="11"/>
  <c r="L291" i="11"/>
  <c r="K291" i="11"/>
  <c r="J291" i="11"/>
  <c r="I291" i="11"/>
  <c r="G291" i="11"/>
  <c r="F291" i="11"/>
  <c r="E291" i="11"/>
  <c r="D291" i="11"/>
  <c r="C291" i="11"/>
  <c r="B291" i="11"/>
  <c r="A291" i="11"/>
  <c r="N290" i="11"/>
  <c r="L290" i="11"/>
  <c r="K290" i="11"/>
  <c r="J290" i="11"/>
  <c r="I290" i="11"/>
  <c r="G290" i="11"/>
  <c r="F290" i="11"/>
  <c r="E290" i="11"/>
  <c r="D290" i="11"/>
  <c r="C290" i="11"/>
  <c r="B290" i="11"/>
  <c r="A290" i="11"/>
  <c r="N289" i="11"/>
  <c r="L289" i="11"/>
  <c r="K289" i="11"/>
  <c r="J289" i="11"/>
  <c r="I289" i="11"/>
  <c r="G289" i="11"/>
  <c r="F289" i="11"/>
  <c r="E289" i="11"/>
  <c r="D289" i="11"/>
  <c r="C289" i="11"/>
  <c r="B289" i="11"/>
  <c r="A289" i="11"/>
  <c r="N288" i="11"/>
  <c r="L288" i="11"/>
  <c r="K288" i="11"/>
  <c r="J288" i="11"/>
  <c r="I288" i="11"/>
  <c r="G288" i="11"/>
  <c r="F288" i="11"/>
  <c r="E288" i="11"/>
  <c r="D288" i="11"/>
  <c r="C288" i="11"/>
  <c r="B288" i="11"/>
  <c r="A288" i="11"/>
  <c r="N287" i="11"/>
  <c r="L287" i="11"/>
  <c r="K287" i="11"/>
  <c r="J287" i="11"/>
  <c r="I287" i="11"/>
  <c r="G287" i="11"/>
  <c r="F287" i="11"/>
  <c r="E287" i="11"/>
  <c r="D287" i="11"/>
  <c r="C287" i="11"/>
  <c r="B287" i="11"/>
  <c r="A287" i="11"/>
  <c r="N286" i="11"/>
  <c r="L286" i="11"/>
  <c r="K286" i="11"/>
  <c r="J286" i="11"/>
  <c r="I286" i="11"/>
  <c r="G286" i="11"/>
  <c r="F286" i="11"/>
  <c r="E286" i="11"/>
  <c r="D286" i="11"/>
  <c r="C286" i="11"/>
  <c r="B286" i="11"/>
  <c r="A286" i="11"/>
  <c r="N285" i="11"/>
  <c r="L285" i="11"/>
  <c r="K285" i="11"/>
  <c r="J285" i="11"/>
  <c r="I285" i="11"/>
  <c r="G285" i="11"/>
  <c r="F285" i="11"/>
  <c r="E285" i="11"/>
  <c r="D285" i="11"/>
  <c r="C285" i="11"/>
  <c r="B285" i="11"/>
  <c r="A285" i="11"/>
  <c r="N284" i="11"/>
  <c r="L284" i="11"/>
  <c r="K284" i="11"/>
  <c r="J284" i="11"/>
  <c r="I284" i="11"/>
  <c r="G284" i="11"/>
  <c r="F284" i="11"/>
  <c r="E284" i="11"/>
  <c r="D284" i="11"/>
  <c r="C284" i="11"/>
  <c r="B284" i="11"/>
  <c r="A284" i="11"/>
  <c r="N283" i="11"/>
  <c r="L283" i="11"/>
  <c r="K283" i="11"/>
  <c r="J283" i="11"/>
  <c r="I283" i="11"/>
  <c r="G283" i="11"/>
  <c r="F283" i="11"/>
  <c r="E283" i="11"/>
  <c r="D283" i="11"/>
  <c r="C283" i="11"/>
  <c r="B283" i="11"/>
  <c r="A283" i="11"/>
  <c r="N282" i="11"/>
  <c r="L282" i="11"/>
  <c r="K282" i="11"/>
  <c r="J282" i="11"/>
  <c r="I282" i="11"/>
  <c r="G282" i="11"/>
  <c r="F282" i="11"/>
  <c r="E282" i="11"/>
  <c r="D282" i="11"/>
  <c r="C282" i="11"/>
  <c r="B282" i="11"/>
  <c r="A282" i="11"/>
  <c r="N281" i="11"/>
  <c r="L281" i="11"/>
  <c r="K281" i="11"/>
  <c r="J281" i="11"/>
  <c r="I281" i="11"/>
  <c r="G281" i="11"/>
  <c r="F281" i="11"/>
  <c r="E281" i="11"/>
  <c r="D281" i="11"/>
  <c r="C281" i="11"/>
  <c r="B281" i="11"/>
  <c r="A281" i="11"/>
  <c r="N280" i="11"/>
  <c r="L280" i="11"/>
  <c r="K280" i="11"/>
  <c r="J280" i="11"/>
  <c r="I280" i="11"/>
  <c r="G280" i="11"/>
  <c r="F280" i="11"/>
  <c r="E280" i="11"/>
  <c r="D280" i="11"/>
  <c r="C280" i="11"/>
  <c r="B280" i="11"/>
  <c r="A280" i="11"/>
  <c r="N279" i="11"/>
  <c r="L279" i="11"/>
  <c r="K279" i="11"/>
  <c r="J279" i="11"/>
  <c r="I279" i="11"/>
  <c r="G279" i="11"/>
  <c r="F279" i="11"/>
  <c r="E279" i="11"/>
  <c r="D279" i="11"/>
  <c r="C279" i="11"/>
  <c r="B279" i="11"/>
  <c r="A279" i="11"/>
  <c r="N278" i="11"/>
  <c r="L278" i="11"/>
  <c r="K278" i="11"/>
  <c r="J278" i="11"/>
  <c r="I278" i="11"/>
  <c r="G278" i="11"/>
  <c r="F278" i="11"/>
  <c r="E278" i="11"/>
  <c r="D278" i="11"/>
  <c r="C278" i="11"/>
  <c r="B278" i="11"/>
  <c r="A278" i="11"/>
  <c r="N277" i="11"/>
  <c r="L277" i="11"/>
  <c r="K277" i="11"/>
  <c r="J277" i="11"/>
  <c r="I277" i="11"/>
  <c r="G277" i="11"/>
  <c r="F277" i="11"/>
  <c r="E277" i="11"/>
  <c r="D277" i="11"/>
  <c r="C277" i="11"/>
  <c r="B277" i="11"/>
  <c r="A277" i="11"/>
  <c r="N276" i="11"/>
  <c r="L276" i="11"/>
  <c r="K276" i="11"/>
  <c r="J276" i="11"/>
  <c r="I276" i="11"/>
  <c r="G276" i="11"/>
  <c r="F276" i="11"/>
  <c r="E276" i="11"/>
  <c r="D276" i="11"/>
  <c r="C276" i="11"/>
  <c r="B276" i="11"/>
  <c r="A276" i="11"/>
  <c r="N275" i="11"/>
  <c r="L275" i="11"/>
  <c r="K275" i="11"/>
  <c r="J275" i="11"/>
  <c r="I275" i="11"/>
  <c r="G275" i="11"/>
  <c r="F275" i="11"/>
  <c r="E275" i="11"/>
  <c r="D275" i="11"/>
  <c r="C275" i="11"/>
  <c r="B275" i="11"/>
  <c r="A275" i="11"/>
  <c r="N274" i="11"/>
  <c r="L274" i="11"/>
  <c r="K274" i="11"/>
  <c r="J274" i="11"/>
  <c r="I274" i="11"/>
  <c r="G274" i="11"/>
  <c r="F274" i="11"/>
  <c r="E274" i="11"/>
  <c r="D274" i="11"/>
  <c r="C274" i="11"/>
  <c r="B274" i="11"/>
  <c r="A274" i="11"/>
  <c r="N273" i="11"/>
  <c r="L273" i="11"/>
  <c r="K273" i="11"/>
  <c r="J273" i="11"/>
  <c r="I273" i="11"/>
  <c r="G273" i="11"/>
  <c r="F273" i="11"/>
  <c r="E273" i="11"/>
  <c r="D273" i="11"/>
  <c r="C273" i="11"/>
  <c r="B273" i="11"/>
  <c r="A273" i="11"/>
  <c r="N272" i="11"/>
  <c r="L272" i="11"/>
  <c r="K272" i="11"/>
  <c r="J272" i="11"/>
  <c r="I272" i="11"/>
  <c r="G272" i="11"/>
  <c r="F272" i="11"/>
  <c r="E272" i="11"/>
  <c r="D272" i="11"/>
  <c r="C272" i="11"/>
  <c r="B272" i="11"/>
  <c r="A272" i="11"/>
  <c r="N271" i="11"/>
  <c r="L271" i="11"/>
  <c r="K271" i="11"/>
  <c r="J271" i="11"/>
  <c r="I271" i="11"/>
  <c r="G271" i="11"/>
  <c r="F271" i="11"/>
  <c r="E271" i="11"/>
  <c r="D271" i="11"/>
  <c r="C271" i="11"/>
  <c r="B271" i="11"/>
  <c r="A271" i="11"/>
  <c r="N270" i="11"/>
  <c r="L270" i="11"/>
  <c r="K270" i="11"/>
  <c r="J270" i="11"/>
  <c r="I270" i="11"/>
  <c r="G270" i="11"/>
  <c r="F270" i="11"/>
  <c r="E270" i="11"/>
  <c r="D270" i="11"/>
  <c r="C270" i="11"/>
  <c r="B270" i="11"/>
  <c r="A270" i="11"/>
  <c r="N269" i="11"/>
  <c r="L269" i="11"/>
  <c r="K269" i="11"/>
  <c r="J269" i="11"/>
  <c r="I269" i="11"/>
  <c r="G269" i="11"/>
  <c r="F269" i="11"/>
  <c r="E269" i="11"/>
  <c r="D269" i="11"/>
  <c r="C269" i="11"/>
  <c r="B269" i="11"/>
  <c r="A269" i="11"/>
  <c r="N268" i="11"/>
  <c r="L268" i="11"/>
  <c r="K268" i="11"/>
  <c r="J268" i="11"/>
  <c r="I268" i="11"/>
  <c r="G268" i="11"/>
  <c r="F268" i="11"/>
  <c r="E268" i="11"/>
  <c r="D268" i="11"/>
  <c r="C268" i="11"/>
  <c r="B268" i="11"/>
  <c r="A268" i="11"/>
  <c r="N267" i="11"/>
  <c r="K267" i="11"/>
  <c r="J267" i="11"/>
  <c r="I267" i="11"/>
  <c r="G267" i="11"/>
  <c r="F267" i="11"/>
  <c r="E267" i="11"/>
  <c r="D267" i="11"/>
  <c r="C267" i="11"/>
  <c r="B267" i="11"/>
  <c r="A267" i="11"/>
  <c r="N266" i="11"/>
  <c r="L266" i="11"/>
  <c r="K266" i="11"/>
  <c r="J266" i="11"/>
  <c r="I266" i="11"/>
  <c r="G266" i="11"/>
  <c r="F266" i="11"/>
  <c r="E266" i="11"/>
  <c r="D266" i="11"/>
  <c r="C266" i="11"/>
  <c r="B266" i="11"/>
  <c r="A266" i="11"/>
  <c r="N265" i="11"/>
  <c r="L265" i="11"/>
  <c r="K265" i="11"/>
  <c r="J265" i="11"/>
  <c r="I265" i="11"/>
  <c r="G265" i="11"/>
  <c r="F265" i="11"/>
  <c r="E265" i="11"/>
  <c r="D265" i="11"/>
  <c r="C265" i="11"/>
  <c r="B265" i="11"/>
  <c r="A265" i="11"/>
  <c r="N264" i="11"/>
  <c r="L264" i="11"/>
  <c r="K264" i="11"/>
  <c r="J264" i="11"/>
  <c r="I264" i="11"/>
  <c r="G264" i="11"/>
  <c r="F264" i="11"/>
  <c r="E264" i="11"/>
  <c r="D264" i="11"/>
  <c r="C264" i="11"/>
  <c r="B264" i="11"/>
  <c r="A264" i="11"/>
  <c r="N263" i="11"/>
  <c r="L263" i="11"/>
  <c r="K263" i="11"/>
  <c r="J263" i="11"/>
  <c r="I263" i="11"/>
  <c r="G263" i="11"/>
  <c r="F263" i="11"/>
  <c r="E263" i="11"/>
  <c r="D263" i="11"/>
  <c r="C263" i="11"/>
  <c r="B263" i="11"/>
  <c r="A263" i="11"/>
  <c r="N262" i="11"/>
  <c r="L262" i="11"/>
  <c r="K262" i="11"/>
  <c r="J262" i="11"/>
  <c r="I262" i="11"/>
  <c r="G262" i="11"/>
  <c r="F262" i="11"/>
  <c r="E262" i="11"/>
  <c r="D262" i="11"/>
  <c r="C262" i="11"/>
  <c r="B262" i="11"/>
  <c r="A262" i="11"/>
  <c r="N261" i="11"/>
  <c r="L261" i="11"/>
  <c r="K261" i="11"/>
  <c r="J261" i="11"/>
  <c r="I261" i="11"/>
  <c r="G261" i="11"/>
  <c r="F261" i="11"/>
  <c r="E261" i="11"/>
  <c r="D261" i="11"/>
  <c r="C261" i="11"/>
  <c r="B261" i="11"/>
  <c r="A261" i="11"/>
  <c r="N260" i="11"/>
  <c r="L260" i="11"/>
  <c r="K260" i="11"/>
  <c r="J260" i="11"/>
  <c r="I260" i="11"/>
  <c r="G260" i="11"/>
  <c r="F260" i="11"/>
  <c r="E260" i="11"/>
  <c r="D260" i="11"/>
  <c r="C260" i="11"/>
  <c r="B260" i="11"/>
  <c r="A260" i="11"/>
  <c r="N259" i="11"/>
  <c r="L259" i="11"/>
  <c r="K259" i="11"/>
  <c r="J259" i="11"/>
  <c r="I259" i="11"/>
  <c r="G259" i="11"/>
  <c r="F259" i="11"/>
  <c r="E259" i="11"/>
  <c r="D259" i="11"/>
  <c r="C259" i="11"/>
  <c r="B259" i="11"/>
  <c r="A259" i="11"/>
  <c r="N258" i="11"/>
  <c r="L258" i="11"/>
  <c r="K258" i="11"/>
  <c r="J258" i="11"/>
  <c r="I258" i="11"/>
  <c r="G258" i="11"/>
  <c r="F258" i="11"/>
  <c r="E258" i="11"/>
  <c r="D258" i="11"/>
  <c r="C258" i="11"/>
  <c r="B258" i="11"/>
  <c r="A258" i="11"/>
  <c r="N257" i="11"/>
  <c r="L257" i="11"/>
  <c r="K257" i="11"/>
  <c r="J257" i="11"/>
  <c r="I257" i="11"/>
  <c r="G257" i="11"/>
  <c r="F257" i="11"/>
  <c r="E257" i="11"/>
  <c r="D257" i="11"/>
  <c r="C257" i="11"/>
  <c r="B257" i="11"/>
  <c r="A257" i="11"/>
  <c r="N256" i="11"/>
  <c r="L256" i="11"/>
  <c r="K256" i="11"/>
  <c r="J256" i="11"/>
  <c r="I256" i="11"/>
  <c r="G256" i="11"/>
  <c r="F256" i="11"/>
  <c r="E256" i="11"/>
  <c r="D256" i="11"/>
  <c r="C256" i="11"/>
  <c r="B256" i="11"/>
  <c r="A256" i="11"/>
  <c r="N255" i="11"/>
  <c r="L255" i="11"/>
  <c r="K255" i="11"/>
  <c r="J255" i="11"/>
  <c r="I255" i="11"/>
  <c r="G255" i="11"/>
  <c r="F255" i="11"/>
  <c r="E255" i="11"/>
  <c r="D255" i="11"/>
  <c r="C255" i="11"/>
  <c r="B255" i="11"/>
  <c r="A255" i="11"/>
  <c r="N254" i="11"/>
  <c r="L254" i="11"/>
  <c r="K254" i="11"/>
  <c r="J254" i="11"/>
  <c r="I254" i="11"/>
  <c r="G254" i="11"/>
  <c r="F254" i="11"/>
  <c r="E254" i="11"/>
  <c r="D254" i="11"/>
  <c r="C254" i="11"/>
  <c r="B254" i="11"/>
  <c r="A254" i="11"/>
  <c r="N253" i="11"/>
  <c r="L253" i="11"/>
  <c r="K253" i="11"/>
  <c r="J253" i="11"/>
  <c r="I253" i="11"/>
  <c r="G253" i="11"/>
  <c r="F253" i="11"/>
  <c r="E253" i="11"/>
  <c r="D253" i="11"/>
  <c r="C253" i="11"/>
  <c r="B253" i="11"/>
  <c r="A253" i="11"/>
  <c r="N252" i="11"/>
  <c r="L252" i="11"/>
  <c r="K252" i="11"/>
  <c r="J252" i="11"/>
  <c r="I252" i="11"/>
  <c r="G252" i="11"/>
  <c r="F252" i="11"/>
  <c r="E252" i="11"/>
  <c r="D252" i="11"/>
  <c r="C252" i="11"/>
  <c r="B252" i="11"/>
  <c r="A252" i="11"/>
  <c r="N251" i="11"/>
  <c r="L251" i="11"/>
  <c r="K251" i="11"/>
  <c r="J251" i="11"/>
  <c r="I251" i="11"/>
  <c r="G251" i="11"/>
  <c r="F251" i="11"/>
  <c r="E251" i="11"/>
  <c r="D251" i="11"/>
  <c r="C251" i="11"/>
  <c r="B251" i="11"/>
  <c r="A251" i="11"/>
  <c r="N250" i="11"/>
  <c r="L250" i="11"/>
  <c r="K250" i="11"/>
  <c r="J250" i="11"/>
  <c r="I250" i="11"/>
  <c r="G250" i="11"/>
  <c r="F250" i="11"/>
  <c r="E250" i="11"/>
  <c r="D250" i="11"/>
  <c r="C250" i="11"/>
  <c r="B250" i="11"/>
  <c r="A250" i="11"/>
  <c r="N249" i="11"/>
  <c r="L249" i="11"/>
  <c r="K249" i="11"/>
  <c r="J249" i="11"/>
  <c r="I249" i="11"/>
  <c r="G249" i="11"/>
  <c r="F249" i="11"/>
  <c r="E249" i="11"/>
  <c r="D249" i="11"/>
  <c r="C249" i="11"/>
  <c r="B249" i="11"/>
  <c r="A249" i="11"/>
  <c r="N248" i="11"/>
  <c r="L248" i="11"/>
  <c r="K248" i="11"/>
  <c r="J248" i="11"/>
  <c r="I248" i="11"/>
  <c r="G248" i="11"/>
  <c r="F248" i="11"/>
  <c r="E248" i="11"/>
  <c r="D248" i="11"/>
  <c r="C248" i="11"/>
  <c r="B248" i="11"/>
  <c r="A248" i="11"/>
  <c r="N247" i="11"/>
  <c r="L247" i="11"/>
  <c r="K247" i="11"/>
  <c r="J247" i="11"/>
  <c r="I247" i="11"/>
  <c r="G247" i="11"/>
  <c r="F247" i="11"/>
  <c r="E247" i="11"/>
  <c r="D247" i="11"/>
  <c r="C247" i="11"/>
  <c r="B247" i="11"/>
  <c r="A247" i="11"/>
  <c r="N246" i="11"/>
  <c r="L246" i="11"/>
  <c r="K246" i="11"/>
  <c r="J246" i="11"/>
  <c r="I246" i="11"/>
  <c r="G246" i="11"/>
  <c r="F246" i="11"/>
  <c r="E246" i="11"/>
  <c r="D246" i="11"/>
  <c r="C246" i="11"/>
  <c r="B246" i="11"/>
  <c r="A246" i="11"/>
  <c r="N245" i="11"/>
  <c r="L245" i="11"/>
  <c r="K245" i="11"/>
  <c r="J245" i="11"/>
  <c r="I245" i="11"/>
  <c r="G245" i="11"/>
  <c r="F245" i="11"/>
  <c r="E245" i="11"/>
  <c r="D245" i="11"/>
  <c r="C245" i="11"/>
  <c r="B245" i="11"/>
  <c r="A245" i="11"/>
  <c r="N244" i="11"/>
  <c r="L244" i="11"/>
  <c r="K244" i="11"/>
  <c r="J244" i="11"/>
  <c r="I244" i="11"/>
  <c r="G244" i="11"/>
  <c r="F244" i="11"/>
  <c r="E244" i="11"/>
  <c r="D244" i="11"/>
  <c r="C244" i="11"/>
  <c r="B244" i="11"/>
  <c r="A244" i="11"/>
  <c r="N243" i="11"/>
  <c r="L243" i="11"/>
  <c r="K243" i="11"/>
  <c r="J243" i="11"/>
  <c r="I243" i="11"/>
  <c r="G243" i="11"/>
  <c r="F243" i="11"/>
  <c r="E243" i="11"/>
  <c r="D243" i="11"/>
  <c r="C243" i="11"/>
  <c r="B243" i="11"/>
  <c r="A243" i="11"/>
  <c r="N242" i="11"/>
  <c r="L242" i="11"/>
  <c r="K242" i="11"/>
  <c r="J242" i="11"/>
  <c r="I242" i="11"/>
  <c r="G242" i="11"/>
  <c r="F242" i="11"/>
  <c r="E242" i="11"/>
  <c r="D242" i="11"/>
  <c r="C242" i="11"/>
  <c r="B242" i="11"/>
  <c r="A242" i="11"/>
  <c r="N241" i="11"/>
  <c r="L241" i="11"/>
  <c r="K241" i="11"/>
  <c r="J241" i="11"/>
  <c r="I241" i="11"/>
  <c r="G241" i="11"/>
  <c r="F241" i="11"/>
  <c r="E241" i="11"/>
  <c r="D241" i="11"/>
  <c r="C241" i="11"/>
  <c r="B241" i="11"/>
  <c r="A241" i="11"/>
  <c r="N240" i="11"/>
  <c r="L240" i="11"/>
  <c r="K240" i="11"/>
  <c r="J240" i="11"/>
  <c r="I240" i="11"/>
  <c r="G240" i="11"/>
  <c r="F240" i="11"/>
  <c r="E240" i="11"/>
  <c r="D240" i="11"/>
  <c r="C240" i="11"/>
  <c r="B240" i="11"/>
  <c r="A240" i="11"/>
  <c r="N239" i="11"/>
  <c r="L239" i="11"/>
  <c r="K239" i="11"/>
  <c r="J239" i="11"/>
  <c r="I239" i="11"/>
  <c r="G239" i="11"/>
  <c r="F239" i="11"/>
  <c r="E239" i="11"/>
  <c r="D239" i="11"/>
  <c r="C239" i="11"/>
  <c r="B239" i="11"/>
  <c r="A239" i="11"/>
  <c r="N238" i="11"/>
  <c r="L238" i="11"/>
  <c r="K238" i="11"/>
  <c r="J238" i="11"/>
  <c r="I238" i="11"/>
  <c r="G238" i="11"/>
  <c r="F238" i="11"/>
  <c r="E238" i="11"/>
  <c r="D238" i="11"/>
  <c r="C238" i="11"/>
  <c r="B238" i="11"/>
  <c r="A238" i="11"/>
  <c r="N237" i="11"/>
  <c r="L237" i="11"/>
  <c r="K237" i="11"/>
  <c r="J237" i="11"/>
  <c r="I237" i="11"/>
  <c r="G237" i="11"/>
  <c r="F237" i="11"/>
  <c r="E237" i="11"/>
  <c r="D237" i="11"/>
  <c r="C237" i="11"/>
  <c r="B237" i="11"/>
  <c r="A237" i="11"/>
  <c r="N236" i="11"/>
  <c r="L236" i="11"/>
  <c r="K236" i="11"/>
  <c r="J236" i="11"/>
  <c r="I236" i="11"/>
  <c r="G236" i="11"/>
  <c r="F236" i="11"/>
  <c r="E236" i="11"/>
  <c r="D236" i="11"/>
  <c r="C236" i="11"/>
  <c r="B236" i="11"/>
  <c r="A236" i="11"/>
  <c r="N235" i="11"/>
  <c r="L235" i="11"/>
  <c r="K235" i="11"/>
  <c r="J235" i="11"/>
  <c r="I235" i="11"/>
  <c r="G235" i="11"/>
  <c r="F235" i="11"/>
  <c r="E235" i="11"/>
  <c r="D235" i="11"/>
  <c r="C235" i="11"/>
  <c r="B235" i="11"/>
  <c r="A235" i="11"/>
  <c r="N234" i="11"/>
  <c r="L234" i="11"/>
  <c r="K234" i="11"/>
  <c r="J234" i="11"/>
  <c r="I234" i="11"/>
  <c r="G234" i="11"/>
  <c r="F234" i="11"/>
  <c r="E234" i="11"/>
  <c r="D234" i="11"/>
  <c r="C234" i="11"/>
  <c r="B234" i="11"/>
  <c r="A234" i="11"/>
  <c r="N233" i="11"/>
  <c r="L233" i="11"/>
  <c r="K233" i="11"/>
  <c r="J233" i="11"/>
  <c r="I233" i="11"/>
  <c r="G233" i="11"/>
  <c r="F233" i="11"/>
  <c r="E233" i="11"/>
  <c r="D233" i="11"/>
  <c r="C233" i="11"/>
  <c r="B233" i="11"/>
  <c r="A233" i="11"/>
  <c r="N232" i="11"/>
  <c r="L232" i="11"/>
  <c r="K232" i="11"/>
  <c r="J232" i="11"/>
  <c r="I232" i="11"/>
  <c r="G232" i="11"/>
  <c r="F232" i="11"/>
  <c r="E232" i="11"/>
  <c r="D232" i="11"/>
  <c r="C232" i="11"/>
  <c r="B232" i="11"/>
  <c r="A232" i="11"/>
  <c r="N231" i="11"/>
  <c r="L231" i="11"/>
  <c r="K231" i="11"/>
  <c r="J231" i="11"/>
  <c r="I231" i="11"/>
  <c r="G231" i="11"/>
  <c r="F231" i="11"/>
  <c r="E231" i="11"/>
  <c r="D231" i="11"/>
  <c r="C231" i="11"/>
  <c r="B231" i="11"/>
  <c r="A231" i="11"/>
  <c r="N230" i="11"/>
  <c r="L230" i="11"/>
  <c r="K230" i="11"/>
  <c r="J230" i="11"/>
  <c r="I230" i="11"/>
  <c r="G230" i="11"/>
  <c r="F230" i="11"/>
  <c r="E230" i="11"/>
  <c r="D230" i="11"/>
  <c r="C230" i="11"/>
  <c r="B230" i="11"/>
  <c r="A230" i="11"/>
  <c r="N229" i="11"/>
  <c r="L229" i="11"/>
  <c r="K229" i="11"/>
  <c r="J229" i="11"/>
  <c r="I229" i="11"/>
  <c r="G229" i="11"/>
  <c r="F229" i="11"/>
  <c r="E229" i="11"/>
  <c r="D229" i="11"/>
  <c r="C229" i="11"/>
  <c r="B229" i="11"/>
  <c r="A229" i="11"/>
  <c r="N228" i="11"/>
  <c r="L228" i="11"/>
  <c r="K228" i="11"/>
  <c r="J228" i="11"/>
  <c r="I228" i="11"/>
  <c r="G228" i="11"/>
  <c r="F228" i="11"/>
  <c r="E228" i="11"/>
  <c r="D228" i="11"/>
  <c r="C228" i="11"/>
  <c r="B228" i="11"/>
  <c r="A228" i="11"/>
  <c r="N227" i="11"/>
  <c r="L227" i="11"/>
  <c r="K227" i="11"/>
  <c r="J227" i="11"/>
  <c r="I227" i="11"/>
  <c r="G227" i="11"/>
  <c r="F227" i="11"/>
  <c r="E227" i="11"/>
  <c r="D227" i="11"/>
  <c r="C227" i="11"/>
  <c r="B227" i="11"/>
  <c r="A227" i="11"/>
  <c r="N226" i="11"/>
  <c r="L226" i="11"/>
  <c r="K226" i="11"/>
  <c r="J226" i="11"/>
  <c r="I226" i="11"/>
  <c r="G226" i="11"/>
  <c r="F226" i="11"/>
  <c r="E226" i="11"/>
  <c r="D226" i="11"/>
  <c r="C226" i="11"/>
  <c r="B226" i="11"/>
  <c r="A226" i="11"/>
  <c r="N225" i="11"/>
  <c r="L225" i="11"/>
  <c r="K225" i="11"/>
  <c r="J225" i="11"/>
  <c r="I225" i="11"/>
  <c r="G225" i="11"/>
  <c r="F225" i="11"/>
  <c r="E225" i="11"/>
  <c r="D225" i="11"/>
  <c r="C225" i="11"/>
  <c r="B225" i="11"/>
  <c r="A225" i="11"/>
  <c r="N224" i="11"/>
  <c r="L224" i="11"/>
  <c r="K224" i="11"/>
  <c r="J224" i="11"/>
  <c r="I224" i="11"/>
  <c r="G224" i="11"/>
  <c r="F224" i="11"/>
  <c r="E224" i="11"/>
  <c r="D224" i="11"/>
  <c r="C224" i="11"/>
  <c r="B224" i="11"/>
  <c r="A224" i="11"/>
  <c r="N223" i="11"/>
  <c r="L223" i="11"/>
  <c r="K223" i="11"/>
  <c r="J223" i="11"/>
  <c r="I223" i="11"/>
  <c r="G223" i="11"/>
  <c r="F223" i="11"/>
  <c r="E223" i="11"/>
  <c r="D223" i="11"/>
  <c r="C223" i="11"/>
  <c r="B223" i="11"/>
  <c r="A223" i="11"/>
  <c r="N222" i="11"/>
  <c r="L222" i="11"/>
  <c r="K222" i="11"/>
  <c r="J222" i="11"/>
  <c r="I222" i="11"/>
  <c r="G222" i="11"/>
  <c r="F222" i="11"/>
  <c r="E222" i="11"/>
  <c r="D222" i="11"/>
  <c r="C222" i="11"/>
  <c r="B222" i="11"/>
  <c r="A222" i="11"/>
  <c r="N221" i="11"/>
  <c r="L221" i="11"/>
  <c r="K221" i="11"/>
  <c r="J221" i="11"/>
  <c r="I221" i="11"/>
  <c r="G221" i="11"/>
  <c r="F221" i="11"/>
  <c r="E221" i="11"/>
  <c r="D221" i="11"/>
  <c r="C221" i="11"/>
  <c r="B221" i="11"/>
  <c r="A221" i="11"/>
  <c r="N220" i="11"/>
  <c r="L220" i="11"/>
  <c r="K220" i="11"/>
  <c r="J220" i="11"/>
  <c r="I220" i="11"/>
  <c r="G220" i="11"/>
  <c r="F220" i="11"/>
  <c r="E220" i="11"/>
  <c r="D220" i="11"/>
  <c r="C220" i="11"/>
  <c r="B220" i="11"/>
  <c r="A220" i="11"/>
  <c r="N219" i="11"/>
  <c r="L219" i="11"/>
  <c r="K219" i="11"/>
  <c r="J219" i="11"/>
  <c r="I219" i="11"/>
  <c r="H219" i="11"/>
  <c r="G219" i="11"/>
  <c r="F219" i="11"/>
  <c r="E219" i="11"/>
  <c r="D219" i="11"/>
  <c r="C219" i="11"/>
  <c r="B219" i="11"/>
  <c r="A219" i="11"/>
  <c r="N218" i="11"/>
  <c r="L218" i="11"/>
  <c r="K218" i="11"/>
  <c r="J218" i="11"/>
  <c r="I218" i="11"/>
  <c r="H218" i="11"/>
  <c r="G218" i="11"/>
  <c r="F218" i="11"/>
  <c r="E218" i="11"/>
  <c r="D218" i="11"/>
  <c r="C218" i="11"/>
  <c r="B218" i="11"/>
  <c r="A218" i="11"/>
  <c r="N217" i="11"/>
  <c r="L217" i="11"/>
  <c r="K217" i="11"/>
  <c r="J217" i="11"/>
  <c r="I217" i="11"/>
  <c r="H217" i="11"/>
  <c r="G217" i="11"/>
  <c r="F217" i="11"/>
  <c r="E217" i="11"/>
  <c r="D217" i="11"/>
  <c r="C217" i="11"/>
  <c r="B217" i="11"/>
  <c r="A217" i="11"/>
  <c r="N216" i="11"/>
  <c r="L216" i="11"/>
  <c r="K216" i="11"/>
  <c r="J216" i="11"/>
  <c r="I216" i="11"/>
  <c r="H216" i="11"/>
  <c r="G216" i="11"/>
  <c r="F216" i="11"/>
  <c r="E216" i="11"/>
  <c r="D216" i="11"/>
  <c r="C216" i="11"/>
  <c r="B216" i="11"/>
  <c r="A216" i="11"/>
  <c r="N215" i="11"/>
  <c r="L215" i="11"/>
  <c r="K215" i="11"/>
  <c r="J215" i="11"/>
  <c r="I215" i="11"/>
  <c r="H215" i="11"/>
  <c r="G215" i="11"/>
  <c r="F215" i="11"/>
  <c r="E215" i="11"/>
  <c r="D215" i="11"/>
  <c r="C215" i="11"/>
  <c r="B215" i="11"/>
  <c r="A215" i="11"/>
  <c r="N214" i="11"/>
  <c r="L214" i="11"/>
  <c r="K214" i="11"/>
  <c r="J214" i="11"/>
  <c r="I214" i="11"/>
  <c r="G214" i="11"/>
  <c r="F214" i="11"/>
  <c r="E214" i="11"/>
  <c r="D214" i="11"/>
  <c r="C214" i="11"/>
  <c r="B214" i="11"/>
  <c r="A214" i="11"/>
  <c r="N213" i="11"/>
  <c r="L213" i="11"/>
  <c r="K213" i="11"/>
  <c r="J213" i="11"/>
  <c r="I213" i="11"/>
  <c r="G213" i="11"/>
  <c r="F213" i="11"/>
  <c r="E213" i="11"/>
  <c r="D213" i="11"/>
  <c r="C213" i="11"/>
  <c r="B213" i="11"/>
  <c r="A213" i="11"/>
  <c r="N212" i="11"/>
  <c r="L212" i="11"/>
  <c r="K212" i="11"/>
  <c r="J212" i="11"/>
  <c r="I212" i="11"/>
  <c r="G212" i="11"/>
  <c r="F212" i="11"/>
  <c r="E212" i="11"/>
  <c r="D212" i="11"/>
  <c r="C212" i="11"/>
  <c r="B212" i="11"/>
  <c r="A212" i="11"/>
  <c r="N211" i="11"/>
  <c r="L211" i="11"/>
  <c r="K211" i="11"/>
  <c r="J211" i="11"/>
  <c r="I211" i="11"/>
  <c r="G211" i="11"/>
  <c r="F211" i="11"/>
  <c r="E211" i="11"/>
  <c r="D211" i="11"/>
  <c r="C211" i="11"/>
  <c r="B211" i="11"/>
  <c r="A211" i="11"/>
  <c r="N210" i="11"/>
  <c r="L210" i="11"/>
  <c r="K210" i="11"/>
  <c r="J210" i="11"/>
  <c r="I210" i="11"/>
  <c r="G210" i="11"/>
  <c r="F210" i="11"/>
  <c r="E210" i="11"/>
  <c r="D210" i="11"/>
  <c r="C210" i="11"/>
  <c r="B210" i="11"/>
  <c r="A210" i="11"/>
  <c r="N209" i="11"/>
  <c r="L209" i="11"/>
  <c r="K209" i="11"/>
  <c r="J209" i="11"/>
  <c r="I209" i="11"/>
  <c r="G209" i="11"/>
  <c r="F209" i="11"/>
  <c r="E209" i="11"/>
  <c r="D209" i="11"/>
  <c r="C209" i="11"/>
  <c r="B209" i="11"/>
  <c r="A209" i="11"/>
  <c r="N208" i="11"/>
  <c r="L208" i="11"/>
  <c r="K208" i="11"/>
  <c r="J208" i="11"/>
  <c r="I208" i="11"/>
  <c r="G208" i="11"/>
  <c r="F208" i="11"/>
  <c r="E208" i="11"/>
  <c r="D208" i="11"/>
  <c r="C208" i="11"/>
  <c r="B208" i="11"/>
  <c r="A208" i="11"/>
  <c r="N207" i="11"/>
  <c r="L207" i="11"/>
  <c r="K207" i="11"/>
  <c r="J207" i="11"/>
  <c r="I207" i="11"/>
  <c r="G207" i="11"/>
  <c r="F207" i="11"/>
  <c r="E207" i="11"/>
  <c r="D207" i="11"/>
  <c r="C207" i="11"/>
  <c r="B207" i="11"/>
  <c r="A207" i="11"/>
  <c r="N206" i="11"/>
  <c r="L206" i="11"/>
  <c r="K206" i="11"/>
  <c r="J206" i="11"/>
  <c r="I206" i="11"/>
  <c r="G206" i="11"/>
  <c r="F206" i="11"/>
  <c r="E206" i="11"/>
  <c r="D206" i="11"/>
  <c r="C206" i="11"/>
  <c r="B206" i="11"/>
  <c r="A206" i="11"/>
  <c r="N205" i="11"/>
  <c r="L205" i="11"/>
  <c r="K205" i="11"/>
  <c r="J205" i="11"/>
  <c r="I205" i="11"/>
  <c r="G205" i="11"/>
  <c r="F205" i="11"/>
  <c r="E205" i="11"/>
  <c r="D205" i="11"/>
  <c r="C205" i="11"/>
  <c r="B205" i="11"/>
  <c r="A205" i="11"/>
  <c r="N204" i="11"/>
  <c r="L204" i="11"/>
  <c r="K204" i="11"/>
  <c r="J204" i="11"/>
  <c r="I204" i="11"/>
  <c r="G204" i="11"/>
  <c r="F204" i="11"/>
  <c r="E204" i="11"/>
  <c r="D204" i="11"/>
  <c r="C204" i="11"/>
  <c r="B204" i="11"/>
  <c r="A204" i="11"/>
  <c r="N203" i="11"/>
  <c r="L203" i="11"/>
  <c r="K203" i="11"/>
  <c r="J203" i="11"/>
  <c r="I203" i="11"/>
  <c r="G203" i="11"/>
  <c r="F203" i="11"/>
  <c r="E203" i="11"/>
  <c r="D203" i="11"/>
  <c r="C203" i="11"/>
  <c r="B203" i="11"/>
  <c r="A203" i="11"/>
  <c r="N202" i="11"/>
  <c r="L202" i="11"/>
  <c r="K202" i="11"/>
  <c r="J202" i="11"/>
  <c r="I202" i="11"/>
  <c r="G202" i="11"/>
  <c r="F202" i="11"/>
  <c r="E202" i="11"/>
  <c r="D202" i="11"/>
  <c r="C202" i="11"/>
  <c r="B202" i="11"/>
  <c r="A202" i="11"/>
  <c r="N201" i="11"/>
  <c r="L201" i="11"/>
  <c r="K201" i="11"/>
  <c r="J201" i="11"/>
  <c r="I201" i="11"/>
  <c r="G201" i="11"/>
  <c r="F201" i="11"/>
  <c r="E201" i="11"/>
  <c r="D201" i="11"/>
  <c r="C201" i="11"/>
  <c r="B201" i="11"/>
  <c r="A201" i="11"/>
  <c r="N200" i="11"/>
  <c r="L200" i="11"/>
  <c r="K200" i="11"/>
  <c r="J200" i="11"/>
  <c r="I200" i="11"/>
  <c r="G200" i="11"/>
  <c r="F200" i="11"/>
  <c r="E200" i="11"/>
  <c r="D200" i="11"/>
  <c r="C200" i="11"/>
  <c r="B200" i="11"/>
  <c r="A200" i="11"/>
  <c r="N199" i="11"/>
  <c r="L199" i="11"/>
  <c r="K199" i="11"/>
  <c r="J199" i="11"/>
  <c r="I199" i="11"/>
  <c r="G199" i="11"/>
  <c r="F199" i="11"/>
  <c r="E199" i="11"/>
  <c r="D199" i="11"/>
  <c r="C199" i="11"/>
  <c r="B199" i="11"/>
  <c r="A199" i="11"/>
  <c r="N198" i="11"/>
  <c r="L198" i="11"/>
  <c r="K198" i="11"/>
  <c r="J198" i="11"/>
  <c r="I198" i="11"/>
  <c r="G198" i="11"/>
  <c r="F198" i="11"/>
  <c r="E198" i="11"/>
  <c r="D198" i="11"/>
  <c r="C198" i="11"/>
  <c r="B198" i="11"/>
  <c r="A198" i="11"/>
  <c r="N197" i="11"/>
  <c r="L197" i="11"/>
  <c r="K197" i="11"/>
  <c r="J197" i="11"/>
  <c r="I197" i="11"/>
  <c r="G197" i="11"/>
  <c r="F197" i="11"/>
  <c r="E197" i="11"/>
  <c r="D197" i="11"/>
  <c r="C197" i="11"/>
  <c r="B197" i="11"/>
  <c r="A197" i="11"/>
  <c r="N196" i="11"/>
  <c r="L196" i="11"/>
  <c r="K196" i="11"/>
  <c r="J196" i="11"/>
  <c r="I196" i="11"/>
  <c r="G196" i="11"/>
  <c r="F196" i="11"/>
  <c r="E196" i="11"/>
  <c r="D196" i="11"/>
  <c r="C196" i="11"/>
  <c r="B196" i="11"/>
  <c r="A196" i="11"/>
  <c r="N195" i="11"/>
  <c r="L195" i="11"/>
  <c r="K195" i="11"/>
  <c r="J195" i="11"/>
  <c r="I195" i="11"/>
  <c r="H195" i="11"/>
  <c r="G195" i="11"/>
  <c r="F195" i="11"/>
  <c r="E195" i="11"/>
  <c r="D195" i="11"/>
  <c r="C195" i="11"/>
  <c r="B195" i="11"/>
  <c r="A195" i="11"/>
  <c r="N194" i="11"/>
  <c r="L194" i="11"/>
  <c r="K194" i="11"/>
  <c r="J194" i="11"/>
  <c r="I194" i="11"/>
  <c r="G194" i="11"/>
  <c r="F194" i="11"/>
  <c r="E194" i="11"/>
  <c r="D194" i="11"/>
  <c r="C194" i="11"/>
  <c r="B194" i="11"/>
  <c r="A194" i="11"/>
  <c r="N193" i="11"/>
  <c r="L193" i="11"/>
  <c r="K193" i="11"/>
  <c r="J193" i="11"/>
  <c r="I193" i="11"/>
  <c r="G193" i="11"/>
  <c r="F193" i="11"/>
  <c r="E193" i="11"/>
  <c r="D193" i="11"/>
  <c r="C193" i="11"/>
  <c r="B193" i="11"/>
  <c r="A193" i="11"/>
  <c r="N192" i="11"/>
  <c r="L192" i="11"/>
  <c r="K192" i="11"/>
  <c r="J192" i="11"/>
  <c r="I192" i="11"/>
  <c r="G192" i="11"/>
  <c r="F192" i="11"/>
  <c r="E192" i="11"/>
  <c r="D192" i="11"/>
  <c r="C192" i="11"/>
  <c r="B192" i="11"/>
  <c r="A192" i="11"/>
  <c r="N191" i="11"/>
  <c r="L191" i="11"/>
  <c r="K191" i="11"/>
  <c r="J191" i="11"/>
  <c r="I191" i="11"/>
  <c r="H191" i="11"/>
  <c r="G191" i="11"/>
  <c r="F191" i="11"/>
  <c r="E191" i="11"/>
  <c r="D191" i="11"/>
  <c r="C191" i="11"/>
  <c r="B191" i="11"/>
  <c r="A191" i="11"/>
  <c r="N190" i="11"/>
  <c r="L190" i="11"/>
  <c r="K190" i="11"/>
  <c r="J190" i="11"/>
  <c r="I190" i="11"/>
  <c r="H190" i="11"/>
  <c r="G190" i="11"/>
  <c r="F190" i="11"/>
  <c r="E190" i="11"/>
  <c r="D190" i="11"/>
  <c r="C190" i="11"/>
  <c r="B190" i="11"/>
  <c r="A190" i="11"/>
  <c r="N189" i="11"/>
  <c r="L189" i="11"/>
  <c r="K189" i="11"/>
  <c r="J189" i="11"/>
  <c r="I189" i="11"/>
  <c r="G189" i="11"/>
  <c r="F189" i="11"/>
  <c r="E189" i="11"/>
  <c r="D189" i="11"/>
  <c r="C189" i="11"/>
  <c r="B189" i="11"/>
  <c r="A189" i="11"/>
  <c r="N188" i="11"/>
  <c r="L188" i="11"/>
  <c r="K188" i="11"/>
  <c r="J188" i="11"/>
  <c r="I188" i="11"/>
  <c r="G188" i="11"/>
  <c r="F188" i="11"/>
  <c r="E188" i="11"/>
  <c r="D188" i="11"/>
  <c r="C188" i="11"/>
  <c r="B188" i="11"/>
  <c r="A188" i="11"/>
  <c r="N187" i="11"/>
  <c r="L187" i="11"/>
  <c r="K187" i="11"/>
  <c r="J187" i="11"/>
  <c r="I187" i="11"/>
  <c r="G187" i="11"/>
  <c r="F187" i="11"/>
  <c r="E187" i="11"/>
  <c r="D187" i="11"/>
  <c r="C187" i="11"/>
  <c r="B187" i="11"/>
  <c r="A187" i="11"/>
  <c r="N186" i="11"/>
  <c r="L186" i="11"/>
  <c r="K186" i="11"/>
  <c r="J186" i="11"/>
  <c r="I186" i="11"/>
  <c r="G186" i="11"/>
  <c r="F186" i="11"/>
  <c r="E186" i="11"/>
  <c r="D186" i="11"/>
  <c r="C186" i="11"/>
  <c r="B186" i="11"/>
  <c r="A186" i="11"/>
  <c r="N185" i="11"/>
  <c r="L185" i="11"/>
  <c r="K185" i="11"/>
  <c r="J185" i="11"/>
  <c r="I185" i="11"/>
  <c r="H185" i="11"/>
  <c r="G185" i="11"/>
  <c r="F185" i="11"/>
  <c r="E185" i="11"/>
  <c r="D185" i="11"/>
  <c r="C185" i="11"/>
  <c r="B185" i="11"/>
  <c r="A185" i="11"/>
  <c r="N184" i="11"/>
  <c r="L184" i="11"/>
  <c r="K184" i="11"/>
  <c r="J184" i="11"/>
  <c r="I184" i="11"/>
  <c r="H184" i="11"/>
  <c r="G184" i="11"/>
  <c r="F184" i="11"/>
  <c r="E184" i="11"/>
  <c r="D184" i="11"/>
  <c r="C184" i="11"/>
  <c r="B184" i="11"/>
  <c r="A184" i="11"/>
  <c r="N183" i="11"/>
  <c r="L183" i="11"/>
  <c r="K183" i="11"/>
  <c r="J183" i="11"/>
  <c r="I183" i="11"/>
  <c r="H183" i="11"/>
  <c r="G183" i="11"/>
  <c r="F183" i="11"/>
  <c r="E183" i="11"/>
  <c r="D183" i="11"/>
  <c r="C183" i="11"/>
  <c r="B183" i="11"/>
  <c r="A183" i="11"/>
  <c r="N182" i="11"/>
  <c r="L182" i="11"/>
  <c r="K182" i="11"/>
  <c r="J182" i="11"/>
  <c r="I182" i="11"/>
  <c r="G182" i="11"/>
  <c r="F182" i="11"/>
  <c r="E182" i="11"/>
  <c r="D182" i="11"/>
  <c r="C182" i="11"/>
  <c r="B182" i="11"/>
  <c r="A182" i="11"/>
  <c r="N181" i="11"/>
  <c r="L181" i="11"/>
  <c r="K181" i="11"/>
  <c r="J181" i="11"/>
  <c r="I181" i="11"/>
  <c r="G181" i="11"/>
  <c r="F181" i="11"/>
  <c r="E181" i="11"/>
  <c r="D181" i="11"/>
  <c r="C181" i="11"/>
  <c r="B181" i="11"/>
  <c r="A181" i="11"/>
  <c r="N180" i="11"/>
  <c r="L180" i="11"/>
  <c r="K180" i="11"/>
  <c r="J180" i="11"/>
  <c r="I180" i="11"/>
  <c r="H180" i="11"/>
  <c r="G180" i="11"/>
  <c r="F180" i="11"/>
  <c r="E180" i="11"/>
  <c r="D180" i="11"/>
  <c r="C180" i="11"/>
  <c r="B180" i="11"/>
  <c r="A180" i="11"/>
  <c r="N179" i="11"/>
  <c r="L179" i="11"/>
  <c r="K179" i="11"/>
  <c r="J179" i="11"/>
  <c r="I179" i="11"/>
  <c r="H179" i="11"/>
  <c r="G179" i="11"/>
  <c r="F179" i="11"/>
  <c r="E179" i="11"/>
  <c r="D179" i="11"/>
  <c r="C179" i="11"/>
  <c r="B179" i="11"/>
  <c r="A179" i="11"/>
  <c r="N178" i="11"/>
  <c r="L178" i="11"/>
  <c r="K178" i="11"/>
  <c r="J178" i="11"/>
  <c r="I178" i="11"/>
  <c r="H178" i="11"/>
  <c r="G178" i="11"/>
  <c r="F178" i="11"/>
  <c r="E178" i="11"/>
  <c r="D178" i="11"/>
  <c r="C178" i="11"/>
  <c r="B178" i="11"/>
  <c r="A178" i="11"/>
  <c r="N177" i="11"/>
  <c r="L177" i="11"/>
  <c r="K177" i="11"/>
  <c r="J177" i="11"/>
  <c r="I177" i="11"/>
  <c r="H177" i="11"/>
  <c r="G177" i="11"/>
  <c r="F177" i="11"/>
  <c r="E177" i="11"/>
  <c r="D177" i="11"/>
  <c r="C177" i="11"/>
  <c r="B177" i="11"/>
  <c r="A177" i="11"/>
  <c r="N176" i="11"/>
  <c r="L176" i="11"/>
  <c r="K176" i="11"/>
  <c r="J176" i="11"/>
  <c r="I176" i="11"/>
  <c r="H176" i="11"/>
  <c r="G176" i="11"/>
  <c r="F176" i="11"/>
  <c r="E176" i="11"/>
  <c r="D176" i="11"/>
  <c r="C176" i="11"/>
  <c r="B176" i="11"/>
  <c r="A176" i="11"/>
  <c r="N175" i="11"/>
  <c r="L175" i="11"/>
  <c r="K175" i="11"/>
  <c r="J175" i="11"/>
  <c r="I175" i="11"/>
  <c r="H175" i="11"/>
  <c r="G175" i="11"/>
  <c r="F175" i="11"/>
  <c r="E175" i="11"/>
  <c r="D175" i="11"/>
  <c r="C175" i="11"/>
  <c r="B175" i="11"/>
  <c r="A175" i="11"/>
  <c r="O174" i="11"/>
  <c r="N174" i="11"/>
  <c r="L174" i="11"/>
  <c r="K174" i="11"/>
  <c r="J174" i="11"/>
  <c r="I174" i="11"/>
  <c r="H174" i="11"/>
  <c r="G174" i="11"/>
  <c r="F174" i="11"/>
  <c r="E174" i="11"/>
  <c r="D174" i="11"/>
  <c r="C174" i="11"/>
  <c r="B174" i="11"/>
  <c r="A174" i="11"/>
  <c r="O173" i="11"/>
  <c r="N173" i="11"/>
  <c r="L173" i="11"/>
  <c r="K173" i="11"/>
  <c r="J173" i="11"/>
  <c r="I173" i="11"/>
  <c r="H173" i="11"/>
  <c r="G173" i="11"/>
  <c r="F173" i="11"/>
  <c r="E173" i="11"/>
  <c r="D173" i="11"/>
  <c r="C173" i="11"/>
  <c r="B173" i="11"/>
  <c r="A173" i="11"/>
  <c r="N172" i="11"/>
  <c r="L172" i="11"/>
  <c r="K172" i="11"/>
  <c r="J172" i="11"/>
  <c r="I172" i="11"/>
  <c r="Q172" i="11" s="1"/>
  <c r="H172" i="11"/>
  <c r="G172" i="11"/>
  <c r="F172" i="11"/>
  <c r="E172" i="11"/>
  <c r="D172" i="11"/>
  <c r="C172" i="11"/>
  <c r="B172" i="11"/>
  <c r="A172" i="11"/>
  <c r="N171" i="11"/>
  <c r="L171" i="11"/>
  <c r="K171" i="11"/>
  <c r="J171" i="11"/>
  <c r="I171" i="11"/>
  <c r="H171" i="11"/>
  <c r="G171" i="11"/>
  <c r="F171" i="11"/>
  <c r="E171" i="11"/>
  <c r="D171" i="11"/>
  <c r="C171" i="11"/>
  <c r="B171" i="11"/>
  <c r="A171" i="11"/>
  <c r="N170" i="11"/>
  <c r="L170" i="11"/>
  <c r="K170" i="11"/>
  <c r="J170" i="11"/>
  <c r="I170" i="11"/>
  <c r="H170" i="11"/>
  <c r="G170" i="11"/>
  <c r="F170" i="11"/>
  <c r="E170" i="11"/>
  <c r="D170" i="11"/>
  <c r="C170" i="11"/>
  <c r="B170" i="11"/>
  <c r="A170" i="11"/>
  <c r="N169" i="11"/>
  <c r="L169" i="11"/>
  <c r="K169" i="11"/>
  <c r="J169" i="11"/>
  <c r="I169" i="11"/>
  <c r="H169" i="11"/>
  <c r="G169" i="11"/>
  <c r="F169" i="11"/>
  <c r="E169" i="11"/>
  <c r="D169" i="11"/>
  <c r="C169" i="11"/>
  <c r="B169" i="11"/>
  <c r="A169" i="11"/>
  <c r="N168" i="11"/>
  <c r="L168" i="11"/>
  <c r="K168" i="11"/>
  <c r="J168" i="11"/>
  <c r="I168" i="11"/>
  <c r="H168" i="11"/>
  <c r="G168" i="11"/>
  <c r="F168" i="11"/>
  <c r="E168" i="11"/>
  <c r="D168" i="11"/>
  <c r="C168" i="11"/>
  <c r="B168" i="11"/>
  <c r="A168" i="11"/>
  <c r="N167" i="11"/>
  <c r="L167" i="11"/>
  <c r="K167" i="11"/>
  <c r="J167" i="11"/>
  <c r="I167" i="11"/>
  <c r="H167" i="11"/>
  <c r="G167" i="11"/>
  <c r="F167" i="11"/>
  <c r="E167" i="11"/>
  <c r="D167" i="11"/>
  <c r="C167" i="11"/>
  <c r="B167" i="11"/>
  <c r="A167" i="11"/>
  <c r="N166" i="11"/>
  <c r="L166" i="11"/>
  <c r="K166" i="11"/>
  <c r="J166" i="11"/>
  <c r="I166" i="11"/>
  <c r="H166" i="11"/>
  <c r="G166" i="11"/>
  <c r="F166" i="11"/>
  <c r="E166" i="11"/>
  <c r="D166" i="11"/>
  <c r="C166" i="11"/>
  <c r="B166" i="11"/>
  <c r="A166" i="11"/>
  <c r="N165" i="11"/>
  <c r="L165" i="11"/>
  <c r="K165" i="11"/>
  <c r="J165" i="11"/>
  <c r="I165" i="11"/>
  <c r="Q165" i="11" s="1"/>
  <c r="H165" i="11"/>
  <c r="G165" i="11"/>
  <c r="F165" i="11"/>
  <c r="E165" i="11"/>
  <c r="D165" i="11"/>
  <c r="C165" i="11"/>
  <c r="B165" i="11"/>
  <c r="A165" i="11"/>
  <c r="N164" i="11"/>
  <c r="L164" i="11"/>
  <c r="K164" i="11"/>
  <c r="J164" i="11"/>
  <c r="I164" i="11"/>
  <c r="H164" i="11"/>
  <c r="G164" i="11"/>
  <c r="F164" i="11"/>
  <c r="E164" i="11"/>
  <c r="D164" i="11"/>
  <c r="C164" i="11"/>
  <c r="B164" i="11"/>
  <c r="A164" i="11"/>
  <c r="N163" i="11"/>
  <c r="L163" i="11"/>
  <c r="K163" i="11"/>
  <c r="J163" i="11"/>
  <c r="I163" i="11"/>
  <c r="H163" i="11"/>
  <c r="G163" i="11"/>
  <c r="F163" i="11"/>
  <c r="E163" i="11"/>
  <c r="D163" i="11"/>
  <c r="C163" i="11"/>
  <c r="B163" i="11"/>
  <c r="A163" i="11"/>
  <c r="N162" i="11"/>
  <c r="L162" i="11"/>
  <c r="K162" i="11"/>
  <c r="J162" i="11"/>
  <c r="I162" i="11"/>
  <c r="H162" i="11"/>
  <c r="G162" i="11"/>
  <c r="F162" i="11"/>
  <c r="E162" i="11"/>
  <c r="D162" i="11"/>
  <c r="C162" i="11"/>
  <c r="B162" i="11"/>
  <c r="A162" i="11"/>
  <c r="N161" i="11"/>
  <c r="L161" i="11"/>
  <c r="K161" i="11"/>
  <c r="J161" i="11"/>
  <c r="I161" i="11"/>
  <c r="Q161" i="11" s="1"/>
  <c r="H161" i="11"/>
  <c r="G161" i="11"/>
  <c r="F161" i="11"/>
  <c r="E161" i="11"/>
  <c r="D161" i="11"/>
  <c r="C161" i="11"/>
  <c r="B161" i="11"/>
  <c r="A161" i="11"/>
  <c r="N160" i="11"/>
  <c r="L160" i="11"/>
  <c r="K160" i="11"/>
  <c r="J160" i="11"/>
  <c r="I160" i="11"/>
  <c r="H160" i="11"/>
  <c r="G160" i="11"/>
  <c r="F160" i="11"/>
  <c r="E160" i="11"/>
  <c r="D160" i="11"/>
  <c r="C160" i="11"/>
  <c r="B160" i="11"/>
  <c r="A160" i="11"/>
  <c r="N159" i="11"/>
  <c r="L159" i="11"/>
  <c r="K159" i="11"/>
  <c r="J159" i="11"/>
  <c r="I159" i="11"/>
  <c r="H159" i="11"/>
  <c r="G159" i="11"/>
  <c r="F159" i="11"/>
  <c r="E159" i="11"/>
  <c r="D159" i="11"/>
  <c r="C159" i="11"/>
  <c r="B159" i="11"/>
  <c r="A159" i="11"/>
  <c r="N158" i="11"/>
  <c r="L158" i="11"/>
  <c r="K158" i="11"/>
  <c r="J158" i="11"/>
  <c r="I158" i="11"/>
  <c r="H158" i="11"/>
  <c r="G158" i="11"/>
  <c r="F158" i="11"/>
  <c r="E158" i="11"/>
  <c r="D158" i="11"/>
  <c r="C158" i="11"/>
  <c r="B158" i="11"/>
  <c r="A158" i="11"/>
  <c r="N157" i="11"/>
  <c r="L157" i="11"/>
  <c r="K157" i="11"/>
  <c r="J157" i="11"/>
  <c r="I157" i="11"/>
  <c r="H157" i="11"/>
  <c r="G157" i="11"/>
  <c r="F157" i="11"/>
  <c r="E157" i="11"/>
  <c r="D157" i="11"/>
  <c r="C157" i="11"/>
  <c r="B157" i="11"/>
  <c r="A157" i="11"/>
  <c r="N156" i="11"/>
  <c r="L156" i="11"/>
  <c r="K156" i="11"/>
  <c r="J156" i="11"/>
  <c r="I156" i="11"/>
  <c r="H156" i="11"/>
  <c r="G156" i="11"/>
  <c r="F156" i="11"/>
  <c r="E156" i="11"/>
  <c r="D156" i="11"/>
  <c r="C156" i="11"/>
  <c r="B156" i="11"/>
  <c r="A156" i="11"/>
  <c r="N155" i="11"/>
  <c r="L155" i="11"/>
  <c r="K155" i="11"/>
  <c r="J155" i="11"/>
  <c r="I155" i="11"/>
  <c r="H155" i="11"/>
  <c r="G155" i="11"/>
  <c r="F155" i="11"/>
  <c r="E155" i="11"/>
  <c r="D155" i="11"/>
  <c r="C155" i="11"/>
  <c r="B155" i="11"/>
  <c r="A155" i="11"/>
  <c r="N154" i="11"/>
  <c r="L154" i="11"/>
  <c r="K154" i="11"/>
  <c r="J154" i="11"/>
  <c r="I154" i="11"/>
  <c r="H154" i="11"/>
  <c r="G154" i="11"/>
  <c r="F154" i="11"/>
  <c r="E154" i="11"/>
  <c r="D154" i="11"/>
  <c r="C154" i="11"/>
  <c r="B154" i="11"/>
  <c r="A154" i="11"/>
  <c r="N153" i="11"/>
  <c r="L153" i="11"/>
  <c r="K153" i="11"/>
  <c r="J153" i="11"/>
  <c r="I153" i="11"/>
  <c r="H153" i="11"/>
  <c r="G153" i="11"/>
  <c r="F153" i="11"/>
  <c r="E153" i="11"/>
  <c r="D153" i="11"/>
  <c r="C153" i="11"/>
  <c r="B153" i="11"/>
  <c r="A153" i="11"/>
  <c r="N152" i="11"/>
  <c r="L152" i="11"/>
  <c r="K152" i="11"/>
  <c r="J152" i="11"/>
  <c r="I152" i="11"/>
  <c r="H152" i="11"/>
  <c r="G152" i="11"/>
  <c r="F152" i="11"/>
  <c r="E152" i="11"/>
  <c r="D152" i="11"/>
  <c r="C152" i="11"/>
  <c r="B152" i="11"/>
  <c r="A152" i="11"/>
  <c r="N151" i="11"/>
  <c r="L151" i="11"/>
  <c r="K151" i="11"/>
  <c r="J151" i="11"/>
  <c r="I151" i="11"/>
  <c r="H151" i="11"/>
  <c r="G151" i="11"/>
  <c r="F151" i="11"/>
  <c r="E151" i="11"/>
  <c r="D151" i="11"/>
  <c r="C151" i="11"/>
  <c r="B151" i="11"/>
  <c r="A151" i="11"/>
  <c r="N150" i="11"/>
  <c r="L150" i="11"/>
  <c r="K150" i="11"/>
  <c r="J150" i="11"/>
  <c r="I150" i="11"/>
  <c r="H150" i="11"/>
  <c r="G150" i="11"/>
  <c r="F150" i="11"/>
  <c r="E150" i="11"/>
  <c r="D150" i="11"/>
  <c r="C150" i="11"/>
  <c r="B150" i="11"/>
  <c r="A150" i="11"/>
  <c r="N149" i="11"/>
  <c r="L149" i="11"/>
  <c r="K149" i="11"/>
  <c r="J149" i="11"/>
  <c r="I149" i="11"/>
  <c r="H149" i="11"/>
  <c r="G149" i="11"/>
  <c r="F149" i="11"/>
  <c r="E149" i="11"/>
  <c r="D149" i="11"/>
  <c r="C149" i="11"/>
  <c r="B149" i="11"/>
  <c r="A149" i="11"/>
  <c r="N148" i="11"/>
  <c r="L148" i="11"/>
  <c r="K148" i="11"/>
  <c r="J148" i="11"/>
  <c r="I148" i="11"/>
  <c r="H148" i="11"/>
  <c r="G148" i="11"/>
  <c r="F148" i="11"/>
  <c r="E148" i="11"/>
  <c r="D148" i="11"/>
  <c r="C148" i="11"/>
  <c r="B148" i="11"/>
  <c r="A148" i="11"/>
  <c r="N147" i="11"/>
  <c r="L147" i="11"/>
  <c r="K147" i="11"/>
  <c r="J147" i="11"/>
  <c r="I147" i="11"/>
  <c r="H147" i="11"/>
  <c r="G147" i="11"/>
  <c r="F147" i="11"/>
  <c r="E147" i="11"/>
  <c r="D147" i="11"/>
  <c r="C147" i="11"/>
  <c r="B147" i="11"/>
  <c r="A147" i="11"/>
  <c r="N146" i="11"/>
  <c r="L146" i="11"/>
  <c r="K146" i="11"/>
  <c r="J146" i="11"/>
  <c r="I146" i="11"/>
  <c r="Q146" i="11" s="1"/>
  <c r="H146" i="11"/>
  <c r="G146" i="11"/>
  <c r="F146" i="11"/>
  <c r="E146" i="11"/>
  <c r="D146" i="11"/>
  <c r="C146" i="11"/>
  <c r="B146" i="11"/>
  <c r="A146" i="11"/>
  <c r="N145" i="11"/>
  <c r="L145" i="11"/>
  <c r="K145" i="11"/>
  <c r="J145" i="11"/>
  <c r="I145" i="11"/>
  <c r="H145" i="11"/>
  <c r="G145" i="11"/>
  <c r="F145" i="11"/>
  <c r="E145" i="11"/>
  <c r="D145" i="11"/>
  <c r="C145" i="11"/>
  <c r="B145" i="11"/>
  <c r="A145" i="11"/>
  <c r="N144" i="11"/>
  <c r="L144" i="11"/>
  <c r="K144" i="11"/>
  <c r="J144" i="11"/>
  <c r="I144" i="11"/>
  <c r="H144" i="11"/>
  <c r="G144" i="11"/>
  <c r="F144" i="11"/>
  <c r="E144" i="11"/>
  <c r="D144" i="11"/>
  <c r="C144" i="11"/>
  <c r="B144" i="11"/>
  <c r="A144" i="11"/>
  <c r="O143" i="11"/>
  <c r="N143" i="11"/>
  <c r="L143" i="11"/>
  <c r="K143" i="11"/>
  <c r="J143" i="11"/>
  <c r="I143" i="11"/>
  <c r="H143" i="11"/>
  <c r="G143" i="11"/>
  <c r="F143" i="11"/>
  <c r="E143" i="11"/>
  <c r="D143" i="11"/>
  <c r="C143" i="11"/>
  <c r="B143" i="11"/>
  <c r="A143" i="11"/>
  <c r="N142" i="11"/>
  <c r="L142" i="11"/>
  <c r="K142" i="11"/>
  <c r="J142" i="11"/>
  <c r="I142" i="11"/>
  <c r="H142" i="11"/>
  <c r="G142" i="11"/>
  <c r="F142" i="11"/>
  <c r="E142" i="11"/>
  <c r="D142" i="11"/>
  <c r="C142" i="11"/>
  <c r="B142" i="11"/>
  <c r="A142" i="11"/>
  <c r="N141" i="11"/>
  <c r="L141" i="11"/>
  <c r="K141" i="11"/>
  <c r="J141" i="11"/>
  <c r="I141" i="11"/>
  <c r="H141" i="11"/>
  <c r="G141" i="11"/>
  <c r="F141" i="11"/>
  <c r="E141" i="11"/>
  <c r="D141" i="11"/>
  <c r="C141" i="11"/>
  <c r="B141" i="11"/>
  <c r="A141" i="11"/>
  <c r="N140" i="11"/>
  <c r="L140" i="11"/>
  <c r="K140" i="11"/>
  <c r="J140" i="11"/>
  <c r="I140" i="11"/>
  <c r="H140" i="11"/>
  <c r="G140" i="11"/>
  <c r="F140" i="11"/>
  <c r="E140" i="11"/>
  <c r="D140" i="11"/>
  <c r="C140" i="11"/>
  <c r="B140" i="11"/>
  <c r="A140" i="11"/>
  <c r="N139" i="11"/>
  <c r="L139" i="11"/>
  <c r="K139" i="11"/>
  <c r="J139" i="11"/>
  <c r="I139" i="11"/>
  <c r="H139" i="11"/>
  <c r="G139" i="11"/>
  <c r="F139" i="11"/>
  <c r="E139" i="11"/>
  <c r="D139" i="11"/>
  <c r="C139" i="11"/>
  <c r="B139" i="11"/>
  <c r="A139" i="11"/>
  <c r="N138" i="11"/>
  <c r="L138" i="11"/>
  <c r="K138" i="11"/>
  <c r="J138" i="11"/>
  <c r="I138" i="11"/>
  <c r="Q138" i="11" s="1"/>
  <c r="H138" i="11"/>
  <c r="G138" i="11"/>
  <c r="F138" i="11"/>
  <c r="E138" i="11"/>
  <c r="D138" i="11"/>
  <c r="C138" i="11"/>
  <c r="B138" i="11"/>
  <c r="A138" i="11"/>
  <c r="N137" i="11"/>
  <c r="L137" i="11"/>
  <c r="K137" i="11"/>
  <c r="J137" i="11"/>
  <c r="I137" i="11"/>
  <c r="H137" i="11"/>
  <c r="G137" i="11"/>
  <c r="F137" i="11"/>
  <c r="E137" i="11"/>
  <c r="D137" i="11"/>
  <c r="C137" i="11"/>
  <c r="B137" i="11"/>
  <c r="A137" i="11"/>
  <c r="N136" i="11"/>
  <c r="L136" i="11"/>
  <c r="K136" i="11"/>
  <c r="J136" i="11"/>
  <c r="I136" i="11"/>
  <c r="H136" i="11"/>
  <c r="G136" i="11"/>
  <c r="F136" i="11"/>
  <c r="E136" i="11"/>
  <c r="D136" i="11"/>
  <c r="C136" i="11"/>
  <c r="B136" i="11"/>
  <c r="A136" i="11"/>
  <c r="N135" i="11"/>
  <c r="L135" i="11"/>
  <c r="K135" i="11"/>
  <c r="J135" i="11"/>
  <c r="I135" i="11"/>
  <c r="H135" i="11"/>
  <c r="G135" i="11"/>
  <c r="F135" i="11"/>
  <c r="E135" i="11"/>
  <c r="D135" i="11"/>
  <c r="C135" i="11"/>
  <c r="B135" i="11"/>
  <c r="A135" i="11"/>
  <c r="N134" i="11"/>
  <c r="L134" i="11"/>
  <c r="K134" i="11"/>
  <c r="J134" i="11"/>
  <c r="I134" i="11"/>
  <c r="H134" i="11"/>
  <c r="G134" i="11"/>
  <c r="F134" i="11"/>
  <c r="E134" i="11"/>
  <c r="D134" i="11"/>
  <c r="C134" i="11"/>
  <c r="B134" i="11"/>
  <c r="A134" i="11"/>
  <c r="N133" i="11"/>
  <c r="L133" i="11"/>
  <c r="K133" i="11"/>
  <c r="J133" i="11"/>
  <c r="I133" i="11"/>
  <c r="H133" i="11"/>
  <c r="G133" i="11"/>
  <c r="F133" i="11"/>
  <c r="E133" i="11"/>
  <c r="D133" i="11"/>
  <c r="C133" i="11"/>
  <c r="B133" i="11"/>
  <c r="A133" i="11"/>
  <c r="N132" i="11"/>
  <c r="L132" i="11"/>
  <c r="K132" i="11"/>
  <c r="J132" i="11"/>
  <c r="I132" i="11"/>
  <c r="Q132" i="11" s="1"/>
  <c r="H132" i="11"/>
  <c r="G132" i="11"/>
  <c r="F132" i="11"/>
  <c r="E132" i="11"/>
  <c r="D132" i="11"/>
  <c r="C132" i="11"/>
  <c r="B132" i="11"/>
  <c r="A132" i="11"/>
  <c r="N131" i="11"/>
  <c r="L131" i="11"/>
  <c r="K131" i="11"/>
  <c r="J131" i="11"/>
  <c r="I131" i="11"/>
  <c r="H131" i="11"/>
  <c r="G131" i="11"/>
  <c r="F131" i="11"/>
  <c r="E131" i="11"/>
  <c r="D131" i="11"/>
  <c r="C131" i="11"/>
  <c r="B131" i="11"/>
  <c r="A131" i="11"/>
  <c r="N130" i="11"/>
  <c r="L130" i="11"/>
  <c r="K130" i="11"/>
  <c r="J130" i="11"/>
  <c r="I130" i="11"/>
  <c r="H130" i="11"/>
  <c r="G130" i="11"/>
  <c r="F130" i="11"/>
  <c r="E130" i="11"/>
  <c r="D130" i="11"/>
  <c r="C130" i="11"/>
  <c r="B130" i="11"/>
  <c r="A130" i="11"/>
  <c r="O129" i="11"/>
  <c r="N129" i="11"/>
  <c r="L129" i="11"/>
  <c r="K129" i="11"/>
  <c r="J129" i="11"/>
  <c r="I129" i="11"/>
  <c r="Q129" i="11" s="1"/>
  <c r="H129" i="11"/>
  <c r="G129" i="11"/>
  <c r="F129" i="11"/>
  <c r="E129" i="11"/>
  <c r="D129" i="11"/>
  <c r="C129" i="11"/>
  <c r="B129" i="11"/>
  <c r="A129" i="11"/>
  <c r="N128" i="11"/>
  <c r="L128" i="11"/>
  <c r="K128" i="11"/>
  <c r="J128" i="11"/>
  <c r="I128" i="11"/>
  <c r="H128" i="11"/>
  <c r="G128" i="11"/>
  <c r="F128" i="11"/>
  <c r="E128" i="11"/>
  <c r="D128" i="11"/>
  <c r="C128" i="11"/>
  <c r="B128" i="11"/>
  <c r="A128" i="11"/>
  <c r="N127" i="11"/>
  <c r="L127" i="11"/>
  <c r="K127" i="11"/>
  <c r="J127" i="11"/>
  <c r="I127" i="11"/>
  <c r="H127" i="11"/>
  <c r="G127" i="11"/>
  <c r="F127" i="11"/>
  <c r="E127" i="11"/>
  <c r="D127" i="11"/>
  <c r="C127" i="11"/>
  <c r="B127" i="11"/>
  <c r="A127" i="11"/>
  <c r="N126" i="11"/>
  <c r="L126" i="11"/>
  <c r="K126" i="11"/>
  <c r="J126" i="11"/>
  <c r="I126" i="11"/>
  <c r="H126" i="11"/>
  <c r="G126" i="11"/>
  <c r="F126" i="11"/>
  <c r="E126" i="11"/>
  <c r="D126" i="11"/>
  <c r="C126" i="11"/>
  <c r="B126" i="11"/>
  <c r="A126" i="11"/>
  <c r="N125" i="11"/>
  <c r="L125" i="11"/>
  <c r="K125" i="11"/>
  <c r="J125" i="11"/>
  <c r="I125" i="11"/>
  <c r="G125" i="11"/>
  <c r="F125" i="11"/>
  <c r="E125" i="11"/>
  <c r="D125" i="11"/>
  <c r="C125" i="11"/>
  <c r="B125" i="11"/>
  <c r="A125" i="11"/>
  <c r="N124" i="11"/>
  <c r="L124" i="11"/>
  <c r="K124" i="11"/>
  <c r="J124" i="11"/>
  <c r="I124" i="11"/>
  <c r="G124" i="11"/>
  <c r="F124" i="11"/>
  <c r="E124" i="11"/>
  <c r="D124" i="11"/>
  <c r="C124" i="11"/>
  <c r="B124" i="11"/>
  <c r="A124" i="11"/>
  <c r="N123" i="11"/>
  <c r="L123" i="11"/>
  <c r="K123" i="11"/>
  <c r="J123" i="11"/>
  <c r="I123" i="11"/>
  <c r="G123" i="11"/>
  <c r="F123" i="11"/>
  <c r="E123" i="11"/>
  <c r="D123" i="11"/>
  <c r="C123" i="11"/>
  <c r="B123" i="11"/>
  <c r="A123" i="11"/>
  <c r="N122" i="11"/>
  <c r="L122" i="11"/>
  <c r="K122" i="11"/>
  <c r="J122" i="11"/>
  <c r="I122" i="11"/>
  <c r="H122" i="11"/>
  <c r="G122" i="11"/>
  <c r="F122" i="11"/>
  <c r="E122" i="11"/>
  <c r="D122" i="11"/>
  <c r="C122" i="11"/>
  <c r="B122" i="11"/>
  <c r="A122" i="11"/>
  <c r="N121" i="11"/>
  <c r="L121" i="11"/>
  <c r="K121" i="11"/>
  <c r="J121" i="11"/>
  <c r="I121" i="11"/>
  <c r="H121" i="11"/>
  <c r="G121" i="11"/>
  <c r="F121" i="11"/>
  <c r="E121" i="11"/>
  <c r="D121" i="11"/>
  <c r="C121" i="11"/>
  <c r="B121" i="11"/>
  <c r="A121" i="11"/>
  <c r="N120" i="11"/>
  <c r="L120" i="11"/>
  <c r="K120" i="11"/>
  <c r="J120" i="11"/>
  <c r="I120" i="11"/>
  <c r="H120" i="11"/>
  <c r="G120" i="11"/>
  <c r="F120" i="11"/>
  <c r="E120" i="11"/>
  <c r="D120" i="11"/>
  <c r="C120" i="11"/>
  <c r="B120" i="11"/>
  <c r="A120" i="11"/>
  <c r="N119" i="11"/>
  <c r="L119" i="11"/>
  <c r="K119" i="11"/>
  <c r="J119" i="11"/>
  <c r="I119" i="11"/>
  <c r="H119" i="11"/>
  <c r="G119" i="11"/>
  <c r="F119" i="11"/>
  <c r="E119" i="11"/>
  <c r="D119" i="11"/>
  <c r="C119" i="11"/>
  <c r="B119" i="11"/>
  <c r="A119" i="11"/>
  <c r="N118" i="11"/>
  <c r="L118" i="11"/>
  <c r="K118" i="11"/>
  <c r="J118" i="11"/>
  <c r="I118" i="11"/>
  <c r="H118" i="11"/>
  <c r="G118" i="11"/>
  <c r="F118" i="11"/>
  <c r="E118" i="11"/>
  <c r="D118" i="11"/>
  <c r="C118" i="11"/>
  <c r="B118" i="11"/>
  <c r="A118" i="11"/>
  <c r="N117" i="11"/>
  <c r="L117" i="11"/>
  <c r="K117" i="11"/>
  <c r="J117" i="11"/>
  <c r="I117" i="11"/>
  <c r="H117" i="11"/>
  <c r="G117" i="11"/>
  <c r="F117" i="11"/>
  <c r="E117" i="11"/>
  <c r="D117" i="11"/>
  <c r="C117" i="11"/>
  <c r="B117" i="11"/>
  <c r="A117" i="11"/>
  <c r="N116" i="11"/>
  <c r="L116" i="11"/>
  <c r="K116" i="11"/>
  <c r="J116" i="11"/>
  <c r="I116" i="11"/>
  <c r="H116" i="11"/>
  <c r="G116" i="11"/>
  <c r="F116" i="11"/>
  <c r="E116" i="11"/>
  <c r="D116" i="11"/>
  <c r="C116" i="11"/>
  <c r="B116" i="11"/>
  <c r="A116" i="11"/>
  <c r="O115" i="11"/>
  <c r="N115" i="11"/>
  <c r="L115" i="11"/>
  <c r="K115" i="11"/>
  <c r="J115" i="11"/>
  <c r="I115" i="11"/>
  <c r="H115" i="11"/>
  <c r="G115" i="11"/>
  <c r="F115" i="11"/>
  <c r="E115" i="11"/>
  <c r="D115" i="11"/>
  <c r="C115" i="11"/>
  <c r="B115" i="11"/>
  <c r="A115" i="11"/>
  <c r="N114" i="11"/>
  <c r="L114" i="11"/>
  <c r="K114" i="11"/>
  <c r="J114" i="11"/>
  <c r="I114" i="11"/>
  <c r="H114" i="11"/>
  <c r="G114" i="11"/>
  <c r="F114" i="11"/>
  <c r="E114" i="11"/>
  <c r="D114" i="11"/>
  <c r="C114" i="11"/>
  <c r="B114" i="11"/>
  <c r="A114" i="11"/>
  <c r="N113" i="11"/>
  <c r="L113" i="11"/>
  <c r="K113" i="11"/>
  <c r="J113" i="11"/>
  <c r="I113" i="11"/>
  <c r="H113" i="11"/>
  <c r="G113" i="11"/>
  <c r="F113" i="11"/>
  <c r="E113" i="11"/>
  <c r="D113" i="11"/>
  <c r="C113" i="11"/>
  <c r="B113" i="11"/>
  <c r="A113" i="11"/>
  <c r="N112" i="11"/>
  <c r="L112" i="11"/>
  <c r="K112" i="11"/>
  <c r="J112" i="11"/>
  <c r="I112" i="11"/>
  <c r="H112" i="11"/>
  <c r="G112" i="11"/>
  <c r="F112" i="11"/>
  <c r="E112" i="11"/>
  <c r="D112" i="11"/>
  <c r="C112" i="11"/>
  <c r="B112" i="11"/>
  <c r="A112" i="11"/>
  <c r="N111" i="11"/>
  <c r="L111" i="11"/>
  <c r="K111" i="11"/>
  <c r="J111" i="11"/>
  <c r="I111" i="11"/>
  <c r="Q111" i="11" s="1"/>
  <c r="H111" i="11"/>
  <c r="G111" i="11"/>
  <c r="F111" i="11"/>
  <c r="E111" i="11"/>
  <c r="D111" i="11"/>
  <c r="C111" i="11"/>
  <c r="B111" i="11"/>
  <c r="A111" i="11"/>
  <c r="N110" i="11"/>
  <c r="L110" i="11"/>
  <c r="K110" i="11"/>
  <c r="J110" i="11"/>
  <c r="I110" i="11"/>
  <c r="H110" i="11"/>
  <c r="G110" i="11"/>
  <c r="F110" i="11"/>
  <c r="E110" i="11"/>
  <c r="D110" i="11"/>
  <c r="C110" i="11"/>
  <c r="B110" i="11"/>
  <c r="A110" i="11"/>
  <c r="N109" i="11"/>
  <c r="L109" i="11"/>
  <c r="K109" i="11"/>
  <c r="J109" i="11"/>
  <c r="I109" i="11"/>
  <c r="H109" i="11"/>
  <c r="G109" i="11"/>
  <c r="F109" i="11"/>
  <c r="E109" i="11"/>
  <c r="D109" i="11"/>
  <c r="C109" i="11"/>
  <c r="B109" i="11"/>
  <c r="A109" i="11"/>
  <c r="N108" i="11"/>
  <c r="L108" i="11"/>
  <c r="K108" i="11"/>
  <c r="J108" i="11"/>
  <c r="I108" i="11"/>
  <c r="H108" i="11"/>
  <c r="G108" i="11"/>
  <c r="F108" i="11"/>
  <c r="E108" i="11"/>
  <c r="D108" i="11"/>
  <c r="C108" i="11"/>
  <c r="B108" i="11"/>
  <c r="A108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N106" i="11"/>
  <c r="L106" i="11"/>
  <c r="K106" i="11"/>
  <c r="J106" i="11"/>
  <c r="I106" i="11"/>
  <c r="Q106" i="11" s="1"/>
  <c r="H106" i="11"/>
  <c r="G106" i="11"/>
  <c r="F106" i="11"/>
  <c r="E106" i="11"/>
  <c r="D106" i="11"/>
  <c r="C106" i="11"/>
  <c r="B106" i="11"/>
  <c r="A106" i="11"/>
  <c r="N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N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N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N102" i="11"/>
  <c r="L102" i="11"/>
  <c r="K102" i="11"/>
  <c r="J102" i="11"/>
  <c r="I102" i="11"/>
  <c r="Q102" i="11" s="1"/>
  <c r="H102" i="11"/>
  <c r="G102" i="11"/>
  <c r="F102" i="11"/>
  <c r="E102" i="11"/>
  <c r="D102" i="11"/>
  <c r="C102" i="11"/>
  <c r="B102" i="11"/>
  <c r="A102" i="11"/>
  <c r="N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N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N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N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N97" i="11"/>
  <c r="L97" i="11"/>
  <c r="K97" i="11"/>
  <c r="J97" i="11"/>
  <c r="I97" i="11"/>
  <c r="G97" i="11"/>
  <c r="F97" i="11"/>
  <c r="E97" i="11"/>
  <c r="D97" i="11"/>
  <c r="C97" i="11"/>
  <c r="B97" i="11"/>
  <c r="A97" i="11"/>
  <c r="N96" i="11"/>
  <c r="L96" i="11"/>
  <c r="K96" i="11"/>
  <c r="J96" i="11"/>
  <c r="I96" i="11"/>
  <c r="G96" i="11"/>
  <c r="F96" i="11"/>
  <c r="E96" i="11"/>
  <c r="D96" i="11"/>
  <c r="C96" i="11"/>
  <c r="B96" i="11"/>
  <c r="A96" i="11"/>
  <c r="N95" i="11"/>
  <c r="L95" i="11"/>
  <c r="K95" i="11"/>
  <c r="J95" i="11"/>
  <c r="I95" i="11"/>
  <c r="G95" i="11"/>
  <c r="F95" i="11"/>
  <c r="E95" i="11"/>
  <c r="D95" i="11"/>
  <c r="C95" i="11"/>
  <c r="B95" i="11"/>
  <c r="A95" i="11"/>
  <c r="N94" i="11"/>
  <c r="L94" i="11"/>
  <c r="K94" i="11"/>
  <c r="J94" i="11"/>
  <c r="I94" i="11"/>
  <c r="G94" i="11"/>
  <c r="F94" i="11"/>
  <c r="E94" i="11"/>
  <c r="D94" i="11"/>
  <c r="C94" i="11"/>
  <c r="B94" i="11"/>
  <c r="A94" i="11"/>
  <c r="N93" i="11"/>
  <c r="L93" i="11"/>
  <c r="K93" i="11"/>
  <c r="J93" i="11"/>
  <c r="I93" i="11"/>
  <c r="G93" i="11"/>
  <c r="F93" i="11"/>
  <c r="E93" i="11"/>
  <c r="D93" i="11"/>
  <c r="C93" i="11"/>
  <c r="B93" i="11"/>
  <c r="A93" i="11"/>
  <c r="N92" i="11"/>
  <c r="L92" i="11"/>
  <c r="K92" i="11"/>
  <c r="J92" i="11"/>
  <c r="I92" i="11"/>
  <c r="G92" i="11"/>
  <c r="F92" i="11"/>
  <c r="E92" i="11"/>
  <c r="D92" i="11"/>
  <c r="C92" i="11"/>
  <c r="B92" i="11"/>
  <c r="A92" i="11"/>
  <c r="N91" i="11"/>
  <c r="L91" i="11"/>
  <c r="K91" i="11"/>
  <c r="J91" i="11"/>
  <c r="I91" i="11"/>
  <c r="G91" i="11"/>
  <c r="F91" i="11"/>
  <c r="E91" i="11"/>
  <c r="D91" i="11"/>
  <c r="C91" i="11"/>
  <c r="B91" i="11"/>
  <c r="A91" i="11"/>
  <c r="N90" i="11"/>
  <c r="L90" i="11"/>
  <c r="K90" i="11"/>
  <c r="J90" i="11"/>
  <c r="I90" i="11"/>
  <c r="G90" i="11"/>
  <c r="F90" i="11"/>
  <c r="E90" i="11"/>
  <c r="D90" i="11"/>
  <c r="C90" i="11"/>
  <c r="B90" i="11"/>
  <c r="A90" i="11"/>
  <c r="N89" i="11"/>
  <c r="L89" i="11"/>
  <c r="K89" i="11"/>
  <c r="J89" i="11"/>
  <c r="I89" i="11"/>
  <c r="G89" i="11"/>
  <c r="F89" i="11"/>
  <c r="E89" i="11"/>
  <c r="D89" i="11"/>
  <c r="C89" i="11"/>
  <c r="B89" i="11"/>
  <c r="A89" i="11"/>
  <c r="N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N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N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N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O84" i="11"/>
  <c r="N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N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N82" i="11"/>
  <c r="L82" i="11"/>
  <c r="K82" i="11"/>
  <c r="J82" i="11"/>
  <c r="I82" i="11"/>
  <c r="Q82" i="11" s="1"/>
  <c r="H82" i="11"/>
  <c r="G82" i="11"/>
  <c r="F82" i="11"/>
  <c r="E82" i="11"/>
  <c r="D82" i="11"/>
  <c r="C82" i="11"/>
  <c r="B82" i="11"/>
  <c r="A82" i="11"/>
  <c r="N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N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N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N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N76" i="11"/>
  <c r="L76" i="11"/>
  <c r="K76" i="11"/>
  <c r="J76" i="11"/>
  <c r="I76" i="11"/>
  <c r="Q76" i="11" s="1"/>
  <c r="H76" i="11"/>
  <c r="G76" i="11"/>
  <c r="F76" i="11"/>
  <c r="E76" i="11"/>
  <c r="D76" i="11"/>
  <c r="C76" i="11"/>
  <c r="B76" i="11"/>
  <c r="A76" i="11"/>
  <c r="N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N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N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N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N69" i="11"/>
  <c r="L69" i="11"/>
  <c r="K69" i="11"/>
  <c r="J69" i="11"/>
  <c r="I69" i="11"/>
  <c r="Q69" i="11" s="1"/>
  <c r="H69" i="11"/>
  <c r="G69" i="11"/>
  <c r="F69" i="11"/>
  <c r="E69" i="11"/>
  <c r="D69" i="11"/>
  <c r="C69" i="11"/>
  <c r="B69" i="11"/>
  <c r="A69" i="11"/>
  <c r="N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N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O66" i="11"/>
  <c r="N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N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N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N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N62" i="11"/>
  <c r="L62" i="11"/>
  <c r="K62" i="11"/>
  <c r="J62" i="11"/>
  <c r="I62" i="11"/>
  <c r="G62" i="11"/>
  <c r="F62" i="11"/>
  <c r="E62" i="11"/>
  <c r="D62" i="11"/>
  <c r="C62" i="11"/>
  <c r="B62" i="11"/>
  <c r="A62" i="11"/>
  <c r="N61" i="11"/>
  <c r="L61" i="11"/>
  <c r="K61" i="11"/>
  <c r="J61" i="11"/>
  <c r="I61" i="11"/>
  <c r="G61" i="11"/>
  <c r="F61" i="11"/>
  <c r="E61" i="11"/>
  <c r="D61" i="11"/>
  <c r="C61" i="11"/>
  <c r="B61" i="11"/>
  <c r="A61" i="11"/>
  <c r="N60" i="11"/>
  <c r="L60" i="11"/>
  <c r="K60" i="11"/>
  <c r="J60" i="11"/>
  <c r="I60" i="11"/>
  <c r="G60" i="11"/>
  <c r="F60" i="11"/>
  <c r="E60" i="11"/>
  <c r="D60" i="11"/>
  <c r="C60" i="11"/>
  <c r="B60" i="11"/>
  <c r="A60" i="11"/>
  <c r="N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N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N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N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N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N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N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N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O51" i="11"/>
  <c r="N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N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N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O48" i="11"/>
  <c r="N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N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N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N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N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O43" i="11"/>
  <c r="N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N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N41" i="11"/>
  <c r="L41" i="11"/>
  <c r="K41" i="11"/>
  <c r="J41" i="11"/>
  <c r="I41" i="11"/>
  <c r="Q41" i="11" s="1"/>
  <c r="H41" i="11"/>
  <c r="G41" i="11"/>
  <c r="F41" i="11"/>
  <c r="E41" i="11"/>
  <c r="D41" i="11"/>
  <c r="C41" i="11"/>
  <c r="B41" i="11"/>
  <c r="A41" i="11"/>
  <c r="N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N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N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O37" i="11"/>
  <c r="N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N36" i="11"/>
  <c r="L36" i="11"/>
  <c r="K36" i="11"/>
  <c r="J36" i="11"/>
  <c r="I36" i="11"/>
  <c r="Q36" i="11" s="1"/>
  <c r="H36" i="11"/>
  <c r="G36" i="11"/>
  <c r="F36" i="11"/>
  <c r="E36" i="11"/>
  <c r="D36" i="11"/>
  <c r="C36" i="11"/>
  <c r="B36" i="11"/>
  <c r="A36" i="11"/>
  <c r="N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N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O33" i="11"/>
  <c r="N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N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N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N29" i="11"/>
  <c r="L29" i="11"/>
  <c r="K29" i="11"/>
  <c r="J29" i="11"/>
  <c r="I29" i="11"/>
  <c r="Q29" i="11" s="1"/>
  <c r="H29" i="11"/>
  <c r="G29" i="11"/>
  <c r="F29" i="11"/>
  <c r="E29" i="11"/>
  <c r="D29" i="11"/>
  <c r="C29" i="11"/>
  <c r="B29" i="11"/>
  <c r="A29" i="11"/>
  <c r="N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O27" i="11"/>
  <c r="N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N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O25" i="11"/>
  <c r="N25" i="11"/>
  <c r="L25" i="11"/>
  <c r="K25" i="11"/>
  <c r="J25" i="11"/>
  <c r="I25" i="11"/>
  <c r="Q25" i="11" s="1"/>
  <c r="H25" i="11"/>
  <c r="G25" i="11"/>
  <c r="F25" i="11"/>
  <c r="E25" i="11"/>
  <c r="D25" i="11"/>
  <c r="C25" i="11"/>
  <c r="B25" i="11"/>
  <c r="A25" i="11"/>
  <c r="N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N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N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N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N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N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N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N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N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N15" i="11"/>
  <c r="L15" i="11"/>
  <c r="K15" i="11"/>
  <c r="J15" i="11"/>
  <c r="I15" i="11"/>
  <c r="G15" i="11"/>
  <c r="F15" i="11"/>
  <c r="E15" i="11"/>
  <c r="D15" i="11"/>
  <c r="C15" i="11"/>
  <c r="B15" i="11"/>
  <c r="A15" i="11"/>
  <c r="N14" i="11"/>
  <c r="L14" i="11"/>
  <c r="K14" i="11"/>
  <c r="J14" i="11"/>
  <c r="I14" i="11"/>
  <c r="G14" i="11"/>
  <c r="F14" i="11"/>
  <c r="E14" i="11"/>
  <c r="D14" i="11"/>
  <c r="C14" i="11"/>
  <c r="B14" i="11"/>
  <c r="A14" i="11"/>
  <c r="N13" i="11"/>
  <c r="L13" i="11"/>
  <c r="K13" i="11"/>
  <c r="J13" i="11"/>
  <c r="I13" i="11"/>
  <c r="G13" i="11"/>
  <c r="F13" i="11"/>
  <c r="E13" i="11"/>
  <c r="D13" i="11"/>
  <c r="C13" i="11"/>
  <c r="B13" i="11"/>
  <c r="A13" i="11"/>
  <c r="N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N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N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N9" i="11"/>
  <c r="L9" i="11"/>
  <c r="K9" i="11"/>
  <c r="J9" i="11"/>
  <c r="I9" i="11"/>
  <c r="H9" i="11"/>
  <c r="G9" i="11"/>
  <c r="F9" i="11"/>
  <c r="E9" i="11"/>
  <c r="D9" i="11"/>
  <c r="C9" i="11"/>
  <c r="B9" i="11"/>
  <c r="A9" i="11"/>
  <c r="O8" i="11"/>
  <c r="N8" i="11"/>
  <c r="L8" i="11"/>
  <c r="K8" i="11"/>
  <c r="J8" i="11"/>
  <c r="I8" i="11"/>
  <c r="Q8" i="11" s="1"/>
  <c r="H8" i="11"/>
  <c r="G8" i="11"/>
  <c r="F8" i="11"/>
  <c r="E8" i="11"/>
  <c r="D8" i="11"/>
  <c r="C8" i="11"/>
  <c r="B8" i="11"/>
  <c r="A8" i="11"/>
  <c r="O7" i="11"/>
  <c r="N7" i="11"/>
  <c r="L7" i="11"/>
  <c r="K7" i="11"/>
  <c r="J7" i="11"/>
  <c r="I7" i="11"/>
  <c r="Q7" i="11" s="1"/>
  <c r="H7" i="11"/>
  <c r="G7" i="11"/>
  <c r="F7" i="11"/>
  <c r="E7" i="11"/>
  <c r="D7" i="11"/>
  <c r="C7" i="11"/>
  <c r="B7" i="11"/>
  <c r="A7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N35" i="7"/>
  <c r="M35" i="7"/>
  <c r="L35" i="7"/>
  <c r="K35" i="7"/>
  <c r="J35" i="7"/>
  <c r="I35" i="7"/>
  <c r="N34" i="7"/>
  <c r="M34" i="7"/>
  <c r="L34" i="7"/>
  <c r="K34" i="7"/>
  <c r="J34" i="7"/>
  <c r="I34" i="7"/>
  <c r="N33" i="7"/>
  <c r="M33" i="7"/>
  <c r="L33" i="7"/>
  <c r="K33" i="7"/>
  <c r="J33" i="7"/>
  <c r="I33" i="7"/>
  <c r="N32" i="7"/>
  <c r="M32" i="7"/>
  <c r="L32" i="7"/>
  <c r="K32" i="7"/>
  <c r="J32" i="7"/>
  <c r="I32" i="7"/>
  <c r="N31" i="7"/>
  <c r="M31" i="7"/>
  <c r="L31" i="7"/>
  <c r="K31" i="7"/>
  <c r="J31" i="7"/>
  <c r="I31" i="7"/>
  <c r="N30" i="7"/>
  <c r="M30" i="7"/>
  <c r="L30" i="7"/>
  <c r="K30" i="7"/>
  <c r="J30" i="7"/>
  <c r="I30" i="7"/>
  <c r="N29" i="7"/>
  <c r="M29" i="7"/>
  <c r="L29" i="7"/>
  <c r="K29" i="7"/>
  <c r="J29" i="7"/>
  <c r="I29" i="7"/>
  <c r="N27" i="7"/>
  <c r="M27" i="7"/>
  <c r="L27" i="7"/>
  <c r="K27" i="7"/>
  <c r="J27" i="7"/>
  <c r="I27" i="7"/>
  <c r="N26" i="7"/>
  <c r="M26" i="7"/>
  <c r="L26" i="7"/>
  <c r="K26" i="7"/>
  <c r="J26" i="7"/>
  <c r="I26" i="7"/>
  <c r="N25" i="7"/>
  <c r="M25" i="7"/>
  <c r="L25" i="7"/>
  <c r="K25" i="7"/>
  <c r="J25" i="7"/>
  <c r="I25" i="7"/>
  <c r="N24" i="7"/>
  <c r="M24" i="7"/>
  <c r="L24" i="7"/>
  <c r="K24" i="7"/>
  <c r="J24" i="7"/>
  <c r="I24" i="7"/>
  <c r="N23" i="7"/>
  <c r="M23" i="7"/>
  <c r="L23" i="7"/>
  <c r="K23" i="7"/>
  <c r="J23" i="7"/>
  <c r="I23" i="7"/>
  <c r="N22" i="7"/>
  <c r="M22" i="7"/>
  <c r="L22" i="7"/>
  <c r="K22" i="7"/>
  <c r="J22" i="7"/>
  <c r="I22" i="7"/>
  <c r="N21" i="7"/>
  <c r="M21" i="7"/>
  <c r="L21" i="7"/>
  <c r="K21" i="7"/>
  <c r="J21" i="7"/>
  <c r="I21" i="7"/>
  <c r="R19" i="7"/>
  <c r="Q19" i="7"/>
  <c r="P19" i="7"/>
  <c r="N19" i="7"/>
  <c r="M19" i="7"/>
  <c r="L19" i="7"/>
  <c r="K19" i="7"/>
  <c r="J19" i="7"/>
  <c r="I19" i="7"/>
  <c r="R18" i="7"/>
  <c r="Q18" i="7"/>
  <c r="P18" i="7"/>
  <c r="N18" i="7"/>
  <c r="M18" i="7"/>
  <c r="L18" i="7"/>
  <c r="K18" i="7"/>
  <c r="J18" i="7"/>
  <c r="I18" i="7"/>
  <c r="R17" i="7"/>
  <c r="Q17" i="7"/>
  <c r="P17" i="7"/>
  <c r="N17" i="7"/>
  <c r="M17" i="7"/>
  <c r="L17" i="7"/>
  <c r="K17" i="7"/>
  <c r="J17" i="7"/>
  <c r="I17" i="7"/>
  <c r="R16" i="7"/>
  <c r="Q16" i="7"/>
  <c r="P16" i="7"/>
  <c r="N16" i="7"/>
  <c r="M16" i="7"/>
  <c r="L16" i="7"/>
  <c r="K16" i="7"/>
  <c r="J16" i="7"/>
  <c r="I16" i="7"/>
  <c r="R15" i="7"/>
  <c r="Q15" i="7"/>
  <c r="P15" i="7"/>
  <c r="N15" i="7"/>
  <c r="M15" i="7"/>
  <c r="L15" i="7"/>
  <c r="K15" i="7"/>
  <c r="J15" i="7"/>
  <c r="I15" i="7"/>
  <c r="R13" i="7"/>
  <c r="Q13" i="7"/>
  <c r="P13" i="7"/>
  <c r="N13" i="7"/>
  <c r="M13" i="7"/>
  <c r="L13" i="7"/>
  <c r="K13" i="7"/>
  <c r="J13" i="7"/>
  <c r="I13" i="7"/>
  <c r="R12" i="7"/>
  <c r="Q12" i="7"/>
  <c r="P12" i="7"/>
  <c r="N12" i="7"/>
  <c r="M12" i="7"/>
  <c r="L12" i="7"/>
  <c r="K12" i="7"/>
  <c r="J12" i="7"/>
  <c r="I12" i="7"/>
  <c r="R11" i="7"/>
  <c r="Q11" i="7"/>
  <c r="P11" i="7"/>
  <c r="N11" i="7"/>
  <c r="M11" i="7"/>
  <c r="L11" i="7"/>
  <c r="K11" i="7"/>
  <c r="J11" i="7"/>
  <c r="I11" i="7"/>
  <c r="R10" i="7"/>
  <c r="Q10" i="7"/>
  <c r="P10" i="7"/>
  <c r="N10" i="7"/>
  <c r="M10" i="7"/>
  <c r="L10" i="7"/>
  <c r="K10" i="7"/>
  <c r="J10" i="7"/>
  <c r="I10" i="7"/>
  <c r="R9" i="7"/>
  <c r="Q9" i="7"/>
  <c r="N9" i="7"/>
  <c r="M9" i="7"/>
  <c r="L9" i="7"/>
  <c r="K9" i="7"/>
  <c r="J9" i="7"/>
  <c r="I9" i="7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Q41" i="6"/>
  <c r="I41" i="6"/>
  <c r="Q40" i="6"/>
  <c r="I40" i="6"/>
  <c r="I39" i="6"/>
  <c r="I38" i="6"/>
  <c r="Q37" i="6"/>
  <c r="I37" i="6"/>
  <c r="Q36" i="6"/>
  <c r="I36" i="6"/>
  <c r="Q35" i="6"/>
  <c r="I35" i="6"/>
  <c r="Q34" i="6"/>
  <c r="I34" i="6"/>
  <c r="Q33" i="6"/>
  <c r="I33" i="6"/>
  <c r="Q32" i="6"/>
  <c r="I32" i="6"/>
  <c r="Q31" i="6"/>
  <c r="I31" i="6"/>
  <c r="Q30" i="6"/>
  <c r="I30" i="6"/>
  <c r="Q29" i="6"/>
  <c r="I29" i="6"/>
  <c r="Q28" i="6"/>
  <c r="K18" i="6"/>
  <c r="I18" i="6"/>
  <c r="H18" i="6"/>
  <c r="G18" i="6"/>
  <c r="K17" i="6"/>
  <c r="I17" i="6"/>
  <c r="H17" i="6"/>
  <c r="G17" i="6"/>
  <c r="K16" i="6"/>
  <c r="I16" i="6"/>
  <c r="H16" i="6"/>
  <c r="G16" i="6"/>
  <c r="K15" i="6"/>
  <c r="I15" i="6"/>
  <c r="H15" i="6"/>
  <c r="G15" i="6"/>
  <c r="K14" i="6"/>
  <c r="I14" i="6"/>
  <c r="H14" i="6"/>
  <c r="G14" i="6"/>
  <c r="K13" i="6"/>
  <c r="I13" i="6"/>
  <c r="H13" i="6"/>
  <c r="G13" i="6"/>
  <c r="K12" i="6"/>
  <c r="I12" i="6"/>
  <c r="H12" i="6"/>
  <c r="G12" i="6"/>
  <c r="K11" i="6"/>
  <c r="I11" i="6"/>
  <c r="H11" i="6"/>
  <c r="G11" i="6"/>
  <c r="K10" i="6"/>
  <c r="I10" i="6"/>
  <c r="H10" i="6"/>
  <c r="G10" i="6"/>
  <c r="K9" i="6"/>
  <c r="I9" i="6"/>
  <c r="H9" i="6"/>
  <c r="G9" i="6"/>
  <c r="L91" i="5"/>
  <c r="L90" i="5"/>
  <c r="L89" i="5"/>
  <c r="L88" i="5"/>
  <c r="L87" i="5"/>
  <c r="L86" i="5"/>
  <c r="L79" i="5"/>
  <c r="J79" i="5"/>
  <c r="K79" i="5" s="1"/>
  <c r="L78" i="5"/>
  <c r="L77" i="5"/>
  <c r="L76" i="5"/>
  <c r="L75" i="5"/>
  <c r="L74" i="5"/>
  <c r="L72" i="5"/>
  <c r="L71" i="5"/>
  <c r="L70" i="5"/>
  <c r="L69" i="5"/>
  <c r="L68" i="5"/>
  <c r="L67" i="5"/>
  <c r="L66" i="5"/>
  <c r="L65" i="5"/>
  <c r="L64" i="5"/>
  <c r="L63" i="5"/>
  <c r="J40" i="5"/>
  <c r="T39" i="5"/>
  <c r="S39" i="5"/>
  <c r="R39" i="5"/>
  <c r="Q39" i="5"/>
  <c r="P39" i="5"/>
  <c r="O39" i="5"/>
  <c r="N39" i="5"/>
  <c r="M39" i="5"/>
  <c r="T38" i="5"/>
  <c r="S38" i="5"/>
  <c r="R38" i="5"/>
  <c r="Q38" i="5"/>
  <c r="P38" i="5"/>
  <c r="O38" i="5"/>
  <c r="N38" i="5"/>
  <c r="M38" i="5"/>
  <c r="T37" i="5"/>
  <c r="S37" i="5"/>
  <c r="R37" i="5"/>
  <c r="Q37" i="5"/>
  <c r="P37" i="5"/>
  <c r="O37" i="5"/>
  <c r="N37" i="5"/>
  <c r="M37" i="5"/>
  <c r="T35" i="5"/>
  <c r="S35" i="5"/>
  <c r="R35" i="5"/>
  <c r="Q35" i="5"/>
  <c r="P35" i="5"/>
  <c r="O35" i="5"/>
  <c r="N35" i="5"/>
  <c r="M35" i="5"/>
  <c r="T34" i="5"/>
  <c r="S34" i="5"/>
  <c r="R34" i="5"/>
  <c r="Q34" i="5"/>
  <c r="P34" i="5"/>
  <c r="O34" i="5"/>
  <c r="N34" i="5"/>
  <c r="M34" i="5"/>
  <c r="T33" i="5"/>
  <c r="S33" i="5"/>
  <c r="R33" i="5"/>
  <c r="Q33" i="5"/>
  <c r="P33" i="5"/>
  <c r="O33" i="5"/>
  <c r="N33" i="5"/>
  <c r="M33" i="5"/>
  <c r="T32" i="5"/>
  <c r="S32" i="5"/>
  <c r="R32" i="5"/>
  <c r="Q32" i="5"/>
  <c r="P32" i="5"/>
  <c r="O32" i="5"/>
  <c r="N32" i="5"/>
  <c r="M32" i="5"/>
  <c r="T31" i="5"/>
  <c r="S31" i="5"/>
  <c r="R31" i="5"/>
  <c r="P31" i="5"/>
  <c r="O31" i="5"/>
  <c r="N31" i="5"/>
  <c r="J31" i="5"/>
  <c r="I31" i="5"/>
  <c r="T29" i="5"/>
  <c r="S29" i="5"/>
  <c r="R29" i="5"/>
  <c r="Q29" i="5"/>
  <c r="P29" i="5"/>
  <c r="O29" i="5"/>
  <c r="N29" i="5"/>
  <c r="M29" i="5"/>
  <c r="J29" i="5"/>
  <c r="I29" i="5"/>
  <c r="T28" i="5"/>
  <c r="S28" i="5"/>
  <c r="R28" i="5"/>
  <c r="Q28" i="5"/>
  <c r="P28" i="5"/>
  <c r="O28" i="5"/>
  <c r="N28" i="5"/>
  <c r="M28" i="5"/>
  <c r="I28" i="5"/>
  <c r="T27" i="5"/>
  <c r="S27" i="5"/>
  <c r="R27" i="5"/>
  <c r="P27" i="5"/>
  <c r="O27" i="5"/>
  <c r="N27" i="5"/>
  <c r="J27" i="5"/>
  <c r="I27" i="5"/>
  <c r="T26" i="5"/>
  <c r="S26" i="5"/>
  <c r="R26" i="5"/>
  <c r="Q26" i="5"/>
  <c r="P26" i="5"/>
  <c r="O26" i="5"/>
  <c r="N26" i="5"/>
  <c r="M26" i="5"/>
  <c r="T25" i="5"/>
  <c r="S25" i="5"/>
  <c r="R25" i="5"/>
  <c r="Q25" i="5"/>
  <c r="P25" i="5"/>
  <c r="O25" i="5"/>
  <c r="N25" i="5"/>
  <c r="M25" i="5"/>
  <c r="T24" i="5"/>
  <c r="S24" i="5"/>
  <c r="R24" i="5"/>
  <c r="Q24" i="5"/>
  <c r="P24" i="5"/>
  <c r="O24" i="5"/>
  <c r="N24" i="5"/>
  <c r="M24" i="5"/>
  <c r="T23" i="5"/>
  <c r="S23" i="5"/>
  <c r="P23" i="5"/>
  <c r="O23" i="5"/>
  <c r="M23" i="5"/>
  <c r="J23" i="5"/>
  <c r="I23" i="5"/>
  <c r="Q23" i="5" s="1"/>
  <c r="T21" i="5"/>
  <c r="S21" i="5"/>
  <c r="P21" i="5"/>
  <c r="O21" i="5"/>
  <c r="N21" i="5"/>
  <c r="J21" i="5"/>
  <c r="R21" i="5" s="1"/>
  <c r="I21" i="5"/>
  <c r="T20" i="5"/>
  <c r="S20" i="5"/>
  <c r="R20" i="5"/>
  <c r="Q20" i="5"/>
  <c r="P20" i="5"/>
  <c r="O20" i="5"/>
  <c r="N20" i="5"/>
  <c r="M20" i="5"/>
  <c r="J20" i="5"/>
  <c r="I20" i="5"/>
  <c r="T19" i="5"/>
  <c r="S19" i="5"/>
  <c r="Q19" i="5"/>
  <c r="P19" i="5"/>
  <c r="O19" i="5"/>
  <c r="M19" i="5"/>
  <c r="J19" i="5"/>
  <c r="I19" i="5"/>
  <c r="T18" i="5"/>
  <c r="S18" i="5"/>
  <c r="Q18" i="5"/>
  <c r="P18" i="5"/>
  <c r="O18" i="5"/>
  <c r="M18" i="5"/>
  <c r="J18" i="5"/>
  <c r="I18" i="5"/>
  <c r="T17" i="5"/>
  <c r="S17" i="5"/>
  <c r="R17" i="5"/>
  <c r="P17" i="5"/>
  <c r="O17" i="5"/>
  <c r="J17" i="5"/>
  <c r="N17" i="5" s="1"/>
  <c r="I17" i="5"/>
  <c r="T16" i="5"/>
  <c r="S16" i="5"/>
  <c r="R16" i="5"/>
  <c r="Q16" i="5"/>
  <c r="P16" i="5"/>
  <c r="O16" i="5"/>
  <c r="N16" i="5"/>
  <c r="M16" i="5"/>
  <c r="J16" i="5"/>
  <c r="I16" i="5"/>
  <c r="T15" i="5"/>
  <c r="S15" i="5"/>
  <c r="R15" i="5"/>
  <c r="Q15" i="5"/>
  <c r="P15" i="5"/>
  <c r="O15" i="5"/>
  <c r="N15" i="5"/>
  <c r="M15" i="5"/>
  <c r="J15" i="5"/>
  <c r="I15" i="5"/>
  <c r="T14" i="5"/>
  <c r="S14" i="5"/>
  <c r="Q14" i="5"/>
  <c r="P14" i="5"/>
  <c r="O14" i="5"/>
  <c r="J14" i="5"/>
  <c r="I14" i="5"/>
  <c r="M14" i="5" s="1"/>
  <c r="T13" i="5"/>
  <c r="S13" i="5"/>
  <c r="P13" i="5"/>
  <c r="O13" i="5"/>
  <c r="J13" i="5"/>
  <c r="N13" i="5" s="1"/>
  <c r="I13" i="5"/>
  <c r="T12" i="5"/>
  <c r="S12" i="5"/>
  <c r="R12" i="5"/>
  <c r="Q12" i="5"/>
  <c r="P12" i="5"/>
  <c r="O12" i="5"/>
  <c r="N12" i="5"/>
  <c r="M12" i="5"/>
  <c r="T11" i="5"/>
  <c r="S11" i="5"/>
  <c r="R11" i="5"/>
  <c r="P11" i="5"/>
  <c r="O11" i="5"/>
  <c r="N11" i="5"/>
  <c r="M11" i="5"/>
  <c r="J11" i="5"/>
  <c r="I11" i="5"/>
  <c r="Q11" i="5" s="1"/>
  <c r="T10" i="5"/>
  <c r="S10" i="5"/>
  <c r="Q10" i="5"/>
  <c r="P10" i="5"/>
  <c r="O10" i="5"/>
  <c r="M10" i="5"/>
  <c r="J10" i="5"/>
  <c r="R10" i="5" s="1"/>
  <c r="I10" i="5"/>
  <c r="T9" i="5"/>
  <c r="S9" i="5"/>
  <c r="P9" i="5"/>
  <c r="O9" i="5"/>
  <c r="J9" i="5"/>
  <c r="I9" i="5"/>
  <c r="Q9" i="5" s="1"/>
  <c r="T8" i="5"/>
  <c r="S8" i="5"/>
  <c r="P8" i="5"/>
  <c r="O8" i="5"/>
  <c r="N8" i="5"/>
  <c r="J8" i="5"/>
  <c r="R8" i="5" s="1"/>
  <c r="I8" i="5"/>
  <c r="T7" i="5"/>
  <c r="S7" i="5"/>
  <c r="R7" i="5"/>
  <c r="P7" i="5"/>
  <c r="O7" i="5"/>
  <c r="N7" i="5"/>
  <c r="J7" i="5"/>
  <c r="I7" i="5"/>
  <c r="Q7" i="5" s="1"/>
  <c r="H180" i="4"/>
  <c r="G180" i="4"/>
  <c r="F180" i="4"/>
  <c r="N180" i="4" s="1"/>
  <c r="H179" i="4"/>
  <c r="G179" i="4"/>
  <c r="F179" i="4"/>
  <c r="N179" i="4" s="1"/>
  <c r="H178" i="4"/>
  <c r="G178" i="4"/>
  <c r="F178" i="4"/>
  <c r="N178" i="4" s="1"/>
  <c r="H176" i="4"/>
  <c r="G176" i="4"/>
  <c r="F176" i="4"/>
  <c r="N176" i="4" s="1"/>
  <c r="H175" i="4"/>
  <c r="G175" i="4"/>
  <c r="F175" i="4"/>
  <c r="N175" i="4" s="1"/>
  <c r="H174" i="4"/>
  <c r="G174" i="4"/>
  <c r="F174" i="4"/>
  <c r="N174" i="4" s="1"/>
  <c r="H172" i="4"/>
  <c r="G172" i="4" s="1"/>
  <c r="H171" i="4"/>
  <c r="G171" i="4" s="1"/>
  <c r="H170" i="4"/>
  <c r="G170" i="4" s="1"/>
  <c r="H169" i="4"/>
  <c r="G169" i="4"/>
  <c r="H168" i="4"/>
  <c r="G168" i="4" s="1"/>
  <c r="H167" i="4"/>
  <c r="G167" i="4" s="1"/>
  <c r="H166" i="4"/>
  <c r="G166" i="4" s="1"/>
  <c r="H164" i="4"/>
  <c r="G164" i="4"/>
  <c r="H163" i="4"/>
  <c r="G163" i="4" s="1"/>
  <c r="H162" i="4"/>
  <c r="G162" i="4" s="1"/>
  <c r="H161" i="4"/>
  <c r="G161" i="4" s="1"/>
  <c r="G159" i="4"/>
  <c r="H159" i="4" s="1"/>
  <c r="H158" i="4"/>
  <c r="G158" i="4"/>
  <c r="H157" i="4"/>
  <c r="L157" i="4" s="1"/>
  <c r="G157" i="4"/>
  <c r="H156" i="4"/>
  <c r="L156" i="4" s="1"/>
  <c r="G156" i="4"/>
  <c r="H154" i="4"/>
  <c r="G154" i="4" s="1"/>
  <c r="H153" i="4"/>
  <c r="G153" i="4"/>
  <c r="H152" i="4"/>
  <c r="G152" i="4" s="1"/>
  <c r="H151" i="4"/>
  <c r="G151" i="4" s="1"/>
  <c r="H150" i="4"/>
  <c r="G150" i="4" s="1"/>
  <c r="H149" i="4"/>
  <c r="G149" i="4"/>
  <c r="H148" i="4"/>
  <c r="G148" i="4" s="1"/>
  <c r="H147" i="4"/>
  <c r="G147" i="4" s="1"/>
  <c r="H128" i="4"/>
  <c r="G128" i="4"/>
  <c r="F128" i="4" s="1"/>
  <c r="N128" i="4" s="1"/>
  <c r="N127" i="4"/>
  <c r="H127" i="4"/>
  <c r="G127" i="4"/>
  <c r="F127" i="4" s="1"/>
  <c r="N126" i="4"/>
  <c r="H126" i="4"/>
  <c r="G126" i="4"/>
  <c r="F126" i="4" s="1"/>
  <c r="H124" i="4"/>
  <c r="G124" i="4"/>
  <c r="F124" i="4" s="1"/>
  <c r="N124" i="4" s="1"/>
  <c r="H123" i="4"/>
  <c r="G123" i="4"/>
  <c r="F123" i="4" s="1"/>
  <c r="N123" i="4" s="1"/>
  <c r="N122" i="4"/>
  <c r="H122" i="4"/>
  <c r="G122" i="4"/>
  <c r="F122" i="4" s="1"/>
  <c r="O105" i="4"/>
  <c r="O104" i="4"/>
  <c r="AD56" i="4" a="1"/>
  <c r="AD56" i="4" s="1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AD55" i="4" a="1"/>
  <c r="AD55" i="4" s="1"/>
  <c r="Z55" i="4" s="1"/>
  <c r="AC55" i="4"/>
  <c r="AB55" i="4"/>
  <c r="AA55" i="4"/>
  <c r="Y55" i="4"/>
  <c r="X55" i="4"/>
  <c r="V55" i="4"/>
  <c r="U55" i="4"/>
  <c r="T55" i="4"/>
  <c r="S55" i="4"/>
  <c r="R55" i="4"/>
  <c r="Q55" i="4"/>
  <c r="P55" i="4"/>
  <c r="O55" i="4"/>
  <c r="N55" i="4"/>
  <c r="AD54" i="4" a="1"/>
  <c r="AD54" i="4" s="1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AD53" i="4" a="1"/>
  <c r="AD53" i="4" s="1"/>
  <c r="Z53" i="4" s="1"/>
  <c r="AC53" i="4"/>
  <c r="AB53" i="4"/>
  <c r="AA53" i="4"/>
  <c r="Y53" i="4"/>
  <c r="X53" i="4"/>
  <c r="V53" i="4"/>
  <c r="U53" i="4"/>
  <c r="T53" i="4"/>
  <c r="S53" i="4"/>
  <c r="R53" i="4"/>
  <c r="Q53" i="4"/>
  <c r="P53" i="4"/>
  <c r="O53" i="4"/>
  <c r="N53" i="4"/>
  <c r="AD52" i="4" a="1"/>
  <c r="AD52" i="4" s="1"/>
  <c r="Z52" i="4" s="1"/>
  <c r="AC52" i="4"/>
  <c r="AB52" i="4"/>
  <c r="AA52" i="4"/>
  <c r="Y52" i="4"/>
  <c r="X52" i="4"/>
  <c r="V52" i="4"/>
  <c r="U52" i="4"/>
  <c r="T52" i="4"/>
  <c r="S52" i="4"/>
  <c r="R52" i="4"/>
  <c r="Q52" i="4"/>
  <c r="P52" i="4"/>
  <c r="O52" i="4"/>
  <c r="N52" i="4"/>
  <c r="AD50" i="4" a="1"/>
  <c r="AD50" i="4" s="1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AD49" i="4" a="1"/>
  <c r="AD49" i="4" s="1"/>
  <c r="AC49" i="4"/>
  <c r="AB49" i="4"/>
  <c r="AA49" i="4"/>
  <c r="Y49" i="4"/>
  <c r="X49" i="4"/>
  <c r="V49" i="4"/>
  <c r="U49" i="4"/>
  <c r="T49" i="4"/>
  <c r="S49" i="4"/>
  <c r="R49" i="4"/>
  <c r="Q49" i="4"/>
  <c r="P49" i="4"/>
  <c r="O49" i="4"/>
  <c r="N49" i="4"/>
  <c r="AD48" i="4" a="1"/>
  <c r="AD48" i="4" s="1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AD47" i="4" a="1"/>
  <c r="AD47" i="4" s="1"/>
  <c r="W47" i="4" s="1"/>
  <c r="AC47" i="4"/>
  <c r="AB47" i="4"/>
  <c r="AA47" i="4"/>
  <c r="Y47" i="4"/>
  <c r="X47" i="4"/>
  <c r="U47" i="4"/>
  <c r="T47" i="4"/>
  <c r="S47" i="4"/>
  <c r="R47" i="4"/>
  <c r="Q47" i="4"/>
  <c r="P47" i="4"/>
  <c r="O47" i="4"/>
  <c r="N47" i="4"/>
  <c r="AD46" i="4" a="1"/>
  <c r="AD46" i="4" s="1"/>
  <c r="W46" i="4" s="1"/>
  <c r="AC46" i="4"/>
  <c r="AB46" i="4"/>
  <c r="AA46" i="4"/>
  <c r="Y46" i="4"/>
  <c r="X46" i="4"/>
  <c r="U46" i="4"/>
  <c r="T46" i="4"/>
  <c r="S46" i="4"/>
  <c r="R46" i="4"/>
  <c r="Q46" i="4"/>
  <c r="P46" i="4"/>
  <c r="O46" i="4"/>
  <c r="N46" i="4"/>
  <c r="AD44" i="4" a="1"/>
  <c r="AD44" i="4" s="1"/>
  <c r="AD43" i="4" a="1"/>
  <c r="AD43" i="4" s="1"/>
  <c r="V43" i="4" s="1"/>
  <c r="AC43" i="4"/>
  <c r="Y43" i="4"/>
  <c r="U43" i="4"/>
  <c r="Q43" i="4"/>
  <c r="N43" i="4"/>
  <c r="K43" i="4"/>
  <c r="J43" i="4"/>
  <c r="G43" i="4"/>
  <c r="AD42" i="4" a="1"/>
  <c r="AD42" i="4" s="1"/>
  <c r="AC42" i="4"/>
  <c r="Y42" i="4"/>
  <c r="U42" i="4"/>
  <c r="T42" i="4"/>
  <c r="S42" i="4"/>
  <c r="Q42" i="4"/>
  <c r="P42" i="4"/>
  <c r="O42" i="4"/>
  <c r="N42" i="4"/>
  <c r="K42" i="4"/>
  <c r="J42" i="4"/>
  <c r="R42" i="4" s="1"/>
  <c r="H42" i="4"/>
  <c r="L42" i="4" s="1"/>
  <c r="G42" i="4"/>
  <c r="AD41" i="4" a="1"/>
  <c r="AD41" i="4" s="1"/>
  <c r="V41" i="4" s="1"/>
  <c r="AC41" i="4"/>
  <c r="Y41" i="4"/>
  <c r="U41" i="4"/>
  <c r="Q41" i="4"/>
  <c r="N41" i="4"/>
  <c r="J41" i="4"/>
  <c r="G41" i="4"/>
  <c r="AD40" i="4" a="1"/>
  <c r="AD40" i="4" s="1"/>
  <c r="Z40" i="4" s="1"/>
  <c r="AC40" i="4"/>
  <c r="Y40" i="4"/>
  <c r="U40" i="4"/>
  <c r="R40" i="4"/>
  <c r="Q40" i="4"/>
  <c r="N40" i="4"/>
  <c r="K40" i="4"/>
  <c r="J40" i="4"/>
  <c r="H40" i="4"/>
  <c r="G40" i="4"/>
  <c r="AD39" i="4" a="1"/>
  <c r="AD39" i="4" s="1"/>
  <c r="V39" i="4" s="1"/>
  <c r="AC39" i="4"/>
  <c r="Y39" i="4"/>
  <c r="U39" i="4"/>
  <c r="Q39" i="4"/>
  <c r="O39" i="4"/>
  <c r="N39" i="4"/>
  <c r="L39" i="4"/>
  <c r="J39" i="4"/>
  <c r="G39" i="4"/>
  <c r="H39" i="4" s="1"/>
  <c r="P39" i="4" s="1"/>
  <c r="AD38" i="4" a="1"/>
  <c r="AD38" i="4" s="1"/>
  <c r="V38" i="4" s="1"/>
  <c r="AC38" i="4"/>
  <c r="Y38" i="4"/>
  <c r="U38" i="4"/>
  <c r="Q38" i="4"/>
  <c r="O38" i="4"/>
  <c r="N38" i="4"/>
  <c r="K38" i="4"/>
  <c r="J38" i="4"/>
  <c r="H38" i="4"/>
  <c r="G38" i="4"/>
  <c r="AD37" i="4" a="1"/>
  <c r="AD37" i="4" s="1"/>
  <c r="V37" i="4" s="1"/>
  <c r="AC37" i="4"/>
  <c r="Y37" i="4"/>
  <c r="U37" i="4"/>
  <c r="R37" i="4"/>
  <c r="Q37" i="4"/>
  <c r="O37" i="4"/>
  <c r="N37" i="4"/>
  <c r="L37" i="4"/>
  <c r="J37" i="4"/>
  <c r="H37" i="4"/>
  <c r="G37" i="4"/>
  <c r="K37" i="4" s="1"/>
  <c r="AD36" i="4" a="1"/>
  <c r="AD36" i="4" s="1"/>
  <c r="AC36" i="4"/>
  <c r="Y36" i="4"/>
  <c r="U36" i="4"/>
  <c r="R36" i="4"/>
  <c r="Q36" i="4"/>
  <c r="N36" i="4"/>
  <c r="J36" i="4"/>
  <c r="G36" i="4"/>
  <c r="AD34" i="4" a="1"/>
  <c r="AD34" i="4" s="1"/>
  <c r="X34" i="4" s="1"/>
  <c r="AC34" i="4"/>
  <c r="Y34" i="4"/>
  <c r="U34" i="4"/>
  <c r="Q34" i="4"/>
  <c r="P34" i="4"/>
  <c r="L34" i="4"/>
  <c r="AD33" i="4" a="1"/>
  <c r="AD33" i="4" s="1"/>
  <c r="AA33" i="4" s="1"/>
  <c r="AC33" i="4"/>
  <c r="Y33" i="4"/>
  <c r="U33" i="4"/>
  <c r="T33" i="4"/>
  <c r="S33" i="4"/>
  <c r="Q33" i="4"/>
  <c r="P33" i="4"/>
  <c r="O33" i="4"/>
  <c r="L33" i="4"/>
  <c r="K33" i="4"/>
  <c r="G33" i="4"/>
  <c r="AD32" i="4" a="1"/>
  <c r="AD32" i="4" s="1"/>
  <c r="X32" i="4" s="1"/>
  <c r="AC32" i="4"/>
  <c r="Y32" i="4"/>
  <c r="U32" i="4"/>
  <c r="R32" i="4"/>
  <c r="Q32" i="4"/>
  <c r="P32" i="4"/>
  <c r="L32" i="4"/>
  <c r="J32" i="4"/>
  <c r="G32" i="4"/>
  <c r="K32" i="4" s="1"/>
  <c r="F32" i="4"/>
  <c r="AD31" i="4" a="1"/>
  <c r="AD31" i="4" s="1"/>
  <c r="X31" i="4" s="1"/>
  <c r="AC31" i="4"/>
  <c r="Y31" i="4"/>
  <c r="U31" i="4"/>
  <c r="T31" i="4"/>
  <c r="Q31" i="4"/>
  <c r="P31" i="4"/>
  <c r="L31" i="4"/>
  <c r="K31" i="4"/>
  <c r="G31" i="4"/>
  <c r="F31" i="4"/>
  <c r="J31" i="4" s="1"/>
  <c r="AD30" i="4" a="1"/>
  <c r="AD30" i="4" s="1"/>
  <c r="W30" i="4" s="1"/>
  <c r="AC30" i="4"/>
  <c r="Y30" i="4"/>
  <c r="U30" i="4"/>
  <c r="S30" i="4"/>
  <c r="Q30" i="4"/>
  <c r="P30" i="4"/>
  <c r="O30" i="4"/>
  <c r="L30" i="4"/>
  <c r="K30" i="4"/>
  <c r="G30" i="4"/>
  <c r="F30" i="4"/>
  <c r="AD29" i="4" a="1"/>
  <c r="AD29" i="4" s="1"/>
  <c r="AC29" i="4"/>
  <c r="Y29" i="4"/>
  <c r="U29" i="4"/>
  <c r="T29" i="4"/>
  <c r="Q29" i="4"/>
  <c r="P29" i="4"/>
  <c r="L29" i="4"/>
  <c r="G29" i="4"/>
  <c r="K29" i="4" s="1"/>
  <c r="AD28" i="4" a="1"/>
  <c r="AD28" i="4" s="1"/>
  <c r="X28" i="4" s="1"/>
  <c r="AC28" i="4"/>
  <c r="Y28" i="4"/>
  <c r="U28" i="4"/>
  <c r="Q28" i="4"/>
  <c r="P28" i="4"/>
  <c r="O28" i="4"/>
  <c r="L28" i="4"/>
  <c r="G28" i="4"/>
  <c r="AD27" i="4" a="1"/>
  <c r="AD27" i="4" s="1"/>
  <c r="X27" i="4" s="1"/>
  <c r="AC27" i="4"/>
  <c r="Y27" i="4"/>
  <c r="U27" i="4"/>
  <c r="Q27" i="4"/>
  <c r="P27" i="4"/>
  <c r="L27" i="4"/>
  <c r="G27" i="4"/>
  <c r="AD26" i="4" a="1"/>
  <c r="AD26" i="4" s="1"/>
  <c r="X26" i="4" s="1"/>
  <c r="AC26" i="4"/>
  <c r="Y26" i="4"/>
  <c r="U26" i="4"/>
  <c r="T26" i="4"/>
  <c r="Q26" i="4"/>
  <c r="P26" i="4"/>
  <c r="O26" i="4"/>
  <c r="L26" i="4"/>
  <c r="K26" i="4"/>
  <c r="J26" i="4"/>
  <c r="G26" i="4"/>
  <c r="F26" i="4"/>
  <c r="AD24" i="4" a="1"/>
  <c r="AD24" i="4" s="1"/>
  <c r="W24" i="4" s="1"/>
  <c r="AC24" i="4"/>
  <c r="AB24" i="4"/>
  <c r="AA24" i="4"/>
  <c r="Z24" i="4"/>
  <c r="Y24" i="4"/>
  <c r="U24" i="4"/>
  <c r="T24" i="4"/>
  <c r="S24" i="4"/>
  <c r="R24" i="4"/>
  <c r="Q24" i="4"/>
  <c r="P24" i="4"/>
  <c r="O24" i="4"/>
  <c r="N24" i="4"/>
  <c r="G24" i="4"/>
  <c r="F24" i="4"/>
  <c r="AD23" i="4" a="1"/>
  <c r="AD23" i="4" s="1"/>
  <c r="W23" i="4" s="1"/>
  <c r="AC23" i="4"/>
  <c r="AB23" i="4"/>
  <c r="AA23" i="4"/>
  <c r="Z23" i="4"/>
  <c r="Y23" i="4"/>
  <c r="U23" i="4"/>
  <c r="T23" i="4"/>
  <c r="S23" i="4"/>
  <c r="R23" i="4"/>
  <c r="Q23" i="4"/>
  <c r="P23" i="4"/>
  <c r="O23" i="4"/>
  <c r="N23" i="4"/>
  <c r="G23" i="4"/>
  <c r="F23" i="4"/>
  <c r="AD22" i="4" a="1"/>
  <c r="AD22" i="4" s="1"/>
  <c r="AC22" i="4"/>
  <c r="AB22" i="4"/>
  <c r="AA22" i="4"/>
  <c r="Z22" i="4"/>
  <c r="Y22" i="4"/>
  <c r="U22" i="4"/>
  <c r="T22" i="4"/>
  <c r="S22" i="4"/>
  <c r="R22" i="4"/>
  <c r="Q22" i="4"/>
  <c r="P22" i="4"/>
  <c r="O22" i="4"/>
  <c r="N22" i="4"/>
  <c r="G22" i="4"/>
  <c r="F22" i="4"/>
  <c r="AD21" i="4" a="1"/>
  <c r="AD21" i="4" s="1"/>
  <c r="W21" i="4" s="1"/>
  <c r="AC21" i="4"/>
  <c r="AB21" i="4"/>
  <c r="AA21" i="4"/>
  <c r="Z21" i="4"/>
  <c r="Y21" i="4"/>
  <c r="U21" i="4"/>
  <c r="T21" i="4"/>
  <c r="S21" i="4"/>
  <c r="R21" i="4"/>
  <c r="Q21" i="4"/>
  <c r="P21" i="4"/>
  <c r="O21" i="4"/>
  <c r="N21" i="4"/>
  <c r="G21" i="4"/>
  <c r="F21" i="4"/>
  <c r="AD20" i="4" a="1"/>
  <c r="AD20" i="4" s="1"/>
  <c r="AC20" i="4"/>
  <c r="AB20" i="4"/>
  <c r="AA20" i="4"/>
  <c r="Z20" i="4"/>
  <c r="Y20" i="4"/>
  <c r="U20" i="4"/>
  <c r="T20" i="4"/>
  <c r="S20" i="4"/>
  <c r="R20" i="4"/>
  <c r="Q20" i="4"/>
  <c r="P20" i="4"/>
  <c r="O20" i="4"/>
  <c r="N20" i="4"/>
  <c r="G20" i="4"/>
  <c r="F20" i="4"/>
  <c r="AD19" i="4" a="1"/>
  <c r="AD19" i="4" s="1"/>
  <c r="AC19" i="4"/>
  <c r="AB19" i="4"/>
  <c r="AA19" i="4"/>
  <c r="Z19" i="4"/>
  <c r="Y19" i="4"/>
  <c r="U19" i="4"/>
  <c r="T19" i="4"/>
  <c r="S19" i="4"/>
  <c r="R19" i="4"/>
  <c r="Q19" i="4"/>
  <c r="P19" i="4"/>
  <c r="O19" i="4"/>
  <c r="N19" i="4"/>
  <c r="G19" i="4"/>
  <c r="F19" i="4"/>
  <c r="AD18" i="4" a="1"/>
  <c r="AD18" i="4" s="1"/>
  <c r="X18" i="4" s="1"/>
  <c r="AC18" i="4"/>
  <c r="AB18" i="4"/>
  <c r="AA18" i="4"/>
  <c r="Z18" i="4"/>
  <c r="Y18" i="4"/>
  <c r="U18" i="4"/>
  <c r="T18" i="4"/>
  <c r="S18" i="4"/>
  <c r="R18" i="4"/>
  <c r="Q18" i="4"/>
  <c r="P18" i="4"/>
  <c r="O18" i="4"/>
  <c r="N18" i="4"/>
  <c r="G18" i="4"/>
  <c r="F18" i="4"/>
  <c r="AD16" i="4" a="1"/>
  <c r="AD16" i="4" s="1"/>
  <c r="AC16" i="4"/>
  <c r="Y16" i="4"/>
  <c r="U16" i="4"/>
  <c r="T16" i="4"/>
  <c r="Q16" i="4"/>
  <c r="P16" i="4"/>
  <c r="L16" i="4"/>
  <c r="G16" i="4"/>
  <c r="AD15" i="4" a="1"/>
  <c r="AD15" i="4" s="1"/>
  <c r="X15" i="4" s="1"/>
  <c r="AC15" i="4"/>
  <c r="Y15" i="4"/>
  <c r="U15" i="4"/>
  <c r="Q15" i="4"/>
  <c r="P15" i="4"/>
  <c r="L15" i="4"/>
  <c r="G15" i="4"/>
  <c r="K15" i="4" s="1"/>
  <c r="S15" i="4" s="1"/>
  <c r="F15" i="4"/>
  <c r="N15" i="4" s="1"/>
  <c r="AD14" i="4" a="1"/>
  <c r="AD14" i="4" s="1"/>
  <c r="AC14" i="4"/>
  <c r="Y14" i="4"/>
  <c r="U14" i="4"/>
  <c r="T14" i="4"/>
  <c r="Q14" i="4"/>
  <c r="P14" i="4"/>
  <c r="L14" i="4"/>
  <c r="K14" i="4"/>
  <c r="G14" i="4"/>
  <c r="F14" i="4"/>
  <c r="J14" i="4" s="1"/>
  <c r="R14" i="4" s="1"/>
  <c r="AD13" i="4" a="1"/>
  <c r="AD13" i="4" s="1"/>
  <c r="X13" i="4" s="1"/>
  <c r="AC13" i="4"/>
  <c r="Y13" i="4"/>
  <c r="U13" i="4"/>
  <c r="Q13" i="4"/>
  <c r="P13" i="4"/>
  <c r="O13" i="4"/>
  <c r="L13" i="4"/>
  <c r="T13" i="4" s="1"/>
  <c r="K13" i="4"/>
  <c r="S13" i="4" s="1"/>
  <c r="J13" i="4"/>
  <c r="G13" i="4"/>
  <c r="F13" i="4"/>
  <c r="AD12" i="4" a="1"/>
  <c r="AD12" i="4" s="1"/>
  <c r="AC12" i="4"/>
  <c r="Y12" i="4"/>
  <c r="U12" i="4"/>
  <c r="T12" i="4"/>
  <c r="Q12" i="4"/>
  <c r="P12" i="4"/>
  <c r="O12" i="4"/>
  <c r="L12" i="4"/>
  <c r="J12" i="4"/>
  <c r="G12" i="4"/>
  <c r="F12" i="4" s="1"/>
  <c r="AD11" i="4" a="1"/>
  <c r="AD11" i="4" s="1"/>
  <c r="X11" i="4" s="1"/>
  <c r="AC11" i="4"/>
  <c r="Y11" i="4"/>
  <c r="U11" i="4"/>
  <c r="S11" i="4"/>
  <c r="Q11" i="4"/>
  <c r="P11" i="4"/>
  <c r="O11" i="4"/>
  <c r="L11" i="4"/>
  <c r="G11" i="4"/>
  <c r="K11" i="4" s="1"/>
  <c r="F11" i="4"/>
  <c r="J11" i="4" s="1"/>
  <c r="AD10" i="4" a="1"/>
  <c r="AD10" i="4" s="1"/>
  <c r="AC10" i="4"/>
  <c r="Y10" i="4"/>
  <c r="U10" i="4"/>
  <c r="Q10" i="4"/>
  <c r="P10" i="4"/>
  <c r="L10" i="4"/>
  <c r="T10" i="4" s="1"/>
  <c r="K10" i="4"/>
  <c r="G10" i="4"/>
  <c r="AD9" i="4" a="1"/>
  <c r="AD9" i="4" s="1"/>
  <c r="AB9" i="4" s="1"/>
  <c r="AC9" i="4"/>
  <c r="Y9" i="4"/>
  <c r="U9" i="4"/>
  <c r="T9" i="4"/>
  <c r="S9" i="4"/>
  <c r="Q9" i="4"/>
  <c r="P9" i="4"/>
  <c r="L9" i="4"/>
  <c r="G9" i="4"/>
  <c r="K9" i="4" s="1"/>
  <c r="F9" i="4"/>
  <c r="Q47" i="3"/>
  <c r="P47" i="3"/>
  <c r="O47" i="3"/>
  <c r="N47" i="3"/>
  <c r="M47" i="3"/>
  <c r="L47" i="3"/>
  <c r="K47" i="3"/>
  <c r="J47" i="3"/>
  <c r="Q46" i="3"/>
  <c r="P46" i="3"/>
  <c r="O46" i="3"/>
  <c r="N46" i="3"/>
  <c r="M46" i="3"/>
  <c r="L46" i="3"/>
  <c r="K46" i="3"/>
  <c r="J46" i="3"/>
  <c r="Q45" i="3"/>
  <c r="P45" i="3"/>
  <c r="O45" i="3"/>
  <c r="N45" i="3"/>
  <c r="M45" i="3"/>
  <c r="L45" i="3"/>
  <c r="K45" i="3"/>
  <c r="J45" i="3"/>
  <c r="Q44" i="3"/>
  <c r="P44" i="3"/>
  <c r="O44" i="3"/>
  <c r="N44" i="3"/>
  <c r="M44" i="3"/>
  <c r="L44" i="3"/>
  <c r="K44" i="3"/>
  <c r="J44" i="3"/>
  <c r="Q43" i="3"/>
  <c r="P43" i="3"/>
  <c r="O43" i="3"/>
  <c r="N43" i="3"/>
  <c r="M43" i="3"/>
  <c r="L43" i="3"/>
  <c r="K43" i="3"/>
  <c r="J43" i="3"/>
  <c r="Q42" i="3"/>
  <c r="P42" i="3"/>
  <c r="O42" i="3"/>
  <c r="N42" i="3"/>
  <c r="M42" i="3"/>
  <c r="L42" i="3"/>
  <c r="K42" i="3"/>
  <c r="J42" i="3"/>
  <c r="Q34" i="3"/>
  <c r="P34" i="3"/>
  <c r="O34" i="3"/>
  <c r="N34" i="3"/>
  <c r="M34" i="3"/>
  <c r="L34" i="3"/>
  <c r="K34" i="3"/>
  <c r="J34" i="3"/>
  <c r="Q33" i="3"/>
  <c r="P33" i="3"/>
  <c r="O33" i="3"/>
  <c r="N33" i="3"/>
  <c r="M33" i="3"/>
  <c r="L33" i="3"/>
  <c r="K33" i="3"/>
  <c r="J33" i="3"/>
  <c r="Q32" i="3"/>
  <c r="P32" i="3"/>
  <c r="O32" i="3"/>
  <c r="N32" i="3"/>
  <c r="M32" i="3"/>
  <c r="L32" i="3"/>
  <c r="K32" i="3"/>
  <c r="J32" i="3"/>
  <c r="Q29" i="3"/>
  <c r="P29" i="3"/>
  <c r="O29" i="3"/>
  <c r="N29" i="3"/>
  <c r="M29" i="3"/>
  <c r="L29" i="3"/>
  <c r="K29" i="3"/>
  <c r="J29" i="3"/>
  <c r="Q28" i="3"/>
  <c r="P28" i="3"/>
  <c r="O28" i="3"/>
  <c r="N28" i="3"/>
  <c r="M28" i="3"/>
  <c r="L28" i="3"/>
  <c r="K28" i="3"/>
  <c r="J28" i="3"/>
  <c r="G28" i="3"/>
  <c r="Q27" i="3"/>
  <c r="P27" i="3"/>
  <c r="O27" i="3"/>
  <c r="N27" i="3"/>
  <c r="M27" i="3"/>
  <c r="L27" i="3"/>
  <c r="K27" i="3"/>
  <c r="J27" i="3"/>
  <c r="G27" i="3"/>
  <c r="Q26" i="3"/>
  <c r="P26" i="3"/>
  <c r="O26" i="3"/>
  <c r="N26" i="3"/>
  <c r="M26" i="3"/>
  <c r="L26" i="3"/>
  <c r="K26" i="3"/>
  <c r="J26" i="3"/>
  <c r="Q25" i="3"/>
  <c r="P25" i="3"/>
  <c r="O25" i="3"/>
  <c r="N25" i="3"/>
  <c r="M25" i="3"/>
  <c r="L25" i="3"/>
  <c r="K25" i="3"/>
  <c r="J25" i="3"/>
  <c r="Q24" i="3"/>
  <c r="P24" i="3"/>
  <c r="O24" i="3"/>
  <c r="N24" i="3"/>
  <c r="M24" i="3"/>
  <c r="L24" i="3"/>
  <c r="K24" i="3"/>
  <c r="J24" i="3"/>
  <c r="Q23" i="3"/>
  <c r="P23" i="3"/>
  <c r="O23" i="3"/>
  <c r="N23" i="3"/>
  <c r="M23" i="3"/>
  <c r="L23" i="3"/>
  <c r="K23" i="3"/>
  <c r="J23" i="3"/>
  <c r="Q22" i="3"/>
  <c r="P22" i="3"/>
  <c r="O22" i="3"/>
  <c r="N22" i="3"/>
  <c r="M22" i="3"/>
  <c r="L22" i="3"/>
  <c r="K22" i="3"/>
  <c r="J22" i="3"/>
  <c r="Q18" i="3"/>
  <c r="P18" i="3"/>
  <c r="M18" i="3"/>
  <c r="L18" i="3"/>
  <c r="H18" i="3"/>
  <c r="G18" i="3"/>
  <c r="Q17" i="3"/>
  <c r="P17" i="3"/>
  <c r="M17" i="3"/>
  <c r="L17" i="3"/>
  <c r="K17" i="3"/>
  <c r="H17" i="3"/>
  <c r="G17" i="3"/>
  <c r="O17" i="3" s="1"/>
  <c r="Q16" i="3"/>
  <c r="P16" i="3"/>
  <c r="O16" i="3"/>
  <c r="N16" i="3"/>
  <c r="M16" i="3"/>
  <c r="L16" i="3"/>
  <c r="K16" i="3"/>
  <c r="J16" i="3"/>
  <c r="Q15" i="3"/>
  <c r="P15" i="3"/>
  <c r="O15" i="3"/>
  <c r="N15" i="3"/>
  <c r="L15" i="3"/>
  <c r="K15" i="3"/>
  <c r="J15" i="3"/>
  <c r="Q13" i="3"/>
  <c r="P13" i="3"/>
  <c r="O13" i="3"/>
  <c r="M13" i="3"/>
  <c r="L13" i="3"/>
  <c r="K13" i="3"/>
  <c r="H13" i="3"/>
  <c r="G13" i="3"/>
  <c r="F13" i="3"/>
  <c r="N13" i="3" s="1"/>
  <c r="Q12" i="3"/>
  <c r="P12" i="3"/>
  <c r="O12" i="3"/>
  <c r="N12" i="3"/>
  <c r="M12" i="3"/>
  <c r="L12" i="3"/>
  <c r="K12" i="3"/>
  <c r="J12" i="3"/>
  <c r="Q11" i="3"/>
  <c r="M11" i="3"/>
  <c r="H11" i="3"/>
  <c r="Q10" i="3"/>
  <c r="P10" i="3"/>
  <c r="M10" i="3"/>
  <c r="L10" i="3"/>
  <c r="H10" i="3"/>
  <c r="G10" i="3"/>
  <c r="Q9" i="3"/>
  <c r="P9" i="3"/>
  <c r="M9" i="3"/>
  <c r="L9" i="3"/>
  <c r="K9" i="3"/>
  <c r="H9" i="3"/>
  <c r="G9" i="3"/>
  <c r="O9" i="3" s="1"/>
  <c r="Q8" i="3"/>
  <c r="P8" i="3"/>
  <c r="O8" i="3"/>
  <c r="N8" i="3"/>
  <c r="M8" i="3"/>
  <c r="L8" i="3"/>
  <c r="K8" i="3"/>
  <c r="J8" i="3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E1545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A1493" i="1"/>
  <c r="E1492" i="1"/>
  <c r="D1492" i="1"/>
  <c r="C1492" i="1"/>
  <c r="B1492" i="1"/>
  <c r="A1492" i="1"/>
  <c r="E1491" i="1"/>
  <c r="D1491" i="1"/>
  <c r="C1491" i="1"/>
  <c r="B1491" i="1"/>
  <c r="A1491" i="1"/>
  <c r="E1490" i="1"/>
  <c r="D1490" i="1"/>
  <c r="C1490" i="1"/>
  <c r="B1490" i="1"/>
  <c r="A1490" i="1"/>
  <c r="E1489" i="1"/>
  <c r="D1489" i="1"/>
  <c r="C1489" i="1"/>
  <c r="B1489" i="1"/>
  <c r="A1489" i="1"/>
  <c r="E1488" i="1"/>
  <c r="D1488" i="1"/>
  <c r="C1488" i="1"/>
  <c r="B1488" i="1"/>
  <c r="A1488" i="1"/>
  <c r="E1487" i="1"/>
  <c r="D1487" i="1"/>
  <c r="C1487" i="1"/>
  <c r="B1487" i="1"/>
  <c r="A1487" i="1"/>
  <c r="E1486" i="1"/>
  <c r="D1486" i="1"/>
  <c r="C1486" i="1"/>
  <c r="B1486" i="1"/>
  <c r="A1486" i="1"/>
  <c r="E1485" i="1"/>
  <c r="D1485" i="1"/>
  <c r="C1485" i="1"/>
  <c r="B1485" i="1"/>
  <c r="A1485" i="1"/>
  <c r="E1484" i="1"/>
  <c r="D1484" i="1"/>
  <c r="C1484" i="1"/>
  <c r="B1484" i="1"/>
  <c r="A1484" i="1"/>
  <c r="E1483" i="1"/>
  <c r="D1483" i="1"/>
  <c r="C1483" i="1"/>
  <c r="B1483" i="1"/>
  <c r="A1483" i="1"/>
  <c r="E1482" i="1"/>
  <c r="D1482" i="1"/>
  <c r="C1482" i="1"/>
  <c r="B1482" i="1"/>
  <c r="A1482" i="1"/>
  <c r="E1481" i="1"/>
  <c r="D1481" i="1"/>
  <c r="C1481" i="1"/>
  <c r="B1481" i="1"/>
  <c r="A1481" i="1"/>
  <c r="E1480" i="1"/>
  <c r="D1480" i="1"/>
  <c r="C1480" i="1"/>
  <c r="B1480" i="1"/>
  <c r="A1480" i="1"/>
  <c r="E1479" i="1"/>
  <c r="D1479" i="1"/>
  <c r="C1479" i="1"/>
  <c r="B1479" i="1"/>
  <c r="A1479" i="1"/>
  <c r="E1478" i="1"/>
  <c r="D1478" i="1"/>
  <c r="C1478" i="1"/>
  <c r="B1478" i="1"/>
  <c r="A1478" i="1"/>
  <c r="E1477" i="1"/>
  <c r="D1477" i="1"/>
  <c r="C1477" i="1"/>
  <c r="B1477" i="1"/>
  <c r="A1477" i="1"/>
  <c r="E1476" i="1"/>
  <c r="D1476" i="1"/>
  <c r="C1476" i="1"/>
  <c r="B1476" i="1"/>
  <c r="A1476" i="1"/>
  <c r="E1475" i="1"/>
  <c r="D1475" i="1"/>
  <c r="C1475" i="1"/>
  <c r="B1475" i="1"/>
  <c r="A1475" i="1"/>
  <c r="E1474" i="1"/>
  <c r="D1474" i="1"/>
  <c r="C1474" i="1"/>
  <c r="B1474" i="1"/>
  <c r="A1474" i="1"/>
  <c r="E1473" i="1"/>
  <c r="D1473" i="1"/>
  <c r="C1473" i="1"/>
  <c r="B1473" i="1"/>
  <c r="A1473" i="1"/>
  <c r="E1472" i="1"/>
  <c r="D1472" i="1"/>
  <c r="C1472" i="1"/>
  <c r="B1472" i="1"/>
  <c r="A1472" i="1"/>
  <c r="E1471" i="1"/>
  <c r="D1471" i="1"/>
  <c r="C1471" i="1"/>
  <c r="B1471" i="1"/>
  <c r="A1471" i="1"/>
  <c r="E1470" i="1"/>
  <c r="D1470" i="1"/>
  <c r="C1470" i="1"/>
  <c r="B1470" i="1"/>
  <c r="A1470" i="1"/>
  <c r="E1469" i="1"/>
  <c r="D1469" i="1"/>
  <c r="C1469" i="1"/>
  <c r="B1469" i="1"/>
  <c r="A1469" i="1"/>
  <c r="E1468" i="1"/>
  <c r="D1468" i="1"/>
  <c r="C1468" i="1"/>
  <c r="B1468" i="1"/>
  <c r="A1468" i="1"/>
  <c r="E1467" i="1"/>
  <c r="D1467" i="1"/>
  <c r="C1467" i="1"/>
  <c r="B1467" i="1"/>
  <c r="A1467" i="1"/>
  <c r="E1466" i="1"/>
  <c r="D1466" i="1"/>
  <c r="C1466" i="1"/>
  <c r="B1466" i="1"/>
  <c r="A1466" i="1"/>
  <c r="E1465" i="1"/>
  <c r="D1465" i="1"/>
  <c r="C1465" i="1"/>
  <c r="B1465" i="1"/>
  <c r="A1465" i="1"/>
  <c r="E1464" i="1"/>
  <c r="D1464" i="1"/>
  <c r="C1464" i="1"/>
  <c r="B1464" i="1"/>
  <c r="A1464" i="1"/>
  <c r="E1463" i="1"/>
  <c r="D1463" i="1"/>
  <c r="C1463" i="1"/>
  <c r="B1463" i="1"/>
  <c r="A1463" i="1"/>
  <c r="E1462" i="1"/>
  <c r="D1462" i="1"/>
  <c r="C1462" i="1"/>
  <c r="B1462" i="1"/>
  <c r="A1462" i="1"/>
  <c r="E1461" i="1"/>
  <c r="D1461" i="1"/>
  <c r="C1461" i="1"/>
  <c r="B1461" i="1"/>
  <c r="A1461" i="1"/>
  <c r="E1460" i="1"/>
  <c r="D1460" i="1"/>
  <c r="C1460" i="1"/>
  <c r="B1460" i="1"/>
  <c r="A1460" i="1"/>
  <c r="E1459" i="1"/>
  <c r="D1459" i="1"/>
  <c r="C1459" i="1"/>
  <c r="B1459" i="1"/>
  <c r="A1459" i="1"/>
  <c r="E1458" i="1"/>
  <c r="D1458" i="1"/>
  <c r="C1458" i="1"/>
  <c r="B1458" i="1"/>
  <c r="A1458" i="1"/>
  <c r="E1457" i="1"/>
  <c r="D1457" i="1"/>
  <c r="C1457" i="1"/>
  <c r="B1457" i="1"/>
  <c r="A1457" i="1"/>
  <c r="E1456" i="1"/>
  <c r="D1456" i="1"/>
  <c r="C1456" i="1"/>
  <c r="B1456" i="1"/>
  <c r="A1456" i="1"/>
  <c r="E1455" i="1"/>
  <c r="D1455" i="1"/>
  <c r="C1455" i="1"/>
  <c r="B1455" i="1"/>
  <c r="A1455" i="1"/>
  <c r="E1454" i="1"/>
  <c r="D1454" i="1"/>
  <c r="C1454" i="1"/>
  <c r="B1454" i="1"/>
  <c r="A1454" i="1"/>
  <c r="E1453" i="1"/>
  <c r="D1453" i="1"/>
  <c r="C1453" i="1"/>
  <c r="B1453" i="1"/>
  <c r="A1453" i="1"/>
  <c r="E1452" i="1"/>
  <c r="D1452" i="1"/>
  <c r="C1452" i="1"/>
  <c r="B1452" i="1"/>
  <c r="A1452" i="1"/>
  <c r="E1451" i="1"/>
  <c r="D1451" i="1"/>
  <c r="C1451" i="1"/>
  <c r="B1451" i="1"/>
  <c r="A1451" i="1"/>
  <c r="E1450" i="1"/>
  <c r="D1450" i="1"/>
  <c r="C1450" i="1"/>
  <c r="B1450" i="1"/>
  <c r="A1450" i="1"/>
  <c r="E1449" i="1"/>
  <c r="D1449" i="1"/>
  <c r="C1449" i="1"/>
  <c r="B1449" i="1"/>
  <c r="A1449" i="1"/>
  <c r="E1448" i="1"/>
  <c r="D1448" i="1"/>
  <c r="C1448" i="1"/>
  <c r="B1448" i="1"/>
  <c r="A1448" i="1"/>
  <c r="E1447" i="1"/>
  <c r="D1447" i="1"/>
  <c r="C1447" i="1"/>
  <c r="B1447" i="1"/>
  <c r="A1447" i="1"/>
  <c r="E1446" i="1"/>
  <c r="D1446" i="1"/>
  <c r="C1446" i="1"/>
  <c r="B1446" i="1"/>
  <c r="A1446" i="1"/>
  <c r="E1445" i="1"/>
  <c r="D1445" i="1"/>
  <c r="C1445" i="1"/>
  <c r="B1445" i="1"/>
  <c r="A1445" i="1"/>
  <c r="E1444" i="1"/>
  <c r="D1444" i="1"/>
  <c r="C1444" i="1"/>
  <c r="B1444" i="1"/>
  <c r="A1444" i="1"/>
  <c r="E1443" i="1"/>
  <c r="D1443" i="1"/>
  <c r="C1443" i="1"/>
  <c r="B1443" i="1"/>
  <c r="A1443" i="1"/>
  <c r="E1442" i="1"/>
  <c r="D1442" i="1"/>
  <c r="C1442" i="1"/>
  <c r="B1442" i="1"/>
  <c r="A1442" i="1"/>
  <c r="E1441" i="1"/>
  <c r="D1441" i="1"/>
  <c r="C1441" i="1"/>
  <c r="B1441" i="1"/>
  <c r="A1441" i="1"/>
  <c r="E1440" i="1"/>
  <c r="D1440" i="1"/>
  <c r="C1440" i="1"/>
  <c r="B1440" i="1"/>
  <c r="A1440" i="1"/>
  <c r="E1439" i="1"/>
  <c r="D1439" i="1"/>
  <c r="C1439" i="1"/>
  <c r="B1439" i="1"/>
  <c r="A1439" i="1"/>
  <c r="E1438" i="1"/>
  <c r="D1438" i="1"/>
  <c r="C1438" i="1"/>
  <c r="B1438" i="1"/>
  <c r="A1438" i="1"/>
  <c r="E1437" i="1"/>
  <c r="D1437" i="1"/>
  <c r="C1437" i="1"/>
  <c r="B1437" i="1"/>
  <c r="A1437" i="1"/>
  <c r="E1436" i="1"/>
  <c r="D1436" i="1"/>
  <c r="C1436" i="1"/>
  <c r="B1436" i="1"/>
  <c r="A1436" i="1"/>
  <c r="E1435" i="1"/>
  <c r="D1435" i="1"/>
  <c r="C1435" i="1"/>
  <c r="B1435" i="1"/>
  <c r="A1435" i="1"/>
  <c r="E1434" i="1"/>
  <c r="D1434" i="1"/>
  <c r="C1434" i="1"/>
  <c r="B1434" i="1"/>
  <c r="A1434" i="1"/>
  <c r="E1433" i="1"/>
  <c r="D1433" i="1"/>
  <c r="C1433" i="1"/>
  <c r="B1433" i="1"/>
  <c r="A1433" i="1"/>
  <c r="E1432" i="1"/>
  <c r="D1432" i="1"/>
  <c r="C1432" i="1"/>
  <c r="B1432" i="1"/>
  <c r="A1432" i="1"/>
  <c r="E1431" i="1"/>
  <c r="D1431" i="1"/>
  <c r="C1431" i="1"/>
  <c r="B1431" i="1"/>
  <c r="A1431" i="1"/>
  <c r="E1430" i="1"/>
  <c r="D1430" i="1"/>
  <c r="C1430" i="1"/>
  <c r="B1430" i="1"/>
  <c r="A1430" i="1"/>
  <c r="E1429" i="1"/>
  <c r="D1429" i="1"/>
  <c r="C1429" i="1"/>
  <c r="B1429" i="1"/>
  <c r="A1429" i="1"/>
  <c r="E1428" i="1"/>
  <c r="D1428" i="1"/>
  <c r="C1428" i="1"/>
  <c r="B1428" i="1"/>
  <c r="A1428" i="1"/>
  <c r="E1427" i="1"/>
  <c r="D1427" i="1"/>
  <c r="C1427" i="1"/>
  <c r="B1427" i="1"/>
  <c r="A1427" i="1"/>
  <c r="E1426" i="1"/>
  <c r="D1426" i="1"/>
  <c r="C1426" i="1"/>
  <c r="B1426" i="1"/>
  <c r="A1426" i="1"/>
  <c r="E1425" i="1"/>
  <c r="D1425" i="1"/>
  <c r="C1425" i="1"/>
  <c r="B1425" i="1"/>
  <c r="A1425" i="1"/>
  <c r="E1424" i="1"/>
  <c r="D1424" i="1"/>
  <c r="C1424" i="1"/>
  <c r="B1424" i="1"/>
  <c r="A1424" i="1"/>
  <c r="E1423" i="1"/>
  <c r="D1423" i="1"/>
  <c r="C1423" i="1"/>
  <c r="B1423" i="1"/>
  <c r="A1423" i="1"/>
  <c r="E1422" i="1"/>
  <c r="D1422" i="1"/>
  <c r="C1422" i="1"/>
  <c r="B1422" i="1"/>
  <c r="A1422" i="1"/>
  <c r="E1421" i="1"/>
  <c r="D1421" i="1"/>
  <c r="C1421" i="1"/>
  <c r="B1421" i="1"/>
  <c r="A1421" i="1"/>
  <c r="E1420" i="1"/>
  <c r="D1420" i="1"/>
  <c r="C1420" i="1"/>
  <c r="B1420" i="1"/>
  <c r="A1420" i="1"/>
  <c r="E1419" i="1"/>
  <c r="D1419" i="1"/>
  <c r="C1419" i="1"/>
  <c r="B1419" i="1"/>
  <c r="A1419" i="1"/>
  <c r="E1418" i="1"/>
  <c r="D1418" i="1"/>
  <c r="C1418" i="1"/>
  <c r="B1418" i="1"/>
  <c r="A1418" i="1"/>
  <c r="E1417" i="1"/>
  <c r="D1417" i="1"/>
  <c r="C1417" i="1"/>
  <c r="B1417" i="1"/>
  <c r="A1417" i="1"/>
  <c r="E1416" i="1"/>
  <c r="D1416" i="1"/>
  <c r="C1416" i="1"/>
  <c r="B1416" i="1"/>
  <c r="A1416" i="1"/>
  <c r="E1415" i="1"/>
  <c r="D1415" i="1"/>
  <c r="C1415" i="1"/>
  <c r="B1415" i="1"/>
  <c r="A1415" i="1"/>
  <c r="E1414" i="1"/>
  <c r="D1414" i="1"/>
  <c r="C1414" i="1"/>
  <c r="B1414" i="1"/>
  <c r="A1414" i="1"/>
  <c r="E1413" i="1"/>
  <c r="D1413" i="1"/>
  <c r="C1413" i="1"/>
  <c r="B1413" i="1"/>
  <c r="A1413" i="1"/>
  <c r="E1412" i="1"/>
  <c r="D1412" i="1"/>
  <c r="C1412" i="1"/>
  <c r="B1412" i="1"/>
  <c r="A1412" i="1"/>
  <c r="E1411" i="1"/>
  <c r="D1411" i="1"/>
  <c r="C1411" i="1"/>
  <c r="B1411" i="1"/>
  <c r="A1411" i="1"/>
  <c r="E1410" i="1"/>
  <c r="D1410" i="1"/>
  <c r="C1410" i="1"/>
  <c r="B1410" i="1"/>
  <c r="A1410" i="1"/>
  <c r="E1409" i="1"/>
  <c r="D1409" i="1"/>
  <c r="C1409" i="1"/>
  <c r="B1409" i="1"/>
  <c r="A1409" i="1"/>
  <c r="E1408" i="1"/>
  <c r="D1408" i="1"/>
  <c r="C1408" i="1"/>
  <c r="B1408" i="1"/>
  <c r="A1408" i="1"/>
  <c r="E1407" i="1"/>
  <c r="D1407" i="1"/>
  <c r="C1407" i="1"/>
  <c r="B1407" i="1"/>
  <c r="A1407" i="1"/>
  <c r="E1406" i="1"/>
  <c r="D1406" i="1"/>
  <c r="C1406" i="1"/>
  <c r="B1406" i="1"/>
  <c r="A1406" i="1"/>
  <c r="E1405" i="1"/>
  <c r="D1405" i="1"/>
  <c r="C1405" i="1"/>
  <c r="B1405" i="1"/>
  <c r="A1405" i="1"/>
  <c r="E1404" i="1"/>
  <c r="D1404" i="1"/>
  <c r="C1404" i="1"/>
  <c r="B1404" i="1"/>
  <c r="A1404" i="1"/>
  <c r="E1403" i="1"/>
  <c r="D1403" i="1"/>
  <c r="C1403" i="1"/>
  <c r="B1403" i="1"/>
  <c r="A1403" i="1"/>
  <c r="E1402" i="1"/>
  <c r="D1402" i="1"/>
  <c r="C1402" i="1"/>
  <c r="B1402" i="1"/>
  <c r="A1402" i="1"/>
  <c r="E1401" i="1"/>
  <c r="D1401" i="1"/>
  <c r="C1401" i="1"/>
  <c r="B1401" i="1"/>
  <c r="A1401" i="1"/>
  <c r="E1400" i="1"/>
  <c r="D1400" i="1"/>
  <c r="C1400" i="1"/>
  <c r="B1400" i="1"/>
  <c r="A1400" i="1"/>
  <c r="E1399" i="1"/>
  <c r="D1399" i="1"/>
  <c r="C1399" i="1"/>
  <c r="B1399" i="1"/>
  <c r="A1399" i="1"/>
  <c r="E1398" i="1"/>
  <c r="D1398" i="1"/>
  <c r="C1398" i="1"/>
  <c r="B1398" i="1"/>
  <c r="A1398" i="1"/>
  <c r="E1397" i="1"/>
  <c r="D1397" i="1"/>
  <c r="C1397" i="1"/>
  <c r="B1397" i="1"/>
  <c r="A1397" i="1"/>
  <c r="E1396" i="1"/>
  <c r="D1396" i="1"/>
  <c r="C1396" i="1"/>
  <c r="B1396" i="1"/>
  <c r="A1396" i="1"/>
  <c r="E1395" i="1"/>
  <c r="D1395" i="1"/>
  <c r="C1395" i="1"/>
  <c r="B1395" i="1"/>
  <c r="A1395" i="1"/>
  <c r="E1394" i="1"/>
  <c r="D1394" i="1"/>
  <c r="C1394" i="1"/>
  <c r="B1394" i="1"/>
  <c r="A1394" i="1"/>
  <c r="E1393" i="1"/>
  <c r="D1393" i="1"/>
  <c r="C1393" i="1"/>
  <c r="B1393" i="1"/>
  <c r="A1393" i="1"/>
  <c r="E1392" i="1"/>
  <c r="D1392" i="1"/>
  <c r="C1392" i="1"/>
  <c r="B1392" i="1"/>
  <c r="A1392" i="1"/>
  <c r="E1391" i="1"/>
  <c r="D1391" i="1"/>
  <c r="C1391" i="1"/>
  <c r="B1391" i="1"/>
  <c r="A1391" i="1"/>
  <c r="E1390" i="1"/>
  <c r="D1390" i="1"/>
  <c r="C1390" i="1"/>
  <c r="B1390" i="1"/>
  <c r="A1390" i="1"/>
  <c r="E1389" i="1"/>
  <c r="D1389" i="1"/>
  <c r="C1389" i="1"/>
  <c r="B1389" i="1"/>
  <c r="A1389" i="1"/>
  <c r="E1388" i="1"/>
  <c r="D1388" i="1"/>
  <c r="C1388" i="1"/>
  <c r="B1388" i="1"/>
  <c r="A1388" i="1"/>
  <c r="E1387" i="1"/>
  <c r="D1387" i="1"/>
  <c r="C1387" i="1"/>
  <c r="B1387" i="1"/>
  <c r="A1387" i="1"/>
  <c r="E1386" i="1"/>
  <c r="D1386" i="1"/>
  <c r="C1386" i="1"/>
  <c r="B1386" i="1"/>
  <c r="A1386" i="1"/>
  <c r="E1385" i="1"/>
  <c r="D1385" i="1"/>
  <c r="C1385" i="1"/>
  <c r="B1385" i="1"/>
  <c r="A1385" i="1"/>
  <c r="E1384" i="1"/>
  <c r="D1384" i="1"/>
  <c r="C1384" i="1"/>
  <c r="B1384" i="1"/>
  <c r="A1384" i="1"/>
  <c r="E1383" i="1"/>
  <c r="D1383" i="1"/>
  <c r="C1383" i="1"/>
  <c r="B1383" i="1"/>
  <c r="A1383" i="1"/>
  <c r="E1382" i="1"/>
  <c r="D1382" i="1"/>
  <c r="C1382" i="1"/>
  <c r="B1382" i="1"/>
  <c r="A1382" i="1"/>
  <c r="E1381" i="1"/>
  <c r="D1381" i="1"/>
  <c r="C1381" i="1"/>
  <c r="B1381" i="1"/>
  <c r="A1381" i="1"/>
  <c r="E1380" i="1"/>
  <c r="D1380" i="1"/>
  <c r="C1380" i="1"/>
  <c r="B1380" i="1"/>
  <c r="A1380" i="1"/>
  <c r="E1379" i="1"/>
  <c r="D1379" i="1"/>
  <c r="C1379" i="1"/>
  <c r="B1379" i="1"/>
  <c r="A1379" i="1"/>
  <c r="E1378" i="1"/>
  <c r="D1378" i="1"/>
  <c r="C1378" i="1"/>
  <c r="B1378" i="1"/>
  <c r="A1378" i="1"/>
  <c r="E1377" i="1"/>
  <c r="D1377" i="1"/>
  <c r="C1377" i="1"/>
  <c r="B1377" i="1"/>
  <c r="A1377" i="1"/>
  <c r="E1376" i="1"/>
  <c r="D1376" i="1"/>
  <c r="C1376" i="1"/>
  <c r="B1376" i="1"/>
  <c r="A1376" i="1"/>
  <c r="E1375" i="1"/>
  <c r="D1375" i="1"/>
  <c r="C1375" i="1"/>
  <c r="B1375" i="1"/>
  <c r="A1375" i="1"/>
  <c r="E1374" i="1"/>
  <c r="D1374" i="1"/>
  <c r="C1374" i="1"/>
  <c r="B1374" i="1"/>
  <c r="A1374" i="1"/>
  <c r="E1373" i="1"/>
  <c r="D1373" i="1"/>
  <c r="C1373" i="1"/>
  <c r="B1373" i="1"/>
  <c r="A1373" i="1"/>
  <c r="E1372" i="1"/>
  <c r="D1372" i="1"/>
  <c r="C1372" i="1"/>
  <c r="B1372" i="1"/>
  <c r="A1372" i="1"/>
  <c r="E1371" i="1"/>
  <c r="D1371" i="1"/>
  <c r="C1371" i="1"/>
  <c r="B1371" i="1"/>
  <c r="A1371" i="1"/>
  <c r="E1370" i="1"/>
  <c r="D1370" i="1"/>
  <c r="C1370" i="1"/>
  <c r="B1370" i="1"/>
  <c r="A1370" i="1"/>
  <c r="E1369" i="1"/>
  <c r="D1369" i="1"/>
  <c r="C1369" i="1"/>
  <c r="B1369" i="1"/>
  <c r="A1369" i="1"/>
  <c r="E1368" i="1"/>
  <c r="D1368" i="1"/>
  <c r="C1368" i="1"/>
  <c r="B1368" i="1"/>
  <c r="A1368" i="1"/>
  <c r="E1367" i="1"/>
  <c r="D1367" i="1"/>
  <c r="C1367" i="1"/>
  <c r="B1367" i="1"/>
  <c r="A1367" i="1"/>
  <c r="E1366" i="1"/>
  <c r="D1366" i="1"/>
  <c r="C1366" i="1"/>
  <c r="B1366" i="1"/>
  <c r="A1366" i="1"/>
  <c r="E1365" i="1"/>
  <c r="D1365" i="1"/>
  <c r="C1365" i="1"/>
  <c r="B1365" i="1"/>
  <c r="A1365" i="1"/>
  <c r="E1364" i="1"/>
  <c r="D1364" i="1"/>
  <c r="C1364" i="1"/>
  <c r="B1364" i="1"/>
  <c r="A1364" i="1"/>
  <c r="E1363" i="1"/>
  <c r="D1363" i="1"/>
  <c r="C1363" i="1"/>
  <c r="B1363" i="1"/>
  <c r="A1363" i="1"/>
  <c r="E1362" i="1"/>
  <c r="D1362" i="1"/>
  <c r="C1362" i="1"/>
  <c r="B1362" i="1"/>
  <c r="A1362" i="1"/>
  <c r="E1361" i="1"/>
  <c r="D1361" i="1"/>
  <c r="C1361" i="1"/>
  <c r="B1361" i="1"/>
  <c r="A1361" i="1"/>
  <c r="E1360" i="1"/>
  <c r="D1360" i="1"/>
  <c r="C1360" i="1"/>
  <c r="B1360" i="1"/>
  <c r="A1360" i="1"/>
  <c r="E1359" i="1"/>
  <c r="D1359" i="1"/>
  <c r="C1359" i="1"/>
  <c r="B1359" i="1"/>
  <c r="A1359" i="1"/>
  <c r="E1358" i="1"/>
  <c r="D1358" i="1"/>
  <c r="C1358" i="1"/>
  <c r="B1358" i="1"/>
  <c r="A1358" i="1"/>
  <c r="E1357" i="1"/>
  <c r="D1357" i="1"/>
  <c r="C1357" i="1"/>
  <c r="B1357" i="1"/>
  <c r="A1357" i="1"/>
  <c r="E1356" i="1"/>
  <c r="D1356" i="1"/>
  <c r="C1356" i="1"/>
  <c r="B1356" i="1"/>
  <c r="A1356" i="1"/>
  <c r="E1355" i="1"/>
  <c r="D1355" i="1"/>
  <c r="C1355" i="1"/>
  <c r="B1355" i="1"/>
  <c r="A1355" i="1"/>
  <c r="E1354" i="1"/>
  <c r="D1354" i="1"/>
  <c r="C1354" i="1"/>
  <c r="B1354" i="1"/>
  <c r="A1354" i="1"/>
  <c r="E1353" i="1"/>
  <c r="D1353" i="1"/>
  <c r="C1353" i="1"/>
  <c r="B1353" i="1"/>
  <c r="A1353" i="1"/>
  <c r="E1352" i="1"/>
  <c r="D1352" i="1"/>
  <c r="C1352" i="1"/>
  <c r="B1352" i="1"/>
  <c r="A1352" i="1"/>
  <c r="E1351" i="1"/>
  <c r="D1351" i="1"/>
  <c r="C1351" i="1"/>
  <c r="B1351" i="1"/>
  <c r="A1351" i="1"/>
  <c r="E1350" i="1"/>
  <c r="D1350" i="1"/>
  <c r="C1350" i="1"/>
  <c r="B1350" i="1"/>
  <c r="A1350" i="1"/>
  <c r="E1349" i="1"/>
  <c r="D1349" i="1"/>
  <c r="C1349" i="1"/>
  <c r="B1349" i="1"/>
  <c r="A1349" i="1"/>
  <c r="E1348" i="1"/>
  <c r="D1348" i="1"/>
  <c r="C1348" i="1"/>
  <c r="B1348" i="1"/>
  <c r="A1348" i="1"/>
  <c r="E1347" i="1"/>
  <c r="D1347" i="1"/>
  <c r="C1347" i="1"/>
  <c r="B1347" i="1"/>
  <c r="A1347" i="1"/>
  <c r="E1346" i="1"/>
  <c r="D1346" i="1"/>
  <c r="C1346" i="1"/>
  <c r="B1346" i="1"/>
  <c r="A1346" i="1"/>
  <c r="E1345" i="1"/>
  <c r="D1345" i="1"/>
  <c r="C1345" i="1"/>
  <c r="B1345" i="1"/>
  <c r="A1345" i="1"/>
  <c r="E1344" i="1"/>
  <c r="D1344" i="1"/>
  <c r="C1344" i="1"/>
  <c r="B1344" i="1"/>
  <c r="A1344" i="1"/>
  <c r="E1343" i="1"/>
  <c r="D1343" i="1"/>
  <c r="C1343" i="1"/>
  <c r="B1343" i="1"/>
  <c r="A1343" i="1"/>
  <c r="E1342" i="1"/>
  <c r="D1342" i="1"/>
  <c r="C1342" i="1"/>
  <c r="B1342" i="1"/>
  <c r="A1342" i="1"/>
  <c r="E1341" i="1"/>
  <c r="D1341" i="1"/>
  <c r="C1341" i="1"/>
  <c r="B1341" i="1"/>
  <c r="A1341" i="1"/>
  <c r="E1340" i="1"/>
  <c r="D1340" i="1"/>
  <c r="C1340" i="1"/>
  <c r="B1340" i="1"/>
  <c r="A1340" i="1"/>
  <c r="E1339" i="1"/>
  <c r="D1339" i="1"/>
  <c r="C1339" i="1"/>
  <c r="B1339" i="1"/>
  <c r="A1339" i="1"/>
  <c r="E1338" i="1"/>
  <c r="D1338" i="1"/>
  <c r="C1338" i="1"/>
  <c r="B1338" i="1"/>
  <c r="A1338" i="1"/>
  <c r="E1337" i="1"/>
  <c r="D1337" i="1"/>
  <c r="C1337" i="1"/>
  <c r="B1337" i="1"/>
  <c r="A1337" i="1"/>
  <c r="E1336" i="1"/>
  <c r="D1336" i="1"/>
  <c r="C1336" i="1"/>
  <c r="B1336" i="1"/>
  <c r="A1336" i="1"/>
  <c r="E1335" i="1"/>
  <c r="D1335" i="1"/>
  <c r="C1335" i="1"/>
  <c r="B1335" i="1"/>
  <c r="A1335" i="1"/>
  <c r="E1334" i="1"/>
  <c r="D1334" i="1"/>
  <c r="C1334" i="1"/>
  <c r="B1334" i="1"/>
  <c r="A1334" i="1"/>
  <c r="E1333" i="1"/>
  <c r="D1333" i="1"/>
  <c r="C1333" i="1"/>
  <c r="B1333" i="1"/>
  <c r="A1333" i="1"/>
  <c r="E1332" i="1"/>
  <c r="D1332" i="1"/>
  <c r="C1332" i="1"/>
  <c r="B1332" i="1"/>
  <c r="A1332" i="1"/>
  <c r="E1331" i="1"/>
  <c r="D1331" i="1"/>
  <c r="C1331" i="1"/>
  <c r="B1331" i="1"/>
  <c r="A1331" i="1"/>
  <c r="E1330" i="1"/>
  <c r="D1330" i="1"/>
  <c r="C1330" i="1"/>
  <c r="B1330" i="1"/>
  <c r="A1330" i="1"/>
  <c r="E1329" i="1"/>
  <c r="D1329" i="1"/>
  <c r="C1329" i="1"/>
  <c r="B1329" i="1"/>
  <c r="A1329" i="1"/>
  <c r="E1328" i="1"/>
  <c r="D1328" i="1"/>
  <c r="C1328" i="1"/>
  <c r="B1328" i="1"/>
  <c r="A1328" i="1"/>
  <c r="E1327" i="1"/>
  <c r="D1327" i="1"/>
  <c r="C1327" i="1"/>
  <c r="B1327" i="1"/>
  <c r="A1327" i="1"/>
  <c r="E1326" i="1"/>
  <c r="D1326" i="1"/>
  <c r="C1326" i="1"/>
  <c r="B1326" i="1"/>
  <c r="A1326" i="1"/>
  <c r="E1325" i="1"/>
  <c r="D1325" i="1"/>
  <c r="C1325" i="1"/>
  <c r="B1325" i="1"/>
  <c r="A1325" i="1"/>
  <c r="E1324" i="1"/>
  <c r="D1324" i="1"/>
  <c r="C1324" i="1"/>
  <c r="B1324" i="1"/>
  <c r="A1324" i="1"/>
  <c r="E1323" i="1"/>
  <c r="D1323" i="1"/>
  <c r="C1323" i="1"/>
  <c r="B1323" i="1"/>
  <c r="A1323" i="1"/>
  <c r="E1322" i="1"/>
  <c r="D1322" i="1"/>
  <c r="C1322" i="1"/>
  <c r="B1322" i="1"/>
  <c r="A1322" i="1"/>
  <c r="E1321" i="1"/>
  <c r="D1321" i="1"/>
  <c r="C1321" i="1"/>
  <c r="B1321" i="1"/>
  <c r="A1321" i="1"/>
  <c r="E1320" i="1"/>
  <c r="D1320" i="1"/>
  <c r="C1320" i="1"/>
  <c r="B1320" i="1"/>
  <c r="A1320" i="1"/>
  <c r="E1319" i="1"/>
  <c r="D1319" i="1"/>
  <c r="C1319" i="1"/>
  <c r="B1319" i="1"/>
  <c r="A1319" i="1"/>
  <c r="E1318" i="1"/>
  <c r="D1318" i="1"/>
  <c r="C1318" i="1"/>
  <c r="B1318" i="1"/>
  <c r="A1318" i="1"/>
  <c r="E1317" i="1"/>
  <c r="D1317" i="1"/>
  <c r="C1317" i="1"/>
  <c r="B1317" i="1"/>
  <c r="A1317" i="1"/>
  <c r="E1316" i="1"/>
  <c r="D1316" i="1"/>
  <c r="C1316" i="1"/>
  <c r="B1316" i="1"/>
  <c r="A1316" i="1"/>
  <c r="E1315" i="1"/>
  <c r="D1315" i="1"/>
  <c r="C1315" i="1"/>
  <c r="B1315" i="1"/>
  <c r="A1315" i="1"/>
  <c r="E1314" i="1"/>
  <c r="D1314" i="1"/>
  <c r="C1314" i="1"/>
  <c r="B1314" i="1"/>
  <c r="A1314" i="1"/>
  <c r="E1313" i="1"/>
  <c r="D1313" i="1"/>
  <c r="C1313" i="1"/>
  <c r="B1313" i="1"/>
  <c r="A1313" i="1"/>
  <c r="E1312" i="1"/>
  <c r="D1312" i="1"/>
  <c r="C1312" i="1"/>
  <c r="B1312" i="1"/>
  <c r="A1312" i="1"/>
  <c r="E1311" i="1"/>
  <c r="D1311" i="1"/>
  <c r="C1311" i="1"/>
  <c r="B1311" i="1"/>
  <c r="A1311" i="1"/>
  <c r="E1310" i="1"/>
  <c r="D1310" i="1"/>
  <c r="C1310" i="1"/>
  <c r="B1310" i="1"/>
  <c r="A1310" i="1"/>
  <c r="E1309" i="1"/>
  <c r="D1309" i="1"/>
  <c r="C1309" i="1"/>
  <c r="B1309" i="1"/>
  <c r="A1309" i="1"/>
  <c r="E1308" i="1"/>
  <c r="D1308" i="1"/>
  <c r="C1308" i="1"/>
  <c r="B1308" i="1"/>
  <c r="A1308" i="1"/>
  <c r="E1307" i="1"/>
  <c r="D1307" i="1"/>
  <c r="C1307" i="1"/>
  <c r="B1307" i="1"/>
  <c r="A1307" i="1"/>
  <c r="E1306" i="1"/>
  <c r="D1306" i="1"/>
  <c r="C1306" i="1"/>
  <c r="B1306" i="1"/>
  <c r="A1306" i="1"/>
  <c r="E1305" i="1"/>
  <c r="D1305" i="1"/>
  <c r="C1305" i="1"/>
  <c r="B1305" i="1"/>
  <c r="A1305" i="1"/>
  <c r="E1304" i="1"/>
  <c r="D1304" i="1"/>
  <c r="C1304" i="1"/>
  <c r="B1304" i="1"/>
  <c r="A1304" i="1"/>
  <c r="E1303" i="1"/>
  <c r="D1303" i="1"/>
  <c r="C1303" i="1"/>
  <c r="B1303" i="1"/>
  <c r="A1303" i="1"/>
  <c r="E1302" i="1"/>
  <c r="D1302" i="1"/>
  <c r="C1302" i="1"/>
  <c r="B1302" i="1"/>
  <c r="A1302" i="1"/>
  <c r="E1301" i="1"/>
  <c r="D1301" i="1"/>
  <c r="C1301" i="1"/>
  <c r="B1301" i="1"/>
  <c r="A1301" i="1"/>
  <c r="E1300" i="1"/>
  <c r="D1300" i="1"/>
  <c r="C1300" i="1"/>
  <c r="B1300" i="1"/>
  <c r="A1300" i="1"/>
  <c r="E1299" i="1"/>
  <c r="D1299" i="1"/>
  <c r="C1299" i="1"/>
  <c r="B1299" i="1"/>
  <c r="A1299" i="1"/>
  <c r="E1298" i="1"/>
  <c r="D1298" i="1"/>
  <c r="C1298" i="1"/>
  <c r="B1298" i="1"/>
  <c r="A1298" i="1"/>
  <c r="E1297" i="1"/>
  <c r="D1297" i="1"/>
  <c r="C1297" i="1"/>
  <c r="B1297" i="1"/>
  <c r="A1297" i="1"/>
  <c r="E1296" i="1"/>
  <c r="D1296" i="1"/>
  <c r="C1296" i="1"/>
  <c r="B1296" i="1"/>
  <c r="A1296" i="1"/>
  <c r="E1295" i="1"/>
  <c r="D1295" i="1"/>
  <c r="C1295" i="1"/>
  <c r="B1295" i="1"/>
  <c r="A1295" i="1"/>
  <c r="E1294" i="1"/>
  <c r="D1294" i="1"/>
  <c r="C1294" i="1"/>
  <c r="B1294" i="1"/>
  <c r="A1294" i="1"/>
  <c r="E1293" i="1"/>
  <c r="D1293" i="1"/>
  <c r="C1293" i="1"/>
  <c r="B1293" i="1"/>
  <c r="A1293" i="1"/>
  <c r="E1292" i="1"/>
  <c r="D1292" i="1"/>
  <c r="C1292" i="1"/>
  <c r="B1292" i="1"/>
  <c r="A1292" i="1"/>
  <c r="E1291" i="1"/>
  <c r="D1291" i="1"/>
  <c r="C1291" i="1"/>
  <c r="B1291" i="1"/>
  <c r="A1291" i="1"/>
  <c r="E1290" i="1"/>
  <c r="D1290" i="1"/>
  <c r="C1290" i="1"/>
  <c r="B1290" i="1"/>
  <c r="A1290" i="1"/>
  <c r="E1289" i="1"/>
  <c r="D1289" i="1"/>
  <c r="C1289" i="1"/>
  <c r="B1289" i="1"/>
  <c r="A1289" i="1"/>
  <c r="E1288" i="1"/>
  <c r="D1288" i="1"/>
  <c r="C1288" i="1"/>
  <c r="B1288" i="1"/>
  <c r="A1288" i="1"/>
  <c r="E1287" i="1"/>
  <c r="D1287" i="1"/>
  <c r="C1287" i="1"/>
  <c r="B1287" i="1"/>
  <c r="A1287" i="1"/>
  <c r="E1286" i="1"/>
  <c r="D1286" i="1"/>
  <c r="C1286" i="1"/>
  <c r="B1286" i="1"/>
  <c r="A1286" i="1"/>
  <c r="E1285" i="1"/>
  <c r="D1285" i="1"/>
  <c r="C1285" i="1"/>
  <c r="B1285" i="1"/>
  <c r="A1285" i="1"/>
  <c r="E1284" i="1"/>
  <c r="D1284" i="1"/>
  <c r="C1284" i="1"/>
  <c r="B1284" i="1"/>
  <c r="A1284" i="1"/>
  <c r="E1283" i="1"/>
  <c r="D1283" i="1"/>
  <c r="C1283" i="1"/>
  <c r="B1283" i="1"/>
  <c r="A1283" i="1"/>
  <c r="E1282" i="1"/>
  <c r="D1282" i="1"/>
  <c r="C1282" i="1"/>
  <c r="B1282" i="1"/>
  <c r="A1282" i="1"/>
  <c r="E1281" i="1"/>
  <c r="D1281" i="1"/>
  <c r="C1281" i="1"/>
  <c r="B1281" i="1"/>
  <c r="A1281" i="1"/>
  <c r="E1280" i="1"/>
  <c r="D1280" i="1"/>
  <c r="C1280" i="1"/>
  <c r="B1280" i="1"/>
  <c r="A1280" i="1"/>
  <c r="E1279" i="1"/>
  <c r="D1279" i="1"/>
  <c r="C1279" i="1"/>
  <c r="B1279" i="1"/>
  <c r="A1279" i="1"/>
  <c r="E1278" i="1"/>
  <c r="D1278" i="1"/>
  <c r="C1278" i="1"/>
  <c r="B1278" i="1"/>
  <c r="A1278" i="1"/>
  <c r="E1277" i="1"/>
  <c r="D1277" i="1"/>
  <c r="C1277" i="1"/>
  <c r="B1277" i="1"/>
  <c r="A1277" i="1"/>
  <c r="E1276" i="1"/>
  <c r="D1276" i="1"/>
  <c r="C1276" i="1"/>
  <c r="B1276" i="1"/>
  <c r="A1276" i="1"/>
  <c r="E1275" i="1"/>
  <c r="D1275" i="1"/>
  <c r="C1275" i="1"/>
  <c r="B1275" i="1"/>
  <c r="A1275" i="1"/>
  <c r="E1274" i="1"/>
  <c r="D1274" i="1"/>
  <c r="C1274" i="1"/>
  <c r="B1274" i="1"/>
  <c r="A1274" i="1"/>
  <c r="E1273" i="1"/>
  <c r="D1273" i="1"/>
  <c r="C1273" i="1"/>
  <c r="B1273" i="1"/>
  <c r="A1273" i="1"/>
  <c r="E1272" i="1"/>
  <c r="D1272" i="1"/>
  <c r="C1272" i="1"/>
  <c r="B1272" i="1"/>
  <c r="A1272" i="1"/>
  <c r="E1271" i="1"/>
  <c r="D1271" i="1"/>
  <c r="C1271" i="1"/>
  <c r="B1271" i="1"/>
  <c r="A1271" i="1"/>
  <c r="E1270" i="1"/>
  <c r="D1270" i="1"/>
  <c r="C1270" i="1"/>
  <c r="B1270" i="1"/>
  <c r="A1270" i="1"/>
  <c r="E1269" i="1"/>
  <c r="D1269" i="1"/>
  <c r="C1269" i="1"/>
  <c r="B1269" i="1"/>
  <c r="A1269" i="1"/>
  <c r="E1268" i="1"/>
  <c r="D1268" i="1"/>
  <c r="C1268" i="1"/>
  <c r="B1268" i="1"/>
  <c r="A1268" i="1"/>
  <c r="E1267" i="1"/>
  <c r="D1267" i="1"/>
  <c r="C1267" i="1"/>
  <c r="B1267" i="1"/>
  <c r="A1267" i="1"/>
  <c r="E1266" i="1"/>
  <c r="D1266" i="1"/>
  <c r="C1266" i="1"/>
  <c r="B1266" i="1"/>
  <c r="A1266" i="1"/>
  <c r="E1265" i="1"/>
  <c r="D1265" i="1"/>
  <c r="C1265" i="1"/>
  <c r="B1265" i="1"/>
  <c r="A1265" i="1"/>
  <c r="E1264" i="1"/>
  <c r="D1264" i="1"/>
  <c r="C1264" i="1"/>
  <c r="B1264" i="1"/>
  <c r="A1264" i="1"/>
  <c r="E1263" i="1"/>
  <c r="D1263" i="1"/>
  <c r="C1263" i="1"/>
  <c r="B1263" i="1"/>
  <c r="A1263" i="1"/>
  <c r="E1262" i="1"/>
  <c r="D1262" i="1"/>
  <c r="C1262" i="1"/>
  <c r="B1262" i="1"/>
  <c r="A1262" i="1"/>
  <c r="E1261" i="1"/>
  <c r="D1261" i="1"/>
  <c r="C1261" i="1"/>
  <c r="B1261" i="1"/>
  <c r="A1261" i="1"/>
  <c r="E1260" i="1"/>
  <c r="D1260" i="1"/>
  <c r="C1260" i="1"/>
  <c r="B1260" i="1"/>
  <c r="A1260" i="1"/>
  <c r="E1259" i="1"/>
  <c r="D1259" i="1"/>
  <c r="C1259" i="1"/>
  <c r="B1259" i="1"/>
  <c r="A1259" i="1"/>
  <c r="E1258" i="1"/>
  <c r="D1258" i="1"/>
  <c r="C1258" i="1"/>
  <c r="B1258" i="1"/>
  <c r="A1258" i="1"/>
  <c r="E1257" i="1"/>
  <c r="D1257" i="1"/>
  <c r="C1257" i="1"/>
  <c r="B1257" i="1"/>
  <c r="A1257" i="1"/>
  <c r="E1256" i="1"/>
  <c r="D1256" i="1"/>
  <c r="C1256" i="1"/>
  <c r="B1256" i="1"/>
  <c r="A1256" i="1"/>
  <c r="E1255" i="1"/>
  <c r="D1255" i="1"/>
  <c r="C1255" i="1"/>
  <c r="B1255" i="1"/>
  <c r="A1255" i="1"/>
  <c r="E1254" i="1"/>
  <c r="D1254" i="1"/>
  <c r="C1254" i="1"/>
  <c r="B1254" i="1"/>
  <c r="A1254" i="1"/>
  <c r="E1253" i="1"/>
  <c r="D1253" i="1"/>
  <c r="C1253" i="1"/>
  <c r="B1253" i="1"/>
  <c r="A1253" i="1"/>
  <c r="E1252" i="1"/>
  <c r="D1252" i="1"/>
  <c r="C1252" i="1"/>
  <c r="B1252" i="1"/>
  <c r="A1252" i="1"/>
  <c r="E1251" i="1"/>
  <c r="D1251" i="1"/>
  <c r="C1251" i="1"/>
  <c r="B1251" i="1"/>
  <c r="A1251" i="1"/>
  <c r="E1250" i="1"/>
  <c r="D1250" i="1"/>
  <c r="C1250" i="1"/>
  <c r="B1250" i="1"/>
  <c r="A1250" i="1"/>
  <c r="E1249" i="1"/>
  <c r="D1249" i="1"/>
  <c r="C1249" i="1"/>
  <c r="B1249" i="1"/>
  <c r="A1249" i="1"/>
  <c r="E1248" i="1"/>
  <c r="D1248" i="1"/>
  <c r="C1248" i="1"/>
  <c r="B1248" i="1"/>
  <c r="A1248" i="1"/>
  <c r="E1247" i="1"/>
  <c r="D1247" i="1"/>
  <c r="C1247" i="1"/>
  <c r="B1247" i="1"/>
  <c r="A1247" i="1"/>
  <c r="E1246" i="1"/>
  <c r="D1246" i="1"/>
  <c r="C1246" i="1"/>
  <c r="B1246" i="1"/>
  <c r="A1246" i="1"/>
  <c r="E1245" i="1"/>
  <c r="D1245" i="1"/>
  <c r="C1245" i="1"/>
  <c r="B1245" i="1"/>
  <c r="A1245" i="1"/>
  <c r="E1244" i="1"/>
  <c r="D1244" i="1"/>
  <c r="C1244" i="1"/>
  <c r="B1244" i="1"/>
  <c r="A1244" i="1"/>
  <c r="E1243" i="1"/>
  <c r="D1243" i="1"/>
  <c r="C1243" i="1"/>
  <c r="B1243" i="1"/>
  <c r="A1243" i="1"/>
  <c r="E1242" i="1"/>
  <c r="D1242" i="1"/>
  <c r="C1242" i="1"/>
  <c r="B1242" i="1"/>
  <c r="A1242" i="1"/>
  <c r="E1241" i="1"/>
  <c r="D1241" i="1"/>
  <c r="C1241" i="1"/>
  <c r="B1241" i="1"/>
  <c r="A1241" i="1"/>
  <c r="E1240" i="1"/>
  <c r="D1240" i="1"/>
  <c r="C1240" i="1"/>
  <c r="B1240" i="1"/>
  <c r="A1240" i="1"/>
  <c r="E1239" i="1"/>
  <c r="D1239" i="1"/>
  <c r="C1239" i="1"/>
  <c r="B1239" i="1"/>
  <c r="A1239" i="1"/>
  <c r="E1238" i="1"/>
  <c r="D1238" i="1"/>
  <c r="C1238" i="1"/>
  <c r="B1238" i="1"/>
  <c r="A1238" i="1"/>
  <c r="E1237" i="1"/>
  <c r="D1237" i="1"/>
  <c r="C1237" i="1"/>
  <c r="B1237" i="1"/>
  <c r="A1237" i="1"/>
  <c r="E1236" i="1"/>
  <c r="D1236" i="1"/>
  <c r="C1236" i="1"/>
  <c r="B1236" i="1"/>
  <c r="A1236" i="1"/>
  <c r="E1235" i="1"/>
  <c r="D1235" i="1"/>
  <c r="C1235" i="1"/>
  <c r="B1235" i="1"/>
  <c r="A1235" i="1"/>
  <c r="E1234" i="1"/>
  <c r="D1234" i="1"/>
  <c r="C1234" i="1"/>
  <c r="B1234" i="1"/>
  <c r="A1234" i="1"/>
  <c r="E1233" i="1"/>
  <c r="D1233" i="1"/>
  <c r="C1233" i="1"/>
  <c r="B1233" i="1"/>
  <c r="A1233" i="1"/>
  <c r="E1232" i="1"/>
  <c r="D1232" i="1"/>
  <c r="C1232" i="1"/>
  <c r="B1232" i="1"/>
  <c r="A1232" i="1"/>
  <c r="E1231" i="1"/>
  <c r="D1231" i="1"/>
  <c r="C1231" i="1"/>
  <c r="B1231" i="1"/>
  <c r="A1231" i="1"/>
  <c r="E1230" i="1"/>
  <c r="D1230" i="1"/>
  <c r="C1230" i="1"/>
  <c r="B1230" i="1"/>
  <c r="A1230" i="1"/>
  <c r="E1229" i="1"/>
  <c r="D1229" i="1"/>
  <c r="C1229" i="1"/>
  <c r="B1229" i="1"/>
  <c r="A1229" i="1"/>
  <c r="E1228" i="1"/>
  <c r="D1228" i="1"/>
  <c r="C1228" i="1"/>
  <c r="B1228" i="1"/>
  <c r="A1228" i="1"/>
  <c r="E1227" i="1"/>
  <c r="D1227" i="1"/>
  <c r="C1227" i="1"/>
  <c r="B1227" i="1"/>
  <c r="A1227" i="1"/>
  <c r="E1226" i="1"/>
  <c r="D1226" i="1"/>
  <c r="C1226" i="1"/>
  <c r="B1226" i="1"/>
  <c r="A1226" i="1"/>
  <c r="E1225" i="1"/>
  <c r="D1225" i="1"/>
  <c r="C1225" i="1"/>
  <c r="B1225" i="1"/>
  <c r="A1225" i="1"/>
  <c r="E1224" i="1"/>
  <c r="D1224" i="1"/>
  <c r="C1224" i="1"/>
  <c r="B1224" i="1"/>
  <c r="A1224" i="1"/>
  <c r="E1223" i="1"/>
  <c r="D1223" i="1"/>
  <c r="C1223" i="1"/>
  <c r="B1223" i="1"/>
  <c r="A1223" i="1"/>
  <c r="E1222" i="1"/>
  <c r="D1222" i="1"/>
  <c r="C1222" i="1"/>
  <c r="B1222" i="1"/>
  <c r="A1222" i="1"/>
  <c r="E1221" i="1"/>
  <c r="D1221" i="1"/>
  <c r="C1221" i="1"/>
  <c r="B1221" i="1"/>
  <c r="A1221" i="1"/>
  <c r="E1220" i="1"/>
  <c r="D1220" i="1"/>
  <c r="C1220" i="1"/>
  <c r="B1220" i="1"/>
  <c r="A1220" i="1"/>
  <c r="E1219" i="1"/>
  <c r="D1219" i="1"/>
  <c r="C1219" i="1"/>
  <c r="B1219" i="1"/>
  <c r="A1219" i="1"/>
  <c r="E1218" i="1"/>
  <c r="D1218" i="1"/>
  <c r="C1218" i="1"/>
  <c r="B1218" i="1"/>
  <c r="A1218" i="1"/>
  <c r="E1217" i="1"/>
  <c r="D1217" i="1"/>
  <c r="C1217" i="1"/>
  <c r="B1217" i="1"/>
  <c r="A1217" i="1"/>
  <c r="E1216" i="1"/>
  <c r="D1216" i="1"/>
  <c r="C1216" i="1"/>
  <c r="B1216" i="1"/>
  <c r="A1216" i="1"/>
  <c r="E1215" i="1"/>
  <c r="D1215" i="1"/>
  <c r="C1215" i="1"/>
  <c r="B1215" i="1"/>
  <c r="A1215" i="1"/>
  <c r="E1214" i="1"/>
  <c r="D1214" i="1"/>
  <c r="C1214" i="1"/>
  <c r="B1214" i="1"/>
  <c r="A1214" i="1"/>
  <c r="E1213" i="1"/>
  <c r="D1213" i="1"/>
  <c r="C1213" i="1"/>
  <c r="B1213" i="1"/>
  <c r="A1213" i="1"/>
  <c r="E1212" i="1"/>
  <c r="D1212" i="1"/>
  <c r="C1212" i="1"/>
  <c r="B1212" i="1"/>
  <c r="A1212" i="1"/>
  <c r="E1211" i="1"/>
  <c r="D1211" i="1"/>
  <c r="C1211" i="1"/>
  <c r="B1211" i="1"/>
  <c r="A1211" i="1"/>
  <c r="E1210" i="1"/>
  <c r="D1210" i="1"/>
  <c r="C1210" i="1"/>
  <c r="B1210" i="1"/>
  <c r="A1210" i="1"/>
  <c r="E1209" i="1"/>
  <c r="D1209" i="1"/>
  <c r="C1209" i="1"/>
  <c r="B1209" i="1"/>
  <c r="A1209" i="1"/>
  <c r="E1208" i="1"/>
  <c r="D1208" i="1"/>
  <c r="C1208" i="1"/>
  <c r="B1208" i="1"/>
  <c r="A1208" i="1"/>
  <c r="E1207" i="1"/>
  <c r="D1207" i="1"/>
  <c r="C1207" i="1"/>
  <c r="B1207" i="1"/>
  <c r="A1207" i="1"/>
  <c r="E1206" i="1"/>
  <c r="D1206" i="1"/>
  <c r="C1206" i="1"/>
  <c r="B1206" i="1"/>
  <c r="A1206" i="1"/>
  <c r="E1205" i="1"/>
  <c r="D1205" i="1"/>
  <c r="C1205" i="1"/>
  <c r="B1205" i="1"/>
  <c r="A1205" i="1"/>
  <c r="E1204" i="1"/>
  <c r="D1204" i="1"/>
  <c r="C1204" i="1"/>
  <c r="B1204" i="1"/>
  <c r="A1204" i="1"/>
  <c r="E1203" i="1"/>
  <c r="D1203" i="1"/>
  <c r="C1203" i="1"/>
  <c r="B1203" i="1"/>
  <c r="A1203" i="1"/>
  <c r="E1202" i="1"/>
  <c r="D1202" i="1"/>
  <c r="C1202" i="1"/>
  <c r="B1202" i="1"/>
  <c r="A1202" i="1"/>
  <c r="E1201" i="1"/>
  <c r="D1201" i="1"/>
  <c r="C1201" i="1"/>
  <c r="B1201" i="1"/>
  <c r="A1201" i="1"/>
  <c r="E1200" i="1"/>
  <c r="D1200" i="1"/>
  <c r="C1200" i="1"/>
  <c r="B1200" i="1"/>
  <c r="A1200" i="1"/>
  <c r="E1199" i="1"/>
  <c r="D1199" i="1"/>
  <c r="C1199" i="1"/>
  <c r="B1199" i="1"/>
  <c r="A1199" i="1"/>
  <c r="E1198" i="1"/>
  <c r="D1198" i="1"/>
  <c r="C1198" i="1"/>
  <c r="B1198" i="1"/>
  <c r="A1198" i="1"/>
  <c r="E1197" i="1"/>
  <c r="D1197" i="1"/>
  <c r="C1197" i="1"/>
  <c r="B1197" i="1"/>
  <c r="A1197" i="1"/>
  <c r="E1196" i="1"/>
  <c r="D1196" i="1"/>
  <c r="C1196" i="1"/>
  <c r="B1196" i="1"/>
  <c r="A1196" i="1"/>
  <c r="E1195" i="1"/>
  <c r="D1195" i="1"/>
  <c r="C1195" i="1"/>
  <c r="B1195" i="1"/>
  <c r="A1195" i="1"/>
  <c r="E1194" i="1"/>
  <c r="D1194" i="1"/>
  <c r="C1194" i="1"/>
  <c r="B1194" i="1"/>
  <c r="A1194" i="1"/>
  <c r="E1193" i="1"/>
  <c r="D1193" i="1"/>
  <c r="C1193" i="1"/>
  <c r="B1193" i="1"/>
  <c r="A1193" i="1"/>
  <c r="E1192" i="1"/>
  <c r="D1192" i="1"/>
  <c r="C1192" i="1"/>
  <c r="B1192" i="1"/>
  <c r="A1192" i="1"/>
  <c r="E1191" i="1"/>
  <c r="D1191" i="1"/>
  <c r="C1191" i="1"/>
  <c r="B1191" i="1"/>
  <c r="A1191" i="1"/>
  <c r="E1190" i="1"/>
  <c r="D1190" i="1"/>
  <c r="C1190" i="1"/>
  <c r="B1190" i="1"/>
  <c r="A1190" i="1"/>
  <c r="E1189" i="1"/>
  <c r="D1189" i="1"/>
  <c r="C1189" i="1"/>
  <c r="B1189" i="1"/>
  <c r="A1189" i="1"/>
  <c r="E1188" i="1"/>
  <c r="D1188" i="1"/>
  <c r="C1188" i="1"/>
  <c r="B1188" i="1"/>
  <c r="A1188" i="1"/>
  <c r="E1187" i="1"/>
  <c r="D1187" i="1"/>
  <c r="C1187" i="1"/>
  <c r="B1187" i="1"/>
  <c r="A1187" i="1"/>
  <c r="E1186" i="1"/>
  <c r="D1186" i="1"/>
  <c r="C1186" i="1"/>
  <c r="B1186" i="1"/>
  <c r="A1186" i="1"/>
  <c r="E1185" i="1"/>
  <c r="D1185" i="1"/>
  <c r="C1185" i="1"/>
  <c r="B1185" i="1"/>
  <c r="A1185" i="1"/>
  <c r="E1184" i="1"/>
  <c r="D1184" i="1"/>
  <c r="C1184" i="1"/>
  <c r="B1184" i="1"/>
  <c r="A1184" i="1"/>
  <c r="E1183" i="1"/>
  <c r="D1183" i="1"/>
  <c r="C1183" i="1"/>
  <c r="B1183" i="1"/>
  <c r="A1183" i="1"/>
  <c r="E1182" i="1"/>
  <c r="D1182" i="1"/>
  <c r="C1182" i="1"/>
  <c r="B1182" i="1"/>
  <c r="A1182" i="1"/>
  <c r="E1181" i="1"/>
  <c r="D1181" i="1"/>
  <c r="C1181" i="1"/>
  <c r="B1181" i="1"/>
  <c r="A1181" i="1"/>
  <c r="E1180" i="1"/>
  <c r="D1180" i="1"/>
  <c r="C1180" i="1"/>
  <c r="B1180" i="1"/>
  <c r="A1180" i="1"/>
  <c r="E1179" i="1"/>
  <c r="D1179" i="1"/>
  <c r="C1179" i="1"/>
  <c r="B1179" i="1"/>
  <c r="A1179" i="1"/>
  <c r="E1178" i="1"/>
  <c r="D1178" i="1"/>
  <c r="C1178" i="1"/>
  <c r="B1178" i="1"/>
  <c r="E1177" i="1"/>
  <c r="D1177" i="1"/>
  <c r="C1177" i="1"/>
  <c r="B1177" i="1"/>
  <c r="A1177" i="1"/>
  <c r="E1176" i="1"/>
  <c r="D1176" i="1"/>
  <c r="C1176" i="1"/>
  <c r="B1176" i="1"/>
  <c r="A1176" i="1"/>
  <c r="E1175" i="1"/>
  <c r="D1175" i="1"/>
  <c r="C1175" i="1"/>
  <c r="B1175" i="1"/>
  <c r="A1175" i="1"/>
  <c r="E1174" i="1"/>
  <c r="D1174" i="1"/>
  <c r="C1174" i="1"/>
  <c r="B1174" i="1"/>
  <c r="A1174" i="1"/>
  <c r="E1173" i="1"/>
  <c r="D1173" i="1"/>
  <c r="C1173" i="1"/>
  <c r="B1173" i="1"/>
  <c r="A1173" i="1"/>
  <c r="E1172" i="1"/>
  <c r="D1172" i="1"/>
  <c r="C1172" i="1"/>
  <c r="B1172" i="1"/>
  <c r="A1172" i="1"/>
  <c r="E1171" i="1"/>
  <c r="D1171" i="1"/>
  <c r="C1171" i="1"/>
  <c r="B1171" i="1"/>
  <c r="A1171" i="1"/>
  <c r="E1170" i="1"/>
  <c r="D1170" i="1"/>
  <c r="C1170" i="1"/>
  <c r="B1170" i="1"/>
  <c r="A1170" i="1"/>
  <c r="E1169" i="1"/>
  <c r="D1169" i="1"/>
  <c r="C1169" i="1"/>
  <c r="B1169" i="1"/>
  <c r="A1169" i="1"/>
  <c r="E1168" i="1"/>
  <c r="D1168" i="1"/>
  <c r="C1168" i="1"/>
  <c r="B1168" i="1"/>
  <c r="A1168" i="1"/>
  <c r="E1167" i="1"/>
  <c r="D1167" i="1"/>
  <c r="C1167" i="1"/>
  <c r="B1167" i="1"/>
  <c r="A1167" i="1"/>
  <c r="E1166" i="1"/>
  <c r="D1166" i="1"/>
  <c r="C1166" i="1"/>
  <c r="B1166" i="1"/>
  <c r="A1166" i="1"/>
  <c r="E1165" i="1"/>
  <c r="D1165" i="1"/>
  <c r="C1165" i="1"/>
  <c r="B1165" i="1"/>
  <c r="A1165" i="1"/>
  <c r="E1164" i="1"/>
  <c r="D1164" i="1"/>
  <c r="C1164" i="1"/>
  <c r="B1164" i="1"/>
  <c r="A1164" i="1"/>
  <c r="E1163" i="1"/>
  <c r="D1163" i="1"/>
  <c r="C1163" i="1"/>
  <c r="B1163" i="1"/>
  <c r="A1163" i="1"/>
  <c r="E1162" i="1"/>
  <c r="D1162" i="1"/>
  <c r="C1162" i="1"/>
  <c r="B1162" i="1"/>
  <c r="A1162" i="1"/>
  <c r="E1161" i="1"/>
  <c r="D1161" i="1"/>
  <c r="C1161" i="1"/>
  <c r="B1161" i="1"/>
  <c r="A1161" i="1"/>
  <c r="E1160" i="1"/>
  <c r="D1160" i="1"/>
  <c r="C1160" i="1"/>
  <c r="B1160" i="1"/>
  <c r="A1160" i="1"/>
  <c r="E1159" i="1"/>
  <c r="D1159" i="1"/>
  <c r="C1159" i="1"/>
  <c r="B1159" i="1"/>
  <c r="A1159" i="1"/>
  <c r="E1158" i="1"/>
  <c r="D1158" i="1"/>
  <c r="C1158" i="1"/>
  <c r="B1158" i="1"/>
  <c r="A1158" i="1"/>
  <c r="E1157" i="1"/>
  <c r="D1157" i="1"/>
  <c r="C1157" i="1"/>
  <c r="B1157" i="1"/>
  <c r="A1157" i="1"/>
  <c r="E1156" i="1"/>
  <c r="D1156" i="1"/>
  <c r="C1156" i="1"/>
  <c r="B1156" i="1"/>
  <c r="A1156" i="1"/>
  <c r="E1155" i="1"/>
  <c r="D1155" i="1"/>
  <c r="C1155" i="1"/>
  <c r="B1155" i="1"/>
  <c r="A1155" i="1"/>
  <c r="E1154" i="1"/>
  <c r="D1154" i="1"/>
  <c r="C1154" i="1"/>
  <c r="B1154" i="1"/>
  <c r="A1154" i="1"/>
  <c r="E1153" i="1"/>
  <c r="D1153" i="1"/>
  <c r="C1153" i="1"/>
  <c r="B1153" i="1"/>
  <c r="A1153" i="1"/>
  <c r="E1152" i="1"/>
  <c r="D1152" i="1"/>
  <c r="C1152" i="1"/>
  <c r="B1152" i="1"/>
  <c r="A1152" i="1"/>
  <c r="E1151" i="1"/>
  <c r="D1151" i="1"/>
  <c r="C1151" i="1"/>
  <c r="B1151" i="1"/>
  <c r="A1151" i="1"/>
  <c r="E1150" i="1"/>
  <c r="D1150" i="1"/>
  <c r="C1150" i="1"/>
  <c r="B1150" i="1"/>
  <c r="A1150" i="1"/>
  <c r="E1149" i="1"/>
  <c r="D1149" i="1"/>
  <c r="C1149" i="1"/>
  <c r="B1149" i="1"/>
  <c r="A1149" i="1"/>
  <c r="E1148" i="1"/>
  <c r="D1148" i="1"/>
  <c r="C1148" i="1"/>
  <c r="B1148" i="1"/>
  <c r="A1148" i="1"/>
  <c r="E1147" i="1"/>
  <c r="D1147" i="1"/>
  <c r="C1147" i="1"/>
  <c r="B1147" i="1"/>
  <c r="A1147" i="1"/>
  <c r="E1146" i="1"/>
  <c r="D1146" i="1"/>
  <c r="C1146" i="1"/>
  <c r="B1146" i="1"/>
  <c r="A1146" i="1"/>
  <c r="E1145" i="1"/>
  <c r="D1145" i="1"/>
  <c r="C1145" i="1"/>
  <c r="B1145" i="1"/>
  <c r="A1145" i="1"/>
  <c r="E1144" i="1"/>
  <c r="D1144" i="1"/>
  <c r="C1144" i="1"/>
  <c r="B1144" i="1"/>
  <c r="A1144" i="1"/>
  <c r="E1143" i="1"/>
  <c r="D1143" i="1"/>
  <c r="C1143" i="1"/>
  <c r="B1143" i="1"/>
  <c r="A1143" i="1"/>
  <c r="E1142" i="1"/>
  <c r="D1142" i="1"/>
  <c r="C1142" i="1"/>
  <c r="B1142" i="1"/>
  <c r="A1142" i="1"/>
  <c r="E1141" i="1"/>
  <c r="D1141" i="1"/>
  <c r="C1141" i="1"/>
  <c r="B1141" i="1"/>
  <c r="A1141" i="1"/>
  <c r="E1140" i="1"/>
  <c r="D1140" i="1"/>
  <c r="C1140" i="1"/>
  <c r="B1140" i="1"/>
  <c r="A1140" i="1"/>
  <c r="E1139" i="1"/>
  <c r="D1139" i="1"/>
  <c r="C1139" i="1"/>
  <c r="B1139" i="1"/>
  <c r="A1139" i="1"/>
  <c r="E1138" i="1"/>
  <c r="D1138" i="1"/>
  <c r="C1138" i="1"/>
  <c r="B1138" i="1"/>
  <c r="A1138" i="1"/>
  <c r="E1137" i="1"/>
  <c r="D1137" i="1"/>
  <c r="C1137" i="1"/>
  <c r="B1137" i="1"/>
  <c r="A1137" i="1"/>
  <c r="E1136" i="1"/>
  <c r="D1136" i="1"/>
  <c r="C1136" i="1"/>
  <c r="B1136" i="1"/>
  <c r="A1136" i="1"/>
  <c r="E1135" i="1"/>
  <c r="D1135" i="1"/>
  <c r="C1135" i="1"/>
  <c r="B1135" i="1"/>
  <c r="A1135" i="1"/>
  <c r="E1134" i="1"/>
  <c r="D1134" i="1"/>
  <c r="C1134" i="1"/>
  <c r="B1134" i="1"/>
  <c r="A1134" i="1"/>
  <c r="E1133" i="1"/>
  <c r="D1133" i="1"/>
  <c r="C1133" i="1"/>
  <c r="B1133" i="1"/>
  <c r="A1133" i="1"/>
  <c r="E1132" i="1"/>
  <c r="D1132" i="1"/>
  <c r="C1132" i="1"/>
  <c r="B1132" i="1"/>
  <c r="A1132" i="1"/>
  <c r="E1131" i="1"/>
  <c r="D1131" i="1"/>
  <c r="C1131" i="1"/>
  <c r="B1131" i="1"/>
  <c r="A1131" i="1"/>
  <c r="E1130" i="1"/>
  <c r="D1130" i="1"/>
  <c r="C1130" i="1"/>
  <c r="B1130" i="1"/>
  <c r="A1130" i="1"/>
  <c r="E1129" i="1"/>
  <c r="D1129" i="1"/>
  <c r="C1129" i="1"/>
  <c r="B1129" i="1"/>
  <c r="A1129" i="1"/>
  <c r="E1128" i="1"/>
  <c r="D1128" i="1"/>
  <c r="C1128" i="1"/>
  <c r="B1128" i="1"/>
  <c r="A1128" i="1"/>
  <c r="E1127" i="1"/>
  <c r="D1127" i="1"/>
  <c r="C1127" i="1"/>
  <c r="B1127" i="1"/>
  <c r="A1127" i="1"/>
  <c r="E1126" i="1"/>
  <c r="D1126" i="1"/>
  <c r="C1126" i="1"/>
  <c r="B1126" i="1"/>
  <c r="A1126" i="1"/>
  <c r="E1125" i="1"/>
  <c r="D1125" i="1"/>
  <c r="C1125" i="1"/>
  <c r="B1125" i="1"/>
  <c r="A1125" i="1"/>
  <c r="E1124" i="1"/>
  <c r="D1124" i="1"/>
  <c r="C1124" i="1"/>
  <c r="B1124" i="1"/>
  <c r="A1124" i="1"/>
  <c r="E1123" i="1"/>
  <c r="D1123" i="1"/>
  <c r="C1123" i="1"/>
  <c r="B1123" i="1"/>
  <c r="A1123" i="1"/>
  <c r="E1122" i="1"/>
  <c r="D1122" i="1"/>
  <c r="C1122" i="1"/>
  <c r="B1122" i="1"/>
  <c r="A1122" i="1"/>
  <c r="E1121" i="1"/>
  <c r="D1121" i="1"/>
  <c r="C1121" i="1"/>
  <c r="B1121" i="1"/>
  <c r="A1121" i="1"/>
  <c r="E1120" i="1"/>
  <c r="D1120" i="1"/>
  <c r="C1120" i="1"/>
  <c r="B1120" i="1"/>
  <c r="A1120" i="1"/>
  <c r="E1119" i="1"/>
  <c r="D1119" i="1"/>
  <c r="C1119" i="1"/>
  <c r="B1119" i="1"/>
  <c r="A1119" i="1"/>
  <c r="E1118" i="1"/>
  <c r="D1118" i="1"/>
  <c r="C1118" i="1"/>
  <c r="B1118" i="1"/>
  <c r="A1118" i="1"/>
  <c r="E1117" i="1"/>
  <c r="D1117" i="1"/>
  <c r="C1117" i="1"/>
  <c r="B1117" i="1"/>
  <c r="A1117" i="1"/>
  <c r="E1116" i="1"/>
  <c r="D1116" i="1"/>
  <c r="C1116" i="1"/>
  <c r="B1116" i="1"/>
  <c r="A1116" i="1"/>
  <c r="E1115" i="1"/>
  <c r="D1115" i="1"/>
  <c r="C1115" i="1"/>
  <c r="B1115" i="1"/>
  <c r="A1115" i="1"/>
  <c r="E1114" i="1"/>
  <c r="D1114" i="1"/>
  <c r="C1114" i="1"/>
  <c r="B1114" i="1"/>
  <c r="A1114" i="1"/>
  <c r="E1113" i="1"/>
  <c r="D1113" i="1"/>
  <c r="C1113" i="1"/>
  <c r="B1113" i="1"/>
  <c r="A1113" i="1"/>
  <c r="E1112" i="1"/>
  <c r="D1112" i="1"/>
  <c r="C1112" i="1"/>
  <c r="B1112" i="1"/>
  <c r="A1112" i="1"/>
  <c r="E1111" i="1"/>
  <c r="D1111" i="1"/>
  <c r="C1111" i="1"/>
  <c r="B1111" i="1"/>
  <c r="A1111" i="1"/>
  <c r="E1110" i="1"/>
  <c r="D1110" i="1"/>
  <c r="C1110" i="1"/>
  <c r="B1110" i="1"/>
  <c r="A1110" i="1"/>
  <c r="E1109" i="1"/>
  <c r="D1109" i="1"/>
  <c r="C1109" i="1"/>
  <c r="B1109" i="1"/>
  <c r="A1109" i="1"/>
  <c r="E1108" i="1"/>
  <c r="D1108" i="1"/>
  <c r="C1108" i="1"/>
  <c r="B1108" i="1"/>
  <c r="A1108" i="1"/>
  <c r="E1107" i="1"/>
  <c r="D1107" i="1"/>
  <c r="C1107" i="1"/>
  <c r="B1107" i="1"/>
  <c r="A1107" i="1"/>
  <c r="E1106" i="1"/>
  <c r="D1106" i="1"/>
  <c r="C1106" i="1"/>
  <c r="B1106" i="1"/>
  <c r="A1106" i="1"/>
  <c r="E1105" i="1"/>
  <c r="D1105" i="1"/>
  <c r="C1105" i="1"/>
  <c r="B1105" i="1"/>
  <c r="A1105" i="1"/>
  <c r="E1104" i="1"/>
  <c r="D1104" i="1"/>
  <c r="C1104" i="1"/>
  <c r="B1104" i="1"/>
  <c r="A1104" i="1"/>
  <c r="E1103" i="1"/>
  <c r="D1103" i="1"/>
  <c r="C1103" i="1"/>
  <c r="B1103" i="1"/>
  <c r="A1103" i="1"/>
  <c r="E1102" i="1"/>
  <c r="D1102" i="1"/>
  <c r="C1102" i="1"/>
  <c r="B1102" i="1"/>
  <c r="A1102" i="1"/>
  <c r="E1101" i="1"/>
  <c r="D1101" i="1"/>
  <c r="C1101" i="1"/>
  <c r="B1101" i="1"/>
  <c r="A1101" i="1"/>
  <c r="E1100" i="1"/>
  <c r="D1100" i="1"/>
  <c r="C1100" i="1"/>
  <c r="B1100" i="1"/>
  <c r="A1100" i="1"/>
  <c r="E1099" i="1"/>
  <c r="D1099" i="1"/>
  <c r="C1099" i="1"/>
  <c r="B1099" i="1"/>
  <c r="A1099" i="1"/>
  <c r="E1098" i="1"/>
  <c r="D1098" i="1"/>
  <c r="C1098" i="1"/>
  <c r="B1098" i="1"/>
  <c r="A1098" i="1"/>
  <c r="E1097" i="1"/>
  <c r="D1097" i="1"/>
  <c r="C1097" i="1"/>
  <c r="B1097" i="1"/>
  <c r="A1097" i="1"/>
  <c r="E1096" i="1"/>
  <c r="D1096" i="1"/>
  <c r="C1096" i="1"/>
  <c r="B1096" i="1"/>
  <c r="A1096" i="1"/>
  <c r="E1095" i="1"/>
  <c r="D1095" i="1"/>
  <c r="C1095" i="1"/>
  <c r="B1095" i="1"/>
  <c r="A1095" i="1"/>
  <c r="E1094" i="1"/>
  <c r="D1094" i="1"/>
  <c r="C1094" i="1"/>
  <c r="B1094" i="1"/>
  <c r="A1094" i="1"/>
  <c r="E1093" i="1"/>
  <c r="D1093" i="1"/>
  <c r="C1093" i="1"/>
  <c r="B1093" i="1"/>
  <c r="A1093" i="1"/>
  <c r="E1092" i="1"/>
  <c r="D1092" i="1"/>
  <c r="C1092" i="1"/>
  <c r="B1092" i="1"/>
  <c r="A1092" i="1"/>
  <c r="E1091" i="1"/>
  <c r="D1091" i="1"/>
  <c r="C1091" i="1"/>
  <c r="B1091" i="1"/>
  <c r="A1091" i="1"/>
  <c r="E1090" i="1"/>
  <c r="D1090" i="1"/>
  <c r="C1090" i="1"/>
  <c r="B1090" i="1"/>
  <c r="A1090" i="1"/>
  <c r="E1089" i="1"/>
  <c r="D1089" i="1"/>
  <c r="C1089" i="1"/>
  <c r="B1089" i="1"/>
  <c r="A1089" i="1"/>
  <c r="E1088" i="1"/>
  <c r="D1088" i="1"/>
  <c r="C1088" i="1"/>
  <c r="B1088" i="1"/>
  <c r="A1088" i="1"/>
  <c r="E1087" i="1"/>
  <c r="D1087" i="1"/>
  <c r="C1087" i="1"/>
  <c r="B1087" i="1"/>
  <c r="A1087" i="1"/>
  <c r="E1086" i="1"/>
  <c r="D1086" i="1"/>
  <c r="C1086" i="1"/>
  <c r="B1086" i="1"/>
  <c r="A1086" i="1"/>
  <c r="E1085" i="1"/>
  <c r="D1085" i="1"/>
  <c r="C1085" i="1"/>
  <c r="B1085" i="1"/>
  <c r="A1085" i="1"/>
  <c r="E1084" i="1"/>
  <c r="D1084" i="1"/>
  <c r="C1084" i="1"/>
  <c r="B1084" i="1"/>
  <c r="A1084" i="1"/>
  <c r="E1083" i="1"/>
  <c r="D1083" i="1"/>
  <c r="C1083" i="1"/>
  <c r="B1083" i="1"/>
  <c r="A1083" i="1"/>
  <c r="E1082" i="1"/>
  <c r="D1082" i="1"/>
  <c r="C1082" i="1"/>
  <c r="B1082" i="1"/>
  <c r="A1082" i="1"/>
  <c r="E1081" i="1"/>
  <c r="D1081" i="1"/>
  <c r="C1081" i="1"/>
  <c r="B1081" i="1"/>
  <c r="A1081" i="1"/>
  <c r="E1080" i="1"/>
  <c r="D1080" i="1"/>
  <c r="C1080" i="1"/>
  <c r="B1080" i="1"/>
  <c r="A1080" i="1"/>
  <c r="E1079" i="1"/>
  <c r="D1079" i="1"/>
  <c r="C1079" i="1"/>
  <c r="B1079" i="1"/>
  <c r="A1079" i="1"/>
  <c r="E1078" i="1"/>
  <c r="D1078" i="1"/>
  <c r="C1078" i="1"/>
  <c r="B1078" i="1"/>
  <c r="A1078" i="1"/>
  <c r="E1077" i="1"/>
  <c r="D1077" i="1"/>
  <c r="C1077" i="1"/>
  <c r="B1077" i="1"/>
  <c r="A1077" i="1"/>
  <c r="E1076" i="1"/>
  <c r="D1076" i="1"/>
  <c r="C1076" i="1"/>
  <c r="B1076" i="1"/>
  <c r="A1076" i="1"/>
  <c r="E1075" i="1"/>
  <c r="D1075" i="1"/>
  <c r="C1075" i="1"/>
  <c r="B1075" i="1"/>
  <c r="A1075" i="1"/>
  <c r="E1074" i="1"/>
  <c r="D1074" i="1"/>
  <c r="C1074" i="1"/>
  <c r="B1074" i="1"/>
  <c r="A1074" i="1"/>
  <c r="E1073" i="1"/>
  <c r="D1073" i="1"/>
  <c r="C1073" i="1"/>
  <c r="B1073" i="1"/>
  <c r="A1073" i="1"/>
  <c r="E1072" i="1"/>
  <c r="D1072" i="1"/>
  <c r="C1072" i="1"/>
  <c r="B1072" i="1"/>
  <c r="A1072" i="1"/>
  <c r="E1071" i="1"/>
  <c r="D1071" i="1"/>
  <c r="C1071" i="1"/>
  <c r="B1071" i="1"/>
  <c r="A1071" i="1"/>
  <c r="E1070" i="1"/>
  <c r="D1070" i="1"/>
  <c r="C1070" i="1"/>
  <c r="B1070" i="1"/>
  <c r="A1070" i="1"/>
  <c r="E1069" i="1"/>
  <c r="D1069" i="1"/>
  <c r="C1069" i="1"/>
  <c r="B1069" i="1"/>
  <c r="A1069" i="1"/>
  <c r="E1068" i="1"/>
  <c r="D1068" i="1"/>
  <c r="C1068" i="1"/>
  <c r="B1068" i="1"/>
  <c r="A1068" i="1"/>
  <c r="E1067" i="1"/>
  <c r="D1067" i="1"/>
  <c r="C1067" i="1"/>
  <c r="B1067" i="1"/>
  <c r="A1067" i="1"/>
  <c r="E1066" i="1"/>
  <c r="D1066" i="1"/>
  <c r="C1066" i="1"/>
  <c r="B1066" i="1"/>
  <c r="A1066" i="1"/>
  <c r="E1065" i="1"/>
  <c r="D1065" i="1"/>
  <c r="C1065" i="1"/>
  <c r="B1065" i="1"/>
  <c r="A1065" i="1"/>
  <c r="E1064" i="1"/>
  <c r="D1064" i="1"/>
  <c r="C1064" i="1"/>
  <c r="B1064" i="1"/>
  <c r="A1064" i="1"/>
  <c r="E1063" i="1"/>
  <c r="D1063" i="1"/>
  <c r="C1063" i="1"/>
  <c r="B1063" i="1"/>
  <c r="A1063" i="1"/>
  <c r="E1062" i="1"/>
  <c r="D1062" i="1"/>
  <c r="C1062" i="1"/>
  <c r="B1062" i="1"/>
  <c r="A1062" i="1"/>
  <c r="E1061" i="1"/>
  <c r="D1061" i="1"/>
  <c r="C1061" i="1"/>
  <c r="B1061" i="1"/>
  <c r="A1061" i="1"/>
  <c r="E1060" i="1"/>
  <c r="D1060" i="1"/>
  <c r="C1060" i="1"/>
  <c r="B1060" i="1"/>
  <c r="A1060" i="1"/>
  <c r="E1059" i="1"/>
  <c r="D1059" i="1"/>
  <c r="C1059" i="1"/>
  <c r="B1059" i="1"/>
  <c r="A1059" i="1"/>
  <c r="E1058" i="1"/>
  <c r="D1058" i="1"/>
  <c r="C1058" i="1"/>
  <c r="B1058" i="1"/>
  <c r="A1058" i="1"/>
  <c r="E1057" i="1"/>
  <c r="D1057" i="1"/>
  <c r="C1057" i="1"/>
  <c r="B1057" i="1"/>
  <c r="A1057" i="1"/>
  <c r="E1056" i="1"/>
  <c r="D1056" i="1"/>
  <c r="C1056" i="1"/>
  <c r="B1056" i="1"/>
  <c r="A1056" i="1"/>
  <c r="E1055" i="1"/>
  <c r="D1055" i="1"/>
  <c r="C1055" i="1"/>
  <c r="B1055" i="1"/>
  <c r="A1055" i="1"/>
  <c r="E1054" i="1"/>
  <c r="D1054" i="1"/>
  <c r="C1054" i="1"/>
  <c r="B1054" i="1"/>
  <c r="A1054" i="1"/>
  <c r="E1053" i="1"/>
  <c r="D1053" i="1"/>
  <c r="C1053" i="1"/>
  <c r="B1053" i="1"/>
  <c r="A1053" i="1"/>
  <c r="E1052" i="1"/>
  <c r="D1052" i="1"/>
  <c r="C1052" i="1"/>
  <c r="B1052" i="1"/>
  <c r="A1052" i="1"/>
  <c r="E1051" i="1"/>
  <c r="D1051" i="1"/>
  <c r="C1051" i="1"/>
  <c r="B1051" i="1"/>
  <c r="A1051" i="1"/>
  <c r="E1050" i="1"/>
  <c r="D1050" i="1"/>
  <c r="C1050" i="1"/>
  <c r="B1050" i="1"/>
  <c r="A1050" i="1"/>
  <c r="E1049" i="1"/>
  <c r="D1049" i="1"/>
  <c r="C1049" i="1"/>
  <c r="B1049" i="1"/>
  <c r="A1049" i="1"/>
  <c r="E1048" i="1"/>
  <c r="D1048" i="1"/>
  <c r="C1048" i="1"/>
  <c r="B1048" i="1"/>
  <c r="A1048" i="1"/>
  <c r="E1047" i="1"/>
  <c r="D1047" i="1"/>
  <c r="C1047" i="1"/>
  <c r="B1047" i="1"/>
  <c r="A1047" i="1"/>
  <c r="E1046" i="1"/>
  <c r="D1046" i="1"/>
  <c r="C1046" i="1"/>
  <c r="B1046" i="1"/>
  <c r="A1046" i="1"/>
  <c r="E1045" i="1"/>
  <c r="D1045" i="1"/>
  <c r="C1045" i="1"/>
  <c r="B1045" i="1"/>
  <c r="A1045" i="1"/>
  <c r="E1044" i="1"/>
  <c r="D1044" i="1"/>
  <c r="C1044" i="1"/>
  <c r="B1044" i="1"/>
  <c r="A1044" i="1"/>
  <c r="E1043" i="1"/>
  <c r="D1043" i="1"/>
  <c r="C1043" i="1"/>
  <c r="B1043" i="1"/>
  <c r="A1043" i="1"/>
  <c r="E1042" i="1"/>
  <c r="D1042" i="1"/>
  <c r="C1042" i="1"/>
  <c r="B1042" i="1"/>
  <c r="A1042" i="1"/>
  <c r="E1041" i="1"/>
  <c r="D1041" i="1"/>
  <c r="C1041" i="1"/>
  <c r="B1041" i="1"/>
  <c r="A1041" i="1"/>
  <c r="E1040" i="1"/>
  <c r="D1040" i="1"/>
  <c r="C1040" i="1"/>
  <c r="B1040" i="1"/>
  <c r="A1040" i="1"/>
  <c r="E1039" i="1"/>
  <c r="D1039" i="1"/>
  <c r="C1039" i="1"/>
  <c r="B1039" i="1"/>
  <c r="A1039" i="1"/>
  <c r="E1038" i="1"/>
  <c r="D1038" i="1"/>
  <c r="C1038" i="1"/>
  <c r="B1038" i="1"/>
  <c r="A1038" i="1"/>
  <c r="E1037" i="1"/>
  <c r="D1037" i="1"/>
  <c r="C1037" i="1"/>
  <c r="B1037" i="1"/>
  <c r="A1037" i="1"/>
  <c r="E1036" i="1"/>
  <c r="D1036" i="1"/>
  <c r="C1036" i="1"/>
  <c r="B1036" i="1"/>
  <c r="A1036" i="1"/>
  <c r="E1035" i="1"/>
  <c r="D1035" i="1"/>
  <c r="C1035" i="1"/>
  <c r="B1035" i="1"/>
  <c r="A1035" i="1"/>
  <c r="E1034" i="1"/>
  <c r="D1034" i="1"/>
  <c r="C1034" i="1"/>
  <c r="B1034" i="1"/>
  <c r="A1034" i="1"/>
  <c r="E1033" i="1"/>
  <c r="D1033" i="1"/>
  <c r="C1033" i="1"/>
  <c r="B1033" i="1"/>
  <c r="A1033" i="1"/>
  <c r="E1032" i="1"/>
  <c r="D1032" i="1"/>
  <c r="C1032" i="1"/>
  <c r="B1032" i="1"/>
  <c r="A1032" i="1"/>
  <c r="E1031" i="1"/>
  <c r="D1031" i="1"/>
  <c r="C1031" i="1"/>
  <c r="B1031" i="1"/>
  <c r="A1031" i="1"/>
  <c r="E1030" i="1"/>
  <c r="D1030" i="1"/>
  <c r="C1030" i="1"/>
  <c r="B1030" i="1"/>
  <c r="A1030" i="1"/>
  <c r="E1029" i="1"/>
  <c r="D1029" i="1"/>
  <c r="C1029" i="1"/>
  <c r="B1029" i="1"/>
  <c r="A1029" i="1"/>
  <c r="E1028" i="1"/>
  <c r="D1028" i="1"/>
  <c r="C1028" i="1"/>
  <c r="B1028" i="1"/>
  <c r="A1028" i="1"/>
  <c r="E1027" i="1"/>
  <c r="D1027" i="1"/>
  <c r="C1027" i="1"/>
  <c r="B1027" i="1"/>
  <c r="A1027" i="1"/>
  <c r="E1026" i="1"/>
  <c r="D1026" i="1"/>
  <c r="C1026" i="1"/>
  <c r="B1026" i="1"/>
  <c r="A1026" i="1"/>
  <c r="E1025" i="1"/>
  <c r="D1025" i="1"/>
  <c r="C1025" i="1"/>
  <c r="B1025" i="1"/>
  <c r="A1025" i="1"/>
  <c r="E1024" i="1"/>
  <c r="D1024" i="1"/>
  <c r="C1024" i="1"/>
  <c r="B1024" i="1"/>
  <c r="A1024" i="1"/>
  <c r="E1023" i="1"/>
  <c r="D1023" i="1"/>
  <c r="C1023" i="1"/>
  <c r="B1023" i="1"/>
  <c r="A1023" i="1"/>
  <c r="E1022" i="1"/>
  <c r="D1022" i="1"/>
  <c r="C1022" i="1"/>
  <c r="B1022" i="1"/>
  <c r="A1022" i="1"/>
  <c r="E1021" i="1"/>
  <c r="D1021" i="1"/>
  <c r="C1021" i="1"/>
  <c r="B1021" i="1"/>
  <c r="A1021" i="1"/>
  <c r="E1020" i="1"/>
  <c r="D1020" i="1"/>
  <c r="C1020" i="1"/>
  <c r="B1020" i="1"/>
  <c r="A1020" i="1"/>
  <c r="E1019" i="1"/>
  <c r="D1019" i="1"/>
  <c r="C1019" i="1"/>
  <c r="B1019" i="1"/>
  <c r="A1019" i="1"/>
  <c r="E1018" i="1"/>
  <c r="D1018" i="1"/>
  <c r="C1018" i="1"/>
  <c r="B1018" i="1"/>
  <c r="A1018" i="1"/>
  <c r="E1017" i="1"/>
  <c r="D1017" i="1"/>
  <c r="C1017" i="1"/>
  <c r="B1017" i="1"/>
  <c r="A1017" i="1"/>
  <c r="E1016" i="1"/>
  <c r="D1016" i="1"/>
  <c r="C1016" i="1"/>
  <c r="B1016" i="1"/>
  <c r="A1016" i="1"/>
  <c r="E1015" i="1"/>
  <c r="D1015" i="1"/>
  <c r="C1015" i="1"/>
  <c r="B1015" i="1"/>
  <c r="A1015" i="1"/>
  <c r="E1014" i="1"/>
  <c r="D1014" i="1"/>
  <c r="C1014" i="1"/>
  <c r="B1014" i="1"/>
  <c r="A1014" i="1"/>
  <c r="E1013" i="1"/>
  <c r="D1013" i="1"/>
  <c r="C1013" i="1"/>
  <c r="B1013" i="1"/>
  <c r="A1013" i="1"/>
  <c r="E1012" i="1"/>
  <c r="D1012" i="1"/>
  <c r="C1012" i="1"/>
  <c r="B1012" i="1"/>
  <c r="A1012" i="1"/>
  <c r="E1011" i="1"/>
  <c r="D1011" i="1"/>
  <c r="C1011" i="1"/>
  <c r="B1011" i="1"/>
  <c r="A1011" i="1"/>
  <c r="E1010" i="1"/>
  <c r="D1010" i="1"/>
  <c r="C1010" i="1"/>
  <c r="B1010" i="1"/>
  <c r="A1010" i="1"/>
  <c r="E1009" i="1"/>
  <c r="D1009" i="1"/>
  <c r="C1009" i="1"/>
  <c r="B1009" i="1"/>
  <c r="A1009" i="1"/>
  <c r="E1008" i="1"/>
  <c r="D1008" i="1"/>
  <c r="C1008" i="1"/>
  <c r="B1008" i="1"/>
  <c r="A1008" i="1"/>
  <c r="E1007" i="1"/>
  <c r="D1007" i="1"/>
  <c r="C1007" i="1"/>
  <c r="B1007" i="1"/>
  <c r="A1007" i="1"/>
  <c r="E1006" i="1"/>
  <c r="D1006" i="1"/>
  <c r="C1006" i="1"/>
  <c r="B1006" i="1"/>
  <c r="A1006" i="1"/>
  <c r="E1005" i="1"/>
  <c r="D1005" i="1"/>
  <c r="C1005" i="1"/>
  <c r="B1005" i="1"/>
  <c r="A1005" i="1"/>
  <c r="E1004" i="1"/>
  <c r="D1004" i="1"/>
  <c r="C1004" i="1"/>
  <c r="B1004" i="1"/>
  <c r="A1004" i="1"/>
  <c r="E1003" i="1"/>
  <c r="D1003" i="1"/>
  <c r="C1003" i="1"/>
  <c r="B1003" i="1"/>
  <c r="A1003" i="1"/>
  <c r="E1002" i="1"/>
  <c r="D1002" i="1"/>
  <c r="C1002" i="1"/>
  <c r="B1002" i="1"/>
  <c r="A1002" i="1"/>
  <c r="E1001" i="1"/>
  <c r="D1001" i="1"/>
  <c r="C1001" i="1"/>
  <c r="B1001" i="1"/>
  <c r="A1001" i="1"/>
  <c r="E1000" i="1"/>
  <c r="D1000" i="1"/>
  <c r="C1000" i="1"/>
  <c r="B1000" i="1"/>
  <c r="A1000" i="1"/>
  <c r="E999" i="1"/>
  <c r="D999" i="1"/>
  <c r="C999" i="1"/>
  <c r="B999" i="1"/>
  <c r="A999" i="1"/>
  <c r="E998" i="1"/>
  <c r="D998" i="1"/>
  <c r="C998" i="1"/>
  <c r="B998" i="1"/>
  <c r="A998" i="1"/>
  <c r="E997" i="1"/>
  <c r="D997" i="1"/>
  <c r="C997" i="1"/>
  <c r="B997" i="1"/>
  <c r="A997" i="1"/>
  <c r="E996" i="1"/>
  <c r="D996" i="1"/>
  <c r="C996" i="1"/>
  <c r="B996" i="1"/>
  <c r="A996" i="1"/>
  <c r="E995" i="1"/>
  <c r="D995" i="1"/>
  <c r="C995" i="1"/>
  <c r="B995" i="1"/>
  <c r="A995" i="1"/>
  <c r="E994" i="1"/>
  <c r="D994" i="1"/>
  <c r="C994" i="1"/>
  <c r="B994" i="1"/>
  <c r="A994" i="1"/>
  <c r="E993" i="1"/>
  <c r="D993" i="1"/>
  <c r="C993" i="1"/>
  <c r="B993" i="1"/>
  <c r="A993" i="1"/>
  <c r="E992" i="1"/>
  <c r="D992" i="1"/>
  <c r="C992" i="1"/>
  <c r="B992" i="1"/>
  <c r="A992" i="1"/>
  <c r="E991" i="1"/>
  <c r="D991" i="1"/>
  <c r="C991" i="1"/>
  <c r="B991" i="1"/>
  <c r="A991" i="1"/>
  <c r="E990" i="1"/>
  <c r="D990" i="1"/>
  <c r="C990" i="1"/>
  <c r="B990" i="1"/>
  <c r="A990" i="1"/>
  <c r="E989" i="1"/>
  <c r="D989" i="1"/>
  <c r="C989" i="1"/>
  <c r="B989" i="1"/>
  <c r="A989" i="1"/>
  <c r="E988" i="1"/>
  <c r="D988" i="1"/>
  <c r="C988" i="1"/>
  <c r="B988" i="1"/>
  <c r="A988" i="1"/>
  <c r="E987" i="1"/>
  <c r="D987" i="1"/>
  <c r="C987" i="1"/>
  <c r="B987" i="1"/>
  <c r="A987" i="1"/>
  <c r="E986" i="1"/>
  <c r="D986" i="1"/>
  <c r="C986" i="1"/>
  <c r="B986" i="1"/>
  <c r="A986" i="1"/>
  <c r="E985" i="1"/>
  <c r="D985" i="1"/>
  <c r="C985" i="1"/>
  <c r="B985" i="1"/>
  <c r="A985" i="1"/>
  <c r="E984" i="1"/>
  <c r="D984" i="1"/>
  <c r="C984" i="1"/>
  <c r="B984" i="1"/>
  <c r="A984" i="1"/>
  <c r="E983" i="1"/>
  <c r="D983" i="1"/>
  <c r="C983" i="1"/>
  <c r="B983" i="1"/>
  <c r="A983" i="1"/>
  <c r="E982" i="1"/>
  <c r="D982" i="1"/>
  <c r="C982" i="1"/>
  <c r="B982" i="1"/>
  <c r="A982" i="1"/>
  <c r="E981" i="1"/>
  <c r="D981" i="1"/>
  <c r="C981" i="1"/>
  <c r="B981" i="1"/>
  <c r="A981" i="1"/>
  <c r="E980" i="1"/>
  <c r="D980" i="1"/>
  <c r="C980" i="1"/>
  <c r="B980" i="1"/>
  <c r="A980" i="1"/>
  <c r="E979" i="1"/>
  <c r="D979" i="1"/>
  <c r="C979" i="1"/>
  <c r="B979" i="1"/>
  <c r="A979" i="1"/>
  <c r="E978" i="1"/>
  <c r="D978" i="1"/>
  <c r="C978" i="1"/>
  <c r="B978" i="1"/>
  <c r="A978" i="1"/>
  <c r="E977" i="1"/>
  <c r="D977" i="1"/>
  <c r="C977" i="1"/>
  <c r="B977" i="1"/>
  <c r="A977" i="1"/>
  <c r="E976" i="1"/>
  <c r="D976" i="1"/>
  <c r="C976" i="1"/>
  <c r="B976" i="1"/>
  <c r="A976" i="1"/>
  <c r="E975" i="1"/>
  <c r="D975" i="1"/>
  <c r="C975" i="1"/>
  <c r="B975" i="1"/>
  <c r="A975" i="1"/>
  <c r="E974" i="1"/>
  <c r="D974" i="1"/>
  <c r="C974" i="1"/>
  <c r="B974" i="1"/>
  <c r="A974" i="1"/>
  <c r="E973" i="1"/>
  <c r="D973" i="1"/>
  <c r="C973" i="1"/>
  <c r="B973" i="1"/>
  <c r="A973" i="1"/>
  <c r="E972" i="1"/>
  <c r="D972" i="1"/>
  <c r="C972" i="1"/>
  <c r="B972" i="1"/>
  <c r="A972" i="1"/>
  <c r="E971" i="1"/>
  <c r="D971" i="1"/>
  <c r="C971" i="1"/>
  <c r="B971" i="1"/>
  <c r="A971" i="1"/>
  <c r="E970" i="1"/>
  <c r="D970" i="1"/>
  <c r="C970" i="1"/>
  <c r="B970" i="1"/>
  <c r="A970" i="1"/>
  <c r="E969" i="1"/>
  <c r="D969" i="1"/>
  <c r="C969" i="1"/>
  <c r="B969" i="1"/>
  <c r="A969" i="1"/>
  <c r="E968" i="1"/>
  <c r="D968" i="1"/>
  <c r="C968" i="1"/>
  <c r="B968" i="1"/>
  <c r="A968" i="1"/>
  <c r="E967" i="1"/>
  <c r="D967" i="1"/>
  <c r="C967" i="1"/>
  <c r="B967" i="1"/>
  <c r="A967" i="1"/>
  <c r="E966" i="1"/>
  <c r="D966" i="1"/>
  <c r="C966" i="1"/>
  <c r="B966" i="1"/>
  <c r="A966" i="1"/>
  <c r="E965" i="1"/>
  <c r="D965" i="1"/>
  <c r="C965" i="1"/>
  <c r="B965" i="1"/>
  <c r="A965" i="1"/>
  <c r="E964" i="1"/>
  <c r="D964" i="1"/>
  <c r="C964" i="1"/>
  <c r="B964" i="1"/>
  <c r="A964" i="1"/>
  <c r="E963" i="1"/>
  <c r="D963" i="1"/>
  <c r="C963" i="1"/>
  <c r="B963" i="1"/>
  <c r="A963" i="1"/>
  <c r="E962" i="1"/>
  <c r="D962" i="1"/>
  <c r="C962" i="1"/>
  <c r="B962" i="1"/>
  <c r="A962" i="1"/>
  <c r="E961" i="1"/>
  <c r="D961" i="1"/>
  <c r="C961" i="1"/>
  <c r="B961" i="1"/>
  <c r="A961" i="1"/>
  <c r="E960" i="1"/>
  <c r="D960" i="1"/>
  <c r="C960" i="1"/>
  <c r="B960" i="1"/>
  <c r="A960" i="1"/>
  <c r="E959" i="1"/>
  <c r="D959" i="1"/>
  <c r="C959" i="1"/>
  <c r="B959" i="1"/>
  <c r="A959" i="1"/>
  <c r="E958" i="1"/>
  <c r="D958" i="1"/>
  <c r="C958" i="1"/>
  <c r="B958" i="1"/>
  <c r="A958" i="1"/>
  <c r="E957" i="1"/>
  <c r="D957" i="1"/>
  <c r="C957" i="1"/>
  <c r="B957" i="1"/>
  <c r="A957" i="1"/>
  <c r="E956" i="1"/>
  <c r="D956" i="1"/>
  <c r="C956" i="1"/>
  <c r="B956" i="1"/>
  <c r="A956" i="1"/>
  <c r="E955" i="1"/>
  <c r="D955" i="1"/>
  <c r="C955" i="1"/>
  <c r="B955" i="1"/>
  <c r="A955" i="1"/>
  <c r="E954" i="1"/>
  <c r="D954" i="1"/>
  <c r="C954" i="1"/>
  <c r="B954" i="1"/>
  <c r="A954" i="1"/>
  <c r="E953" i="1"/>
  <c r="D953" i="1"/>
  <c r="C953" i="1"/>
  <c r="B953" i="1"/>
  <c r="A953" i="1"/>
  <c r="E952" i="1"/>
  <c r="D952" i="1"/>
  <c r="C952" i="1"/>
  <c r="B952" i="1"/>
  <c r="A952" i="1"/>
  <c r="E951" i="1"/>
  <c r="D951" i="1"/>
  <c r="C951" i="1"/>
  <c r="B951" i="1"/>
  <c r="A951" i="1"/>
  <c r="E950" i="1"/>
  <c r="D950" i="1"/>
  <c r="C950" i="1"/>
  <c r="B950" i="1"/>
  <c r="A950" i="1"/>
  <c r="E949" i="1"/>
  <c r="D949" i="1"/>
  <c r="C949" i="1"/>
  <c r="B949" i="1"/>
  <c r="A949" i="1"/>
  <c r="E948" i="1"/>
  <c r="D948" i="1"/>
  <c r="C948" i="1"/>
  <c r="B948" i="1"/>
  <c r="A948" i="1"/>
  <c r="E947" i="1"/>
  <c r="D947" i="1"/>
  <c r="C947" i="1"/>
  <c r="B947" i="1"/>
  <c r="A947" i="1"/>
  <c r="E946" i="1"/>
  <c r="D946" i="1"/>
  <c r="C946" i="1"/>
  <c r="B946" i="1"/>
  <c r="A946" i="1"/>
  <c r="E945" i="1"/>
  <c r="D945" i="1"/>
  <c r="C945" i="1"/>
  <c r="B945" i="1"/>
  <c r="A945" i="1"/>
  <c r="E944" i="1"/>
  <c r="D944" i="1"/>
  <c r="C944" i="1"/>
  <c r="B944" i="1"/>
  <c r="A944" i="1"/>
  <c r="E943" i="1"/>
  <c r="D943" i="1"/>
  <c r="C943" i="1"/>
  <c r="B943" i="1"/>
  <c r="A943" i="1"/>
  <c r="E942" i="1"/>
  <c r="D942" i="1"/>
  <c r="C942" i="1"/>
  <c r="B942" i="1"/>
  <c r="A942" i="1"/>
  <c r="E941" i="1"/>
  <c r="D941" i="1"/>
  <c r="C941" i="1"/>
  <c r="B941" i="1"/>
  <c r="A941" i="1"/>
  <c r="E940" i="1"/>
  <c r="D940" i="1"/>
  <c r="C940" i="1"/>
  <c r="B940" i="1"/>
  <c r="A940" i="1"/>
  <c r="E939" i="1"/>
  <c r="D939" i="1"/>
  <c r="C939" i="1"/>
  <c r="B939" i="1"/>
  <c r="A939" i="1"/>
  <c r="E938" i="1"/>
  <c r="D938" i="1"/>
  <c r="C938" i="1"/>
  <c r="B938" i="1"/>
  <c r="A938" i="1"/>
  <c r="E937" i="1"/>
  <c r="D937" i="1"/>
  <c r="C937" i="1"/>
  <c r="B937" i="1"/>
  <c r="A937" i="1"/>
  <c r="E936" i="1"/>
  <c r="D936" i="1"/>
  <c r="C936" i="1"/>
  <c r="B936" i="1"/>
  <c r="A936" i="1"/>
  <c r="E935" i="1"/>
  <c r="D935" i="1"/>
  <c r="C935" i="1"/>
  <c r="B935" i="1"/>
  <c r="A935" i="1"/>
  <c r="E934" i="1"/>
  <c r="D934" i="1"/>
  <c r="C934" i="1"/>
  <c r="B934" i="1"/>
  <c r="A934" i="1"/>
  <c r="E933" i="1"/>
  <c r="D933" i="1"/>
  <c r="C933" i="1"/>
  <c r="B933" i="1"/>
  <c r="A933" i="1"/>
  <c r="E932" i="1"/>
  <c r="D932" i="1"/>
  <c r="C932" i="1"/>
  <c r="B932" i="1"/>
  <c r="A932" i="1"/>
  <c r="E931" i="1"/>
  <c r="D931" i="1"/>
  <c r="C931" i="1"/>
  <c r="B931" i="1"/>
  <c r="A931" i="1"/>
  <c r="E930" i="1"/>
  <c r="D930" i="1"/>
  <c r="C930" i="1"/>
  <c r="B930" i="1"/>
  <c r="A930" i="1"/>
  <c r="E929" i="1"/>
  <c r="D929" i="1"/>
  <c r="C929" i="1"/>
  <c r="B929" i="1"/>
  <c r="A929" i="1"/>
  <c r="E928" i="1"/>
  <c r="D928" i="1"/>
  <c r="C928" i="1"/>
  <c r="B928" i="1"/>
  <c r="A928" i="1"/>
  <c r="E927" i="1"/>
  <c r="D927" i="1"/>
  <c r="C927" i="1"/>
  <c r="B927" i="1"/>
  <c r="A927" i="1"/>
  <c r="E926" i="1"/>
  <c r="D926" i="1"/>
  <c r="C926" i="1"/>
  <c r="B926" i="1"/>
  <c r="A926" i="1"/>
  <c r="E925" i="1"/>
  <c r="D925" i="1"/>
  <c r="C925" i="1"/>
  <c r="B925" i="1"/>
  <c r="A925" i="1"/>
  <c r="E924" i="1"/>
  <c r="D924" i="1"/>
  <c r="C924" i="1"/>
  <c r="B924" i="1"/>
  <c r="A924" i="1"/>
  <c r="E923" i="1"/>
  <c r="D923" i="1"/>
  <c r="C923" i="1"/>
  <c r="B923" i="1"/>
  <c r="A923" i="1"/>
  <c r="E922" i="1"/>
  <c r="D922" i="1"/>
  <c r="C922" i="1"/>
  <c r="B922" i="1"/>
  <c r="A922" i="1"/>
  <c r="E921" i="1"/>
  <c r="D921" i="1"/>
  <c r="C921" i="1"/>
  <c r="B921" i="1"/>
  <c r="A921" i="1"/>
  <c r="E920" i="1"/>
  <c r="D920" i="1"/>
  <c r="C920" i="1"/>
  <c r="B920" i="1"/>
  <c r="A920" i="1"/>
  <c r="E919" i="1"/>
  <c r="D919" i="1"/>
  <c r="C919" i="1"/>
  <c r="B919" i="1"/>
  <c r="A919" i="1"/>
  <c r="E918" i="1"/>
  <c r="D918" i="1"/>
  <c r="C918" i="1"/>
  <c r="B918" i="1"/>
  <c r="A918" i="1"/>
  <c r="E917" i="1"/>
  <c r="D917" i="1"/>
  <c r="C917" i="1"/>
  <c r="B917" i="1"/>
  <c r="A917" i="1"/>
  <c r="E916" i="1"/>
  <c r="D916" i="1"/>
  <c r="C916" i="1"/>
  <c r="B916" i="1"/>
  <c r="A916" i="1"/>
  <c r="E915" i="1"/>
  <c r="D915" i="1"/>
  <c r="C915" i="1"/>
  <c r="B915" i="1"/>
  <c r="A915" i="1"/>
  <c r="E914" i="1"/>
  <c r="D914" i="1"/>
  <c r="C914" i="1"/>
  <c r="B914" i="1"/>
  <c r="A914" i="1"/>
  <c r="E913" i="1"/>
  <c r="D913" i="1"/>
  <c r="C913" i="1"/>
  <c r="B913" i="1"/>
  <c r="A913" i="1"/>
  <c r="E912" i="1"/>
  <c r="D912" i="1"/>
  <c r="C912" i="1"/>
  <c r="B912" i="1"/>
  <c r="A912" i="1"/>
  <c r="E911" i="1"/>
  <c r="D911" i="1"/>
  <c r="C911" i="1"/>
  <c r="B911" i="1"/>
  <c r="A911" i="1"/>
  <c r="E910" i="1"/>
  <c r="D910" i="1"/>
  <c r="C910" i="1"/>
  <c r="B910" i="1"/>
  <c r="A910" i="1"/>
  <c r="E909" i="1"/>
  <c r="D909" i="1"/>
  <c r="C909" i="1"/>
  <c r="B909" i="1"/>
  <c r="A909" i="1"/>
  <c r="E908" i="1"/>
  <c r="D908" i="1"/>
  <c r="C908" i="1"/>
  <c r="B908" i="1"/>
  <c r="A908" i="1"/>
  <c r="E907" i="1"/>
  <c r="D907" i="1"/>
  <c r="C907" i="1"/>
  <c r="B907" i="1"/>
  <c r="A907" i="1"/>
  <c r="E906" i="1"/>
  <c r="D906" i="1"/>
  <c r="C906" i="1"/>
  <c r="B906" i="1"/>
  <c r="A906" i="1"/>
  <c r="E905" i="1"/>
  <c r="D905" i="1"/>
  <c r="C905" i="1"/>
  <c r="B905" i="1"/>
  <c r="A905" i="1"/>
  <c r="E904" i="1"/>
  <c r="D904" i="1"/>
  <c r="C904" i="1"/>
  <c r="B904" i="1"/>
  <c r="A904" i="1"/>
  <c r="E903" i="1"/>
  <c r="D903" i="1"/>
  <c r="C903" i="1"/>
  <c r="B903" i="1"/>
  <c r="A903" i="1"/>
  <c r="E902" i="1"/>
  <c r="D902" i="1"/>
  <c r="C902" i="1"/>
  <c r="B902" i="1"/>
  <c r="A902" i="1"/>
  <c r="E901" i="1"/>
  <c r="D901" i="1"/>
  <c r="C901" i="1"/>
  <c r="B901" i="1"/>
  <c r="A901" i="1"/>
  <c r="E900" i="1"/>
  <c r="D900" i="1"/>
  <c r="C900" i="1"/>
  <c r="B900" i="1"/>
  <c r="A900" i="1"/>
  <c r="E899" i="1"/>
  <c r="D899" i="1"/>
  <c r="C899" i="1"/>
  <c r="B899" i="1"/>
  <c r="A899" i="1"/>
  <c r="E898" i="1"/>
  <c r="D898" i="1"/>
  <c r="C898" i="1"/>
  <c r="B898" i="1"/>
  <c r="A898" i="1"/>
  <c r="E897" i="1"/>
  <c r="D897" i="1"/>
  <c r="C897" i="1"/>
  <c r="B897" i="1"/>
  <c r="A897" i="1"/>
  <c r="E896" i="1"/>
  <c r="D896" i="1"/>
  <c r="C896" i="1"/>
  <c r="B896" i="1"/>
  <c r="A896" i="1"/>
  <c r="E895" i="1"/>
  <c r="D895" i="1"/>
  <c r="C895" i="1"/>
  <c r="B895" i="1"/>
  <c r="A895" i="1"/>
  <c r="E894" i="1"/>
  <c r="D894" i="1"/>
  <c r="C894" i="1"/>
  <c r="B894" i="1"/>
  <c r="A894" i="1"/>
  <c r="E893" i="1"/>
  <c r="D893" i="1"/>
  <c r="C893" i="1"/>
  <c r="B893" i="1"/>
  <c r="A893" i="1"/>
  <c r="E892" i="1"/>
  <c r="D892" i="1"/>
  <c r="C892" i="1"/>
  <c r="B892" i="1"/>
  <c r="A892" i="1"/>
  <c r="E891" i="1"/>
  <c r="D891" i="1"/>
  <c r="C891" i="1"/>
  <c r="B891" i="1"/>
  <c r="A891" i="1"/>
  <c r="E890" i="1"/>
  <c r="D890" i="1"/>
  <c r="C890" i="1"/>
  <c r="B890" i="1"/>
  <c r="A890" i="1"/>
  <c r="E889" i="1"/>
  <c r="D889" i="1"/>
  <c r="C889" i="1"/>
  <c r="B889" i="1"/>
  <c r="A889" i="1"/>
  <c r="E888" i="1"/>
  <c r="D888" i="1"/>
  <c r="C888" i="1"/>
  <c r="B888" i="1"/>
  <c r="A888" i="1"/>
  <c r="E887" i="1"/>
  <c r="D887" i="1"/>
  <c r="C887" i="1"/>
  <c r="B887" i="1"/>
  <c r="A887" i="1"/>
  <c r="E886" i="1"/>
  <c r="D886" i="1"/>
  <c r="C886" i="1"/>
  <c r="B886" i="1"/>
  <c r="A886" i="1"/>
  <c r="E885" i="1"/>
  <c r="D885" i="1"/>
  <c r="C885" i="1"/>
  <c r="B885" i="1"/>
  <c r="A885" i="1"/>
  <c r="E884" i="1"/>
  <c r="D884" i="1"/>
  <c r="C884" i="1"/>
  <c r="B884" i="1"/>
  <c r="A884" i="1"/>
  <c r="E883" i="1"/>
  <c r="D883" i="1"/>
  <c r="C883" i="1"/>
  <c r="B883" i="1"/>
  <c r="A883" i="1"/>
  <c r="E882" i="1"/>
  <c r="D882" i="1"/>
  <c r="C882" i="1"/>
  <c r="B882" i="1"/>
  <c r="A882" i="1"/>
  <c r="E881" i="1"/>
  <c r="D881" i="1"/>
  <c r="C881" i="1"/>
  <c r="B881" i="1"/>
  <c r="A881" i="1"/>
  <c r="E880" i="1"/>
  <c r="D880" i="1"/>
  <c r="C880" i="1"/>
  <c r="B880" i="1"/>
  <c r="A880" i="1"/>
  <c r="E879" i="1"/>
  <c r="D879" i="1"/>
  <c r="C879" i="1"/>
  <c r="B879" i="1"/>
  <c r="A879" i="1"/>
  <c r="E878" i="1"/>
  <c r="D878" i="1"/>
  <c r="C878" i="1"/>
  <c r="B878" i="1"/>
  <c r="A878" i="1"/>
  <c r="E877" i="1"/>
  <c r="D877" i="1"/>
  <c r="C877" i="1"/>
  <c r="B877" i="1"/>
  <c r="A877" i="1"/>
  <c r="E876" i="1"/>
  <c r="D876" i="1"/>
  <c r="C876" i="1"/>
  <c r="B876" i="1"/>
  <c r="A876" i="1"/>
  <c r="E875" i="1"/>
  <c r="D875" i="1"/>
  <c r="C875" i="1"/>
  <c r="B875" i="1"/>
  <c r="A875" i="1"/>
  <c r="E874" i="1"/>
  <c r="D874" i="1"/>
  <c r="C874" i="1"/>
  <c r="B874" i="1"/>
  <c r="A874" i="1"/>
  <c r="E873" i="1"/>
  <c r="D873" i="1"/>
  <c r="C873" i="1"/>
  <c r="B873" i="1"/>
  <c r="A873" i="1"/>
  <c r="E872" i="1"/>
  <c r="D872" i="1"/>
  <c r="C872" i="1"/>
  <c r="B872" i="1"/>
  <c r="A872" i="1"/>
  <c r="E871" i="1"/>
  <c r="D871" i="1"/>
  <c r="C871" i="1"/>
  <c r="B871" i="1"/>
  <c r="A871" i="1"/>
  <c r="E870" i="1"/>
  <c r="D870" i="1"/>
  <c r="C870" i="1"/>
  <c r="B870" i="1"/>
  <c r="A870" i="1"/>
  <c r="E869" i="1"/>
  <c r="D869" i="1"/>
  <c r="C869" i="1"/>
  <c r="B869" i="1"/>
  <c r="A869" i="1"/>
  <c r="E868" i="1"/>
  <c r="D868" i="1"/>
  <c r="C868" i="1"/>
  <c r="B868" i="1"/>
  <c r="A868" i="1"/>
  <c r="E867" i="1"/>
  <c r="D867" i="1"/>
  <c r="C867" i="1"/>
  <c r="B867" i="1"/>
  <c r="A867" i="1"/>
  <c r="E866" i="1"/>
  <c r="D866" i="1"/>
  <c r="C866" i="1"/>
  <c r="B866" i="1"/>
  <c r="A866" i="1"/>
  <c r="E865" i="1"/>
  <c r="D865" i="1"/>
  <c r="C865" i="1"/>
  <c r="B865" i="1"/>
  <c r="A865" i="1"/>
  <c r="E864" i="1"/>
  <c r="D864" i="1"/>
  <c r="C864" i="1"/>
  <c r="B864" i="1"/>
  <c r="A864" i="1"/>
  <c r="E863" i="1"/>
  <c r="D863" i="1"/>
  <c r="C863" i="1"/>
  <c r="B863" i="1"/>
  <c r="A863" i="1"/>
  <c r="E862" i="1"/>
  <c r="D862" i="1"/>
  <c r="C862" i="1"/>
  <c r="B862" i="1"/>
  <c r="A862" i="1"/>
  <c r="E861" i="1"/>
  <c r="D861" i="1"/>
  <c r="C861" i="1"/>
  <c r="B861" i="1"/>
  <c r="A861" i="1"/>
  <c r="E860" i="1"/>
  <c r="D860" i="1"/>
  <c r="C860" i="1"/>
  <c r="B860" i="1"/>
  <c r="A860" i="1"/>
  <c r="E859" i="1"/>
  <c r="D859" i="1"/>
  <c r="C859" i="1"/>
  <c r="B859" i="1"/>
  <c r="A859" i="1"/>
  <c r="E858" i="1"/>
  <c r="D858" i="1"/>
  <c r="C858" i="1"/>
  <c r="B858" i="1"/>
  <c r="A858" i="1"/>
  <c r="E857" i="1"/>
  <c r="D857" i="1"/>
  <c r="C857" i="1"/>
  <c r="B857" i="1"/>
  <c r="A857" i="1"/>
  <c r="E856" i="1"/>
  <c r="D856" i="1"/>
  <c r="C856" i="1"/>
  <c r="B856" i="1"/>
  <c r="A856" i="1"/>
  <c r="E855" i="1"/>
  <c r="D855" i="1"/>
  <c r="C855" i="1"/>
  <c r="B855" i="1"/>
  <c r="A855" i="1"/>
  <c r="E854" i="1"/>
  <c r="D854" i="1"/>
  <c r="C854" i="1"/>
  <c r="B854" i="1"/>
  <c r="A854" i="1"/>
  <c r="E853" i="1"/>
  <c r="D853" i="1"/>
  <c r="C853" i="1"/>
  <c r="B853" i="1"/>
  <c r="A853" i="1"/>
  <c r="E852" i="1"/>
  <c r="D852" i="1"/>
  <c r="C852" i="1"/>
  <c r="B852" i="1"/>
  <c r="A852" i="1"/>
  <c r="E851" i="1"/>
  <c r="D851" i="1"/>
  <c r="C851" i="1"/>
  <c r="B851" i="1"/>
  <c r="A851" i="1"/>
  <c r="E850" i="1"/>
  <c r="D850" i="1"/>
  <c r="C850" i="1"/>
  <c r="B850" i="1"/>
  <c r="A850" i="1"/>
  <c r="E849" i="1"/>
  <c r="D849" i="1"/>
  <c r="C849" i="1"/>
  <c r="B849" i="1"/>
  <c r="A849" i="1"/>
  <c r="E848" i="1"/>
  <c r="D848" i="1"/>
  <c r="C848" i="1"/>
  <c r="B848" i="1"/>
  <c r="A848" i="1"/>
  <c r="E847" i="1"/>
  <c r="D847" i="1"/>
  <c r="C847" i="1"/>
  <c r="B847" i="1"/>
  <c r="A847" i="1"/>
  <c r="E846" i="1"/>
  <c r="D846" i="1"/>
  <c r="C846" i="1"/>
  <c r="B846" i="1"/>
  <c r="A846" i="1"/>
  <c r="E845" i="1"/>
  <c r="D845" i="1"/>
  <c r="C845" i="1"/>
  <c r="B845" i="1"/>
  <c r="A845" i="1"/>
  <c r="E844" i="1"/>
  <c r="D844" i="1"/>
  <c r="C844" i="1"/>
  <c r="B844" i="1"/>
  <c r="A844" i="1"/>
  <c r="E843" i="1"/>
  <c r="D843" i="1"/>
  <c r="C843" i="1"/>
  <c r="B843" i="1"/>
  <c r="A843" i="1"/>
  <c r="E842" i="1"/>
  <c r="D842" i="1"/>
  <c r="C842" i="1"/>
  <c r="B842" i="1"/>
  <c r="A842" i="1"/>
  <c r="E841" i="1"/>
  <c r="D841" i="1"/>
  <c r="C841" i="1"/>
  <c r="B841" i="1"/>
  <c r="A841" i="1"/>
  <c r="E840" i="1"/>
  <c r="D840" i="1"/>
  <c r="C840" i="1"/>
  <c r="B840" i="1"/>
  <c r="A840" i="1"/>
  <c r="E839" i="1"/>
  <c r="D839" i="1"/>
  <c r="C839" i="1"/>
  <c r="B839" i="1"/>
  <c r="A839" i="1"/>
  <c r="E838" i="1"/>
  <c r="D838" i="1"/>
  <c r="C838" i="1"/>
  <c r="B838" i="1"/>
  <c r="A838" i="1"/>
  <c r="E837" i="1"/>
  <c r="D837" i="1"/>
  <c r="C837" i="1"/>
  <c r="B837" i="1"/>
  <c r="A837" i="1"/>
  <c r="E836" i="1"/>
  <c r="D836" i="1"/>
  <c r="C836" i="1"/>
  <c r="B836" i="1"/>
  <c r="A836" i="1"/>
  <c r="E835" i="1"/>
  <c r="D835" i="1"/>
  <c r="C835" i="1"/>
  <c r="B835" i="1"/>
  <c r="A835" i="1"/>
  <c r="E834" i="1"/>
  <c r="D834" i="1"/>
  <c r="C834" i="1"/>
  <c r="B834" i="1"/>
  <c r="A834" i="1"/>
  <c r="E833" i="1"/>
  <c r="D833" i="1"/>
  <c r="C833" i="1"/>
  <c r="B833" i="1"/>
  <c r="A833" i="1"/>
  <c r="E832" i="1"/>
  <c r="D832" i="1"/>
  <c r="C832" i="1"/>
  <c r="B832" i="1"/>
  <c r="A832" i="1"/>
  <c r="E831" i="1"/>
  <c r="D831" i="1"/>
  <c r="C831" i="1"/>
  <c r="B831" i="1"/>
  <c r="A831" i="1"/>
  <c r="E830" i="1"/>
  <c r="D830" i="1"/>
  <c r="C830" i="1"/>
  <c r="B830" i="1"/>
  <c r="A830" i="1"/>
  <c r="E829" i="1"/>
  <c r="D829" i="1"/>
  <c r="C829" i="1"/>
  <c r="B829" i="1"/>
  <c r="A829" i="1"/>
  <c r="E828" i="1"/>
  <c r="D828" i="1"/>
  <c r="C828" i="1"/>
  <c r="B828" i="1"/>
  <c r="A828" i="1"/>
  <c r="E827" i="1"/>
  <c r="D827" i="1"/>
  <c r="C827" i="1"/>
  <c r="B827" i="1"/>
  <c r="A827" i="1"/>
  <c r="E826" i="1"/>
  <c r="D826" i="1"/>
  <c r="C826" i="1"/>
  <c r="B826" i="1"/>
  <c r="A826" i="1"/>
  <c r="E825" i="1"/>
  <c r="D825" i="1"/>
  <c r="C825" i="1"/>
  <c r="B825" i="1"/>
  <c r="A825" i="1"/>
  <c r="E824" i="1"/>
  <c r="D824" i="1"/>
  <c r="C824" i="1"/>
  <c r="B824" i="1"/>
  <c r="A824" i="1"/>
  <c r="E823" i="1"/>
  <c r="D823" i="1"/>
  <c r="C823" i="1"/>
  <c r="B823" i="1"/>
  <c r="A823" i="1"/>
  <c r="E822" i="1"/>
  <c r="D822" i="1"/>
  <c r="C822" i="1"/>
  <c r="B822" i="1"/>
  <c r="A822" i="1"/>
  <c r="E821" i="1"/>
  <c r="D821" i="1"/>
  <c r="C821" i="1"/>
  <c r="B821" i="1"/>
  <c r="A821" i="1"/>
  <c r="E820" i="1"/>
  <c r="D820" i="1"/>
  <c r="C820" i="1"/>
  <c r="B820" i="1"/>
  <c r="A820" i="1"/>
  <c r="E819" i="1"/>
  <c r="D819" i="1"/>
  <c r="C819" i="1"/>
  <c r="B819" i="1"/>
  <c r="A819" i="1"/>
  <c r="E818" i="1"/>
  <c r="D818" i="1"/>
  <c r="C818" i="1"/>
  <c r="B818" i="1"/>
  <c r="A818" i="1"/>
  <c r="E817" i="1"/>
  <c r="D817" i="1"/>
  <c r="C817" i="1"/>
  <c r="B817" i="1"/>
  <c r="A817" i="1"/>
  <c r="E816" i="1"/>
  <c r="D816" i="1"/>
  <c r="C816" i="1"/>
  <c r="B816" i="1"/>
  <c r="A816" i="1"/>
  <c r="E815" i="1"/>
  <c r="D815" i="1"/>
  <c r="C815" i="1"/>
  <c r="B815" i="1"/>
  <c r="A815" i="1"/>
  <c r="E814" i="1"/>
  <c r="D814" i="1"/>
  <c r="C814" i="1"/>
  <c r="B814" i="1"/>
  <c r="A814" i="1"/>
  <c r="E813" i="1"/>
  <c r="D813" i="1"/>
  <c r="C813" i="1"/>
  <c r="B813" i="1"/>
  <c r="A813" i="1"/>
  <c r="E812" i="1"/>
  <c r="D812" i="1"/>
  <c r="C812" i="1"/>
  <c r="B812" i="1"/>
  <c r="A812" i="1"/>
  <c r="E811" i="1"/>
  <c r="D811" i="1"/>
  <c r="C811" i="1"/>
  <c r="B811" i="1"/>
  <c r="A811" i="1"/>
  <c r="E810" i="1"/>
  <c r="D810" i="1"/>
  <c r="C810" i="1"/>
  <c r="B810" i="1"/>
  <c r="A810" i="1"/>
  <c r="E809" i="1"/>
  <c r="D809" i="1"/>
  <c r="C809" i="1"/>
  <c r="B809" i="1"/>
  <c r="A809" i="1"/>
  <c r="E808" i="1"/>
  <c r="D808" i="1"/>
  <c r="C808" i="1"/>
  <c r="B808" i="1"/>
  <c r="A808" i="1"/>
  <c r="E807" i="1"/>
  <c r="D807" i="1"/>
  <c r="C807" i="1"/>
  <c r="B807" i="1"/>
  <c r="A807" i="1"/>
  <c r="E806" i="1"/>
  <c r="D806" i="1"/>
  <c r="C806" i="1"/>
  <c r="B806" i="1"/>
  <c r="A806" i="1"/>
  <c r="E805" i="1"/>
  <c r="D805" i="1"/>
  <c r="C805" i="1"/>
  <c r="B805" i="1"/>
  <c r="A805" i="1"/>
  <c r="E804" i="1"/>
  <c r="D804" i="1"/>
  <c r="C804" i="1"/>
  <c r="B804" i="1"/>
  <c r="A804" i="1"/>
  <c r="E803" i="1"/>
  <c r="D803" i="1"/>
  <c r="C803" i="1"/>
  <c r="B803" i="1"/>
  <c r="A803" i="1"/>
  <c r="E802" i="1"/>
  <c r="D802" i="1"/>
  <c r="C802" i="1"/>
  <c r="B802" i="1"/>
  <c r="A802" i="1"/>
  <c r="E801" i="1"/>
  <c r="D801" i="1"/>
  <c r="C801" i="1"/>
  <c r="B801" i="1"/>
  <c r="A801" i="1"/>
  <c r="E800" i="1"/>
  <c r="D800" i="1"/>
  <c r="C800" i="1"/>
  <c r="B800" i="1"/>
  <c r="A800" i="1"/>
  <c r="E799" i="1"/>
  <c r="D799" i="1"/>
  <c r="C799" i="1"/>
  <c r="B799" i="1"/>
  <c r="A799" i="1"/>
  <c r="E798" i="1"/>
  <c r="D798" i="1"/>
  <c r="C798" i="1"/>
  <c r="B798" i="1"/>
  <c r="A798" i="1"/>
  <c r="E797" i="1"/>
  <c r="D797" i="1"/>
  <c r="C797" i="1"/>
  <c r="B797" i="1"/>
  <c r="A797" i="1"/>
  <c r="E796" i="1"/>
  <c r="D796" i="1"/>
  <c r="C796" i="1"/>
  <c r="B796" i="1"/>
  <c r="A796" i="1"/>
  <c r="E795" i="1"/>
  <c r="D795" i="1"/>
  <c r="C795" i="1"/>
  <c r="B795" i="1"/>
  <c r="A795" i="1"/>
  <c r="E794" i="1"/>
  <c r="D794" i="1"/>
  <c r="C794" i="1"/>
  <c r="B794" i="1"/>
  <c r="A794" i="1"/>
  <c r="E793" i="1"/>
  <c r="D793" i="1"/>
  <c r="C793" i="1"/>
  <c r="B793" i="1"/>
  <c r="A793" i="1"/>
  <c r="E792" i="1"/>
  <c r="D792" i="1"/>
  <c r="C792" i="1"/>
  <c r="B792" i="1"/>
  <c r="A792" i="1"/>
  <c r="E791" i="1"/>
  <c r="D791" i="1"/>
  <c r="C791" i="1"/>
  <c r="B791" i="1"/>
  <c r="A791" i="1"/>
  <c r="E790" i="1"/>
  <c r="D790" i="1"/>
  <c r="C790" i="1"/>
  <c r="B790" i="1"/>
  <c r="A790" i="1"/>
  <c r="E789" i="1"/>
  <c r="D789" i="1"/>
  <c r="C789" i="1"/>
  <c r="B789" i="1"/>
  <c r="A789" i="1"/>
  <c r="E788" i="1"/>
  <c r="D788" i="1"/>
  <c r="C788" i="1"/>
  <c r="B788" i="1"/>
  <c r="A788" i="1"/>
  <c r="E787" i="1"/>
  <c r="D787" i="1"/>
  <c r="C787" i="1"/>
  <c r="B787" i="1"/>
  <c r="A787" i="1"/>
  <c r="E786" i="1"/>
  <c r="D786" i="1"/>
  <c r="C786" i="1"/>
  <c r="B786" i="1"/>
  <c r="A786" i="1"/>
  <c r="E785" i="1"/>
  <c r="D785" i="1"/>
  <c r="C785" i="1"/>
  <c r="B785" i="1"/>
  <c r="A785" i="1"/>
  <c r="E784" i="1"/>
  <c r="D784" i="1"/>
  <c r="C784" i="1"/>
  <c r="B784" i="1"/>
  <c r="A784" i="1"/>
  <c r="E783" i="1"/>
  <c r="D783" i="1"/>
  <c r="C783" i="1"/>
  <c r="B783" i="1"/>
  <c r="A783" i="1"/>
  <c r="E782" i="1"/>
  <c r="D782" i="1"/>
  <c r="C782" i="1"/>
  <c r="B782" i="1"/>
  <c r="A782" i="1"/>
  <c r="E781" i="1"/>
  <c r="D781" i="1"/>
  <c r="C781" i="1"/>
  <c r="B781" i="1"/>
  <c r="A781" i="1"/>
  <c r="E780" i="1"/>
  <c r="D780" i="1"/>
  <c r="C780" i="1"/>
  <c r="B780" i="1"/>
  <c r="A780" i="1"/>
  <c r="E779" i="1"/>
  <c r="D779" i="1"/>
  <c r="C779" i="1"/>
  <c r="B779" i="1"/>
  <c r="A779" i="1"/>
  <c r="E778" i="1"/>
  <c r="D778" i="1"/>
  <c r="C778" i="1"/>
  <c r="B778" i="1"/>
  <c r="A778" i="1"/>
  <c r="E777" i="1"/>
  <c r="D777" i="1"/>
  <c r="C777" i="1"/>
  <c r="B777" i="1"/>
  <c r="A777" i="1"/>
  <c r="E776" i="1"/>
  <c r="D776" i="1"/>
  <c r="C776" i="1"/>
  <c r="B776" i="1"/>
  <c r="A776" i="1"/>
  <c r="E775" i="1"/>
  <c r="D775" i="1"/>
  <c r="C775" i="1"/>
  <c r="B775" i="1"/>
  <c r="A775" i="1"/>
  <c r="E774" i="1"/>
  <c r="D774" i="1"/>
  <c r="C774" i="1"/>
  <c r="B774" i="1"/>
  <c r="A774" i="1"/>
  <c r="E773" i="1"/>
  <c r="D773" i="1"/>
  <c r="C773" i="1"/>
  <c r="B773" i="1"/>
  <c r="A773" i="1"/>
  <c r="E772" i="1"/>
  <c r="D772" i="1"/>
  <c r="C772" i="1"/>
  <c r="B772" i="1"/>
  <c r="A772" i="1"/>
  <c r="E771" i="1"/>
  <c r="D771" i="1"/>
  <c r="C771" i="1"/>
  <c r="B771" i="1"/>
  <c r="A771" i="1"/>
  <c r="E770" i="1"/>
  <c r="D770" i="1"/>
  <c r="C770" i="1"/>
  <c r="B770" i="1"/>
  <c r="A770" i="1"/>
  <c r="E769" i="1"/>
  <c r="D769" i="1"/>
  <c r="C769" i="1"/>
  <c r="B769" i="1"/>
  <c r="A769" i="1"/>
  <c r="E768" i="1"/>
  <c r="D768" i="1"/>
  <c r="C768" i="1"/>
  <c r="B768" i="1"/>
  <c r="A768" i="1"/>
  <c r="E767" i="1"/>
  <c r="D767" i="1"/>
  <c r="C767" i="1"/>
  <c r="B767" i="1"/>
  <c r="A767" i="1"/>
  <c r="E766" i="1"/>
  <c r="D766" i="1"/>
  <c r="C766" i="1"/>
  <c r="B766" i="1"/>
  <c r="A766" i="1"/>
  <c r="E765" i="1"/>
  <c r="D765" i="1"/>
  <c r="C765" i="1"/>
  <c r="B765" i="1"/>
  <c r="A765" i="1"/>
  <c r="E764" i="1"/>
  <c r="D764" i="1"/>
  <c r="C764" i="1"/>
  <c r="B764" i="1"/>
  <c r="A764" i="1"/>
  <c r="E763" i="1"/>
  <c r="D763" i="1"/>
  <c r="C763" i="1"/>
  <c r="B763" i="1"/>
  <c r="A763" i="1"/>
  <c r="E762" i="1"/>
  <c r="D762" i="1"/>
  <c r="C762" i="1"/>
  <c r="B762" i="1"/>
  <c r="A762" i="1"/>
  <c r="E761" i="1"/>
  <c r="D761" i="1"/>
  <c r="C761" i="1"/>
  <c r="B761" i="1"/>
  <c r="A761" i="1"/>
  <c r="E760" i="1"/>
  <c r="D760" i="1"/>
  <c r="C760" i="1"/>
  <c r="B760" i="1"/>
  <c r="A760" i="1"/>
  <c r="E759" i="1"/>
  <c r="D759" i="1"/>
  <c r="C759" i="1"/>
  <c r="B759" i="1"/>
  <c r="A759" i="1"/>
  <c r="E758" i="1"/>
  <c r="D758" i="1"/>
  <c r="C758" i="1"/>
  <c r="B758" i="1"/>
  <c r="A758" i="1"/>
  <c r="E757" i="1"/>
  <c r="D757" i="1"/>
  <c r="C757" i="1"/>
  <c r="B757" i="1"/>
  <c r="A757" i="1"/>
  <c r="E756" i="1"/>
  <c r="D756" i="1"/>
  <c r="C756" i="1"/>
  <c r="B756" i="1"/>
  <c r="A756" i="1"/>
  <c r="E755" i="1"/>
  <c r="D755" i="1"/>
  <c r="C755" i="1"/>
  <c r="B755" i="1"/>
  <c r="A755" i="1"/>
  <c r="E754" i="1"/>
  <c r="D754" i="1"/>
  <c r="C754" i="1"/>
  <c r="B754" i="1"/>
  <c r="A754" i="1"/>
  <c r="E753" i="1"/>
  <c r="D753" i="1"/>
  <c r="C753" i="1"/>
  <c r="B753" i="1"/>
  <c r="A753" i="1"/>
  <c r="E752" i="1"/>
  <c r="D752" i="1"/>
  <c r="C752" i="1"/>
  <c r="B752" i="1"/>
  <c r="A752" i="1"/>
  <c r="E751" i="1"/>
  <c r="D751" i="1"/>
  <c r="C751" i="1"/>
  <c r="B751" i="1"/>
  <c r="A751" i="1"/>
  <c r="E750" i="1"/>
  <c r="D750" i="1"/>
  <c r="C750" i="1"/>
  <c r="B750" i="1"/>
  <c r="A750" i="1"/>
  <c r="E749" i="1"/>
  <c r="D749" i="1"/>
  <c r="C749" i="1"/>
  <c r="B749" i="1"/>
  <c r="A749" i="1"/>
  <c r="E748" i="1"/>
  <c r="D748" i="1"/>
  <c r="C748" i="1"/>
  <c r="B748" i="1"/>
  <c r="A748" i="1"/>
  <c r="E747" i="1"/>
  <c r="D747" i="1"/>
  <c r="C747" i="1"/>
  <c r="B747" i="1"/>
  <c r="A747" i="1"/>
  <c r="E746" i="1"/>
  <c r="D746" i="1"/>
  <c r="C746" i="1"/>
  <c r="B746" i="1"/>
  <c r="A746" i="1"/>
  <c r="E745" i="1"/>
  <c r="D745" i="1"/>
  <c r="C745" i="1"/>
  <c r="B745" i="1"/>
  <c r="A745" i="1"/>
  <c r="E744" i="1"/>
  <c r="D744" i="1"/>
  <c r="C744" i="1"/>
  <c r="B744" i="1"/>
  <c r="A744" i="1"/>
  <c r="E743" i="1"/>
  <c r="D743" i="1"/>
  <c r="C743" i="1"/>
  <c r="B743" i="1"/>
  <c r="A743" i="1"/>
  <c r="E742" i="1"/>
  <c r="D742" i="1"/>
  <c r="C742" i="1"/>
  <c r="B742" i="1"/>
  <c r="A742" i="1"/>
  <c r="E741" i="1"/>
  <c r="D741" i="1"/>
  <c r="C741" i="1"/>
  <c r="B741" i="1"/>
  <c r="A741" i="1"/>
  <c r="E740" i="1"/>
  <c r="D740" i="1"/>
  <c r="C740" i="1"/>
  <c r="B740" i="1"/>
  <c r="A740" i="1"/>
  <c r="E739" i="1"/>
  <c r="D739" i="1"/>
  <c r="C739" i="1"/>
  <c r="B739" i="1"/>
  <c r="A739" i="1"/>
  <c r="E738" i="1"/>
  <c r="D738" i="1"/>
  <c r="C738" i="1"/>
  <c r="B738" i="1"/>
  <c r="A738" i="1"/>
  <c r="E737" i="1"/>
  <c r="D737" i="1"/>
  <c r="C737" i="1"/>
  <c r="B737" i="1"/>
  <c r="A737" i="1"/>
  <c r="E736" i="1"/>
  <c r="D736" i="1"/>
  <c r="C736" i="1"/>
  <c r="B736" i="1"/>
  <c r="A736" i="1"/>
  <c r="E735" i="1"/>
  <c r="D735" i="1"/>
  <c r="C735" i="1"/>
  <c r="B735" i="1"/>
  <c r="A735" i="1"/>
  <c r="E734" i="1"/>
  <c r="D734" i="1"/>
  <c r="C734" i="1"/>
  <c r="B734" i="1"/>
  <c r="A734" i="1"/>
  <c r="E733" i="1"/>
  <c r="D733" i="1"/>
  <c r="C733" i="1"/>
  <c r="B733" i="1"/>
  <c r="A733" i="1"/>
  <c r="E732" i="1"/>
  <c r="D732" i="1"/>
  <c r="C732" i="1"/>
  <c r="B732" i="1"/>
  <c r="A732" i="1"/>
  <c r="E731" i="1"/>
  <c r="D731" i="1"/>
  <c r="C731" i="1"/>
  <c r="B731" i="1"/>
  <c r="A731" i="1"/>
  <c r="E730" i="1"/>
  <c r="D730" i="1"/>
  <c r="C730" i="1"/>
  <c r="B730" i="1"/>
  <c r="A730" i="1"/>
  <c r="E729" i="1"/>
  <c r="D729" i="1"/>
  <c r="C729" i="1"/>
  <c r="B729" i="1"/>
  <c r="A729" i="1"/>
  <c r="E728" i="1"/>
  <c r="D728" i="1"/>
  <c r="C728" i="1"/>
  <c r="B728" i="1"/>
  <c r="A728" i="1"/>
  <c r="E727" i="1"/>
  <c r="D727" i="1"/>
  <c r="C727" i="1"/>
  <c r="B727" i="1"/>
  <c r="A727" i="1"/>
  <c r="E726" i="1"/>
  <c r="D726" i="1"/>
  <c r="C726" i="1"/>
  <c r="B726" i="1"/>
  <c r="A726" i="1"/>
  <c r="E725" i="1"/>
  <c r="D725" i="1"/>
  <c r="C725" i="1"/>
  <c r="B725" i="1"/>
  <c r="A725" i="1"/>
  <c r="E724" i="1"/>
  <c r="D724" i="1"/>
  <c r="C724" i="1"/>
  <c r="B724" i="1"/>
  <c r="A724" i="1"/>
  <c r="E723" i="1"/>
  <c r="D723" i="1"/>
  <c r="C723" i="1"/>
  <c r="B723" i="1"/>
  <c r="A723" i="1"/>
  <c r="E722" i="1"/>
  <c r="D722" i="1"/>
  <c r="C722" i="1"/>
  <c r="B722" i="1"/>
  <c r="A722" i="1"/>
  <c r="E721" i="1"/>
  <c r="D721" i="1"/>
  <c r="C721" i="1"/>
  <c r="B721" i="1"/>
  <c r="A721" i="1"/>
  <c r="E720" i="1"/>
  <c r="D720" i="1"/>
  <c r="C720" i="1"/>
  <c r="B720" i="1"/>
  <c r="A720" i="1"/>
  <c r="E719" i="1"/>
  <c r="D719" i="1"/>
  <c r="C719" i="1"/>
  <c r="B719" i="1"/>
  <c r="A719" i="1"/>
  <c r="E718" i="1"/>
  <c r="D718" i="1"/>
  <c r="C718" i="1"/>
  <c r="B718" i="1"/>
  <c r="A718" i="1"/>
  <c r="E717" i="1"/>
  <c r="D717" i="1"/>
  <c r="C717" i="1"/>
  <c r="B717" i="1"/>
  <c r="A717" i="1"/>
  <c r="E716" i="1"/>
  <c r="D716" i="1"/>
  <c r="C716" i="1"/>
  <c r="B716" i="1"/>
  <c r="A716" i="1"/>
  <c r="E715" i="1"/>
  <c r="D715" i="1"/>
  <c r="C715" i="1"/>
  <c r="B715" i="1"/>
  <c r="A715" i="1"/>
  <c r="E714" i="1"/>
  <c r="D714" i="1"/>
  <c r="C714" i="1"/>
  <c r="B714" i="1"/>
  <c r="A714" i="1"/>
  <c r="E713" i="1"/>
  <c r="D713" i="1"/>
  <c r="C713" i="1"/>
  <c r="B713" i="1"/>
  <c r="A713" i="1"/>
  <c r="E712" i="1"/>
  <c r="D712" i="1"/>
  <c r="C712" i="1"/>
  <c r="B712" i="1"/>
  <c r="A712" i="1"/>
  <c r="E711" i="1"/>
  <c r="D711" i="1"/>
  <c r="C711" i="1"/>
  <c r="B711" i="1"/>
  <c r="A711" i="1"/>
  <c r="E710" i="1"/>
  <c r="D710" i="1"/>
  <c r="C710" i="1"/>
  <c r="B710" i="1"/>
  <c r="A710" i="1"/>
  <c r="E709" i="1"/>
  <c r="D709" i="1"/>
  <c r="C709" i="1"/>
  <c r="B709" i="1"/>
  <c r="A709" i="1"/>
  <c r="E708" i="1"/>
  <c r="D708" i="1"/>
  <c r="C708" i="1"/>
  <c r="B708" i="1"/>
  <c r="A708" i="1"/>
  <c r="E707" i="1"/>
  <c r="D707" i="1"/>
  <c r="C707" i="1"/>
  <c r="B707" i="1"/>
  <c r="A707" i="1"/>
  <c r="E706" i="1"/>
  <c r="D706" i="1"/>
  <c r="C706" i="1"/>
  <c r="B706" i="1"/>
  <c r="A706" i="1"/>
  <c r="E705" i="1"/>
  <c r="D705" i="1"/>
  <c r="C705" i="1"/>
  <c r="B705" i="1"/>
  <c r="A705" i="1"/>
  <c r="E704" i="1"/>
  <c r="D704" i="1"/>
  <c r="C704" i="1"/>
  <c r="B704" i="1"/>
  <c r="A704" i="1"/>
  <c r="E703" i="1"/>
  <c r="D703" i="1"/>
  <c r="C703" i="1"/>
  <c r="B703" i="1"/>
  <c r="A703" i="1"/>
  <c r="E702" i="1"/>
  <c r="D702" i="1"/>
  <c r="C702" i="1"/>
  <c r="B702" i="1"/>
  <c r="A702" i="1"/>
  <c r="E701" i="1"/>
  <c r="D701" i="1"/>
  <c r="C701" i="1"/>
  <c r="B701" i="1"/>
  <c r="A701" i="1"/>
  <c r="E700" i="1"/>
  <c r="D700" i="1"/>
  <c r="C700" i="1"/>
  <c r="B700" i="1"/>
  <c r="A700" i="1"/>
  <c r="E699" i="1"/>
  <c r="D699" i="1"/>
  <c r="C699" i="1"/>
  <c r="B699" i="1"/>
  <c r="A699" i="1"/>
  <c r="E698" i="1"/>
  <c r="D698" i="1"/>
  <c r="C698" i="1"/>
  <c r="B698" i="1"/>
  <c r="A698" i="1"/>
  <c r="E697" i="1"/>
  <c r="D697" i="1"/>
  <c r="C697" i="1"/>
  <c r="B697" i="1"/>
  <c r="A697" i="1"/>
  <c r="E696" i="1"/>
  <c r="D696" i="1"/>
  <c r="C696" i="1"/>
  <c r="B696" i="1"/>
  <c r="A696" i="1"/>
  <c r="E695" i="1"/>
  <c r="D695" i="1"/>
  <c r="C695" i="1"/>
  <c r="B695" i="1"/>
  <c r="A695" i="1"/>
  <c r="E694" i="1"/>
  <c r="D694" i="1"/>
  <c r="C694" i="1"/>
  <c r="B694" i="1"/>
  <c r="A694" i="1"/>
  <c r="E693" i="1"/>
  <c r="D693" i="1"/>
  <c r="C693" i="1"/>
  <c r="B693" i="1"/>
  <c r="A693" i="1"/>
  <c r="E692" i="1"/>
  <c r="D692" i="1"/>
  <c r="C692" i="1"/>
  <c r="B692" i="1"/>
  <c r="A692" i="1"/>
  <c r="E691" i="1"/>
  <c r="D691" i="1"/>
  <c r="C691" i="1"/>
  <c r="B691" i="1"/>
  <c r="A691" i="1"/>
  <c r="E690" i="1"/>
  <c r="D690" i="1"/>
  <c r="C690" i="1"/>
  <c r="B690" i="1"/>
  <c r="A690" i="1"/>
  <c r="E689" i="1"/>
  <c r="D689" i="1"/>
  <c r="C689" i="1"/>
  <c r="B689" i="1"/>
  <c r="A689" i="1"/>
  <c r="E688" i="1"/>
  <c r="D688" i="1"/>
  <c r="C688" i="1"/>
  <c r="B688" i="1"/>
  <c r="A688" i="1"/>
  <c r="E687" i="1"/>
  <c r="D687" i="1"/>
  <c r="C687" i="1"/>
  <c r="B687" i="1"/>
  <c r="A687" i="1"/>
  <c r="E686" i="1"/>
  <c r="D686" i="1"/>
  <c r="C686" i="1"/>
  <c r="B686" i="1"/>
  <c r="A686" i="1"/>
  <c r="E685" i="1"/>
  <c r="D685" i="1"/>
  <c r="C685" i="1"/>
  <c r="B685" i="1"/>
  <c r="A685" i="1"/>
  <c r="E684" i="1"/>
  <c r="D684" i="1"/>
  <c r="C684" i="1"/>
  <c r="B684" i="1"/>
  <c r="A684" i="1"/>
  <c r="E683" i="1"/>
  <c r="D683" i="1"/>
  <c r="C683" i="1"/>
  <c r="B683" i="1"/>
  <c r="A683" i="1"/>
  <c r="E682" i="1"/>
  <c r="D682" i="1"/>
  <c r="C682" i="1"/>
  <c r="B682" i="1"/>
  <c r="A682" i="1"/>
  <c r="E681" i="1"/>
  <c r="D681" i="1"/>
  <c r="C681" i="1"/>
  <c r="B681" i="1"/>
  <c r="A681" i="1"/>
  <c r="E680" i="1"/>
  <c r="D680" i="1"/>
  <c r="C680" i="1"/>
  <c r="B680" i="1"/>
  <c r="A680" i="1"/>
  <c r="E679" i="1"/>
  <c r="D679" i="1"/>
  <c r="C679" i="1"/>
  <c r="B679" i="1"/>
  <c r="A679" i="1"/>
  <c r="E678" i="1"/>
  <c r="D678" i="1"/>
  <c r="C678" i="1"/>
  <c r="B678" i="1"/>
  <c r="A678" i="1"/>
  <c r="E677" i="1"/>
  <c r="D677" i="1"/>
  <c r="C677" i="1"/>
  <c r="B677" i="1"/>
  <c r="A677" i="1"/>
  <c r="E676" i="1"/>
  <c r="D676" i="1"/>
  <c r="C676" i="1"/>
  <c r="B676" i="1"/>
  <c r="A676" i="1"/>
  <c r="E675" i="1"/>
  <c r="D675" i="1"/>
  <c r="C675" i="1"/>
  <c r="B675" i="1"/>
  <c r="A675" i="1"/>
  <c r="E674" i="1"/>
  <c r="D674" i="1"/>
  <c r="C674" i="1"/>
  <c r="B674" i="1"/>
  <c r="A674" i="1"/>
  <c r="E673" i="1"/>
  <c r="D673" i="1"/>
  <c r="C673" i="1"/>
  <c r="B673" i="1"/>
  <c r="A673" i="1"/>
  <c r="E672" i="1"/>
  <c r="D672" i="1"/>
  <c r="C672" i="1"/>
  <c r="B672" i="1"/>
  <c r="A672" i="1"/>
  <c r="E671" i="1"/>
  <c r="D671" i="1"/>
  <c r="C671" i="1"/>
  <c r="B671" i="1"/>
  <c r="A671" i="1"/>
  <c r="E670" i="1"/>
  <c r="D670" i="1"/>
  <c r="C670" i="1"/>
  <c r="B670" i="1"/>
  <c r="A670" i="1"/>
  <c r="E669" i="1"/>
  <c r="D669" i="1"/>
  <c r="C669" i="1"/>
  <c r="B669" i="1"/>
  <c r="A669" i="1"/>
  <c r="E668" i="1"/>
  <c r="D668" i="1"/>
  <c r="C668" i="1"/>
  <c r="B668" i="1"/>
  <c r="A668" i="1"/>
  <c r="E667" i="1"/>
  <c r="D667" i="1"/>
  <c r="C667" i="1"/>
  <c r="B667" i="1"/>
  <c r="A667" i="1"/>
  <c r="E666" i="1"/>
  <c r="D666" i="1"/>
  <c r="C666" i="1"/>
  <c r="B666" i="1"/>
  <c r="A666" i="1"/>
  <c r="E665" i="1"/>
  <c r="D665" i="1"/>
  <c r="C665" i="1"/>
  <c r="B665" i="1"/>
  <c r="A665" i="1"/>
  <c r="E664" i="1"/>
  <c r="D664" i="1"/>
  <c r="C664" i="1"/>
  <c r="B664" i="1"/>
  <c r="A664" i="1"/>
  <c r="E663" i="1"/>
  <c r="D663" i="1"/>
  <c r="C663" i="1"/>
  <c r="B663" i="1"/>
  <c r="A663" i="1"/>
  <c r="E662" i="1"/>
  <c r="D662" i="1"/>
  <c r="C662" i="1"/>
  <c r="B662" i="1"/>
  <c r="A662" i="1"/>
  <c r="E661" i="1"/>
  <c r="D661" i="1"/>
  <c r="C661" i="1"/>
  <c r="B661" i="1"/>
  <c r="A661" i="1"/>
  <c r="E660" i="1"/>
  <c r="D660" i="1"/>
  <c r="C660" i="1"/>
  <c r="B660" i="1"/>
  <c r="A660" i="1"/>
  <c r="E659" i="1"/>
  <c r="D659" i="1"/>
  <c r="C659" i="1"/>
  <c r="B659" i="1"/>
  <c r="A659" i="1"/>
  <c r="E658" i="1"/>
  <c r="D658" i="1"/>
  <c r="C658" i="1"/>
  <c r="B658" i="1"/>
  <c r="A658" i="1"/>
  <c r="E657" i="1"/>
  <c r="D657" i="1"/>
  <c r="C657" i="1"/>
  <c r="B657" i="1"/>
  <c r="A657" i="1"/>
  <c r="E656" i="1"/>
  <c r="D656" i="1"/>
  <c r="C656" i="1"/>
  <c r="B656" i="1"/>
  <c r="A656" i="1"/>
  <c r="E655" i="1"/>
  <c r="D655" i="1"/>
  <c r="C655" i="1"/>
  <c r="B655" i="1"/>
  <c r="A655" i="1"/>
  <c r="E654" i="1"/>
  <c r="D654" i="1"/>
  <c r="C654" i="1"/>
  <c r="B654" i="1"/>
  <c r="A654" i="1"/>
  <c r="E653" i="1"/>
  <c r="D653" i="1"/>
  <c r="C653" i="1"/>
  <c r="B653" i="1"/>
  <c r="A653" i="1"/>
  <c r="E652" i="1"/>
  <c r="D652" i="1"/>
  <c r="C652" i="1"/>
  <c r="B652" i="1"/>
  <c r="A652" i="1"/>
  <c r="E651" i="1"/>
  <c r="D651" i="1"/>
  <c r="C651" i="1"/>
  <c r="B651" i="1"/>
  <c r="A651" i="1"/>
  <c r="E650" i="1"/>
  <c r="D650" i="1"/>
  <c r="C650" i="1"/>
  <c r="B650" i="1"/>
  <c r="A650" i="1"/>
  <c r="E649" i="1"/>
  <c r="D649" i="1"/>
  <c r="C649" i="1"/>
  <c r="B649" i="1"/>
  <c r="A649" i="1"/>
  <c r="E648" i="1"/>
  <c r="D648" i="1"/>
  <c r="C648" i="1"/>
  <c r="B648" i="1"/>
  <c r="A648" i="1"/>
  <c r="E647" i="1"/>
  <c r="D647" i="1"/>
  <c r="C647" i="1"/>
  <c r="B647" i="1"/>
  <c r="A647" i="1"/>
  <c r="E646" i="1"/>
  <c r="D646" i="1"/>
  <c r="C646" i="1"/>
  <c r="B646" i="1"/>
  <c r="A646" i="1"/>
  <c r="E645" i="1"/>
  <c r="D645" i="1"/>
  <c r="C645" i="1"/>
  <c r="B645" i="1"/>
  <c r="A645" i="1"/>
  <c r="E644" i="1"/>
  <c r="D644" i="1"/>
  <c r="C644" i="1"/>
  <c r="B644" i="1"/>
  <c r="A644" i="1"/>
  <c r="E643" i="1"/>
  <c r="D643" i="1"/>
  <c r="C643" i="1"/>
  <c r="B643" i="1"/>
  <c r="A643" i="1"/>
  <c r="E642" i="1"/>
  <c r="D642" i="1"/>
  <c r="C642" i="1"/>
  <c r="B642" i="1"/>
  <c r="A642" i="1"/>
  <c r="E641" i="1"/>
  <c r="D641" i="1"/>
  <c r="C641" i="1"/>
  <c r="B641" i="1"/>
  <c r="A641" i="1"/>
  <c r="E640" i="1"/>
  <c r="D640" i="1"/>
  <c r="C640" i="1"/>
  <c r="B640" i="1"/>
  <c r="A640" i="1"/>
  <c r="E639" i="1"/>
  <c r="D639" i="1"/>
  <c r="C639" i="1"/>
  <c r="B639" i="1"/>
  <c r="A639" i="1"/>
  <c r="E638" i="1"/>
  <c r="D638" i="1"/>
  <c r="C638" i="1"/>
  <c r="B638" i="1"/>
  <c r="A638" i="1"/>
  <c r="E637" i="1"/>
  <c r="D637" i="1"/>
  <c r="C637" i="1"/>
  <c r="B637" i="1"/>
  <c r="A637" i="1"/>
  <c r="E636" i="1"/>
  <c r="D636" i="1"/>
  <c r="C636" i="1"/>
  <c r="B636" i="1"/>
  <c r="A636" i="1"/>
  <c r="E635" i="1"/>
  <c r="D635" i="1"/>
  <c r="C635" i="1"/>
  <c r="B635" i="1"/>
  <c r="A635" i="1"/>
  <c r="E634" i="1"/>
  <c r="D634" i="1"/>
  <c r="C634" i="1"/>
  <c r="B634" i="1"/>
  <c r="A634" i="1"/>
  <c r="E633" i="1"/>
  <c r="D633" i="1"/>
  <c r="C633" i="1"/>
  <c r="B633" i="1"/>
  <c r="A633" i="1"/>
  <c r="E632" i="1"/>
  <c r="D632" i="1"/>
  <c r="C632" i="1"/>
  <c r="B632" i="1"/>
  <c r="A632" i="1"/>
  <c r="E631" i="1"/>
  <c r="D631" i="1"/>
  <c r="C631" i="1"/>
  <c r="B631" i="1"/>
  <c r="A631" i="1"/>
  <c r="E630" i="1"/>
  <c r="D630" i="1"/>
  <c r="C630" i="1"/>
  <c r="B630" i="1"/>
  <c r="A630" i="1"/>
  <c r="E629" i="1"/>
  <c r="D629" i="1"/>
  <c r="C629" i="1"/>
  <c r="B629" i="1"/>
  <c r="A629" i="1"/>
  <c r="E628" i="1"/>
  <c r="D628" i="1"/>
  <c r="C628" i="1"/>
  <c r="B628" i="1"/>
  <c r="A628" i="1"/>
  <c r="E627" i="1"/>
  <c r="D627" i="1"/>
  <c r="C627" i="1"/>
  <c r="B627" i="1"/>
  <c r="A627" i="1"/>
  <c r="E626" i="1"/>
  <c r="D626" i="1"/>
  <c r="C626" i="1"/>
  <c r="B626" i="1"/>
  <c r="A626" i="1"/>
  <c r="E625" i="1"/>
  <c r="D625" i="1"/>
  <c r="C625" i="1"/>
  <c r="B625" i="1"/>
  <c r="A625" i="1"/>
  <c r="E624" i="1"/>
  <c r="D624" i="1"/>
  <c r="C624" i="1"/>
  <c r="B624" i="1"/>
  <c r="A624" i="1"/>
  <c r="E623" i="1"/>
  <c r="D623" i="1"/>
  <c r="C623" i="1"/>
  <c r="B623" i="1"/>
  <c r="A623" i="1"/>
  <c r="E622" i="1"/>
  <c r="D622" i="1"/>
  <c r="C622" i="1"/>
  <c r="B622" i="1"/>
  <c r="A622" i="1"/>
  <c r="E621" i="1"/>
  <c r="D621" i="1"/>
  <c r="C621" i="1"/>
  <c r="B621" i="1"/>
  <c r="A621" i="1"/>
  <c r="E620" i="1"/>
  <c r="D620" i="1"/>
  <c r="C620" i="1"/>
  <c r="B620" i="1"/>
  <c r="A620" i="1"/>
  <c r="E619" i="1"/>
  <c r="D619" i="1"/>
  <c r="C619" i="1"/>
  <c r="B619" i="1"/>
  <c r="A619" i="1"/>
  <c r="E618" i="1"/>
  <c r="D618" i="1"/>
  <c r="C618" i="1"/>
  <c r="B618" i="1"/>
  <c r="A618" i="1"/>
  <c r="E617" i="1"/>
  <c r="D617" i="1"/>
  <c r="C617" i="1"/>
  <c r="B617" i="1"/>
  <c r="A617" i="1"/>
  <c r="E616" i="1"/>
  <c r="D616" i="1"/>
  <c r="C616" i="1"/>
  <c r="B616" i="1"/>
  <c r="A616" i="1"/>
  <c r="E615" i="1"/>
  <c r="D615" i="1"/>
  <c r="C615" i="1"/>
  <c r="B615" i="1"/>
  <c r="A615" i="1"/>
  <c r="E614" i="1"/>
  <c r="D614" i="1"/>
  <c r="C614" i="1"/>
  <c r="B614" i="1"/>
  <c r="A614" i="1"/>
  <c r="E613" i="1"/>
  <c r="D613" i="1"/>
  <c r="C613" i="1"/>
  <c r="B613" i="1"/>
  <c r="A613" i="1"/>
  <c r="E612" i="1"/>
  <c r="D612" i="1"/>
  <c r="C612" i="1"/>
  <c r="B612" i="1"/>
  <c r="A612" i="1"/>
  <c r="E611" i="1"/>
  <c r="D611" i="1"/>
  <c r="C611" i="1"/>
  <c r="B611" i="1"/>
  <c r="A611" i="1"/>
  <c r="E610" i="1"/>
  <c r="D610" i="1"/>
  <c r="C610" i="1"/>
  <c r="B610" i="1"/>
  <c r="A610" i="1"/>
  <c r="E609" i="1"/>
  <c r="D609" i="1"/>
  <c r="C609" i="1"/>
  <c r="B609" i="1"/>
  <c r="A609" i="1"/>
  <c r="E608" i="1"/>
  <c r="D608" i="1"/>
  <c r="C608" i="1"/>
  <c r="B608" i="1"/>
  <c r="A608" i="1"/>
  <c r="E607" i="1"/>
  <c r="D607" i="1"/>
  <c r="C607" i="1"/>
  <c r="B607" i="1"/>
  <c r="A607" i="1"/>
  <c r="E606" i="1"/>
  <c r="D606" i="1"/>
  <c r="C606" i="1"/>
  <c r="B606" i="1"/>
  <c r="A606" i="1"/>
  <c r="E605" i="1"/>
  <c r="D605" i="1"/>
  <c r="C605" i="1"/>
  <c r="B605" i="1"/>
  <c r="A605" i="1"/>
  <c r="E604" i="1"/>
  <c r="D604" i="1"/>
  <c r="C604" i="1"/>
  <c r="B604" i="1"/>
  <c r="A604" i="1"/>
  <c r="E603" i="1"/>
  <c r="D603" i="1"/>
  <c r="C603" i="1"/>
  <c r="B603" i="1"/>
  <c r="A603" i="1"/>
  <c r="E602" i="1"/>
  <c r="D602" i="1"/>
  <c r="C602" i="1"/>
  <c r="B602" i="1"/>
  <c r="A602" i="1"/>
  <c r="E601" i="1"/>
  <c r="D601" i="1"/>
  <c r="C601" i="1"/>
  <c r="B601" i="1"/>
  <c r="A601" i="1"/>
  <c r="E600" i="1"/>
  <c r="D600" i="1"/>
  <c r="C600" i="1"/>
  <c r="B600" i="1"/>
  <c r="A600" i="1"/>
  <c r="E599" i="1"/>
  <c r="D599" i="1"/>
  <c r="C599" i="1"/>
  <c r="B599" i="1"/>
  <c r="A599" i="1"/>
  <c r="E598" i="1"/>
  <c r="D598" i="1"/>
  <c r="C598" i="1"/>
  <c r="B598" i="1"/>
  <c r="A598" i="1"/>
  <c r="E597" i="1"/>
  <c r="D597" i="1"/>
  <c r="C597" i="1"/>
  <c r="B597" i="1"/>
  <c r="A597" i="1"/>
  <c r="E596" i="1"/>
  <c r="D596" i="1"/>
  <c r="C596" i="1"/>
  <c r="B596" i="1"/>
  <c r="A596" i="1"/>
  <c r="E595" i="1"/>
  <c r="D595" i="1"/>
  <c r="C595" i="1"/>
  <c r="B595" i="1"/>
  <c r="A595" i="1"/>
  <c r="E594" i="1"/>
  <c r="D594" i="1"/>
  <c r="C594" i="1"/>
  <c r="B594" i="1"/>
  <c r="A594" i="1"/>
  <c r="E593" i="1"/>
  <c r="D593" i="1"/>
  <c r="C593" i="1"/>
  <c r="B593" i="1"/>
  <c r="A593" i="1"/>
  <c r="E592" i="1"/>
  <c r="D592" i="1"/>
  <c r="C592" i="1"/>
  <c r="B592" i="1"/>
  <c r="A592" i="1"/>
  <c r="E591" i="1"/>
  <c r="D591" i="1"/>
  <c r="C591" i="1"/>
  <c r="B591" i="1"/>
  <c r="A591" i="1"/>
  <c r="E590" i="1"/>
  <c r="D590" i="1"/>
  <c r="C590" i="1"/>
  <c r="B590" i="1"/>
  <c r="A590" i="1"/>
  <c r="E589" i="1"/>
  <c r="D589" i="1"/>
  <c r="C589" i="1"/>
  <c r="B589" i="1"/>
  <c r="A589" i="1"/>
  <c r="E588" i="1"/>
  <c r="D588" i="1"/>
  <c r="C588" i="1"/>
  <c r="B588" i="1"/>
  <c r="A588" i="1"/>
  <c r="E587" i="1"/>
  <c r="D587" i="1"/>
  <c r="C587" i="1"/>
  <c r="B587" i="1"/>
  <c r="A587" i="1"/>
  <c r="E586" i="1"/>
  <c r="D586" i="1"/>
  <c r="C586" i="1"/>
  <c r="B586" i="1"/>
  <c r="A586" i="1"/>
  <c r="E585" i="1"/>
  <c r="D585" i="1"/>
  <c r="C585" i="1"/>
  <c r="B585" i="1"/>
  <c r="A585" i="1"/>
  <c r="E584" i="1"/>
  <c r="D584" i="1"/>
  <c r="C584" i="1"/>
  <c r="B584" i="1"/>
  <c r="A584" i="1"/>
  <c r="E583" i="1"/>
  <c r="D583" i="1"/>
  <c r="C583" i="1"/>
  <c r="B583" i="1"/>
  <c r="A583" i="1"/>
  <c r="E582" i="1"/>
  <c r="D582" i="1"/>
  <c r="C582" i="1"/>
  <c r="B582" i="1"/>
  <c r="A582" i="1"/>
  <c r="E581" i="1"/>
  <c r="D581" i="1"/>
  <c r="C581" i="1"/>
  <c r="B581" i="1"/>
  <c r="A581" i="1"/>
  <c r="E580" i="1"/>
  <c r="D580" i="1"/>
  <c r="C580" i="1"/>
  <c r="B580" i="1"/>
  <c r="A580" i="1"/>
  <c r="E579" i="1"/>
  <c r="D579" i="1"/>
  <c r="C579" i="1"/>
  <c r="B579" i="1"/>
  <c r="A579" i="1"/>
  <c r="E578" i="1"/>
  <c r="D578" i="1"/>
  <c r="C578" i="1"/>
  <c r="B578" i="1"/>
  <c r="A578" i="1"/>
  <c r="E577" i="1"/>
  <c r="D577" i="1"/>
  <c r="C577" i="1"/>
  <c r="B577" i="1"/>
  <c r="A577" i="1"/>
  <c r="E576" i="1"/>
  <c r="D576" i="1"/>
  <c r="C576" i="1"/>
  <c r="B576" i="1"/>
  <c r="A576" i="1"/>
  <c r="E575" i="1"/>
  <c r="D575" i="1"/>
  <c r="C575" i="1"/>
  <c r="B575" i="1"/>
  <c r="A575" i="1"/>
  <c r="E574" i="1"/>
  <c r="D574" i="1"/>
  <c r="C574" i="1"/>
  <c r="B574" i="1"/>
  <c r="A574" i="1"/>
  <c r="E573" i="1"/>
  <c r="D573" i="1"/>
  <c r="C573" i="1"/>
  <c r="B573" i="1"/>
  <c r="A573" i="1"/>
  <c r="E572" i="1"/>
  <c r="D572" i="1"/>
  <c r="C572" i="1"/>
  <c r="B572" i="1"/>
  <c r="A572" i="1"/>
  <c r="E571" i="1"/>
  <c r="D571" i="1"/>
  <c r="C571" i="1"/>
  <c r="B571" i="1"/>
  <c r="A571" i="1"/>
  <c r="E570" i="1"/>
  <c r="D570" i="1"/>
  <c r="C570" i="1"/>
  <c r="B570" i="1"/>
  <c r="A570" i="1"/>
  <c r="E569" i="1"/>
  <c r="D569" i="1"/>
  <c r="C569" i="1"/>
  <c r="B569" i="1"/>
  <c r="A569" i="1"/>
  <c r="E568" i="1"/>
  <c r="D568" i="1"/>
  <c r="C568" i="1"/>
  <c r="B568" i="1"/>
  <c r="A568" i="1"/>
  <c r="E567" i="1"/>
  <c r="D567" i="1"/>
  <c r="C567" i="1"/>
  <c r="B567" i="1"/>
  <c r="A567" i="1"/>
  <c r="E566" i="1"/>
  <c r="D566" i="1"/>
  <c r="C566" i="1"/>
  <c r="B566" i="1"/>
  <c r="A566" i="1"/>
  <c r="E565" i="1"/>
  <c r="D565" i="1"/>
  <c r="C565" i="1"/>
  <c r="B565" i="1"/>
  <c r="A565" i="1"/>
  <c r="E564" i="1"/>
  <c r="D564" i="1"/>
  <c r="C564" i="1"/>
  <c r="B564" i="1"/>
  <c r="A564" i="1"/>
  <c r="E563" i="1"/>
  <c r="D563" i="1"/>
  <c r="C563" i="1"/>
  <c r="B563" i="1"/>
  <c r="A563" i="1"/>
  <c r="E562" i="1"/>
  <c r="D562" i="1"/>
  <c r="C562" i="1"/>
  <c r="B562" i="1"/>
  <c r="A562" i="1"/>
  <c r="E561" i="1"/>
  <c r="D561" i="1"/>
  <c r="C561" i="1"/>
  <c r="B561" i="1"/>
  <c r="A561" i="1"/>
  <c r="E560" i="1"/>
  <c r="D560" i="1"/>
  <c r="C560" i="1"/>
  <c r="B560" i="1"/>
  <c r="A560" i="1"/>
  <c r="E559" i="1"/>
  <c r="D559" i="1"/>
  <c r="C559" i="1"/>
  <c r="B559" i="1"/>
  <c r="A559" i="1"/>
  <c r="E558" i="1"/>
  <c r="D558" i="1"/>
  <c r="C558" i="1"/>
  <c r="B558" i="1"/>
  <c r="A558" i="1"/>
  <c r="E557" i="1"/>
  <c r="D557" i="1"/>
  <c r="C557" i="1"/>
  <c r="B557" i="1"/>
  <c r="A557" i="1"/>
  <c r="E556" i="1"/>
  <c r="D556" i="1"/>
  <c r="C556" i="1"/>
  <c r="B556" i="1"/>
  <c r="A556" i="1"/>
  <c r="E555" i="1"/>
  <c r="D555" i="1"/>
  <c r="C555" i="1"/>
  <c r="B555" i="1"/>
  <c r="A555" i="1"/>
  <c r="E554" i="1"/>
  <c r="D554" i="1"/>
  <c r="C554" i="1"/>
  <c r="B554" i="1"/>
  <c r="A554" i="1"/>
  <c r="E553" i="1"/>
  <c r="D553" i="1"/>
  <c r="C553" i="1"/>
  <c r="B553" i="1"/>
  <c r="A553" i="1"/>
  <c r="E552" i="1"/>
  <c r="D552" i="1"/>
  <c r="C552" i="1"/>
  <c r="B552" i="1"/>
  <c r="A552" i="1"/>
  <c r="E551" i="1"/>
  <c r="D551" i="1"/>
  <c r="C551" i="1"/>
  <c r="B551" i="1"/>
  <c r="A551" i="1"/>
  <c r="E550" i="1"/>
  <c r="D550" i="1"/>
  <c r="C550" i="1"/>
  <c r="B550" i="1"/>
  <c r="A550" i="1"/>
  <c r="E549" i="1"/>
  <c r="D549" i="1"/>
  <c r="C549" i="1"/>
  <c r="B549" i="1"/>
  <c r="A549" i="1"/>
  <c r="E548" i="1"/>
  <c r="D548" i="1"/>
  <c r="C548" i="1"/>
  <c r="B548" i="1"/>
  <c r="A548" i="1"/>
  <c r="E547" i="1"/>
  <c r="D547" i="1"/>
  <c r="C547" i="1"/>
  <c r="B547" i="1"/>
  <c r="A547" i="1"/>
  <c r="E546" i="1"/>
  <c r="D546" i="1"/>
  <c r="C546" i="1"/>
  <c r="B546" i="1"/>
  <c r="A546" i="1"/>
  <c r="E545" i="1"/>
  <c r="D545" i="1"/>
  <c r="C545" i="1"/>
  <c r="B545" i="1"/>
  <c r="A545" i="1"/>
  <c r="E544" i="1"/>
  <c r="D544" i="1"/>
  <c r="C544" i="1"/>
  <c r="B544" i="1"/>
  <c r="A544" i="1"/>
  <c r="E543" i="1"/>
  <c r="D543" i="1"/>
  <c r="C543" i="1"/>
  <c r="B543" i="1"/>
  <c r="A543" i="1"/>
  <c r="E542" i="1"/>
  <c r="D542" i="1"/>
  <c r="C542" i="1"/>
  <c r="B542" i="1"/>
  <c r="A542" i="1"/>
  <c r="E541" i="1"/>
  <c r="D541" i="1"/>
  <c r="C541" i="1"/>
  <c r="B541" i="1"/>
  <c r="A541" i="1"/>
  <c r="E540" i="1"/>
  <c r="D540" i="1"/>
  <c r="C540" i="1"/>
  <c r="B540" i="1"/>
  <c r="A540" i="1"/>
  <c r="E539" i="1"/>
  <c r="D539" i="1"/>
  <c r="C539" i="1"/>
  <c r="B539" i="1"/>
  <c r="A539" i="1"/>
  <c r="E538" i="1"/>
  <c r="D538" i="1"/>
  <c r="C538" i="1"/>
  <c r="B538" i="1"/>
  <c r="A538" i="1"/>
  <c r="E537" i="1"/>
  <c r="D537" i="1"/>
  <c r="C537" i="1"/>
  <c r="B537" i="1"/>
  <c r="A537" i="1"/>
  <c r="E536" i="1"/>
  <c r="D536" i="1"/>
  <c r="C536" i="1"/>
  <c r="B536" i="1"/>
  <c r="A536" i="1"/>
  <c r="E535" i="1"/>
  <c r="D535" i="1"/>
  <c r="C535" i="1"/>
  <c r="B535" i="1"/>
  <c r="A535" i="1"/>
  <c r="E534" i="1"/>
  <c r="D534" i="1"/>
  <c r="C534" i="1"/>
  <c r="B534" i="1"/>
  <c r="A534" i="1"/>
  <c r="E533" i="1"/>
  <c r="D533" i="1"/>
  <c r="C533" i="1"/>
  <c r="B533" i="1"/>
  <c r="A533" i="1"/>
  <c r="E532" i="1"/>
  <c r="D532" i="1"/>
  <c r="C532" i="1"/>
  <c r="B532" i="1"/>
  <c r="A532" i="1"/>
  <c r="E531" i="1"/>
  <c r="D531" i="1"/>
  <c r="C531" i="1"/>
  <c r="B531" i="1"/>
  <c r="A531" i="1"/>
  <c r="E530" i="1"/>
  <c r="D530" i="1"/>
  <c r="C530" i="1"/>
  <c r="B530" i="1"/>
  <c r="A530" i="1"/>
  <c r="E529" i="1"/>
  <c r="D529" i="1"/>
  <c r="C529" i="1"/>
  <c r="B529" i="1"/>
  <c r="A529" i="1"/>
  <c r="E528" i="1"/>
  <c r="D528" i="1"/>
  <c r="C528" i="1"/>
  <c r="B528" i="1"/>
  <c r="A528" i="1"/>
  <c r="E527" i="1"/>
  <c r="D527" i="1"/>
  <c r="C527" i="1"/>
  <c r="B527" i="1"/>
  <c r="A527" i="1"/>
  <c r="E526" i="1"/>
  <c r="D526" i="1"/>
  <c r="C526" i="1"/>
  <c r="B526" i="1"/>
  <c r="A526" i="1"/>
  <c r="E525" i="1"/>
  <c r="D525" i="1"/>
  <c r="C525" i="1"/>
  <c r="B525" i="1"/>
  <c r="A525" i="1"/>
  <c r="E524" i="1"/>
  <c r="D524" i="1"/>
  <c r="C524" i="1"/>
  <c r="B524" i="1"/>
  <c r="A524" i="1"/>
  <c r="E523" i="1"/>
  <c r="D523" i="1"/>
  <c r="C523" i="1"/>
  <c r="B523" i="1"/>
  <c r="A523" i="1"/>
  <c r="E522" i="1"/>
  <c r="D522" i="1"/>
  <c r="C522" i="1"/>
  <c r="B522" i="1"/>
  <c r="A522" i="1"/>
  <c r="E521" i="1"/>
  <c r="D521" i="1"/>
  <c r="C521" i="1"/>
  <c r="B521" i="1"/>
  <c r="A521" i="1"/>
  <c r="E520" i="1"/>
  <c r="D520" i="1"/>
  <c r="C520" i="1"/>
  <c r="B520" i="1"/>
  <c r="A520" i="1"/>
  <c r="E519" i="1"/>
  <c r="D519" i="1"/>
  <c r="C519" i="1"/>
  <c r="B519" i="1"/>
  <c r="A519" i="1"/>
  <c r="E518" i="1"/>
  <c r="D518" i="1"/>
  <c r="C518" i="1"/>
  <c r="B518" i="1"/>
  <c r="A518" i="1"/>
  <c r="E517" i="1"/>
  <c r="D517" i="1"/>
  <c r="C517" i="1"/>
  <c r="B517" i="1"/>
  <c r="A517" i="1"/>
  <c r="E516" i="1"/>
  <c r="D516" i="1"/>
  <c r="C516" i="1"/>
  <c r="B516" i="1"/>
  <c r="A516" i="1"/>
  <c r="E515" i="1"/>
  <c r="D515" i="1"/>
  <c r="C515" i="1"/>
  <c r="B515" i="1"/>
  <c r="A515" i="1"/>
  <c r="E514" i="1"/>
  <c r="D514" i="1"/>
  <c r="C514" i="1"/>
  <c r="B514" i="1"/>
  <c r="A514" i="1"/>
  <c r="E513" i="1"/>
  <c r="D513" i="1"/>
  <c r="C513" i="1"/>
  <c r="B513" i="1"/>
  <c r="A513" i="1"/>
  <c r="E512" i="1"/>
  <c r="D512" i="1"/>
  <c r="C512" i="1"/>
  <c r="B512" i="1"/>
  <c r="A512" i="1"/>
  <c r="E511" i="1"/>
  <c r="D511" i="1"/>
  <c r="C511" i="1"/>
  <c r="B511" i="1"/>
  <c r="A511" i="1"/>
  <c r="E510" i="1"/>
  <c r="D510" i="1"/>
  <c r="C510" i="1"/>
  <c r="B510" i="1"/>
  <c r="A510" i="1"/>
  <c r="E509" i="1"/>
  <c r="D509" i="1"/>
  <c r="C509" i="1"/>
  <c r="B509" i="1"/>
  <c r="A509" i="1"/>
  <c r="E508" i="1"/>
  <c r="D508" i="1"/>
  <c r="C508" i="1"/>
  <c r="B508" i="1"/>
  <c r="A508" i="1"/>
  <c r="E507" i="1"/>
  <c r="D507" i="1"/>
  <c r="C507" i="1"/>
  <c r="B507" i="1"/>
  <c r="A507" i="1"/>
  <c r="E506" i="1"/>
  <c r="D506" i="1"/>
  <c r="C506" i="1"/>
  <c r="B506" i="1"/>
  <c r="A506" i="1"/>
  <c r="E505" i="1"/>
  <c r="D505" i="1"/>
  <c r="C505" i="1"/>
  <c r="B505" i="1"/>
  <c r="A505" i="1"/>
  <c r="E504" i="1"/>
  <c r="D504" i="1"/>
  <c r="C504" i="1"/>
  <c r="B504" i="1"/>
  <c r="A504" i="1"/>
  <c r="E503" i="1"/>
  <c r="D503" i="1"/>
  <c r="C503" i="1"/>
  <c r="B503" i="1"/>
  <c r="A503" i="1"/>
  <c r="E502" i="1"/>
  <c r="D502" i="1"/>
  <c r="C502" i="1"/>
  <c r="B502" i="1"/>
  <c r="A502" i="1"/>
  <c r="E501" i="1"/>
  <c r="D501" i="1"/>
  <c r="C501" i="1"/>
  <c r="B501" i="1"/>
  <c r="A501" i="1"/>
  <c r="E500" i="1"/>
  <c r="D500" i="1"/>
  <c r="C500" i="1"/>
  <c r="B500" i="1"/>
  <c r="A500" i="1"/>
  <c r="E499" i="1"/>
  <c r="D499" i="1"/>
  <c r="C499" i="1"/>
  <c r="B499" i="1"/>
  <c r="A499" i="1"/>
  <c r="E498" i="1"/>
  <c r="D498" i="1"/>
  <c r="C498" i="1"/>
  <c r="B498" i="1"/>
  <c r="A498" i="1"/>
  <c r="E497" i="1"/>
  <c r="D497" i="1"/>
  <c r="C497" i="1"/>
  <c r="B497" i="1"/>
  <c r="A497" i="1"/>
  <c r="E496" i="1"/>
  <c r="D496" i="1"/>
  <c r="C496" i="1"/>
  <c r="B496" i="1"/>
  <c r="A496" i="1"/>
  <c r="E495" i="1"/>
  <c r="D495" i="1"/>
  <c r="C495" i="1"/>
  <c r="B495" i="1"/>
  <c r="A495" i="1"/>
  <c r="E494" i="1"/>
  <c r="D494" i="1"/>
  <c r="C494" i="1"/>
  <c r="B494" i="1"/>
  <c r="A494" i="1"/>
  <c r="E493" i="1"/>
  <c r="D493" i="1"/>
  <c r="C493" i="1"/>
  <c r="B493" i="1"/>
  <c r="A493" i="1"/>
  <c r="E492" i="1"/>
  <c r="D492" i="1"/>
  <c r="C492" i="1"/>
  <c r="B492" i="1"/>
  <c r="A492" i="1"/>
  <c r="E491" i="1"/>
  <c r="D491" i="1"/>
  <c r="C491" i="1"/>
  <c r="B491" i="1"/>
  <c r="A491" i="1"/>
  <c r="E490" i="1"/>
  <c r="D490" i="1"/>
  <c r="C490" i="1"/>
  <c r="B490" i="1"/>
  <c r="A490" i="1"/>
  <c r="E489" i="1"/>
  <c r="D489" i="1"/>
  <c r="C489" i="1"/>
  <c r="B489" i="1"/>
  <c r="A489" i="1"/>
  <c r="E488" i="1"/>
  <c r="D488" i="1"/>
  <c r="C488" i="1"/>
  <c r="B488" i="1"/>
  <c r="A488" i="1"/>
  <c r="E487" i="1"/>
  <c r="D487" i="1"/>
  <c r="C487" i="1"/>
  <c r="B487" i="1"/>
  <c r="A487" i="1"/>
  <c r="E486" i="1"/>
  <c r="D486" i="1"/>
  <c r="C486" i="1"/>
  <c r="B486" i="1"/>
  <c r="A486" i="1"/>
  <c r="E485" i="1"/>
  <c r="D485" i="1"/>
  <c r="C485" i="1"/>
  <c r="B485" i="1"/>
  <c r="A485" i="1"/>
  <c r="E484" i="1"/>
  <c r="D484" i="1"/>
  <c r="C484" i="1"/>
  <c r="B484" i="1"/>
  <c r="A484" i="1"/>
  <c r="E483" i="1"/>
  <c r="D483" i="1"/>
  <c r="C483" i="1"/>
  <c r="B483" i="1"/>
  <c r="A483" i="1"/>
  <c r="E482" i="1"/>
  <c r="D482" i="1"/>
  <c r="C482" i="1"/>
  <c r="B482" i="1"/>
  <c r="A482" i="1"/>
  <c r="E481" i="1"/>
  <c r="D481" i="1"/>
  <c r="C481" i="1"/>
  <c r="B481" i="1"/>
  <c r="A481" i="1"/>
  <c r="E480" i="1"/>
  <c r="D480" i="1"/>
  <c r="C480" i="1"/>
  <c r="B480" i="1"/>
  <c r="A480" i="1"/>
  <c r="E479" i="1"/>
  <c r="D479" i="1"/>
  <c r="C479" i="1"/>
  <c r="B479" i="1"/>
  <c r="A479" i="1"/>
  <c r="E478" i="1"/>
  <c r="D478" i="1"/>
  <c r="C478" i="1"/>
  <c r="B478" i="1"/>
  <c r="A478" i="1"/>
  <c r="E477" i="1"/>
  <c r="D477" i="1"/>
  <c r="C477" i="1"/>
  <c r="B477" i="1"/>
  <c r="A477" i="1"/>
  <c r="E476" i="1"/>
  <c r="D476" i="1"/>
  <c r="C476" i="1"/>
  <c r="B476" i="1"/>
  <c r="A476" i="1"/>
  <c r="E475" i="1"/>
  <c r="D475" i="1"/>
  <c r="C475" i="1"/>
  <c r="B475" i="1"/>
  <c r="A475" i="1"/>
  <c r="E474" i="1"/>
  <c r="D474" i="1"/>
  <c r="C474" i="1"/>
  <c r="B474" i="1"/>
  <c r="A474" i="1"/>
  <c r="E473" i="1"/>
  <c r="D473" i="1"/>
  <c r="C473" i="1"/>
  <c r="B473" i="1"/>
  <c r="A473" i="1"/>
  <c r="E472" i="1"/>
  <c r="D472" i="1"/>
  <c r="C472" i="1"/>
  <c r="B472" i="1"/>
  <c r="A472" i="1"/>
  <c r="E471" i="1"/>
  <c r="D471" i="1"/>
  <c r="C471" i="1"/>
  <c r="B471" i="1"/>
  <c r="A471" i="1"/>
  <c r="E470" i="1"/>
  <c r="D470" i="1"/>
  <c r="C470" i="1"/>
  <c r="B470" i="1"/>
  <c r="A470" i="1"/>
  <c r="E469" i="1"/>
  <c r="D469" i="1"/>
  <c r="C469" i="1"/>
  <c r="B469" i="1"/>
  <c r="A469" i="1"/>
  <c r="E468" i="1"/>
  <c r="D468" i="1"/>
  <c r="C468" i="1"/>
  <c r="B468" i="1"/>
  <c r="A468" i="1"/>
  <c r="E467" i="1"/>
  <c r="D467" i="1"/>
  <c r="C467" i="1"/>
  <c r="B467" i="1"/>
  <c r="A467" i="1"/>
  <c r="E466" i="1"/>
  <c r="D466" i="1"/>
  <c r="C466" i="1"/>
  <c r="B466" i="1"/>
  <c r="A466" i="1"/>
  <c r="E465" i="1"/>
  <c r="D465" i="1"/>
  <c r="C465" i="1"/>
  <c r="B465" i="1"/>
  <c r="A465" i="1"/>
  <c r="E464" i="1"/>
  <c r="D464" i="1"/>
  <c r="C464" i="1"/>
  <c r="B464" i="1"/>
  <c r="A464" i="1"/>
  <c r="E463" i="1"/>
  <c r="D463" i="1"/>
  <c r="C463" i="1"/>
  <c r="B463" i="1"/>
  <c r="A463" i="1"/>
  <c r="E462" i="1"/>
  <c r="D462" i="1"/>
  <c r="C462" i="1"/>
  <c r="B462" i="1"/>
  <c r="A462" i="1"/>
  <c r="E461" i="1"/>
  <c r="D461" i="1"/>
  <c r="C461" i="1"/>
  <c r="B461" i="1"/>
  <c r="A461" i="1"/>
  <c r="E460" i="1"/>
  <c r="D460" i="1"/>
  <c r="C460" i="1"/>
  <c r="B460" i="1"/>
  <c r="A460" i="1"/>
  <c r="E459" i="1"/>
  <c r="D459" i="1"/>
  <c r="C459" i="1"/>
  <c r="B459" i="1"/>
  <c r="A459" i="1"/>
  <c r="E458" i="1"/>
  <c r="D458" i="1"/>
  <c r="C458" i="1"/>
  <c r="B458" i="1"/>
  <c r="A458" i="1"/>
  <c r="E457" i="1"/>
  <c r="D457" i="1"/>
  <c r="C457" i="1"/>
  <c r="B457" i="1"/>
  <c r="A457" i="1"/>
  <c r="E456" i="1"/>
  <c r="D456" i="1"/>
  <c r="C456" i="1"/>
  <c r="B456" i="1"/>
  <c r="A456" i="1"/>
  <c r="E455" i="1"/>
  <c r="D455" i="1"/>
  <c r="C455" i="1"/>
  <c r="B455" i="1"/>
  <c r="A455" i="1"/>
  <c r="E454" i="1"/>
  <c r="D454" i="1"/>
  <c r="C454" i="1"/>
  <c r="B454" i="1"/>
  <c r="A454" i="1"/>
  <c r="E453" i="1"/>
  <c r="D453" i="1"/>
  <c r="C453" i="1"/>
  <c r="B453" i="1"/>
  <c r="A453" i="1"/>
  <c r="E452" i="1"/>
  <c r="D452" i="1"/>
  <c r="C452" i="1"/>
  <c r="B452" i="1"/>
  <c r="A452" i="1"/>
  <c r="E451" i="1"/>
  <c r="D451" i="1"/>
  <c r="C451" i="1"/>
  <c r="B451" i="1"/>
  <c r="A451" i="1"/>
  <c r="E450" i="1"/>
  <c r="D450" i="1"/>
  <c r="C450" i="1"/>
  <c r="B450" i="1"/>
  <c r="A450" i="1"/>
  <c r="E449" i="1"/>
  <c r="D449" i="1"/>
  <c r="C449" i="1"/>
  <c r="B449" i="1"/>
  <c r="A449" i="1"/>
  <c r="E448" i="1"/>
  <c r="D448" i="1"/>
  <c r="C448" i="1"/>
  <c r="B448" i="1"/>
  <c r="A448" i="1"/>
  <c r="E447" i="1"/>
  <c r="D447" i="1"/>
  <c r="C447" i="1"/>
  <c r="B447" i="1"/>
  <c r="A447" i="1"/>
  <c r="E446" i="1"/>
  <c r="D446" i="1"/>
  <c r="C446" i="1"/>
  <c r="B446" i="1"/>
  <c r="A446" i="1"/>
  <c r="E445" i="1"/>
  <c r="D445" i="1"/>
  <c r="C445" i="1"/>
  <c r="B445" i="1"/>
  <c r="A445" i="1"/>
  <c r="E444" i="1"/>
  <c r="D444" i="1"/>
  <c r="C444" i="1"/>
  <c r="B444" i="1"/>
  <c r="A444" i="1"/>
  <c r="E443" i="1"/>
  <c r="D443" i="1"/>
  <c r="C443" i="1"/>
  <c r="B443" i="1"/>
  <c r="A443" i="1"/>
  <c r="E442" i="1"/>
  <c r="D442" i="1"/>
  <c r="C442" i="1"/>
  <c r="B442" i="1"/>
  <c r="A442" i="1"/>
  <c r="E441" i="1"/>
  <c r="D441" i="1"/>
  <c r="C441" i="1"/>
  <c r="B441" i="1"/>
  <c r="A441" i="1"/>
  <c r="E440" i="1"/>
  <c r="D440" i="1"/>
  <c r="C440" i="1"/>
  <c r="B440" i="1"/>
  <c r="A440" i="1"/>
  <c r="E439" i="1"/>
  <c r="D439" i="1"/>
  <c r="C439" i="1"/>
  <c r="B439" i="1"/>
  <c r="A439" i="1"/>
  <c r="E438" i="1"/>
  <c r="D438" i="1"/>
  <c r="C438" i="1"/>
  <c r="B438" i="1"/>
  <c r="A438" i="1"/>
  <c r="E437" i="1"/>
  <c r="D437" i="1"/>
  <c r="C437" i="1"/>
  <c r="B437" i="1"/>
  <c r="A437" i="1"/>
  <c r="E436" i="1"/>
  <c r="D436" i="1"/>
  <c r="C436" i="1"/>
  <c r="B436" i="1"/>
  <c r="A436" i="1"/>
  <c r="E435" i="1"/>
  <c r="D435" i="1"/>
  <c r="C435" i="1"/>
  <c r="B435" i="1"/>
  <c r="A435" i="1"/>
  <c r="E434" i="1"/>
  <c r="D434" i="1"/>
  <c r="C434" i="1"/>
  <c r="B434" i="1"/>
  <c r="A434" i="1"/>
  <c r="E433" i="1"/>
  <c r="D433" i="1"/>
  <c r="C433" i="1"/>
  <c r="B433" i="1"/>
  <c r="A433" i="1"/>
  <c r="E432" i="1"/>
  <c r="D432" i="1"/>
  <c r="C432" i="1"/>
  <c r="B432" i="1"/>
  <c r="A432" i="1"/>
  <c r="E431" i="1"/>
  <c r="D431" i="1"/>
  <c r="C431" i="1"/>
  <c r="B431" i="1"/>
  <c r="A431" i="1"/>
  <c r="E430" i="1"/>
  <c r="D430" i="1"/>
  <c r="C430" i="1"/>
  <c r="B430" i="1"/>
  <c r="A430" i="1"/>
  <c r="E429" i="1"/>
  <c r="D429" i="1"/>
  <c r="C429" i="1"/>
  <c r="B429" i="1"/>
  <c r="A429" i="1"/>
  <c r="E428" i="1"/>
  <c r="D428" i="1"/>
  <c r="C428" i="1"/>
  <c r="B428" i="1"/>
  <c r="A428" i="1"/>
  <c r="E427" i="1"/>
  <c r="D427" i="1"/>
  <c r="C427" i="1"/>
  <c r="B427" i="1"/>
  <c r="A427" i="1"/>
  <c r="E426" i="1"/>
  <c r="D426" i="1"/>
  <c r="C426" i="1"/>
  <c r="B426" i="1"/>
  <c r="A426" i="1"/>
  <c r="E425" i="1"/>
  <c r="D425" i="1"/>
  <c r="C425" i="1"/>
  <c r="B425" i="1"/>
  <c r="A425" i="1"/>
  <c r="E424" i="1"/>
  <c r="D424" i="1"/>
  <c r="C424" i="1"/>
  <c r="B424" i="1"/>
  <c r="A424" i="1"/>
  <c r="E423" i="1"/>
  <c r="D423" i="1"/>
  <c r="C423" i="1"/>
  <c r="B423" i="1"/>
  <c r="A423" i="1"/>
  <c r="E422" i="1"/>
  <c r="D422" i="1"/>
  <c r="C422" i="1"/>
  <c r="B422" i="1"/>
  <c r="A422" i="1"/>
  <c r="E421" i="1"/>
  <c r="D421" i="1"/>
  <c r="C421" i="1"/>
  <c r="B421" i="1"/>
  <c r="A421" i="1"/>
  <c r="E420" i="1"/>
  <c r="D420" i="1"/>
  <c r="C420" i="1"/>
  <c r="B420" i="1"/>
  <c r="A420" i="1"/>
  <c r="E419" i="1"/>
  <c r="D419" i="1"/>
  <c r="C419" i="1"/>
  <c r="B419" i="1"/>
  <c r="A419" i="1"/>
  <c r="E418" i="1"/>
  <c r="D418" i="1"/>
  <c r="C418" i="1"/>
  <c r="B418" i="1"/>
  <c r="A418" i="1"/>
  <c r="E417" i="1"/>
  <c r="D417" i="1"/>
  <c r="C417" i="1"/>
  <c r="B417" i="1"/>
  <c r="A417" i="1"/>
  <c r="E416" i="1"/>
  <c r="D416" i="1"/>
  <c r="C416" i="1"/>
  <c r="B416" i="1"/>
  <c r="A416" i="1"/>
  <c r="E415" i="1"/>
  <c r="D415" i="1"/>
  <c r="C415" i="1"/>
  <c r="B415" i="1"/>
  <c r="A415" i="1"/>
  <c r="E414" i="1"/>
  <c r="D414" i="1"/>
  <c r="C414" i="1"/>
  <c r="B414" i="1"/>
  <c r="A414" i="1"/>
  <c r="E413" i="1"/>
  <c r="D413" i="1"/>
  <c r="C413" i="1"/>
  <c r="B413" i="1"/>
  <c r="A413" i="1"/>
  <c r="E412" i="1"/>
  <c r="D412" i="1"/>
  <c r="C412" i="1"/>
  <c r="B412" i="1"/>
  <c r="A412" i="1"/>
  <c r="E411" i="1"/>
  <c r="D411" i="1"/>
  <c r="C411" i="1"/>
  <c r="B411" i="1"/>
  <c r="A411" i="1"/>
  <c r="E410" i="1"/>
  <c r="D410" i="1"/>
  <c r="C410" i="1"/>
  <c r="B410" i="1"/>
  <c r="A410" i="1"/>
  <c r="E409" i="1"/>
  <c r="D409" i="1"/>
  <c r="C409" i="1"/>
  <c r="B409" i="1"/>
  <c r="A409" i="1"/>
  <c r="E408" i="1"/>
  <c r="D408" i="1"/>
  <c r="C408" i="1"/>
  <c r="B408" i="1"/>
  <c r="A408" i="1"/>
  <c r="E407" i="1"/>
  <c r="D407" i="1"/>
  <c r="C407" i="1"/>
  <c r="B407" i="1"/>
  <c r="A407" i="1"/>
  <c r="E406" i="1"/>
  <c r="D406" i="1"/>
  <c r="C406" i="1"/>
  <c r="B406" i="1"/>
  <c r="A406" i="1"/>
  <c r="E405" i="1"/>
  <c r="D405" i="1"/>
  <c r="C405" i="1"/>
  <c r="B405" i="1"/>
  <c r="A405" i="1"/>
  <c r="E404" i="1"/>
  <c r="D404" i="1"/>
  <c r="C404" i="1"/>
  <c r="B404" i="1"/>
  <c r="A404" i="1"/>
  <c r="E403" i="1"/>
  <c r="D403" i="1"/>
  <c r="C403" i="1"/>
  <c r="B403" i="1"/>
  <c r="A403" i="1"/>
  <c r="E402" i="1"/>
  <c r="D402" i="1"/>
  <c r="C402" i="1"/>
  <c r="B402" i="1"/>
  <c r="A402" i="1"/>
  <c r="E401" i="1"/>
  <c r="D401" i="1"/>
  <c r="C401" i="1"/>
  <c r="B401" i="1"/>
  <c r="A401" i="1"/>
  <c r="E400" i="1"/>
  <c r="D400" i="1"/>
  <c r="C400" i="1"/>
  <c r="B400" i="1"/>
  <c r="A400" i="1"/>
  <c r="E399" i="1"/>
  <c r="D399" i="1"/>
  <c r="C399" i="1"/>
  <c r="B399" i="1"/>
  <c r="A399" i="1"/>
  <c r="E398" i="1"/>
  <c r="D398" i="1"/>
  <c r="C398" i="1"/>
  <c r="B398" i="1"/>
  <c r="A398" i="1"/>
  <c r="E397" i="1"/>
  <c r="D397" i="1"/>
  <c r="C397" i="1"/>
  <c r="B397" i="1"/>
  <c r="A397" i="1"/>
  <c r="E396" i="1"/>
  <c r="D396" i="1"/>
  <c r="C396" i="1"/>
  <c r="B396" i="1"/>
  <c r="A396" i="1"/>
  <c r="E395" i="1"/>
  <c r="D395" i="1"/>
  <c r="C395" i="1"/>
  <c r="B395" i="1"/>
  <c r="A395" i="1"/>
  <c r="E394" i="1"/>
  <c r="D394" i="1"/>
  <c r="C394" i="1"/>
  <c r="B394" i="1"/>
  <c r="A394" i="1"/>
  <c r="E393" i="1"/>
  <c r="D393" i="1"/>
  <c r="C393" i="1"/>
  <c r="B393" i="1"/>
  <c r="A393" i="1"/>
  <c r="E392" i="1"/>
  <c r="D392" i="1"/>
  <c r="C392" i="1"/>
  <c r="B392" i="1"/>
  <c r="A392" i="1"/>
  <c r="E391" i="1"/>
  <c r="D391" i="1"/>
  <c r="C391" i="1"/>
  <c r="B391" i="1"/>
  <c r="A391" i="1"/>
  <c r="E390" i="1"/>
  <c r="D390" i="1"/>
  <c r="C390" i="1"/>
  <c r="B390" i="1"/>
  <c r="A390" i="1"/>
  <c r="E389" i="1"/>
  <c r="D389" i="1"/>
  <c r="C389" i="1"/>
  <c r="B389" i="1"/>
  <c r="A389" i="1"/>
  <c r="E388" i="1"/>
  <c r="D388" i="1"/>
  <c r="C388" i="1"/>
  <c r="B388" i="1"/>
  <c r="A388" i="1"/>
  <c r="E387" i="1"/>
  <c r="D387" i="1"/>
  <c r="C387" i="1"/>
  <c r="B387" i="1"/>
  <c r="A387" i="1"/>
  <c r="E386" i="1"/>
  <c r="D386" i="1"/>
  <c r="C386" i="1"/>
  <c r="B386" i="1"/>
  <c r="A386" i="1"/>
  <c r="E385" i="1"/>
  <c r="D385" i="1"/>
  <c r="C385" i="1"/>
  <c r="B385" i="1"/>
  <c r="A385" i="1"/>
  <c r="E384" i="1"/>
  <c r="D384" i="1"/>
  <c r="C384" i="1"/>
  <c r="B384" i="1"/>
  <c r="A384" i="1"/>
  <c r="E383" i="1"/>
  <c r="D383" i="1"/>
  <c r="C383" i="1"/>
  <c r="B383" i="1"/>
  <c r="A383" i="1"/>
  <c r="E382" i="1"/>
  <c r="D382" i="1"/>
  <c r="C382" i="1"/>
  <c r="B382" i="1"/>
  <c r="A382" i="1"/>
  <c r="E381" i="1"/>
  <c r="D381" i="1"/>
  <c r="C381" i="1"/>
  <c r="B381" i="1"/>
  <c r="A381" i="1"/>
  <c r="E380" i="1"/>
  <c r="D380" i="1"/>
  <c r="C380" i="1"/>
  <c r="B380" i="1"/>
  <c r="A380" i="1"/>
  <c r="E379" i="1"/>
  <c r="D379" i="1"/>
  <c r="C379" i="1"/>
  <c r="B379" i="1"/>
  <c r="A379" i="1"/>
  <c r="E378" i="1"/>
  <c r="D378" i="1"/>
  <c r="C378" i="1"/>
  <c r="B378" i="1"/>
  <c r="A378" i="1"/>
  <c r="E377" i="1"/>
  <c r="D377" i="1"/>
  <c r="C377" i="1"/>
  <c r="B377" i="1"/>
  <c r="A377" i="1"/>
  <c r="E376" i="1"/>
  <c r="D376" i="1"/>
  <c r="C376" i="1"/>
  <c r="B376" i="1"/>
  <c r="A376" i="1"/>
  <c r="E375" i="1"/>
  <c r="D375" i="1"/>
  <c r="C375" i="1"/>
  <c r="B375" i="1"/>
  <c r="A375" i="1"/>
  <c r="E374" i="1"/>
  <c r="D374" i="1"/>
  <c r="C374" i="1"/>
  <c r="B374" i="1"/>
  <c r="A374" i="1"/>
  <c r="E373" i="1"/>
  <c r="D373" i="1"/>
  <c r="C373" i="1"/>
  <c r="B373" i="1"/>
  <c r="A373" i="1"/>
  <c r="E372" i="1"/>
  <c r="D372" i="1"/>
  <c r="C372" i="1"/>
  <c r="B372" i="1"/>
  <c r="A372" i="1"/>
  <c r="E371" i="1"/>
  <c r="D371" i="1"/>
  <c r="C371" i="1"/>
  <c r="B371" i="1"/>
  <c r="A371" i="1"/>
  <c r="E370" i="1"/>
  <c r="D370" i="1"/>
  <c r="C370" i="1"/>
  <c r="B370" i="1"/>
  <c r="A370" i="1"/>
  <c r="E369" i="1"/>
  <c r="D369" i="1"/>
  <c r="C369" i="1"/>
  <c r="B369" i="1"/>
  <c r="A369" i="1"/>
  <c r="E368" i="1"/>
  <c r="D368" i="1"/>
  <c r="C368" i="1"/>
  <c r="B368" i="1"/>
  <c r="A368" i="1"/>
  <c r="E367" i="1"/>
  <c r="D367" i="1"/>
  <c r="C367" i="1"/>
  <c r="B367" i="1"/>
  <c r="A367" i="1"/>
  <c r="E366" i="1"/>
  <c r="D366" i="1"/>
  <c r="C366" i="1"/>
  <c r="B366" i="1"/>
  <c r="A366" i="1"/>
  <c r="E365" i="1"/>
  <c r="D365" i="1"/>
  <c r="C365" i="1"/>
  <c r="B365" i="1"/>
  <c r="A365" i="1"/>
  <c r="E364" i="1"/>
  <c r="D364" i="1"/>
  <c r="C364" i="1"/>
  <c r="B364" i="1"/>
  <c r="A364" i="1"/>
  <c r="E363" i="1"/>
  <c r="D363" i="1"/>
  <c r="C363" i="1"/>
  <c r="B363" i="1"/>
  <c r="A363" i="1"/>
  <c r="E362" i="1"/>
  <c r="D362" i="1"/>
  <c r="C362" i="1"/>
  <c r="B362" i="1"/>
  <c r="A362" i="1"/>
  <c r="E361" i="1"/>
  <c r="D361" i="1"/>
  <c r="C361" i="1"/>
  <c r="B361" i="1"/>
  <c r="A361" i="1"/>
  <c r="E360" i="1"/>
  <c r="D360" i="1"/>
  <c r="C360" i="1"/>
  <c r="B360" i="1"/>
  <c r="A360" i="1"/>
  <c r="E359" i="1"/>
  <c r="D359" i="1"/>
  <c r="C359" i="1"/>
  <c r="B359" i="1"/>
  <c r="A359" i="1"/>
  <c r="E358" i="1"/>
  <c r="D358" i="1"/>
  <c r="C358" i="1"/>
  <c r="B358" i="1"/>
  <c r="A358" i="1"/>
  <c r="E357" i="1"/>
  <c r="D357" i="1"/>
  <c r="C357" i="1"/>
  <c r="B357" i="1"/>
  <c r="A357" i="1"/>
  <c r="E356" i="1"/>
  <c r="D356" i="1"/>
  <c r="C356" i="1"/>
  <c r="B356" i="1"/>
  <c r="A356" i="1"/>
  <c r="E355" i="1"/>
  <c r="D355" i="1"/>
  <c r="C355" i="1"/>
  <c r="B355" i="1"/>
  <c r="A355" i="1"/>
  <c r="E354" i="1"/>
  <c r="D354" i="1"/>
  <c r="C354" i="1"/>
  <c r="B354" i="1"/>
  <c r="A354" i="1"/>
  <c r="E353" i="1"/>
  <c r="D353" i="1"/>
  <c r="C353" i="1"/>
  <c r="B353" i="1"/>
  <c r="A353" i="1"/>
  <c r="E352" i="1"/>
  <c r="D352" i="1"/>
  <c r="C352" i="1"/>
  <c r="B352" i="1"/>
  <c r="A352" i="1"/>
  <c r="E351" i="1"/>
  <c r="D351" i="1"/>
  <c r="C351" i="1"/>
  <c r="B351" i="1"/>
  <c r="A351" i="1"/>
  <c r="E350" i="1"/>
  <c r="D350" i="1"/>
  <c r="C350" i="1"/>
  <c r="B350" i="1"/>
  <c r="A350" i="1"/>
  <c r="E349" i="1"/>
  <c r="D349" i="1"/>
  <c r="C349" i="1"/>
  <c r="B349" i="1"/>
  <c r="A349" i="1"/>
  <c r="E348" i="1"/>
  <c r="D348" i="1"/>
  <c r="C348" i="1"/>
  <c r="B348" i="1"/>
  <c r="A348" i="1"/>
  <c r="E347" i="1"/>
  <c r="D347" i="1"/>
  <c r="C347" i="1"/>
  <c r="B347" i="1"/>
  <c r="A347" i="1"/>
  <c r="E346" i="1"/>
  <c r="D346" i="1"/>
  <c r="C346" i="1"/>
  <c r="B346" i="1"/>
  <c r="A346" i="1"/>
  <c r="E345" i="1"/>
  <c r="D345" i="1"/>
  <c r="C345" i="1"/>
  <c r="B345" i="1"/>
  <c r="A345" i="1"/>
  <c r="E344" i="1"/>
  <c r="D344" i="1"/>
  <c r="C344" i="1"/>
  <c r="B344" i="1"/>
  <c r="A344" i="1"/>
  <c r="E343" i="1"/>
  <c r="D343" i="1"/>
  <c r="C343" i="1"/>
  <c r="B343" i="1"/>
  <c r="A343" i="1"/>
  <c r="E342" i="1"/>
  <c r="D342" i="1"/>
  <c r="C342" i="1"/>
  <c r="B342" i="1"/>
  <c r="A342" i="1"/>
  <c r="E341" i="1"/>
  <c r="D341" i="1"/>
  <c r="C341" i="1"/>
  <c r="B341" i="1"/>
  <c r="A341" i="1"/>
  <c r="E340" i="1"/>
  <c r="D340" i="1"/>
  <c r="C340" i="1"/>
  <c r="B340" i="1"/>
  <c r="A340" i="1"/>
  <c r="E339" i="1"/>
  <c r="D339" i="1"/>
  <c r="C339" i="1"/>
  <c r="B339" i="1"/>
  <c r="A339" i="1"/>
  <c r="E338" i="1"/>
  <c r="D338" i="1"/>
  <c r="C338" i="1"/>
  <c r="B338" i="1"/>
  <c r="A338" i="1"/>
  <c r="E337" i="1"/>
  <c r="D337" i="1"/>
  <c r="C337" i="1"/>
  <c r="B337" i="1"/>
  <c r="A337" i="1"/>
  <c r="E336" i="1"/>
  <c r="D336" i="1"/>
  <c r="C336" i="1"/>
  <c r="B336" i="1"/>
  <c r="A336" i="1"/>
  <c r="E335" i="1"/>
  <c r="D335" i="1"/>
  <c r="C335" i="1"/>
  <c r="B335" i="1"/>
  <c r="A335" i="1"/>
  <c r="E334" i="1"/>
  <c r="D334" i="1"/>
  <c r="C334" i="1"/>
  <c r="B334" i="1"/>
  <c r="A334" i="1"/>
  <c r="E333" i="1"/>
  <c r="D333" i="1"/>
  <c r="C333" i="1"/>
  <c r="B333" i="1"/>
  <c r="A333" i="1"/>
  <c r="E332" i="1"/>
  <c r="D332" i="1"/>
  <c r="C332" i="1"/>
  <c r="B332" i="1"/>
  <c r="A332" i="1"/>
  <c r="E331" i="1"/>
  <c r="D331" i="1"/>
  <c r="C331" i="1"/>
  <c r="B331" i="1"/>
  <c r="A331" i="1"/>
  <c r="E330" i="1"/>
  <c r="D330" i="1"/>
  <c r="C330" i="1"/>
  <c r="B330" i="1"/>
  <c r="A330" i="1"/>
  <c r="E329" i="1"/>
  <c r="D329" i="1"/>
  <c r="C329" i="1"/>
  <c r="B329" i="1"/>
  <c r="A329" i="1"/>
  <c r="E328" i="1"/>
  <c r="D328" i="1"/>
  <c r="C328" i="1"/>
  <c r="B328" i="1"/>
  <c r="A328" i="1"/>
  <c r="E327" i="1"/>
  <c r="D327" i="1"/>
  <c r="C327" i="1"/>
  <c r="B327" i="1"/>
  <c r="A327" i="1"/>
  <c r="E326" i="1"/>
  <c r="D326" i="1"/>
  <c r="C326" i="1"/>
  <c r="B326" i="1"/>
  <c r="A326" i="1"/>
  <c r="E325" i="1"/>
  <c r="D325" i="1"/>
  <c r="C325" i="1"/>
  <c r="B325" i="1"/>
  <c r="A325" i="1"/>
  <c r="E324" i="1"/>
  <c r="D324" i="1"/>
  <c r="C324" i="1"/>
  <c r="B324" i="1"/>
  <c r="A324" i="1"/>
  <c r="E323" i="1"/>
  <c r="D323" i="1"/>
  <c r="C323" i="1"/>
  <c r="B323" i="1"/>
  <c r="A323" i="1"/>
  <c r="E322" i="1"/>
  <c r="D322" i="1"/>
  <c r="C322" i="1"/>
  <c r="B322" i="1"/>
  <c r="A322" i="1"/>
  <c r="E321" i="1"/>
  <c r="D321" i="1"/>
  <c r="C321" i="1"/>
  <c r="B321" i="1"/>
  <c r="A321" i="1"/>
  <c r="E320" i="1"/>
  <c r="D320" i="1"/>
  <c r="C320" i="1"/>
  <c r="B320" i="1"/>
  <c r="A320" i="1"/>
  <c r="E319" i="1"/>
  <c r="D319" i="1"/>
  <c r="C319" i="1"/>
  <c r="B319" i="1"/>
  <c r="A319" i="1"/>
  <c r="E318" i="1"/>
  <c r="D318" i="1"/>
  <c r="C318" i="1"/>
  <c r="B318" i="1"/>
  <c r="A318" i="1"/>
  <c r="E317" i="1"/>
  <c r="D317" i="1"/>
  <c r="C317" i="1"/>
  <c r="B317" i="1"/>
  <c r="A317" i="1"/>
  <c r="E316" i="1"/>
  <c r="D316" i="1"/>
  <c r="C316" i="1"/>
  <c r="B316" i="1"/>
  <c r="A316" i="1"/>
  <c r="E315" i="1"/>
  <c r="D315" i="1"/>
  <c r="C315" i="1"/>
  <c r="B315" i="1"/>
  <c r="A315" i="1"/>
  <c r="E314" i="1"/>
  <c r="D314" i="1"/>
  <c r="C314" i="1"/>
  <c r="B314" i="1"/>
  <c r="A314" i="1"/>
  <c r="E313" i="1"/>
  <c r="D313" i="1"/>
  <c r="C313" i="1"/>
  <c r="B313" i="1"/>
  <c r="A313" i="1"/>
  <c r="E312" i="1"/>
  <c r="D312" i="1"/>
  <c r="C312" i="1"/>
  <c r="B312" i="1"/>
  <c r="A312" i="1"/>
  <c r="E311" i="1"/>
  <c r="D311" i="1"/>
  <c r="C311" i="1"/>
  <c r="B311" i="1"/>
  <c r="A311" i="1"/>
  <c r="E310" i="1"/>
  <c r="D310" i="1"/>
  <c r="C310" i="1"/>
  <c r="B310" i="1"/>
  <c r="A310" i="1"/>
  <c r="E309" i="1"/>
  <c r="D309" i="1"/>
  <c r="C309" i="1"/>
  <c r="B309" i="1"/>
  <c r="A309" i="1"/>
  <c r="E308" i="1"/>
  <c r="D308" i="1"/>
  <c r="C308" i="1"/>
  <c r="B308" i="1"/>
  <c r="A308" i="1"/>
  <c r="E307" i="1"/>
  <c r="D307" i="1"/>
  <c r="C307" i="1"/>
  <c r="B307" i="1"/>
  <c r="A307" i="1"/>
  <c r="E306" i="1"/>
  <c r="D306" i="1"/>
  <c r="C306" i="1"/>
  <c r="B306" i="1"/>
  <c r="A306" i="1"/>
  <c r="E305" i="1"/>
  <c r="D305" i="1"/>
  <c r="C305" i="1"/>
  <c r="B305" i="1"/>
  <c r="A305" i="1"/>
  <c r="E304" i="1"/>
  <c r="D304" i="1"/>
  <c r="C304" i="1"/>
  <c r="B304" i="1"/>
  <c r="A304" i="1"/>
  <c r="E303" i="1"/>
  <c r="D303" i="1"/>
  <c r="C303" i="1"/>
  <c r="B303" i="1"/>
  <c r="A303" i="1"/>
  <c r="E302" i="1"/>
  <c r="D302" i="1"/>
  <c r="C302" i="1"/>
  <c r="B302" i="1"/>
  <c r="A302" i="1"/>
  <c r="E301" i="1"/>
  <c r="D301" i="1"/>
  <c r="C301" i="1"/>
  <c r="B301" i="1"/>
  <c r="A301" i="1"/>
  <c r="E300" i="1"/>
  <c r="D300" i="1"/>
  <c r="C300" i="1"/>
  <c r="B300" i="1"/>
  <c r="A300" i="1"/>
  <c r="E299" i="1"/>
  <c r="D299" i="1"/>
  <c r="C299" i="1"/>
  <c r="B299" i="1"/>
  <c r="A299" i="1"/>
  <c r="E298" i="1"/>
  <c r="D298" i="1"/>
  <c r="C298" i="1"/>
  <c r="B298" i="1"/>
  <c r="A298" i="1"/>
  <c r="E297" i="1"/>
  <c r="D297" i="1"/>
  <c r="C297" i="1"/>
  <c r="B297" i="1"/>
  <c r="A297" i="1"/>
  <c r="E296" i="1"/>
  <c r="D296" i="1"/>
  <c r="C296" i="1"/>
  <c r="B296" i="1"/>
  <c r="A296" i="1"/>
  <c r="E295" i="1"/>
  <c r="D295" i="1"/>
  <c r="C295" i="1"/>
  <c r="B295" i="1"/>
  <c r="A295" i="1"/>
  <c r="E294" i="1"/>
  <c r="D294" i="1"/>
  <c r="C294" i="1"/>
  <c r="B294" i="1"/>
  <c r="A294" i="1"/>
  <c r="E293" i="1"/>
  <c r="D293" i="1"/>
  <c r="C293" i="1"/>
  <c r="B293" i="1"/>
  <c r="A293" i="1"/>
  <c r="E292" i="1"/>
  <c r="D292" i="1"/>
  <c r="C292" i="1"/>
  <c r="B292" i="1"/>
  <c r="A292" i="1"/>
  <c r="E291" i="1"/>
  <c r="D291" i="1"/>
  <c r="C291" i="1"/>
  <c r="B291" i="1"/>
  <c r="A291" i="1"/>
  <c r="E290" i="1"/>
  <c r="D290" i="1"/>
  <c r="C290" i="1"/>
  <c r="B290" i="1"/>
  <c r="A290" i="1"/>
  <c r="E289" i="1"/>
  <c r="D289" i="1"/>
  <c r="C289" i="1"/>
  <c r="B289" i="1"/>
  <c r="A289" i="1"/>
  <c r="E288" i="1"/>
  <c r="D288" i="1"/>
  <c r="C288" i="1"/>
  <c r="B288" i="1"/>
  <c r="A288" i="1"/>
  <c r="E287" i="1"/>
  <c r="D287" i="1"/>
  <c r="C287" i="1"/>
  <c r="B287" i="1"/>
  <c r="A287" i="1"/>
  <c r="E286" i="1"/>
  <c r="D286" i="1"/>
  <c r="C286" i="1"/>
  <c r="B286" i="1"/>
  <c r="A286" i="1"/>
  <c r="E285" i="1"/>
  <c r="D285" i="1"/>
  <c r="C285" i="1"/>
  <c r="B285" i="1"/>
  <c r="A285" i="1"/>
  <c r="E284" i="1"/>
  <c r="D284" i="1"/>
  <c r="C284" i="1"/>
  <c r="B284" i="1"/>
  <c r="A284" i="1"/>
  <c r="E283" i="1"/>
  <c r="D283" i="1"/>
  <c r="C283" i="1"/>
  <c r="B283" i="1"/>
  <c r="A283" i="1"/>
  <c r="E282" i="1"/>
  <c r="D282" i="1"/>
  <c r="C282" i="1"/>
  <c r="B282" i="1"/>
  <c r="A282" i="1"/>
  <c r="E281" i="1"/>
  <c r="D281" i="1"/>
  <c r="C281" i="1"/>
  <c r="B281" i="1"/>
  <c r="A281" i="1"/>
  <c r="E280" i="1"/>
  <c r="D280" i="1"/>
  <c r="C280" i="1"/>
  <c r="B280" i="1"/>
  <c r="A280" i="1"/>
  <c r="E279" i="1"/>
  <c r="D279" i="1"/>
  <c r="C279" i="1"/>
  <c r="B279" i="1"/>
  <c r="A279" i="1"/>
  <c r="E278" i="1"/>
  <c r="D278" i="1"/>
  <c r="C278" i="1"/>
  <c r="B278" i="1"/>
  <c r="A278" i="1"/>
  <c r="E277" i="1"/>
  <c r="D277" i="1"/>
  <c r="C277" i="1"/>
  <c r="B277" i="1"/>
  <c r="A277" i="1"/>
  <c r="E276" i="1"/>
  <c r="D276" i="1"/>
  <c r="C276" i="1"/>
  <c r="B276" i="1"/>
  <c r="A276" i="1"/>
  <c r="E275" i="1"/>
  <c r="D275" i="1"/>
  <c r="C275" i="1"/>
  <c r="B275" i="1"/>
  <c r="A275" i="1"/>
  <c r="E274" i="1"/>
  <c r="D274" i="1"/>
  <c r="C274" i="1"/>
  <c r="B274" i="1"/>
  <c r="A274" i="1"/>
  <c r="E273" i="1"/>
  <c r="D273" i="1"/>
  <c r="C273" i="1"/>
  <c r="B273" i="1"/>
  <c r="A273" i="1"/>
  <c r="E272" i="1"/>
  <c r="D272" i="1"/>
  <c r="C272" i="1"/>
  <c r="B272" i="1"/>
  <c r="A272" i="1"/>
  <c r="E271" i="1"/>
  <c r="D271" i="1"/>
  <c r="C271" i="1"/>
  <c r="B271" i="1"/>
  <c r="A271" i="1"/>
  <c r="E270" i="1"/>
  <c r="D270" i="1"/>
  <c r="C270" i="1"/>
  <c r="B270" i="1"/>
  <c r="A270" i="1"/>
  <c r="E269" i="1"/>
  <c r="D269" i="1"/>
  <c r="C269" i="1"/>
  <c r="B269" i="1"/>
  <c r="A269" i="1"/>
  <c r="E268" i="1"/>
  <c r="D268" i="1"/>
  <c r="C268" i="1"/>
  <c r="B268" i="1"/>
  <c r="A268" i="1"/>
  <c r="E267" i="1"/>
  <c r="D267" i="1"/>
  <c r="C267" i="1"/>
  <c r="B267" i="1"/>
  <c r="A267" i="1"/>
  <c r="E266" i="1"/>
  <c r="D266" i="1"/>
  <c r="C266" i="1"/>
  <c r="B266" i="1"/>
  <c r="A266" i="1"/>
  <c r="E265" i="1"/>
  <c r="D265" i="1"/>
  <c r="C265" i="1"/>
  <c r="B265" i="1"/>
  <c r="A265" i="1"/>
  <c r="E264" i="1"/>
  <c r="D264" i="1"/>
  <c r="C264" i="1"/>
  <c r="B264" i="1"/>
  <c r="A264" i="1"/>
  <c r="E263" i="1"/>
  <c r="D263" i="1"/>
  <c r="C263" i="1"/>
  <c r="B263" i="1"/>
  <c r="A263" i="1"/>
  <c r="E262" i="1"/>
  <c r="D262" i="1"/>
  <c r="C262" i="1"/>
  <c r="B262" i="1"/>
  <c r="A262" i="1"/>
  <c r="E261" i="1"/>
  <c r="D261" i="1"/>
  <c r="C261" i="1"/>
  <c r="B261" i="1"/>
  <c r="A261" i="1"/>
  <c r="E260" i="1"/>
  <c r="D260" i="1"/>
  <c r="C260" i="1"/>
  <c r="B260" i="1"/>
  <c r="A260" i="1"/>
  <c r="E259" i="1"/>
  <c r="D259" i="1"/>
  <c r="C259" i="1"/>
  <c r="B259" i="1"/>
  <c r="A259" i="1"/>
  <c r="E258" i="1"/>
  <c r="D258" i="1"/>
  <c r="C258" i="1"/>
  <c r="B258" i="1"/>
  <c r="A258" i="1"/>
  <c r="E257" i="1"/>
  <c r="D257" i="1"/>
  <c r="C257" i="1"/>
  <c r="B257" i="1"/>
  <c r="A257" i="1"/>
  <c r="E256" i="1"/>
  <c r="D256" i="1"/>
  <c r="C256" i="1"/>
  <c r="B256" i="1"/>
  <c r="A256" i="1"/>
  <c r="E255" i="1"/>
  <c r="D255" i="1"/>
  <c r="C255" i="1"/>
  <c r="B255" i="1"/>
  <c r="A255" i="1"/>
  <c r="E254" i="1"/>
  <c r="D254" i="1"/>
  <c r="C254" i="1"/>
  <c r="B254" i="1"/>
  <c r="A254" i="1"/>
  <c r="E253" i="1"/>
  <c r="D253" i="1"/>
  <c r="C253" i="1"/>
  <c r="B253" i="1"/>
  <c r="A253" i="1"/>
  <c r="E252" i="1"/>
  <c r="D252" i="1"/>
  <c r="C252" i="1"/>
  <c r="B252" i="1"/>
  <c r="A252" i="1"/>
  <c r="E251" i="1"/>
  <c r="D251" i="1"/>
  <c r="C251" i="1"/>
  <c r="B251" i="1"/>
  <c r="A251" i="1"/>
  <c r="E250" i="1"/>
  <c r="D250" i="1"/>
  <c r="C250" i="1"/>
  <c r="B250" i="1"/>
  <c r="A250" i="1"/>
  <c r="E249" i="1"/>
  <c r="D249" i="1"/>
  <c r="C249" i="1"/>
  <c r="B249" i="1"/>
  <c r="A249" i="1"/>
  <c r="E248" i="1"/>
  <c r="D248" i="1"/>
  <c r="C248" i="1"/>
  <c r="B248" i="1"/>
  <c r="A248" i="1"/>
  <c r="E247" i="1"/>
  <c r="D247" i="1"/>
  <c r="C247" i="1"/>
  <c r="B247" i="1"/>
  <c r="A247" i="1"/>
  <c r="E246" i="1"/>
  <c r="D246" i="1"/>
  <c r="C246" i="1"/>
  <c r="B246" i="1"/>
  <c r="A246" i="1"/>
  <c r="E245" i="1"/>
  <c r="D245" i="1"/>
  <c r="C245" i="1"/>
  <c r="B245" i="1"/>
  <c r="A245" i="1"/>
  <c r="E244" i="1"/>
  <c r="D244" i="1"/>
  <c r="C244" i="1"/>
  <c r="B244" i="1"/>
  <c r="A244" i="1"/>
  <c r="E243" i="1"/>
  <c r="D243" i="1"/>
  <c r="C243" i="1"/>
  <c r="B243" i="1"/>
  <c r="A243" i="1"/>
  <c r="E242" i="1"/>
  <c r="D242" i="1"/>
  <c r="C242" i="1"/>
  <c r="B242" i="1"/>
  <c r="A242" i="1"/>
  <c r="E241" i="1"/>
  <c r="D241" i="1"/>
  <c r="C241" i="1"/>
  <c r="B241" i="1"/>
  <c r="A241" i="1"/>
  <c r="E240" i="1"/>
  <c r="D240" i="1"/>
  <c r="C240" i="1"/>
  <c r="B240" i="1"/>
  <c r="A240" i="1"/>
  <c r="E239" i="1"/>
  <c r="D239" i="1"/>
  <c r="C239" i="1"/>
  <c r="B239" i="1"/>
  <c r="A239" i="1"/>
  <c r="E238" i="1"/>
  <c r="D238" i="1"/>
  <c r="C238" i="1"/>
  <c r="B238" i="1"/>
  <c r="A238" i="1"/>
  <c r="E237" i="1"/>
  <c r="D237" i="1"/>
  <c r="C237" i="1"/>
  <c r="B237" i="1"/>
  <c r="A237" i="1"/>
  <c r="E236" i="1"/>
  <c r="D236" i="1"/>
  <c r="C236" i="1"/>
  <c r="B236" i="1"/>
  <c r="A236" i="1"/>
  <c r="E235" i="1"/>
  <c r="D235" i="1"/>
  <c r="C235" i="1"/>
  <c r="B235" i="1"/>
  <c r="A235" i="1"/>
  <c r="E234" i="1"/>
  <c r="D234" i="1"/>
  <c r="C234" i="1"/>
  <c r="B234" i="1"/>
  <c r="A234" i="1"/>
  <c r="E233" i="1"/>
  <c r="D233" i="1"/>
  <c r="C233" i="1"/>
  <c r="B233" i="1"/>
  <c r="A233" i="1"/>
  <c r="E232" i="1"/>
  <c r="D232" i="1"/>
  <c r="C232" i="1"/>
  <c r="B232" i="1"/>
  <c r="A232" i="1"/>
  <c r="E231" i="1"/>
  <c r="D231" i="1"/>
  <c r="C231" i="1"/>
  <c r="B231" i="1"/>
  <c r="A231" i="1"/>
  <c r="E230" i="1"/>
  <c r="D230" i="1"/>
  <c r="C230" i="1"/>
  <c r="B230" i="1"/>
  <c r="A230" i="1"/>
  <c r="E229" i="1"/>
  <c r="D229" i="1"/>
  <c r="C229" i="1"/>
  <c r="B229" i="1"/>
  <c r="A229" i="1"/>
  <c r="E228" i="1"/>
  <c r="D228" i="1"/>
  <c r="C228" i="1"/>
  <c r="B228" i="1"/>
  <c r="A228" i="1"/>
  <c r="E227" i="1"/>
  <c r="D227" i="1"/>
  <c r="C227" i="1"/>
  <c r="B227" i="1"/>
  <c r="A227" i="1"/>
  <c r="E226" i="1"/>
  <c r="D226" i="1"/>
  <c r="C226" i="1"/>
  <c r="B226" i="1"/>
  <c r="A226" i="1"/>
  <c r="E225" i="1"/>
  <c r="D225" i="1"/>
  <c r="C225" i="1"/>
  <c r="B225" i="1"/>
  <c r="A225" i="1"/>
  <c r="E224" i="1"/>
  <c r="D224" i="1"/>
  <c r="C224" i="1"/>
  <c r="B224" i="1"/>
  <c r="A224" i="1"/>
  <c r="E223" i="1"/>
  <c r="D223" i="1"/>
  <c r="C223" i="1"/>
  <c r="B223" i="1"/>
  <c r="A223" i="1"/>
  <c r="E222" i="1"/>
  <c r="D222" i="1"/>
  <c r="C222" i="1"/>
  <c r="B222" i="1"/>
  <c r="A222" i="1"/>
  <c r="E221" i="1"/>
  <c r="D221" i="1"/>
  <c r="C221" i="1"/>
  <c r="B221" i="1"/>
  <c r="A221" i="1"/>
  <c r="E220" i="1"/>
  <c r="D220" i="1"/>
  <c r="C220" i="1"/>
  <c r="B220" i="1"/>
  <c r="A220" i="1"/>
  <c r="E219" i="1"/>
  <c r="D219" i="1"/>
  <c r="C219" i="1"/>
  <c r="B219" i="1"/>
  <c r="A219" i="1"/>
  <c r="E218" i="1"/>
  <c r="D218" i="1"/>
  <c r="C218" i="1"/>
  <c r="B218" i="1"/>
  <c r="A218" i="1"/>
  <c r="E217" i="1"/>
  <c r="D217" i="1"/>
  <c r="C217" i="1"/>
  <c r="B217" i="1"/>
  <c r="A217" i="1"/>
  <c r="E216" i="1"/>
  <c r="D216" i="1"/>
  <c r="C216" i="1"/>
  <c r="B216" i="1"/>
  <c r="A216" i="1"/>
  <c r="E215" i="1"/>
  <c r="D215" i="1"/>
  <c r="C215" i="1"/>
  <c r="B215" i="1"/>
  <c r="A215" i="1"/>
  <c r="E214" i="1"/>
  <c r="D214" i="1"/>
  <c r="C214" i="1"/>
  <c r="B214" i="1"/>
  <c r="A214" i="1"/>
  <c r="E213" i="1"/>
  <c r="D213" i="1"/>
  <c r="C213" i="1"/>
  <c r="B213" i="1"/>
  <c r="A213" i="1"/>
  <c r="E212" i="1"/>
  <c r="D212" i="1"/>
  <c r="C212" i="1"/>
  <c r="B212" i="1"/>
  <c r="A212" i="1"/>
  <c r="E211" i="1"/>
  <c r="D211" i="1"/>
  <c r="C211" i="1"/>
  <c r="B211" i="1"/>
  <c r="A211" i="1"/>
  <c r="E210" i="1"/>
  <c r="D210" i="1"/>
  <c r="C210" i="1"/>
  <c r="B210" i="1"/>
  <c r="A210" i="1"/>
  <c r="E209" i="1"/>
  <c r="D209" i="1"/>
  <c r="C209" i="1"/>
  <c r="B209" i="1"/>
  <c r="A209" i="1"/>
  <c r="E208" i="1"/>
  <c r="D208" i="1"/>
  <c r="C208" i="1"/>
  <c r="B208" i="1"/>
  <c r="A208" i="1"/>
  <c r="E207" i="1"/>
  <c r="D207" i="1"/>
  <c r="C207" i="1"/>
  <c r="B207" i="1"/>
  <c r="A207" i="1"/>
  <c r="E206" i="1"/>
  <c r="D206" i="1"/>
  <c r="C206" i="1"/>
  <c r="B206" i="1"/>
  <c r="A206" i="1"/>
  <c r="E205" i="1"/>
  <c r="D205" i="1"/>
  <c r="C205" i="1"/>
  <c r="B205" i="1"/>
  <c r="A205" i="1"/>
  <c r="E204" i="1"/>
  <c r="D204" i="1"/>
  <c r="C204" i="1"/>
  <c r="B204" i="1"/>
  <c r="A204" i="1"/>
  <c r="E203" i="1"/>
  <c r="D203" i="1"/>
  <c r="C203" i="1"/>
  <c r="B203" i="1"/>
  <c r="A203" i="1"/>
  <c r="E202" i="1"/>
  <c r="D202" i="1"/>
  <c r="C202" i="1"/>
  <c r="B202" i="1"/>
  <c r="A202" i="1"/>
  <c r="E201" i="1"/>
  <c r="D201" i="1"/>
  <c r="C201" i="1"/>
  <c r="B201" i="1"/>
  <c r="A201" i="1"/>
  <c r="E200" i="1"/>
  <c r="D200" i="1"/>
  <c r="C200" i="1"/>
  <c r="B200" i="1"/>
  <c r="A200" i="1"/>
  <c r="E199" i="1"/>
  <c r="D199" i="1"/>
  <c r="C199" i="1"/>
  <c r="B199" i="1"/>
  <c r="A199" i="1"/>
  <c r="E198" i="1"/>
  <c r="D198" i="1"/>
  <c r="C198" i="1"/>
  <c r="B198" i="1"/>
  <c r="A198" i="1"/>
  <c r="E197" i="1"/>
  <c r="D197" i="1"/>
  <c r="C197" i="1"/>
  <c r="B197" i="1"/>
  <c r="A197" i="1"/>
  <c r="E196" i="1"/>
  <c r="D196" i="1"/>
  <c r="C196" i="1"/>
  <c r="B196" i="1"/>
  <c r="A196" i="1"/>
  <c r="E195" i="1"/>
  <c r="D195" i="1"/>
  <c r="C195" i="1"/>
  <c r="B195" i="1"/>
  <c r="A195" i="1"/>
  <c r="E194" i="1"/>
  <c r="D194" i="1"/>
  <c r="C194" i="1"/>
  <c r="B194" i="1"/>
  <c r="A194" i="1"/>
  <c r="E193" i="1"/>
  <c r="D193" i="1"/>
  <c r="C193" i="1"/>
  <c r="B193" i="1"/>
  <c r="A193" i="1"/>
  <c r="E192" i="1"/>
  <c r="D192" i="1"/>
  <c r="C192" i="1"/>
  <c r="B192" i="1"/>
  <c r="A192" i="1"/>
  <c r="E191" i="1"/>
  <c r="D191" i="1"/>
  <c r="C191" i="1"/>
  <c r="B191" i="1"/>
  <c r="A191" i="1"/>
  <c r="E190" i="1"/>
  <c r="D190" i="1"/>
  <c r="C190" i="1"/>
  <c r="B190" i="1"/>
  <c r="A190" i="1"/>
  <c r="E189" i="1"/>
  <c r="D189" i="1"/>
  <c r="C189" i="1"/>
  <c r="B189" i="1"/>
  <c r="A189" i="1"/>
  <c r="E188" i="1"/>
  <c r="D188" i="1"/>
  <c r="C188" i="1"/>
  <c r="B188" i="1"/>
  <c r="A188" i="1"/>
  <c r="E187" i="1"/>
  <c r="D187" i="1"/>
  <c r="C187" i="1"/>
  <c r="B187" i="1"/>
  <c r="A187" i="1"/>
  <c r="E186" i="1"/>
  <c r="D186" i="1"/>
  <c r="C186" i="1"/>
  <c r="B186" i="1"/>
  <c r="A186" i="1"/>
  <c r="E185" i="1"/>
  <c r="D185" i="1"/>
  <c r="C185" i="1"/>
  <c r="B185" i="1"/>
  <c r="A185" i="1"/>
  <c r="E184" i="1"/>
  <c r="D184" i="1"/>
  <c r="C184" i="1"/>
  <c r="B184" i="1"/>
  <c r="A184" i="1"/>
  <c r="E183" i="1"/>
  <c r="D183" i="1"/>
  <c r="C183" i="1"/>
  <c r="B183" i="1"/>
  <c r="A183" i="1"/>
  <c r="E182" i="1"/>
  <c r="D182" i="1"/>
  <c r="C182" i="1"/>
  <c r="B182" i="1"/>
  <c r="A182" i="1"/>
  <c r="E181" i="1"/>
  <c r="D181" i="1"/>
  <c r="C181" i="1"/>
  <c r="B181" i="1"/>
  <c r="A181" i="1"/>
  <c r="E180" i="1"/>
  <c r="D180" i="1"/>
  <c r="C180" i="1"/>
  <c r="B180" i="1"/>
  <c r="A180" i="1"/>
  <c r="E179" i="1"/>
  <c r="D179" i="1"/>
  <c r="C179" i="1"/>
  <c r="B179" i="1"/>
  <c r="A179" i="1"/>
  <c r="E178" i="1"/>
  <c r="D178" i="1"/>
  <c r="C178" i="1"/>
  <c r="B178" i="1"/>
  <c r="A178" i="1"/>
  <c r="E177" i="1"/>
  <c r="D177" i="1"/>
  <c r="C177" i="1"/>
  <c r="B177" i="1"/>
  <c r="A177" i="1"/>
  <c r="E176" i="1"/>
  <c r="D176" i="1"/>
  <c r="C176" i="1"/>
  <c r="B176" i="1"/>
  <c r="A176" i="1"/>
  <c r="E175" i="1"/>
  <c r="D175" i="1"/>
  <c r="C175" i="1"/>
  <c r="B175" i="1"/>
  <c r="A175" i="1"/>
  <c r="E174" i="1"/>
  <c r="D174" i="1"/>
  <c r="C174" i="1"/>
  <c r="B174" i="1"/>
  <c r="A174" i="1"/>
  <c r="E173" i="1"/>
  <c r="D173" i="1"/>
  <c r="C173" i="1"/>
  <c r="B173" i="1"/>
  <c r="A173" i="1"/>
  <c r="E172" i="1"/>
  <c r="D172" i="1"/>
  <c r="C172" i="1"/>
  <c r="B172" i="1"/>
  <c r="A172" i="1"/>
  <c r="E171" i="1"/>
  <c r="D171" i="1"/>
  <c r="C171" i="1"/>
  <c r="B171" i="1"/>
  <c r="A171" i="1"/>
  <c r="E170" i="1"/>
  <c r="D170" i="1"/>
  <c r="C170" i="1"/>
  <c r="B170" i="1"/>
  <c r="A170" i="1"/>
  <c r="E169" i="1"/>
  <c r="D169" i="1"/>
  <c r="C169" i="1"/>
  <c r="B169" i="1"/>
  <c r="A169" i="1"/>
  <c r="E168" i="1"/>
  <c r="D168" i="1"/>
  <c r="C168" i="1"/>
  <c r="B168" i="1"/>
  <c r="A168" i="1"/>
  <c r="E167" i="1"/>
  <c r="D167" i="1"/>
  <c r="C167" i="1"/>
  <c r="B167" i="1"/>
  <c r="A167" i="1"/>
  <c r="E166" i="1"/>
  <c r="D166" i="1"/>
  <c r="C166" i="1"/>
  <c r="B166" i="1"/>
  <c r="A166" i="1"/>
  <c r="E165" i="1"/>
  <c r="D165" i="1"/>
  <c r="C165" i="1"/>
  <c r="B165" i="1"/>
  <c r="A165" i="1"/>
  <c r="E164" i="1"/>
  <c r="D164" i="1"/>
  <c r="C164" i="1"/>
  <c r="B164" i="1"/>
  <c r="A164" i="1"/>
  <c r="E163" i="1"/>
  <c r="D163" i="1"/>
  <c r="C163" i="1"/>
  <c r="B163" i="1"/>
  <c r="A163" i="1"/>
  <c r="E162" i="1"/>
  <c r="D162" i="1"/>
  <c r="C162" i="1"/>
  <c r="B162" i="1"/>
  <c r="A162" i="1"/>
  <c r="E161" i="1"/>
  <c r="D161" i="1"/>
  <c r="C161" i="1"/>
  <c r="B161" i="1"/>
  <c r="A161" i="1"/>
  <c r="E160" i="1"/>
  <c r="D160" i="1"/>
  <c r="C160" i="1"/>
  <c r="B160" i="1"/>
  <c r="A160" i="1"/>
  <c r="E159" i="1"/>
  <c r="D159" i="1"/>
  <c r="C159" i="1"/>
  <c r="B159" i="1"/>
  <c r="A159" i="1"/>
  <c r="E158" i="1"/>
  <c r="D158" i="1"/>
  <c r="C158" i="1"/>
  <c r="B158" i="1"/>
  <c r="A158" i="1"/>
  <c r="E157" i="1"/>
  <c r="D157" i="1"/>
  <c r="C157" i="1"/>
  <c r="B157" i="1"/>
  <c r="A157" i="1"/>
  <c r="E156" i="1"/>
  <c r="D156" i="1"/>
  <c r="C156" i="1"/>
  <c r="B156" i="1"/>
  <c r="A156" i="1"/>
  <c r="E155" i="1"/>
  <c r="D155" i="1"/>
  <c r="C155" i="1"/>
  <c r="B155" i="1"/>
  <c r="A155" i="1"/>
  <c r="E154" i="1"/>
  <c r="D154" i="1"/>
  <c r="C154" i="1"/>
  <c r="B154" i="1"/>
  <c r="A154" i="1"/>
  <c r="E153" i="1"/>
  <c r="D153" i="1"/>
  <c r="C153" i="1"/>
  <c r="B153" i="1"/>
  <c r="A153" i="1"/>
  <c r="E152" i="1"/>
  <c r="D152" i="1"/>
  <c r="C152" i="1"/>
  <c r="B152" i="1"/>
  <c r="A152" i="1"/>
  <c r="E151" i="1"/>
  <c r="D151" i="1"/>
  <c r="C151" i="1"/>
  <c r="B151" i="1"/>
  <c r="A151" i="1"/>
  <c r="E150" i="1"/>
  <c r="D150" i="1"/>
  <c r="C150" i="1"/>
  <c r="B150" i="1"/>
  <c r="A150" i="1"/>
  <c r="E149" i="1"/>
  <c r="D149" i="1"/>
  <c r="C149" i="1"/>
  <c r="B149" i="1"/>
  <c r="A149" i="1"/>
  <c r="E148" i="1"/>
  <c r="D148" i="1"/>
  <c r="C148" i="1"/>
  <c r="B148" i="1"/>
  <c r="A148" i="1"/>
  <c r="E147" i="1"/>
  <c r="D147" i="1"/>
  <c r="C147" i="1"/>
  <c r="B147" i="1"/>
  <c r="A147" i="1"/>
  <c r="E146" i="1"/>
  <c r="D146" i="1"/>
  <c r="C146" i="1"/>
  <c r="B146" i="1"/>
  <c r="A146" i="1"/>
  <c r="E145" i="1"/>
  <c r="D145" i="1"/>
  <c r="C145" i="1"/>
  <c r="B145" i="1"/>
  <c r="A145" i="1"/>
  <c r="E144" i="1"/>
  <c r="D144" i="1"/>
  <c r="C144" i="1"/>
  <c r="B144" i="1"/>
  <c r="A144" i="1"/>
  <c r="E143" i="1"/>
  <c r="D143" i="1"/>
  <c r="C143" i="1"/>
  <c r="B143" i="1"/>
  <c r="A143" i="1"/>
  <c r="E142" i="1"/>
  <c r="D142" i="1"/>
  <c r="C142" i="1"/>
  <c r="B142" i="1"/>
  <c r="A142" i="1"/>
  <c r="E141" i="1"/>
  <c r="D141" i="1"/>
  <c r="C141" i="1"/>
  <c r="B141" i="1"/>
  <c r="A141" i="1"/>
  <c r="E140" i="1"/>
  <c r="D140" i="1"/>
  <c r="C140" i="1"/>
  <c r="B140" i="1"/>
  <c r="A140" i="1"/>
  <c r="E139" i="1"/>
  <c r="D139" i="1"/>
  <c r="C139" i="1"/>
  <c r="B139" i="1"/>
  <c r="A139" i="1"/>
  <c r="E138" i="1"/>
  <c r="D138" i="1"/>
  <c r="C138" i="1"/>
  <c r="B138" i="1"/>
  <c r="A138" i="1"/>
  <c r="E137" i="1"/>
  <c r="D137" i="1"/>
  <c r="C137" i="1"/>
  <c r="B137" i="1"/>
  <c r="A137" i="1"/>
  <c r="E136" i="1"/>
  <c r="D136" i="1"/>
  <c r="C136" i="1"/>
  <c r="B136" i="1"/>
  <c r="A136" i="1"/>
  <c r="E135" i="1"/>
  <c r="D135" i="1"/>
  <c r="C135" i="1"/>
  <c r="B135" i="1"/>
  <c r="A135" i="1"/>
  <c r="E134" i="1"/>
  <c r="D134" i="1"/>
  <c r="C134" i="1"/>
  <c r="B134" i="1"/>
  <c r="A134" i="1"/>
  <c r="E133" i="1"/>
  <c r="D133" i="1"/>
  <c r="C133" i="1"/>
  <c r="B133" i="1"/>
  <c r="A133" i="1"/>
  <c r="E132" i="1"/>
  <c r="D132" i="1"/>
  <c r="C132" i="1"/>
  <c r="B132" i="1"/>
  <c r="A132" i="1"/>
  <c r="E131" i="1"/>
  <c r="D131" i="1"/>
  <c r="C131" i="1"/>
  <c r="B131" i="1"/>
  <c r="A131" i="1"/>
  <c r="E130" i="1"/>
  <c r="D130" i="1"/>
  <c r="C130" i="1"/>
  <c r="B130" i="1"/>
  <c r="A130" i="1"/>
  <c r="E129" i="1"/>
  <c r="D129" i="1"/>
  <c r="C129" i="1"/>
  <c r="B129" i="1"/>
  <c r="A129" i="1"/>
  <c r="E128" i="1"/>
  <c r="D128" i="1"/>
  <c r="C128" i="1"/>
  <c r="B128" i="1"/>
  <c r="A128" i="1"/>
  <c r="E127" i="1"/>
  <c r="D127" i="1"/>
  <c r="C127" i="1"/>
  <c r="B127" i="1"/>
  <c r="A127" i="1"/>
  <c r="E126" i="1"/>
  <c r="D126" i="1"/>
  <c r="C126" i="1"/>
  <c r="B126" i="1"/>
  <c r="A126" i="1"/>
  <c r="E125" i="1"/>
  <c r="D125" i="1"/>
  <c r="C125" i="1"/>
  <c r="B125" i="1"/>
  <c r="A125" i="1"/>
  <c r="E124" i="1"/>
  <c r="D124" i="1"/>
  <c r="C124" i="1"/>
  <c r="B124" i="1"/>
  <c r="A124" i="1"/>
  <c r="E123" i="1"/>
  <c r="D123" i="1"/>
  <c r="C123" i="1"/>
  <c r="B123" i="1"/>
  <c r="A123" i="1"/>
  <c r="E122" i="1"/>
  <c r="D122" i="1"/>
  <c r="C122" i="1"/>
  <c r="B122" i="1"/>
  <c r="A122" i="1"/>
  <c r="E121" i="1"/>
  <c r="D121" i="1"/>
  <c r="C121" i="1"/>
  <c r="B121" i="1"/>
  <c r="A121" i="1"/>
  <c r="E120" i="1"/>
  <c r="D120" i="1"/>
  <c r="C120" i="1"/>
  <c r="B120" i="1"/>
  <c r="A120" i="1"/>
  <c r="E119" i="1"/>
  <c r="D119" i="1"/>
  <c r="C119" i="1"/>
  <c r="B119" i="1"/>
  <c r="A119" i="1"/>
  <c r="E118" i="1"/>
  <c r="D118" i="1"/>
  <c r="C118" i="1"/>
  <c r="B118" i="1"/>
  <c r="A118" i="1"/>
  <c r="E117" i="1"/>
  <c r="D117" i="1"/>
  <c r="C117" i="1"/>
  <c r="B117" i="1"/>
  <c r="A117" i="1"/>
  <c r="E116" i="1"/>
  <c r="D116" i="1"/>
  <c r="C116" i="1"/>
  <c r="B116" i="1"/>
  <c r="A116" i="1"/>
  <c r="E115" i="1"/>
  <c r="D115" i="1"/>
  <c r="C115" i="1"/>
  <c r="B115" i="1"/>
  <c r="A115" i="1"/>
  <c r="E114" i="1"/>
  <c r="D114" i="1"/>
  <c r="C114" i="1"/>
  <c r="B114" i="1"/>
  <c r="A114" i="1"/>
  <c r="E113" i="1"/>
  <c r="D113" i="1"/>
  <c r="C113" i="1"/>
  <c r="B113" i="1"/>
  <c r="A113" i="1"/>
  <c r="E112" i="1"/>
  <c r="D112" i="1"/>
  <c r="C112" i="1"/>
  <c r="B112" i="1"/>
  <c r="A112" i="1"/>
  <c r="E111" i="1"/>
  <c r="D111" i="1"/>
  <c r="C111" i="1"/>
  <c r="B111" i="1"/>
  <c r="A111" i="1"/>
  <c r="E110" i="1"/>
  <c r="D110" i="1"/>
  <c r="C110" i="1"/>
  <c r="B110" i="1"/>
  <c r="A110" i="1"/>
  <c r="E109" i="1"/>
  <c r="D109" i="1"/>
  <c r="C109" i="1"/>
  <c r="B109" i="1"/>
  <c r="A109" i="1"/>
  <c r="E108" i="1"/>
  <c r="D108" i="1"/>
  <c r="C108" i="1"/>
  <c r="B108" i="1"/>
  <c r="A108" i="1"/>
  <c r="E107" i="1"/>
  <c r="D107" i="1"/>
  <c r="C107" i="1"/>
  <c r="B107" i="1"/>
  <c r="A107" i="1"/>
  <c r="E106" i="1"/>
  <c r="D106" i="1"/>
  <c r="C106" i="1"/>
  <c r="B106" i="1"/>
  <c r="A106" i="1"/>
  <c r="E105" i="1"/>
  <c r="D105" i="1"/>
  <c r="C105" i="1"/>
  <c r="B105" i="1"/>
  <c r="A105" i="1"/>
  <c r="E104" i="1"/>
  <c r="D104" i="1"/>
  <c r="C104" i="1"/>
  <c r="B104" i="1"/>
  <c r="A104" i="1"/>
  <c r="E103" i="1"/>
  <c r="D103" i="1"/>
  <c r="C103" i="1"/>
  <c r="B103" i="1"/>
  <c r="A103" i="1"/>
  <c r="E102" i="1"/>
  <c r="D102" i="1"/>
  <c r="C102" i="1"/>
  <c r="B102" i="1"/>
  <c r="A102" i="1"/>
  <c r="E101" i="1"/>
  <c r="D101" i="1"/>
  <c r="C101" i="1"/>
  <c r="B101" i="1"/>
  <c r="A101" i="1"/>
  <c r="E100" i="1"/>
  <c r="D100" i="1"/>
  <c r="C100" i="1"/>
  <c r="B100" i="1"/>
  <c r="A100" i="1"/>
  <c r="E99" i="1"/>
  <c r="D99" i="1"/>
  <c r="C99" i="1"/>
  <c r="B99" i="1"/>
  <c r="A99" i="1"/>
  <c r="E98" i="1"/>
  <c r="D98" i="1"/>
  <c r="C98" i="1"/>
  <c r="B98" i="1"/>
  <c r="A98" i="1"/>
  <c r="E97" i="1"/>
  <c r="D97" i="1"/>
  <c r="C97" i="1"/>
  <c r="B97" i="1"/>
  <c r="A97" i="1"/>
  <c r="E96" i="1"/>
  <c r="D96" i="1"/>
  <c r="C96" i="1"/>
  <c r="B96" i="1"/>
  <c r="A96" i="1"/>
  <c r="E95" i="1"/>
  <c r="D95" i="1"/>
  <c r="C95" i="1"/>
  <c r="B95" i="1"/>
  <c r="A95" i="1"/>
  <c r="E94" i="1"/>
  <c r="D94" i="1"/>
  <c r="C94" i="1"/>
  <c r="B94" i="1"/>
  <c r="A94" i="1"/>
  <c r="E93" i="1"/>
  <c r="D93" i="1"/>
  <c r="C93" i="1"/>
  <c r="B93" i="1"/>
  <c r="A93" i="1"/>
  <c r="E92" i="1"/>
  <c r="D92" i="1"/>
  <c r="C92" i="1"/>
  <c r="B92" i="1"/>
  <c r="A92" i="1"/>
  <c r="E91" i="1"/>
  <c r="D91" i="1"/>
  <c r="C91" i="1"/>
  <c r="B91" i="1"/>
  <c r="A91" i="1"/>
  <c r="E90" i="1"/>
  <c r="D90" i="1"/>
  <c r="C90" i="1"/>
  <c r="B90" i="1"/>
  <c r="A90" i="1"/>
  <c r="E89" i="1"/>
  <c r="D89" i="1"/>
  <c r="C89" i="1"/>
  <c r="B89" i="1"/>
  <c r="A89" i="1"/>
  <c r="E88" i="1"/>
  <c r="D88" i="1"/>
  <c r="C88" i="1"/>
  <c r="B88" i="1"/>
  <c r="A88" i="1"/>
  <c r="E87" i="1"/>
  <c r="D87" i="1"/>
  <c r="C87" i="1"/>
  <c r="B87" i="1"/>
  <c r="A87" i="1"/>
  <c r="E86" i="1"/>
  <c r="D86" i="1"/>
  <c r="C86" i="1"/>
  <c r="B86" i="1"/>
  <c r="A86" i="1"/>
  <c r="E85" i="1"/>
  <c r="D85" i="1"/>
  <c r="C85" i="1"/>
  <c r="B85" i="1"/>
  <c r="A85" i="1"/>
  <c r="E84" i="1"/>
  <c r="D84" i="1"/>
  <c r="C84" i="1"/>
  <c r="B84" i="1"/>
  <c r="A84" i="1"/>
  <c r="E83" i="1"/>
  <c r="D83" i="1"/>
  <c r="C83" i="1"/>
  <c r="B83" i="1"/>
  <c r="A83" i="1"/>
  <c r="E82" i="1"/>
  <c r="D82" i="1"/>
  <c r="C82" i="1"/>
  <c r="B82" i="1"/>
  <c r="A82" i="1"/>
  <c r="E81" i="1"/>
  <c r="D81" i="1"/>
  <c r="C81" i="1"/>
  <c r="B81" i="1"/>
  <c r="A81" i="1"/>
  <c r="E80" i="1"/>
  <c r="D80" i="1"/>
  <c r="C80" i="1"/>
  <c r="B80" i="1"/>
  <c r="A80" i="1"/>
  <c r="E79" i="1"/>
  <c r="D79" i="1"/>
  <c r="C79" i="1"/>
  <c r="B79" i="1"/>
  <c r="A79" i="1"/>
  <c r="E78" i="1"/>
  <c r="D78" i="1"/>
  <c r="C78" i="1"/>
  <c r="B78" i="1"/>
  <c r="A78" i="1"/>
  <c r="E77" i="1"/>
  <c r="D77" i="1"/>
  <c r="C77" i="1"/>
  <c r="B77" i="1"/>
  <c r="A77" i="1"/>
  <c r="E76" i="1"/>
  <c r="D76" i="1"/>
  <c r="C76" i="1"/>
  <c r="B76" i="1"/>
  <c r="A76" i="1"/>
  <c r="E75" i="1"/>
  <c r="D75" i="1"/>
  <c r="C75" i="1"/>
  <c r="B75" i="1"/>
  <c r="A75" i="1"/>
  <c r="E74" i="1"/>
  <c r="D74" i="1"/>
  <c r="C74" i="1"/>
  <c r="B74" i="1"/>
  <c r="A74" i="1"/>
  <c r="E73" i="1"/>
  <c r="D73" i="1"/>
  <c r="C73" i="1"/>
  <c r="B73" i="1"/>
  <c r="A73" i="1"/>
  <c r="E72" i="1"/>
  <c r="D72" i="1"/>
  <c r="C72" i="1"/>
  <c r="B72" i="1"/>
  <c r="A72" i="1"/>
  <c r="E71" i="1"/>
  <c r="D71" i="1"/>
  <c r="C71" i="1"/>
  <c r="B71" i="1"/>
  <c r="A71" i="1"/>
  <c r="E70" i="1"/>
  <c r="D70" i="1"/>
  <c r="C70" i="1"/>
  <c r="B70" i="1"/>
  <c r="A70" i="1"/>
  <c r="E69" i="1"/>
  <c r="D69" i="1"/>
  <c r="C69" i="1"/>
  <c r="B69" i="1"/>
  <c r="A69" i="1"/>
  <c r="E68" i="1"/>
  <c r="D68" i="1"/>
  <c r="C68" i="1"/>
  <c r="B68" i="1"/>
  <c r="A68" i="1"/>
  <c r="E67" i="1"/>
  <c r="D67" i="1"/>
  <c r="C67" i="1"/>
  <c r="B67" i="1"/>
  <c r="A67" i="1"/>
  <c r="E66" i="1"/>
  <c r="D66" i="1"/>
  <c r="C66" i="1"/>
  <c r="B66" i="1"/>
  <c r="A66" i="1"/>
  <c r="E65" i="1"/>
  <c r="D65" i="1"/>
  <c r="C65" i="1"/>
  <c r="B65" i="1"/>
  <c r="A65" i="1"/>
  <c r="E64" i="1"/>
  <c r="D64" i="1"/>
  <c r="C64" i="1"/>
  <c r="B64" i="1"/>
  <c r="A64" i="1"/>
  <c r="E63" i="1"/>
  <c r="D63" i="1"/>
  <c r="C63" i="1"/>
  <c r="B63" i="1"/>
  <c r="A63" i="1"/>
  <c r="E62" i="1"/>
  <c r="D62" i="1"/>
  <c r="C62" i="1"/>
  <c r="B62" i="1"/>
  <c r="A62" i="1"/>
  <c r="E61" i="1"/>
  <c r="D61" i="1"/>
  <c r="C61" i="1"/>
  <c r="B61" i="1"/>
  <c r="A61" i="1"/>
  <c r="E60" i="1"/>
  <c r="D60" i="1"/>
  <c r="C60" i="1"/>
  <c r="B60" i="1"/>
  <c r="A60" i="1"/>
  <c r="E59" i="1"/>
  <c r="D59" i="1"/>
  <c r="C59" i="1"/>
  <c r="B59" i="1"/>
  <c r="A59" i="1"/>
  <c r="E58" i="1"/>
  <c r="D58" i="1"/>
  <c r="C58" i="1"/>
  <c r="B58" i="1"/>
  <c r="A58" i="1"/>
  <c r="E57" i="1"/>
  <c r="D57" i="1"/>
  <c r="C57" i="1"/>
  <c r="B57" i="1"/>
  <c r="A57" i="1"/>
  <c r="E56" i="1"/>
  <c r="D56" i="1"/>
  <c r="C56" i="1"/>
  <c r="B56" i="1"/>
  <c r="A56" i="1"/>
  <c r="E55" i="1"/>
  <c r="D55" i="1"/>
  <c r="C55" i="1"/>
  <c r="B55" i="1"/>
  <c r="A55" i="1"/>
  <c r="E54" i="1"/>
  <c r="D54" i="1"/>
  <c r="C54" i="1"/>
  <c r="B54" i="1"/>
  <c r="A54" i="1"/>
  <c r="E53" i="1"/>
  <c r="D53" i="1"/>
  <c r="C53" i="1"/>
  <c r="B53" i="1"/>
  <c r="A53" i="1"/>
  <c r="E52" i="1"/>
  <c r="D52" i="1"/>
  <c r="C52" i="1"/>
  <c r="B52" i="1"/>
  <c r="A52" i="1"/>
  <c r="E51" i="1"/>
  <c r="D51" i="1"/>
  <c r="C51" i="1"/>
  <c r="B51" i="1"/>
  <c r="A51" i="1"/>
  <c r="E50" i="1"/>
  <c r="D50" i="1"/>
  <c r="C50" i="1"/>
  <c r="B50" i="1"/>
  <c r="A50" i="1"/>
  <c r="E49" i="1"/>
  <c r="D49" i="1"/>
  <c r="C49" i="1"/>
  <c r="B49" i="1"/>
  <c r="A49" i="1"/>
  <c r="E48" i="1"/>
  <c r="D48" i="1"/>
  <c r="C48" i="1"/>
  <c r="B48" i="1"/>
  <c r="A48" i="1"/>
  <c r="E47" i="1"/>
  <c r="D47" i="1"/>
  <c r="C47" i="1"/>
  <c r="B47" i="1"/>
  <c r="A47" i="1"/>
  <c r="E46" i="1"/>
  <c r="D46" i="1"/>
  <c r="C46" i="1"/>
  <c r="B46" i="1"/>
  <c r="A46" i="1"/>
  <c r="E45" i="1"/>
  <c r="D45" i="1"/>
  <c r="C45" i="1"/>
  <c r="B45" i="1"/>
  <c r="A45" i="1"/>
  <c r="E44" i="1"/>
  <c r="D44" i="1"/>
  <c r="C44" i="1"/>
  <c r="B44" i="1"/>
  <c r="A44" i="1"/>
  <c r="E43" i="1"/>
  <c r="D43" i="1"/>
  <c r="C43" i="1"/>
  <c r="B43" i="1"/>
  <c r="A43" i="1"/>
  <c r="E42" i="1"/>
  <c r="D42" i="1"/>
  <c r="C42" i="1"/>
  <c r="B42" i="1"/>
  <c r="A42" i="1"/>
  <c r="E41" i="1"/>
  <c r="D41" i="1"/>
  <c r="C41" i="1"/>
  <c r="B41" i="1"/>
  <c r="A41" i="1"/>
  <c r="E40" i="1"/>
  <c r="D40" i="1"/>
  <c r="C40" i="1"/>
  <c r="B40" i="1"/>
  <c r="A40" i="1"/>
  <c r="E39" i="1"/>
  <c r="D39" i="1"/>
  <c r="C39" i="1"/>
  <c r="B39" i="1"/>
  <c r="A39" i="1"/>
  <c r="E38" i="1"/>
  <c r="D38" i="1"/>
  <c r="C38" i="1"/>
  <c r="B38" i="1"/>
  <c r="A38" i="1"/>
  <c r="E37" i="1"/>
  <c r="D37" i="1"/>
  <c r="C37" i="1"/>
  <c r="B37" i="1"/>
  <c r="A37" i="1"/>
  <c r="E36" i="1"/>
  <c r="D36" i="1"/>
  <c r="C36" i="1"/>
  <c r="B36" i="1"/>
  <c r="A36" i="1"/>
  <c r="E35" i="1"/>
  <c r="D35" i="1"/>
  <c r="C35" i="1"/>
  <c r="B35" i="1"/>
  <c r="A35" i="1"/>
  <c r="E34" i="1"/>
  <c r="D34" i="1"/>
  <c r="C34" i="1"/>
  <c r="B34" i="1"/>
  <c r="A34" i="1"/>
  <c r="E33" i="1"/>
  <c r="D33" i="1"/>
  <c r="C33" i="1"/>
  <c r="B33" i="1"/>
  <c r="A33" i="1"/>
  <c r="E32" i="1"/>
  <c r="D32" i="1"/>
  <c r="C32" i="1"/>
  <c r="B32" i="1"/>
  <c r="A32" i="1"/>
  <c r="E31" i="1"/>
  <c r="D31" i="1"/>
  <c r="C31" i="1"/>
  <c r="B31" i="1"/>
  <c r="A31" i="1"/>
  <c r="E30" i="1"/>
  <c r="D30" i="1"/>
  <c r="C30" i="1"/>
  <c r="B30" i="1"/>
  <c r="A30" i="1"/>
  <c r="E29" i="1"/>
  <c r="D29" i="1"/>
  <c r="C29" i="1"/>
  <c r="B29" i="1"/>
  <c r="A29" i="1"/>
  <c r="E28" i="1"/>
  <c r="D28" i="1"/>
  <c r="C28" i="1"/>
  <c r="B28" i="1"/>
  <c r="A28" i="1"/>
  <c r="E27" i="1"/>
  <c r="D27" i="1"/>
  <c r="C27" i="1"/>
  <c r="B27" i="1"/>
  <c r="A27" i="1"/>
  <c r="E26" i="1"/>
  <c r="D26" i="1"/>
  <c r="C26" i="1"/>
  <c r="B26" i="1"/>
  <c r="A26" i="1"/>
  <c r="E25" i="1"/>
  <c r="D25" i="1"/>
  <c r="C25" i="1"/>
  <c r="B25" i="1"/>
  <c r="A25" i="1"/>
  <c r="E24" i="1"/>
  <c r="D24" i="1"/>
  <c r="C24" i="1"/>
  <c r="B24" i="1"/>
  <c r="A24" i="1"/>
  <c r="E23" i="1"/>
  <c r="D23" i="1"/>
  <c r="C23" i="1"/>
  <c r="B23" i="1"/>
  <c r="A23" i="1"/>
  <c r="E22" i="1"/>
  <c r="D22" i="1"/>
  <c r="C22" i="1"/>
  <c r="B22" i="1"/>
  <c r="A22" i="1"/>
  <c r="E21" i="1"/>
  <c r="D21" i="1"/>
  <c r="C21" i="1"/>
  <c r="B21" i="1"/>
  <c r="A21" i="1"/>
  <c r="E20" i="1"/>
  <c r="D20" i="1"/>
  <c r="C20" i="1"/>
  <c r="B20" i="1"/>
  <c r="A20" i="1"/>
  <c r="E19" i="1"/>
  <c r="D19" i="1"/>
  <c r="C19" i="1"/>
  <c r="B19" i="1"/>
  <c r="A19" i="1"/>
  <c r="E18" i="1"/>
  <c r="D18" i="1"/>
  <c r="C18" i="1"/>
  <c r="B18" i="1"/>
  <c r="A18" i="1"/>
  <c r="E17" i="1"/>
  <c r="D17" i="1"/>
  <c r="C17" i="1"/>
  <c r="B17" i="1"/>
  <c r="A17" i="1"/>
  <c r="E16" i="1"/>
  <c r="D16" i="1"/>
  <c r="C16" i="1"/>
  <c r="B16" i="1"/>
  <c r="A16" i="1"/>
  <c r="E15" i="1"/>
  <c r="D15" i="1"/>
  <c r="C15" i="1"/>
  <c r="B15" i="1"/>
  <c r="A15" i="1"/>
  <c r="E14" i="1"/>
  <c r="D14" i="1"/>
  <c r="C14" i="1"/>
  <c r="B14" i="1"/>
  <c r="A14" i="1"/>
  <c r="E13" i="1"/>
  <c r="D13" i="1"/>
  <c r="C13" i="1"/>
  <c r="B13" i="1"/>
  <c r="A13" i="1"/>
  <c r="E12" i="1"/>
  <c r="D12" i="1"/>
  <c r="C12" i="1"/>
  <c r="B12" i="1"/>
  <c r="A12" i="1"/>
  <c r="E11" i="1"/>
  <c r="D11" i="1"/>
  <c r="C11" i="1"/>
  <c r="B11" i="1"/>
  <c r="A11" i="1"/>
  <c r="E10" i="1"/>
  <c r="D10" i="1"/>
  <c r="C10" i="1"/>
  <c r="B10" i="1"/>
  <c r="A10" i="1"/>
  <c r="E9" i="1"/>
  <c r="D9" i="1"/>
  <c r="C9" i="1"/>
  <c r="B9" i="1"/>
  <c r="A9" i="1"/>
  <c r="E8" i="1"/>
  <c r="D8" i="1"/>
  <c r="C8" i="1"/>
  <c r="B8" i="1"/>
  <c r="A8" i="1"/>
  <c r="E7" i="1"/>
  <c r="D7" i="1"/>
  <c r="C7" i="1"/>
  <c r="B7" i="1"/>
  <c r="A7" i="1"/>
  <c r="E6" i="1"/>
  <c r="D6" i="1"/>
  <c r="C6" i="1"/>
  <c r="B6" i="1"/>
  <c r="A6" i="1"/>
  <c r="E5" i="1"/>
  <c r="D5" i="1"/>
  <c r="C5" i="1"/>
  <c r="B5" i="1"/>
  <c r="A5" i="1"/>
  <c r="E4" i="1"/>
  <c r="D4" i="1"/>
  <c r="C4" i="1"/>
  <c r="B4" i="1"/>
  <c r="A4" i="1"/>
  <c r="E3" i="1"/>
  <c r="D3" i="1"/>
  <c r="C3" i="1"/>
  <c r="B3" i="1"/>
  <c r="A3" i="1"/>
  <c r="E2" i="1"/>
  <c r="D2" i="1"/>
  <c r="C2" i="1"/>
  <c r="B2" i="1"/>
  <c r="A2" i="1"/>
  <c r="E1" i="1"/>
  <c r="D1" i="1"/>
  <c r="C1" i="1"/>
  <c r="B1" i="1"/>
  <c r="A1" i="1"/>
  <c r="Q10" i="25"/>
  <c r="C4" i="25" l="1"/>
  <c r="C10" i="25"/>
  <c r="F10" i="25"/>
  <c r="E10" i="25"/>
  <c r="D10" i="25"/>
  <c r="R25" i="25"/>
  <c r="R24" i="25"/>
  <c r="F5" i="25"/>
  <c r="C36" i="25"/>
  <c r="E5" i="25"/>
  <c r="D5" i="25"/>
  <c r="C5" i="25"/>
  <c r="F36" i="25"/>
  <c r="E36" i="25"/>
  <c r="D36" i="25"/>
  <c r="F35" i="25"/>
  <c r="C35" i="25"/>
  <c r="D35" i="25"/>
  <c r="E35" i="25"/>
  <c r="F29" i="25"/>
  <c r="C29" i="25"/>
  <c r="D29" i="25"/>
  <c r="E29" i="25"/>
  <c r="C25" i="25"/>
  <c r="F25" i="25"/>
  <c r="E25" i="25"/>
  <c r="D25" i="25"/>
  <c r="F24" i="25"/>
  <c r="C24" i="25"/>
  <c r="D24" i="25"/>
  <c r="E24" i="25"/>
  <c r="C18" i="25"/>
  <c r="F18" i="25"/>
  <c r="D18" i="25"/>
  <c r="E18" i="25"/>
  <c r="D9" i="25"/>
  <c r="C9" i="25"/>
  <c r="E4" i="25"/>
  <c r="E9" i="25"/>
  <c r="F9" i="25"/>
  <c r="F4" i="25"/>
  <c r="D4" i="25"/>
  <c r="AA13" i="4"/>
  <c r="AB13" i="4"/>
  <c r="W13" i="4"/>
  <c r="V12" i="4"/>
  <c r="W33" i="4"/>
  <c r="AA37" i="4"/>
  <c r="Z12" i="4"/>
  <c r="X30" i="4"/>
  <c r="AA38" i="4"/>
  <c r="W37" i="4"/>
  <c r="W38" i="4"/>
  <c r="W15" i="4"/>
  <c r="X20" i="4"/>
  <c r="W20" i="4"/>
  <c r="W26" i="4"/>
  <c r="Z38" i="4"/>
  <c r="AB39" i="4"/>
  <c r="AA43" i="4"/>
  <c r="AA30" i="4"/>
  <c r="Z36" i="4"/>
  <c r="V36" i="4"/>
  <c r="W49" i="4"/>
  <c r="Z49" i="4"/>
  <c r="AA15" i="4"/>
  <c r="X14" i="4"/>
  <c r="AB14" i="4"/>
  <c r="X10" i="4"/>
  <c r="AB10" i="4"/>
  <c r="X29" i="4"/>
  <c r="AB29" i="4"/>
  <c r="H237" i="5"/>
  <c r="J237" i="5" s="1"/>
  <c r="Z11" i="4"/>
  <c r="W39" i="4"/>
  <c r="V40" i="4"/>
  <c r="V9" i="4"/>
  <c r="AA11" i="4"/>
  <c r="AB26" i="4"/>
  <c r="Z37" i="4"/>
  <c r="W55" i="4"/>
  <c r="AB16" i="4"/>
  <c r="X16" i="4"/>
  <c r="X19" i="4"/>
  <c r="W19" i="4"/>
  <c r="V19" i="4"/>
  <c r="AA29" i="4"/>
  <c r="S29" i="4"/>
  <c r="AB12" i="4"/>
  <c r="X12" i="4"/>
  <c r="W12" i="4"/>
  <c r="T39" i="4"/>
  <c r="X40" i="4"/>
  <c r="L40" i="4"/>
  <c r="P40" i="4"/>
  <c r="AA42" i="4"/>
  <c r="W42" i="4"/>
  <c r="H7" i="5"/>
  <c r="H37" i="5"/>
  <c r="H72" i="5"/>
  <c r="H89" i="5"/>
  <c r="J89" i="5" s="1"/>
  <c r="H142" i="5"/>
  <c r="J142" i="5" s="1"/>
  <c r="H223" i="5"/>
  <c r="G44" i="6"/>
  <c r="G61" i="6"/>
  <c r="G59" i="6"/>
  <c r="G57" i="6"/>
  <c r="G55" i="6"/>
  <c r="G53" i="6"/>
  <c r="G51" i="6"/>
  <c r="G49" i="6"/>
  <c r="G47" i="6"/>
  <c r="G45" i="6"/>
  <c r="G43" i="6"/>
  <c r="O41" i="6"/>
  <c r="O40" i="6"/>
  <c r="G39" i="6"/>
  <c r="O37" i="6"/>
  <c r="O36" i="6"/>
  <c r="O35" i="6"/>
  <c r="O34" i="6"/>
  <c r="O33" i="6"/>
  <c r="O32" i="6"/>
  <c r="O31" i="6"/>
  <c r="O30" i="6"/>
  <c r="O29" i="6"/>
  <c r="O28" i="6"/>
  <c r="H232" i="5"/>
  <c r="H226" i="5"/>
  <c r="H222" i="5"/>
  <c r="H217" i="5"/>
  <c r="H213" i="5"/>
  <c r="H190" i="5"/>
  <c r="J190" i="5" s="1"/>
  <c r="H188" i="5"/>
  <c r="J188" i="5" s="1"/>
  <c r="H186" i="5"/>
  <c r="J186" i="5" s="1"/>
  <c r="H184" i="5"/>
  <c r="J184" i="5" s="1"/>
  <c r="H182" i="5"/>
  <c r="J182" i="5" s="1"/>
  <c r="H177" i="5"/>
  <c r="H171" i="5"/>
  <c r="H166" i="5"/>
  <c r="H162" i="5"/>
  <c r="H158" i="5"/>
  <c r="H132" i="5"/>
  <c r="H126" i="5"/>
  <c r="H122" i="5"/>
  <c r="H117" i="5"/>
  <c r="H113" i="5"/>
  <c r="H88" i="5"/>
  <c r="J88" i="5" s="1"/>
  <c r="H83" i="5"/>
  <c r="H78" i="5"/>
  <c r="H76" i="5"/>
  <c r="H74" i="5"/>
  <c r="H71" i="5"/>
  <c r="H69" i="5"/>
  <c r="H67" i="5"/>
  <c r="H65" i="5"/>
  <c r="H63" i="5"/>
  <c r="H35" i="5"/>
  <c r="H25" i="5"/>
  <c r="H23" i="5"/>
  <c r="H18" i="5"/>
  <c r="H14" i="5"/>
  <c r="H12" i="5"/>
  <c r="G58" i="6"/>
  <c r="G50" i="6"/>
  <c r="G42" i="6"/>
  <c r="G37" i="6"/>
  <c r="G33" i="6"/>
  <c r="G29" i="6"/>
  <c r="H244" i="5"/>
  <c r="J244" i="5" s="1"/>
  <c r="H241" i="5"/>
  <c r="J241" i="5" s="1"/>
  <c r="H236" i="5"/>
  <c r="J236" i="5" s="1"/>
  <c r="H231" i="5"/>
  <c r="H224" i="5"/>
  <c r="H218" i="5"/>
  <c r="H212" i="5"/>
  <c r="H191" i="5"/>
  <c r="J191" i="5" s="1"/>
  <c r="H183" i="5"/>
  <c r="J183" i="5" s="1"/>
  <c r="H178" i="5"/>
  <c r="H170" i="5"/>
  <c r="H164" i="5"/>
  <c r="H159" i="5"/>
  <c r="H141" i="5"/>
  <c r="J141" i="5" s="1"/>
  <c r="H136" i="5"/>
  <c r="J136" i="5" s="1"/>
  <c r="H131" i="5"/>
  <c r="H124" i="5"/>
  <c r="H118" i="5"/>
  <c r="H112" i="5"/>
  <c r="H90" i="5"/>
  <c r="J90" i="5" s="1"/>
  <c r="H82" i="5"/>
  <c r="H79" i="5"/>
  <c r="H70" i="5"/>
  <c r="H38" i="5"/>
  <c r="H32" i="5"/>
  <c r="H28" i="5"/>
  <c r="H26" i="5"/>
  <c r="H19" i="5"/>
  <c r="H16" i="5"/>
  <c r="H13" i="5"/>
  <c r="H9" i="5"/>
  <c r="G52" i="6"/>
  <c r="G46" i="6"/>
  <c r="G41" i="6"/>
  <c r="G30" i="6"/>
  <c r="H242" i="5"/>
  <c r="J242" i="5" s="1"/>
  <c r="H238" i="5"/>
  <c r="J238" i="5" s="1"/>
  <c r="H225" i="5"/>
  <c r="H216" i="5"/>
  <c r="H210" i="5"/>
  <c r="H189" i="5"/>
  <c r="J189" i="5" s="1"/>
  <c r="H185" i="5"/>
  <c r="J185" i="5" s="1"/>
  <c r="H180" i="5"/>
  <c r="H172" i="5"/>
  <c r="H163" i="5"/>
  <c r="H139" i="5"/>
  <c r="J139" i="5" s="1"/>
  <c r="H135" i="5"/>
  <c r="J135" i="5" s="1"/>
  <c r="H129" i="5"/>
  <c r="H119" i="5"/>
  <c r="H111" i="5"/>
  <c r="H81" i="5"/>
  <c r="H75" i="5"/>
  <c r="H68" i="5"/>
  <c r="H31" i="5"/>
  <c r="H20" i="5"/>
  <c r="H11" i="5"/>
  <c r="H8" i="5"/>
  <c r="G62" i="6"/>
  <c r="G56" i="6"/>
  <c r="G38" i="6"/>
  <c r="G35" i="6"/>
  <c r="G32" i="6"/>
  <c r="H243" i="5"/>
  <c r="J243" i="5" s="1"/>
  <c r="H240" i="5"/>
  <c r="J240" i="5" s="1"/>
  <c r="H230" i="5"/>
  <c r="H221" i="5"/>
  <c r="H214" i="5"/>
  <c r="H187" i="5"/>
  <c r="J187" i="5" s="1"/>
  <c r="H174" i="5"/>
  <c r="H167" i="5"/>
  <c r="H160" i="5"/>
  <c r="H137" i="5"/>
  <c r="J137" i="5" s="1"/>
  <c r="H134" i="5"/>
  <c r="J134" i="5" s="1"/>
  <c r="H123" i="5"/>
  <c r="H115" i="5"/>
  <c r="H86" i="5"/>
  <c r="J86" i="5" s="1"/>
  <c r="H64" i="5"/>
  <c r="H34" i="5"/>
  <c r="H24" i="5"/>
  <c r="H15" i="5"/>
  <c r="F9" i="3"/>
  <c r="J13" i="3"/>
  <c r="F17" i="3"/>
  <c r="AA9" i="4"/>
  <c r="O9" i="4"/>
  <c r="W10" i="4"/>
  <c r="O10" i="4"/>
  <c r="F10" i="4"/>
  <c r="N12" i="4"/>
  <c r="R12" i="4"/>
  <c r="Z13" i="4"/>
  <c r="R13" i="4"/>
  <c r="W14" i="4"/>
  <c r="O14" i="4"/>
  <c r="V14" i="4"/>
  <c r="V15" i="4"/>
  <c r="V18" i="4"/>
  <c r="X22" i="4"/>
  <c r="V22" i="4"/>
  <c r="V30" i="4"/>
  <c r="N30" i="4"/>
  <c r="AB30" i="4"/>
  <c r="T30" i="4"/>
  <c r="V31" i="4"/>
  <c r="AB34" i="4"/>
  <c r="T34" i="4"/>
  <c r="AB37" i="4"/>
  <c r="T37" i="4"/>
  <c r="L38" i="4"/>
  <c r="X38" i="4"/>
  <c r="P38" i="4"/>
  <c r="Z42" i="4"/>
  <c r="Q8" i="5"/>
  <c r="M8" i="5"/>
  <c r="H17" i="5"/>
  <c r="H66" i="5"/>
  <c r="H77" i="5"/>
  <c r="H87" i="5"/>
  <c r="J87" i="5" s="1"/>
  <c r="H121" i="5"/>
  <c r="H173" i="5"/>
  <c r="H211" i="5"/>
  <c r="H229" i="5"/>
  <c r="H239" i="5"/>
  <c r="J239" i="5" s="1"/>
  <c r="G34" i="6"/>
  <c r="G40" i="6"/>
  <c r="G48" i="6"/>
  <c r="N9" i="4"/>
  <c r="X9" i="4"/>
  <c r="N14" i="4"/>
  <c r="F16" i="4"/>
  <c r="K16" i="4"/>
  <c r="Z31" i="4"/>
  <c r="R31" i="4"/>
  <c r="W32" i="4"/>
  <c r="S43" i="4"/>
  <c r="H116" i="5"/>
  <c r="G54" i="6"/>
  <c r="O10" i="3"/>
  <c r="K10" i="3"/>
  <c r="F10" i="3"/>
  <c r="O18" i="3"/>
  <c r="K18" i="3"/>
  <c r="F18" i="3"/>
  <c r="J9" i="4"/>
  <c r="AA10" i="4"/>
  <c r="S10" i="4"/>
  <c r="AB11" i="4"/>
  <c r="T11" i="4"/>
  <c r="V11" i="4"/>
  <c r="AA14" i="4"/>
  <c r="S14" i="4"/>
  <c r="J15" i="4"/>
  <c r="W18" i="4"/>
  <c r="X23" i="4"/>
  <c r="V23" i="4"/>
  <c r="AA31" i="4"/>
  <c r="S31" i="4"/>
  <c r="Z32" i="4"/>
  <c r="AA40" i="4"/>
  <c r="S40" i="4"/>
  <c r="K41" i="4"/>
  <c r="O41" i="4"/>
  <c r="H41" i="4"/>
  <c r="W41" i="4"/>
  <c r="V42" i="4"/>
  <c r="AB42" i="4"/>
  <c r="H43" i="4"/>
  <c r="O43" i="4"/>
  <c r="W43" i="4"/>
  <c r="Z47" i="4"/>
  <c r="V47" i="4"/>
  <c r="M9" i="5"/>
  <c r="R18" i="5"/>
  <c r="N18" i="5"/>
  <c r="R19" i="5"/>
  <c r="N19" i="5"/>
  <c r="H27" i="5"/>
  <c r="H84" i="5"/>
  <c r="H110" i="5"/>
  <c r="H125" i="5"/>
  <c r="H138" i="5"/>
  <c r="J138" i="5" s="1"/>
  <c r="H161" i="5"/>
  <c r="H179" i="5"/>
  <c r="H215" i="5"/>
  <c r="H234" i="5"/>
  <c r="J234" i="5" s="1"/>
  <c r="G31" i="6"/>
  <c r="G36" i="6"/>
  <c r="O16" i="4"/>
  <c r="W16" i="4"/>
  <c r="X21" i="4"/>
  <c r="V21" i="4"/>
  <c r="AB27" i="4"/>
  <c r="T27" i="4"/>
  <c r="AB28" i="4"/>
  <c r="T28" i="4"/>
  <c r="F29" i="4"/>
  <c r="W29" i="4"/>
  <c r="O29" i="4"/>
  <c r="N31" i="4"/>
  <c r="AA32" i="4"/>
  <c r="H29" i="5"/>
  <c r="H91" i="5"/>
  <c r="J91" i="5" s="1"/>
  <c r="H169" i="5"/>
  <c r="P11" i="3"/>
  <c r="L11" i="3"/>
  <c r="G11" i="3"/>
  <c r="W9" i="4"/>
  <c r="N11" i="4"/>
  <c r="R11" i="4"/>
  <c r="W11" i="4"/>
  <c r="K12" i="4"/>
  <c r="V13" i="4"/>
  <c r="N13" i="4"/>
  <c r="Z14" i="4"/>
  <c r="AB15" i="4"/>
  <c r="T15" i="4"/>
  <c r="V20" i="4"/>
  <c r="W22" i="4"/>
  <c r="X24" i="4"/>
  <c r="V24" i="4"/>
  <c r="S26" i="4"/>
  <c r="AA26" i="4"/>
  <c r="W27" i="4"/>
  <c r="O27" i="4"/>
  <c r="K27" i="4"/>
  <c r="F27" i="4"/>
  <c r="K28" i="4"/>
  <c r="W28" i="4"/>
  <c r="F28" i="4"/>
  <c r="J30" i="4"/>
  <c r="AB31" i="4"/>
  <c r="V32" i="4"/>
  <c r="N32" i="4"/>
  <c r="AB33" i="4"/>
  <c r="X33" i="4"/>
  <c r="W36" i="4"/>
  <c r="O36" i="4"/>
  <c r="H36" i="4"/>
  <c r="K36" i="4"/>
  <c r="X37" i="4"/>
  <c r="P37" i="4"/>
  <c r="S38" i="4"/>
  <c r="Z39" i="4"/>
  <c r="R39" i="4"/>
  <c r="Z41" i="4"/>
  <c r="R41" i="4"/>
  <c r="X42" i="4"/>
  <c r="Z46" i="4"/>
  <c r="V46" i="4"/>
  <c r="W52" i="4"/>
  <c r="W53" i="4"/>
  <c r="H10" i="5"/>
  <c r="N10" i="5"/>
  <c r="R13" i="5"/>
  <c r="R14" i="5"/>
  <c r="N14" i="5"/>
  <c r="H21" i="5"/>
  <c r="Q31" i="5"/>
  <c r="M31" i="5"/>
  <c r="H33" i="5"/>
  <c r="H114" i="5"/>
  <c r="H130" i="5"/>
  <c r="H140" i="5"/>
  <c r="J140" i="5" s="1"/>
  <c r="H165" i="5"/>
  <c r="H219" i="5"/>
  <c r="H235" i="5"/>
  <c r="J235" i="5" s="1"/>
  <c r="G60" i="6"/>
  <c r="Z26" i="4"/>
  <c r="R26" i="4"/>
  <c r="O32" i="4"/>
  <c r="S32" i="4"/>
  <c r="S37" i="4"/>
  <c r="X39" i="4"/>
  <c r="R9" i="5"/>
  <c r="N9" i="5"/>
  <c r="Q13" i="5"/>
  <c r="M13" i="5"/>
  <c r="O15" i="4"/>
  <c r="V26" i="4"/>
  <c r="N26" i="4"/>
  <c r="W31" i="4"/>
  <c r="O31" i="4"/>
  <c r="AB32" i="4"/>
  <c r="T32" i="4"/>
  <c r="G34" i="4"/>
  <c r="F33" i="4"/>
  <c r="R38" i="4"/>
  <c r="K39" i="4"/>
  <c r="W40" i="4"/>
  <c r="O40" i="4"/>
  <c r="Z43" i="4"/>
  <c r="R43" i="4"/>
  <c r="M7" i="5"/>
  <c r="Q21" i="5"/>
  <c r="M21" i="5"/>
  <c r="Q27" i="5"/>
  <c r="M27" i="5"/>
  <c r="Q17" i="5"/>
  <c r="M17" i="5"/>
  <c r="R23" i="5"/>
  <c r="N23" i="5"/>
  <c r="G4" i="25"/>
  <c r="L5" i="25"/>
  <c r="Q9" i="25"/>
  <c r="L4" i="25"/>
  <c r="Q5" i="25"/>
  <c r="K10" i="25"/>
  <c r="Q4" i="25"/>
  <c r="K9" i="25"/>
  <c r="P10" i="25"/>
  <c r="K5" i="25"/>
  <c r="P9" i="25"/>
  <c r="K4" i="25"/>
  <c r="P5" i="25"/>
  <c r="J10" i="25"/>
  <c r="P4" i="25"/>
  <c r="J9" i="25"/>
  <c r="O10" i="25"/>
  <c r="J5" i="25"/>
  <c r="O9" i="25"/>
  <c r="J4" i="25"/>
  <c r="O5" i="25"/>
  <c r="I10" i="25"/>
  <c r="O4" i="25"/>
  <c r="I9" i="25"/>
  <c r="N10" i="25"/>
  <c r="I5" i="25"/>
  <c r="N9" i="25"/>
  <c r="I4" i="25"/>
  <c r="N5" i="25"/>
  <c r="H10" i="25"/>
  <c r="N4" i="25"/>
  <c r="H9" i="25"/>
  <c r="M10" i="25"/>
  <c r="H5" i="25"/>
  <c r="M9" i="25"/>
  <c r="H4" i="25"/>
  <c r="M5" i="25"/>
  <c r="G10" i="25"/>
  <c r="M4" i="25"/>
  <c r="G9" i="25"/>
  <c r="L10" i="25"/>
  <c r="G5" i="25"/>
  <c r="L9" i="25"/>
  <c r="R4" i="25" l="1"/>
  <c r="R5" i="25"/>
  <c r="R9" i="25"/>
  <c r="R10" i="25"/>
  <c r="AA39" i="4"/>
  <c r="S39" i="4"/>
  <c r="J29" i="4"/>
  <c r="N29" i="4"/>
  <c r="V29" i="4"/>
  <c r="R15" i="4"/>
  <c r="Z15" i="4"/>
  <c r="Z9" i="4"/>
  <c r="R9" i="4"/>
  <c r="N10" i="3"/>
  <c r="J10" i="3"/>
  <c r="J10" i="4"/>
  <c r="N10" i="4"/>
  <c r="V10" i="4"/>
  <c r="J92" i="5"/>
  <c r="J192" i="5"/>
  <c r="AA36" i="4"/>
  <c r="S36" i="4"/>
  <c r="AA28" i="4"/>
  <c r="S28" i="4"/>
  <c r="AA12" i="4"/>
  <c r="S12" i="4"/>
  <c r="L43" i="4"/>
  <c r="X43" i="4"/>
  <c r="P43" i="4"/>
  <c r="X41" i="4"/>
  <c r="P41" i="4"/>
  <c r="L41" i="4"/>
  <c r="N18" i="3"/>
  <c r="J18" i="3"/>
  <c r="AA16" i="4"/>
  <c r="S16" i="4"/>
  <c r="N17" i="3"/>
  <c r="J17" i="3"/>
  <c r="V33" i="4"/>
  <c r="N33" i="4"/>
  <c r="F34" i="4"/>
  <c r="J33" i="4"/>
  <c r="P36" i="4"/>
  <c r="X36" i="4"/>
  <c r="L36" i="4"/>
  <c r="Z30" i="4"/>
  <c r="R30" i="4"/>
  <c r="J27" i="4"/>
  <c r="V27" i="4"/>
  <c r="N27" i="4"/>
  <c r="O11" i="3"/>
  <c r="F11" i="3"/>
  <c r="K11" i="3"/>
  <c r="V16" i="4"/>
  <c r="N16" i="4"/>
  <c r="J16" i="4"/>
  <c r="W34" i="4"/>
  <c r="K34" i="4"/>
  <c r="O34" i="4"/>
  <c r="N28" i="4"/>
  <c r="J28" i="4"/>
  <c r="V28" i="4"/>
  <c r="AA27" i="4"/>
  <c r="S27" i="4"/>
  <c r="J245" i="5"/>
  <c r="AA41" i="4"/>
  <c r="S41" i="4"/>
  <c r="AB38" i="4"/>
  <c r="T38" i="4"/>
  <c r="N9" i="3"/>
  <c r="J9" i="3"/>
  <c r="J143" i="5"/>
  <c r="AB40" i="4"/>
  <c r="T40" i="4"/>
  <c r="R16" i="4" l="1"/>
  <c r="Z16" i="4"/>
  <c r="N11" i="3"/>
  <c r="J11" i="3"/>
  <c r="Z27" i="4"/>
  <c r="R27" i="4"/>
  <c r="AB41" i="4"/>
  <c r="T41" i="4"/>
  <c r="Z10" i="4"/>
  <c r="R10" i="4"/>
  <c r="T43" i="4"/>
  <c r="AB43" i="4"/>
  <c r="Z29" i="4"/>
  <c r="R29" i="4"/>
  <c r="S34" i="4"/>
  <c r="AA34" i="4"/>
  <c r="Z33" i="4"/>
  <c r="R33" i="4"/>
  <c r="R28" i="4"/>
  <c r="Z28" i="4"/>
  <c r="T36" i="4"/>
  <c r="AB36" i="4"/>
  <c r="V34" i="4"/>
  <c r="N34" i="4"/>
  <c r="J34" i="4"/>
  <c r="Z34" i="4" l="1"/>
  <c r="R34" i="4"/>
</calcChain>
</file>

<file path=xl/sharedStrings.xml><?xml version="1.0" encoding="utf-8"?>
<sst xmlns="http://schemas.openxmlformats.org/spreadsheetml/2006/main" count="48548" uniqueCount="11851">
  <si>
    <t>BẢNG GIÁ BÁN DA</t>
  </si>
  <si>
    <t xml:space="preserve">                         TUYẾN CHẠY XE THEO NGÀY</t>
  </si>
  <si>
    <t>STT</t>
  </si>
  <si>
    <t>TÊN CHƯƠNG TRÌNH</t>
  </si>
  <si>
    <t>NỘI DUNG THAY ĐỔI</t>
  </si>
  <si>
    <t xml:space="preserve">ÁP DỤNG </t>
  </si>
  <si>
    <t>PHẠM VI</t>
  </si>
  <si>
    <t>Khu vực</t>
  </si>
  <si>
    <t>T2</t>
  </si>
  <si>
    <t>T3</t>
  </si>
  <si>
    <t>T4</t>
  </si>
  <si>
    <t>T5</t>
  </si>
  <si>
    <t>T6</t>
  </si>
  <si>
    <t>T7</t>
  </si>
  <si>
    <t>Nhân viên Dự Án</t>
  </si>
  <si>
    <t>Thanh Hóa</t>
  </si>
  <si>
    <t>v</t>
  </si>
  <si>
    <t>Kế hoạch trước 2 ngày</t>
  </si>
  <si>
    <t>Nghệ an</t>
  </si>
  <si>
    <t>Hà Tĩnh</t>
  </si>
  <si>
    <t>Nam Định</t>
  </si>
  <si>
    <t>vvv</t>
  </si>
  <si>
    <t>Thái Bình</t>
  </si>
  <si>
    <t>Bắc Ninh</t>
  </si>
  <si>
    <t>vv</t>
  </si>
  <si>
    <t>Bắc Giang</t>
  </si>
  <si>
    <t>Đông anh</t>
  </si>
  <si>
    <t>Thái Nguyên</t>
  </si>
  <si>
    <t>Mê Linh - Sóc Sơn</t>
  </si>
  <si>
    <t>Hưng Yên</t>
  </si>
  <si>
    <t>Hải Dương</t>
  </si>
  <si>
    <t>Quảng Ninh</t>
  </si>
  <si>
    <t>Hải Phòng</t>
  </si>
  <si>
    <t>Gia Lâm</t>
  </si>
  <si>
    <t>Long biên</t>
  </si>
  <si>
    <t>Vĩnh Phúc</t>
  </si>
  <si>
    <t>Phú Thọ</t>
  </si>
  <si>
    <t>Sơn Tây</t>
  </si>
  <si>
    <t>Hà Nam</t>
  </si>
  <si>
    <t>Thường tín</t>
  </si>
  <si>
    <t>Phú xuyên</t>
  </si>
  <si>
    <t>Ninh Bình</t>
  </si>
  <si>
    <t>Yên Bái</t>
  </si>
  <si>
    <t>Cao Bằng</t>
  </si>
  <si>
    <t>Lào Cai</t>
  </si>
  <si>
    <t>Hòa Bình</t>
  </si>
  <si>
    <t>MÃ VÙNG</t>
  </si>
  <si>
    <t>TỈNH THÀNH/QUẬN HUYỆN</t>
  </si>
  <si>
    <t>TELESALES</t>
  </si>
  <si>
    <t>THỊ TRƯỜNG</t>
  </si>
  <si>
    <t>R6</t>
  </si>
  <si>
    <t>Đà Nẵng, Huế, Quảng Nam, Quảng Bình, Quảng Ngãi, Quảng Trị</t>
  </si>
  <si>
    <t>Soái</t>
  </si>
  <si>
    <t>R7.1</t>
  </si>
  <si>
    <t>Hà Tĩnh, Nghệ An, Thanh Hóa</t>
  </si>
  <si>
    <t>R7.2</t>
  </si>
  <si>
    <t>Hà Nam, Ninh Bình, Nam Định, Thái Bình</t>
  </si>
  <si>
    <t>R8.1</t>
  </si>
  <si>
    <t>Ứng hòa, Chương Mỹ, Thanh Xuân, Hà Đông</t>
  </si>
  <si>
    <t>Hướng</t>
  </si>
  <si>
    <t>R8.2</t>
  </si>
  <si>
    <t>Hoàng Mai, Thanh Trì, Phú Xuyên, Thường Tín, Mỹ Đức</t>
  </si>
  <si>
    <t>R8.3</t>
  </si>
  <si>
    <t>Cầu Giấy, Hoài Đức, Phúc Thọ, Quốc Oai, Thanh Oai</t>
  </si>
  <si>
    <t>R8.4</t>
  </si>
  <si>
    <t>Hoàn Kiếm, Tây Hồ, Đống Đa, Hai Bà Trưng, Ba Đình</t>
  </si>
  <si>
    <t>R8.5</t>
  </si>
  <si>
    <t>Sơn Tây, Ba Vì Thạch Thất, Đan phượng, Nam Từ Liêm, Bắc Từ Liêm</t>
  </si>
  <si>
    <t>R8.6</t>
  </si>
  <si>
    <t>long Biên,Gia Lâm, Đông Anh, Sóc Sơn, mê Linh</t>
  </si>
  <si>
    <t>R8.7</t>
  </si>
  <si>
    <t>Cao Bằng, Điện biên, lai châu, Hòa Bình, Hà giang, lào cai phú Thọ, Sơn La, Tuyên Quang, Vĩnh Phúc, yên bái</t>
  </si>
  <si>
    <t>Phong</t>
  </si>
  <si>
    <t>R9.1</t>
  </si>
  <si>
    <t>Bắc Giang, Bắc Cạn, bắc Ninh, lạng sơn, Thái nguyên</t>
  </si>
  <si>
    <t>R9.2</t>
  </si>
  <si>
    <t>Hải Phòng, Hải Dương, Hưng yên, Quảng Ninh</t>
  </si>
  <si>
    <t>QUE HÀN - BĂNG CUỐN - BĂNG BẠC</t>
  </si>
  <si>
    <t>SẢN PHẨM</t>
  </si>
  <si>
    <t>ĐVT</t>
  </si>
  <si>
    <t>Giá niêm yết</t>
  </si>
  <si>
    <t>Giá chưa VAT</t>
  </si>
  <si>
    <t>Giá K</t>
  </si>
  <si>
    <t>Bán lẻ</t>
  </si>
  <si>
    <t>10kg/sku&gt;10/ khác&gt;=50TR</t>
  </si>
  <si>
    <t>20kg/SKU&gt;20/ khác&gt;=100TR</t>
  </si>
  <si>
    <t>30kg/SKU&gt;30/ khác&gt;=200TR</t>
  </si>
  <si>
    <t>QUE HÀN ĐỒNG VẨY BẠC HARRIS - NHẬP KHẨU MỸ (11.34kg/H)</t>
  </si>
  <si>
    <t>QHD0</t>
  </si>
  <si>
    <t>Que hàn  Harris SX tại Mỹ  (0%)</t>
  </si>
  <si>
    <t>QHD2</t>
  </si>
  <si>
    <t>Que hàn Harris SX tại Mỹ  (2%)</t>
  </si>
  <si>
    <t>QHD5</t>
  </si>
  <si>
    <t>Que hàn  Harris SX tại Mỹ  (5%)</t>
  </si>
  <si>
    <t>QHD15</t>
  </si>
  <si>
    <t>Que hàn  Harris SX tại Mỹ  (15%)</t>
  </si>
  <si>
    <t>QHD30</t>
  </si>
  <si>
    <t>Que hàn  Harris SX tại Mỹ  (30%)</t>
  </si>
  <si>
    <t>BHHSSBF-1</t>
  </si>
  <si>
    <t>Bột hàn Harris code Stay-SilvR Black Flux (Harris Products SSBF-1)</t>
  </si>
  <si>
    <t>BĂNG CUỐN TRẮNG</t>
  </si>
  <si>
    <t>BCTRANG</t>
  </si>
  <si>
    <t>Băng cuốn trắng</t>
  </si>
  <si>
    <t>BCTRANGSGM</t>
  </si>
  <si>
    <t>Băng cuốn trắng SG loại 1</t>
  </si>
  <si>
    <t>BCDEN100</t>
  </si>
  <si>
    <t>Băng cuốn màu đen bản 100mm</t>
  </si>
  <si>
    <t>BCGHI80</t>
  </si>
  <si>
    <t>Băng cuốn màu ghi bản 80mm</t>
  </si>
  <si>
    <t>sku&gt;10/ khác&gt;=100TR</t>
  </si>
  <si>
    <t>SKU&gt;20/ khác&gt;=200TR</t>
  </si>
  <si>
    <t>Bán lẻ có VAT</t>
  </si>
  <si>
    <t>HKBB</t>
  </si>
  <si>
    <t>Băng bạc</t>
  </si>
  <si>
    <t>BBVTT</t>
  </si>
  <si>
    <t>Băng bạc vải thủy tinh</t>
  </si>
  <si>
    <t>BBCG</t>
  </si>
  <si>
    <t>Băng bạc có gân</t>
  </si>
  <si>
    <t>HKBANGW48X50ML</t>
  </si>
  <si>
    <t>Băng dính phủ silicon W50x50ml</t>
  </si>
  <si>
    <t>HKBANGW75X50M</t>
  </si>
  <si>
    <t>Băng dính phủ silicon W75x50ml</t>
  </si>
  <si>
    <t>D</t>
  </si>
  <si>
    <t>HKBB7550</t>
  </si>
  <si>
    <t>Băng bạc 75mmx50m</t>
  </si>
  <si>
    <t>HKBB7525</t>
  </si>
  <si>
    <t>Băng bạc 75mmx25m</t>
  </si>
  <si>
    <t>HKBDTDTT</t>
  </si>
  <si>
    <t>Băng dính trong dầy trắng trong</t>
  </si>
  <si>
    <t>CHÂN GIÁ + ỐC VÍT</t>
  </si>
  <si>
    <t>sku&gt;10/100TR</t>
  </si>
  <si>
    <t>SKU&gt;20/200TR</t>
  </si>
  <si>
    <t>HKGĐN</t>
  </si>
  <si>
    <t>Giá đỡ nhỏ</t>
  </si>
  <si>
    <t>HKGĐT</t>
  </si>
  <si>
    <t>Giá đỡ to</t>
  </si>
  <si>
    <t>OCVITLDH</t>
  </si>
  <si>
    <t>Ốc vít lắp điều hòa</t>
  </si>
  <si>
    <t>BĂNG CUỐN TAISEI - HÀN QUỐC</t>
  </si>
  <si>
    <t>✅ Mỏng hơn, nhẹ hơn, tiết kiệm hơn.</t>
  </si>
  <si>
    <t>✅ Băng dai hơn, đàn hồi hơn &amp; Thân thiện với môi trường.</t>
  </si>
  <si>
    <t>✅ Bản rộng hơn ( 10cm) ứng dụng đa dạng hơn</t>
  </si>
  <si>
    <t>MÃ</t>
  </si>
  <si>
    <t>Màu</t>
  </si>
  <si>
    <t>ỨNG DỤNG</t>
  </si>
  <si>
    <t>XANH DƯƠNG</t>
  </si>
  <si>
    <t>Dùng cho cho Đường Ống Nước Lạnh</t>
  </si>
  <si>
    <t>Kg</t>
  </si>
  <si>
    <t>ĐỎ</t>
  </si>
  <si>
    <t>Dùng cho Đường Ống Cứu Hỏa</t>
  </si>
  <si>
    <t>XANH LÁ</t>
  </si>
  <si>
    <t>Dùng cho Đường Ống Chất Độc Hại</t>
  </si>
  <si>
    <t>HỒNG</t>
  </si>
  <si>
    <t>Dùng cho Đường Ống Sewage (Ống nước thải), Nước Nóng &amp; loại khác.</t>
  </si>
  <si>
    <t>XÁM</t>
  </si>
  <si>
    <t>Dùng cho Đường Ống Brine Line (Ống nước mặn) &amp; mục đích khác</t>
  </si>
  <si>
    <t>TRẮNG NGÀ/ TRẮNG PHẤN</t>
  </si>
  <si>
    <t>Dùng cho Bảo Ôn Điều Hòa Nhiệt Độ</t>
  </si>
  <si>
    <t>ỐNG GIÓ /// BÔNG THỦY TINH</t>
  </si>
  <si>
    <t>Được cộng dồn 1 đơn (trơn, bạc riêng)</t>
  </si>
  <si>
    <t>10C/SKU&gt;10/khác&gt;=100tr</t>
  </si>
  <si>
    <t>20C/SKU&gt;20/khác&gt;=200tr</t>
  </si>
  <si>
    <t>10C/sku&gt;10/khác&gt;=100tr</t>
  </si>
  <si>
    <t>ỐNG GIÓ KHÔNG CÓ BẢO ÔN ( ỐNG GIÓ TRƠN)</t>
  </si>
  <si>
    <t>TAISEI CLASS 1</t>
  </si>
  <si>
    <t>ORD</t>
  </si>
  <si>
    <t>OGTTS100</t>
  </si>
  <si>
    <t>Ống gió trơn D100 Taisei</t>
  </si>
  <si>
    <t>C/8m</t>
  </si>
  <si>
    <t>OGTTS125</t>
  </si>
  <si>
    <t>Ống gió trơn D125 Taisei</t>
  </si>
  <si>
    <t>OGTTS150</t>
  </si>
  <si>
    <t>Ống gió trơn D150 Taisei</t>
  </si>
  <si>
    <t>OGTTS200</t>
  </si>
  <si>
    <t>Ống gió trơn D200 Taisei</t>
  </si>
  <si>
    <t>OGTTS250</t>
  </si>
  <si>
    <t>Ống gió trơn D250 Taisei</t>
  </si>
  <si>
    <t>OGTTS300</t>
  </si>
  <si>
    <t>Ống gió trơn D300 Taisei</t>
  </si>
  <si>
    <t>OGTTS350</t>
  </si>
  <si>
    <t>Ống gió trơn D350 Taisei</t>
  </si>
  <si>
    <t>OGTTS400</t>
  </si>
  <si>
    <t>Ống gió trơn D400 Taisei</t>
  </si>
  <si>
    <t xml:space="preserve">ỐNG GIÓ MỀM BÔNG POLYESTE </t>
  </si>
  <si>
    <t>OGBPL100</t>
  </si>
  <si>
    <t>Ống gió bạc D100 Polyester (8m/cuộn)</t>
  </si>
  <si>
    <t>OGBPL150</t>
  </si>
  <si>
    <t>Ống gió bạc D150 Polyester (8m/cuộn)</t>
  </si>
  <si>
    <t>OGBPL200</t>
  </si>
  <si>
    <t>Ống gió bạc D200 Polyester (8m/cuộn)</t>
  </si>
  <si>
    <t>OGBPL250</t>
  </si>
  <si>
    <t>Ống gió bạc D250 Polyester (8m/cuộn)</t>
  </si>
  <si>
    <t>OGBPL300</t>
  </si>
  <si>
    <t>Ống gió bạc D300 Polyester (8m/cuộn)</t>
  </si>
  <si>
    <t>OGBPL350</t>
  </si>
  <si>
    <t>Ống gió bạc D350 Polyester (8m/cuộn)</t>
  </si>
  <si>
    <t>OGBPL400</t>
  </si>
  <si>
    <t>Ống gió bạc D400 Polyester (8m/cuộn)</t>
  </si>
  <si>
    <r>
      <rPr>
        <b/>
        <i/>
        <sz val="10"/>
        <color theme="1"/>
        <rFont val="Merriweather"/>
      </rPr>
      <t>ỐNG GIÓ MỀM</t>
    </r>
    <r>
      <rPr>
        <b/>
        <i/>
        <sz val="10"/>
        <color rgb="FFFF0000"/>
        <rFont val="Merriweather"/>
      </rPr>
      <t xml:space="preserve"> </t>
    </r>
    <r>
      <rPr>
        <b/>
        <i/>
        <sz val="10"/>
        <color theme="1"/>
        <rFont val="Merriweather"/>
      </rPr>
      <t>CÓ BẢO ÔN ( TT 24kg/m3)</t>
    </r>
  </si>
  <si>
    <t>OGBTS100</t>
  </si>
  <si>
    <t>Ống gió bạc D100 Taisei</t>
  </si>
  <si>
    <t>OGBTS125</t>
  </si>
  <si>
    <t>Ống gió bạc D125 Taisei</t>
  </si>
  <si>
    <t>OGBTS150</t>
  </si>
  <si>
    <t>Ống gió bạc D150 Taisei</t>
  </si>
  <si>
    <t>OGBTS200</t>
  </si>
  <si>
    <t>Ống gió bạc D200 Taisei</t>
  </si>
  <si>
    <t>OGBTS250</t>
  </si>
  <si>
    <t>Ống gió bạc D250 Taisei</t>
  </si>
  <si>
    <t>OGBTS300</t>
  </si>
  <si>
    <t>Ống gió bạc D300 Taisei</t>
  </si>
  <si>
    <t>OGBTS350</t>
  </si>
  <si>
    <t>Ống gió bạc D350 Taisei</t>
  </si>
  <si>
    <t>OGBTS400</t>
  </si>
  <si>
    <t>Ống gió bạc D400 Taisei</t>
  </si>
  <si>
    <t>OGBTS450</t>
  </si>
  <si>
    <t>Ống gió bạc D450 Taisei</t>
  </si>
  <si>
    <t>ỐNG GIÓ MỀM CÓ BẢO ÔN ( TT 32kg/m3)</t>
  </si>
  <si>
    <t>OGBTS10032</t>
  </si>
  <si>
    <t>OGBTS12532</t>
  </si>
  <si>
    <t>OGBTS15032</t>
  </si>
  <si>
    <t>OGBTS20032</t>
  </si>
  <si>
    <t>OGBTS25032</t>
  </si>
  <si>
    <t>OGBTS30032</t>
  </si>
  <si>
    <t>OGBTS35032</t>
  </si>
  <si>
    <t>OGBTS40032</t>
  </si>
  <si>
    <t>BÔNG THỦY TINH BẠC</t>
  </si>
  <si>
    <t>TAISEI( Loại 1)</t>
  </si>
  <si>
    <t>TAISEI CL1 (loại 2)</t>
  </si>
  <si>
    <t>ORD Loại 2</t>
  </si>
  <si>
    <t>HKBTT32x25</t>
  </si>
  <si>
    <t>Bông thủy tinh 32 x 25 có bạc(24m2/cuộn)</t>
  </si>
  <si>
    <t>32x25</t>
  </si>
  <si>
    <t>24m2/C</t>
  </si>
  <si>
    <t>HKBTT32X50</t>
  </si>
  <si>
    <t>Bông thuỷ tinh 32 X 50 có bạc (18m2/cuộn)</t>
  </si>
  <si>
    <t>32x50</t>
  </si>
  <si>
    <t>18m2/C</t>
  </si>
  <si>
    <t>HKBTT24X25</t>
  </si>
  <si>
    <t>Bông thuỷ tinh 24 X 25 có bạc (24m2/cuộn)</t>
  </si>
  <si>
    <t>24x25</t>
  </si>
  <si>
    <t>36m2/C</t>
  </si>
  <si>
    <t>HKBTT24X50</t>
  </si>
  <si>
    <t>Bông thuỷ tinh 24 X 50 có bạc (24m2/cuộn)</t>
  </si>
  <si>
    <t>24x50</t>
  </si>
  <si>
    <t>HKBTT12X50CB</t>
  </si>
  <si>
    <t>Bông thuỷ tinh 12 X 50 có bạc (36m2/cuộn)</t>
  </si>
  <si>
    <t>12x50</t>
  </si>
  <si>
    <t>BÔNG THỦY TINH KHÔNG BẠC</t>
  </si>
  <si>
    <t>HKBTTKB32x25</t>
  </si>
  <si>
    <t>Bông thủy tinh 32 x 25 không bạc(24m2/cuộn)</t>
  </si>
  <si>
    <t>HKBTT32X50KB</t>
  </si>
  <si>
    <t>Bông thuỷ tinh 32 X 50 không bạc(18m2/cuộn)</t>
  </si>
  <si>
    <t>HKBTTKB24x25</t>
  </si>
  <si>
    <t>Bông thủy tinh 24x25 không bạc(36m2/cuộn)</t>
  </si>
  <si>
    <t>HKBTT24X50KB</t>
  </si>
  <si>
    <t>Bông thủy tinh 24 x50 không bạc ( 24m2/cuộn)</t>
  </si>
  <si>
    <t>HKBTT12X50KB</t>
  </si>
  <si>
    <t>Bông thuỷ tinh 12 X 50 không bạc (36m2/cuộn)</t>
  </si>
  <si>
    <t>Đơn giá được cộng dồn loại trơn riêng, loại bạc riêng trong 1 đơn hàng / hợp đồng</t>
  </si>
  <si>
    <t>KHÁCH HÀNG LẤY SỐ LƯỢNG NHIỀU XIN GIÁ BGĐ</t>
  </si>
  <si>
    <t>Giao hàng trong nộp thành HN, HCM. Giao 1 lần 1 đơn.</t>
  </si>
  <si>
    <t>BTT LOẠI 2 LÀ HÀNG BAO TRẮNG - CÓ THỂ DÁN ORD NHƯNG CL THẤP THIẾU KG - KHÔNG BÁN THƯƠNG HIỆU TAISEI - KHÔNG BẢO HÀNH</t>
  </si>
  <si>
    <t>Trân trọng cảm ơn và rất mong nhận được sự hợp tác của quý khách.</t>
  </si>
  <si>
    <t>BẢNG GIÁ ỐNG GIÓ &amp; BÔNG TT 15.11</t>
  </si>
  <si>
    <t>ĐVT: Đồng</t>
  </si>
  <si>
    <t>MÃ HÀNG</t>
  </si>
  <si>
    <t>TÊN SẢN PHẨM</t>
  </si>
  <si>
    <t>Giá bán chưa VAT</t>
  </si>
  <si>
    <t>Được cộng dồn 1 đơn (trơn bạc riêng)</t>
  </si>
  <si>
    <t>10c</t>
  </si>
  <si>
    <t>20c</t>
  </si>
  <si>
    <t>50c</t>
  </si>
  <si>
    <r>
      <rPr>
        <b/>
        <i/>
        <sz val="10"/>
        <color theme="1"/>
        <rFont val="Merriweather"/>
      </rPr>
      <t xml:space="preserve">ỐNG GIÓ 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theme="1"/>
        <rFont val="Merriweather"/>
      </rPr>
      <t xml:space="preserve"> KHÔNG CÓ BẢO ÔN ( ỐNG GIÓ TRƠN)</t>
    </r>
  </si>
  <si>
    <r>
      <rPr>
        <b/>
        <i/>
        <sz val="10"/>
        <color theme="1"/>
        <rFont val="Merriweather"/>
      </rPr>
      <t>ỐNG GIÓ MỀM</t>
    </r>
    <r>
      <rPr>
        <b/>
        <i/>
        <sz val="10"/>
        <color rgb="FFFF0000"/>
        <rFont val="Merriweather"/>
      </rPr>
      <t xml:space="preserve"> TAISEI CLASS 1</t>
    </r>
    <r>
      <rPr>
        <b/>
        <i/>
        <sz val="10"/>
        <color theme="1"/>
        <rFont val="Merriweather"/>
      </rPr>
      <t xml:space="preserve"> CÓ BẢO ÔN</t>
    </r>
  </si>
  <si>
    <r>
      <rPr>
        <b/>
        <i/>
        <sz val="10"/>
        <color rgb="FF000000"/>
        <rFont val="Merriweather"/>
      </rPr>
      <t xml:space="preserve">ỐNG GIÓ MỀM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rgb="FF000000"/>
        <rFont val="Merriweather"/>
      </rPr>
      <t xml:space="preserve"> BÔNG POLYESTE </t>
    </r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</si>
  <si>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CLASS1</t>
    </r>
  </si>
  <si>
    <t>Bông thủy tinh</t>
  </si>
  <si>
    <t>24x50 loại 2</t>
  </si>
  <si>
    <t>32x25 loại 2</t>
  </si>
  <si>
    <t>32x50 loại 2</t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</si>
  <si>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CLASS0</t>
    </r>
  </si>
  <si>
    <t>24x50 loại 1</t>
  </si>
  <si>
    <t>32x25 loại 1</t>
  </si>
  <si>
    <t>32x50 loại 1</t>
  </si>
  <si>
    <t>Đơn giá chưa bao gồm VAT, VAT+10%</t>
  </si>
  <si>
    <t>Quý khách lấy số lượng nhiều hơn bản báo giá này, vui lòng liên hệ để có giá tốt nhất</t>
  </si>
  <si>
    <t>Ống gió trơn ORD+15%, bạc+10%</t>
  </si>
  <si>
    <t>BẢNG GIÁ ỐNG GIÓ &amp; BÔNG TT</t>
  </si>
  <si>
    <r>
      <rPr>
        <b/>
        <i/>
        <sz val="10"/>
        <color theme="1"/>
        <rFont val="Merriweather"/>
      </rPr>
      <t xml:space="preserve">ỐNG GIÓ 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theme="1"/>
        <rFont val="Merriweather"/>
      </rPr>
      <t xml:space="preserve"> KHÔNG CÓ BẢO ÔN ( ỐNG GIÓ TRƠN)</t>
    </r>
  </si>
  <si>
    <t>OGT100</t>
  </si>
  <si>
    <t>Ống gió trơn D100</t>
  </si>
  <si>
    <t>OGT125</t>
  </si>
  <si>
    <t>Ống gió trơn D125</t>
  </si>
  <si>
    <t>OGT150</t>
  </si>
  <si>
    <t>Ống gió trơn D150</t>
  </si>
  <si>
    <t>OGT200</t>
  </si>
  <si>
    <t>Ống gió trơn D200</t>
  </si>
  <si>
    <t>OGT250</t>
  </si>
  <si>
    <t>Ống gió trơn D250</t>
  </si>
  <si>
    <t>OGT300</t>
  </si>
  <si>
    <t>Ống gió trơn D300</t>
  </si>
  <si>
    <t>OGT350</t>
  </si>
  <si>
    <t>Ống gió trơn D350</t>
  </si>
  <si>
    <t>OGT400</t>
  </si>
  <si>
    <t>Ống gió trơn D400</t>
  </si>
  <si>
    <r>
      <rPr>
        <b/>
        <i/>
        <sz val="10"/>
        <color theme="1"/>
        <rFont val="Merriweather"/>
      </rPr>
      <t>ỐNG GIÓ MỀM</t>
    </r>
    <r>
      <rPr>
        <b/>
        <i/>
        <sz val="10"/>
        <color rgb="FFFF0000"/>
        <rFont val="Merriweather"/>
      </rPr>
      <t xml:space="preserve"> TAISEI CLASS 1</t>
    </r>
    <r>
      <rPr>
        <b/>
        <i/>
        <sz val="10"/>
        <color theme="1"/>
        <rFont val="Merriweather"/>
      </rPr>
      <t xml:space="preserve"> CÓ BẢO ÔN</t>
    </r>
  </si>
  <si>
    <t>OGB100</t>
  </si>
  <si>
    <t>Ống gió bạc D100</t>
  </si>
  <si>
    <t>OGB125</t>
  </si>
  <si>
    <t>Ống gió bạc D125</t>
  </si>
  <si>
    <t>OGB150</t>
  </si>
  <si>
    <t>Ống gió bạc D150</t>
  </si>
  <si>
    <t>OGB200</t>
  </si>
  <si>
    <t>Ống gió bạc D200</t>
  </si>
  <si>
    <t>OGB250</t>
  </si>
  <si>
    <t>Ống gió bạc D250</t>
  </si>
  <si>
    <t>OGB300</t>
  </si>
  <si>
    <t>Ống gió bạc D300</t>
  </si>
  <si>
    <t>OGB350</t>
  </si>
  <si>
    <t>Ống gió bạc D350</t>
  </si>
  <si>
    <t>OGB400</t>
  </si>
  <si>
    <t>Ống gió bạc D400</t>
  </si>
  <si>
    <t>OGB450</t>
  </si>
  <si>
    <t>Ống gió bạc D450</t>
  </si>
  <si>
    <r>
      <rPr>
        <b/>
        <i/>
        <sz val="10"/>
        <color rgb="FF000000"/>
        <rFont val="Merriweather"/>
      </rPr>
      <t xml:space="preserve">ỐNG GIÓ MỀM </t>
    </r>
    <r>
      <rPr>
        <b/>
        <i/>
        <sz val="10"/>
        <color rgb="FFFF0000"/>
        <rFont val="Merriweather"/>
      </rPr>
      <t>TAISEI CLASS 1</t>
    </r>
    <r>
      <rPr>
        <b/>
        <i/>
        <sz val="10"/>
        <color rgb="FF000000"/>
        <rFont val="Merriweather"/>
      </rPr>
      <t xml:space="preserve"> BÔNG POLYESTE </t>
    </r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</si>
  <si>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CLASS1</t>
    </r>
  </si>
  <si>
    <r>
      <rPr>
        <b/>
        <i/>
        <sz val="10"/>
        <color theme="1"/>
        <rFont val="Merriweather"/>
      </rPr>
      <t xml:space="preserve">BÔNG THỦY TINH </t>
    </r>
    <r>
      <rPr>
        <b/>
        <i/>
        <sz val="10"/>
        <color rgb="FFFF0000"/>
        <rFont val="Merriweather"/>
      </rPr>
      <t>TAISEI CLASS0</t>
    </r>
  </si>
  <si>
    <t xml:space="preserve">DỰ ÁN // CHÍNH SÁCH GAS + Dầu </t>
  </si>
  <si>
    <t>LOẠI HÀNG / TÊN HÀNG</t>
  </si>
  <si>
    <t>Tồn</t>
  </si>
  <si>
    <t>GAS LẠNH TAISEI - CAO CẤP LOẠI 1 - CHINA</t>
  </si>
  <si>
    <t>10B trở lên</t>
  </si>
  <si>
    <t>20B trở lên</t>
  </si>
  <si>
    <t>GA22TQ03</t>
  </si>
  <si>
    <t>Gas lạnh</t>
  </si>
  <si>
    <t>TAISEI</t>
  </si>
  <si>
    <t>R22</t>
  </si>
  <si>
    <t>3kg</t>
  </si>
  <si>
    <t>TQ</t>
  </si>
  <si>
    <t>GA22TAISEITQ</t>
  </si>
  <si>
    <t>13.6kg</t>
  </si>
  <si>
    <t>GA32TQ03</t>
  </si>
  <si>
    <t>R32</t>
  </si>
  <si>
    <t>GA32TQ07</t>
  </si>
  <si>
    <t>7kg</t>
  </si>
  <si>
    <t>GA32TQ9.5</t>
  </si>
  <si>
    <t>9.5kg</t>
  </si>
  <si>
    <t>GA32TQ10</t>
  </si>
  <si>
    <t>10kg</t>
  </si>
  <si>
    <t>GA134TASEITQ3</t>
  </si>
  <si>
    <t>R134</t>
  </si>
  <si>
    <t>GA134TASEITQ</t>
  </si>
  <si>
    <t>GA410TAI-TQ28</t>
  </si>
  <si>
    <t>R410</t>
  </si>
  <si>
    <t>2.8kg</t>
  </si>
  <si>
    <t>GA410TAI-TQ</t>
  </si>
  <si>
    <t>11.3kg</t>
  </si>
  <si>
    <t>GA404TQ27</t>
  </si>
  <si>
    <t>R404</t>
  </si>
  <si>
    <t>2.7kg</t>
  </si>
  <si>
    <t>GA404TQ10.9</t>
  </si>
  <si>
    <t>10.9kg</t>
  </si>
  <si>
    <t>GA407TQ28</t>
  </si>
  <si>
    <t>R407</t>
  </si>
  <si>
    <t>GA600TQ3</t>
  </si>
  <si>
    <t>R600</t>
  </si>
  <si>
    <t>GA600TQ65</t>
  </si>
  <si>
    <t>6.5kg</t>
  </si>
  <si>
    <t>GAS LẠNH TAISEI - CAO CẤP LOẠI 1 - INDIA</t>
  </si>
  <si>
    <t>GA22L1</t>
  </si>
  <si>
    <t>REFRON</t>
  </si>
  <si>
    <t>ẤN</t>
  </si>
  <si>
    <t>GA134SRF</t>
  </si>
  <si>
    <t>SRF</t>
  </si>
  <si>
    <t>GA410TAI-AD</t>
  </si>
  <si>
    <t>9.2.2023</t>
  </si>
  <si>
    <t>GA22TAISEI</t>
  </si>
  <si>
    <t>GA410RE-India</t>
  </si>
  <si>
    <t>GA407RE-India</t>
  </si>
  <si>
    <t>GA404ABESTGA</t>
  </si>
  <si>
    <t>Gas lạnh 404A</t>
  </si>
  <si>
    <t>BESTGAS</t>
  </si>
  <si>
    <t>GAS LẠNH CHEMOUS / DUPONT - MADE IN USA / EU</t>
  </si>
  <si>
    <t>5B</t>
  </si>
  <si>
    <t>GA134DUCHEM-USA</t>
  </si>
  <si>
    <t>Chemour</t>
  </si>
  <si>
    <t>Mỹ</t>
  </si>
  <si>
    <t>GA410DUCHEM-USA</t>
  </si>
  <si>
    <t>GA410DUCHEM-EU</t>
  </si>
  <si>
    <t>EU</t>
  </si>
  <si>
    <t>GA404CHEM-EU</t>
  </si>
  <si>
    <t>10.98kg</t>
  </si>
  <si>
    <t>GA407CHEM-USA</t>
  </si>
  <si>
    <t>GAS LẠNH HÀNG XẢ</t>
  </si>
  <si>
    <t>GA134TAISEI</t>
  </si>
  <si>
    <t>Nhật</t>
  </si>
  <si>
    <t>GA410FRAKM</t>
  </si>
  <si>
    <t>Arkema</t>
  </si>
  <si>
    <t>GA410DUEU</t>
  </si>
  <si>
    <t>Dupont</t>
  </si>
  <si>
    <t>Tổng hàng D</t>
  </si>
  <si>
    <t>Ghi chú</t>
  </si>
  <si>
    <t>Giá này là cộng dồn TQ với TQ, ẤN với Ấn, Mỹ với Mỹ trong 1 đơn hàng</t>
  </si>
  <si>
    <t>Thay đổi giá báo trước 3 tiếng</t>
  </si>
  <si>
    <t>DỰ ÁN // CHÍNH SÁCH GAS 05.10.2021</t>
  </si>
  <si>
    <t>Tồn kho</t>
  </si>
  <si>
    <t>10B</t>
  </si>
  <si>
    <t>30B</t>
  </si>
  <si>
    <t>Giá bán lẻ trước VAT</t>
  </si>
  <si>
    <t>GA134FL3</t>
  </si>
  <si>
    <t>Floron</t>
  </si>
  <si>
    <t>Ấn</t>
  </si>
  <si>
    <t>ĐC 10.11</t>
  </si>
  <si>
    <t>GA404SRF</t>
  </si>
  <si>
    <t>GA407SRF</t>
  </si>
  <si>
    <t>Lẻ</t>
  </si>
  <si>
    <t>ĐC: 6.11</t>
  </si>
  <si>
    <t>GA404CHEM-USA</t>
  </si>
  <si>
    <t>Giá có VAT</t>
  </si>
  <si>
    <t>GA410FL-India</t>
  </si>
  <si>
    <t>GA22FLORON(TO)</t>
  </si>
  <si>
    <t>FLORON</t>
  </si>
  <si>
    <t>22.7kg</t>
  </si>
  <si>
    <t>GA407TAISEI</t>
  </si>
  <si>
    <t>CHÍNH SÁCH GAS DA 22.9</t>
  </si>
  <si>
    <t>Mã hàng</t>
  </si>
  <si>
    <t>Giá bán lẻ có VAT/cộng dồn các loại 1 đơn</t>
  </si>
  <si>
    <t>Tổng 10B</t>
  </si>
  <si>
    <t xml:space="preserve"> Tổng 50B 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</si>
  <si>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CHINA</t>
    </r>
  </si>
  <si>
    <t>ĐC 22.9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</si>
  <si>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INDIA</t>
    </r>
  </si>
  <si>
    <t>GA134FLORON</t>
  </si>
  <si>
    <t>GA410TAISEI</t>
  </si>
  <si>
    <t>GA22ECORON</t>
  </si>
  <si>
    <t>Ecoron</t>
  </si>
  <si>
    <t>Tổng GT hàng D</t>
  </si>
  <si>
    <t>Đơn giá bao gồm VAT. Không  vat bình to (&gt; = 7kg)  trừ 20k/ 1 bình, bình bé ( &lt; 7kg)  được trừ 10k/bình.</t>
  </si>
  <si>
    <t xml:space="preserve">Đơn giá tổng bình( theo cột) được cộng dồn loại bình to riêng ( &gt;, = 7kg ) hoặc  loại  bình bé ( &lt; 7kg ) riêng cho 1 đơn hàng </t>
  </si>
  <si>
    <t>Đơn giá khung chung conts dành cho số lượng bình bé (&lt;7kg) 300b và lớn (&gt;=7kg) 100b.</t>
  </si>
  <si>
    <r>
      <rPr>
        <sz val="10"/>
        <color rgb="FF333333"/>
        <rFont val="Merriweather"/>
      </rPr>
      <t xml:space="preserve">ĐẶC BIỆT:1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nào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</si>
  <si>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CHÍNH SÁCH GAS DA 19.9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</si>
  <si>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CHINA</t>
    </r>
  </si>
  <si>
    <t>ĐC 19.9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</si>
  <si>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INDIA</t>
    </r>
  </si>
  <si>
    <t>GA404TAISEI</t>
  </si>
  <si>
    <r>
      <rPr>
        <sz val="10"/>
        <color rgb="FF333333"/>
        <rFont val="Merriweather"/>
      </rPr>
      <t xml:space="preserve">ĐẶC BIỆT:1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nào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</si>
  <si>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CHÍNH SÁCH GAS DA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</si>
  <si>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CHINA</t>
    </r>
  </si>
  <si>
    <t>ĐC 15.9</t>
  </si>
  <si>
    <r>
      <rPr>
        <b/>
        <i/>
        <sz val="10"/>
        <color rgb="FF000000"/>
        <rFont val="Merriweather"/>
      </rPr>
      <t xml:space="preserve">GAS LẠNH </t>
    </r>
    <r>
      <rPr>
        <b/>
        <i/>
        <sz val="10"/>
        <color rgb="FFFF0000"/>
        <rFont val="Merriweather"/>
      </rPr>
      <t>TAISEI - CAO CẤP LOẠI 1 - INDIA</t>
    </r>
  </si>
  <si>
    <t>ĐC 18.9</t>
  </si>
  <si>
    <t>GA404HO</t>
  </si>
  <si>
    <t>Honeywell</t>
  </si>
  <si>
    <r>
      <rPr>
        <sz val="10"/>
        <color rgb="FF333333"/>
        <rFont val="Merriweather"/>
      </rPr>
      <t xml:space="preserve">ĐẶC BIỆT:1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nào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</si>
  <si>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BẢNG GIÁ ỐNG LUỒN XỐP (CHƯA VAT)</t>
  </si>
  <si>
    <t>Có</t>
  </si>
  <si>
    <t>Taisei</t>
  </si>
  <si>
    <t>Hailiang</t>
  </si>
  <si>
    <t>Mã hàng TOÀN PHÁT</t>
  </si>
  <si>
    <t>Mã hàng HAILIANG</t>
  </si>
  <si>
    <t>Mặt hàng</t>
  </si>
  <si>
    <t>Quy cách</t>
  </si>
  <si>
    <t>Mã cân lẻ</t>
  </si>
  <si>
    <t>KHUNG 1</t>
  </si>
  <si>
    <t>KHUNG 2</t>
  </si>
  <si>
    <t>KHUNG3</t>
  </si>
  <si>
    <t>BÁN LẺ</t>
  </si>
  <si>
    <t>5c/50tr</t>
  </si>
  <si>
    <t>10C/100tr</t>
  </si>
  <si>
    <t>20c/200tr</t>
  </si>
  <si>
    <t>ODLBOTS0610061</t>
  </si>
  <si>
    <t>ODLBOTSHL0610061</t>
  </si>
  <si>
    <t>Ống đồng luồn sẵn bảo ôn</t>
  </si>
  <si>
    <t>(6+10) dày 0.61</t>
  </si>
  <si>
    <t>cặp</t>
  </si>
  <si>
    <t>15m/cuộn</t>
  </si>
  <si>
    <t>ODLBOTS0612061</t>
  </si>
  <si>
    <t>ODLBOTSHL0612061</t>
  </si>
  <si>
    <t>(6+12) dày 0.61</t>
  </si>
  <si>
    <t>ODLBOTS0610071</t>
  </si>
  <si>
    <t>ODLBOTSHL0610071</t>
  </si>
  <si>
    <t>(6+10) dày 0.71</t>
  </si>
  <si>
    <t>ODLBOTS0612071</t>
  </si>
  <si>
    <t>ODLBOTSHL0612071</t>
  </si>
  <si>
    <t>(6+12) dày 0.71</t>
  </si>
  <si>
    <t>ODLBOTS0616071</t>
  </si>
  <si>
    <t>ODLBOTSHL0616071</t>
  </si>
  <si>
    <t>(6+16) dày 0.71</t>
  </si>
  <si>
    <t>ODLBOTS1016071</t>
  </si>
  <si>
    <t>ODLBOTSHL1016071</t>
  </si>
  <si>
    <t>(10+16) dày 0.71</t>
  </si>
  <si>
    <t>ODLBOTS0610081</t>
  </si>
  <si>
    <t>ODLBOTSHL0610081</t>
  </si>
  <si>
    <t>(6+10) dày 0.81</t>
  </si>
  <si>
    <t>ODLBOTS0612081</t>
  </si>
  <si>
    <t>ODLBOTSHL0612081</t>
  </si>
  <si>
    <t>(6+12) dày 0.81</t>
  </si>
  <si>
    <t>ODLBOTS0616081</t>
  </si>
  <si>
    <t>ODLBOTSHL0616081</t>
  </si>
  <si>
    <t>(6+16) dày 0.81</t>
  </si>
  <si>
    <t>ODLBOTS1016081</t>
  </si>
  <si>
    <t>ODLBOTSHL1016081</t>
  </si>
  <si>
    <t>(10+16) dày 0.81</t>
  </si>
  <si>
    <t>PHÍ GIA CÔNG:</t>
  </si>
  <si>
    <t>VAT: 10%</t>
  </si>
  <si>
    <t>&gt;D66</t>
  </si>
  <si>
    <t>Đồng D</t>
  </si>
  <si>
    <t>ĐỒNG ỐNG LỚN</t>
  </si>
  <si>
    <t>Số tồn</t>
  </si>
  <si>
    <t>Kg/cây</t>
  </si>
  <si>
    <t>Đơn giá chưa VAT</t>
  </si>
  <si>
    <t>ĐỒNG TOÀN PHÁT+RUBY</t>
  </si>
  <si>
    <t>SL Tồn</t>
  </si>
  <si>
    <t>kg/thùng</t>
  </si>
  <si>
    <t>Số cuộn /thùng</t>
  </si>
  <si>
    <t>DOBRBLWC1270081</t>
  </si>
  <si>
    <t>Đồng ống RUBY LWC 12.70x0.81</t>
  </si>
  <si>
    <t>kg</t>
  </si>
  <si>
    <t>DOT666724129</t>
  </si>
  <si>
    <t>Đồng ống thẳng 66.67x2.41</t>
  </si>
  <si>
    <t>Cây</t>
  </si>
  <si>
    <t>DOCRB0635061</t>
  </si>
  <si>
    <t>Đồng ống RUBY PC 06.35x0.61</t>
  </si>
  <si>
    <t>cuộn</t>
  </si>
  <si>
    <t>DOT666718029</t>
  </si>
  <si>
    <t>Đồng ống thẳng 66.67x1.80</t>
  </si>
  <si>
    <t>DOCRB0635071</t>
  </si>
  <si>
    <t>Đồng ống RUBY PC 06.35x0.71</t>
  </si>
  <si>
    <t>DOT66681829</t>
  </si>
  <si>
    <t>Đồng ống thẳng 66.68x1.8x2.9m</t>
  </si>
  <si>
    <t>DOCRB0635081</t>
  </si>
  <si>
    <t>Đồng ống RUBY PC 06.35x0.81</t>
  </si>
  <si>
    <t>DOT67140</t>
  </si>
  <si>
    <t>Đồng ống thẳng 67x1.40x2.9m</t>
  </si>
  <si>
    <t>DOCRB0952071</t>
  </si>
  <si>
    <t>Đồng ống RUBY PC 09.52x0.71</t>
  </si>
  <si>
    <t>DOT6716</t>
  </si>
  <si>
    <t>Đồng ống thẳng 67x1.60x2.9m</t>
  </si>
  <si>
    <t>DOCRB0952081</t>
  </si>
  <si>
    <t>Đồng ống RUBY PC 09.52x0.81</t>
  </si>
  <si>
    <t>DOT6718</t>
  </si>
  <si>
    <t>Đồng ống thẳng 67x1.80x2.9m</t>
  </si>
  <si>
    <t>DOCRB1270061</t>
  </si>
  <si>
    <t>Đồng ống RUBY PC 12.70x0.61</t>
  </si>
  <si>
    <t>DOT6720</t>
  </si>
  <si>
    <t>Đồng ống thẳng 67x2.0x2.9</t>
  </si>
  <si>
    <t>DOCRB1905071</t>
  </si>
  <si>
    <t>Đồng ống RUBY PC 19.05x0.71</t>
  </si>
  <si>
    <t>DOT76130</t>
  </si>
  <si>
    <t>Đồng ống thẳng 76x1.30</t>
  </si>
  <si>
    <t>DOCRB1905081</t>
  </si>
  <si>
    <t>Đồng ống RUBY PC 19.05x0.81</t>
  </si>
  <si>
    <t>DOT76160</t>
  </si>
  <si>
    <t>Đồng ống thẳng 76x1.6</t>
  </si>
  <si>
    <t>DOCRB1905100</t>
  </si>
  <si>
    <t>Đồng ống RUBY PC 19.05x1.00</t>
  </si>
  <si>
    <t>DOT7618</t>
  </si>
  <si>
    <t>Đồng ống thẳng 76x1.80x2.9m</t>
  </si>
  <si>
    <t>DOT7922</t>
  </si>
  <si>
    <t>Đồng ống thẳng 79x2.2x2.9m</t>
  </si>
  <si>
    <t>JFLEX</t>
  </si>
  <si>
    <t>ỐNG ĐỒNG JFLEX</t>
  </si>
  <si>
    <t>Cuộn/Thùng</t>
  </si>
  <si>
    <t>KG/Cuộn</t>
  </si>
  <si>
    <t>DOT7938160</t>
  </si>
  <si>
    <t>Đồng ống thẳng 79.38x1.60</t>
  </si>
  <si>
    <t>JC15880HA15M</t>
  </si>
  <si>
    <t>JFLEX 15.88x0.71</t>
  </si>
  <si>
    <t>DOT7938277</t>
  </si>
  <si>
    <t>Đồng ống thẳng 79.38x2.77</t>
  </si>
  <si>
    <t>JC19050HA15M</t>
  </si>
  <si>
    <t>JFLEX 19.05x0.71</t>
  </si>
  <si>
    <t>DOCRB1588091</t>
  </si>
  <si>
    <t>Đồng ống RUBY PC 15.88x0.91</t>
  </si>
  <si>
    <t>DOTHL666712229</t>
  </si>
  <si>
    <t>Đồng ống Hailiang dạng cây 66.67mmx1.22mmx2.9</t>
  </si>
  <si>
    <t>DOTHL666714029</t>
  </si>
  <si>
    <t>Đồng ống Hailiang dạng cây 66.67mmx1.40mmx2.9m</t>
  </si>
  <si>
    <t>DOTHL666716029</t>
  </si>
  <si>
    <t>Đồng ống Hailiang dạng cây 66.67mmx1.60mmx2.9m</t>
  </si>
  <si>
    <t>DOTHL666717029</t>
  </si>
  <si>
    <t>Đồng ống Hailiang dạng cây 66.67mmx1.70mmx2.9</t>
  </si>
  <si>
    <t>DOTHL666718029</t>
  </si>
  <si>
    <t>Đồng ống Hailiang dạng cây 66.67mmx1.80mmx2.9</t>
  </si>
  <si>
    <t>DOTHL66672029</t>
  </si>
  <si>
    <t>Đồng ống Hailiang dạng cây 66.67mmx2.00mmx2.9</t>
  </si>
  <si>
    <t>DOTHL666720329</t>
  </si>
  <si>
    <t>Đồng ống Hailiang dạng cây 66.67mmx2.03mmx2.9</t>
  </si>
  <si>
    <t>DOTHL760017829</t>
  </si>
  <si>
    <t>Đồng ống Hailiang dạng cây 76.00mmx1.78mx2.9m</t>
  </si>
  <si>
    <t>DOTHL760015029</t>
  </si>
  <si>
    <t>Đồng ống Hailiang dạng cây 76.00mmx1.50mmx2.9</t>
  </si>
  <si>
    <t>DOTHL760018029</t>
  </si>
  <si>
    <t>Đồng ống Hailiang dạng cây 76.00mmx1.80mx2.9m</t>
  </si>
  <si>
    <t>DOTHL762014029</t>
  </si>
  <si>
    <t>Đồng ống Hailiang dạng cây 76.20mmx1.40mmx2.9m</t>
  </si>
  <si>
    <t>DOTHL762014030</t>
  </si>
  <si>
    <t>DOTHL762015029</t>
  </si>
  <si>
    <t>Đồng ống Hailiang dạng cây 76.20mmx1.50mmx2.9m</t>
  </si>
  <si>
    <t>DOTHL762016029</t>
  </si>
  <si>
    <t>Đồng ống Hailiang dạng cây 76.20mmx1.60mmx2.9m</t>
  </si>
  <si>
    <t>DOTHL762017029</t>
  </si>
  <si>
    <t>Đồng ống Hailiang dạng cây 76.20mmx1.70mmx2.9m</t>
  </si>
  <si>
    <t>DOTHL762023029</t>
  </si>
  <si>
    <t>Đồng ống Hailiang dạng cây 76.20mmx2.30mmx2.9</t>
  </si>
  <si>
    <t>DOTHL762025029</t>
  </si>
  <si>
    <t>Đồng ống Hailiang dạng cây 76.20mmx2.50mmx2.9</t>
  </si>
  <si>
    <t>DOTHL7937518029</t>
  </si>
  <si>
    <t>Đồng ống Hailiang dạng cây 79.375mmx1.80mmx2.9m</t>
  </si>
  <si>
    <t>DOTHL793822958</t>
  </si>
  <si>
    <t>Đồng ống Hailiang dạng cây 79.38mmx2.29mmx5.8</t>
  </si>
  <si>
    <t>DOTHL88902329</t>
  </si>
  <si>
    <t>Đồng ống Hailiang dạng cây 88.90mmx2.3mmx2.9m</t>
  </si>
  <si>
    <t>BẢNG GIÁ XỐP KÉP ,  XỐP BẠC</t>
  </si>
  <si>
    <t>HÀ NỘI</t>
  </si>
  <si>
    <t>HỒ CHÍ MINH</t>
  </si>
  <si>
    <t>Giá bán lẻ</t>
  </si>
  <si>
    <t>Khung 1</t>
  </si>
  <si>
    <t>Khung 2</t>
  </si>
  <si>
    <t xml:space="preserve">Được phép cộng dồn các loại xốp
</t>
  </si>
  <si>
    <t>ĐC: 12.10</t>
  </si>
  <si>
    <r>
      <rPr>
        <b/>
        <sz val="10"/>
        <color rgb="FFFF0000"/>
        <rFont val="Merriweather"/>
      </rPr>
      <t xml:space="preserve">XỐP KÉP </t>
    </r>
    <r>
      <rPr>
        <b/>
        <i/>
        <sz val="10"/>
        <color rgb="FFFF0000"/>
        <rFont val="Merriweather"/>
      </rPr>
      <t>TAISEI -  LÕI TRẮNG+XÁM - CLASS0</t>
    </r>
  </si>
  <si>
    <t>Tổng 5C</t>
  </si>
  <si>
    <t>Tổng 10C</t>
  </si>
  <si>
    <t>XKTAISEI0610</t>
  </si>
  <si>
    <t xml:space="preserve">Xốp kép TAISEI 06 + 10 </t>
  </si>
  <si>
    <t>m/c</t>
  </si>
  <si>
    <t>XKTAISEI0612</t>
  </si>
  <si>
    <t xml:space="preserve">Xốp kép TAISEI 06 + 12 </t>
  </si>
  <si>
    <t>XKTAISEI0616</t>
  </si>
  <si>
    <t xml:space="preserve">Xốp kép TAISEI 06 + 16 </t>
  </si>
  <si>
    <t>XKTAISEI1016</t>
  </si>
  <si>
    <t xml:space="preserve">Xốp kép TAISEI 10 + 16 </t>
  </si>
  <si>
    <t>Xốp kép TAISEI 10 + 19</t>
  </si>
  <si>
    <t>XỐP KÉP TAISEI - LÕI TRẮNG+XÁM - CLASS 1.</t>
  </si>
  <si>
    <t>Tổng 15C</t>
  </si>
  <si>
    <t>XKKOREA0610</t>
  </si>
  <si>
    <t>Xốp kép KOREA 6 +10</t>
  </si>
  <si>
    <t>XKKOREA0612</t>
  </si>
  <si>
    <t>Xốp kép KOREA 6 +12</t>
  </si>
  <si>
    <t>XKKOREA0616</t>
  </si>
  <si>
    <t>Xốp kép KOREA 6 +16</t>
  </si>
  <si>
    <t>XKKOREA1016</t>
  </si>
  <si>
    <t>Xốp kép KOREA 10 + 16</t>
  </si>
  <si>
    <t>Xốp kép KOREA 10 + 19</t>
  </si>
  <si>
    <t>MÚT XỐP BẠC TAISEI - CLASS1 KHÔNG DÍNH</t>
  </si>
  <si>
    <t>HKXB5</t>
  </si>
  <si>
    <t>Xốp bạc 5mm</t>
  </si>
  <si>
    <t>HKXB10</t>
  </si>
  <si>
    <t>Xốp bạc 10mm</t>
  </si>
  <si>
    <t>HKXB15</t>
  </si>
  <si>
    <t>Xốp bạc 15mm</t>
  </si>
  <si>
    <t>HKXB20</t>
  </si>
  <si>
    <t>Xốp bạc 20mm</t>
  </si>
  <si>
    <t>HKXB25</t>
  </si>
  <si>
    <t>Xốp bạc 25mm</t>
  </si>
  <si>
    <t>HKXB30</t>
  </si>
  <si>
    <t>Xốp bạc 30mm</t>
  </si>
  <si>
    <t>HKXB50</t>
  </si>
  <si>
    <t>Xốp bạc 50mm</t>
  </si>
  <si>
    <t>MÚT XỐP BẠC TAISEI - CLASS1 CÓ DÍNH</t>
  </si>
  <si>
    <t>HKMUTXBD5</t>
  </si>
  <si>
    <t>HKMUTXBD10</t>
  </si>
  <si>
    <t>HKMUTXBD15</t>
  </si>
  <si>
    <t>HKMUTXBD20</t>
  </si>
  <si>
    <t>HKMUTXBD25</t>
  </si>
  <si>
    <t>HKMUTXBD30</t>
  </si>
  <si>
    <t>HKMUTXBD50</t>
  </si>
  <si>
    <t>Đơn giá được cộng dồn các loại đạt khung nào tính đơn giá khung đấy trong 1 đơn hàng</t>
  </si>
  <si>
    <r>
      <rPr>
        <sz val="10"/>
        <color rgb="FF333333"/>
        <rFont val="Merriweather"/>
      </rPr>
      <t xml:space="preserve">ĐẶC BIỆT : 1 loại hàng </t>
    </r>
    <r>
      <rPr>
        <b/>
        <sz val="10"/>
        <color rgb="FFFF0000"/>
        <rFont val="Merriweather"/>
      </rPr>
      <t xml:space="preserve">TAISEI </t>
    </r>
    <r>
      <rPr>
        <sz val="10"/>
        <color rgb="FF333333"/>
        <rFont val="Merriweather"/>
      </rPr>
      <t xml:space="preserve">đạt khung cao nhất thì tất cả các mặt hàng </t>
    </r>
    <r>
      <rPr>
        <b/>
        <sz val="10"/>
        <color rgb="FFFF0000"/>
        <rFont val="Merriweather"/>
      </rPr>
      <t>TAISEI</t>
    </r>
    <r>
      <rPr>
        <sz val="10"/>
        <color rgb="FF333333"/>
        <rFont val="Merriweather"/>
      </rPr>
      <t xml:space="preserve"> khác được tính giá ở khung đó cho 1 đơn hàng</t>
    </r>
  </si>
  <si>
    <t>BẢNG GIÁ XỐP ỐNG</t>
  </si>
  <si>
    <t>Nhãn hiệu</t>
  </si>
  <si>
    <t>Mã</t>
  </si>
  <si>
    <t>Tên</t>
  </si>
  <si>
    <t>ĐK</t>
  </si>
  <si>
    <t>Dày</t>
  </si>
  <si>
    <t>Dài</t>
  </si>
  <si>
    <t>Giá NY (chưa VAT)</t>
  </si>
  <si>
    <t>S/T</t>
  </si>
  <si>
    <t>Aeroflex Class A</t>
  </si>
  <si>
    <t>XBOAE00609</t>
  </si>
  <si>
    <t>Ống cao su lưu hóa Aeroflex 06X09 (132S/T)</t>
  </si>
  <si>
    <t>Sợi</t>
  </si>
  <si>
    <t>06</t>
  </si>
  <si>
    <t>09</t>
  </si>
  <si>
    <t>Sợi 2m</t>
  </si>
  <si>
    <t>XBOAE01009</t>
  </si>
  <si>
    <t>Ống cao su lưu hóa Aeroflex 10X09 (110S/T)</t>
  </si>
  <si>
    <t>XBOAE01309</t>
  </si>
  <si>
    <t>Ống cao su lưu hóa Aeroflex 13X09 (84S/T)</t>
  </si>
  <si>
    <t>XBOAE01609</t>
  </si>
  <si>
    <t>Ống cao su lưu hóa Aeroflex 16X09 (70S/T)</t>
  </si>
  <si>
    <t>XBOAE01909</t>
  </si>
  <si>
    <t>Ống cao su lưu hóa Aeroflex 19X09 (60S/T)</t>
  </si>
  <si>
    <t>XBOAE02209</t>
  </si>
  <si>
    <t>Ống cao su lưu hóa Aeroflex 22X09 (54S/T)</t>
  </si>
  <si>
    <t>XBOAE02509</t>
  </si>
  <si>
    <t>Ống cao su lưu hóa Aeroflex 25X09 (44S/T)</t>
  </si>
  <si>
    <t>XBOAE02809</t>
  </si>
  <si>
    <t>Ống cao su lưu hóa Aeroflex 28X09 (36S/T)</t>
  </si>
  <si>
    <t>XBOAE03209</t>
  </si>
  <si>
    <t>Ống cao su lưu hóa Aeroflex 32X09 (34S/T)</t>
  </si>
  <si>
    <t>XBOAE03509</t>
  </si>
  <si>
    <t>Ống cao su lưu hóa Aeroflex 35X09 (32S/T)</t>
  </si>
  <si>
    <t>XBOAE04209</t>
  </si>
  <si>
    <t>Ống cao su lưu hóa Aeroflex 42X09 (28S/T)</t>
  </si>
  <si>
    <t>XBOAE04809</t>
  </si>
  <si>
    <t>Ống cao su lưu hóa Aeroflex 48X09 (20S/T)</t>
  </si>
  <si>
    <t>XBOAE05409</t>
  </si>
  <si>
    <t>Ống cao su lưu hóa Aeroflex 54X09 (18S/T)</t>
  </si>
  <si>
    <t>XBOAE06009</t>
  </si>
  <si>
    <t>Ống cao su lưu hóa Aeroflex 60X09 (18S/T)</t>
  </si>
  <si>
    <t>XBOAE00613</t>
  </si>
  <si>
    <t>Ống cao su lưu hóa Aeroflex 06x13 (80S/T)</t>
  </si>
  <si>
    <t>13</t>
  </si>
  <si>
    <t>XBOAE01013</t>
  </si>
  <si>
    <t>Ống cao su lưu hóa Aeroflex 10X13 (70S/T)</t>
  </si>
  <si>
    <t>XBOAE01313</t>
  </si>
  <si>
    <t>Ống cao su lưu hóa Aeroflex 13X13 (60S/T)</t>
  </si>
  <si>
    <t>XBOAE01613</t>
  </si>
  <si>
    <t>Ống cao su lưu hóa Aeroflex 16X13 (50S/T)</t>
  </si>
  <si>
    <t>XBOAE01913</t>
  </si>
  <si>
    <t>Ống cao su lưu hóa Aeroflex 19X13 (40S/T)</t>
  </si>
  <si>
    <t>XBOAE02213</t>
  </si>
  <si>
    <t>Ống cao su lưu hóa Aeroflex 22X13 (32S/T)</t>
  </si>
  <si>
    <t>XBOAE02513</t>
  </si>
  <si>
    <t>Ống cao su lưu hóa Aeroflex 25X13 (30S/T)</t>
  </si>
  <si>
    <t>XBOAE02813</t>
  </si>
  <si>
    <t>Ống cao su lưu hóa Aeroflex 28X13 (28S/T)</t>
  </si>
  <si>
    <t>XBOAE03213</t>
  </si>
  <si>
    <t>Ống cao su lưu hóa Aeroflex 32X13 (24S/T)</t>
  </si>
  <si>
    <t>XBOAE03513</t>
  </si>
  <si>
    <t>Ống cao su lưu hóa Aeroflex 35X13 (20S/T)</t>
  </si>
  <si>
    <t>XBOAE04213</t>
  </si>
  <si>
    <t>Ống cao su lưu hóa Aeroflex 42X13 (18S/T)</t>
  </si>
  <si>
    <t>XBOAE04813</t>
  </si>
  <si>
    <t>Ống cao su lưu hóa Aeroflex 48X13 (16S/T)</t>
  </si>
  <si>
    <t>XBOAE05413</t>
  </si>
  <si>
    <t>Ống cao su lưu hóa Aeroflex 54X13 (14S/T)</t>
  </si>
  <si>
    <t>XBOAE06013</t>
  </si>
  <si>
    <t>Ống cao su lưu hóa Aeroflex 60X13 (12S/T)</t>
  </si>
  <si>
    <t>XBOAE06713</t>
  </si>
  <si>
    <t>Ống cao su lưu hóa Aeroflex 67X13 (10S/T)</t>
  </si>
  <si>
    <t>XBOAE07613</t>
  </si>
  <si>
    <t>Ống cao su lưu hóa Aeroflex 76X13 (8S/T)</t>
  </si>
  <si>
    <t>XBOAE09013</t>
  </si>
  <si>
    <t>Ống cao su lưu hóa Aeroflex 90X13 (8S/T)</t>
  </si>
  <si>
    <t>XBOAE11513</t>
  </si>
  <si>
    <t>Ống cao su lưu hóa Aeroflex 115X13 (6S/T)</t>
  </si>
  <si>
    <t>XBOAE00619</t>
  </si>
  <si>
    <t>Ống cao su lưu hóa Aeroflex 06X19 (32S/T)</t>
  </si>
  <si>
    <t>XBOAE01019</t>
  </si>
  <si>
    <t>Ống cao su lưu hóa Aeroflex 10X19 (32S/T)</t>
  </si>
  <si>
    <t>XBOAE01319</t>
  </si>
  <si>
    <t>Ống cao su lưu hóa Aeroflex 13X19 (32S/T)</t>
  </si>
  <si>
    <t>XBOAE01619</t>
  </si>
  <si>
    <t>Ống cao su lưu hóa Aeroflex 16X19 (28S/T)</t>
  </si>
  <si>
    <t>XBOAE01919</t>
  </si>
  <si>
    <t>Ống cao su lưu hóa Aeroflex 19X19 (24S/T)</t>
  </si>
  <si>
    <t>XBOAE02219</t>
  </si>
  <si>
    <t>Ống cao su lưu hóa Aeroflex 22X19 (20S/T)</t>
  </si>
  <si>
    <t>XBOAE02519</t>
  </si>
  <si>
    <t>Ống cao su lưu hóa Aeroflex 25X19 (18S/T)</t>
  </si>
  <si>
    <t>XBOAE02819</t>
  </si>
  <si>
    <t>Ống cao su lưu hóa Aeroflex 28X19 (18S/T)</t>
  </si>
  <si>
    <t>XBOAE03219</t>
  </si>
  <si>
    <t>Ống cao su lưu hóa Aeroflex 32X19 (18S/T)</t>
  </si>
  <si>
    <t>XBOAE03519</t>
  </si>
  <si>
    <t>Ống cao su lưu hóa Aeroflex 35X19 (16S/T)</t>
  </si>
  <si>
    <t>XBOAE03819</t>
  </si>
  <si>
    <t>Ống cao su lưu hóa Aeroflex 38X19 (16S/T)</t>
  </si>
  <si>
    <t>XBOAE04219</t>
  </si>
  <si>
    <t>Ống cao su lưu hóa Aeroflex 42X19 (12S/T)</t>
  </si>
  <si>
    <t>XBOAE04819</t>
  </si>
  <si>
    <t>Ống cao su lưu hóa Aeroflex 48X19 (10S/T)</t>
  </si>
  <si>
    <t>XBOAE05419</t>
  </si>
  <si>
    <t>Ống cao su lưu hóa Aeroflex 54X19 (8S/T)</t>
  </si>
  <si>
    <t>XBOAE06019</t>
  </si>
  <si>
    <t>Ống cao su lưu hóa Aeroflex 60X19 (8S/T)</t>
  </si>
  <si>
    <t>XBOAE06719</t>
  </si>
  <si>
    <t>Ống cao su lưu hóa Aeroflex 67X19 (8S/T)</t>
  </si>
  <si>
    <t>XBOAE07619</t>
  </si>
  <si>
    <t>Ống cao su lưu hóa Aeroflex 76X19 (6S/T)</t>
  </si>
  <si>
    <t>XBOAE09019</t>
  </si>
  <si>
    <t>Ống cao su lưu hóa Aeroflex 90X19 (6S/T)</t>
  </si>
  <si>
    <t>XBOAE11519</t>
  </si>
  <si>
    <t>Ống cao su lưu hóa Aeroflex 115X19 (4S/T)</t>
  </si>
  <si>
    <t>XBOAE14019</t>
  </si>
  <si>
    <t>Ống cao su lưu hóa Aeroflex 140X19 (4S/T)</t>
  </si>
  <si>
    <t>XBOAE01025</t>
  </si>
  <si>
    <t>Ống cao su lưu hóa Aeroflex 10X25 (24S/T)</t>
  </si>
  <si>
    <t>XBOAE01325</t>
  </si>
  <si>
    <t>Ống cao su lưu hóa Aeroflex 13X25 (20S/T)</t>
  </si>
  <si>
    <t>XBOAE01625</t>
  </si>
  <si>
    <t>Ống cao su lưu hóa Aeroflex 16X25 (18S/T)</t>
  </si>
  <si>
    <t>XBOAE01925</t>
  </si>
  <si>
    <t>Ống cao su lưu hóa Aeroflex 19X25 (18S/T)</t>
  </si>
  <si>
    <t>XBOAE02225</t>
  </si>
  <si>
    <t>Ống cao su lưu hóa Aeroflex 22X25 (16S/T)</t>
  </si>
  <si>
    <t>XBOAE02525</t>
  </si>
  <si>
    <t>Ống cao su lưu hóa Aeroflex 25X25 (12S/T)</t>
  </si>
  <si>
    <t>XBOAE02825</t>
  </si>
  <si>
    <t>Ống cao su lưu hóa Aeroflex 28X25 (12S/T)</t>
  </si>
  <si>
    <t>XBOAE03225</t>
  </si>
  <si>
    <t>Ống cao su lưu hóa Aeroflex 32X25 (12S/T)</t>
  </si>
  <si>
    <t>XBOAE03525</t>
  </si>
  <si>
    <t>Ống cao su lưu hóa Aeroflex 35X25 (10S/T)</t>
  </si>
  <si>
    <t>XBOAE03825</t>
  </si>
  <si>
    <t>Ống cao su lưu hóa Aeroflex 38X25 (10S/T)</t>
  </si>
  <si>
    <t>XBOAE04225</t>
  </si>
  <si>
    <t>Ống cao su lưu hóa Aeroflex 42X25 (8S/T)</t>
  </si>
  <si>
    <t>XBOAE04825</t>
  </si>
  <si>
    <t>Ống cao su lưu hóa Aeroflex 48X25 (8S/T)</t>
  </si>
  <si>
    <t>XBOAE05425</t>
  </si>
  <si>
    <t>Ống cao su lưu hóa Aeroflex 54X25 (8S/T)</t>
  </si>
  <si>
    <t>XBOAE06025</t>
  </si>
  <si>
    <t>Ống cao su lưu hóa Aeroflex 60X25 (6S/T)</t>
  </si>
  <si>
    <t>XBOAE06725</t>
  </si>
  <si>
    <t>Ống cao su lưu hóa Aeroflex 67X25 (6S/T)</t>
  </si>
  <si>
    <t>XBOAE07625</t>
  </si>
  <si>
    <t>Ống cao su lưu hóa Aeroflex 76X25 (6S/T)</t>
  </si>
  <si>
    <t>XBOAE08025</t>
  </si>
  <si>
    <t>Ống cao su lưu hóa Aeroflex 80X25 (6S/T)</t>
  </si>
  <si>
    <t>XBOAE09025</t>
  </si>
  <si>
    <t>Ống cao su lưu hóa Aeroflex 90X25 (4S/T)</t>
  </si>
  <si>
    <t>XBOAE11925</t>
  </si>
  <si>
    <t>Ống cao su lưu hóa Aeroflex 109X25 (4S/T)</t>
  </si>
  <si>
    <t>XBOAE11525</t>
  </si>
  <si>
    <t>Ống cao su lưu hóa Aeroflex 115X25 (4S/T)</t>
  </si>
  <si>
    <t>XBOAE14025</t>
  </si>
  <si>
    <t>Ống cao su lưu hóa Aeroflex 140X25 (2S/T)</t>
  </si>
  <si>
    <t>XBOAE01332</t>
  </si>
  <si>
    <t>Ống cao su lưu hóa Aeroflex 13X32 (14S/T)</t>
  </si>
  <si>
    <t>XBOAE01632</t>
  </si>
  <si>
    <t>Ống cao su lưu hóa Aeroflex 16X32 (14S/T)</t>
  </si>
  <si>
    <t>XBOAE01932</t>
  </si>
  <si>
    <t>Ống cao su lưu hóa Aeroflex 19X32 (12S/T)</t>
  </si>
  <si>
    <t>XBOAE02232</t>
  </si>
  <si>
    <t>Ống cao su lưu hóa Aeroflex 22X32 (12S/T)</t>
  </si>
  <si>
    <t>XBOAE02532</t>
  </si>
  <si>
    <t>Ống cao su lưu hóa Aeroflex 25X32 (10S/T)</t>
  </si>
  <si>
    <t>XBOAE02832</t>
  </si>
  <si>
    <t>Ống cao su lưu hóa Aeroflex 28X32 (8S/T)</t>
  </si>
  <si>
    <t>XBOAE03232</t>
  </si>
  <si>
    <t>Ống cao su lưu hóa Aeroflex 32X32 (8S/T)</t>
  </si>
  <si>
    <t>XBOAE03532</t>
  </si>
  <si>
    <t>Ống cao su lưu hóa Aeroflex 35X32 (8S/T)</t>
  </si>
  <si>
    <t>XBOAE04232</t>
  </si>
  <si>
    <t>Ống cao su lưu hóa Aeroflex 42X32 (8S/T)</t>
  </si>
  <si>
    <t>XBOAE04832</t>
  </si>
  <si>
    <t>Ống cao su lưu hóa Aeroflex 48X32 (6S/T)</t>
  </si>
  <si>
    <t>XBOAE05432</t>
  </si>
  <si>
    <t>Ống cao su lưu hóa Aeroflex 54X32 (6S/T)</t>
  </si>
  <si>
    <t>XBOAE06032</t>
  </si>
  <si>
    <t>Ống cao su lưu hóa Aeroflex 60X32 (4S/T)</t>
  </si>
  <si>
    <t>XBOAE06732</t>
  </si>
  <si>
    <t>Ống cao su lưu hóa Aeroflex 67X32 (4S/T)</t>
  </si>
  <si>
    <t>XBOAE07632</t>
  </si>
  <si>
    <t>Ống cao su lưu hóa Aeroflex 76X32 (4S/T)</t>
  </si>
  <si>
    <t>XBOAE08032</t>
  </si>
  <si>
    <t>Ống cao su lưu hóa Aeroflex 80X32 (4S/T)</t>
  </si>
  <si>
    <t>XBOAE09032</t>
  </si>
  <si>
    <t>Ống cao su lưu hóa Aeroflex 90X32 (4S/T)</t>
  </si>
  <si>
    <t>XBOAE10932</t>
  </si>
  <si>
    <t>Ống cao su lưu hóa Aeroflex 109X32 (2S/T)</t>
  </si>
  <si>
    <t>XBOAE11532</t>
  </si>
  <si>
    <t>Ống cao su lưu hóa Aeroflex 115X32 (2S/T)</t>
  </si>
  <si>
    <t>XBOAE14032</t>
  </si>
  <si>
    <t>Ống cao su lưu hóa Aeroflex 140X32 (2S/T)</t>
  </si>
  <si>
    <t>XBOAE16832</t>
  </si>
  <si>
    <t>Ống cao su lưu hóa Aeroflex 168X32 (S/T)</t>
  </si>
  <si>
    <t>XBOAE01638</t>
  </si>
  <si>
    <t>Ống cao su lưu hóa Aeroflex 16X38 (8S/T)</t>
  </si>
  <si>
    <t>XBOAE01938</t>
  </si>
  <si>
    <t>Ống cao su lưu hóa Aeroflex 19X38 (8S/T)</t>
  </si>
  <si>
    <t>XBOAE02238</t>
  </si>
  <si>
    <t>Ống cao su lưu hóa Aeroflex 22X38 (8S/T)</t>
  </si>
  <si>
    <t>XBOAE02538</t>
  </si>
  <si>
    <t>Ống cao su lưu hóa Aeroflex 25X38 (8S/T)</t>
  </si>
  <si>
    <t>XBOAE02838</t>
  </si>
  <si>
    <t>Ống cao su lưu hóa Aeroflex 28X38 (8S/T)</t>
  </si>
  <si>
    <t>XBOAE03238</t>
  </si>
  <si>
    <t>Ống cao su lưu hóa Aeroflex 32X38 (8S/T)</t>
  </si>
  <si>
    <t>XBOAE03538</t>
  </si>
  <si>
    <t>Ống cao su lưu hóa Aeroflex 35X38 (6S/T)</t>
  </si>
  <si>
    <t>XBOAE04238</t>
  </si>
  <si>
    <t>Ống cao su lưu hóa Aeroflex 42X38 (6S/T)</t>
  </si>
  <si>
    <t>XBOAE04838</t>
  </si>
  <si>
    <t>Ống cao su lưu hóa Aeroflex 48X38 (6S/T)</t>
  </si>
  <si>
    <t>XBOAE05438</t>
  </si>
  <si>
    <t>Ống cao su lưu hóa Aeroflex 54X38 (4S/T)</t>
  </si>
  <si>
    <t>XBOAE06038</t>
  </si>
  <si>
    <t>Ống cao su lưu hóa Aeroflex 60X38 (4S/T)</t>
  </si>
  <si>
    <t>XBOAE06738</t>
  </si>
  <si>
    <t>Ống cao su lưu hóa Aeroflex 67X38 (4S/T)</t>
  </si>
  <si>
    <t>XBOAE07638</t>
  </si>
  <si>
    <t>Ống cao su lưu hóa Aeroflex 76X38 (3S/T)</t>
  </si>
  <si>
    <t>XBOAE09038</t>
  </si>
  <si>
    <t>Ống cao su lưu hóa Aeroflex 90X38 (3S/T)</t>
  </si>
  <si>
    <t>XBOAE10938</t>
  </si>
  <si>
    <t>Ống cao su lưu hóa Aeroflex 109X38 (2S/T)</t>
  </si>
  <si>
    <t>XBOAE11538</t>
  </si>
  <si>
    <t>Ống cao su lưu hóa Aeroflex 115X38 (2S/T)</t>
  </si>
  <si>
    <t>XBOAE14038</t>
  </si>
  <si>
    <t>Ống cao su lưu hóa Aeroflex 140X38 (2S/T)</t>
  </si>
  <si>
    <t>XBOAE16838</t>
  </si>
  <si>
    <t>Ống cao su lưu hóa Aeroflex 168X38 (2S/T)</t>
  </si>
  <si>
    <t>XBOAE01950</t>
  </si>
  <si>
    <t>Ống cao su lưu hóa Aeroflex 19X50 (4S/T)</t>
  </si>
  <si>
    <t>XBOAE02250</t>
  </si>
  <si>
    <t>Ống cao su lưu hóa Aeroflex 22X50 (4S/T)</t>
  </si>
  <si>
    <t>XBOAE02550</t>
  </si>
  <si>
    <t>Ống cao su lưu hóa Aeroflex 25X50 (4S/T)</t>
  </si>
  <si>
    <t>XBOAE02850</t>
  </si>
  <si>
    <t>Ống cao su lưu hóa Aeroflex 28X50 (4S/T)</t>
  </si>
  <si>
    <t>XBOAE03250</t>
  </si>
  <si>
    <t>Ống cao su lưu hóa Aeroflex 32X50 (4S/T)</t>
  </si>
  <si>
    <t>XBOAE03550</t>
  </si>
  <si>
    <t>Ống cao su lưu hóa Aeroflex 35X50 (4S/T)</t>
  </si>
  <si>
    <t>XBOAE04250</t>
  </si>
  <si>
    <t>Ống cao su lưu hóa Aeroflex 42X50 (4S/T)</t>
  </si>
  <si>
    <t>XBOAE04850</t>
  </si>
  <si>
    <t>Ống cao su lưu hóa Aeroflex 48X50 (3S/T)</t>
  </si>
  <si>
    <t>XBOAE05450</t>
  </si>
  <si>
    <t>Ống cao su lưu hóa Aeroflex 54X50 (3S/T)</t>
  </si>
  <si>
    <t>XBOAE06050</t>
  </si>
  <si>
    <t>Ống cao su lưu hóa Aeroflex 60X50 (3S/T)</t>
  </si>
  <si>
    <t>XBOAE06750</t>
  </si>
  <si>
    <t>Ống cao su lưu hóa Aeroflex 67X50 (3S/T)</t>
  </si>
  <si>
    <t>XBOAE07650</t>
  </si>
  <si>
    <t>Ống cao su lưu hóa Aeroflex 76X50 (2S/T)</t>
  </si>
  <si>
    <t>XBOAE09050</t>
  </si>
  <si>
    <t>Ống cao su lưu hóa Aeroflex 90X50 (2S/T)</t>
  </si>
  <si>
    <t>XBOAE10950</t>
  </si>
  <si>
    <t>Ống cao su lưu hóa Aeroflex 109X50 (2S/T)</t>
  </si>
  <si>
    <t>XBOAE11550</t>
  </si>
  <si>
    <t>Ống cao su lưu hóa Aeroflex 115X50 (2S/T)</t>
  </si>
  <si>
    <t>XBOAE14050</t>
  </si>
  <si>
    <t>Ống cao su lưu hóa Aeroflex 140X50 (2S/T)</t>
  </si>
  <si>
    <t>XBOAE16850</t>
  </si>
  <si>
    <t>Ống cao su lưu hóa Aeroflex 168X50 (2S/T)</t>
  </si>
  <si>
    <t>Aeroflex Class 0</t>
  </si>
  <si>
    <t>AFFOM06X09</t>
  </si>
  <si>
    <t>Ống cao su lưu hóa Aeroflex Class 0 - 06X09 (132S/T)</t>
  </si>
  <si>
    <t>AFFOM10X09</t>
  </si>
  <si>
    <t>Ống cao su lưu hóa Aeroflex Class 0 - 10X09 (110S/T)</t>
  </si>
  <si>
    <t>AFFOM13X09</t>
  </si>
  <si>
    <t>Ống cao su lưu hóa Aeroflex Class 0 - 13X09 (84S/T)</t>
  </si>
  <si>
    <t>AFFOM16X09</t>
  </si>
  <si>
    <t>Ống cao su lưu hóa Aeroflex Class 0 - 16X09 (70S/T)</t>
  </si>
  <si>
    <t>AFFOM19X09</t>
  </si>
  <si>
    <t>Ống cao su lưu hóa Aeroflex Class 0 - 19X09 (60S/T)</t>
  </si>
  <si>
    <t>AFFOM22X09</t>
  </si>
  <si>
    <t>Ống cao su lưu hóa Aeroflex Class 0 - 22X09 (54S/T)</t>
  </si>
  <si>
    <t>AFFOM25X09</t>
  </si>
  <si>
    <t>Ống cao su lưu hóa Aeroflex Class 0 - 25X09 (44S/T)</t>
  </si>
  <si>
    <t>AFFOM28X09</t>
  </si>
  <si>
    <t>Ống cao su lưu hóa Aeroflex Class 0 - 28X09 (36S/T)</t>
  </si>
  <si>
    <t>AFFOM32X09</t>
  </si>
  <si>
    <t>Ống cao su lưu hóa Aeroflex Class 0 - 32X09 (34S/T)</t>
  </si>
  <si>
    <t>AFFOM35X09</t>
  </si>
  <si>
    <t>Ống cao su lưu hóa Aeroflex Class 0 - 35X09 (32S/T)</t>
  </si>
  <si>
    <t>AFFOM42X09</t>
  </si>
  <si>
    <t>Ống cao su lưu hóa Aeroflex Class 0 - 42X09 (28S/T)</t>
  </si>
  <si>
    <t>AFFOM48X09</t>
  </si>
  <si>
    <t>Ống cao su lưu hóa Aeroflex Class 0 - 48X09 (20S/T)</t>
  </si>
  <si>
    <t>AFFOM54X09</t>
  </si>
  <si>
    <t>Ống cao su lưu hóa Aeroflex Class 0 - 54X09 (18S/T)</t>
  </si>
  <si>
    <t>AFFOM60X09</t>
  </si>
  <si>
    <t>Ống cao su lưu hóa Aeroflex Class 0 - 60X09 (18S/T)</t>
  </si>
  <si>
    <t>AFFOM06X13</t>
  </si>
  <si>
    <t>Ống cao su lưu hóa Aeroflex Class 0 - 06X13 (80S/T)</t>
  </si>
  <si>
    <t>AFFOM10X13</t>
  </si>
  <si>
    <t>Ống cao su lưu hóa Aeroflex Class 0 - 10X13 (70S/T)</t>
  </si>
  <si>
    <t>AFFOM13X13</t>
  </si>
  <si>
    <t>Ống cao su lưu hóa Aeroflex Class 0 - 13X13 (60S/T)</t>
  </si>
  <si>
    <t>AFFOM16X13</t>
  </si>
  <si>
    <t>Ống cao su lưu hóa Aeroflex Class 0 - 16X13 (50S/T)</t>
  </si>
  <si>
    <t>AFFOM19X13</t>
  </si>
  <si>
    <t>Ống cao su lưu hóa Aeroflex Class 0 - 19X13 (40S/T)</t>
  </si>
  <si>
    <t>AFFOM22X13</t>
  </si>
  <si>
    <t>Ống cao su lưu hóa Aeroflex Class 0 - 22X13 (32S/T)</t>
  </si>
  <si>
    <t>AFFOM25X13</t>
  </si>
  <si>
    <t>Ống cao su lưu hóa Aeroflex Class 0 - 25X13 (30S/T)</t>
  </si>
  <si>
    <t>AFFOM28X13</t>
  </si>
  <si>
    <t>Ống cao su lưu hóa Aeroflex Class 0 - 28X13 (28S/T)</t>
  </si>
  <si>
    <t>AFFOM32X13</t>
  </si>
  <si>
    <t>Ống cao su lưu hóa Aeroflex Class 0 - 32X13 (24S/T)</t>
  </si>
  <si>
    <t>AFFOM35X13</t>
  </si>
  <si>
    <t>Ống cao su lưu hóa Aeroflex Class 0 - 35X13 (20S/T)</t>
  </si>
  <si>
    <t>AFFOM42X13</t>
  </si>
  <si>
    <t>Ống cao su lưu hóa Aeroflex Class 0 - 42X13 (18S/T)</t>
  </si>
  <si>
    <t>AFFOM48X13</t>
  </si>
  <si>
    <t>Ống cao su lưu hóa Aeroflex Class 0 - 48X13 (16S/T)</t>
  </si>
  <si>
    <t>AFFOM54X13</t>
  </si>
  <si>
    <t>Ống cao su lưu hóa Aeroflex Class 0 - 54X13 (14S/T)</t>
  </si>
  <si>
    <t>AFFOM60X13</t>
  </si>
  <si>
    <t>Ống cao su lưu hóa Aeroflex Class 0 - 60X13 (12S/T)</t>
  </si>
  <si>
    <t>AFFOM67X13</t>
  </si>
  <si>
    <t>Ống cao su lưu hóa Aeroflex Class 0 - 67X13 (10S/T)</t>
  </si>
  <si>
    <t>AFFOM76X13</t>
  </si>
  <si>
    <t>Ống cao su lưu hóa Aeroflex Class 0 - 76X13 (8S/T)</t>
  </si>
  <si>
    <t>AFFOM90X13</t>
  </si>
  <si>
    <t>Ống cao su lưu hóa Aeroflex Class 0 - 90X13 (8S/T)</t>
  </si>
  <si>
    <t>AFFOM115X13</t>
  </si>
  <si>
    <t>Ống cao su lưu hóa Aeroflex Class 0 - 115X13 (6S/T)</t>
  </si>
  <si>
    <t>AFFOM06X19</t>
  </si>
  <si>
    <t>Ống cao su lưu hóa Aeroflex Class 0 - 06X19 (32S/T)</t>
  </si>
  <si>
    <t>AFFOM10X19</t>
  </si>
  <si>
    <t>Ống cao su lưu hóa Aeroflex Class 0 - 10X19 (32S/T)</t>
  </si>
  <si>
    <t>AFFOM13X19</t>
  </si>
  <si>
    <t>Ống cao su lưu hóa Aeroflex Class 0 - 13X19 (32S/T)</t>
  </si>
  <si>
    <t>AFFOM16X19</t>
  </si>
  <si>
    <t>Ống cao su lưu hóa Aeroflex Class 0 - 16X19 (28S/T)</t>
  </si>
  <si>
    <t>AFFOM19X19</t>
  </si>
  <si>
    <t>Ống cao su lưu hóa Aeroflex Class 0 - 19X19 (24S/T)</t>
  </si>
  <si>
    <t>AFFOM22X19</t>
  </si>
  <si>
    <t>Ống cao su lưu hóa Aeroflex Class 0 - 22X19 (20S/T)</t>
  </si>
  <si>
    <t>AFFOM25X19</t>
  </si>
  <si>
    <t>Ống cao su lưu hóa Aeroflex Class 0 - 25X19 (18S/T)</t>
  </si>
  <si>
    <t>AFFOM28X19</t>
  </si>
  <si>
    <t>Ống cao su lưu hóa Aeroflex Class 0 - 28X19 (18S/T)</t>
  </si>
  <si>
    <t>AFFOM32X19</t>
  </si>
  <si>
    <t>Ống cao su lưu hóa Aeroflex Class 0 - 32X19 (18S/T)</t>
  </si>
  <si>
    <t>AFFOM35X19</t>
  </si>
  <si>
    <t>Ống cao su lưu hóa Aeroflex Class 0 - 35X19 (16S/T)</t>
  </si>
  <si>
    <t>AFFOM42X19</t>
  </si>
  <si>
    <t>Ống cao su lưu hóa Aeroflex Class 0 - 42X19 (12S/T)</t>
  </si>
  <si>
    <t>AFFOM48X19</t>
  </si>
  <si>
    <t>Ống cao su lưu hóa Aeroflex Class 0 - 48X19 (10S/T)</t>
  </si>
  <si>
    <t>AFFOM54X19</t>
  </si>
  <si>
    <t>Ống cao su lưu hóa Aeroflex Class 0 - 54X19 (8S/T)</t>
  </si>
  <si>
    <t>AFFOM60X19</t>
  </si>
  <si>
    <t>Ống cao su lưu hóa Aeroflex Class 0 - 60X19 (8S/T)</t>
  </si>
  <si>
    <t>AFFOM67X19</t>
  </si>
  <si>
    <t>Ống cao su lưu hóa Aeroflex Class 0 - 67X19 (8S/T)</t>
  </si>
  <si>
    <t>AFFOM76X19</t>
  </si>
  <si>
    <t>Ống cao su lưu hóa Aeroflex Class 0 - 76X19 (6S/T)</t>
  </si>
  <si>
    <t>AFFOM90X19</t>
  </si>
  <si>
    <t>Ống cao su lưu hóa Aeroflex Class 0 - 90X19 (6S/T)</t>
  </si>
  <si>
    <t>AFFOM115X19</t>
  </si>
  <si>
    <t>Ống cao su lưu hóa Aeroflex Class 0 - 115X19 (4S/T)</t>
  </si>
  <si>
    <t>AFFOM10X25</t>
  </si>
  <si>
    <t>Ống cao su lưu hóa Aeroflex Class 0 - 10X25 (24S/T)</t>
  </si>
  <si>
    <t>AFFOM13X25</t>
  </si>
  <si>
    <t>Ống cao su lưu hóa Aeroflex Class 0 - 13X25 (20S/T)</t>
  </si>
  <si>
    <t>AFFOM16X25</t>
  </si>
  <si>
    <t>Ống cao su lưu hóa Aeroflex Class 0 - 16X25 (18S/T)</t>
  </si>
  <si>
    <t>AFFOM19X25</t>
  </si>
  <si>
    <t>Ống cao su lưu hóa Aeroflex Class 0 - 19X25 (18S/T)</t>
  </si>
  <si>
    <t>AFFOM22X25</t>
  </si>
  <si>
    <t>Ống cao su lưu hóa Aeroflex Class 0 - 22X25 (16S/T)</t>
  </si>
  <si>
    <t>AFFOM25X25</t>
  </si>
  <si>
    <t>Ống cao su lưu hóa Aeroflex Class 0 - 25X25 (12S/T)</t>
  </si>
  <si>
    <t>AFFOM28X25</t>
  </si>
  <si>
    <t>Ống cao su lưu hóa Aeroflex Class 0 - 28X25 (12S/T)</t>
  </si>
  <si>
    <t>AFFOM32X25</t>
  </si>
  <si>
    <t>Ống cao su lưu hóa Aeroflex Class 0 - 32X25 (12S/T)</t>
  </si>
  <si>
    <t>AFFOM35X25</t>
  </si>
  <si>
    <t>Ống cao su lưu hóa Aeroflex Class 0 - 35X25 (10S/T)</t>
  </si>
  <si>
    <t>AFFOM38X25</t>
  </si>
  <si>
    <t>Ống cao su lưu hóa Aeroflex Class 0 - 38X25 (10S/T)</t>
  </si>
  <si>
    <t>AFFOM42X25</t>
  </si>
  <si>
    <t>Ống cao su lưu hóa Aeroflex Class 0 - 42X25 (8S/T)</t>
  </si>
  <si>
    <t>AFFOM48X25</t>
  </si>
  <si>
    <t>Ống cao su lưu hóa Aeroflex Class 0 - 48X25 (8S/T)</t>
  </si>
  <si>
    <t>AFFOM54X25</t>
  </si>
  <si>
    <t>Ống cao su lưu hóa Aeroflex Class 0 - 54X25 (8S/T)</t>
  </si>
  <si>
    <t>AFFOM60X25</t>
  </si>
  <si>
    <t>Ống cao su lưu hóa Aeroflex Class 0 - 60X25 (6S/T)</t>
  </si>
  <si>
    <t>AFFOM67X25</t>
  </si>
  <si>
    <t>Ống cao su lưu hóa Aeroflex Class 0 - 67X25 (6S/T)</t>
  </si>
  <si>
    <t>AFFOM76X25</t>
  </si>
  <si>
    <t>Ống cao su lưu hóa Aeroflex Class 0 - 76X25 (6S/T)</t>
  </si>
  <si>
    <t>AFFOM80X25</t>
  </si>
  <si>
    <t>Ống cao su lưu hóa Aeroflex Class 0 - 80X25 (6S/T)</t>
  </si>
  <si>
    <t>AFFOM90X25</t>
  </si>
  <si>
    <t>Ống cao su lưu hóa Aeroflex Class 0 - 90X25 (4S/T)</t>
  </si>
  <si>
    <t>AFFOM109X25</t>
  </si>
  <si>
    <t>Ống cao su lưu hóa Aeroflex Class 0 - 109X25 (4S/T)</t>
  </si>
  <si>
    <t>AFFOM115X25</t>
  </si>
  <si>
    <t>Ống cao su lưu hóa Aeroflex Class 0 - 115X25 (4S/T)</t>
  </si>
  <si>
    <t>AFFOM140X25</t>
  </si>
  <si>
    <t>Ống cao su lưu hóa Aeroflex Class 0 - 140X25 (2S/T)</t>
  </si>
  <si>
    <t>AFFOM13X32</t>
  </si>
  <si>
    <t>Ống cao su lưu hóa Aeroflex Class 0 - 13X32 (14S/T)</t>
  </si>
  <si>
    <t>AFFOM16X32</t>
  </si>
  <si>
    <t>Ống cao su lưu hóa Aeroflex Class 0 - 16X32 (14S/T)</t>
  </si>
  <si>
    <t>AFFOM19X32</t>
  </si>
  <si>
    <t>Ống cao su lưu hóa Aeroflex Class 0 - 19X32 (12S/T)</t>
  </si>
  <si>
    <t>AFFOM22X32</t>
  </si>
  <si>
    <t>Ống cao su lưu hóa Aeroflex Class 0 - 22X32 (12S/T)</t>
  </si>
  <si>
    <t>AFFOM25X32</t>
  </si>
  <si>
    <t>Ống cao su lưu hóa Aeroflex Class 0 - 25X32 (10S/T)</t>
  </si>
  <si>
    <t>AFFOM28X32</t>
  </si>
  <si>
    <t>Ống cao su lưu hóa Aeroflex Class 0 - 28X32 (8S/T)</t>
  </si>
  <si>
    <t>AFFOM32X32</t>
  </si>
  <si>
    <t>Ống cao su lưu hóa Aeroflex Class 0 - 32X32 (8S/T)</t>
  </si>
  <si>
    <t>AFFOM35X32</t>
  </si>
  <si>
    <t>Ống cao su lưu hóa Aeroflex Class 0 - 35X32 (8S/T)</t>
  </si>
  <si>
    <t>AFFOM42X32</t>
  </si>
  <si>
    <t>Ống cao su lưu hóa Aeroflex Class 0 - 42X32 (8S/T)</t>
  </si>
  <si>
    <t>AFFOM48X32</t>
  </si>
  <si>
    <t>Ống cao su lưu hóa Aeroflex Class 0 - 48X32 (6S/T)</t>
  </si>
  <si>
    <t>AFFOM54X32</t>
  </si>
  <si>
    <t>Ống cao su lưu hóa Aeroflex Class 0 - 54X32 (6S/T)</t>
  </si>
  <si>
    <t>AFFOM60X32</t>
  </si>
  <si>
    <t>Ống cao su lưu hóa Aeroflex Class 0 - 60X32 (4S/T)</t>
  </si>
  <si>
    <t>AFFOM67X32</t>
  </si>
  <si>
    <t>Ống cao su lưu hóa Aeroflex Class 0 - 67X32 (4S/T)</t>
  </si>
  <si>
    <t>AFFOM76X32</t>
  </si>
  <si>
    <t>Ống cao su lưu hóa Aeroflex Class 0 - 76X32 (4S/T)</t>
  </si>
  <si>
    <t>AFFOM80X32</t>
  </si>
  <si>
    <t>Ống cao su lưu hóa Aeroflex Class 0 - 80X32 (4S/T)</t>
  </si>
  <si>
    <t>AFFOM90X32</t>
  </si>
  <si>
    <t>Ống cao su lưu hóa Aeroflex Class 0 - 90X32 (4S/T)</t>
  </si>
  <si>
    <t>AFFOM109X32</t>
  </si>
  <si>
    <t>Ống cao su lưu hóa Aeroflex Class 0 - 109X32 (2S/T)</t>
  </si>
  <si>
    <t>AFFOM115X32</t>
  </si>
  <si>
    <t>Ống cao su lưu hóa Aeroflex Class 0 - 115X32 (2S/T)</t>
  </si>
  <si>
    <t>AFFOM140X32</t>
  </si>
  <si>
    <t>Ống cao su lưu hóa Aeroflex Class 0 - 140X32 (2S/T)</t>
  </si>
  <si>
    <t>AFFOM16X38</t>
  </si>
  <si>
    <t>Ống cao su lưu hóa Aeroflex Class 0 - 16X38 (8S/T)</t>
  </si>
  <si>
    <t>AFFOM19X38</t>
  </si>
  <si>
    <t>Ống cao su lưu hóa Aeroflex Class 0 - 19X38 (8S/T)</t>
  </si>
  <si>
    <t>AFFOM22X38</t>
  </si>
  <si>
    <t>Ống cao su lưu hóa Aeroflex Class 0 - 22X38 (8S/T)</t>
  </si>
  <si>
    <t>AFFOM25X38</t>
  </si>
  <si>
    <t>Ống cao su lưu hóa Aeroflex Class 0 - 25X38 (8S/T)</t>
  </si>
  <si>
    <t>AFFOM28X38</t>
  </si>
  <si>
    <t>Ống cao su lưu hóa Aeroflex Class 0 - 28X38 (8S/T)</t>
  </si>
  <si>
    <t>AFFOM32X38</t>
  </si>
  <si>
    <t>Ống cao su lưu hóa Aeroflex Class 0 - 32X38 (8S/T)</t>
  </si>
  <si>
    <t>AFFOM35X38</t>
  </si>
  <si>
    <t>Ống cao su lưu hóa Aeroflex Class 0 - 35X38 (6S/T)</t>
  </si>
  <si>
    <t>AFFOM42X38</t>
  </si>
  <si>
    <t>Ống cao su lưu hóa Aeroflex Class 0 - 42X38 (6S/T)</t>
  </si>
  <si>
    <t>AFFOM48X38</t>
  </si>
  <si>
    <t>Ống cao su lưu hóa Aeroflex Class 0 - 48X38 (6S/T)</t>
  </si>
  <si>
    <t>AFFOM54X38</t>
  </si>
  <si>
    <t>Ống cao su lưu hóa Aeroflex Class 0 - 54X38 (4S/T)</t>
  </si>
  <si>
    <t>AFFOM60X38</t>
  </si>
  <si>
    <t>Ống cao su lưu hóa Aeroflex Class 0 - 60X38 (4S/T)</t>
  </si>
  <si>
    <t>AFFOM67X38</t>
  </si>
  <si>
    <t>Ống cao su lưu hóa Aeroflex Class 0 - 67X38 (4S/T)</t>
  </si>
  <si>
    <t>AFFOM76X38</t>
  </si>
  <si>
    <t>Ống cao su lưu hóa Aeroflex Class 0 - 76X38 (3S/T)</t>
  </si>
  <si>
    <t>AFFOM90X38</t>
  </si>
  <si>
    <t>Ống cao su lưu hóa Aeroflex Class 0 - 90X38 (3S/T)</t>
  </si>
  <si>
    <t>AFFOM109X38</t>
  </si>
  <si>
    <t>Ống cao su lưu hóa Aeroflex Class 0 - 109X38 (2S/T)</t>
  </si>
  <si>
    <t>AFFOM115X38</t>
  </si>
  <si>
    <t>Ống cao su lưu hóa Aeroflex Class 0 - 115X38 (2S/T)</t>
  </si>
  <si>
    <t>AFFOM140X38</t>
  </si>
  <si>
    <t>Ống cao su lưu hóa Aeroflex Class 0 - 140X38 (2S/T)</t>
  </si>
  <si>
    <t>AFFOM19X50</t>
  </si>
  <si>
    <t>Ống cao su lưu hóa Aeroflex Class 0 - 19X50 (4S/T)</t>
  </si>
  <si>
    <t>AFFOM22X50</t>
  </si>
  <si>
    <t>Ống cao su lưu hóa Aeroflex Class 0 - 22X50 (4S/T)</t>
  </si>
  <si>
    <t>AFFOM25X50</t>
  </si>
  <si>
    <t>Ống cao su lưu hóa Aeroflex Class 0 - 25X50 (4S/T)</t>
  </si>
  <si>
    <t>AFFOM28X50</t>
  </si>
  <si>
    <t>Ống cao su lưu hóa Aeroflex Class 0 - 28X50 (4S/T)</t>
  </si>
  <si>
    <t>AFFOM32X50</t>
  </si>
  <si>
    <t>Ống cao su lưu hóa Aeroflex Class 0 - 32X50 (4S/T)</t>
  </si>
  <si>
    <t>AFFOM35X50</t>
  </si>
  <si>
    <t>Ống cao su lưu hóa Aeroflex Class 0 - 35X50 (4S/T)</t>
  </si>
  <si>
    <t>AFFOM42X50</t>
  </si>
  <si>
    <t>Ống cao su lưu hóa Aeroflex Class 0 - 42X50 (4S/T)</t>
  </si>
  <si>
    <t>AFFOM48X50</t>
  </si>
  <si>
    <t>Ống cao su lưu hóa Aeroflex Class 0 - 48X50 (3S/T)</t>
  </si>
  <si>
    <t>AFFOM54X50</t>
  </si>
  <si>
    <t>Ống cao su lưu hóa Aeroflex Class 0 - 54X50 (3S/T)</t>
  </si>
  <si>
    <t>AFFOM60X50</t>
  </si>
  <si>
    <t>Ống cao su lưu hóa Aeroflex Class 0 - 60X50 (3S/T)</t>
  </si>
  <si>
    <t>AFFOM67X50</t>
  </si>
  <si>
    <t>Ống cao su lưu hóa Aeroflex Class 0 - 67X50 (3S/T)</t>
  </si>
  <si>
    <t>AFFOM76X50</t>
  </si>
  <si>
    <t>Ống cao su lưu hóa Aeroflex Class 0 - 76X50 (2S/T)</t>
  </si>
  <si>
    <t>AFFOM90X50</t>
  </si>
  <si>
    <t>Ống cao su lưu hóa Aeroflex Class 0 - 90X50 (2S/T)</t>
  </si>
  <si>
    <t>AFFOM109X50</t>
  </si>
  <si>
    <t>Ống cao su lưu hóa Aeroflex Class 0 - 109X50 (2S/T)</t>
  </si>
  <si>
    <t>AFFOM115X50</t>
  </si>
  <si>
    <t>Ống cao su lưu hóa Aeroflex Class 0 - 115X50 (2S/T)</t>
  </si>
  <si>
    <t>AFFOM140X50</t>
  </si>
  <si>
    <t>Ống cao su lưu hóa Aeroflex Class 0 - 140X50 (2S/T)</t>
  </si>
  <si>
    <t>BẢNG GIÁ XỐP SỢI ARMAFLEX</t>
  </si>
  <si>
    <t>Armaflex MC</t>
  </si>
  <si>
    <t>XBOA022X09</t>
  </si>
  <si>
    <t>Ống cao su lưu hóa Armaflex Thái Lan 22X9</t>
  </si>
  <si>
    <t>22</t>
  </si>
  <si>
    <t>XBOA035X09</t>
  </si>
  <si>
    <t xml:space="preserve">Ống cao su lưu hóa Armaflex Thái Lan 35X9 </t>
  </si>
  <si>
    <t>35</t>
  </si>
  <si>
    <t>XBOA042X09</t>
  </si>
  <si>
    <t>Ống cao su lưu hóa Armaflex Thái Lan 42X9</t>
  </si>
  <si>
    <t>42</t>
  </si>
  <si>
    <t>XBOA048X09</t>
  </si>
  <si>
    <t xml:space="preserve">Ống cao su lưu hóa Armaflex Thái Lan 48X9 </t>
  </si>
  <si>
    <t>48</t>
  </si>
  <si>
    <t>XBOA012X13</t>
  </si>
  <si>
    <t>Ống cao su lưu hóa Armaflex Thái Lan 12X13</t>
  </si>
  <si>
    <t>12</t>
  </si>
  <si>
    <t>XBOA020X13</t>
  </si>
  <si>
    <t xml:space="preserve">Ống cao su lưu hóa Armaflex Thái Lan 20X13 </t>
  </si>
  <si>
    <t>20</t>
  </si>
  <si>
    <t>XBOA025X13</t>
  </si>
  <si>
    <t>Ống cao su lưu hóa Armaflex Thái Lan 25X13</t>
  </si>
  <si>
    <t>25</t>
  </si>
  <si>
    <t>XBOA028X13</t>
  </si>
  <si>
    <t xml:space="preserve">Ống cao su lưu hóa Armaflex Thái Lan 28X13 </t>
  </si>
  <si>
    <t>28</t>
  </si>
  <si>
    <t>XBOA035X13</t>
  </si>
  <si>
    <t xml:space="preserve">Ống cao su lưu hóa Armaflex Thái Lan 35X13 </t>
  </si>
  <si>
    <t>XBOA042X13</t>
  </si>
  <si>
    <t>Ống cao su lưu hóa Armaflex Thái Lan 42X13</t>
  </si>
  <si>
    <t>XBOA048X13</t>
  </si>
  <si>
    <t xml:space="preserve">Ống cao su lưu hóa Armaflex Thái Lan 48X13 </t>
  </si>
  <si>
    <t>XBOA060X13</t>
  </si>
  <si>
    <t xml:space="preserve">Ống cao su lưu hóa Armaflex Thái Lan 60X13 </t>
  </si>
  <si>
    <t>60</t>
  </si>
  <si>
    <t>XBOA089X13</t>
  </si>
  <si>
    <t>Ống cao su lưu hóa Armaflex Thái Lan 89X13</t>
  </si>
  <si>
    <t>89</t>
  </si>
  <si>
    <t>XBOA012X19</t>
  </si>
  <si>
    <t xml:space="preserve">Ống cao su lưu hóa Armaflex Thái Lan 12X19 </t>
  </si>
  <si>
    <t>19</t>
  </si>
  <si>
    <t>XBOA015X19</t>
  </si>
  <si>
    <t>Ống cao su lưu hóa Armaflex Thái Lan 15X19</t>
  </si>
  <si>
    <t>15</t>
  </si>
  <si>
    <t>XBOA020X19</t>
  </si>
  <si>
    <t>Ống cao su lưu hóa Armaflex Thái Lan 20X19</t>
  </si>
  <si>
    <t>XBOA022X19</t>
  </si>
  <si>
    <t>Ống cao su lưu hóa Armaflex Thái Lan 22X19</t>
  </si>
  <si>
    <t>XBOA028X19</t>
  </si>
  <si>
    <t xml:space="preserve">Ống cao su lưu hóa Armaflex Thái Lan 28X19 </t>
  </si>
  <si>
    <t>XBOA032X19</t>
  </si>
  <si>
    <t xml:space="preserve">Ống cao su lưu hóa Armaflex Thái Lan 32X19 </t>
  </si>
  <si>
    <t>32</t>
  </si>
  <si>
    <t>XBOA035X19</t>
  </si>
  <si>
    <t xml:space="preserve">Ống cao su lưu hóa Armaflex Thái Lan 35X19 </t>
  </si>
  <si>
    <t>XBOA048X19</t>
  </si>
  <si>
    <t xml:space="preserve">Ống cao su lưu hóa Armaflex Thái Lan 48X19 </t>
  </si>
  <si>
    <t>XBOA089X19</t>
  </si>
  <si>
    <t xml:space="preserve">Ống cao su lưu hóa Armaflex Thái Lan 89X19 </t>
  </si>
  <si>
    <t>XBOA015X25</t>
  </si>
  <si>
    <t xml:space="preserve">Ống cao su lưu hóa Armaflex Thái Lan 15X25 </t>
  </si>
  <si>
    <t>XBOA025X25</t>
  </si>
  <si>
    <t xml:space="preserve">Ống cao su lưu hóa Armaflex Thái Lan 25X25 </t>
  </si>
  <si>
    <t>XBOA028X25</t>
  </si>
  <si>
    <t>Ống cao su lưu hóa Armaflex Thái Lan 28X25</t>
  </si>
  <si>
    <t>XBOA048X25</t>
  </si>
  <si>
    <t>Ống cao su lưu hóa Armaflex Thái Lan 48X25</t>
  </si>
  <si>
    <t>XBOA054X25</t>
  </si>
  <si>
    <t>Ống cao su lưu hóa Armaflex Thái Lan 54X25</t>
  </si>
  <si>
    <t>54</t>
  </si>
  <si>
    <t>XBOA076X25</t>
  </si>
  <si>
    <t xml:space="preserve">Ống cao su lưu hóa Armaflex Thái Lan 76X25 </t>
  </si>
  <si>
    <t>76</t>
  </si>
  <si>
    <t>XBOA089X25</t>
  </si>
  <si>
    <t>Ống cao su lưu hóa Armaflex Thái Lan 89X25</t>
  </si>
  <si>
    <t>XBOA028X32</t>
  </si>
  <si>
    <t xml:space="preserve">Ống cao su lưu hóa Armaflex Thái Lan 28X32 </t>
  </si>
  <si>
    <t>XBOA048X32</t>
  </si>
  <si>
    <t xml:space="preserve">Ống cao su lưu hóa Armaflex Thái Lan 48X32 </t>
  </si>
  <si>
    <t>XBOA089X32</t>
  </si>
  <si>
    <t>Ống cao su lưu hóa Armaflex Thái Lan 89X32</t>
  </si>
  <si>
    <t>XBOA035X38</t>
  </si>
  <si>
    <t xml:space="preserve">Ống cao su lưu hóa Armaflex Thái Lan 35X38 </t>
  </si>
  <si>
    <t>38</t>
  </si>
  <si>
    <t>XBOA048X38</t>
  </si>
  <si>
    <t xml:space="preserve">Ống cao su lưu hóa Armaflex Thái Lan 48X38 </t>
  </si>
  <si>
    <t>XBOA060X38</t>
  </si>
  <si>
    <t xml:space="preserve">Ống cao su lưu hóa Armaflex Thái Lan 60X38 </t>
  </si>
  <si>
    <t>XBOA089X38</t>
  </si>
  <si>
    <t>Ống cao su lưu hóa Armaflex Thái Lan 89X38</t>
  </si>
  <si>
    <t>XBOA114X38</t>
  </si>
  <si>
    <t xml:space="preserve">Ống cao su lưu hóa Armaflex Thái Lan 114X38 </t>
  </si>
  <si>
    <t>114</t>
  </si>
  <si>
    <t>XBOA089X50</t>
  </si>
  <si>
    <t xml:space="preserve">Ống cao su lưu hóa Armaflex Thái Lan 89X50 </t>
  </si>
  <si>
    <t>50</t>
  </si>
  <si>
    <t>Armaflex Thái Lan</t>
  </si>
  <si>
    <t>XBOAF022X09</t>
  </si>
  <si>
    <t>Ống cao su lưu hóa Armaflex FRV Thái Lan 22X09</t>
  </si>
  <si>
    <t>XBOAF028X09</t>
  </si>
  <si>
    <t xml:space="preserve">Ống cao su lưu hóa Armaflex FRV Thái Lan 28X09 </t>
  </si>
  <si>
    <t>XBOAF042X09</t>
  </si>
  <si>
    <t xml:space="preserve">Ống cao su lưu hóa Armaflex FRV Thái Lan 42X09 </t>
  </si>
  <si>
    <t>XBOAF006X13</t>
  </si>
  <si>
    <t xml:space="preserve">Ống cao su lưu hóa Armaflex FRV Thái Lan 06X13 </t>
  </si>
  <si>
    <t>XBOAF010X13</t>
  </si>
  <si>
    <t xml:space="preserve">Ống cao su lưu hóa Armaflex FRV Thái Lan 10X13 </t>
  </si>
  <si>
    <t>10</t>
  </si>
  <si>
    <t>XBOAF022X13</t>
  </si>
  <si>
    <t>Ống cao su lưu hóa Armaflex FRV Thái Lan 22X13</t>
  </si>
  <si>
    <t>XBOAF028X13</t>
  </si>
  <si>
    <t>Ống cao su lưu hóa Armaflex FRV Thái Lan 28X13</t>
  </si>
  <si>
    <t>XBOAF035X13</t>
  </si>
  <si>
    <t>Ống cao su lưu hóa Armaflex FRV Thái Lan 35X13</t>
  </si>
  <si>
    <t>XBOAF042X13</t>
  </si>
  <si>
    <t>Ống cao su lưu hóa Armaflex FRV Thái Lan 42X13</t>
  </si>
  <si>
    <t>XBOAF048X13</t>
  </si>
  <si>
    <t xml:space="preserve">Ống cao su lưu hóa Armaflex FRV Thái Lan 48X13 </t>
  </si>
  <si>
    <t>XBOAF060X13</t>
  </si>
  <si>
    <t xml:space="preserve">Ống cao su lưu hóa Armaflex FRV Thái Lan 60X13 </t>
  </si>
  <si>
    <t>XBOAF073X13</t>
  </si>
  <si>
    <t>Ống cao su lưu hóa Armaflex FRV Thái Lan 73X13</t>
  </si>
  <si>
    <t>XBOAF006X19</t>
  </si>
  <si>
    <t xml:space="preserve">Ống cao su lưu hóa Armaflex FRV Thái Lan 06X19 </t>
  </si>
  <si>
    <t>XBOAF012X19</t>
  </si>
  <si>
    <t>Ống cao su lưu hóa Armaflex FRV Thái Lan 12X19</t>
  </si>
  <si>
    <t>XBOAF015X19</t>
  </si>
  <si>
    <t xml:space="preserve">Ống cao su lưu hóa Armaflex FRV Thái Lan 15X19 </t>
  </si>
  <si>
    <t>XBOAF022X19</t>
  </si>
  <si>
    <t>Ống cao su lưu hóa Armaflex FRV Thái Lan 22X19</t>
  </si>
  <si>
    <t>XBOAF028X19</t>
  </si>
  <si>
    <t xml:space="preserve">Ống cao su lưu hóa Armaflex FRV Thái Lan 28X19 </t>
  </si>
  <si>
    <t>XBOAF042X19</t>
  </si>
  <si>
    <t xml:space="preserve">Ống cao su lưu hóa Armaflex FRV Thái Lan 42X19 </t>
  </si>
  <si>
    <t>XBOAF089X19</t>
  </si>
  <si>
    <t>Ống cao su lưu hóa Armaflex FRV Thái Lan 89X19</t>
  </si>
  <si>
    <t>XBOAF020X25</t>
  </si>
  <si>
    <t xml:space="preserve">Ống cao su lưu hóa Armaflex FRV Thái Lan 20X25 </t>
  </si>
  <si>
    <t>XBOAF022X25</t>
  </si>
  <si>
    <t>Ống cao su lưu hóa Armaflex FRV Thái Lan 22X25</t>
  </si>
  <si>
    <t>XBOAF035X25</t>
  </si>
  <si>
    <t>Ống cao su lưu hóa Armaflex FRV Thái Lan 35X25</t>
  </si>
  <si>
    <t>XBOAF048X32</t>
  </si>
  <si>
    <t>Ống cao su lưu hóa Armaflex FRV Thái Lan 48X32</t>
  </si>
  <si>
    <t>XBOAF076X32</t>
  </si>
  <si>
    <t>Ống cao su lưu hóa Armaflex FRV Thái Lan 76X32</t>
  </si>
  <si>
    <t>XBOAF089X50</t>
  </si>
  <si>
    <t xml:space="preserve">Ống cao su lưu hóa Armaflex FRV Thái Lan 89X50 </t>
  </si>
  <si>
    <t>Armaflex Class 0</t>
  </si>
  <si>
    <t>XBOA032X09C0</t>
  </si>
  <si>
    <t>Ống cao su lưu hóa Armaflex Thái Lan 32X9 Class 0 (42S/T)</t>
  </si>
  <si>
    <t>XBOA035X09C0</t>
  </si>
  <si>
    <t>Ống cao su lưu hóa Armaflex Thái Lan 35X9 Class 0 (41S/T)</t>
  </si>
  <si>
    <t>XBOA042X09C0</t>
  </si>
  <si>
    <t>Ống cao su lưu hóa Armaflex Thái Lan 42X9 Class 0 (32S/T)</t>
  </si>
  <si>
    <t>XBOA006X13C0</t>
  </si>
  <si>
    <t>Ống cao su lưu hóa Armaflex Thái Lan 6X13 Class 0 (90S/T)</t>
  </si>
  <si>
    <t>XBOA010X13C0</t>
  </si>
  <si>
    <t>Ống cao su lưu hóa Armaflex Thái Lan 10X13 Class 0 (72S/T)</t>
  </si>
  <si>
    <t>XBOA028X13C0</t>
  </si>
  <si>
    <t>Ống cao su lưu hóa Armaflex Thái Lan 28X13 Class 0 (36S/T)</t>
  </si>
  <si>
    <t>XBOA032X13C0</t>
  </si>
  <si>
    <t>Ống cao su lưu hóa Armaflex Thái Lan 32X13 Class 0 (30S/T)</t>
  </si>
  <si>
    <t>XBOA035X13C0</t>
  </si>
  <si>
    <t>Ống cao su lưu hóa Armaflex Thái Lan 35X13 Class 0 (29S/T)</t>
  </si>
  <si>
    <t>XBOA042X13C0</t>
  </si>
  <si>
    <t>Ống cao su lưu hóa Armaflex Thái Lan 42X13 Class 0 (24S/T)</t>
  </si>
  <si>
    <t>XBOA048X13C0</t>
  </si>
  <si>
    <t>Ống cao su lưu hóa Armaflex Thái Lan 48X13 Class 0 (21S/T)</t>
  </si>
  <si>
    <t>XBOA060X13C0</t>
  </si>
  <si>
    <t>Ống cao su lưu hóa Armaflex Thái Lan 60X13 Class 0 (18S/T)</t>
  </si>
  <si>
    <t>XBOA089X13C0</t>
  </si>
  <si>
    <t>Ống cao su lưu hóa Armaflex Thái Lan 89X13 Class 0 (12S/T)</t>
  </si>
  <si>
    <t>XBOA006X19C0</t>
  </si>
  <si>
    <t>Ống cao su lưu hóa Armaflex Thái Lan 6X19 Class 0 (56S/T)</t>
  </si>
  <si>
    <t>XBOA010X19C0</t>
  </si>
  <si>
    <t>Ống cao su lưu hóa Armaflex Thái Lan 10X19 Class 0 (42S/T)</t>
  </si>
  <si>
    <t>XBOA012X19C0</t>
  </si>
  <si>
    <t>Ống cao su lưu hóa Armaflex Thái Lan 12X19 Class 0 (42S/T)</t>
  </si>
  <si>
    <t>XBOA015X19C0</t>
  </si>
  <si>
    <t>Ống cao su lưu hóa Armaflex Thái Lan 15X19 Class 0 (35S/T)</t>
  </si>
  <si>
    <t>XBOA020X19C0</t>
  </si>
  <si>
    <t>Ống cao su lưu hóa Armaflex Thái Lan 20X19 Class 0 (30S/T)</t>
  </si>
  <si>
    <t>XBOA022X19C0</t>
  </si>
  <si>
    <t>Ống cao su lưu hóa Armaflex Thái Lan 22X19 Class 0 (30S/T)</t>
  </si>
  <si>
    <t>XBOA028X19C0</t>
  </si>
  <si>
    <t>Ống cao su lưu hóa Armaflex Thái Lan 28X19 Class 0 (25S/T)</t>
  </si>
  <si>
    <t>XBOA032X19C0</t>
  </si>
  <si>
    <t>Ống cao su lưu hóa Armaflex Thái Lan 32X19 Class 0 (20S/T)</t>
  </si>
  <si>
    <t>XBOA035X19C0</t>
  </si>
  <si>
    <t>Ống cao su lưu hóa Armaflex Thái Lan 35X19 Class 0 (20S/T)</t>
  </si>
  <si>
    <t>XBOA042X19C0</t>
  </si>
  <si>
    <t>Ống cao su lưu hóa Armaflex Thái Lan 42X19 Class 0 (18S/T)</t>
  </si>
  <si>
    <t>XBOA048X19C0</t>
  </si>
  <si>
    <t>Ống cao su lưu hóa Armaflex Thái Lan 48X19 Class 0 (15S/T)</t>
  </si>
  <si>
    <t>XBOA060X19C0</t>
  </si>
  <si>
    <t>Ống cao su lưu hóa Armaflex Thái Lan 60X19 Class 0 (12S/T)</t>
  </si>
  <si>
    <t>XBOA089X19C0</t>
  </si>
  <si>
    <t>Ống cao su lưu hóa Armaflex Thái Lan 89X19 Class 0 (6S/T)</t>
  </si>
  <si>
    <t>XBOA012X25C0</t>
  </si>
  <si>
    <t>Ống cao su lưu hóa Armaflex Thái Lan 12X25 Class 0 (24S/T)</t>
  </si>
  <si>
    <t>XBOA020X25C0</t>
  </si>
  <si>
    <t>Ống cao su lưu hóa Armaflex Thái Lan 20X25 Class 0 (18S/T)</t>
  </si>
  <si>
    <t>XBOA028X25C0</t>
  </si>
  <si>
    <t>Ống cao su lưu hóa Armaflex Thái Lan 28X25 Class 0 (16S/T)</t>
  </si>
  <si>
    <t>XBOA035X25C0</t>
  </si>
  <si>
    <t>Ống cao su lưu hóa Armaflex Thái Lan 35X25 Class 0 (15S/T)</t>
  </si>
  <si>
    <t>XBOA048X25C0</t>
  </si>
  <si>
    <t>Ống cao su lưu hóa Armaflex Thái Lan 48X25 Class 0 (10S/T)</t>
  </si>
  <si>
    <t>XBOA060X25C0</t>
  </si>
  <si>
    <t>Ống cao su lưu hóa Armaflex Thái Lan 60X25 Class 0 (10S/T)</t>
  </si>
  <si>
    <t>XBOA076X25C0</t>
  </si>
  <si>
    <t>Ống cao su lưu hóa Armaflex Thái Lan 76X25 Class 0 (8S/T)</t>
  </si>
  <si>
    <t>XBOA089X25C0</t>
  </si>
  <si>
    <t>Ống cao su lưu hóa Armaflex Thái Lan 89X25 Class 0 (8S/T)</t>
  </si>
  <si>
    <t>XBOA114X32C0</t>
  </si>
  <si>
    <t>Ống cao su lưu hóa Armaflex Thái Lan 114X32 Class 0 (2S/T)</t>
  </si>
  <si>
    <t>XBOA060X40C0</t>
  </si>
  <si>
    <t>Ống cao su lưu hóa Armaflex Thái Lan 60X40 Class 0 (5S/T)</t>
  </si>
  <si>
    <t>40</t>
  </si>
  <si>
    <t>XBOA114X40C0</t>
  </si>
  <si>
    <t>Ống cao su lưu hóa Armaflex Thái Lan 114X40 Class 0 (2S/T)</t>
  </si>
  <si>
    <t>XBOA076X50C0</t>
  </si>
  <si>
    <t>Ống cao su lưu hóa Armaflex Thái Lan 76X50 Class 0 (2S/T)</t>
  </si>
  <si>
    <t>XBOA089X50C0</t>
  </si>
  <si>
    <t>Ống cao su lưu hóa Armaflex Thái Lan 89X50 Class 0 (2S/T)</t>
  </si>
  <si>
    <t>BẢNG GIÁ XỐP TẤM</t>
  </si>
  <si>
    <t>Rộng</t>
  </si>
  <si>
    <t>Đặc tính</t>
  </si>
  <si>
    <t>XTAE0612022C0</t>
  </si>
  <si>
    <t xml:space="preserve">Tấm cao su lưu hóa Aeroflex Class 0 - D6x1.20x22 </t>
  </si>
  <si>
    <t>Cuộn</t>
  </si>
  <si>
    <t>D6</t>
  </si>
  <si>
    <t>1.20</t>
  </si>
  <si>
    <t>Cuộn 26.4m2</t>
  </si>
  <si>
    <t>XTAE0612022C0D</t>
  </si>
  <si>
    <t>Tấm cao su lưu hóa Aeroflex Class 0 - D6x1.20x22 Dính</t>
  </si>
  <si>
    <t>Dính</t>
  </si>
  <si>
    <t>XTAE0612022C0B</t>
  </si>
  <si>
    <t>Tấm cao su lưu hóa Aeroflex Class 0 - D6x1.20x22 Bạc</t>
  </si>
  <si>
    <t>Bạc</t>
  </si>
  <si>
    <t>XTAE0612022C0D2M</t>
  </si>
  <si>
    <t>Tấm cao su lưu hóa Aeroflex Class 0 - D6x1.20x22 Dính 2 mặt</t>
  </si>
  <si>
    <t>Dính 2 mặt</t>
  </si>
  <si>
    <t>XTAE0612022C0BD</t>
  </si>
  <si>
    <t>Tấm cao su lưu hóa Aeroflex Class 0 - D6x1.20x22 Bạc+Dính</t>
  </si>
  <si>
    <t>Bạc+Dính</t>
  </si>
  <si>
    <t>XTAE0912015C0</t>
  </si>
  <si>
    <t xml:space="preserve">Tấm cao su lưu hóa Aeroflex Class 0 - D9x1.20x15 </t>
  </si>
  <si>
    <t>D9</t>
  </si>
  <si>
    <t>Cuộn 18m2</t>
  </si>
  <si>
    <t>XTAE0912015C0D</t>
  </si>
  <si>
    <t>Tấm cao su lưu hóa Aeroflex Class 0 - D9x1.20x15 Dính</t>
  </si>
  <si>
    <t>XTAE0912015C0B</t>
  </si>
  <si>
    <t>Tấm cao su lưu hóa Aeroflex Class 0 - D9x1.20x15 Bạc</t>
  </si>
  <si>
    <t>XTAE0912015C0D2M</t>
  </si>
  <si>
    <t>Tấm cao su lưu hóa Aeroflex Class 0 - D9x1.20x15 Dính 2 mặt</t>
  </si>
  <si>
    <t>XTAE0912015C0BD</t>
  </si>
  <si>
    <t>Tấm cao su lưu hóa Aeroflex Class 0 - D9x1.20x15 Bạc+Dính</t>
  </si>
  <si>
    <t>XTAE1312011C0</t>
  </si>
  <si>
    <t xml:space="preserve">Tấm cao su lưu hóa Aeroflex Class 0 - D13x1.20x11 </t>
  </si>
  <si>
    <t>D13</t>
  </si>
  <si>
    <t>Cuộn 13.2m2</t>
  </si>
  <si>
    <t>XTAE1312011C0D</t>
  </si>
  <si>
    <t>Tấm cao su lưu hóa Aeroflex Class 0 - D13x1.20x11 Dính</t>
  </si>
  <si>
    <t>XTAE1312011C0B</t>
  </si>
  <si>
    <t>Tấm cao su lưu hóa Aeroflex Class 0 - D13x1.20x11 Bạc</t>
  </si>
  <si>
    <t>XTAE1312011C0D2M</t>
  </si>
  <si>
    <t>Tấm cao su lưu hóa Aeroflex Class 0 - D13x1.20x11 Dính 2 mặt</t>
  </si>
  <si>
    <t>XTAE1312011C0BD</t>
  </si>
  <si>
    <t>Tấm cao su lưu hóa Aeroflex Class 0 - D13x1.20x11 Bạc+Dính</t>
  </si>
  <si>
    <t>XTAE1612010C0</t>
  </si>
  <si>
    <t xml:space="preserve">Tấm cao su lưu hóa Aeroflex Class 0 - D16x1.20x10 </t>
  </si>
  <si>
    <t>D16</t>
  </si>
  <si>
    <t>Cuộn 12m2</t>
  </si>
  <si>
    <t>XTAE1612010C0D</t>
  </si>
  <si>
    <t>Tấm cao su lưu hóa Aeroflex Class 0 - D16x1.20x10 Dính</t>
  </si>
  <si>
    <t>XTAE1612010C0B</t>
  </si>
  <si>
    <t>Tấm cao su lưu hóa Aeroflex Class 0 - D16x1.20x10 Bạc</t>
  </si>
  <si>
    <t>XTAE1612010C0D2M</t>
  </si>
  <si>
    <t>Tấm cao su lưu hóa Aeroflex Class 0 - D16x1.20x10 Dính 2 mặt</t>
  </si>
  <si>
    <t>XTAE1612010C0BD</t>
  </si>
  <si>
    <t>Tấm cao su lưu hóa Aeroflex Class 0 - D16x1.20x10 Bạc+Dính</t>
  </si>
  <si>
    <t>XTAE191207C0</t>
  </si>
  <si>
    <t xml:space="preserve">Tấm cao su lưu hóa Aeroflex Class 0 - D19x1.20x7 </t>
  </si>
  <si>
    <t>D19</t>
  </si>
  <si>
    <t>Cuộn 8.4m2</t>
  </si>
  <si>
    <t>XTAE191207C0D</t>
  </si>
  <si>
    <t>Tấm cao su lưu hóa Aeroflex Class 0 - D19x1.20x7 Dính</t>
  </si>
  <si>
    <t>XTAE191207C0B</t>
  </si>
  <si>
    <t>Tấm cao su lưu hóa Aeroflex Class 0 - D19x1.20x7 Bạc</t>
  </si>
  <si>
    <t>XTAE191207C0D2M</t>
  </si>
  <si>
    <t>Tấm cao su lưu hóa Aeroflex Class 0 - D19x1.20x7 Dính 2 mặt</t>
  </si>
  <si>
    <t>XTAE191207C0BD</t>
  </si>
  <si>
    <t>Tấm cao su lưu hóa Aeroflex Class 0 - D19x1.20x7 Bạc+Dính</t>
  </si>
  <si>
    <t>XTAE251205C0</t>
  </si>
  <si>
    <t xml:space="preserve">Tấm cao su lưu hóa Aeroflex Class 0 - D25x1.20x5 </t>
  </si>
  <si>
    <t>D25</t>
  </si>
  <si>
    <t>Cuộn 6m2</t>
  </si>
  <si>
    <t>XTAE251205C0D</t>
  </si>
  <si>
    <t>Tấm cao su lưu hóa Aeroflex Class 0 - D25x1.20x5 Dính</t>
  </si>
  <si>
    <t>XTAE251205C0B</t>
  </si>
  <si>
    <t>Tấm cao su lưu hóa Aeroflex Class 0 - D25x1.20x5 Bạc</t>
  </si>
  <si>
    <t>XTAE251205C0D2M</t>
  </si>
  <si>
    <t>Tấm cao su lưu hóa Aeroflex Class 0 - D25x1.20x5 Dính 2 mặt</t>
  </si>
  <si>
    <t>XTAE251205C0BD</t>
  </si>
  <si>
    <t>Tấm cao su lưu hóa Aeroflex Class 0 - D25x1.20x5 Bạc+Dính</t>
  </si>
  <si>
    <t>XTAE321204C0</t>
  </si>
  <si>
    <t xml:space="preserve">Tấm cao su lưu hóa Aeroflex Class 0 - D32x1.20x4 </t>
  </si>
  <si>
    <t>D32</t>
  </si>
  <si>
    <t>Cuộn 4.8m2</t>
  </si>
  <si>
    <t>XTAE321204C0D</t>
  </si>
  <si>
    <t>Tấm cao su lưu hóa Aeroflex Class 0 - D32x1.20x4 Dính</t>
  </si>
  <si>
    <t>XTAE321204C0B</t>
  </si>
  <si>
    <t>Tấm cao su lưu hóa Aeroflex Class 0 - D32x1.20x4 Bạc</t>
  </si>
  <si>
    <t>XTAE321204C0D2M</t>
  </si>
  <si>
    <t>Tấm cao su lưu hóa Aeroflex Class 0 - D32x1.20x4 Dính 2 mặt</t>
  </si>
  <si>
    <t>XTAE321204C0BD</t>
  </si>
  <si>
    <t>Tấm cao su lưu hóa Aeroflex Class 0 - D32x1.20x4 Bạc+Dính</t>
  </si>
  <si>
    <t>XTAE381203C0</t>
  </si>
  <si>
    <t xml:space="preserve">Tấm cao su lưu hóa Aeroflex Class 0 - D38x1.20x3 </t>
  </si>
  <si>
    <t>D38</t>
  </si>
  <si>
    <t>Cuộn 3.6m2</t>
  </si>
  <si>
    <t>XTAE381203C0D</t>
  </si>
  <si>
    <t>Tấm cao su lưu hóa Aeroflex Class 0 - D38x1.20x3 Dính</t>
  </si>
  <si>
    <t>XTAE381203C0B</t>
  </si>
  <si>
    <t>Tấm cao su lưu hóa Aeroflex Class 0 - D38x1.20x3 Bạc</t>
  </si>
  <si>
    <t>XTAE381203C0D2M</t>
  </si>
  <si>
    <t>Tấm cao su lưu hóa Aeroflex Class 0 - D38x1.20x3 Dính 2 mặt</t>
  </si>
  <si>
    <t>XTAE381203C0BD</t>
  </si>
  <si>
    <t>Tấm cao su lưu hóa Aeroflex Class 0 - D38x1.20x3 Bạc+Dính</t>
  </si>
  <si>
    <t>XTAE501202C0</t>
  </si>
  <si>
    <t xml:space="preserve">Tấm cao su lưu hóa Aeroflex Class 0 - D50x1.20x2 </t>
  </si>
  <si>
    <t>D50</t>
  </si>
  <si>
    <t>Cuộn 2.4m2</t>
  </si>
  <si>
    <t>XTAE501202C0D</t>
  </si>
  <si>
    <t>Tấm cao su lưu hóa Aeroflex Class 0 - D50x1.20x2 Dính</t>
  </si>
  <si>
    <t>XTAE501202C0B</t>
  </si>
  <si>
    <t>Tấm cao su lưu hóa Aeroflex Class 0 - D50x1.20x2 Bạc</t>
  </si>
  <si>
    <t>XTAE501202C0D2M</t>
  </si>
  <si>
    <t>Tấm cao su lưu hóa Aeroflex Class 0 - D50x1.20x2 Dính 2 mặt</t>
  </si>
  <si>
    <t>XTAE501202C0BD</t>
  </si>
  <si>
    <t>Tấm cao su lưu hóa Aeroflex Class 0 - D50x1.20x2 Bạc+Dính</t>
  </si>
  <si>
    <t>Aeroflex Class A - MSR</t>
  </si>
  <si>
    <t>XTAE061222</t>
  </si>
  <si>
    <t>Tấm cao su lưu hóa Aeroflex MSR D6x1.20x22</t>
  </si>
  <si>
    <t>XTAE061222D</t>
  </si>
  <si>
    <t>Tấm cao su lưu hóa Aeroflex MSR D6x1.20x22 Dính</t>
  </si>
  <si>
    <t>XTAE061222B</t>
  </si>
  <si>
    <t>Tấm cao su lưu hóa Aeroflex MSR D6x1.20x22 Bạc</t>
  </si>
  <si>
    <t>XTAE061222D2M</t>
  </si>
  <si>
    <t>Tấm cao su lưu hóa Aeroflex MSR D6x1.20x22 2 mặt dính</t>
  </si>
  <si>
    <t>XTAE061222BD</t>
  </si>
  <si>
    <t>Tấm cao su lưu hóa Aeroflex MSR D6x1.20x22 Bạc dính</t>
  </si>
  <si>
    <t>XTAE091215</t>
  </si>
  <si>
    <t>Tấm cao su lưu hóa Aeroflex MSR D9x1.20x15</t>
  </si>
  <si>
    <t>XTAE091215D</t>
  </si>
  <si>
    <t>Tấm cao su lưu hóa Aeroflex MSR D9x1.20x15 Dính</t>
  </si>
  <si>
    <t>XTAE091215B</t>
  </si>
  <si>
    <t>Tấm cao su lưu hóa Aeroflex MSR D9x1.20x15 Bạc</t>
  </si>
  <si>
    <t>XTAE091215D2M</t>
  </si>
  <si>
    <t>Tấm cao su lưu hóa Aeroflex MSR D9x1.20x15 2 mặt dính</t>
  </si>
  <si>
    <t>XTAE091215BD</t>
  </si>
  <si>
    <t>Tấm cao su lưu hóa Aeroflex MSR D9x1.20x15 Bạc dính</t>
  </si>
  <si>
    <t>XTAE131211</t>
  </si>
  <si>
    <t>Tấm cao su lưu hóa Aeroflex MSR D13x1.20x11</t>
  </si>
  <si>
    <t>XTAE131211D</t>
  </si>
  <si>
    <t>Tấm cao su lưu hóa Aeroflex MSR D13x1.20x11 Dính</t>
  </si>
  <si>
    <t>XTAE131211B</t>
  </si>
  <si>
    <t>Tấm cao su lưu hóa Aeroflex MSR D13x1.20x11 Bạc</t>
  </si>
  <si>
    <t>XTAE131211D2M</t>
  </si>
  <si>
    <t>Tấm cao su lưu hóa Aeroflex MSR D13x1.20x11 2 mặt dính</t>
  </si>
  <si>
    <t>XTAE131211BD</t>
  </si>
  <si>
    <t>Tấm cao su lưu hóa Aeroflex MSR D13x1.20x11 Bạc dính</t>
  </si>
  <si>
    <t>XTAE161210</t>
  </si>
  <si>
    <t>Tấm cao su lưu hóa Aeroflex MSR D16x1.20x10</t>
  </si>
  <si>
    <t>XTAE161210D</t>
  </si>
  <si>
    <t>Tấm cao su lưu hóa Aeroflex MSR D16x1.20x10 Dính</t>
  </si>
  <si>
    <t>XTAE161210B</t>
  </si>
  <si>
    <t>Tấm cao su lưu hóa Aeroflex MSR D16x1.20x10 Bạc</t>
  </si>
  <si>
    <t>XTAE161210D2M</t>
  </si>
  <si>
    <t>Tấm cao su lưu hóa Aeroflex MSR D16x1.20x10 2 mặt dính</t>
  </si>
  <si>
    <t>XTAE161210BD</t>
  </si>
  <si>
    <t>Tấm cao su lưu hóa Aeroflex MSR D16x1.20x10 Bạc dính</t>
  </si>
  <si>
    <t>XTAE191207</t>
  </si>
  <si>
    <t>Tấm cao su lưu hóa Aeroflex MSR D19x1.20x7</t>
  </si>
  <si>
    <t>XTAE191207D</t>
  </si>
  <si>
    <t>Tấm cao su lưu hóa Aeroflex MSR D19x1.20x7 Dính</t>
  </si>
  <si>
    <t>XTAE191207B</t>
  </si>
  <si>
    <t>Tấm cao su lưu hóa Aeroflex MSR D19x1.20x7 Bạc</t>
  </si>
  <si>
    <t>XTAE191207D2M</t>
  </si>
  <si>
    <t>Tấm cao su lưu hóa Aeroflex MSR D19x1.20x7 2 mặt dính</t>
  </si>
  <si>
    <t>XTAE191207BD</t>
  </si>
  <si>
    <t>Tấm cao su lưu hóa Aeroflex MSR D19x1.20x7 Bạc dính</t>
  </si>
  <si>
    <t>XTAE251205</t>
  </si>
  <si>
    <t>Tấm cao su lưu hóa Aeroflex MSR D25x1.20x5</t>
  </si>
  <si>
    <t>XTAE251205D</t>
  </si>
  <si>
    <t>Tấm cao su lưu hóa Aeroflex MSR D25x1.20x5 Dính</t>
  </si>
  <si>
    <t>XTAE251205B</t>
  </si>
  <si>
    <t>Tấm cao su lưu hóa Aeroflex MSR D25x1.20x5 Bạc</t>
  </si>
  <si>
    <t>XTAE251205D2M</t>
  </si>
  <si>
    <t>Tấm cao su lưu hóa Aeroflex MSR D25x1.20x5 2 mặt dính</t>
  </si>
  <si>
    <t>XTAE251205BD</t>
  </si>
  <si>
    <t>Tấm cao su lưu hóa Aeroflex MSR D25x1.20x5 Bạc dính</t>
  </si>
  <si>
    <t>XTAE321204</t>
  </si>
  <si>
    <t>Tấm cao su lưu hóa Aeroflex MSR D32x1.20x4</t>
  </si>
  <si>
    <t>XTAE321204D</t>
  </si>
  <si>
    <t>Tấm cao su lưu hóa Aeroflex MSR D32x1.20x4 Dính</t>
  </si>
  <si>
    <t>XTAE321204B</t>
  </si>
  <si>
    <t>Tấm cao su lưu hóa Aeroflex MSR D32x1.20x4 Bạc</t>
  </si>
  <si>
    <t>XTAE321204D2M</t>
  </si>
  <si>
    <t>Tấm cao su lưu hóa Aeroflex MSR D32x1.20x4 2 mặt dính</t>
  </si>
  <si>
    <t>XTAE321204BD</t>
  </si>
  <si>
    <t>Tấm cao su lưu hóa Aeroflex MSR D32x1.20x4 Bạc dính</t>
  </si>
  <si>
    <t>XTAE381203</t>
  </si>
  <si>
    <t>Tấm cao su lưu hóa Aeroflex MSR D38x1.20x3</t>
  </si>
  <si>
    <t>XTAE381203D</t>
  </si>
  <si>
    <t>Tấm cao su lưu hóa Aeroflex MSR D38x1.20x3 Dính</t>
  </si>
  <si>
    <t>XTAE381203B</t>
  </si>
  <si>
    <t>Tấm cao su lưu hóa Aeroflex MSR D38x1.20x3 Bạc</t>
  </si>
  <si>
    <t>XTAE381203D2M</t>
  </si>
  <si>
    <t>Tấm cao su lưu hóa Aeroflex MSR D38x1.20x3 2 mặt dính</t>
  </si>
  <si>
    <t>XTAE381203BD</t>
  </si>
  <si>
    <t>Tấm cao su lưu hóa Aeroflex MSR D38x1.20x3 Bạc dính</t>
  </si>
  <si>
    <t>XTAE501202</t>
  </si>
  <si>
    <t>Tấm cao su lưu hóa Aeroflex MSR D50x1.20x2</t>
  </si>
  <si>
    <t>XTAE501202D</t>
  </si>
  <si>
    <t>Tấm cao su lưu hóa Aeroflex MSR D50x1.20x2 Dính</t>
  </si>
  <si>
    <t>XTAE501202B</t>
  </si>
  <si>
    <t>Tấm cao su lưu hóa Aeroflex MSR D50x1.20x2 Bạc</t>
  </si>
  <si>
    <t>XTAE501202D2M</t>
  </si>
  <si>
    <t>Tấm cao su lưu hóa Aeroflex MSR D50x1.20x2 2 mặt dính</t>
  </si>
  <si>
    <t>XTAE501202BD</t>
  </si>
  <si>
    <t>Tấm cao su lưu hóa Aeroflex MSR D50x1.20x2 Bạc dính</t>
  </si>
  <si>
    <t>Aeroflex Class A - ACDIMSR</t>
  </si>
  <si>
    <t>XTAEACDI091215</t>
  </si>
  <si>
    <t>Tấm cao su lưu hóa Aeroflex ACDIMSR D9x1.20x15</t>
  </si>
  <si>
    <t>XTAEACDI091215D</t>
  </si>
  <si>
    <t>Tấm cao su lưu hóa Aeroflex ACDIMSR D9x1.20x15 Dính</t>
  </si>
  <si>
    <t>XTAEACDI091215B</t>
  </si>
  <si>
    <t>Tấm cao su lưu hóa Aeroflex ACDIMSR D9x1.20x15 Bạc</t>
  </si>
  <si>
    <t>XTAEACDI091215D2M</t>
  </si>
  <si>
    <t>Tấm cao su lưu hóa Aeroflex ACDIMSR D9x1.20x15 2 mặt dính</t>
  </si>
  <si>
    <t>XTAEACDI091215BD</t>
  </si>
  <si>
    <t>Tấm cao su lưu hóa Aeroflex ACDIMSR D9x1.20x15 Bạc dính</t>
  </si>
  <si>
    <t>XTAEACDI131211</t>
  </si>
  <si>
    <t>Tấm cao su lưu hóa Aeroflex ACDIMSR D13x1.20x11</t>
  </si>
  <si>
    <t>XTAEACDI131211D</t>
  </si>
  <si>
    <t>Tấm cao su lưu hóa Aeroflex ACDIMSR D13x1.20x11 Dính</t>
  </si>
  <si>
    <t>XTAEACDI131211B</t>
  </si>
  <si>
    <t>Tấm cao su lưu hóa Aeroflex ACDIMSR D13x1.20x11 Bạc</t>
  </si>
  <si>
    <t>XTAEACDI131211D2M</t>
  </si>
  <si>
    <t>Tấm cao su lưu hóa Aeroflex ACDIMSR D13x1.20x11 2 mặt dính</t>
  </si>
  <si>
    <t>XTAEACDI131211BD</t>
  </si>
  <si>
    <t>Tấm cao su lưu hóa Aeroflex ACDIMSR D13x1.20x11 Bạc dính</t>
  </si>
  <si>
    <t>XTAEACDI161210</t>
  </si>
  <si>
    <t>Tấm cao su lưu hóa Aeroflex ACDIMSR D16x1.20x10</t>
  </si>
  <si>
    <t>XTAEACDI161210D</t>
  </si>
  <si>
    <t>Tấm cao su lưu hóa Aeroflex ACDIMSR D16x1.20x10 Dính</t>
  </si>
  <si>
    <t>XTAEACDI161210B</t>
  </si>
  <si>
    <t>Tấm cao su lưu hóa Aeroflex ACDIMSR D16x1.20x10 Bạc</t>
  </si>
  <si>
    <t>XTAEACDI161210D2M</t>
  </si>
  <si>
    <t>Tấm cao su lưu hóa Aeroflex ACDIMSR D16x1.20x10 2 mặt dính</t>
  </si>
  <si>
    <t>XTAEACDI161210BD</t>
  </si>
  <si>
    <t>Tấm cao su lưu hóa Aeroflex ACDIMSR D16x1.20x10 Bạc dính</t>
  </si>
  <si>
    <t>XTAEACDI191207</t>
  </si>
  <si>
    <t>Tấm cao su lưu hóa Aeroflex ACDIMSR D19x1.20x7</t>
  </si>
  <si>
    <t>XTAEACDI191207D</t>
  </si>
  <si>
    <t>Tấm cao su lưu hóa Aeroflex ACDIMSR D19x1.20x7 Dính</t>
  </si>
  <si>
    <t>XTAEACDI191207B</t>
  </si>
  <si>
    <t>Tấm cao su lưu hóa Aeroflex ACDIMSR D19x1.20x7 Bạc</t>
  </si>
  <si>
    <t>XTAEACDI191207D2M</t>
  </si>
  <si>
    <t>Tấm cao su lưu hóa Aeroflex ACDIMSR D19x1.20x7 2 mặt dính</t>
  </si>
  <si>
    <t>XTAEACDI191207BD</t>
  </si>
  <si>
    <t>Tấm cao su lưu hóa Aeroflex ACDIMSR D19x1.20x7 Bạc dính</t>
  </si>
  <si>
    <t>XTAEACDI251205</t>
  </si>
  <si>
    <t>Tấm cao su lưu hóa Aeroflex ACDIMSR D25x1.20x5</t>
  </si>
  <si>
    <t>XTAEACDI251205D</t>
  </si>
  <si>
    <t>Tấm cao su lưu hóa Aeroflex ACDIMSR D25x1.20x5 Dính</t>
  </si>
  <si>
    <t>XTAEACDI251205B</t>
  </si>
  <si>
    <t>Tấm cao su lưu hóa Aeroflex ACDIMSR D25x1.20x5 Bạc</t>
  </si>
  <si>
    <t>XTAEACDI251205D2M</t>
  </si>
  <si>
    <t>Tấm cao su lưu hóa Aeroflex ACDIMSR D25x1.20x5 2 mặt dính</t>
  </si>
  <si>
    <t>XTAEACDI251205BD</t>
  </si>
  <si>
    <t>Tấm cao su lưu hóa Aeroflex ACDIMSR D25x1.20x5 Bạc dính</t>
  </si>
  <si>
    <t>Hàng dị biệt</t>
  </si>
  <si>
    <t>Giá bán</t>
  </si>
  <si>
    <t>Ít bán</t>
  </si>
  <si>
    <t>Dị_D&lt;54</t>
  </si>
  <si>
    <t>Dị_D54</t>
  </si>
  <si>
    <t>Dị_D&gt;54</t>
  </si>
  <si>
    <t>DANH SÁCH HÀNG D THÁNG 9</t>
  </si>
  <si>
    <t>Nhóm VTHH</t>
  </si>
  <si>
    <t>BỘ CHIA GAS &amp; PHỤ KIỆN ĐỒNG</t>
  </si>
  <si>
    <t>TỒN</t>
  </si>
  <si>
    <t>Thưởng sale</t>
  </si>
  <si>
    <t>LỐC</t>
  </si>
  <si>
    <t>Bộ chia gas</t>
  </si>
  <si>
    <t>BCGY11T</t>
  </si>
  <si>
    <t>Bộ chia gas chữ Y KHRP26MC11T</t>
  </si>
  <si>
    <t>Bộ</t>
  </si>
  <si>
    <t>Máy nén khí khác</t>
  </si>
  <si>
    <t>MNK2V32S225AUA18</t>
  </si>
  <si>
    <t>Máy nén khí 2V32S225AUA (18000BTU)</t>
  </si>
  <si>
    <t>Cái</t>
  </si>
  <si>
    <t>BCGY18T</t>
  </si>
  <si>
    <t>Bộ chia gas chữ Y KHRP26MC18T</t>
  </si>
  <si>
    <t>MNK2V42S225AUA24</t>
  </si>
  <si>
    <t>Máy nén khí 2V42S225AUA (24000BTU)</t>
  </si>
  <si>
    <t>BCGY18TCV</t>
  </si>
  <si>
    <t>Bộ chia gas chữ Y KHRP26MC18T có vỏ</t>
  </si>
  <si>
    <t>MNKAL112</t>
  </si>
  <si>
    <t>Máy nén khí AL112</t>
  </si>
  <si>
    <t>Chiếc</t>
  </si>
  <si>
    <t>MNKCBZN175L5Z</t>
  </si>
  <si>
    <t>Máy nén khí cho thiết bị lạnh C-BZN175L5Z</t>
  </si>
  <si>
    <t>MNKQXR-RA</t>
  </si>
  <si>
    <t>Máy nén khí QXR-RA205Z235BAA (12000 BTU)</t>
  </si>
  <si>
    <t>MNKHITA303DH</t>
  </si>
  <si>
    <t>Máy nén khí 303DH-47D2 (29500 BTU) 3PH HITACHI</t>
  </si>
  <si>
    <t>MNKHITA403DH</t>
  </si>
  <si>
    <t>Máy nén khí 403DH-64D2 (40240 BTU) 3PH HITACHI</t>
  </si>
  <si>
    <t>MNKHITA503DH</t>
  </si>
  <si>
    <t>Máy nén khí 503DH-80D (50800 BTU) 3PH HITACHI</t>
  </si>
  <si>
    <t>Zacco</t>
  </si>
  <si>
    <t>HKZC122D</t>
  </si>
  <si>
    <t>Zacco 12, 2 đầu (ren ngoài)</t>
  </si>
  <si>
    <t>Wanbao</t>
  </si>
  <si>
    <t>MNKAL180</t>
  </si>
  <si>
    <t>Máy nén khí cho thiết bị lạnh - AL180</t>
  </si>
  <si>
    <t>HKZC162D</t>
  </si>
  <si>
    <t>Zacco 16, 2 đầu (ren ngoài)</t>
  </si>
  <si>
    <t>MNKAS43</t>
  </si>
  <si>
    <t>Máy nén khí AS43</t>
  </si>
  <si>
    <t>HKZC192D</t>
  </si>
  <si>
    <t>Zacco 19 - 2 đầu (ren ngoài)</t>
  </si>
  <si>
    <t>Danfos</t>
  </si>
  <si>
    <t>MNKDGS26CLX</t>
  </si>
  <si>
    <t>Máy nén khí Danfoss cho TB lạnh GS26CLX</t>
  </si>
  <si>
    <t>HKZCN121D</t>
  </si>
  <si>
    <t>Zacco 12 (ren ngoài) 1 đầu</t>
  </si>
  <si>
    <t>MNKDGS34CLX</t>
  </si>
  <si>
    <t>Máy nén khí Danfoscho TB lạnh GS34CLX</t>
  </si>
  <si>
    <t>HKZCN161D</t>
  </si>
  <si>
    <t>Zacco 16 (ren ngoài) 1 đầu</t>
  </si>
  <si>
    <t>MNKDHML072T4LC6</t>
  </si>
  <si>
    <t>Máy nén khí Danfoss cho thiết bị lạnh HML072T4LC6</t>
  </si>
  <si>
    <t>HKZCN19</t>
  </si>
  <si>
    <t>zacco 19 ( ren ngoài)</t>
  </si>
  <si>
    <t>MNKDHRM060-141.P6</t>
  </si>
  <si>
    <t>Máy nén khi Danfoss cho thiết bị lạnh HRM060-141.P6</t>
  </si>
  <si>
    <t>HKZCT10</t>
  </si>
  <si>
    <t>Zacco 10 (ren trong)</t>
  </si>
  <si>
    <t>HKZCT12</t>
  </si>
  <si>
    <t>Zacco 12 (ren trong)</t>
  </si>
  <si>
    <t>MNKDMT125-4VI</t>
  </si>
  <si>
    <t>Máy nén khí Danfoss cho thiết bị lạnh MT 125 - 4VI</t>
  </si>
  <si>
    <t>HKZCT16</t>
  </si>
  <si>
    <t>Zacco 16 (ren trong)</t>
  </si>
  <si>
    <t>MNKDMT144-4VM</t>
  </si>
  <si>
    <t>Máy nén khí Danfoss cho thiết bị lạnh MT 144 - 4VM</t>
  </si>
  <si>
    <t>HKZCT19</t>
  </si>
  <si>
    <t>Zacco 19 ( ren trong)</t>
  </si>
  <si>
    <t>HKZCTO6</t>
  </si>
  <si>
    <t>Zacco 6 (ren trong)</t>
  </si>
  <si>
    <t>MNKDMT28-5VI</t>
  </si>
  <si>
    <t>Máy nén khí Danfoss cho thiết bị lạnh MT28 - 1 pha - 5VI</t>
  </si>
  <si>
    <t>Cút U</t>
  </si>
  <si>
    <t>CUT19071</t>
  </si>
  <si>
    <t>Cút u 19x0.71</t>
  </si>
  <si>
    <t>MNKDMT56-4VM</t>
  </si>
  <si>
    <t>Máy nén khí Danfoss cho thiết bị lạnh MT56 - 4VM</t>
  </si>
  <si>
    <t>ĐIỀU KHIỂN + LINH KIỆN</t>
  </si>
  <si>
    <t>MNKDMTZ144-4VI</t>
  </si>
  <si>
    <t>Máy nén khí Danfoss cho thiết bị lạnh MTZ 144 - 4VI</t>
  </si>
  <si>
    <t>Phụ kiện đồng khác</t>
  </si>
  <si>
    <t>HKTDKHT6373BC1130</t>
  </si>
  <si>
    <t>Tay điều khiển Honeywell</t>
  </si>
  <si>
    <t>MNKDMTZ160-4VI</t>
  </si>
  <si>
    <t>Máy nén khí Danfoss cho thiết bị lạnh MTZ 160 - 4VI</t>
  </si>
  <si>
    <t>Vật tư hệ thống dàn</t>
  </si>
  <si>
    <t>BDNEKC102A</t>
  </si>
  <si>
    <t>Bộ điều nhiệt EKC 102A (084B8500)</t>
  </si>
  <si>
    <t>MNKDMTZ28-5VI</t>
  </si>
  <si>
    <t>Máy nén khí Danfoss cho thiết bị lạnh MTZ28- 1 pha - 5VI</t>
  </si>
  <si>
    <t>BDNEKC102C</t>
  </si>
  <si>
    <t>Bộ điều nhiệt EKC 102C (084B8502)</t>
  </si>
  <si>
    <t>MNKDMTZ40-4VI</t>
  </si>
  <si>
    <t>Máy nén khí Danfoss cho thiết bị lạnh MTZ 40 - 4VI</t>
  </si>
  <si>
    <t>DAYCBN</t>
  </si>
  <si>
    <t>Dây cảm biến nhiệt độ</t>
  </si>
  <si>
    <t>MNKDMTZ44-4VI</t>
  </si>
  <si>
    <t>Máy nén khí Danfoss cho thiết bị lạnh MTZ 44-4VI</t>
  </si>
  <si>
    <t>MNKDMTZ56-4VI</t>
  </si>
  <si>
    <t>Máy nén khí Danfoss cho thiết bị lạnh MTZ56 - 4VI</t>
  </si>
  <si>
    <t>DHNDS1</t>
  </si>
  <si>
    <t>Đồng hồ nhiệt độ DS1</t>
  </si>
  <si>
    <t>MNKDMTZ56-4VM</t>
  </si>
  <si>
    <t>Máy nén khí Danfoss cho thiết bị lạnh MTZ56- 4VM</t>
  </si>
  <si>
    <t>Các loại Gas khác</t>
  </si>
  <si>
    <t>GA134LON</t>
  </si>
  <si>
    <t>Gas lon 134 TQ</t>
  </si>
  <si>
    <t>Bình</t>
  </si>
  <si>
    <t>MNKDSC15CL</t>
  </si>
  <si>
    <t>máy nén khí Danfoss SC15CL</t>
  </si>
  <si>
    <t>MNKDSC18CL</t>
  </si>
  <si>
    <t>máy nén khí Danfoss SC18CL</t>
  </si>
  <si>
    <t>Gas 410 Chemours</t>
  </si>
  <si>
    <t>Gas lạnh SUVA 410a Dupont (11.34kg/bình)</t>
  </si>
  <si>
    <t>MNKDSC18G</t>
  </si>
  <si>
    <t>Máy nén khí Danfoss cho thiết bị lạnh SC 18G</t>
  </si>
  <si>
    <t>GA410LON</t>
  </si>
  <si>
    <t>Gas lon 410a</t>
  </si>
  <si>
    <t>Chai</t>
  </si>
  <si>
    <t>MNKDSC21CL</t>
  </si>
  <si>
    <t>Máy nén khí Danfoss cho thiết bị lạnh SC 21CL</t>
  </si>
  <si>
    <t>BOMCS</t>
  </si>
  <si>
    <t>Bơm cát sét</t>
  </si>
  <si>
    <t>MNKDSC21G</t>
  </si>
  <si>
    <t>Máy nén khí Danfoss cho thiết bị lạnh SC 21G</t>
  </si>
  <si>
    <t>HKVPBAM</t>
  </si>
  <si>
    <t>Phao bơi âm trần</t>
  </si>
  <si>
    <t>MNKMT50-4VI</t>
  </si>
  <si>
    <t>Máy nén khí Danfoss cho thiết bị lạnh MT 50 - 4VI</t>
  </si>
  <si>
    <t>CÔNG CỤ DỤNG CỤ &amp; VẬT TƯ LẮP ĐẶT</t>
  </si>
  <si>
    <t>MNKSC12CLX</t>
  </si>
  <si>
    <t>máy nén khí Danfoss SC12CLX</t>
  </si>
  <si>
    <t>MNKSM1004VI</t>
  </si>
  <si>
    <t>Máy nén khí Danfoss cho thiết bị lạnh SM 100-4VI</t>
  </si>
  <si>
    <t>Vật tư gas khác</t>
  </si>
  <si>
    <t>DHGCT536G</t>
  </si>
  <si>
    <t>Đồng hồ gas CT 536G kép</t>
  </si>
  <si>
    <t>MNKSM185S4CC</t>
  </si>
  <si>
    <t>Máy nén khí Danfoss SM1854CAI</t>
  </si>
  <si>
    <t>DHGGT536G</t>
  </si>
  <si>
    <t>Đồng hồ gas GT 536G kép</t>
  </si>
  <si>
    <t>Copeland</t>
  </si>
  <si>
    <t>MNKCR30-K6M-PF1-171</t>
  </si>
  <si>
    <t>Máy nén khí cho thiết bị lạnh CR30-K6M-PF1-171(220V240W50Hz)</t>
  </si>
  <si>
    <t>HKDHĐ</t>
  </si>
  <si>
    <t>Đồng Hồ Đơn</t>
  </si>
  <si>
    <t>MNKZB19KQEPJF-558</t>
  </si>
  <si>
    <t>Máy nén khí cho thiết bị lạnh ZB19KQE-PFJ-558(220/240-50hz)</t>
  </si>
  <si>
    <t>HKDHXLR</t>
  </si>
  <si>
    <t>Mặt đồng hồ xanh</t>
  </si>
  <si>
    <t>MNKZB21KQE-PFJ558</t>
  </si>
  <si>
    <t>Máy nén khí cho thiết bị lạnh ZB21KQE-PFJ-558 (220V/240V-50hz)</t>
  </si>
  <si>
    <t>HKĐCGD410</t>
  </si>
  <si>
    <t>Đầu chuyển ga 410, dài</t>
  </si>
  <si>
    <t>HKVDHD</t>
  </si>
  <si>
    <t>Tay đồng hồ nạp gas đơn</t>
  </si>
  <si>
    <t>DHD</t>
  </si>
  <si>
    <t>Mặt đồng hồ đỏ</t>
  </si>
  <si>
    <t>MNKZB26KQPFJ</t>
  </si>
  <si>
    <t>Máy nén khí cho thiết bị lạnh ZB26KQ-PFJ-558(220V24V50Hz)</t>
  </si>
  <si>
    <t>HKDNG</t>
  </si>
  <si>
    <t>Dây nạp gas (conmax)</t>
  </si>
  <si>
    <t>HKDGHS</t>
  </si>
  <si>
    <t>Dây gas Houngsen</t>
  </si>
  <si>
    <t>MNKZB38KQTFD-558</t>
  </si>
  <si>
    <t>Máy nén khí cho TBị Lạnh ZB38KQ-TFD-558(380V420V50Hz)</t>
  </si>
  <si>
    <t>DNG-VALUE-1.5-R410A</t>
  </si>
  <si>
    <t>Dây nạp gas Value R410A -1.5m</t>
  </si>
  <si>
    <t>MNKZB58KQTFD-550</t>
  </si>
  <si>
    <t>Máy nén khí cho thiết bị lạnh ZB58KQ-TFD-550(380V420V50Hz)</t>
  </si>
  <si>
    <t>GĐĐV114x50</t>
  </si>
  <si>
    <t>Gối đỡ đế vuông 114x50</t>
  </si>
  <si>
    <t>MNKZB95KQTFD550</t>
  </si>
  <si>
    <t>Máy nén khí cho thiết bị lạnh ZB95KQ-TFD-550 ( 380V420W50Hz)</t>
  </si>
  <si>
    <t>GDDVAERO2195064</t>
  </si>
  <si>
    <t>Gối đỡ vuông Aerofix 219mmX50mmX64mm</t>
  </si>
  <si>
    <t>MNKZP120KCE-TFD-522</t>
  </si>
  <si>
    <t>Máy nén khí cho thiết bị lạnh ZP120KCE-TFD-522(380V420V50Hz)</t>
  </si>
  <si>
    <t>GDDVAERO2735064</t>
  </si>
  <si>
    <t>Gối đỡ vuông Aerofix 273mmX50mmX64mm</t>
  </si>
  <si>
    <t>MNKZP36K3E-PFJ-522</t>
  </si>
  <si>
    <t>Máy nén khí cho thiết bị lạnh ZP36K3E-PFJ-522(220V420V50Hz)</t>
  </si>
  <si>
    <t>DHNG-VMG-2-R134A-B</t>
  </si>
  <si>
    <t>Bộ đồng hồ nạp gas Value VMG, 2, R134A, B.3 dây nạp gas, ĐK đồng hồ nạp gas: phi 68mm</t>
  </si>
  <si>
    <t>MNKZR108KCTFD-422</t>
  </si>
  <si>
    <t>Máy nén khí cho thiết bị lạnh ZR108KC-TFD-422(380V420V50Hz)</t>
  </si>
  <si>
    <t>HKMHCK4.0CValue115SM</t>
  </si>
  <si>
    <t>Máy hút chân không Value 115SM</t>
  </si>
  <si>
    <t>MNKZR108KCTFD-522</t>
  </si>
  <si>
    <t>Máy nén khí cho thiết bị lạnh ZR108KC-TFD-522(380V420V50Hz)</t>
  </si>
  <si>
    <t>HKMHCK-VE115N-2.0CFMValue</t>
  </si>
  <si>
    <t>Máy hút chân không Value 2CFM.230V/50-60HZ.57l/min.1/4HP.6.6kg</t>
  </si>
  <si>
    <t>MNKZR160KCETFD-422</t>
  </si>
  <si>
    <t>Máy nén khí cho TBị Lạnh ZR160KCE-TFD-422(380V420V50Hz)</t>
  </si>
  <si>
    <t>HKMHCK-VE135N-4CFMValue</t>
  </si>
  <si>
    <t>Máy hút chân không Value 4.0CFM.113l/min.1/3HP-8.0kg</t>
  </si>
  <si>
    <t>MNKZR160KCETFD-522</t>
  </si>
  <si>
    <t>Máy nén khí cho TBị Lạnh ZR160KCE-TFD-522(380V420V50Hz)</t>
  </si>
  <si>
    <t>HKMHCKVI140SV-4C-ĐH-Value</t>
  </si>
  <si>
    <t>Máy hút chân không Value 4.0CFM(loại có đồng hồ và valve).113l/min.1/3HP.8.6kg</t>
  </si>
  <si>
    <t>MNKZR160KC-TFD-422</t>
  </si>
  <si>
    <t>máy nén khí cho thiết bị lạnh ZR160KC-TFD-422(380V/420V50hz)</t>
  </si>
  <si>
    <t>MNKZR160KC-TFD-522</t>
  </si>
  <si>
    <t>máy nén khí cho thiết bị lạnh ZR160KC-TFD-522(380V/420V50hz)</t>
  </si>
  <si>
    <t>HKDCT</t>
  </si>
  <si>
    <t>Dao Cắt To</t>
  </si>
  <si>
    <t>MNKZR160KCTFD-550</t>
  </si>
  <si>
    <t>Máy nén khí cho TBị Lạnh ZR160KC-TFD-550(380V420V50Hz)</t>
  </si>
  <si>
    <t>HKDC-Value-VTC-19</t>
  </si>
  <si>
    <t>Dao Cắt Value. kích cỡ cắt: 3-19mm (dao cắt bé)</t>
  </si>
  <si>
    <t>HKDC-Value-VTC-42</t>
  </si>
  <si>
    <t>Dao Cắt Value.Kích cỡ:6-42mm (dao cắt to)</t>
  </si>
  <si>
    <t>HKDKHQĐ</t>
  </si>
  <si>
    <t>Đèn khò Hàn Quốc- loại đắt</t>
  </si>
  <si>
    <t>MNKZR28K3-PFJ-522</t>
  </si>
  <si>
    <t>Máy nén khí cho TBị Lạnh MNKZR28K3-PFJ-522(220V420V50Hz)</t>
  </si>
  <si>
    <t>TAYHAN13772</t>
  </si>
  <si>
    <t>Tay hàn TQ</t>
  </si>
  <si>
    <t>MNKZR28K3-TFD-522</t>
  </si>
  <si>
    <t>Máy nén khí cho TBị Lạnh MNKZR28K3-TFD-522(380V420V50Hz)</t>
  </si>
  <si>
    <t>HKGĐNG</t>
  </si>
  <si>
    <t>Giá đỡ ngược</t>
  </si>
  <si>
    <t>HKGĐNGTO</t>
  </si>
  <si>
    <t>Giá đỡ ngược to</t>
  </si>
  <si>
    <t>VẬT TƯ ĐIỀU HÒA TỦ LẠNH</t>
  </si>
  <si>
    <t>MNKZR45K3PFJ-522</t>
  </si>
  <si>
    <t>Máy nén khí cho TBị Lạnh ZR45K3-PFJ-522(220V240V50Hz)</t>
  </si>
  <si>
    <t>MNKZR45KC-TFD-522</t>
  </si>
  <si>
    <t>Máy nén khí cho TBị Lạnh MNKZR45KC-TFD-522(380V420V-50Hz)</t>
  </si>
  <si>
    <t>RƠLETGNTMF603AP1</t>
  </si>
  <si>
    <t>Rơ le thời gian mỏng</t>
  </si>
  <si>
    <t>MNKZR47KCTFD-522</t>
  </si>
  <si>
    <t>máy nén khí cho thiết bị lạnh ZR47KC-TFD-522(380V420V-50HZ)</t>
  </si>
  <si>
    <t>TMOCTA2CTWPF8.5070725</t>
  </si>
  <si>
    <t>Tecmocta 2 chân thường</t>
  </si>
  <si>
    <t>MNKZR57KCTFD-522</t>
  </si>
  <si>
    <t>Máy nén khí cho TBị Lạnh ZR57KC-TFD-522(380V420V50Hz)</t>
  </si>
  <si>
    <t>HKV1C</t>
  </si>
  <si>
    <t>Van 1 chiều</t>
  </si>
  <si>
    <t>MNKZR68KCETFD-522</t>
  </si>
  <si>
    <t>Máy nén khí cho TBị Lạnh ZR68KCE-TFD-522(380V420V50Hz)</t>
  </si>
  <si>
    <t>Keo các loại</t>
  </si>
  <si>
    <t>HKKAPOLOA100</t>
  </si>
  <si>
    <t>Keo Apolo A100</t>
  </si>
  <si>
    <t>Tuýp</t>
  </si>
  <si>
    <t>MNKZR72KC-TFD-422</t>
  </si>
  <si>
    <t>Máy nén khí cho TBị Lạnh ZR72KC-TFD-422(380V420V50Hz)</t>
  </si>
  <si>
    <t>MNKZR81KCTFD422</t>
  </si>
  <si>
    <t>Máy nén khí cho thiết bị lạnh ZR81KC-TFD-422(380V420V50Hz)</t>
  </si>
  <si>
    <t>HKATTOMAT30A</t>
  </si>
  <si>
    <t>Attomat 30A</t>
  </si>
  <si>
    <t>MNKZR94KCETFD-522</t>
  </si>
  <si>
    <t>máy nén khí cho thiết bị lạnh ZR94KCE-TFD-522(380V/420V-50HZ)</t>
  </si>
  <si>
    <t>HKATTOMAT32A</t>
  </si>
  <si>
    <t>Attomat 32A</t>
  </si>
  <si>
    <t>MNKZR94KCTFD - 522</t>
  </si>
  <si>
    <t>Máy nén khí cho thiết bị lạnh ZR94KC-TFD-522(380V420V50Hz)</t>
  </si>
  <si>
    <t>HKATTOMAT60A</t>
  </si>
  <si>
    <t>Attomat 60A</t>
  </si>
  <si>
    <t>MNKZR94KCTFD-422</t>
  </si>
  <si>
    <t>máy nén khí cho thiết bị lạnh ZR94KC-TFD-422(380V/420V-50HZ)</t>
  </si>
  <si>
    <t>HKCON</t>
  </si>
  <si>
    <t>Cồn Mefhanol/GB/T683 - 2006</t>
  </si>
  <si>
    <t>Lọ</t>
  </si>
  <si>
    <t>MNKZR94KCTFD-523</t>
  </si>
  <si>
    <t>máy nén khí cho thiết bị lạnh ZR94KC-TFD-523(380V/420V-50HZ)</t>
  </si>
  <si>
    <t>HKCONDT</t>
  </si>
  <si>
    <t>Con dương thường</t>
  </si>
  <si>
    <t>VẬT TƯ DÀN - PHIN/ĐÁ LỌC</t>
  </si>
  <si>
    <t>QCG1.5JL</t>
  </si>
  <si>
    <t>Quạt cắt gió 1.5m (JinLing)</t>
  </si>
  <si>
    <t>QTL</t>
  </si>
  <si>
    <t>Quạt tủ lạnh</t>
  </si>
  <si>
    <t>QUATCOCA</t>
  </si>
  <si>
    <t>Quạt coca</t>
  </si>
  <si>
    <t>HKRLAMTS15A250V</t>
  </si>
  <si>
    <t>Rơ le bình nóng lạnh</t>
  </si>
  <si>
    <t>PHINLDDCL303PHIN10</t>
  </si>
  <si>
    <t>Phin lọc Danfoss DCL 303 phi 10</t>
  </si>
  <si>
    <t>HKVAN1</t>
  </si>
  <si>
    <t>Van cấp 1(Van cấp đơn)</t>
  </si>
  <si>
    <t>PHINLDDCL305</t>
  </si>
  <si>
    <t>Phin lọc Danfoss DCL 305</t>
  </si>
  <si>
    <t>XAMGI</t>
  </si>
  <si>
    <t>Xả máy giặt</t>
  </si>
  <si>
    <t>ZOĂNG XỐP</t>
  </si>
  <si>
    <t>HKZTNC</t>
  </si>
  <si>
    <t>Zoăng tủ+nam châm</t>
  </si>
  <si>
    <t>PHINLDDML306PHIN19</t>
  </si>
  <si>
    <t>Phin lọc Danfoss DML 306 phi 19</t>
  </si>
  <si>
    <t>PHINLDDML306SPHIN10</t>
  </si>
  <si>
    <t>Phin lọc Danfoss DML 306S phi 19</t>
  </si>
  <si>
    <t>PHINLEMERSON048215STD</t>
  </si>
  <si>
    <t>Phin lọc Emerson 048215/EK 305 STD</t>
  </si>
  <si>
    <t>PHINLEMERSON048222</t>
  </si>
  <si>
    <t>Phin lọc Emerson 048222/EK 415 STD</t>
  </si>
  <si>
    <t>PHINLOCDML164</t>
  </si>
  <si>
    <t>Phin lọc Danfoss DML 164 ( 023Z5044 )</t>
  </si>
  <si>
    <t>HKLDL089559</t>
  </si>
  <si>
    <t>Lõi đá lọc Emerson 089559/F-48-STD</t>
  </si>
  <si>
    <t>HKPDHN</t>
  </si>
  <si>
    <t>Phin điều hòa nhỏ</t>
  </si>
  <si>
    <t>HKPT2DT</t>
  </si>
  <si>
    <t>Phin tủ 2 đuôi loại tốt</t>
  </si>
  <si>
    <t>VẬT TƯ DÀN - VAN+KIM+COIL</t>
  </si>
  <si>
    <t>HKKIM2TEX5</t>
  </si>
  <si>
    <t>Kim số 2 tex 5 (067_2790)</t>
  </si>
  <si>
    <t>HKKIM4TEX2</t>
  </si>
  <si>
    <t>Kim số 4 tex 2 ( 068-2007 )</t>
  </si>
  <si>
    <t>HKTVTLT12</t>
  </si>
  <si>
    <t>Thân Van tiết lưu Tex 12</t>
  </si>
  <si>
    <t>HKVTLT02INOX</t>
  </si>
  <si>
    <t>Van tiết lưu Tex 2 inox FME-E283</t>
  </si>
  <si>
    <t>KD3T2</t>
  </si>
  <si>
    <t>Kim số 3 tex 2 Danfoss (068_2006)</t>
  </si>
  <si>
    <t>KD6T12</t>
  </si>
  <si>
    <t>Kim số 6 tex 12 (067B2709)</t>
  </si>
  <si>
    <t>KDT12</t>
  </si>
  <si>
    <t>Kim số 5 tex 12 (067B2708)</t>
  </si>
  <si>
    <t>HKCOIL10</t>
  </si>
  <si>
    <t>Coil Danfoss 10W</t>
  </si>
  <si>
    <t>HKCOIL12</t>
  </si>
  <si>
    <t>Coil Danfoss 12W (đắt tiền)</t>
  </si>
  <si>
    <t>VẬT TƯ DÀN - ROWLE ÁP SUẤT</t>
  </si>
  <si>
    <t>RLASDCKP5</t>
  </si>
  <si>
    <t>Role A/S đơn cao KP5</t>
  </si>
  <si>
    <t>RLASDCTQ</t>
  </si>
  <si>
    <t>Rơ le A/S đơn cao TQ IK30S</t>
  </si>
  <si>
    <t>RLASDTTQ</t>
  </si>
  <si>
    <t>Rơ le A/S đơn thấp TQ IK6S</t>
  </si>
  <si>
    <t>RLAX</t>
  </si>
  <si>
    <t>Rơ le AX</t>
  </si>
  <si>
    <t>RLDCWFS1001H</t>
  </si>
  <si>
    <t>Rơ le A/S dòng chảy</t>
  </si>
  <si>
    <t>Rơ le AS kép</t>
  </si>
  <si>
    <t>Rơ le áp suất kép</t>
  </si>
  <si>
    <t>RASDTKP1</t>
  </si>
  <si>
    <t>Rơ le A/S đơn thấp KP1</t>
  </si>
  <si>
    <t>VẬT TƯ DÀN - MẮT BÁO GAS + BÌNH</t>
  </si>
  <si>
    <t>HKMBG22TQ</t>
  </si>
  <si>
    <t>mắt báo gas 22 TQ</t>
  </si>
  <si>
    <t>HKMBGD10</t>
  </si>
  <si>
    <t>mắt báo gas Danfoss 10 (014-0162)</t>
  </si>
  <si>
    <t>HKMBGD12</t>
  </si>
  <si>
    <t>mắt báo gas Danfoss 12 (014-0163)</t>
  </si>
  <si>
    <t>HKMBGD16</t>
  </si>
  <si>
    <t>mắt báo gas Danfoss 16</t>
  </si>
  <si>
    <t>HKMBGD19</t>
  </si>
  <si>
    <t>Mắt báo gas Danfoss 19</t>
  </si>
  <si>
    <t>HKKHS15</t>
  </si>
  <si>
    <t>Bình ngưng KHS 15</t>
  </si>
  <si>
    <t>DÀN</t>
  </si>
  <si>
    <t>Dàn</t>
  </si>
  <si>
    <t>DANN07C</t>
  </si>
  <si>
    <t>Bộ phận trao đổi nhiệt tủ lạnh 7 cút</t>
  </si>
  <si>
    <t>DANN08C</t>
  </si>
  <si>
    <t>Bộ phận trao đổi nhiệt của tủ lạnh 8 cút</t>
  </si>
  <si>
    <t>DAN8.5</t>
  </si>
  <si>
    <t>Dàn 8.5 cút</t>
  </si>
  <si>
    <t>DAN09</t>
  </si>
  <si>
    <t>Dàn 09 cút</t>
  </si>
  <si>
    <t>DAN11C</t>
  </si>
  <si>
    <t>Dàn 11 Cút</t>
  </si>
  <si>
    <t>DAN2.5HPBLUE</t>
  </si>
  <si>
    <t>Thiết bị làm ngưng tụ 2.5 HP KQ</t>
  </si>
  <si>
    <t>DAN3HPSB</t>
  </si>
  <si>
    <t>Thiết bị làm ngưng tụ 3HP Small Blue (180W/220V)</t>
  </si>
  <si>
    <t>DAN3HPSB2q</t>
  </si>
  <si>
    <t>Thiết bị làm ngưng tụ 3HP Small Blue (180W/220V)-2q</t>
  </si>
  <si>
    <t>DANDN34CQ</t>
  </si>
  <si>
    <t>Thiết bị làm ngưng tụ DN3.4 CQ 8M (33W/220V)</t>
  </si>
  <si>
    <t>DANDN34KQ</t>
  </si>
  <si>
    <t>Thiết bị làm ngưng tụ DN3.4 KQ 8M</t>
  </si>
  <si>
    <t>DANDN44CQ</t>
  </si>
  <si>
    <t>Thiết bị làm ngưng tụ DN4.4 CQ 8M</t>
  </si>
  <si>
    <t>DANDN44KQ</t>
  </si>
  <si>
    <t>Thiết bị làm ngưng tụ DN4.4 KQ 8M</t>
  </si>
  <si>
    <t>DANNONG3HP</t>
  </si>
  <si>
    <t>Dàn nóng 3HP</t>
  </si>
  <si>
    <t>DLTSDD-1.3/7-1p-1300W</t>
  </si>
  <si>
    <t>Dàn lạnh Taisei DD1.3/7-1300W (220v/1p/50hz)</t>
  </si>
  <si>
    <t>DLTSDE0.9/5-1p-900W</t>
  </si>
  <si>
    <t>Dàn lạnh Taisei DE0.9/5-900W(220v/1p/50hz)</t>
  </si>
  <si>
    <t>DLTSDE1.35/7.5-1350W</t>
  </si>
  <si>
    <t>Dàn lạnh Taisei DE1.35/7.5-1350W(220v/1p/50hz)</t>
  </si>
  <si>
    <t>DNTSFNA1.0/4.4-33W</t>
  </si>
  <si>
    <t>Dàn Nóng Taisei FNA1.0/4.4 (33W/220V/50HZ)</t>
  </si>
  <si>
    <t>DNTSFNA1.6/8.4-56W</t>
  </si>
  <si>
    <t>Dàn Nóng Taisei FNA1.6/8.4(56W/220V/50HZ)</t>
  </si>
  <si>
    <t>DNTSFNF2.8/13-3p-2HP</t>
  </si>
  <si>
    <t>Dàn Nóng Taisei FNF2.8-2HP (380v/3p/50hz)</t>
  </si>
  <si>
    <t>DNTSFNF4.4/16.5-2.5HP</t>
  </si>
  <si>
    <t>Dàn Nóng Taisei FNF4.4/16.5-2.5HP(220V/1p/50Hz)</t>
  </si>
  <si>
    <t>VẬT TƯ DÀN - QUẠT + CỦ</t>
  </si>
  <si>
    <t>CUQUATRPG15A</t>
  </si>
  <si>
    <t>Củ quạt RPG 15A-11 15W</t>
  </si>
  <si>
    <t>CUQUATYDKS20PG</t>
  </si>
  <si>
    <t>Củ quạt YDKS 20PG - 4 20W</t>
  </si>
  <si>
    <t>CUQUATYYS15</t>
  </si>
  <si>
    <t>Củ quạt YY S15-4 15W</t>
  </si>
  <si>
    <t>QUATCN</t>
  </si>
  <si>
    <t>Quạt cục nóng</t>
  </si>
  <si>
    <t>HKCQ60W</t>
  </si>
  <si>
    <t>Cánh quạt 60W</t>
  </si>
  <si>
    <t>LQNHO</t>
  </si>
  <si>
    <t>Lồng quạt nhỏ</t>
  </si>
  <si>
    <t>LQTO</t>
  </si>
  <si>
    <t>Lồng quạt to</t>
  </si>
  <si>
    <t>HKQUATDAYHY</t>
  </si>
  <si>
    <t>Quạt tủ đắt( HY-YZF607A- 220V50HZ)</t>
  </si>
  <si>
    <t>QDLHPĐH</t>
  </si>
  <si>
    <t>Quạt dàn lạnh điều hòa</t>
  </si>
  <si>
    <t>VẬT TƯ PHỤ KIỆN</t>
  </si>
  <si>
    <t>RACCAM</t>
  </si>
  <si>
    <t>Rắc Cắm lốc</t>
  </si>
  <si>
    <t>HKVLX12</t>
  </si>
  <si>
    <t>Van lốc xanh 12</t>
  </si>
  <si>
    <t>HKVLX22</t>
  </si>
  <si>
    <t>Van lốc xanh 22</t>
  </si>
  <si>
    <t>HKVLX28</t>
  </si>
  <si>
    <t>Van lốc xanh 28</t>
  </si>
  <si>
    <t>HKVLX35</t>
  </si>
  <si>
    <t>Van lốc xanh 35</t>
  </si>
  <si>
    <t>Rơ le bán dẫn</t>
  </si>
  <si>
    <t>TU40WF</t>
  </si>
  <si>
    <t>Tụ 40 wf</t>
  </si>
  <si>
    <t>VANC10</t>
  </si>
  <si>
    <t>Van chặn 10</t>
  </si>
  <si>
    <t>VANC19</t>
  </si>
  <si>
    <t>Van chặn 19</t>
  </si>
  <si>
    <t>VANCH19</t>
  </si>
  <si>
    <t>Van chặn loại hàn 19</t>
  </si>
  <si>
    <t>VANCH22</t>
  </si>
  <si>
    <t>Van chặn loại hàn 22</t>
  </si>
  <si>
    <t>HKTU20</t>
  </si>
  <si>
    <t>Tụ 20 wf</t>
  </si>
  <si>
    <t>HKTU25</t>
  </si>
  <si>
    <t>Tụ 25 wf</t>
  </si>
  <si>
    <t>HKTU45</t>
  </si>
  <si>
    <t>Tụ 45</t>
  </si>
  <si>
    <t>HKCHECH76</t>
  </si>
  <si>
    <t>Chếch đồng 76</t>
  </si>
  <si>
    <t>HKGĐNTHEPV</t>
  </si>
  <si>
    <t>Giá đỡ nhỏ thép V</t>
  </si>
  <si>
    <t>DANH SÁCH HÀNG D THÁNG 9 (GIÁ CÓ VAT)</t>
  </si>
  <si>
    <t>ARMAFLEX</t>
  </si>
  <si>
    <t>Giá xả</t>
  </si>
  <si>
    <t>BÔNG THỦY TINH</t>
  </si>
  <si>
    <t>HKACPF03512025</t>
  </si>
  <si>
    <t>Arma Chek Silver D0.35X1.2X25 (30M2/ROLL)</t>
  </si>
  <si>
    <t>Cuôn</t>
  </si>
  <si>
    <t>Bông thủy tinh ống</t>
  </si>
  <si>
    <t>BKDH89X30</t>
  </si>
  <si>
    <t>Bông thủy tinh dạng ống 89x30</t>
  </si>
  <si>
    <t>m</t>
  </si>
  <si>
    <t>BTTO43X50CB</t>
  </si>
  <si>
    <t>Bông thuỷ tinh dạng ống 43X50 có bạc</t>
  </si>
  <si>
    <t>sợi</t>
  </si>
  <si>
    <t>Cách nhiệt khác</t>
  </si>
  <si>
    <t>CAOSUGC</t>
  </si>
  <si>
    <t>Cao su giảm chấn dày 15 ly</t>
  </si>
  <si>
    <t>tấm</t>
  </si>
  <si>
    <t>Ống cao su lưu hóa Armaflex Thái Lan 12X19</t>
  </si>
  <si>
    <t>HKBK22x30CB</t>
  </si>
  <si>
    <t>Bông thủy tinh dạng ống 22x30 Có Bạc</t>
  </si>
  <si>
    <t>XỐP ATATA + JFLEX</t>
  </si>
  <si>
    <t>Ống cao su lưu hóa Armaflex Thái Lan Ống 12X19 Class 0 (42S/T)</t>
  </si>
  <si>
    <t>XBOATT114X19</t>
  </si>
  <si>
    <t>Ống cao su lưu hóa 114 X 19 Atata</t>
  </si>
  <si>
    <t>Ống cao su lưu hóa Armaflex Thái Lan 20X13</t>
  </si>
  <si>
    <t>XBOATT67X13</t>
  </si>
  <si>
    <t>Ống cao su lưu hóa 67 X 13 Atata</t>
  </si>
  <si>
    <t>Ống cao su lưu hóa Armaflex Thái Lan Ống 20X19 Class 0 (30S/T)</t>
  </si>
  <si>
    <t>XBOJ010X09</t>
  </si>
  <si>
    <t>Xốp bảo ôn Malaysia J, Flex 10 X 9 (140 sợi/thùng)</t>
  </si>
  <si>
    <t>XBOJ013X09</t>
  </si>
  <si>
    <t>Xốp bảo ôn Malaysia J, Flex 13 X 9 (120 sợi/thùng)</t>
  </si>
  <si>
    <t>XBOJ016X09</t>
  </si>
  <si>
    <t>Xốp bảo ôn Malaysia J, Flex 16 X 9 (100 sợi/thùng)</t>
  </si>
  <si>
    <t>Ống cao su lưu hóa Armaflex Thái Lan Ống 28X13 Class 0 (36S/T)</t>
  </si>
  <si>
    <t>HÀNG HÓA CÁCH NHIỆT</t>
  </si>
  <si>
    <t>Ống cao su lưu hóa Armaflex Thái Lan 28X19</t>
  </si>
  <si>
    <t>Ống cao su lưu hóa Armaflex Thái Lan Ống 28X19 Class 0 (25S/T)</t>
  </si>
  <si>
    <t>ZBOA035091</t>
  </si>
  <si>
    <t>Zoăng bảo ôn Aeroflex bản 3mmx50mmx9.1m</t>
  </si>
  <si>
    <t>Ống cao su lưu hóa Armaflex Thái Lan Ống 28X25 Class 0 (16S/T)</t>
  </si>
  <si>
    <t>ZBOSDT0548914</t>
  </si>
  <si>
    <t>Zoăng bảo ôn Superlon bản 5mmx48mmx9.14 (dạng túi)</t>
  </si>
  <si>
    <t>Ống cao su lưu hóa Armaflex Thái Lan 28X32</t>
  </si>
  <si>
    <t>Ống cao su lưu hóa Armaflex Thái Lan Ống 32X9 Class 0 (42S/T)</t>
  </si>
  <si>
    <t>Ống cao su lưu hóa Armaflex Thái Lan 32X19</t>
  </si>
  <si>
    <t>DẦU SUNISO</t>
  </si>
  <si>
    <t>Ống cao su lưu hóa Armaflex Thái Lan 35X13</t>
  </si>
  <si>
    <t>Ống cao su lưu hóa Armaflex Thái Lan Ống 35X13 Class 0 (29S/T)</t>
  </si>
  <si>
    <t>DAU4GSCN</t>
  </si>
  <si>
    <t>Dầu Suniso 4GS (3.78l/can nhựa)</t>
  </si>
  <si>
    <t>Can</t>
  </si>
  <si>
    <t>Ống cao su lưu hóa Armaflex Thái Lan Ống 35X25 Class 0 (15S/T)</t>
  </si>
  <si>
    <t>HKBTLPHI12</t>
  </si>
  <si>
    <t>Bình tách dầu lỏng phi 12</t>
  </si>
  <si>
    <t>Ống cao su lưu hóa Armaflex Thái Lan 35X38</t>
  </si>
  <si>
    <t>Ống cao su lưu hóa Armaflex Thái Lan 48X19</t>
  </si>
  <si>
    <t>Ống cao su lưu hóa Armaflex Thái Lan Ống 48X19 Class 0 (15S/T)</t>
  </si>
  <si>
    <t>Ống cao su lưu hóa Armaflex Thái Lan 48X38</t>
  </si>
  <si>
    <t>Ống cao su lưu hóa Armaflex Thái Lan 60X13</t>
  </si>
  <si>
    <t>Ống cao su lưu hóa Armaflex Thái Lan Ống 60X13 Class 0 (18S/T)</t>
  </si>
  <si>
    <t>Ống cao su lưu hóa Armaflex Thái Lan 60X38</t>
  </si>
  <si>
    <t>Ống cao su lưu hóa Armaflex Thái Lan Ống 60X40 Class 0 (5S/T)</t>
  </si>
  <si>
    <t>Ống cao su lưu hóa Armaflex Thái Lan Ống 76X50 Class 0 (2S/T)</t>
  </si>
  <si>
    <t>Ống cao su lưu hóa Armaflex Thái Lan Ống 89X13 Class 0 (12S/T)</t>
  </si>
  <si>
    <t>Ống cao su lưu hóa Armaflex Thái Lan 89X50</t>
  </si>
  <si>
    <t>Ống cao su lưu hóa Armaflex Thái Lan Ống 89X50 Class 0 (2S/T)</t>
  </si>
  <si>
    <t>Ống cao su lưu hóa Armaflex Thái Lan 114X38</t>
  </si>
  <si>
    <t>Ống cao su lưu hóa Armaflex FRV Thái Lan Ống 6X19</t>
  </si>
  <si>
    <t>Ống cao su lưu hóa Armaflex FRV Thái Lan Ống 12X19</t>
  </si>
  <si>
    <t>Ống cao su lưu hóa Armaflex FRV Thái Lan Ống 20X25</t>
  </si>
  <si>
    <t>Ống cao su lưu hóa Armaflex FRV Thái Lan Ống 22X13</t>
  </si>
  <si>
    <t>Ống cao su lưu hóa Armaflex FRV Thái Lan Ống 22X19</t>
  </si>
  <si>
    <t>Ống cao su lưu hóa Armaflex FRV Thái Lan Ống 22X25</t>
  </si>
  <si>
    <t>Ống cao su lưu hóa Armaflex FRV Thái Lan Ống 28X13</t>
  </si>
  <si>
    <t>Ống cao su lưu hóa Armaflex FRV Thái Lan Ống 28X19</t>
  </si>
  <si>
    <t>Ống cao su lưu hóa Armaflex FRV Thái Lan Ống 35X13</t>
  </si>
  <si>
    <t>Ống cao su lưu hóa Armaflex FRV Thái Lan Ống 35X25</t>
  </si>
  <si>
    <t>Ống cao su lưu hóa Armaflex FRV Thái Lan Ống 42X13</t>
  </si>
  <si>
    <t>Ống cao su lưu hóa Armaflex FRV Thái Lan Ống 42X19</t>
  </si>
  <si>
    <t>Ống cao su lưu hóa Armaflex FRV Thái Lan Ống 48X13</t>
  </si>
  <si>
    <t>Ống cao su lưu hóa Armaflex FRV Thái Lan Ống 60X13</t>
  </si>
  <si>
    <t>Ống cao su lưu hóa Armaflex FRV Thái Lan Ống 73X13</t>
  </si>
  <si>
    <t>Ống cao su lưu hóa Armaflex FRV Thái Lan Ống 89X50</t>
  </si>
  <si>
    <t>XTA1312208</t>
  </si>
  <si>
    <t>Tấm cao su lưu hóa Armaflex Thái Lan D13X1.22X8</t>
  </si>
  <si>
    <t>XTA251202C0BD</t>
  </si>
  <si>
    <t>Tấm cao su lưu hóa Armaflex D25X1.2X2 Class 0 - bạc + dính</t>
  </si>
  <si>
    <t>XTA2512204BD</t>
  </si>
  <si>
    <t>Tấm cao su lưu hóa Armaflex Thái Lan D25 X1.22X4 - Bạc + Dính</t>
  </si>
  <si>
    <t>XTA3212203D</t>
  </si>
  <si>
    <t>Tấm cao su lưu hóa Armaflex Thái Lan D32X1.22X3 - Dính</t>
  </si>
  <si>
    <t>XTAF2512204</t>
  </si>
  <si>
    <t>Tấm cao su lưu hóa Armaflex FRV Thái Lan D25X1.22X4</t>
  </si>
  <si>
    <t>Kính gửi: QUÝ ĐẠI LÝ</t>
  </si>
  <si>
    <t>Số chương trình:</t>
  </si>
  <si>
    <t>CSBH 07.01.07</t>
  </si>
  <si>
    <t>Hiệu lực: từ ngày 01.07.2021 đến khi có thông báo mới</t>
  </si>
  <si>
    <t>Ngành hàng:</t>
  </si>
  <si>
    <t>VẬT TƯ ĐỒNG</t>
  </si>
  <si>
    <t>Phạm vi thực hiện: Miền Bắc, Trung, Nam</t>
  </si>
  <si>
    <t>Bộ phận thực hiện</t>
  </si>
  <si>
    <t>PKD MB+MTr+MN</t>
  </si>
  <si>
    <t>Công ty cổ phần cơ điện lạnh Hoàng Đạt xin trân trọng gửi tới quý đại lý chương trình bán hàng chi tiết như sau:</t>
  </si>
  <si>
    <t>NỐI ĐỒNG</t>
  </si>
  <si>
    <t>ĐG Cái</t>
  </si>
  <si>
    <t>TÊ ĐỒNG</t>
  </si>
  <si>
    <t>THU ĐỒNG</t>
  </si>
  <si>
    <t>HKNOI12</t>
  </si>
  <si>
    <t>HKTE6</t>
  </si>
  <si>
    <t>HKTHU1210</t>
  </si>
  <si>
    <t xml:space="preserve"> 12, 10</t>
  </si>
  <si>
    <t>HKNOI16</t>
  </si>
  <si>
    <t>HKTE10</t>
  </si>
  <si>
    <t>HKTHU126</t>
  </si>
  <si>
    <t xml:space="preserve"> 12, 6</t>
  </si>
  <si>
    <t>HKNOI19</t>
  </si>
  <si>
    <t>HKTE12</t>
  </si>
  <si>
    <t>HKTHU1610</t>
  </si>
  <si>
    <t xml:space="preserve"> 16, 10</t>
  </si>
  <si>
    <t>HKNOI22</t>
  </si>
  <si>
    <t>HKTE16</t>
  </si>
  <si>
    <t>HKTHU1612</t>
  </si>
  <si>
    <t xml:space="preserve"> 16, 12</t>
  </si>
  <si>
    <t>HKNOI25</t>
  </si>
  <si>
    <t>HKTE19</t>
  </si>
  <si>
    <t>HKTHU1910</t>
  </si>
  <si>
    <t xml:space="preserve"> 19, 10</t>
  </si>
  <si>
    <t>HKNOI28</t>
  </si>
  <si>
    <t>HKTE22</t>
  </si>
  <si>
    <t>HKTHU1912</t>
  </si>
  <si>
    <t xml:space="preserve"> 19, 12</t>
  </si>
  <si>
    <t>HKTE25</t>
  </si>
  <si>
    <t>HKTHU1916</t>
  </si>
  <si>
    <t xml:space="preserve"> 19, 16</t>
  </si>
  <si>
    <t>CO ĐỒNG</t>
  </si>
  <si>
    <t>HKTE28</t>
  </si>
  <si>
    <t>HKTHU2210</t>
  </si>
  <si>
    <t xml:space="preserve"> 22, 10</t>
  </si>
  <si>
    <t>HKCOD16</t>
  </si>
  <si>
    <t>HKTE32</t>
  </si>
  <si>
    <t>HKTHU2212</t>
  </si>
  <si>
    <t xml:space="preserve"> 22, 12</t>
  </si>
  <si>
    <t>HKTE35</t>
  </si>
  <si>
    <t>HKTHU2216</t>
  </si>
  <si>
    <t xml:space="preserve"> 22, 16</t>
  </si>
  <si>
    <t>HKTE38</t>
  </si>
  <si>
    <t>HKTHU2219</t>
  </si>
  <si>
    <t xml:space="preserve"> 22, 19</t>
  </si>
  <si>
    <t>HKCU16D</t>
  </si>
  <si>
    <t>Cút U 16 dày (NM)</t>
  </si>
  <si>
    <t>HKTE42</t>
  </si>
  <si>
    <t>HKTHU2516</t>
  </si>
  <si>
    <t xml:space="preserve"> 25, 16</t>
  </si>
  <si>
    <t>HKZCN10</t>
  </si>
  <si>
    <t>Zacco 10 (ren ngoài)</t>
  </si>
  <si>
    <t>HKTE54</t>
  </si>
  <si>
    <t>HKTHU2519</t>
  </si>
  <si>
    <t xml:space="preserve"> 25, 19</t>
  </si>
  <si>
    <t>TE67</t>
  </si>
  <si>
    <t>HKTHU2522</t>
  </si>
  <si>
    <t xml:space="preserve"> 25, 22</t>
  </si>
  <si>
    <t>HKZCN12</t>
  </si>
  <si>
    <t>Zacco 12 (ren ngoài)</t>
  </si>
  <si>
    <t>TE76</t>
  </si>
  <si>
    <t>HKTHU2812</t>
  </si>
  <si>
    <t xml:space="preserve"> 28, 12</t>
  </si>
  <si>
    <t>TE108</t>
  </si>
  <si>
    <t>HKTHU2816</t>
  </si>
  <si>
    <t xml:space="preserve"> 28, 16</t>
  </si>
  <si>
    <t>HKTHU2819</t>
  </si>
  <si>
    <t xml:space="preserve"> 28, 19</t>
  </si>
  <si>
    <t>TÊ THU</t>
  </si>
  <si>
    <t>HKTHU2822</t>
  </si>
  <si>
    <t xml:space="preserve"> 28, 22</t>
  </si>
  <si>
    <t>HKZCN16</t>
  </si>
  <si>
    <t>Zacco 16 (ren ngoài)</t>
  </si>
  <si>
    <t>HKTTHU2816</t>
  </si>
  <si>
    <t>HKTHU2825</t>
  </si>
  <si>
    <t xml:space="preserve"> 28, 25</t>
  </si>
  <si>
    <t>HKTTHU6754</t>
  </si>
  <si>
    <t xml:space="preserve"> 67, 54</t>
  </si>
  <si>
    <t>HKTTHU3222</t>
  </si>
  <si>
    <t xml:space="preserve"> 32, 22</t>
  </si>
  <si>
    <t>HKTTHU4235</t>
  </si>
  <si>
    <t xml:space="preserve"> 42, 35</t>
  </si>
  <si>
    <t>HKTHU3225</t>
  </si>
  <si>
    <t xml:space="preserve"> 32, 25</t>
  </si>
  <si>
    <t>HKTTHU4228</t>
  </si>
  <si>
    <t xml:space="preserve"> 42, 28</t>
  </si>
  <si>
    <t>HKTHU3228</t>
  </si>
  <si>
    <t xml:space="preserve"> 32, 28</t>
  </si>
  <si>
    <t>HKZCNO6</t>
  </si>
  <si>
    <t>Zacco 6 (ren ngoài)</t>
  </si>
  <si>
    <t>HKTTHU7642</t>
  </si>
  <si>
    <t xml:space="preserve"> 76, 42</t>
  </si>
  <si>
    <t>HKTHU3512</t>
  </si>
  <si>
    <t xml:space="preserve"> 35 , 12</t>
  </si>
  <si>
    <t>HKTTHU5442</t>
  </si>
  <si>
    <t xml:space="preserve"> 54, 42</t>
  </si>
  <si>
    <t>HKTHU3516</t>
  </si>
  <si>
    <t xml:space="preserve"> 35, 16</t>
  </si>
  <si>
    <t>HKTTHU1610</t>
  </si>
  <si>
    <t>HKTHU3519</t>
  </si>
  <si>
    <t xml:space="preserve"> 35, 19</t>
  </si>
  <si>
    <t>HKTTHU1210</t>
  </si>
  <si>
    <t>HKTHU3522</t>
  </si>
  <si>
    <t xml:space="preserve"> 35, 22</t>
  </si>
  <si>
    <t>HKTHU3528</t>
  </si>
  <si>
    <t xml:space="preserve"> 35, 28</t>
  </si>
  <si>
    <t>HKTHU3825</t>
  </si>
  <si>
    <t xml:space="preserve"> 38, 25</t>
  </si>
  <si>
    <t>HKTHU3832</t>
  </si>
  <si>
    <t xml:space="preserve"> 38, 32</t>
  </si>
  <si>
    <t>HKTHU38-35</t>
  </si>
  <si>
    <t xml:space="preserve"> 38, 35</t>
  </si>
  <si>
    <t>HKTHU4216</t>
  </si>
  <si>
    <t xml:space="preserve"> 42, 16</t>
  </si>
  <si>
    <t>HKTHU4219</t>
  </si>
  <si>
    <t xml:space="preserve"> 42, 19</t>
  </si>
  <si>
    <t>HKTHU4222</t>
  </si>
  <si>
    <t xml:space="preserve"> 42, 22</t>
  </si>
  <si>
    <t>HKTHU4228</t>
  </si>
  <si>
    <t>HKTHU4235</t>
  </si>
  <si>
    <t>HKTHU4238</t>
  </si>
  <si>
    <t xml:space="preserve"> 42, 38</t>
  </si>
  <si>
    <t>HKTHU5428</t>
  </si>
  <si>
    <t xml:space="preserve"> 54, 28</t>
  </si>
  <si>
    <t>HKTHU5435</t>
  </si>
  <si>
    <t xml:space="preserve"> 54, 35</t>
  </si>
  <si>
    <t>HKTHU5442</t>
  </si>
  <si>
    <t>HKTHU6719</t>
  </si>
  <si>
    <t xml:space="preserve"> 67, 19</t>
  </si>
  <si>
    <t>HKTHU6728</t>
  </si>
  <si>
    <t xml:space="preserve"> 67, 28</t>
  </si>
  <si>
    <t>HKTHU6742</t>
  </si>
  <si>
    <t xml:space="preserve"> 67, 42</t>
  </si>
  <si>
    <t>HKTHU6754</t>
  </si>
  <si>
    <t>HKTHU7642</t>
  </si>
  <si>
    <t>HKTHU7667</t>
  </si>
  <si>
    <t xml:space="preserve"> 76, 67</t>
  </si>
  <si>
    <t>HKTHU7954</t>
  </si>
  <si>
    <t xml:space="preserve"> 79, 54</t>
  </si>
  <si>
    <t>DANH SÁCH CÔNG TRÌNH 2020</t>
  </si>
  <si>
    <t>Mã công trình</t>
  </si>
  <si>
    <t>Tên công trình</t>
  </si>
  <si>
    <t>Địa chỉ</t>
  </si>
  <si>
    <t>Loại DA</t>
  </si>
  <si>
    <t>A1BD0030</t>
  </si>
  <si>
    <t>Nhà kho mở rộng Lotte</t>
  </si>
  <si>
    <t>Đường Võ Minh Đức, phường Phú Thọ, Thủ Dầu 1 Bình Dương</t>
  </si>
  <si>
    <t>Nhà máy</t>
  </si>
  <si>
    <t>A1BD0046</t>
  </si>
  <si>
    <t>Nhà máy Nitto Denko phase 4</t>
  </si>
  <si>
    <t>Số 6 VSIP, Đường số 3, Khu công nghiệp Việt Nam, Singapore, Phường Bình Hòa, TX Thuận An, Bình Dương</t>
  </si>
  <si>
    <t>A1BD0054</t>
  </si>
  <si>
    <t>Nhà Máy Nitto Phase 5</t>
  </si>
  <si>
    <t>KCN Vsip , BÌnh Dương</t>
  </si>
  <si>
    <t>A1BG0024</t>
  </si>
  <si>
    <t>Nhà máy SAMKWANG VINA</t>
  </si>
  <si>
    <t>Khu công nghiệp Quang Châu- huyện Việt Yên- tỉnh Bắc Giang</t>
  </si>
  <si>
    <t>A1BG0051</t>
  </si>
  <si>
    <t>Nhà máy Luxshare KCN Vân Trung</t>
  </si>
  <si>
    <t>KCN Vân Trung -Bắc Giang</t>
  </si>
  <si>
    <t>A1BG0065</t>
  </si>
  <si>
    <t>Khu Nhà Ở Fuji Bắc Giang</t>
  </si>
  <si>
    <t>Thôn Chiền , Xã Nội Hoàng , Huyện Yên DŨng , Tỉnh Bắc Giang</t>
  </si>
  <si>
    <t>Building</t>
  </si>
  <si>
    <t>A1BN0007</t>
  </si>
  <si>
    <t>Nhà máy Nutricare</t>
  </si>
  <si>
    <t>Khu công nghiệp Thuận Thành III, huyện Thuận Thành tỉnh Bắc Ninh</t>
  </si>
  <si>
    <t>A1BN0017</t>
  </si>
  <si>
    <t>Nhà máy chiếu xạ An Phú</t>
  </si>
  <si>
    <t>Kcn Vsip Bắc Ninh</t>
  </si>
  <si>
    <t>A1BN0018</t>
  </si>
  <si>
    <t>Nhà máy Nokwon</t>
  </si>
  <si>
    <t>KCN Quế Võ, Bắc Ninh</t>
  </si>
  <si>
    <t>A1BN0025</t>
  </si>
  <si>
    <t>Nhà máy LS Mtron</t>
  </si>
  <si>
    <t>địa chi: KCN Vsip Bắc Ninh</t>
  </si>
  <si>
    <t>A1BN0028</t>
  </si>
  <si>
    <t>Nhà máy Suntory Pepsico Bắc Ninh</t>
  </si>
  <si>
    <t>KCN Vsip Bắc Ninh</t>
  </si>
  <si>
    <t>A1BN0058</t>
  </si>
  <si>
    <t>DABACO Bắc Ninh</t>
  </si>
  <si>
    <t>TP Băc Ninh , Tỉnh Bắc Ninh</t>
  </si>
  <si>
    <t>A1BN0067</t>
  </si>
  <si>
    <t>Nhà máy Việt Nam Buwon</t>
  </si>
  <si>
    <t>KCN Khai Sơn , Huyện Thuận Thành , Bắc Ninh</t>
  </si>
  <si>
    <t>A1BP0050</t>
  </si>
  <si>
    <t>Trường chính trị Tỉnh Bình Phước</t>
  </si>
  <si>
    <t>Huyện Phú Riềng, Tỉnh Bình Phước</t>
  </si>
  <si>
    <t>Trường học</t>
  </si>
  <si>
    <t>A1CT0056</t>
  </si>
  <si>
    <t>SHB Cần Thơ</t>
  </si>
  <si>
    <t>16-18 Đại lộ Hòa Bình , Ninh Kiều , Cần Thơ</t>
  </si>
  <si>
    <t>A1CT0057</t>
  </si>
  <si>
    <t>Bệnh Viện Đa Khoa Cần Thơ</t>
  </si>
  <si>
    <t>04 Đường Châu Văn Liêm , An Lạc , Ninh Kiều, Cần Thơ</t>
  </si>
  <si>
    <t>Bệnh Viện</t>
  </si>
  <si>
    <t>A1ĐN0013</t>
  </si>
  <si>
    <t>Khách sạn Hillton</t>
  </si>
  <si>
    <t>đường Bạch Đằng, Quận Hải Châu, TP Đà Nẵng.</t>
  </si>
  <si>
    <t>Khách sạn</t>
  </si>
  <si>
    <t>A1ĐN0021</t>
  </si>
  <si>
    <t>Nhà máy NIHON KOLMAR</t>
  </si>
  <si>
    <t>KCN Long Đức, Đồng Nai</t>
  </si>
  <si>
    <t>A1ĐN0026</t>
  </si>
  <si>
    <t>Nhà máy Nisshin Premix</t>
  </si>
  <si>
    <t>Khu công nghiệp Amata, Đồng Nai</t>
  </si>
  <si>
    <t>A1ĐN0040</t>
  </si>
  <si>
    <t>Nhà máy Hisamitsu</t>
  </si>
  <si>
    <t>Số 14,15, đường 2A, KCN Biên Hòa 2, Phường An Bình, Thành phố Biên Hoà, Đồng Nai</t>
  </si>
  <si>
    <t>A1HA0003</t>
  </si>
  <si>
    <t>nhà máy Parker</t>
  </si>
  <si>
    <t>KCN Đồng Văn 3- Hà Nam</t>
  </si>
  <si>
    <t>A1HA0006</t>
  </si>
  <si>
    <t>Nhà máy Artpresto Việt Nam</t>
  </si>
  <si>
    <t>Khu CN Châu Sơn Hà Nam</t>
  </si>
  <si>
    <t>A1HA0023</t>
  </si>
  <si>
    <t>Nhà máy Aiwado</t>
  </si>
  <si>
    <t>KcN Đồng Văn 2, Hà Nam</t>
  </si>
  <si>
    <t>A1HA0032</t>
  </si>
  <si>
    <t>Nhà máy Kyosha</t>
  </si>
  <si>
    <t>Lô CN 04+08, Khu công nghiệp Đồng Văn III, Xã Hoàng Đông, Huyện Duy Tiên, Tỉnh Hà Nam</t>
  </si>
  <si>
    <t>A1HA0033</t>
  </si>
  <si>
    <t>Nhà máy KORTEK VINA</t>
  </si>
  <si>
    <t>khu công nghiêp Đồng Văn IV, Xã Đại Cương, Huyện Kim Bảng, Tỉnh Hà Nam</t>
  </si>
  <si>
    <t>A1HA0042</t>
  </si>
  <si>
    <t>Nhà máy Teijin</t>
  </si>
  <si>
    <t>KCN Đồng Văn 3, Hà Nam</t>
  </si>
  <si>
    <t>A1HA0047</t>
  </si>
  <si>
    <t>Nhà máy ACE ANTENNA A</t>
  </si>
  <si>
    <t>KCN Đồng Văn 2 – Tỉnh Hà Nam.</t>
  </si>
  <si>
    <t>A1HA0059</t>
  </si>
  <si>
    <t>Nhà Máy YURA HARNESS</t>
  </si>
  <si>
    <t>KCN Châu Sơn , Hà Nam</t>
  </si>
  <si>
    <t>A1HD0008</t>
  </si>
  <si>
    <t>Nhà máy Regent Garment</t>
  </si>
  <si>
    <t>KCN Lai Vu, huyện Kim Thành, tỉnh Hải Dương</t>
  </si>
  <si>
    <t>A1HD0011</t>
  </si>
  <si>
    <t>nhà máy Kefico Hải Dương</t>
  </si>
  <si>
    <t>KCN Đại An, Hải Dương</t>
  </si>
  <si>
    <t>A1HD0031</t>
  </si>
  <si>
    <t>Nhà máy LMS Vina</t>
  </si>
  <si>
    <t>Kcn Đại An Hải Dương</t>
  </si>
  <si>
    <t>A1HD0034</t>
  </si>
  <si>
    <t>An Phát building</t>
  </si>
  <si>
    <t>KCN An Phát, Hải Dương</t>
  </si>
  <si>
    <t>A1HD0041</t>
  </si>
  <si>
    <t>Trung tâm văn hóa Hải Dương</t>
  </si>
  <si>
    <t>8 Hồng Quang, P. Quang Trung, Thành phố Hải Dương, Hải Dương</t>
  </si>
  <si>
    <t>A1HD0066</t>
  </si>
  <si>
    <t>Nhà Máy IRISO Electronics VN</t>
  </si>
  <si>
    <t>KCN Tân Trường , Cẩm Giàng , Hải Dương</t>
  </si>
  <si>
    <t>A1HN0010</t>
  </si>
  <si>
    <t>nhà máy GMP TOP QUEEN</t>
  </si>
  <si>
    <t>Hai Bà Trưng-HN</t>
  </si>
  <si>
    <t>A1HN0015</t>
  </si>
  <si>
    <t>Starlake Hồ Tây</t>
  </si>
  <si>
    <t>khu ngoại giao đoàn, Nam Từ Liêm, Hà Nội</t>
  </si>
  <si>
    <t>Khu đô thị</t>
  </si>
  <si>
    <t>A1HN0016</t>
  </si>
  <si>
    <t>Liễu Giai Tower</t>
  </si>
  <si>
    <t>26 Liễu Giai-HN</t>
  </si>
  <si>
    <t>A1HN0036</t>
  </si>
  <si>
    <t>Nhà máy KISHIRO</t>
  </si>
  <si>
    <t>Lô 55, Khu Công nghiệp Nội Bài, Xã Quang Tiến, Huyện Sóc Sơn, Hà Nội</t>
  </si>
  <si>
    <t>A1HN0043</t>
  </si>
  <si>
    <t>ECOHOME 3</t>
  </si>
  <si>
    <t>Xã Đông Ngạc, quận Bắc Từ Liêm, thành phố Hà Nội</t>
  </si>
  <si>
    <t>A1HN0044</t>
  </si>
  <si>
    <t>Nhà máy Meiko Thạch Thất</t>
  </si>
  <si>
    <t>Lô CN9, khu Công nghiệp Thạch Thất - Quốc Oai, xã Phùng Xá, huyện Thạch Thất, Hà Nội,</t>
  </si>
  <si>
    <t>A1HN0049</t>
  </si>
  <si>
    <t>Bệnh viện Sơn Tây</t>
  </si>
  <si>
    <t>Sơn Tây, Hà Nội</t>
  </si>
  <si>
    <t>A1HN0053</t>
  </si>
  <si>
    <t>Viện khoa học và công nghệ Việt Nam - Hàn Quốc</t>
  </si>
  <si>
    <t>KCN Cao Láng Hòa Lạc - Thạch Thất - HN</t>
  </si>
  <si>
    <t>A1HP0019</t>
  </si>
  <si>
    <t>Cát Bà Resort</t>
  </si>
  <si>
    <t>Cát Bà, Hải Phòng</t>
  </si>
  <si>
    <t>A1HP0029</t>
  </si>
  <si>
    <t>Nhà máy PHA</t>
  </si>
  <si>
    <t>KCN Deep C Hải phòng</t>
  </si>
  <si>
    <t>A1HP0035</t>
  </si>
  <si>
    <t>Nhà máy JCV</t>
  </si>
  <si>
    <t>KCN Tràng Duệ, An Dương, Hải Phòng</t>
  </si>
  <si>
    <t>A1HP0038</t>
  </si>
  <si>
    <t>Nhà máy SUHIL VINA</t>
  </si>
  <si>
    <t>Lô đất CN 1B, Khu công nghiệp Deep C 2B, thuộc Khu kinh tế Đ, Phường Đông Hải 2, Quận Hải An, Hải Phòng</t>
  </si>
  <si>
    <t>A1HP0052</t>
  </si>
  <si>
    <t>Nhà máy Kyocera C</t>
  </si>
  <si>
    <t>KCN VSIP Hải Phòng</t>
  </si>
  <si>
    <t>A1HY0004</t>
  </si>
  <si>
    <t>Nhà máy Tsukuba</t>
  </si>
  <si>
    <t>KCN phố Nối, Hưng Yên</t>
  </si>
  <si>
    <t>A1HY0009</t>
  </si>
  <si>
    <t>nhà máy Kyocera Hưng Yên</t>
  </si>
  <si>
    <t>KCN Thăng Long 2- Hưng Yên</t>
  </si>
  <si>
    <t>A1HY0014</t>
  </si>
  <si>
    <t>Nhà máy ASAHI KASEI ADVANCE</t>
  </si>
  <si>
    <t>Lô đất số J3&amp;4, Khu công nghiệp Thăng Long II, Xã Dị Sử, Huyện Mỹ Hào, Hưng Yên, Việt Nam</t>
  </si>
  <si>
    <t>A1HY0062</t>
  </si>
  <si>
    <t>Nhà Máy Toto 4</t>
  </si>
  <si>
    <t>A1NB0022</t>
  </si>
  <si>
    <t>Nhà máy JTTUBE</t>
  </si>
  <si>
    <t>cụm cn Cầu Yên_ Ninh Bình</t>
  </si>
  <si>
    <t>A1NB0045</t>
  </si>
  <si>
    <t>INTERCONNECT POWER &amp; SIGNAL</t>
  </si>
  <si>
    <t>KCN PHÚC SƠN - NINH BÌNH</t>
  </si>
  <si>
    <t>A1PT0061</t>
  </si>
  <si>
    <t>Trụ sở quân khu 2</t>
  </si>
  <si>
    <t>Việt Trì, Phú Thọ</t>
  </si>
  <si>
    <t>A1PT0064</t>
  </si>
  <si>
    <t>Nhà Máy JNTC</t>
  </si>
  <si>
    <t>KCN Thụy Vân , Phú Thọ</t>
  </si>
  <si>
    <t>A1SG0012</t>
  </si>
  <si>
    <t>Bệnh viện Nhi đồng Sài Gòn</t>
  </si>
  <si>
    <t>341 Sư Vạn Hạnh, Phường 10, Quận 10, Hồ Chí Minh</t>
  </si>
  <si>
    <t>A1SG0020</t>
  </si>
  <si>
    <t>Topaz Elite</t>
  </si>
  <si>
    <t>Khu chung cư Topaz City, đường Cao Lỗ, quận 8, TPHCM</t>
  </si>
  <si>
    <t>A1SG0027</t>
  </si>
  <si>
    <t>Cao ốc văn phòng 152 Điện Biên Phủ</t>
  </si>
  <si>
    <t>số 152 điện biên phủ phường 25 quận bình thạnh</t>
  </si>
  <si>
    <t>A1SG0063</t>
  </si>
  <si>
    <t>Nhà Máy SamSung HCM</t>
  </si>
  <si>
    <t>Quận 9 - HCM</t>
  </si>
  <si>
    <t>A1TB0037</t>
  </si>
  <si>
    <t>Nhà máy may Việt Trí</t>
  </si>
  <si>
    <t>Quỳnh Côi, Thái Bình</t>
  </si>
  <si>
    <t>A1TB0060</t>
  </si>
  <si>
    <t>Nhà Máy TOYODA GOSEI</t>
  </si>
  <si>
    <t>KCN Tiền Hải Tỉnh Thái BÌnh</t>
  </si>
  <si>
    <t>A1TN0048</t>
  </si>
  <si>
    <t>NHÀ MÁY YOUNG DIECASTING VIỆT NAM</t>
  </si>
  <si>
    <t>Lô CN2, Khu công nghiệp Điềm Thụy (Khu A), Xã Điềm Thụy, Huyện Phú Bình, Tỉnh Thái Nguyên</t>
  </si>
  <si>
    <t>A1VP0001</t>
  </si>
  <si>
    <t>Nhà máy FUTABA</t>
  </si>
  <si>
    <t>KCN Thắng Long 3- Vĩnh Phúc</t>
  </si>
  <si>
    <t>A1VP0002</t>
  </si>
  <si>
    <t>Nhà máy DAIWA PLASTIC</t>
  </si>
  <si>
    <t>KCN Thăng Log 3- Vĩnh Phúc</t>
  </si>
  <si>
    <t>A1VP0005</t>
  </si>
  <si>
    <t>Nhà máy TAMURA</t>
  </si>
  <si>
    <t>KCN Thăng Long 3 Vĩnh Phúc</t>
  </si>
  <si>
    <t>A1VP0033</t>
  </si>
  <si>
    <t>Nhà máy Datatronic Việt Nam</t>
  </si>
  <si>
    <t>KCN Bá Thiện 2 Vĩnh Phúc</t>
  </si>
  <si>
    <t>A1VT0039</t>
  </si>
  <si>
    <t>Nhà máy Hanacans</t>
  </si>
  <si>
    <t>Phú Mỹ Bà Rịa, Vũng Tàu</t>
  </si>
  <si>
    <t>C1AG0027</t>
  </si>
  <si>
    <t>VIETTINBANK CHÂU ĐỐC</t>
  </si>
  <si>
    <t>C1BD0016</t>
  </si>
  <si>
    <t>Trường đại học Việt Đức</t>
  </si>
  <si>
    <t>C1BD0017</t>
  </si>
  <si>
    <t>Bệnh viện đa khoa Bình Dương</t>
  </si>
  <si>
    <t>C1BG0015</t>
  </si>
  <si>
    <t>Areca Garden</t>
  </si>
  <si>
    <t>C1BN0014</t>
  </si>
  <si>
    <t>Phoenix Tower Bắc Ninh</t>
  </si>
  <si>
    <t>C1HB0030</t>
  </si>
  <si>
    <t>Rạp Chiếu Phim Vincom Hòa Bình</t>
  </si>
  <si>
    <t>Phường Đồng Tiến, TP HÒa Bình</t>
  </si>
  <si>
    <t>Vingroup</t>
  </si>
  <si>
    <t>C1HN0001</t>
  </si>
  <si>
    <t>Hateco 6</t>
  </si>
  <si>
    <t>C1HN0002</t>
  </si>
  <si>
    <t>Summit Building</t>
  </si>
  <si>
    <t>C1HN0003</t>
  </si>
  <si>
    <t>Vinhomes Westpoint</t>
  </si>
  <si>
    <t>C1HN0004</t>
  </si>
  <si>
    <t>The Sun</t>
  </si>
  <si>
    <t>C1HN0005</t>
  </si>
  <si>
    <t>Bohemia</t>
  </si>
  <si>
    <t>C1HN0008</t>
  </si>
  <si>
    <t>Petrowaco</t>
  </si>
  <si>
    <t>C1HN0009</t>
  </si>
  <si>
    <t>Hateco Plaza</t>
  </si>
  <si>
    <t>C1HN0011</t>
  </si>
  <si>
    <t>Tháp thiên niên kỉ</t>
  </si>
  <si>
    <t>C1HN0012</t>
  </si>
  <si>
    <t>Khách sạn Mercurie</t>
  </si>
  <si>
    <t>C1HN0013</t>
  </si>
  <si>
    <t>Khách sạn Petit Fairmont</t>
  </si>
  <si>
    <t>C1HN0018</t>
  </si>
  <si>
    <t>Golden Park</t>
  </si>
  <si>
    <t>C1HN0019</t>
  </si>
  <si>
    <t>Bonanza</t>
  </si>
  <si>
    <t>C1HN0020</t>
  </si>
  <si>
    <t>Công trình AZ Lâm Viên Complex</t>
  </si>
  <si>
    <t>C1HN0023</t>
  </si>
  <si>
    <t>VINHOMES METROPOLIS</t>
  </si>
  <si>
    <t>C1HN0024</t>
  </si>
  <si>
    <t>ADG Garden</t>
  </si>
  <si>
    <t>C1HN0025</t>
  </si>
  <si>
    <t>Vinhome Riverside Long Biên</t>
  </si>
  <si>
    <t>C1HN0028</t>
  </si>
  <si>
    <t>Mipec Kiến Hưng</t>
  </si>
  <si>
    <t>C1HP0010</t>
  </si>
  <si>
    <t>Flamingo Cát Bà</t>
  </si>
  <si>
    <t>C1QN0026</t>
  </si>
  <si>
    <t>Cung văn hóa thanh thiếu nhi tỉnh Quảng Ninh</t>
  </si>
  <si>
    <t>C1TV0022</t>
  </si>
  <si>
    <t>VTB Building Trà Vinh</t>
  </si>
  <si>
    <t>C1VP0029</t>
  </si>
  <si>
    <t>Bệnh viện Sản Nhi Vĩnh Phúc</t>
  </si>
  <si>
    <t>xã Đồng Văn, huyện Yên Lạc và xã Hợp Thịnh, huyện Tam Dương (Vĩnh Phúc)</t>
  </si>
  <si>
    <t>H1BD0027</t>
  </si>
  <si>
    <t>Nhà Làm Việc Chính CA Tỉnh Bình Dương</t>
  </si>
  <si>
    <t>681 Khu phố 10, đường CMT8, Phường chánh nghĩa, Tp Thủ dầu một, tỉnh bình dương</t>
  </si>
  <si>
    <t>H1BP0030</t>
  </si>
  <si>
    <t>Bệnh viện đa khoa Bình Phước</t>
  </si>
  <si>
    <t>quốc lộc 14, phường tiến thành, tp. đồng xoài , tỉnh bình phước</t>
  </si>
  <si>
    <t>H1ĐN0029</t>
  </si>
  <si>
    <t>Keytronic Đà Nẵng</t>
  </si>
  <si>
    <t>Lô X10,Đường số 10B nối dài KCN Hòa Khánh mở rộng, Q.Liên Chiểu, Tp. Đà Nẵng.</t>
  </si>
  <si>
    <t>H1ĐN0031</t>
  </si>
  <si>
    <t>NIPPON Building</t>
  </si>
  <si>
    <t>Lô U16-1, Đường 10B và 14B, KCN Hòa Khánh mở rộng, xã Hòa Liên, Huyện Hòa Vang, Đà Nẵng.</t>
  </si>
  <si>
    <t>H1HA0010</t>
  </si>
  <si>
    <t>Bệnh viện Việt Đức - Hà Nam</t>
  </si>
  <si>
    <t>H1HN0001</t>
  </si>
  <si>
    <t>Nhà Làm việc quốc hộ</t>
  </si>
  <si>
    <t>H1HN0002</t>
  </si>
  <si>
    <t>Royal - Bắc Ninh</t>
  </si>
  <si>
    <t>H1HN0004</t>
  </si>
  <si>
    <t>Nâng cấp, cải tạo Bệnh viện Phổi Trung ương</t>
  </si>
  <si>
    <t>H1HN0005</t>
  </si>
  <si>
    <t>Udic Riverside 122 Vĩnh Tuy</t>
  </si>
  <si>
    <t>H1HN0006</t>
  </si>
  <si>
    <t>Đại sứ quan Úc</t>
  </si>
  <si>
    <t>H1HN0008</t>
  </si>
  <si>
    <t>Truyền hình quân đội</t>
  </si>
  <si>
    <t>H1HN0009</t>
  </si>
  <si>
    <t>Bệnh viện bạch mai</t>
  </si>
  <si>
    <t>H1HN0011</t>
  </si>
  <si>
    <t>CHUNG CƯ A10 NAM TRUNG YÊN NGUYỄN CHÁNH</t>
  </si>
  <si>
    <t>H1HN0012</t>
  </si>
  <si>
    <t>AN THỊNH HOTEL</t>
  </si>
  <si>
    <t>H1HN0013</t>
  </si>
  <si>
    <t>trụ sở làm việc Tổng LĐLĐVN</t>
  </si>
  <si>
    <t>H1HN0014</t>
  </si>
  <si>
    <t>Bệnh viện VIỆT ĐỨC</t>
  </si>
  <si>
    <t>H1HN0021</t>
  </si>
  <si>
    <t>BigC Nguyễn Xiển</t>
  </si>
  <si>
    <t>Trên mặt đường Nguyễn Xiển cách ngã tư Nguyễn Trãi-Khuất Duy Tiến 500m</t>
  </si>
  <si>
    <t>H1HN0023</t>
  </si>
  <si>
    <t>MEIKO Thạch Thất</t>
  </si>
  <si>
    <t>Lô CN 9, khu công nghiệp Thạch Thất – Quốc Oai, xã Phùng Xá, huyện Thạch Thất, thành phố Hà Nội</t>
  </si>
  <si>
    <t>H1HN0025</t>
  </si>
  <si>
    <t>PHÒNG CIP BAMBOO AIRWAY</t>
  </si>
  <si>
    <t>Nhà ga T1-Cảng HKQT Nội Bài-Xã Phú Minh, Huyện Sóc Sơn, Thành phố Hà Nội</t>
  </si>
  <si>
    <t>H1HP0020</t>
  </si>
  <si>
    <t>FUJIKURA</t>
  </si>
  <si>
    <t>Lô đất D-3, D-4, D-5, D-6, Khu công nghiệp Nomura- Hải Phòng, Xã An Hưng, Huyện An Dương, Thành phố Hải Phòng</t>
  </si>
  <si>
    <t>H1HP0024</t>
  </si>
  <si>
    <t>Trường song ngữ liên cấp quốc tế Gateway Hải Phòng</t>
  </si>
  <si>
    <t>Số 6 Máy Tơ, Lạ Viên, Ngô Quyền, Hải Phòng</t>
  </si>
  <si>
    <t>H1HP0035</t>
  </si>
  <si>
    <t>Công Trình Vinfast Hải Phòng - Xưởng Sub Frame( Nhà máy Vin Fast)</t>
  </si>
  <si>
    <t>Xã Nghĩ lộ, Đảo Cát Hải, HP</t>
  </si>
  <si>
    <t>H1HY0032</t>
  </si>
  <si>
    <t>DAIKIN – KCN Thăng Long 2</t>
  </si>
  <si>
    <t>H1LA0018</t>
  </si>
  <si>
    <t>Naviwa</t>
  </si>
  <si>
    <t>Lô K, KCN Tân Kim, xã Tân Kim, huyện Cần Giuộc, tỉnh Long An</t>
  </si>
  <si>
    <t>H1LA0019</t>
  </si>
  <si>
    <t>Tazmo</t>
  </si>
  <si>
    <t>Dự án TAZMO – KCN Long Hậu, Cần Giuộc, Long An</t>
  </si>
  <si>
    <t>H1LA0026</t>
  </si>
  <si>
    <t>Fujitran</t>
  </si>
  <si>
    <t>KCN Long Hậu, Cần Giuộc, Long An</t>
  </si>
  <si>
    <t>H1NĐ0007</t>
  </si>
  <si>
    <t>NAM CƯỜNG NAM ĐỊNH</t>
  </si>
  <si>
    <t>H1QN0003</t>
  </si>
  <si>
    <t>Sân bay vân đồn Quảng Ninh</t>
  </si>
  <si>
    <t>H1QN0016</t>
  </si>
  <si>
    <t>LẠC HỒNG LOLUS HẠ LONG</t>
  </si>
  <si>
    <t>Trần Hưng Đạo, TP. Hạ Long</t>
  </si>
  <si>
    <t>H1SG0028</t>
  </si>
  <si>
    <t>Công trình KS Sài Gòn Gate Way</t>
  </si>
  <si>
    <t>261 Nguyễn Văn Trỗi, PHú Nhuận, HCM</t>
  </si>
  <si>
    <t>H1TN0033</t>
  </si>
  <si>
    <t>Ký Túc Xá Gain Lucky</t>
  </si>
  <si>
    <t>ô 40-6, đường N14, Khu công nghiệp Phước Đông, Gò Dầu, Tây Ninh</t>
  </si>
  <si>
    <t>H1TH0034</t>
  </si>
  <si>
    <t>Nhà máy VIETAVIS</t>
  </si>
  <si>
    <t>Hoàng Hóa – Thành phố Thanh Hóa</t>
  </si>
  <si>
    <t>H1VT0022</t>
  </si>
  <si>
    <t>California Fitness &amp; Yoga Vũng Tàu</t>
  </si>
  <si>
    <t>33A đường 30 tháng 4 thành phố vũng tàu</t>
  </si>
  <si>
    <t>H3BN0026</t>
  </si>
  <si>
    <t>nhà máy Novatech</t>
  </si>
  <si>
    <t>KCN Quế Võ 3, Bắc Ninh</t>
  </si>
  <si>
    <t>H3BT0014</t>
  </si>
  <si>
    <t>Cao ốc liên hợp Hoàn Cầu Bến Tre</t>
  </si>
  <si>
    <t>H3BT0020</t>
  </si>
  <si>
    <t>KHU DU LỊCH PANDANUS RESORT MŨI NÉ</t>
  </si>
  <si>
    <t>Khu phố 5, Phường Mũi Né, TP. Phan Thiết, Bình Thuận, Việt Nam</t>
  </si>
  <si>
    <t>H3ĐN0009</t>
  </si>
  <si>
    <t>Rigis Bay Hotel</t>
  </si>
  <si>
    <t>H3ĐN0021</t>
  </si>
  <si>
    <t>Nhà máy DONG YANG Long Thành</t>
  </si>
  <si>
    <t>KCN Lộc An - Bình Sơn, Huyện Long Thành, Đồng Nai.</t>
  </si>
  <si>
    <t>H3ĐN0023</t>
  </si>
  <si>
    <t>CHI NHÁNH NHÀ MÁY NHƠN TRẠCH - KUMKANG KIND VIỆT NAM</t>
  </si>
  <si>
    <t>Đường số 25, KCN Nhơn Trạch I, Xã Phước Thiền, Huyện Nhơn Trạch, Đồng Nai</t>
  </si>
  <si>
    <t>H3ĐN0024</t>
  </si>
  <si>
    <t>OT-MOTOR NHƠN TRẠCH 6</t>
  </si>
  <si>
    <t>KCN NHƠN TRẠCH 6, NHƠN PHÚ, ĐỒNG NAI</t>
  </si>
  <si>
    <t>H3HN0008</t>
  </si>
  <si>
    <t>King Palace</t>
  </si>
  <si>
    <t>H3HN0010</t>
  </si>
  <si>
    <t>H3HN0012</t>
  </si>
  <si>
    <t>Berriver hotel</t>
  </si>
  <si>
    <t>H3HN0016</t>
  </si>
  <si>
    <t>Khách sạn Novotel Thái Hà</t>
  </si>
  <si>
    <t>H3HP0006</t>
  </si>
  <si>
    <t>Nhà máy Kyocera</t>
  </si>
  <si>
    <t>H3HU0025</t>
  </si>
  <si>
    <t>TRUNG TÂM TỔ CHỨC SỰ KIỆN &amp; DỊCH VỤ DU LỊCH SEN TRẮNG</t>
  </si>
  <si>
    <t>05-07 Hoàng Hoa Thám, P. Phú Nhuận, Thành phố Huế, Việt Nam</t>
  </si>
  <si>
    <t>H3LO0007</t>
  </si>
  <si>
    <t>Tòa nhà Quốc hội Lào</t>
  </si>
  <si>
    <t>H3NA0017</t>
  </si>
  <si>
    <t>Nhà máy sản xuất linh kiện điện tử Em – Tech Hàn Quốc</t>
  </si>
  <si>
    <t>H3NT0005</t>
  </si>
  <si>
    <t>Gold Coast</t>
  </si>
  <si>
    <t>H3SG0001</t>
  </si>
  <si>
    <t>Lancaster Lincohn</t>
  </si>
  <si>
    <t>H3SG0002</t>
  </si>
  <si>
    <t>Sunwah Pearl</t>
  </si>
  <si>
    <t>H3SG0003</t>
  </si>
  <si>
    <t>Kenton Node Riverside</t>
  </si>
  <si>
    <t>H3SG0004</t>
  </si>
  <si>
    <t>SaiGon Pearl 2</t>
  </si>
  <si>
    <t>H3SG0011</t>
  </si>
  <si>
    <t>Empire City - tòa TILIA &amp; LINDEN RESIDENCES</t>
  </si>
  <si>
    <t>H3SG0013</t>
  </si>
  <si>
    <t>Aurora Residences</t>
  </si>
  <si>
    <t>H3SG0015</t>
  </si>
  <si>
    <t>Ủy ban nhân dân Quận 6</t>
  </si>
  <si>
    <t>H3SG0018</t>
  </si>
  <si>
    <t>TRƯỜNG EMASI NAM LONG</t>
  </si>
  <si>
    <t>H3SG0019</t>
  </si>
  <si>
    <t>River Panorama</t>
  </si>
  <si>
    <t>89 Hoàng Quốc Việt, Phường Phú Thuận, Quận 7, Thành phố Hồ Chí Minh</t>
  </si>
  <si>
    <t>H3SG0022</t>
  </si>
  <si>
    <t>KHU CĂN HỘ ĐÔ THỊ XANH BÌNH TÂN (GREEN TOWN BÌNH TÂN)</t>
  </si>
  <si>
    <t>Phường Bình Hưng Hòa B, Quận Bình Tân, TPHCM</t>
  </si>
  <si>
    <t>H3SG0027</t>
  </si>
  <si>
    <t>ECO GREEN SÀI GÒN</t>
  </si>
  <si>
    <t>Nguyễn Văn Linh, Phường Bình Thuận, Quận 7, Tp.HCM</t>
  </si>
  <si>
    <t>H3SG0028</t>
  </si>
  <si>
    <t>TDH Riverview</t>
  </si>
  <si>
    <t>D1 Khu Dân Cư Bình Đức, Phường Bình Chiểu, Quận Thủ Đức.</t>
  </si>
  <si>
    <t>H5BC0047</t>
  </si>
  <si>
    <t>TTTM VinCom Bắc Kan</t>
  </si>
  <si>
    <t>Bắc Kan</t>
  </si>
  <si>
    <t>H5BD0044</t>
  </si>
  <si>
    <t>nhà máy Kizuma 2 rental</t>
  </si>
  <si>
    <t>Bình Dương</t>
  </si>
  <si>
    <t>H5BD0071</t>
  </si>
  <si>
    <t>Tổ hợp nhà máy và xưởng cho thuê BW</t>
  </si>
  <si>
    <t>H5BD0086</t>
  </si>
  <si>
    <t>ECOXUAN</t>
  </si>
  <si>
    <t>Quốc Lộ 13, Lái Thiêu, Thuận An, Bình Dương</t>
  </si>
  <si>
    <t>H5BD0087</t>
  </si>
  <si>
    <t>Khu đô thị Bình Nguyên</t>
  </si>
  <si>
    <t>Lô C1 , khu ĐT mới Bình Nguyên, xã Bình an, huyện Dĩ An, Tỉnh Bình Dương</t>
  </si>
  <si>
    <t>H5BG0060</t>
  </si>
  <si>
    <t>Khách Sạn Thiên Ân</t>
  </si>
  <si>
    <t>H5BN0002</t>
  </si>
  <si>
    <t>CT Eco building</t>
  </si>
  <si>
    <t>H5BN0012</t>
  </si>
  <si>
    <t>TT tổ chức sự kiện Kinh Bắc(TCSK Kinh Bắc)</t>
  </si>
  <si>
    <t>Lý Thái Tổ Bắc Ninh</t>
  </si>
  <si>
    <t>H5BN0018</t>
  </si>
  <si>
    <t>Vcity Bắc Ninh</t>
  </si>
  <si>
    <t>H5BN0019</t>
  </si>
  <si>
    <t>Nhà ở xã hội Hoàng Gia</t>
  </si>
  <si>
    <t>Võ Cường - Bắc Ninh</t>
  </si>
  <si>
    <t>H5BN0023</t>
  </si>
  <si>
    <t>Tòa nhà Văn Phòng</t>
  </si>
  <si>
    <t>H5BN0024</t>
  </si>
  <si>
    <t>Nhà hát quan họ</t>
  </si>
  <si>
    <t>Dốc Suối Hoa- Vũ Ninh - Bắc Ninh</t>
  </si>
  <si>
    <t>H5BN0029</t>
  </si>
  <si>
    <t>CC CT4 Cát Tường</t>
  </si>
  <si>
    <t>H5BN0032</t>
  </si>
  <si>
    <t>Tòa nhà VP 19T THống Nhất</t>
  </si>
  <si>
    <t>H5BN0036</t>
  </si>
  <si>
    <t>Việt Long Complex</t>
  </si>
  <si>
    <t>Lý Thái Tổ - Võ Cường- Bắc Ninh</t>
  </si>
  <si>
    <t>H5BN0048</t>
  </si>
  <si>
    <t>Tổ hợp nhà ở và dịch vụ Thanh Bình</t>
  </si>
  <si>
    <t>Nam Cao - Võ Cường - Bắc Ninh.</t>
  </si>
  <si>
    <t>H5BN0077</t>
  </si>
  <si>
    <t>South Korea Building</t>
  </si>
  <si>
    <t>đường TS11, KCN Tiên Sơn , Bắc Ninh</t>
  </si>
  <si>
    <t>H5BN0080</t>
  </si>
  <si>
    <t>Wailuen Technology</t>
  </si>
  <si>
    <t>KCN Eco - Quế Võ - BN</t>
  </si>
  <si>
    <t>H5BN0082</t>
  </si>
  <si>
    <t>Lotus Central</t>
  </si>
  <si>
    <t>Lý Thái Tổ - Bắc Ninh</t>
  </si>
  <si>
    <t>H5BN0083</t>
  </si>
  <si>
    <t>Khách sạn Lexington</t>
  </si>
  <si>
    <t>249 Thụy Khuê-HN</t>
  </si>
  <si>
    <t>H5C1HN0021</t>
  </si>
  <si>
    <t>The Manor Central Park</t>
  </si>
  <si>
    <t>H5CT0092</t>
  </si>
  <si>
    <t>Trụ sở Viettin Bank Cần Thơ</t>
  </si>
  <si>
    <t>Cần Thơ</t>
  </si>
  <si>
    <t>H5CT0099</t>
  </si>
  <si>
    <t>Đại Học Cần Thơ</t>
  </si>
  <si>
    <t>H5ĐN0006</t>
  </si>
  <si>
    <t>Nhà máy ICT VINA</t>
  </si>
  <si>
    <t>H5ĐN0030</t>
  </si>
  <si>
    <t>Nhà máy Mamuchi</t>
  </si>
  <si>
    <t>khu CN Amata-Biên Hòa - ĐN</t>
  </si>
  <si>
    <t>H5HA0020</t>
  </si>
  <si>
    <t>Nhà máy ChuButSu</t>
  </si>
  <si>
    <t>H5HA0057</t>
  </si>
  <si>
    <t>nhà máy Naus vina factory</t>
  </si>
  <si>
    <t>H5HB0028</t>
  </si>
  <si>
    <t>Nhà máy Esquel</t>
  </si>
  <si>
    <t>H5HB0061</t>
  </si>
  <si>
    <t>VNPT viễn thông Hoà Bình</t>
  </si>
  <si>
    <t>Hoà Bình</t>
  </si>
  <si>
    <t>H5HN0001</t>
  </si>
  <si>
    <t>Trung tâm thương mại Cát Linh</t>
  </si>
  <si>
    <t>H5HN0003</t>
  </si>
  <si>
    <t>Tổ hợp thương mại dịch vụ và căn hộ Roman Plaza</t>
  </si>
  <si>
    <t>H5HN0004</t>
  </si>
  <si>
    <t>Nhà máy in tiền NH.09B</t>
  </si>
  <si>
    <t>H5HN0005</t>
  </si>
  <si>
    <t>Tổ hợp thương mại dịch vụ và căn hộ Hà Nội HomeLand</t>
  </si>
  <si>
    <t>H5HN0008</t>
  </si>
  <si>
    <t>THÀNH ỦY HÀ NỘI</t>
  </si>
  <si>
    <t>Số 8 Tông Đản</t>
  </si>
  <si>
    <t>H5HN0011</t>
  </si>
  <si>
    <t>Chùa Tam Chúc</t>
  </si>
  <si>
    <t>Ba Sao ,Kim Bảng ,Hà Nam</t>
  </si>
  <si>
    <t>H5HN0014</t>
  </si>
  <si>
    <t>ECo - Tứ Hiệp</t>
  </si>
  <si>
    <t>Tứ Hiệp - Thanh Trì HN</t>
  </si>
  <si>
    <t>H5HN0015</t>
  </si>
  <si>
    <t>Gelacy</t>
  </si>
  <si>
    <t>109 Ngụy Như Kon Tum - Thanh Xuân</t>
  </si>
  <si>
    <t>H5HN0016</t>
  </si>
  <si>
    <t>Viện Hàn Lâm - Tổng Thầu 207</t>
  </si>
  <si>
    <t>76 Thái Hà - Đống Đa - Hà Nội</t>
  </si>
  <si>
    <t>H5HN0017</t>
  </si>
  <si>
    <t>Anland2 - Nam Cường</t>
  </si>
  <si>
    <t>Khu đô thị mới Nam cường - đường Tố Hữu - Dương Nội - Hà Đông - Hà Nội</t>
  </si>
  <si>
    <t>H5HN0025</t>
  </si>
  <si>
    <t>Viện Năng Lượng</t>
  </si>
  <si>
    <t>Tôn thất Tùng-HN</t>
  </si>
  <si>
    <t>H5HN0026</t>
  </si>
  <si>
    <t>HaNoi Pilot Light METRO LINE</t>
  </si>
  <si>
    <t>Hà Nội</t>
  </si>
  <si>
    <t>H5HN0031</t>
  </si>
  <si>
    <t>Cung văn Hóa Việt Xô</t>
  </si>
  <si>
    <t>H5HN0034</t>
  </si>
  <si>
    <t>TTTM siêu thị và giới thiệu SP</t>
  </si>
  <si>
    <t>989 Tam trinh, HN</t>
  </si>
  <si>
    <t>H5HN0037</t>
  </si>
  <si>
    <t>Toà Nhà Đại Đông Á (Bea Sky) - Nguyễn Xiển</t>
  </si>
  <si>
    <t>Nguyễn Xiển-Hà nội</t>
  </si>
  <si>
    <t>H5HN0040</t>
  </si>
  <si>
    <t>Tuyến đường sắt trên cao Nhổn-Ga Hà Nội</t>
  </si>
  <si>
    <t>Hà nội</t>
  </si>
  <si>
    <t>H5HN0041</t>
  </si>
  <si>
    <t>Trụ sở Điện lực Tây Hồ</t>
  </si>
  <si>
    <t>Lạc Long Quân Tây Hồ Hà Nội</t>
  </si>
  <si>
    <t>H5HN0043</t>
  </si>
  <si>
    <t>PanDoRa Gia đoạn 2</t>
  </si>
  <si>
    <t>53 Triều Khúc - Thanh Xuân - Hà Nội</t>
  </si>
  <si>
    <t>H5HN0045</t>
  </si>
  <si>
    <t>P-D17 building</t>
  </si>
  <si>
    <t>Dịch Vọng Hậu</t>
  </si>
  <si>
    <t>H5HN0049</t>
  </si>
  <si>
    <t>Le Capitole (Toà nhà VP kết hợp Khách Sạn và Căn hộ cho thuê)</t>
  </si>
  <si>
    <t>27 Thái Thịnh - HN</t>
  </si>
  <si>
    <t>H5HN0050</t>
  </si>
  <si>
    <t>Golden Lake</t>
  </si>
  <si>
    <t>B7 - Giảng Võ - HN</t>
  </si>
  <si>
    <t>H5HN0051</t>
  </si>
  <si>
    <t>VC1 (Khu văn phòng và nhà ở cao cấp Vinaconex 1)</t>
  </si>
  <si>
    <t>289 Khuất Duy Tiến - HN</t>
  </si>
  <si>
    <t>H5HN0052</t>
  </si>
  <si>
    <t>Toà nhà Vp Cty Thịnh Long</t>
  </si>
  <si>
    <t>Ô số c32 -34 Phú Diễn -T.L-Hà nội</t>
  </si>
  <si>
    <t>H5HN0053</t>
  </si>
  <si>
    <t>tòa nhà 8 tầng</t>
  </si>
  <si>
    <t>11 Tôn Thất Thiệp - HK - Hà Nội</t>
  </si>
  <si>
    <t>H5HN0054</t>
  </si>
  <si>
    <t>trụ sở làm việc NXB kim Đồng</t>
  </si>
  <si>
    <t>Số 55 quang trung, hai bà trưng, HN</t>
  </si>
  <si>
    <t>H5HN0055</t>
  </si>
  <si>
    <t>Vinhome Smart city</t>
  </si>
  <si>
    <t>Tây Mỗ-HN</t>
  </si>
  <si>
    <t>H5HN0056</t>
  </si>
  <si>
    <t>Bệnh Viện Thu Cúc</t>
  </si>
  <si>
    <t>Thụy Khuê - HN</t>
  </si>
  <si>
    <t>H5HN0062</t>
  </si>
  <si>
    <t>T&amp;T Định Công</t>
  </si>
  <si>
    <t>120 Định Công - HN</t>
  </si>
  <si>
    <t>H5HN0065</t>
  </si>
  <si>
    <t>khu nhà ở chiến sỹ &amp; bảo vệ hỗ trợ Tư pháp - bộ công an</t>
  </si>
  <si>
    <t>Mỹ Đình - Hà Nội</t>
  </si>
  <si>
    <t>H5HN0066</t>
  </si>
  <si>
    <t>Trung tâm Thương mại và dịch vụ</t>
  </si>
  <si>
    <t>Khu công nghệ cao Láng - Hòa Lạc</t>
  </si>
  <si>
    <t>H5HN0068</t>
  </si>
  <si>
    <t>CT6 - Nam Cường</t>
  </si>
  <si>
    <t>Tố Hữu- Dương Nội - Hà Đông- HN</t>
  </si>
  <si>
    <t>H5HN0072</t>
  </si>
  <si>
    <t>Toà nhà cho thuê 8 tầng - Toàn Tiến</t>
  </si>
  <si>
    <t>115/41 Linh Lang, 80 Xóm Chùa, 6 Quảng Khánh</t>
  </si>
  <si>
    <t>H5HN0076</t>
  </si>
  <si>
    <t>Tòa nhà 7 tầng- Toàn Tiến</t>
  </si>
  <si>
    <t>80 Xóm Chùa - Quảng An - Tây Hồ - Hà Nội</t>
  </si>
  <si>
    <t>H5HN0079</t>
  </si>
  <si>
    <t>Vinhome Symphony</t>
  </si>
  <si>
    <t>Long Biên - HN</t>
  </si>
  <si>
    <t>H5HN0081</t>
  </si>
  <si>
    <t>Nhà máy dán kính phẳng cao cấp</t>
  </si>
  <si>
    <t>KCN Quang Minh, Mê Linh, Hà Nội</t>
  </si>
  <si>
    <t>H5HN0085</t>
  </si>
  <si>
    <t>Showroom Vinfast</t>
  </si>
  <si>
    <t>Phạm Văn Đồng - HN</t>
  </si>
  <si>
    <t>H5HN0088</t>
  </si>
  <si>
    <t>Nhà máy Spindex</t>
  </si>
  <si>
    <t>Khu CN Nội Bài</t>
  </si>
  <si>
    <t>H5HN0091</t>
  </si>
  <si>
    <t>Trường tiều học tư thục Alfred Nobel</t>
  </si>
  <si>
    <t>14C Pháo Đài Láng - Đ.Đ - HN</t>
  </si>
  <si>
    <t>H5HN0093</t>
  </si>
  <si>
    <t>CCCC GP Invest</t>
  </si>
  <si>
    <t>Số 9 Phạm Văn Đồng - HN</t>
  </si>
  <si>
    <t>H5HN0097</t>
  </si>
  <si>
    <t>XD Khu NOXH ô đất CT3-CT4 khu ĐTM Kim Chung</t>
  </si>
  <si>
    <t>ô đất CT3-CT4 khu ĐTM Kim Chung, xã KIm Chung , Đông Anh , HN</t>
  </si>
  <si>
    <t>H5HN0098</t>
  </si>
  <si>
    <t>Nhà máy Terumo</t>
  </si>
  <si>
    <t>KCN QUang Minh, Hà Nội</t>
  </si>
  <si>
    <t>H5HP0038</t>
  </si>
  <si>
    <t>Vincom Hải Phòng</t>
  </si>
  <si>
    <t>H5HP0042</t>
  </si>
  <si>
    <t>Nhà máy Toyoda gosei</t>
  </si>
  <si>
    <t>Khu CN Nomura Hải Phòng</t>
  </si>
  <si>
    <t>H5HY0100</t>
  </si>
  <si>
    <t>Khu Thương Mại và Dịch Vụ Quỳnh Trang</t>
  </si>
  <si>
    <t>H5LA0090</t>
  </si>
  <si>
    <t>Nhà Máy Cobi Cif</t>
  </si>
  <si>
    <t>KCN mở rộng Long Hậu - Cần Giuộc - Long An</t>
  </si>
  <si>
    <t>H5NB0021</t>
  </si>
  <si>
    <t>TTTM Trang An</t>
  </si>
  <si>
    <t>H5NB0046</t>
  </si>
  <si>
    <t>TTTM và Văn Phòng Tràng An</t>
  </si>
  <si>
    <t>Đường Tràng An - T.P Ninh Bình</t>
  </si>
  <si>
    <t>H5NB0075</t>
  </si>
  <si>
    <t>Tổ hợp sân Golf và Biệt thự Ninh Bình</t>
  </si>
  <si>
    <t>H5NN0022</t>
  </si>
  <si>
    <t>Roman Plaza</t>
  </si>
  <si>
    <t>Tố Hữu - Dương Nội</t>
  </si>
  <si>
    <t>H5NT0069</t>
  </si>
  <si>
    <t>Nhà máy Tuna</t>
  </si>
  <si>
    <t>Nha Trang</t>
  </si>
  <si>
    <t>H5PQ0089</t>
  </si>
  <si>
    <t>Long Beach Resort and Hotel</t>
  </si>
  <si>
    <t>Phú Quốc</t>
  </si>
  <si>
    <t>H5QT0094</t>
  </si>
  <si>
    <t>Trụ sở VCB Chi Nhánh Quảng Trị</t>
  </si>
  <si>
    <t>Số 34 Hùng Vương - Phường 1 - TP Đông Hà -Tỉnh Quảng Trị</t>
  </si>
  <si>
    <t>H5SG0010</t>
  </si>
  <si>
    <t>KHU CHUNG CƯ KẾT HỢP THƯƠNG MẠI DỊCH VỤ (M-ONE GIA ĐỊNH)</t>
  </si>
  <si>
    <t>Số 12 - Nguyễn Bỉnh Khiêm - P1 - Gò Vấp Tp HCM</t>
  </si>
  <si>
    <t>H5SG0013</t>
  </si>
  <si>
    <t>An Phú - An Khánh Sài Gòn</t>
  </si>
  <si>
    <t>An Khánh Sài Gòn</t>
  </si>
  <si>
    <t>H5SG0027</t>
  </si>
  <si>
    <t>Khách sạn Thiên Hồng- Sài Gon</t>
  </si>
  <si>
    <t>Sài Gòn</t>
  </si>
  <si>
    <t>H5SG0039</t>
  </si>
  <si>
    <t>Richmond City</t>
  </si>
  <si>
    <t>207 Nguyễn Xí - Phường 26 Bình Thạnh - TPHCM</t>
  </si>
  <si>
    <t>H5SG0058</t>
  </si>
  <si>
    <t>Sài Gòn Intela</t>
  </si>
  <si>
    <t>Bình Chánh - Sài Gòn</t>
  </si>
  <si>
    <t>H5SG0059</t>
  </si>
  <si>
    <t>C.C Đông Thuận</t>
  </si>
  <si>
    <t>Quận 2 - Sài Gòn</t>
  </si>
  <si>
    <t>H5SG0063</t>
  </si>
  <si>
    <t>Chung Cư phú Mỹ 2</t>
  </si>
  <si>
    <t>Quận 7 - HCM</t>
  </si>
  <si>
    <t>H5SG0064</t>
  </si>
  <si>
    <t>nhà máy Yukioh</t>
  </si>
  <si>
    <t>Myanmar -Giao hàng tại kho của nhà thầu tại Sài Gòn</t>
  </si>
  <si>
    <t>H5SG0067</t>
  </si>
  <si>
    <t>Chung cư Sài Gòn Mia</t>
  </si>
  <si>
    <t>Bình Chánh - SG</t>
  </si>
  <si>
    <t>H5SG0070</t>
  </si>
  <si>
    <t>Vinhomes Grand Park</t>
  </si>
  <si>
    <t>Nguyễn Xiển – Phước Thiện, Phường Long Thạnh Mỹ – Long Bình, Quận 9, TP HCM.</t>
  </si>
  <si>
    <t>H5SG0074</t>
  </si>
  <si>
    <t>NHÀ HÀNG KHÁCH SẠN ÁNH DƯƠNG</t>
  </si>
  <si>
    <t>Tân Phú - T.P Hồ Chí Minh</t>
  </si>
  <si>
    <t>H5SG0078</t>
  </si>
  <si>
    <t>trang trại Boon Luck</t>
  </si>
  <si>
    <t>Wilyabrup - Úc Người đại diện mua hàng tại T.P HCM</t>
  </si>
  <si>
    <t>H5SG0096</t>
  </si>
  <si>
    <t>Vincity Tây Mỗ</t>
  </si>
  <si>
    <t>Quận 9 - TP.HCM</t>
  </si>
  <si>
    <t>H5SL0073</t>
  </si>
  <si>
    <t>Nhà máy chiế biến quả và đồ uống nước hoa quả cao công nghệ cao S.L</t>
  </si>
  <si>
    <t>Vân Hồ - Sơn La</t>
  </si>
  <si>
    <t>H5T8CB0032</t>
  </si>
  <si>
    <t>Khách sạn Hoàng Gia</t>
  </si>
  <si>
    <t>H5TH0009</t>
  </si>
  <si>
    <t>KHÁCH SẠN NEW DRAGON</t>
  </si>
  <si>
    <t>SỐ 25 ĐƯỜNG LÊ LỢI, P. TRƯỜNG SƠN TP. SẦM SƠN, TỈNH THANH HÓA</t>
  </si>
  <si>
    <t>H5TH0084</t>
  </si>
  <si>
    <t>Trường Liên Cấp Quang Trung</t>
  </si>
  <si>
    <t>Quang Trung - Thanh Hóa</t>
  </si>
  <si>
    <t>H5TH0095</t>
  </si>
  <si>
    <t>Trường liên cấp Vinscholl thuộc tổ hợp Vinhomes Star City Thanh</t>
  </si>
  <si>
    <t>H5VT0007</t>
  </si>
  <si>
    <t>SÂN VẬN ĐỘNG BÀ RỊA-VŨNG TÀU</t>
  </si>
  <si>
    <t>BÀ RỊA-VŨNG TÀU</t>
  </si>
  <si>
    <t>H6HN0003</t>
  </si>
  <si>
    <t>Trụ sở cơ quan kiểm toán khu vực I</t>
  </si>
  <si>
    <t>Nguyễn Chách Cầu Giấy , Hà Nội</t>
  </si>
  <si>
    <t>H6HN0004</t>
  </si>
  <si>
    <t>Nhà Điều Hành Điện Lực Chương Mỹ</t>
  </si>
  <si>
    <t>TT Chương Mỹ , Hà Nội</t>
  </si>
  <si>
    <t>H6PT0002</t>
  </si>
  <si>
    <t>Nhà Điều Hành Điện Lực TP Phan Thiết</t>
  </si>
  <si>
    <t>TP Phan Thiết</t>
  </si>
  <si>
    <t>H6VP0001</t>
  </si>
  <si>
    <t>Grand Victory Tam Đảo</t>
  </si>
  <si>
    <t>Tam Đảo VĨnh Phúc</t>
  </si>
  <si>
    <t>H6VP0005</t>
  </si>
  <si>
    <t>Nhà Máy KingDuan Việt Nam</t>
  </si>
  <si>
    <t>KCN Thăng Long , VĨnh Phúc</t>
  </si>
  <si>
    <t>K1HN0001</t>
  </si>
  <si>
    <t>Cục Lưu Trữ</t>
  </si>
  <si>
    <t>Số 34 - Phan Kế Bính</t>
  </si>
  <si>
    <t>L4BN0001</t>
  </si>
  <si>
    <t>Nhà máy Gold Sun</t>
  </si>
  <si>
    <t>L4BN0003</t>
  </si>
  <si>
    <t>Trầu Cau Garden</t>
  </si>
  <si>
    <t>L4HN0002</t>
  </si>
  <si>
    <t>Vinacomin Building</t>
  </si>
  <si>
    <t>L4HN0004</t>
  </si>
  <si>
    <t>Hồng Hà Eco City</t>
  </si>
  <si>
    <t>L4HN0006</t>
  </si>
  <si>
    <t>Nhà máy may mặc Mapple - Vsip</t>
  </si>
  <si>
    <t>L4HN0008</t>
  </si>
  <si>
    <t>Tầng 4 toà nhà Mipec Tây Sơn</t>
  </si>
  <si>
    <t>L4HN0009</t>
  </si>
  <si>
    <t>Tòa nhà văn phòng kết hợp nhà ở</t>
  </si>
  <si>
    <t>L4NT0005</t>
  </si>
  <si>
    <t>Ocean Gate Hotel &amp; Residence</t>
  </si>
  <si>
    <t>L4SG0007</t>
  </si>
  <si>
    <t>Trụ sở làm việc Công ty CP công trình giao thông Sài Gòn</t>
  </si>
  <si>
    <t>N1HN0001</t>
  </si>
  <si>
    <t>Học Viện Ngân Hàng</t>
  </si>
  <si>
    <t>N1HN0002</t>
  </si>
  <si>
    <t>Chung cư Bách Việt Areca Garden</t>
  </si>
  <si>
    <t>N1HN0003</t>
  </si>
  <si>
    <t>LOTTE Mart Đống Đa</t>
  </si>
  <si>
    <t>N1HN0004</t>
  </si>
  <si>
    <t>Tòa nhà Leadvisors Tower</t>
  </si>
  <si>
    <t>N1SL0005</t>
  </si>
  <si>
    <t>Nhà làm việc 9 tầng và 2 khối nhà 6 tầng Trụ sở HĐND, UBND, Ủy ban MTTQ Việt Nam tỉnh Sơn la</t>
  </si>
  <si>
    <t>128 Nguyễn Văn Linh,P.Tô Hiệu,T.P Sơn La</t>
  </si>
  <si>
    <t>T2BD0001</t>
  </si>
  <si>
    <t>Nhà máy Đại Hoàng Dương</t>
  </si>
  <si>
    <t>T2BD0150</t>
  </si>
  <si>
    <t>OPAL BOULEVARD</t>
  </si>
  <si>
    <t>18 Kha Vạn Cân, An Bình, Tx. Dĩ An, Bình Dương</t>
  </si>
  <si>
    <t>T2BĐ0077</t>
  </si>
  <si>
    <t>Bênh viện tỉnh Bình Định</t>
  </si>
  <si>
    <t>Bình định</t>
  </si>
  <si>
    <t>Bệnh viện</t>
  </si>
  <si>
    <t>T2BĐ0078</t>
  </si>
  <si>
    <t>Dự án Luxury hotel &amp; Residences</t>
  </si>
  <si>
    <t>Nguyễn Huệ, TP. Quy Nhơn,Tỉnh Bình Định</t>
  </si>
  <si>
    <t>T2BĐ0125</t>
  </si>
  <si>
    <t>Toàn nhà hỗn hợp thương mại dịch vụ và căn hộ Luxury Quy Nhơn</t>
  </si>
  <si>
    <t>76 Trần Hưng Đạo, TP. Quy nhơn</t>
  </si>
  <si>
    <t>T2CT0107</t>
  </si>
  <si>
    <t>Dự án Grass corporation</t>
  </si>
  <si>
    <t>Cần thơ</t>
  </si>
  <si>
    <t>T2CT0123</t>
  </si>
  <si>
    <t>Trường Đại Học FPT Cần Thơ</t>
  </si>
  <si>
    <t>Nguyễn Văn Cừ nối dài, An Bình, Ninh Kiều, Cần Thơ</t>
  </si>
  <si>
    <t>T2ĐN0003</t>
  </si>
  <si>
    <t>KHÁCH SẠN GOLDEN</t>
  </si>
  <si>
    <t>Lô 12 Khu B4.1 đường Võ Nguyên Giáp, KDC An Cư 2 mở rộng, P. Phước Mỹ, Q. Sơn Trà, TP Đà Nẵng</t>
  </si>
  <si>
    <t>T2ĐN0004</t>
  </si>
  <si>
    <t>Hiyori Graden Tower</t>
  </si>
  <si>
    <t>Lô 2, A2 Võ Văn Kiệt, Phường An Hải Đông, Quận Sơn Trà, TP. Đà Nẵng</t>
  </si>
  <si>
    <t>T2ĐN0005</t>
  </si>
  <si>
    <t>Tổ hợp COCOBAY Đà Nẵng</t>
  </si>
  <si>
    <t>Đà Nẵng</t>
  </si>
  <si>
    <t>T2ĐN0006</t>
  </si>
  <si>
    <t>Dự án Khách sạn Sofia</t>
  </si>
  <si>
    <t>T2ĐN0007</t>
  </si>
  <si>
    <t>Làng Pháp giai đoạn 2</t>
  </si>
  <si>
    <t>T2ĐN0008</t>
  </si>
  <si>
    <t>Khu đô thị thương mại Time Square</t>
  </si>
  <si>
    <t>T2ĐN0009</t>
  </si>
  <si>
    <t>KS mariot - Đà Nẵng</t>
  </si>
  <si>
    <t>T2ĐN0010</t>
  </si>
  <si>
    <t>Condotel Ariyana</t>
  </si>
  <si>
    <t>T2ĐN0011</t>
  </si>
  <si>
    <t>Bệnh viện y học cổ truyền</t>
  </si>
  <si>
    <t>T2ĐN0012</t>
  </si>
  <si>
    <t>Khách sạn Minh Toàn</t>
  </si>
  <si>
    <t>T2ĐN0013</t>
  </si>
  <si>
    <t>Khu du lịch cao cấp Hoàng Cường</t>
  </si>
  <si>
    <t>T2ĐN0014</t>
  </si>
  <si>
    <t>Khách sạn RegisBay</t>
  </si>
  <si>
    <t>T2ĐN0015</t>
  </si>
  <si>
    <t>Văn phòng công ty Meico</t>
  </si>
  <si>
    <t>Đường Xô Viết Nghệ Tỉnh, TP Đà Nẵng</t>
  </si>
  <si>
    <t>T2ĐN0016</t>
  </si>
  <si>
    <t>P. A Towwer ( Rissemount )</t>
  </si>
  <si>
    <t>Đường Như Nguyệt, TP. Đà Nẵng</t>
  </si>
  <si>
    <t>T2ĐN0017</t>
  </si>
  <si>
    <t>Khách Sạn Tân Phú Hưng</t>
  </si>
  <si>
    <t>03A2 Võ Nguyên Giáp, Đà Nẵng</t>
  </si>
  <si>
    <t>T2ĐN0018</t>
  </si>
  <si>
    <t>Căn hộ Katsutoshi Grad House</t>
  </si>
  <si>
    <t>02 Nguyễn Thị Minh Khai TP. Đà Nẵng</t>
  </si>
  <si>
    <t>T2ĐN0019</t>
  </si>
  <si>
    <t>Biệt thự Ocean Villas</t>
  </si>
  <si>
    <t>Đường Trường Sa, TP. Đà Nẵng</t>
  </si>
  <si>
    <t>T2ĐN0020</t>
  </si>
  <si>
    <t>Condotel HDTC</t>
  </si>
  <si>
    <t>Đường cánh mạng tháng 8, TP. Đà Nẵng</t>
  </si>
  <si>
    <t>T2ĐN0021</t>
  </si>
  <si>
    <t>Trung Tâm Y Tế Dự Phòng Đà Nẵng</t>
  </si>
  <si>
    <t>Lê Đình Lý, Đà Nẵng</t>
  </si>
  <si>
    <t>T2ĐN0022</t>
  </si>
  <si>
    <t>Văn Phòng Công Ty Nguyên Nhật</t>
  </si>
  <si>
    <t>25 Duy Tân, Đà Nẵng</t>
  </si>
  <si>
    <t>T2ĐN0023</t>
  </si>
  <si>
    <t>Văn Phòng Làm Việc, Showroom Và Các Dịch Vụ</t>
  </si>
  <si>
    <t>Nguyễn Văn Linh, Đà Nẵng</t>
  </si>
  <si>
    <t>T2ĐN0024</t>
  </si>
  <si>
    <t>Viện Nghiên Cứu Và Phát Triển trường Đại Học Duy Tân</t>
  </si>
  <si>
    <t>03 Quang Trung, Đà Nẵng</t>
  </si>
  <si>
    <t>T2ĐN0025</t>
  </si>
  <si>
    <t>The Blue Hotel</t>
  </si>
  <si>
    <t>59 Lê Duẫn, Đà Nẵng</t>
  </si>
  <si>
    <t>T2ĐN0026</t>
  </si>
  <si>
    <t>Khu Đa Chức Năng Và Trang Thiết Bị Bệnh Viện Phục Hồi Chức Năng Đà Nẵng.</t>
  </si>
  <si>
    <t>Hòa Xuân, Cẩm Lệ, Đà Nẵng</t>
  </si>
  <si>
    <t>T2ĐN0027</t>
  </si>
  <si>
    <t>Khách sạn AMAGOS</t>
  </si>
  <si>
    <t>Võ Nguyên Giáp, Bắc Mỹ An, Đà Nẵng</t>
  </si>
  <si>
    <t>T2ĐN0028</t>
  </si>
  <si>
    <t>Khách sạn Hilton Garden Inn Da Nang</t>
  </si>
  <si>
    <t>Võ Nguyên Giáp, Đà Nẵng</t>
  </si>
  <si>
    <t>T2ĐN0029</t>
  </si>
  <si>
    <t>Stella maris</t>
  </si>
  <si>
    <t>23 Võ Văn Kiệt, Sơn Trà, Đà Nẵng</t>
  </si>
  <si>
    <t>T2ĐN0030</t>
  </si>
  <si>
    <t>Khách sạn Brilliant Seafood</t>
  </si>
  <si>
    <t>Hồ Nghinh, Đà Nẵng</t>
  </si>
  <si>
    <t>T2ĐN0031</t>
  </si>
  <si>
    <t>Văn phòng giao dịch SHB Đà Nẵng</t>
  </si>
  <si>
    <t>T2ĐN0032</t>
  </si>
  <si>
    <t>Central coast</t>
  </si>
  <si>
    <t>T2ĐN0033</t>
  </si>
  <si>
    <t>The Code Hotel</t>
  </si>
  <si>
    <t>T2ĐN0034</t>
  </si>
  <si>
    <t>Khu căn hộ cao cấp Monarchy</t>
  </si>
  <si>
    <t>Phan Huy ích, Sơn Trà, Đà Nẵng</t>
  </si>
  <si>
    <t>T2ĐN0035</t>
  </si>
  <si>
    <t>Khách Sạn CN place</t>
  </si>
  <si>
    <t>Sơn Trà, Đà Nẵng</t>
  </si>
  <si>
    <t>T2ĐN0036</t>
  </si>
  <si>
    <t>Tùng Lâm Tower</t>
  </si>
  <si>
    <t>Núi Thành, Đà Nẵng</t>
  </si>
  <si>
    <t>T2ĐN0037</t>
  </si>
  <si>
    <t>Trường Đại Học Duy Tân</t>
  </si>
  <si>
    <t>Dương Cát Lợi, Hòa Khánh Nam, Đà Nẵng</t>
  </si>
  <si>
    <t>T2ĐN0038</t>
  </si>
  <si>
    <t>Bệnh Viện Mắt Sài Gòn, Đà Nẵng</t>
  </si>
  <si>
    <t>Nguyễn Hữu Thọ, Hải Châu, Đà Nẵng</t>
  </si>
  <si>
    <t>T2ĐN0039</t>
  </si>
  <si>
    <t>Nhà Ở Học Viện</t>
  </si>
  <si>
    <t>Nguyễn Công Trứ, Sơn Trà, Đà Nẵng</t>
  </si>
  <si>
    <t>T2ĐN0041</t>
  </si>
  <si>
    <t>Khách sạn Vinaconex</t>
  </si>
  <si>
    <t>Trần Hưng Đạo, Đà Nẵng</t>
  </si>
  <si>
    <t>khách sạn</t>
  </si>
  <si>
    <t>T2ĐN0042</t>
  </si>
  <si>
    <t>Khu du lịch Bầu Tràm</t>
  </si>
  <si>
    <t>Hòa Khánh, Đà Nẵng</t>
  </si>
  <si>
    <t>T2ĐN0043</t>
  </si>
  <si>
    <t>Khu du lịch Sao Việt Non Nước</t>
  </si>
  <si>
    <t>Ngũ Hành Sơn, Đà Nẵng</t>
  </si>
  <si>
    <t>T2ĐN0044</t>
  </si>
  <si>
    <t>Văn Phòng công ty Cường Thịnh</t>
  </si>
  <si>
    <t>2/9 TP.Đà Nẵng</t>
  </si>
  <si>
    <t>T2ĐN0045</t>
  </si>
  <si>
    <t>Dự án Soleil Ánh Dương</t>
  </si>
  <si>
    <t>TP. Đà Nẵng</t>
  </si>
  <si>
    <t>T2ĐN0046</t>
  </si>
  <si>
    <t>Khách sạn Le Sands</t>
  </si>
  <si>
    <t>Võ nguyễn giáp, Đà Nẵng</t>
  </si>
  <si>
    <t>T2ĐN0047</t>
  </si>
  <si>
    <t>Khách sạn Mimi</t>
  </si>
  <si>
    <t>Đường Hồ Xuân Hương, Đà Nẵng</t>
  </si>
  <si>
    <t>T2ĐN0048</t>
  </si>
  <si>
    <t>Khách sạn Nguyễn Gia</t>
  </si>
  <si>
    <t>T2ĐN0049</t>
  </si>
  <si>
    <t>Trụ sở làm việc khu công nghệ cao</t>
  </si>
  <si>
    <t>KCN cao Đà Nẵng</t>
  </si>
  <si>
    <t>T2ĐN0050</t>
  </si>
  <si>
    <t>Dự án Fusion Resort Đà Nẵng</t>
  </si>
  <si>
    <t>T2ĐN0051</t>
  </si>
  <si>
    <t>Dự án LE MERIDIEN Resort &amp;spa</t>
  </si>
  <si>
    <t>T2ĐN0052</t>
  </si>
  <si>
    <t>Dự án MQC Premier Hotel</t>
  </si>
  <si>
    <t>T2ĐN0053</t>
  </si>
  <si>
    <t>Dự án Mgallery</t>
  </si>
  <si>
    <t>T2ĐN0054</t>
  </si>
  <si>
    <t>Dự án Starbuck Banahill</t>
  </si>
  <si>
    <t>T2ĐN0055</t>
  </si>
  <si>
    <t>Dự án tòa nhà FPT_ khu nhà FC1</t>
  </si>
  <si>
    <t>T2ĐN0113</t>
  </si>
  <si>
    <t>Dự Án Mikazuki spa &amp; hotel resort</t>
  </si>
  <si>
    <t>Xuân Thiều, Q. Liên Chiểu, TP. Đà Nẵng</t>
  </si>
  <si>
    <t>T2ĐN0114</t>
  </si>
  <si>
    <t>Nhà Máy Sunshine</t>
  </si>
  <si>
    <t>Khu công nghệ Cao Đà Nẵng</t>
  </si>
  <si>
    <t>T2ĐN0126</t>
  </si>
  <si>
    <t>Văn phòng thép Nhân Luật</t>
  </si>
  <si>
    <t>227 Nguyễn tri Phương, TP. Đà Nẵng</t>
  </si>
  <si>
    <t>T2ĐN0127</t>
  </si>
  <si>
    <t>Văn phòng cho thuê Hồng Quang</t>
  </si>
  <si>
    <t>18 Nguyễn Văn Thoại , TP. Đà Nẵng</t>
  </si>
  <si>
    <t>T2ĐN0130</t>
  </si>
  <si>
    <t>Bệnh viện Răng hàm mặt Đà Nẵng</t>
  </si>
  <si>
    <t>Lê đình Lý, Quận Hải Châu, TP. Đà Nẵng</t>
  </si>
  <si>
    <t>T2ĐN0131</t>
  </si>
  <si>
    <t>Văn Phòng làm việc khu công nghệ cao</t>
  </si>
  <si>
    <t>Khu công nghệ cao, Hòa Sơn, Hòa Vang, TP. Đà NẴng</t>
  </si>
  <si>
    <t>T2ĐN0132</t>
  </si>
  <si>
    <t>Khách sạn medicate</t>
  </si>
  <si>
    <t>Hòa Xuân, Quận Cẩm Lệ , TP. Đà Nẵng</t>
  </si>
  <si>
    <t>T2ĐN0134</t>
  </si>
  <si>
    <t>Khu căn hộ Sunhome</t>
  </si>
  <si>
    <t>Bà Nà Hills - Đà Nẵng</t>
  </si>
  <si>
    <t>T2ĐN0135</t>
  </si>
  <si>
    <t>Khu nghĩ dưỡng Hà Nội Non nước</t>
  </si>
  <si>
    <t>đường Hoàng sa, TP. Đà Nẵng</t>
  </si>
  <si>
    <t>T2ĐN0136</t>
  </si>
  <si>
    <t>Khách sạn Sơn Trà</t>
  </si>
  <si>
    <t>Đường Võ Nguyên Giáp, TP. Đà Nẵng</t>
  </si>
  <si>
    <t>T2ĐN0137</t>
  </si>
  <si>
    <t>Đại Học Kinh Tế Đà Nẵng</t>
  </si>
  <si>
    <t>71 Ngũ Hành Sơn, TP. Đà Nẵng</t>
  </si>
  <si>
    <t>T2ĐN0138</t>
  </si>
  <si>
    <t>đại học bách khoa Đà Nẵng</t>
  </si>
  <si>
    <t>187 Tôn Đức Thắng, Quận Liên Chiểu, TP. Đà Nẵng</t>
  </si>
  <si>
    <t>T2ĐN0147</t>
  </si>
  <si>
    <t>Bắc Cường hotel 2</t>
  </si>
  <si>
    <t>Võ Nguyên Giáp Sơn TRà Đà Nẵng</t>
  </si>
  <si>
    <t>T2ĐN0151</t>
  </si>
  <si>
    <t>Khu đô thị ven sông Hòa Quý</t>
  </si>
  <si>
    <t>Hòa Quý, Đà Nẵng</t>
  </si>
  <si>
    <t>T2ĐN0153</t>
  </si>
  <si>
    <t>LA BELLE VIE APARTMENT DA NANG</t>
  </si>
  <si>
    <t>02 Cao Xuân Dục, P. Thuận Phước, Q.Hải Châu, TPDN</t>
  </si>
  <si>
    <t>T2ĐN0155</t>
  </si>
  <si>
    <t>KS Trần Phú</t>
  </si>
  <si>
    <t>28 Trần Phú, Đà Nẵng</t>
  </si>
  <si>
    <t>T2ĐN0156</t>
  </si>
  <si>
    <t>Bệnh viện Phụ sản – Nhi Đà Nẵng</t>
  </si>
  <si>
    <t>T2HD0111</t>
  </si>
  <si>
    <t>WAREHOUSE EXTENSION ở Hải Dương</t>
  </si>
  <si>
    <t>T2HU0104</t>
  </si>
  <si>
    <t>Khu biệt thự du lịch biển Lăng Cô Spa Resort</t>
  </si>
  <si>
    <t>Lăng cô, Thừa Thiên Huế</t>
  </si>
  <si>
    <t>T2HU0129</t>
  </si>
  <si>
    <t>Azerai La Residence</t>
  </si>
  <si>
    <t>05 lê Lợi, TP. Huế</t>
  </si>
  <si>
    <t>T2HU0149</t>
  </si>
  <si>
    <t>Khu đô thị Đông Nam Thủy An</t>
  </si>
  <si>
    <t>Trần Hưng đạo, TP. Huế</t>
  </si>
  <si>
    <t>T2HU0157</t>
  </si>
  <si>
    <t>Laguna lăng cô</t>
  </si>
  <si>
    <t>Thôn cù dù, huyện Phú Lộc, Tỉnh Thùa Thiên Huế</t>
  </si>
  <si>
    <t>T2HU0158</t>
  </si>
  <si>
    <t>Khách Sạn Nguyễn Kim Huế</t>
  </si>
  <si>
    <t>Phường Phú Nội, TP Huế</t>
  </si>
  <si>
    <t>T2HY0116</t>
  </si>
  <si>
    <t>công trình Hoằng Giai</t>
  </si>
  <si>
    <t>Chân cầu vượt chợ Đường Cái tại Hưng Yên</t>
  </si>
  <si>
    <t>T2HY0122</t>
  </si>
  <si>
    <t>Khu đô thị phố Nối Hưng Yên</t>
  </si>
  <si>
    <t>đường 39A, xã Liêu Xá, huyện Yên Mỹ, tỉnh Hưng Yên</t>
  </si>
  <si>
    <t>T2KH0133</t>
  </si>
  <si>
    <t>Khu du lịch nghỉ dưỡng MỸ MỸ RERSORT</t>
  </si>
  <si>
    <t>Bán đảo cam ranh, xã cam hải đông, Huyện Cam Ranh, Tỉnh Khánh Hòa</t>
  </si>
  <si>
    <t>T2NT0083</t>
  </si>
  <si>
    <t>Khách sạn Libra</t>
  </si>
  <si>
    <t>Nha Trang, Khánh Hòa</t>
  </si>
  <si>
    <t>T2NT0084</t>
  </si>
  <si>
    <t>Dự án Scenia Bay Nha Trang</t>
  </si>
  <si>
    <t>T2NT0085</t>
  </si>
  <si>
    <t>Bệnh viện Ung Bứu tỉnh Khánh Hòa</t>
  </si>
  <si>
    <t>Nằm trong khu bệnh viện da liễu, Nha Trang</t>
  </si>
  <si>
    <t>T2NT0086</t>
  </si>
  <si>
    <t>Dự án Green Beach</t>
  </si>
  <si>
    <t>T2NT0087</t>
  </si>
  <si>
    <t>Dự án Tropicana</t>
  </si>
  <si>
    <t>T2NT0088</t>
  </si>
  <si>
    <t>Khách sạn Virgo</t>
  </si>
  <si>
    <t>T2NT0089</t>
  </si>
  <si>
    <t>Khách Sạn Joytrip</t>
  </si>
  <si>
    <t>60 61 Phạm Văn Đồng, TP. Nha Trang, Khánh Hòa</t>
  </si>
  <si>
    <t>T2NT0090</t>
  </si>
  <si>
    <t>Royal Marina Nha Trang</t>
  </si>
  <si>
    <t>Hùng Vương, TP. Nha Trang, Khánh Hòa</t>
  </si>
  <si>
    <t>T2NT0091</t>
  </si>
  <si>
    <t>Nha Trang City Central</t>
  </si>
  <si>
    <t>29 đường Phan Chu Trinh, TP.Nha Trang, Khánh Hòa</t>
  </si>
  <si>
    <t>T2NT0092</t>
  </si>
  <si>
    <t>Khách Sạn DAPHOVINA</t>
  </si>
  <si>
    <t>TP. Nha Trang, Khánh Hòa</t>
  </si>
  <si>
    <t>T2NT0093</t>
  </si>
  <si>
    <t>Resort cam Lâm</t>
  </si>
  <si>
    <t>Bãi dài, Cam Ranh, Tỉnh Khánh Hòa</t>
  </si>
  <si>
    <t>T2NT0094</t>
  </si>
  <si>
    <t>Movenpick Cam Ranh Resort</t>
  </si>
  <si>
    <t>Bãi Dài, Cam Ranh, Tỉnh Khánh Hòa</t>
  </si>
  <si>
    <t>T2NT0095</t>
  </si>
  <si>
    <t>Resort Amiana</t>
  </si>
  <si>
    <t>Phạm Văn Đồng, tp. Nha Trang, Khánh Hòa,</t>
  </si>
  <si>
    <t>T2NT0096</t>
  </si>
  <si>
    <t>Khu Nghĩ dưỡng Hồng Hà Cam Ranh</t>
  </si>
  <si>
    <t>Cam Ranh, Khánh Hòa</t>
  </si>
  <si>
    <t>T2NT0097</t>
  </si>
  <si>
    <t>Dự án Arena Cam Ranh</t>
  </si>
  <si>
    <t>T2NT0098</t>
  </si>
  <si>
    <t>Dự án Westin Resort &amp; spa</t>
  </si>
  <si>
    <t>T2NT0099</t>
  </si>
  <si>
    <t>Dự án khách sạn Regalia</t>
  </si>
  <si>
    <t>T2NT0100</t>
  </si>
  <si>
    <t>Sao Mai Anh Resort Nha Trang</t>
  </si>
  <si>
    <t>Phạm Văn Đồng, TP. Nha Trang, Khánh Hòa</t>
  </si>
  <si>
    <t>T2NT0101</t>
  </si>
  <si>
    <t>Dự Án Văn Phòng becamex</t>
  </si>
  <si>
    <t>T2NT0102</t>
  </si>
  <si>
    <t>Dự án tòa nhà văn phòng VCN</t>
  </si>
  <si>
    <t>T2NT0103</t>
  </si>
  <si>
    <t>Stella Maris Grand</t>
  </si>
  <si>
    <t>T2NT0128</t>
  </si>
  <si>
    <t>Peninsula Nha Trang</t>
  </si>
  <si>
    <t>Biển An Viên, Nha Trang</t>
  </si>
  <si>
    <t>T2NT0140</t>
  </si>
  <si>
    <t>KS Biển Vàng ( Gold coast )</t>
  </si>
  <si>
    <t>12 Trần Nguyên Hãn, TP. Nha Trang</t>
  </si>
  <si>
    <t>T2NT0145</t>
  </si>
  <si>
    <t>KS Hưng Thịnh</t>
  </si>
  <si>
    <t>Bãi dài, cam ranh, TP. Khánh Hòa</t>
  </si>
  <si>
    <t>T2NT0146</t>
  </si>
  <si>
    <t>Bệnh Viện 22/12</t>
  </si>
  <si>
    <t>Nguyễn Thiện Thuật, TP. Nha Trang</t>
  </si>
  <si>
    <t>T2PQ0109</t>
  </si>
  <si>
    <t>Công viên giải trí Sun World Hòn Thơm</t>
  </si>
  <si>
    <t>T2PQ0110</t>
  </si>
  <si>
    <t>Condotel premier residences</t>
  </si>
  <si>
    <t>T2PY0079</t>
  </si>
  <si>
    <t>Bãi Tràm Hotel</t>
  </si>
  <si>
    <t>Phú yên</t>
  </si>
  <si>
    <t>T2PY0080</t>
  </si>
  <si>
    <t>Nhà máy dược Pymephaco</t>
  </si>
  <si>
    <t>T2PY0081</t>
  </si>
  <si>
    <t>Rosa Alba Resort Phú Yên</t>
  </si>
  <si>
    <t>Đường Độc Lập, phường 9, thành phố Tuy Hòa, tỉnh Phú Yên</t>
  </si>
  <si>
    <t>T2PY0082</t>
  </si>
  <si>
    <t>TTTM SHOWROOM DŨNG TIẾN</t>
  </si>
  <si>
    <t>Đường Hùng Vương, P. 5, Tuy Hòa, TP. Phú Yên</t>
  </si>
  <si>
    <t>T2PY0159</t>
  </si>
  <si>
    <t>Khu Du Lịch VietBeach</t>
  </si>
  <si>
    <t>Lô C1 đường Độc Lập, Phường 9, TP Tuy Hòa, Tỉnh Phú Yên .</t>
  </si>
  <si>
    <t>T2PY0160</t>
  </si>
  <si>
    <t>TRUNG TÂM THỦY GIAO DỊCH THỦY SẢN ĐẮC LỘC</t>
  </si>
  <si>
    <t>35 Nguyễn Đình Chiểu, P.7, Tp. Tuy Hòa, tỉnh Phú Yên</t>
  </si>
  <si>
    <t>T2QA0056</t>
  </si>
  <si>
    <t>Nhà máy Trường Hải giai đoạn 2</t>
  </si>
  <si>
    <t>Chu Lai, Quảng Nam</t>
  </si>
  <si>
    <t>T2QA0057</t>
  </si>
  <si>
    <t>Khu đô thị Vọng Nhi ( Casamia )</t>
  </si>
  <si>
    <t>Hội An, Quảng Nam</t>
  </si>
  <si>
    <t>T2QA0058</t>
  </si>
  <si>
    <t>Dự án Resort &amp; Spa marriott Hội An</t>
  </si>
  <si>
    <t>Tại Biển cửa đại, TP. Hội An</t>
  </si>
  <si>
    <t>T2QA0059</t>
  </si>
  <si>
    <t>Dự án Khu nghĩ dưỡng Ngọc Hội An</t>
  </si>
  <si>
    <t>Hội An , Tỉnh Quảng Nam</t>
  </si>
  <si>
    <t>T2QA0061</t>
  </si>
  <si>
    <t>Holyday Beach Hội An</t>
  </si>
  <si>
    <t>T2QA0062</t>
  </si>
  <si>
    <t>Khu resort Cù lao Chàm</t>
  </si>
  <si>
    <t>T2QA0063</t>
  </si>
  <si>
    <t>Nam Hội An giai đoạn 2</t>
  </si>
  <si>
    <t>Hội An , tỉnh Quảng nam</t>
  </si>
  <si>
    <t>T2QA0064</t>
  </si>
  <si>
    <t>Khách sạn Ấn Tượng Hội An</t>
  </si>
  <si>
    <t>T2QA0065</t>
  </si>
  <si>
    <t>Công viên Hội An</t>
  </si>
  <si>
    <t>Hội An, Tỉnh Quảng Nam</t>
  </si>
  <si>
    <t>T2QA0066</t>
  </si>
  <si>
    <t>Marina resort Giai đoạn 2</t>
  </si>
  <si>
    <t>T2QA0067</t>
  </si>
  <si>
    <t>Dự án Malibu MGM Hội An</t>
  </si>
  <si>
    <t>Biển Hạ My, TP. Hội An, Tỉnh Quảng Nam</t>
  </si>
  <si>
    <t>T2QA0068</t>
  </si>
  <si>
    <t>Mercure Hội An</t>
  </si>
  <si>
    <t>Cửa Đại, TP. Hội An, Quảng Nam</t>
  </si>
  <si>
    <t>T2QA0069</t>
  </si>
  <si>
    <t>Khu du lịch ALILA</t>
  </si>
  <si>
    <t>Điện dương, Điện bàn, Quảng nam</t>
  </si>
  <si>
    <t>T2QA0070</t>
  </si>
  <si>
    <t>Blush Hội An</t>
  </si>
  <si>
    <t>Hội An - Quảng Nam</t>
  </si>
  <si>
    <t>T2QA0071</t>
  </si>
  <si>
    <t>CLUH HOUSE HỘI AN</t>
  </si>
  <si>
    <t>Hội An - Quản Nam</t>
  </si>
  <si>
    <t>T2QA0072</t>
  </si>
  <si>
    <t>Tổ hợp nhà máy Hòa Phát</t>
  </si>
  <si>
    <t>Hội An -qn</t>
  </si>
  <si>
    <t>T2QA0118</t>
  </si>
  <si>
    <t>FPT Complex Đà Nẵng giai đoạn 2</t>
  </si>
  <si>
    <t>phường Hòa Hải, quận Ngũ Hành Sơn.</t>
  </si>
  <si>
    <t>T2QA0119</t>
  </si>
  <si>
    <t>Pegasus</t>
  </si>
  <si>
    <t>T2QA0120</t>
  </si>
  <si>
    <t>Trường Đại Học FPT</t>
  </si>
  <si>
    <t>T2QA0139</t>
  </si>
  <si>
    <t>Khu resort Tam Tiến</t>
  </si>
  <si>
    <t>Xã Tam Tiến , Huyện Núi Thành, Tỉnh Quảng Nam</t>
  </si>
  <si>
    <t>T2QA0148</t>
  </si>
  <si>
    <t>Hotel Làng Chài</t>
  </si>
  <si>
    <t>Khu đô thị mới, P.Cửa Đại, Hội An.</t>
  </si>
  <si>
    <t>T2QA0154</t>
  </si>
  <si>
    <t>Trường Skyline</t>
  </si>
  <si>
    <t>TP. Hội An, Tỉnh Quảng Nam</t>
  </si>
  <si>
    <t>T2QB0105</t>
  </si>
  <si>
    <t>Bani Resort &amp; Spa</t>
  </si>
  <si>
    <t>Quảng Bình</t>
  </si>
  <si>
    <t>T2QB0106</t>
  </si>
  <si>
    <t>Dự Án Green Star</t>
  </si>
  <si>
    <t>T2QG0060</t>
  </si>
  <si>
    <t>Đại Quang Minh</t>
  </si>
  <si>
    <t>Chu Lai-Quảng Ngãi</t>
  </si>
  <si>
    <t>T2QG0073</t>
  </si>
  <si>
    <t>Tổ hợp thành phố đại học quốc tế</t>
  </si>
  <si>
    <t>Quảng ngãi</t>
  </si>
  <si>
    <t>T2QG0074</t>
  </si>
  <si>
    <t>Nhà máy nam Vang</t>
  </si>
  <si>
    <t>Quảng Ngãi</t>
  </si>
  <si>
    <t>T2QG0075</t>
  </si>
  <si>
    <t>Dự án nhà Máy đường Quảng Ngãi</t>
  </si>
  <si>
    <t>T2QG0076</t>
  </si>
  <si>
    <t>Dự án BIG C</t>
  </si>
  <si>
    <t>T2QG0117</t>
  </si>
  <si>
    <t>Nhà Máy Mensa Quảng Ngãi</t>
  </si>
  <si>
    <t>Vsip Tịnh Phong, Quảng Ngãi</t>
  </si>
  <si>
    <t>T2QG0124</t>
  </si>
  <si>
    <t>Hoya lens</t>
  </si>
  <si>
    <t>Khu Vsip Quảng Ngãi</t>
  </si>
  <si>
    <t>T2QG0141</t>
  </si>
  <si>
    <t>Nhà máy sản xuất sợi thép và sợi thép bện Bekaert Việt Nam – Dung Quất</t>
  </si>
  <si>
    <t>Khu công nghiệp Vsip Quảng Ngãi</t>
  </si>
  <si>
    <t>T2QG0142</t>
  </si>
  <si>
    <t>Nhà máy sản xuất sợi Xindadong Textiles- Dung Quất</t>
  </si>
  <si>
    <t>T2QG0143</t>
  </si>
  <si>
    <t>Nhà máy sản xuất sợi và Vải mahang Dung Quốc</t>
  </si>
  <si>
    <t>T2QG0144</t>
  </si>
  <si>
    <t>Nhà máy sản xuất đồ nội ngoại thất Happy Dung Quốc</t>
  </si>
  <si>
    <t>T2SG0002</t>
  </si>
  <si>
    <t>D'Edge Thảo Điền</t>
  </si>
  <si>
    <t>Đường Nguyễn Văn Hưởng, phường Thảo Điền, quận 2, Tp.HCM</t>
  </si>
  <si>
    <t>T2SG0108</t>
  </si>
  <si>
    <t>Bệnh viện 175 _Sài Gòn</t>
  </si>
  <si>
    <t>Sài gòn</t>
  </si>
  <si>
    <t>T2SG0112</t>
  </si>
  <si>
    <t>Dự án cao ốc phúc hợp Ngân Bình</t>
  </si>
  <si>
    <t>87 cống quỳnh, Q. 1, TP. Hồ Chí Minh</t>
  </si>
  <si>
    <t>T2SG0115</t>
  </si>
  <si>
    <t>Moonlight Kinh Dương Vương</t>
  </si>
  <si>
    <t>510 Kinh Dương Vương, Bình Tân, HCM</t>
  </si>
  <si>
    <t>T2SG0152</t>
  </si>
  <si>
    <t>Tòa nhà Văn phòng Cadivi</t>
  </si>
  <si>
    <t>70-72 Nam Kỳ Khởi Nghĩa, p. Nguyễn Thái Bình, Q. 1, TP. HCM</t>
  </si>
  <si>
    <t>T2SP1111</t>
  </si>
  <si>
    <t>Lady Hill Resort Sapa</t>
  </si>
  <si>
    <t>T3HA0001</t>
  </si>
  <si>
    <t>NHà máy HONDA HÀ NAM</t>
  </si>
  <si>
    <t>KCN Đồng Văn 2, Duy Tiên, Hà Nam</t>
  </si>
  <si>
    <t>T3HA0007</t>
  </si>
  <si>
    <t>Nhà máy Risuntek</t>
  </si>
  <si>
    <t>KCN ĐỒng Văn , Hà Nam</t>
  </si>
  <si>
    <t>T3HN0003</t>
  </si>
  <si>
    <t>Nhà máy HOYA</t>
  </si>
  <si>
    <t>KCN Thăng Long, Đông ANh, Hà Nội</t>
  </si>
  <si>
    <t>T3HN0008</t>
  </si>
  <si>
    <t>Nhà máy Nidec Techno Motor Việt Nam</t>
  </si>
  <si>
    <t>KCN Láng Hòa Lạc , Hà Nội</t>
  </si>
  <si>
    <t>T3HP0006</t>
  </si>
  <si>
    <t>Nhà máy Haengsung</t>
  </si>
  <si>
    <t>KCN Tràng Duệ, Hải Phòng</t>
  </si>
  <si>
    <t>T3HY0002</t>
  </si>
  <si>
    <t>Nhà máy Kyocera Hưng Yên</t>
  </si>
  <si>
    <t>KCN Thăng Long 2, HƯng Yên</t>
  </si>
  <si>
    <t>T3HY0005</t>
  </si>
  <si>
    <t>NHÀ MÁY YUSUNG ELECTRONICS VINA</t>
  </si>
  <si>
    <t>Lô CN4-P2 KCN YÊN MỸ, Huyện Yên MỸ, Tỉnh Hưng Yên, Việt Nam</t>
  </si>
  <si>
    <t>T3NA0008</t>
  </si>
  <si>
    <t>Nhà máy Woosin</t>
  </si>
  <si>
    <t>Số 10, đường số 2 Khu công nghiệp VSIP Nghệ An, Xã Hưng Tây, Huyện Hưng Nguyên, Tỉnh Nghệ An</t>
  </si>
  <si>
    <t>T3SG0006</t>
  </si>
  <si>
    <t>Cục An Ninh HCM</t>
  </si>
  <si>
    <t>58 Nguyễn Trãi , P Nguyễn Cư Trinh , HCM</t>
  </si>
  <si>
    <t>T3SG0007</t>
  </si>
  <si>
    <t>Chung cư Minh Thông 2</t>
  </si>
  <si>
    <t>đường giao lộ giữa Đường Song Hành &amp; Nguyễn Thị Định Quận 2-HCM</t>
  </si>
  <si>
    <t>T7BĐ0003</t>
  </si>
  <si>
    <t>Khách sạn Lamour Quy Nhơn</t>
  </si>
  <si>
    <t>Quy Nhơn-Bình Định</t>
  </si>
  <si>
    <t>T7BG0005</t>
  </si>
  <si>
    <t>Khu nhà ở công nhân Fuji Bắc Giang</t>
  </si>
  <si>
    <t>Thôn Chiền , Xã nội Hoàng, Huyền Yên Dũng, Băc Giang</t>
  </si>
  <si>
    <t>T7HN0001</t>
  </si>
  <si>
    <t>Trường học Gateway Tây Hồ Tây</t>
  </si>
  <si>
    <t>T7HN0006</t>
  </si>
  <si>
    <t>Plaschem - Đức Giang , Long Biên</t>
  </si>
  <si>
    <t>Số 93 Đức Giang , Long Biên , Hà Nội</t>
  </si>
  <si>
    <t>T7HN0008</t>
  </si>
  <si>
    <t>Showroom oto mitsu</t>
  </si>
  <si>
    <t>T7QN0002</t>
  </si>
  <si>
    <t>Khách sạn Cẩm Phả</t>
  </si>
  <si>
    <t>T7SG0007</t>
  </si>
  <si>
    <t>Tòa Nhà Văn Phòng Đông Như</t>
  </si>
  <si>
    <t>24-26 Phan Đình Giót, Phường 2 Quận Tân Bình , HCM</t>
  </si>
  <si>
    <t>T7TG0004</t>
  </si>
  <si>
    <t>Bệnh Viện Tiền Giang</t>
  </si>
  <si>
    <t>Tiền giang</t>
  </si>
  <si>
    <t>T8BT0091</t>
  </si>
  <si>
    <t>NOVA HILL MŨI NÉ</t>
  </si>
  <si>
    <t>XÃ THIỆN NGHIỆP, PHƯỜNG HÀM TIẾN VÀ PHƯỜNG MŨI NÉ, TP. PHAN THIẾT, TỈNH BÌNH THUẬN</t>
  </si>
  <si>
    <t>T8ĐN0012</t>
  </si>
  <si>
    <t>Marriot Đà Nẵng</t>
  </si>
  <si>
    <t>T8ĐN0105</t>
  </si>
  <si>
    <t>Nhà máy LongWell</t>
  </si>
  <si>
    <t>KCN Dầu Giây - Đồng Nai</t>
  </si>
  <si>
    <t>T8ĐT0076</t>
  </si>
  <si>
    <t>Bệnh viện Đa Khoa tỉnh Đồng Tháp</t>
  </si>
  <si>
    <t>144 Mai Văn Khải, Mỹ Tân, TP. Cao Lãnh, Đồng Tháp</t>
  </si>
  <si>
    <t>T8H1HD0017</t>
  </si>
  <si>
    <t>Sumidenso</t>
  </si>
  <si>
    <t>T8H1HY0015</t>
  </si>
  <si>
    <t>Nhà máy kinh đô Hưng YÊn</t>
  </si>
  <si>
    <t>KM22 quốc lộ 5 - TT Bần Yên Nhân -Huyện Mỹ Hào - Tỉnh Hưng Yên - VN</t>
  </si>
  <si>
    <t>T8HA0015</t>
  </si>
  <si>
    <t>Bệnh viện Việt Đức 2</t>
  </si>
  <si>
    <t>T8HN0001</t>
  </si>
  <si>
    <t>Intracom Vĩnh Ngọc</t>
  </si>
  <si>
    <t>T8HN0002</t>
  </si>
  <si>
    <t>Newtatco</t>
  </si>
  <si>
    <t>T8HN0003</t>
  </si>
  <si>
    <t>Pent Studio</t>
  </si>
  <si>
    <t>T8HN0006</t>
  </si>
  <si>
    <t>K35</t>
  </si>
  <si>
    <t>T8HN0007</t>
  </si>
  <si>
    <t>Việt Đức Complex</t>
  </si>
  <si>
    <t>T8HN0008</t>
  </si>
  <si>
    <t>One 18</t>
  </si>
  <si>
    <t>T8HN0010</t>
  </si>
  <si>
    <t>TT Lưu kí chứng khoán</t>
  </si>
  <si>
    <t>T8HN0014</t>
  </si>
  <si>
    <t>6th Element</t>
  </si>
  <si>
    <t>T8HN0016</t>
  </si>
  <si>
    <t>Fraser Residence</t>
  </si>
  <si>
    <t>T8HN0019</t>
  </si>
  <si>
    <t>Tràng An Residence</t>
  </si>
  <si>
    <t>T8HN0020</t>
  </si>
  <si>
    <t>Hinode City</t>
  </si>
  <si>
    <t>T8HN0021</t>
  </si>
  <si>
    <t>Gold Tower</t>
  </si>
  <si>
    <t>T8HN0025</t>
  </si>
  <si>
    <t>Grandeur Palace - Giảng Võ</t>
  </si>
  <si>
    <t>T8HN0026</t>
  </si>
  <si>
    <t>Thành Công Residence</t>
  </si>
  <si>
    <t>T8HN0027</t>
  </si>
  <si>
    <t>X3 Mỹ Đình - Florence</t>
  </si>
  <si>
    <t>T8HN0029</t>
  </si>
  <si>
    <t>FPT Tower</t>
  </si>
  <si>
    <t>Mỹ Đình - Từ Liêm - Hà Nội</t>
  </si>
  <si>
    <t>T8HN0030</t>
  </si>
  <si>
    <t>GreenPearl</t>
  </si>
  <si>
    <t>T8HN0033</t>
  </si>
  <si>
    <t>Bệnh viện Việt Pháp</t>
  </si>
  <si>
    <t>T8HN0038</t>
  </si>
  <si>
    <t>Handico Residence</t>
  </si>
  <si>
    <t>T8HN0040</t>
  </si>
  <si>
    <t>Iris Garden</t>
  </si>
  <si>
    <t>T8HN0041</t>
  </si>
  <si>
    <t>IA20</t>
  </si>
  <si>
    <t>T8HN0047</t>
  </si>
  <si>
    <t>T8HN0049</t>
  </si>
  <si>
    <t>Gold Season 47 Nguyễn Tuân</t>
  </si>
  <si>
    <t>T8HN0050</t>
  </si>
  <si>
    <t>Manhattan Tower</t>
  </si>
  <si>
    <t>T8HN0056</t>
  </si>
  <si>
    <t>Hope Residence</t>
  </si>
  <si>
    <t>T8HN0057</t>
  </si>
  <si>
    <t>Park City Hà Nội</t>
  </si>
  <si>
    <t>T8HN0058</t>
  </si>
  <si>
    <t>Pandora</t>
  </si>
  <si>
    <t>T8HN0061</t>
  </si>
  <si>
    <t>Sunshine Riverside</t>
  </si>
  <si>
    <t>Ô đất CT – 03A – CT. Thuộc lô đất CT – 03 Khu đô thị Nam Thăng Long.</t>
  </si>
  <si>
    <t>T8HN0062</t>
  </si>
  <si>
    <t>Hoành Sơn Complex</t>
  </si>
  <si>
    <t>282 Nguyễn Huy Tưởng</t>
  </si>
  <si>
    <t>T8HN0065</t>
  </si>
  <si>
    <t>Vincity Gia Lâm</t>
  </si>
  <si>
    <t>Gia Lâm, Hà Nội</t>
  </si>
  <si>
    <t>T8HN0066</t>
  </si>
  <si>
    <t>PCC1 Triều Khúc</t>
  </si>
  <si>
    <t>44 Triều Khúc - Thanh Trì - HN</t>
  </si>
  <si>
    <t>T8HN0067</t>
  </si>
  <si>
    <t>Bệnh viện quân y 103</t>
  </si>
  <si>
    <t>Hà Đông - Hà Nội</t>
  </si>
  <si>
    <t>T8HN0068</t>
  </si>
  <si>
    <t>Vinhomes Spotia</t>
  </si>
  <si>
    <t>Tây Mỗ- Đại Mỗ- Từ Liêm - HN</t>
  </si>
  <si>
    <t>T8HN0072</t>
  </si>
  <si>
    <t>Vinhomes D'Capitale</t>
  </si>
  <si>
    <t>Trần Duy Hưng, Hà Nội</t>
  </si>
  <si>
    <t>T8HN0074</t>
  </si>
  <si>
    <t>TSG Lotus Sài Đồng</t>
  </si>
  <si>
    <t>Sài Đồng - Long Biên - Hà Nội</t>
  </si>
  <si>
    <t>T8HN0078</t>
  </si>
  <si>
    <t>TRỤ SỞ BÁO ĐIỆN TỬ ĐẢNG CSVN CÔNG TRÌNH HỖN HỢP (tên thương mại: V.I.C TOWER)</t>
  </si>
  <si>
    <t>lô C ô D4, Dịch Vọng Hậu, Cầu Giấy, Hà Nội;</t>
  </si>
  <si>
    <t>T8HN0079</t>
  </si>
  <si>
    <t>văn phòng Bim Group</t>
  </si>
  <si>
    <t>44 yên phụ - Tây Hồ - HN</t>
  </si>
  <si>
    <t>T8HN0080</t>
  </si>
  <si>
    <t>Stellar Garden</t>
  </si>
  <si>
    <t>35 Lê Văn Thiêm - Thanh Xuân - Hà Nội</t>
  </si>
  <si>
    <t>T8HN0082</t>
  </si>
  <si>
    <t>El`Dorado Tây Hồ</t>
  </si>
  <si>
    <t>Phú Thượng - Phú Thanh - Tây Hồ - Hà Nội</t>
  </si>
  <si>
    <t>T8HN0086</t>
  </si>
  <si>
    <t>Vinhomes SmarCity</t>
  </si>
  <si>
    <t>Tây Mỗ - Nam Từ Liêm - Hà Nội</t>
  </si>
  <si>
    <t>T8HN0088</t>
  </si>
  <si>
    <t>ROSE TOWER</t>
  </si>
  <si>
    <t>79 Ngọc Hồi - Hoàng Liệt - Hoàng Mai - HN</t>
  </si>
  <si>
    <t>T8HN0089</t>
  </si>
  <si>
    <t>Nhà máy VinSmart</t>
  </si>
  <si>
    <t>KCN Láng Hòa Lạc - Hà Nội</t>
  </si>
  <si>
    <t>T8HN0095</t>
  </si>
  <si>
    <t>Vinhomes Ocean Park</t>
  </si>
  <si>
    <t>Gia Lâm - Hà Nội</t>
  </si>
  <si>
    <t>T8HN0096</t>
  </si>
  <si>
    <t>Eurowindow River Park</t>
  </si>
  <si>
    <t>Đông Trù - Đông Hội - Đông Anh - Hà Nội</t>
  </si>
  <si>
    <t>T8HN0097</t>
  </si>
  <si>
    <t>Golden Tower</t>
  </si>
  <si>
    <t>275 Nguyễn Trãi - Thanh Xuân - Hà Nội</t>
  </si>
  <si>
    <t>T8HN0101</t>
  </si>
  <si>
    <t>DREAMLAND Bonanza</t>
  </si>
  <si>
    <t>23 Duy Tân, Cầu Giấy, HN</t>
  </si>
  <si>
    <t>T8HN0103</t>
  </si>
  <si>
    <t>DỰ ÁN LE GRAND JARDIN SÀI ĐỒNG</t>
  </si>
  <si>
    <t>Lô đất No15 - No16 Sài Đồng - Long Biên - Hà Nội</t>
  </si>
  <si>
    <t>T8HN0104</t>
  </si>
  <si>
    <t>An Quý Hưng Riverside</t>
  </si>
  <si>
    <t>Thượng Thanh - Long Biên - Hà Nội</t>
  </si>
  <si>
    <t>T8HN0106</t>
  </si>
  <si>
    <t>IEC COMPLEXEX</t>
  </si>
  <si>
    <t>Tứ Hiệp , Thanh Trì , HN</t>
  </si>
  <si>
    <t>T8HN0107</t>
  </si>
  <si>
    <t>HT Building</t>
  </si>
  <si>
    <t>03 Trần Thái Tông, Cầu Giấy , HN</t>
  </si>
  <si>
    <t>T8HP0005</t>
  </si>
  <si>
    <t>T8HP0009</t>
  </si>
  <si>
    <t>Vinfast factory</t>
  </si>
  <si>
    <t>T8HP0022</t>
  </si>
  <si>
    <t>Golden Land Hải Phòng</t>
  </si>
  <si>
    <t>T8HP0031</t>
  </si>
  <si>
    <t>Grand Pacific</t>
  </si>
  <si>
    <t>T8HP0048</t>
  </si>
  <si>
    <t>Khách sạn Hải Phòng Chuo Việt Nam</t>
  </si>
  <si>
    <t>T8HP0093</t>
  </si>
  <si>
    <t>Bệnh viện Đa khoa Quốc tế Hải Phòng - Vĩnh Bảo</t>
  </si>
  <si>
    <t>khu Tân Hòa, thị trấn Vĩnh Bảo, huyện Vĩnh Bảo và đường Nguyễn Đức Cảnh , Tp Hải Phòng</t>
  </si>
  <si>
    <t>T8HP0102</t>
  </si>
  <si>
    <t>Nhà máy dược phẩm TW3</t>
  </si>
  <si>
    <t>KCN Tràng Duệ - Hải Phòng</t>
  </si>
  <si>
    <t>T8HT0035</t>
  </si>
  <si>
    <t>Nhà máy Formosa</t>
  </si>
  <si>
    <t>T8HT0036</t>
  </si>
  <si>
    <t>Khu gia quyến chuyên gia Đài Loan</t>
  </si>
  <si>
    <t>T8HT0042</t>
  </si>
  <si>
    <t>Vincom Hà Tĩnh</t>
  </si>
  <si>
    <t>T8KG0039</t>
  </si>
  <si>
    <t>Sonasea Villas &amp; Resort</t>
  </si>
  <si>
    <t>T8KG0098</t>
  </si>
  <si>
    <t>VINPEARL PHÚ QUỐC MỞ RỘNG</t>
  </si>
  <si>
    <t>Bãi Dài-Xã Gành Dầu- Huyện Phú Quốc- Tỉnh Kiên Giang</t>
  </si>
  <si>
    <t>T8KG0099</t>
  </si>
  <si>
    <t>Bình Minh - Phú Quốc Hotel &amp; beach Resort (thuộc Sonasea villas &amp; Resot)</t>
  </si>
  <si>
    <t>khu tổ hợp Sonasea villas &amp; Resot - tổ 5 ấp Đường - Dương Tơ - Phú Quốc</t>
  </si>
  <si>
    <t>T8KN0059</t>
  </si>
  <si>
    <t>HUD BUILING NHA TRANG</t>
  </si>
  <si>
    <t>T8KH0044</t>
  </si>
  <si>
    <t>Alma Cam Ranh</t>
  </si>
  <si>
    <t>T8KH0055</t>
  </si>
  <si>
    <t>Trung tâm bến du thuyền Hoàng Gia</t>
  </si>
  <si>
    <t>T8LC0004</t>
  </si>
  <si>
    <t>Việt Pháp Sapa</t>
  </si>
  <si>
    <t>T8NT0053</t>
  </si>
  <si>
    <t>La Luna Nha Trang</t>
  </si>
  <si>
    <t>T8QA0011</t>
  </si>
  <si>
    <t>Shilla Resort</t>
  </si>
  <si>
    <t>T8QB0054</t>
  </si>
  <si>
    <t>Pullman Quảng Bình</t>
  </si>
  <si>
    <t>T8QG0034</t>
  </si>
  <si>
    <t>Nhà máy thép Hòa Phát Dung Quất</t>
  </si>
  <si>
    <t>T8QN0013</t>
  </si>
  <si>
    <t>Pullman Quảng Ninh</t>
  </si>
  <si>
    <t>T8QN0017</t>
  </si>
  <si>
    <t>Khách sạn DC Hạ Long</t>
  </si>
  <si>
    <t>Hạ Long - Quảng Ninh</t>
  </si>
  <si>
    <t>T8QN0018</t>
  </si>
  <si>
    <t>Xuân Thiều Resort</t>
  </si>
  <si>
    <t>T8QN0023</t>
  </si>
  <si>
    <t>Time Garden Hạ Long</t>
  </si>
  <si>
    <t>T8QN0024</t>
  </si>
  <si>
    <t>Khách sạn Imperia Hải Phòng</t>
  </si>
  <si>
    <t>T8QN0028</t>
  </si>
  <si>
    <t>MON Bay</t>
  </si>
  <si>
    <t>T8QN0045</t>
  </si>
  <si>
    <t>Green Bay Hạ Long</t>
  </si>
  <si>
    <t>T8QN0051</t>
  </si>
  <si>
    <t>Yên Tử</t>
  </si>
  <si>
    <t>T8QN0052</t>
  </si>
  <si>
    <t>Beverly Hill Hạ Long</t>
  </si>
  <si>
    <t>T8QN0060</t>
  </si>
  <si>
    <t>Dự án Beverly Hills Hạ Long</t>
  </si>
  <si>
    <t>T8QN0070</t>
  </si>
  <si>
    <t>Condotel Hạ Long</t>
  </si>
  <si>
    <t>Đại lộ Marina, Tp.Hạ Long Quảng Ninh</t>
  </si>
  <si>
    <t>T8QN0073</t>
  </si>
  <si>
    <t>Citadens Hạ Long</t>
  </si>
  <si>
    <t>Đại lộ Marina - Bãi Cháy - Hạ Long - Quảng Ninh</t>
  </si>
  <si>
    <t>T8QN0075</t>
  </si>
  <si>
    <t>Hilton Hạ Long (tên khác Double Tree)</t>
  </si>
  <si>
    <t>Lô 4 - đường Hạ Long - Bãi Cháy - Hạ Long - Quảng Ninh</t>
  </si>
  <si>
    <t>T8QN0077</t>
  </si>
  <si>
    <t>KHÁCH SẠN HẠ LONG DC-GRAND</t>
  </si>
  <si>
    <t>Bãi Cháy - Hạ Long - Quảng Ninh</t>
  </si>
  <si>
    <t>T8QN0081</t>
  </si>
  <si>
    <t>Khách sạn Hà Thành</t>
  </si>
  <si>
    <t>T8SG0085</t>
  </si>
  <si>
    <t>Bệnh viện U bướu Cơ sở 2</t>
  </si>
  <si>
    <t>Khu phố 3 - P.Tân Phú - Q.9 - HCM</t>
  </si>
  <si>
    <t>T8SG0087</t>
  </si>
  <si>
    <t>Nguyễn Xiển - Quận 9 - Tp.HCM</t>
  </si>
  <si>
    <t>T8TN0063</t>
  </si>
  <si>
    <t>Pomihoa</t>
  </si>
  <si>
    <t>đường Phan Đình Phùng – Phường Phan Đình Phùng – Tp Thái Nguyên – Tỉnh Thái Nguyên.</t>
  </si>
  <si>
    <t>T8TN0064</t>
  </si>
  <si>
    <t>Tháp Thiên Niên Kỷ</t>
  </si>
  <si>
    <t>SỐ 4, ĐƯỜNG QUANG TRUNG, HÀ ĐÔNG, HÀ NỘI</t>
  </si>
  <si>
    <t>T8TN0100</t>
  </si>
  <si>
    <t>UBND tỉnh Thái Nguyên</t>
  </si>
  <si>
    <t>phường Trưng Vương - Tp.Thái Nguyên - tỉnh Thái Nguyên</t>
  </si>
  <si>
    <t>T8TV0090</t>
  </si>
  <si>
    <t>Big C Trà Vinh</t>
  </si>
  <si>
    <t>Đường Võ Nguyên Giáp, Tp. Trà Vinh</t>
  </si>
  <si>
    <t>T8TH0037</t>
  </si>
  <si>
    <t>Bệnh viện Động Lực</t>
  </si>
  <si>
    <t>T8TH0043</t>
  </si>
  <si>
    <t>Vincom Thanh Hóa</t>
  </si>
  <si>
    <t>T8TH0084</t>
  </si>
  <si>
    <t>khách sạn Vũ Phong</t>
  </si>
  <si>
    <t>đường hai bà trưng phường quảng cư thành phố sầm sơn - Thanh Hoá</t>
  </si>
  <si>
    <t>T8TH0092</t>
  </si>
  <si>
    <t>Bệnh viện Hợp Lực</t>
  </si>
  <si>
    <t>Nghi Sơn, Thanh Hóa</t>
  </si>
  <si>
    <t>T8VT0083</t>
  </si>
  <si>
    <t>AVANI Vũng Tàu Resort &amp; Spa</t>
  </si>
  <si>
    <t>03-06 Hạ Long, TP Vũng Tàu, Tỉnh Bà Rịa Vũng Tàu</t>
  </si>
  <si>
    <t>T8VT0094</t>
  </si>
  <si>
    <t>ATC-CÔN ĐẢO</t>
  </si>
  <si>
    <t>Số 8,10,12,14 Tôn Đức Thắng, Trung Tâm Côn Sơn, Huyện Côn Đảo, Tỉnh Bà Rịa-Vũng Tàu, Việt Nam</t>
  </si>
  <si>
    <t>T9BD0002</t>
  </si>
  <si>
    <t>ORION Bình Dương</t>
  </si>
  <si>
    <t>KCN Mỹ Phước 2 , Huyện Bến Cát, Tỉnh Bình Dương</t>
  </si>
  <si>
    <t>T9BN0008</t>
  </si>
  <si>
    <t>Nhà ở xã hội Kinh Bắc , Quế Võ Bắc Ninh</t>
  </si>
  <si>
    <t>Xã Việt Hùng , Huyện Quế Võ , TỈnh Bắc Nính</t>
  </si>
  <si>
    <t>T9ĐN0001</t>
  </si>
  <si>
    <t>Khách sạn Hòa Ninh</t>
  </si>
  <si>
    <t>Huỳnh Bá Cước</t>
  </si>
  <si>
    <t>T9ĐN0002</t>
  </si>
  <si>
    <t>KS Cordial</t>
  </si>
  <si>
    <t>loseby, sơn trà TP Đà Nẵng</t>
  </si>
  <si>
    <t>T9ĐN0003</t>
  </si>
  <si>
    <t>Công Trình Bệnh Viện Hải Châu ĐN</t>
  </si>
  <si>
    <t>38 Cao Thắng, TP.ĐN</t>
  </si>
  <si>
    <t>T9ĐN0004</t>
  </si>
  <si>
    <t>Khách sạn Quang Minh</t>
  </si>
  <si>
    <t>Võ Nguyên Giáp, ĐN</t>
  </si>
  <si>
    <t>T9ĐN0005</t>
  </si>
  <si>
    <t>Khách sạn Cozy</t>
  </si>
  <si>
    <t>Số 37 Cô Giang,Phường Phước Ninh, Q.Hải Châu,TPĐN</t>
  </si>
  <si>
    <t>T9ĐN0006</t>
  </si>
  <si>
    <t>Khách sạn Starfish</t>
  </si>
  <si>
    <t>145 Nguyễn Văn Thoại,TPĐN</t>
  </si>
  <si>
    <t>T9HA0001</t>
  </si>
  <si>
    <t>Dự án Kurosu</t>
  </si>
  <si>
    <t>Đường D1 , Khu E, KCN Hòa Mạc , Xã Châu Giang , Huyện Duy Tiến Tỉnh Hà Nam</t>
  </si>
  <si>
    <t>T9HN0004</t>
  </si>
  <si>
    <t>Điện Lực Đống Đa</t>
  </si>
  <si>
    <t>Số 274 Tôn Đức Thắng , Phường Hàng Bột , Quận Đống Đa , HN</t>
  </si>
  <si>
    <t>T9HN0005</t>
  </si>
  <si>
    <t>Intracom Riverside Vĩnh Ngọc</t>
  </si>
  <si>
    <t>Xã Vĩnh Ngọc , Huyện Đông Anh, Thành Phố HN</t>
  </si>
  <si>
    <t>T9HN0006</t>
  </si>
  <si>
    <t>Viện Khoa Học Và Kỹ Thuật Hạt Nhân</t>
  </si>
  <si>
    <t>179 Hoàng Quốc Việt, Cầu Giấy , Hà Nội</t>
  </si>
  <si>
    <t>T9HP0003</t>
  </si>
  <si>
    <t>ADHES Hải Phòng</t>
  </si>
  <si>
    <t>Lô đất CN 1K, KCN Deep C 2B, Thuộc khu kinh tế Đình Vũ - Cát Hải, Phường ĐÔng Hải 2, Quận Hải An , TP Hải Phòng</t>
  </si>
  <si>
    <t>T9HP0007</t>
  </si>
  <si>
    <t>Logisvalley HTNS Hải Phòng</t>
  </si>
  <si>
    <t>Lô đất CN4.1L, Khu CN Đình Vũ , Thuộc Khu Kinh Tế Đình Vũ -Cát Hải , Phường Đông Hải 2, Quận Hải An , Thành Phố Hải Phòng</t>
  </si>
  <si>
    <t>T9QA0007</t>
  </si>
  <si>
    <t>Tui blue Nam Hội An</t>
  </si>
  <si>
    <t>Xã Tam Tiến,H.Núi Thành,Quảng Nam</t>
  </si>
  <si>
    <t>VD01</t>
  </si>
  <si>
    <t>ABC</t>
  </si>
  <si>
    <t>Y1BG0007</t>
  </si>
  <si>
    <t>Nhà máy Nichirin Bắc Giang</t>
  </si>
  <si>
    <t>Y1HN0001</t>
  </si>
  <si>
    <t>Dự án Chung cư Hateco Xuân Phương</t>
  </si>
  <si>
    <t>Y1HN0002</t>
  </si>
  <si>
    <t>DISCOVERY COMPLEX</t>
  </si>
  <si>
    <t>Y1HN0004</t>
  </si>
  <si>
    <t>ICID Complex</t>
  </si>
  <si>
    <t>Y1HN0005</t>
  </si>
  <si>
    <t>Chung cư Goldmark City</t>
  </si>
  <si>
    <t>Y1HN0006</t>
  </si>
  <si>
    <t>Tòa căn hộ cao cấp bán và cho thuê 345 Đội Cấn ( tên thương mại: Chung cư Thành Công Residence)</t>
  </si>
  <si>
    <t>Y1HN0008</t>
  </si>
  <si>
    <t>Tổ hợp thương mại và dịch vụ, văn phòng cho thuê và nhà ở Chung cư ADG Garden</t>
  </si>
  <si>
    <t>Y1HN0009</t>
  </si>
  <si>
    <t>NHÀ MÁY SHI</t>
  </si>
  <si>
    <t>Y1HN0010</t>
  </si>
  <si>
    <t>ECO DREAM</t>
  </si>
  <si>
    <t>Lô đất TT6, Khu Đô thị mới Tây Nam Kim Giang 1, Xã Tân Triều, Huyện Thanh Trì, Hà Nội</t>
  </si>
  <si>
    <t>Y1HN0012</t>
  </si>
  <si>
    <t>VINHOMES Hamony</t>
  </si>
  <si>
    <t>Xã Đa Tốn, Kiêu Kị, Dương Xá - Gia Lâm - Hà Nội</t>
  </si>
  <si>
    <t>Y1SG0003</t>
  </si>
  <si>
    <t>BOTANICA PREMIER</t>
  </si>
  <si>
    <t>Y1SG0011</t>
  </si>
  <si>
    <t>SAFIRA KHANG ĐIỀN</t>
  </si>
  <si>
    <t>Đường Võ Chí Công, Phường Phú Hữu, Quận 9, TP Hồ Chí Minh</t>
  </si>
  <si>
    <t>Số dòng = 595</t>
  </si>
  <si>
    <t>1. NHÓM ỐNG ĐỒNG</t>
  </si>
  <si>
    <t>Nhóm HH</t>
  </si>
  <si>
    <t>VAT</t>
  </si>
  <si>
    <t>Tỷ lệ K</t>
  </si>
  <si>
    <t>Toàn Phát - Việt Nam</t>
  </si>
  <si>
    <t>ĐTPCUONIB</t>
  </si>
  <si>
    <t>DOC0476050</t>
  </si>
  <si>
    <t>Đồng ống PC 04.76x0.50</t>
  </si>
  <si>
    <t>DOC0476051</t>
  </si>
  <si>
    <t>Đồng ống PC 04.76x0.51</t>
  </si>
  <si>
    <t>ĐTPCUONDI</t>
  </si>
  <si>
    <t>DOC0476065</t>
  </si>
  <si>
    <t>Đồng ống PC 04.76x0.65</t>
  </si>
  <si>
    <t>DOC0476070</t>
  </si>
  <si>
    <t>Đồng ống PC 04.76x0.70</t>
  </si>
  <si>
    <t>DOC0476071</t>
  </si>
  <si>
    <t>Đồng ống PC 04.76x0.71</t>
  </si>
  <si>
    <t>DOC0476080</t>
  </si>
  <si>
    <t>Đồng ống PC 04.76x0.80</t>
  </si>
  <si>
    <t>DOC0500100</t>
  </si>
  <si>
    <t>Đồng ống PC 05.00x1.00</t>
  </si>
  <si>
    <t>DOC0550061</t>
  </si>
  <si>
    <t>Đồng ống PC 05.50x0.61</t>
  </si>
  <si>
    <t>DOC055005</t>
  </si>
  <si>
    <t>Đồng ống PC 05.50x0.5</t>
  </si>
  <si>
    <t>DOC0600035</t>
  </si>
  <si>
    <t>Đồng ống PC 06.00x0.35</t>
  </si>
  <si>
    <t>DOC0600051</t>
  </si>
  <si>
    <t>Đồng ống PC 06.00x0.51</t>
  </si>
  <si>
    <t>DOC0600100</t>
  </si>
  <si>
    <t>Đồng ống PC 06.00x1.00</t>
  </si>
  <si>
    <t>DOC0635063</t>
  </si>
  <si>
    <t>Đồng ống PC 06.35x0.63</t>
  </si>
  <si>
    <t>DOC0635089</t>
  </si>
  <si>
    <t>Đồng ống PC 06.35x0.89</t>
  </si>
  <si>
    <t>DOC0635091</t>
  </si>
  <si>
    <t>Đồng ống PC 06.35x0.91</t>
  </si>
  <si>
    <t>DOC0635040</t>
  </si>
  <si>
    <t>Đồng ống PC 06.35x0.40</t>
  </si>
  <si>
    <t>DOC0635048</t>
  </si>
  <si>
    <t>Đồng ống PC 06.35x0.48</t>
  </si>
  <si>
    <t>DOC0635050</t>
  </si>
  <si>
    <t>Đồng ống PC 06.35x0.50</t>
  </si>
  <si>
    <t>DOC0635051</t>
  </si>
  <si>
    <t>Đồng ống PC 06.35x0.51</t>
  </si>
  <si>
    <t>DOC0635055</t>
  </si>
  <si>
    <t>Đồng ống PC 06.35x0.55</t>
  </si>
  <si>
    <t>DOC0635056</t>
  </si>
  <si>
    <t>Đồng ống PC 06.35x0.56</t>
  </si>
  <si>
    <t>DOC0635060</t>
  </si>
  <si>
    <t>Đồng ống PC 06.35x0.60</t>
  </si>
  <si>
    <t>ĐTPCUONDD</t>
  </si>
  <si>
    <t>DOC0635061</t>
  </si>
  <si>
    <t>Đồng ống PC 06.35x0.61</t>
  </si>
  <si>
    <t>DOC063506150</t>
  </si>
  <si>
    <t>Đồng ống PC 06.35x0.61x50</t>
  </si>
  <si>
    <t>DOC0635065</t>
  </si>
  <si>
    <t>Đồng ống PC 06.35x0.65</t>
  </si>
  <si>
    <t>DOC0635065(KI)</t>
  </si>
  <si>
    <t>Đồng ống PC 06.35x0.65 không in</t>
  </si>
  <si>
    <t>DOC0635066</t>
  </si>
  <si>
    <t>Đồng ống PC 06.35x0.66</t>
  </si>
  <si>
    <t>DOC0635070</t>
  </si>
  <si>
    <t>Đồng ống PC 06.35x0.70</t>
  </si>
  <si>
    <t>DOC063507030</t>
  </si>
  <si>
    <t>Đồng ống PC 06.35x0.70x30m</t>
  </si>
  <si>
    <t>DOC0635071</t>
  </si>
  <si>
    <t>Đồng ống PC 06.35x0.71</t>
  </si>
  <si>
    <t>DOC063507150</t>
  </si>
  <si>
    <t>Đồng ống PC 06.35x0.71x50</t>
  </si>
  <si>
    <t>DOC0635076</t>
  </si>
  <si>
    <t>Đồng ống PC 06.35x0.76</t>
  </si>
  <si>
    <t>DOC0635080</t>
  </si>
  <si>
    <t>Đồng ống PC 06.35x0.80</t>
  </si>
  <si>
    <t>DOC063508030</t>
  </si>
  <si>
    <t>Đồng ống cuộn 6.35x0.80x30</t>
  </si>
  <si>
    <t>ĐTPCUONCT</t>
  </si>
  <si>
    <t>DOC0635081</t>
  </si>
  <si>
    <t>Đồng ống PC 06.35x0.81</t>
  </si>
  <si>
    <t>DOC063508145</t>
  </si>
  <si>
    <t>Đồng ống cuộn 6.35x0.81x45</t>
  </si>
  <si>
    <t>DOC063508150</t>
  </si>
  <si>
    <t>Đồng ống PC 06.35x0.81x50</t>
  </si>
  <si>
    <t>DOC0635090</t>
  </si>
  <si>
    <t>Đồng ống PC 06.35x0.90</t>
  </si>
  <si>
    <t>DOC0635095</t>
  </si>
  <si>
    <t>Đồng ống PC 06.35x0.95</t>
  </si>
  <si>
    <t>DOC0635097</t>
  </si>
  <si>
    <t>Đồng ống PC 06.35x0.97</t>
  </si>
  <si>
    <t>DOC0635100</t>
  </si>
  <si>
    <t>Đồng ống PC 06.35x1.00</t>
  </si>
  <si>
    <t>DOC0794051</t>
  </si>
  <si>
    <t>Đồng ống PC 07.94x0.51</t>
  </si>
  <si>
    <t>DOC0794055</t>
  </si>
  <si>
    <t>Đồng ống PC 07.94x0.55</t>
  </si>
  <si>
    <t>DOC0794060</t>
  </si>
  <si>
    <t>Đồng ống PC 07.94x0.60</t>
  </si>
  <si>
    <t>DOC0794061</t>
  </si>
  <si>
    <t>Đồng ống PC 07.94x0.61</t>
  </si>
  <si>
    <t>DOC0794065</t>
  </si>
  <si>
    <t>Đồng ống PC 07.94x0.65</t>
  </si>
  <si>
    <t>DOC0794070</t>
  </si>
  <si>
    <t>Đồng ống PC 07.94x0.70</t>
  </si>
  <si>
    <t>DOC0794071</t>
  </si>
  <si>
    <t>Đồng ống PC 07.94x0.71</t>
  </si>
  <si>
    <t>DOC0794080</t>
  </si>
  <si>
    <t>Đồng ống PC 07.94x0.80</t>
  </si>
  <si>
    <t>DOC0794095</t>
  </si>
  <si>
    <t>Đồng ống PC 07.94x0.95</t>
  </si>
  <si>
    <t>DOC0794100</t>
  </si>
  <si>
    <t>Đồng ống PC 07.94x1.00</t>
  </si>
  <si>
    <t>DOC07940120</t>
  </si>
  <si>
    <t>Đồng ống PC 07.94x120</t>
  </si>
  <si>
    <t>DOC0794120</t>
  </si>
  <si>
    <t>Đồng ống PC 07.94x1.20</t>
  </si>
  <si>
    <t>DOC0800081</t>
  </si>
  <si>
    <t>Đồng ống PC 08.00x0.81</t>
  </si>
  <si>
    <t>DOC0800100</t>
  </si>
  <si>
    <t>Đồng ống PC 08.00x1.00</t>
  </si>
  <si>
    <t>DOC0900090</t>
  </si>
  <si>
    <t>Đồng ống PC 09.00x0.90</t>
  </si>
  <si>
    <t>DOC0952089</t>
  </si>
  <si>
    <t>Đồng ống PC 09.52x0.89</t>
  </si>
  <si>
    <t>DOC0952050</t>
  </si>
  <si>
    <t>Đồng ống PC 09.52x0.50</t>
  </si>
  <si>
    <t>DOC0952051</t>
  </si>
  <si>
    <t>Đồng ống PC 09.52x0.51</t>
  </si>
  <si>
    <t>DOC0952055</t>
  </si>
  <si>
    <t>Đồng ống PC 09.52x0.55</t>
  </si>
  <si>
    <t>DOC0952058</t>
  </si>
  <si>
    <t>Đồng ống PC 09.52x0.58</t>
  </si>
  <si>
    <t>DOC0952060</t>
  </si>
  <si>
    <t>Đồng ống PC 09.52x0.60</t>
  </si>
  <si>
    <t>DOC0952061</t>
  </si>
  <si>
    <t>Đồng ống PC 09.52x0.61</t>
  </si>
  <si>
    <t>DOC0952061(KI)</t>
  </si>
  <si>
    <t>Đồng ống PC 09.52x0.61 không in</t>
  </si>
  <si>
    <t>DOC095206150</t>
  </si>
  <si>
    <t>Đồng ống PC 09.52x0.61x50</t>
  </si>
  <si>
    <t>DOC0952065</t>
  </si>
  <si>
    <t>Đồng ống PC 09.52x0.65</t>
  </si>
  <si>
    <t>DOC0952065(KI)</t>
  </si>
  <si>
    <t>Đồng ống PC 09.52x0.65 không in</t>
  </si>
  <si>
    <t>DOC0952066</t>
  </si>
  <si>
    <t>Đồng ống PC 09.52x0.66</t>
  </si>
  <si>
    <t>DOC0952070</t>
  </si>
  <si>
    <t>Đồng ống PC 09.52x0.70</t>
  </si>
  <si>
    <t>DOC0952071</t>
  </si>
  <si>
    <t>Đồng ống PC 09.52x0.71</t>
  </si>
  <si>
    <t>DOC0952071(KI)</t>
  </si>
  <si>
    <t>Đồng ống PC 09.52x0.71 không in</t>
  </si>
  <si>
    <t>DOC095207150</t>
  </si>
  <si>
    <t>Đồng ống PC 09.52x0.71x50</t>
  </si>
  <si>
    <t>DOC0952075</t>
  </si>
  <si>
    <t>Đồng ống PC 09.52x0.75</t>
  </si>
  <si>
    <t>DOC0952080</t>
  </si>
  <si>
    <t>Đồng ống PC 09.52x0.80</t>
  </si>
  <si>
    <t>DOC095208030</t>
  </si>
  <si>
    <t>Đồng ống PC 09.52x0.80x30</t>
  </si>
  <si>
    <t>DOC0952081</t>
  </si>
  <si>
    <t>Đồng ống PC 09.52x0.81</t>
  </si>
  <si>
    <t>DOC095208145</t>
  </si>
  <si>
    <t>Đồng ống PC 09.52x0.81x45</t>
  </si>
  <si>
    <t>DOC095208150</t>
  </si>
  <si>
    <t>Đồng ống PC 09.52x0.81x50</t>
  </si>
  <si>
    <t>DOC0952090</t>
  </si>
  <si>
    <t>Đồng ống PC 09.52x0.90</t>
  </si>
  <si>
    <t>DOC0952095</t>
  </si>
  <si>
    <t>Đồng ống PC 9.52x0.95</t>
  </si>
  <si>
    <t>DOC0952100</t>
  </si>
  <si>
    <t>Đồng ống PC 09.52x1.00</t>
  </si>
  <si>
    <t>DOC0952150</t>
  </si>
  <si>
    <t>Đồng ống PC 09.52x1.50</t>
  </si>
  <si>
    <t>DOC1000100</t>
  </si>
  <si>
    <t>Đồng ống PC 10.00x1.00</t>
  </si>
  <si>
    <t>DOC1000150</t>
  </si>
  <si>
    <t>Đồng ống PC 10.00x1.50</t>
  </si>
  <si>
    <t>DOC1200060</t>
  </si>
  <si>
    <t>Đồng ống PC 12.00x0.60</t>
  </si>
  <si>
    <t>DOC1200070</t>
  </si>
  <si>
    <t>Đồng ống PC 12.00x0.70</t>
  </si>
  <si>
    <t>DOC1200080</t>
  </si>
  <si>
    <t>Đồng ống PC 12.00x0.80</t>
  </si>
  <si>
    <t>DOC1200095</t>
  </si>
  <si>
    <t>Đồng ống PC 12.00x0.95</t>
  </si>
  <si>
    <t>DOC1200100</t>
  </si>
  <si>
    <t>Đồng ống PC 12.00x1.00</t>
  </si>
  <si>
    <t>DOC1200120</t>
  </si>
  <si>
    <t>Đồng ống PC 12.00x1.20</t>
  </si>
  <si>
    <t>DOC1200200</t>
  </si>
  <si>
    <t>Đồng ống cuộn 12.00x2.00x15m</t>
  </si>
  <si>
    <t>DOC1270050</t>
  </si>
  <si>
    <t>Đồng ống PC 12.70x0.50</t>
  </si>
  <si>
    <t>DOC1270055</t>
  </si>
  <si>
    <t>Đồng ống PC 12.70x0.55</t>
  </si>
  <si>
    <t>DOC1270058</t>
  </si>
  <si>
    <t>Đồng ống PC 12.70x0.58</t>
  </si>
  <si>
    <t>DOC1270060</t>
  </si>
  <si>
    <t>Đồng ống PC 12.70x0.60</t>
  </si>
  <si>
    <t>DOC1270061</t>
  </si>
  <si>
    <t>Đồng ống PC 12.70x0.61</t>
  </si>
  <si>
    <t>DOC1270065</t>
  </si>
  <si>
    <t>Đồng ống PC 12.70x0.65</t>
  </si>
  <si>
    <t>DOC1270066</t>
  </si>
  <si>
    <t>Đồng ống PC 12.70x0.66</t>
  </si>
  <si>
    <t>DOC1270070</t>
  </si>
  <si>
    <t>Đồng ống PC 12.70x0.70</t>
  </si>
  <si>
    <t>DOC1270071</t>
  </si>
  <si>
    <t>Đồng ống PC 12.70x0.71</t>
  </si>
  <si>
    <t>DOC1270071(KI)</t>
  </si>
  <si>
    <t>Đồng ống PC 12.70x0.71 không in</t>
  </si>
  <si>
    <t>DOC127007150</t>
  </si>
  <si>
    <t>Đồng ống PC 12.70x0.71x50</t>
  </si>
  <si>
    <t>DOC1270075</t>
  </si>
  <si>
    <t>Đồng ống PC 12.70x0.75</t>
  </si>
  <si>
    <t>DOC1270080</t>
  </si>
  <si>
    <t>Đồng ống PC 12.70x0.80</t>
  </si>
  <si>
    <t>DOC1270081</t>
  </si>
  <si>
    <t>Đồng ống PC 12.70x0.81</t>
  </si>
  <si>
    <t>DOC127008150</t>
  </si>
  <si>
    <t>Đồng ống PC 12.70x0.81x50</t>
  </si>
  <si>
    <t>DOC12708030</t>
  </si>
  <si>
    <t>Đồng ống PC 12.7x0.80x30</t>
  </si>
  <si>
    <t>DOC12708145</t>
  </si>
  <si>
    <t>Đồng ống PC 12.7x0.81x45</t>
  </si>
  <si>
    <t>DOC12708150</t>
  </si>
  <si>
    <t>Đồng ống PC 12.70x0.81x50m</t>
  </si>
  <si>
    <t>DOC1270089</t>
  </si>
  <si>
    <t>Đồng ống cuộn 12.70x0.89</t>
  </si>
  <si>
    <t>DOC1270090</t>
  </si>
  <si>
    <t>Đồng ống PC 12.70x0.90</t>
  </si>
  <si>
    <t>DOC1270091</t>
  </si>
  <si>
    <t>Đồng ống PC 12.70x0.91</t>
  </si>
  <si>
    <t>DOC127009150</t>
  </si>
  <si>
    <t>Đồng ống PC 12.70x0.91x50</t>
  </si>
  <si>
    <t>DOC1270095</t>
  </si>
  <si>
    <t>Đồng ống PC 12.70x0.95</t>
  </si>
  <si>
    <t>DOC1270100</t>
  </si>
  <si>
    <t>Đồng ống PC 12.70x1.00</t>
  </si>
  <si>
    <t>DOC1270107</t>
  </si>
  <si>
    <t>Đồng ống PC 12.70x1.07</t>
  </si>
  <si>
    <t>DOC1400080</t>
  </si>
  <si>
    <t>Đồng ống PC 14.00x0.80</t>
  </si>
  <si>
    <t>DOC1400095</t>
  </si>
  <si>
    <t>Đồng ống PC 14.000x0.95</t>
  </si>
  <si>
    <t>DOC140010015</t>
  </si>
  <si>
    <t>Đồng ống PC 14.00x1.00</t>
  </si>
  <si>
    <t>DOC1588050</t>
  </si>
  <si>
    <t>Đồng ống PC 15.88x0.50</t>
  </si>
  <si>
    <t>DOC1588055</t>
  </si>
  <si>
    <t>Đồng ống PC 15.88x0.55</t>
  </si>
  <si>
    <t>DOC1588060</t>
  </si>
  <si>
    <t>Đồng ống PC 15.88x0.60</t>
  </si>
  <si>
    <t>DOC1588061</t>
  </si>
  <si>
    <t>Đồng ống PC 15.88x0.61</t>
  </si>
  <si>
    <t>DOC1588065</t>
  </si>
  <si>
    <t>Đồng ống PC 15.88x0.65</t>
  </si>
  <si>
    <t>DOC1588070</t>
  </si>
  <si>
    <t>Đồng ống PC 15.88x0.70</t>
  </si>
  <si>
    <t>DOC1588071</t>
  </si>
  <si>
    <t>Đồng ống PC 15.88x0.71</t>
  </si>
  <si>
    <t>DOC158807150</t>
  </si>
  <si>
    <t>Đồng ống PC 15.88x0.71x50</t>
  </si>
  <si>
    <t>DOC1588072</t>
  </si>
  <si>
    <t>Đồng ống PC 15.88x0.72</t>
  </si>
  <si>
    <t>DOC1588075</t>
  </si>
  <si>
    <t>Đồng ống PC 15.88x0.75</t>
  </si>
  <si>
    <t>DOC1588080</t>
  </si>
  <si>
    <t>Đồng ống PC 15.88x0.80</t>
  </si>
  <si>
    <t>DOC158808030</t>
  </si>
  <si>
    <t>Đồng ống PC 15.88x0.80x30</t>
  </si>
  <si>
    <t>DOC1588081</t>
  </si>
  <si>
    <t>Đồng ống PC 15.88x0.81</t>
  </si>
  <si>
    <t>DOC158808150</t>
  </si>
  <si>
    <t>Đồng ống PC 15.88x0.81x50</t>
  </si>
  <si>
    <t>DOC1588085</t>
  </si>
  <si>
    <t>Đồng ống PC15.88x0.85</t>
  </si>
  <si>
    <t>DOC1588089</t>
  </si>
  <si>
    <t>Đồng ống PC 15.88x0.89</t>
  </si>
  <si>
    <t>DOC158809</t>
  </si>
  <si>
    <t>Đồng ống PC15.88x0.90</t>
  </si>
  <si>
    <t>DOC1588091</t>
  </si>
  <si>
    <t>Đồng ống PC 15.88x0.91</t>
  </si>
  <si>
    <t>DOC158809150</t>
  </si>
  <si>
    <t>Đồng ống PC 15.88x0.91x50</t>
  </si>
  <si>
    <t>DOC1588095</t>
  </si>
  <si>
    <t>Đồng ống PC 15.88x0.95</t>
  </si>
  <si>
    <t>DOC1588100</t>
  </si>
  <si>
    <t>Đồng ống PC 15.88x1.00</t>
  </si>
  <si>
    <t>DOC158810030</t>
  </si>
  <si>
    <t>Đồng ống cuộn 15.88x1.00x30m</t>
  </si>
  <si>
    <t>DOC158810045</t>
  </si>
  <si>
    <t>Đồng ống PC 15.88x1.00x45</t>
  </si>
  <si>
    <t>DOC158810050</t>
  </si>
  <si>
    <t>Đồng ống cuộn 15.88x1.00x50</t>
  </si>
  <si>
    <t>DOC1588102</t>
  </si>
  <si>
    <t>Đồng ống PC 15.88x1.02</t>
  </si>
  <si>
    <t>DOC158810250</t>
  </si>
  <si>
    <t>Đồng ống PC 15.88x1.02x50</t>
  </si>
  <si>
    <t>DOC1588107</t>
  </si>
  <si>
    <t>Đồng ống PC 15.88x1.07</t>
  </si>
  <si>
    <t>DOC1588110</t>
  </si>
  <si>
    <t>Đồng ống PC 15.88x1.10</t>
  </si>
  <si>
    <t>DOC1588120</t>
  </si>
  <si>
    <t>Đồng ống PC 15.88x1.20</t>
  </si>
  <si>
    <t>DOC190510750</t>
  </si>
  <si>
    <t>Đồng ống cuộn 19.05x1.07x50</t>
  </si>
  <si>
    <t>DOC1905107</t>
  </si>
  <si>
    <t>Đồng ống cuộn 19.05x1.07</t>
  </si>
  <si>
    <t>DOC1905060</t>
  </si>
  <si>
    <t>Đồng ống PC 19.05x0.60</t>
  </si>
  <si>
    <t>DOC1905061</t>
  </si>
  <si>
    <t>Đồng ống PC 19.05x0.61</t>
  </si>
  <si>
    <t>DOC1905065</t>
  </si>
  <si>
    <t>Đồng ống PC 19.05x0.65</t>
  </si>
  <si>
    <t>DOC1905070</t>
  </si>
  <si>
    <t>Đồng ống PC 19.05x0.70</t>
  </si>
  <si>
    <t>DOC1905071</t>
  </si>
  <si>
    <t>Đồng ống PC 19.05x0.71</t>
  </si>
  <si>
    <t>DOC190507150</t>
  </si>
  <si>
    <t>Đồng ống PC 19.05x0.71x50</t>
  </si>
  <si>
    <t>DOC1905075</t>
  </si>
  <si>
    <t>Đồng ống PC 19.05x0.75</t>
  </si>
  <si>
    <t>DOC1905080</t>
  </si>
  <si>
    <t>Đồng ống PC 19.05x0.80</t>
  </si>
  <si>
    <t>DOC1905081</t>
  </si>
  <si>
    <t>Đồng ống PC 19.05x0.81</t>
  </si>
  <si>
    <t>DOC190508150</t>
  </si>
  <si>
    <t>Đồng ống PC 19.05x0.81x50</t>
  </si>
  <si>
    <t>DOC1905085</t>
  </si>
  <si>
    <t>Đồng ống PC 19.05x0.85</t>
  </si>
  <si>
    <t>DOC1905089</t>
  </si>
  <si>
    <t>Đồng ống cuộn 19.05x0.89</t>
  </si>
  <si>
    <t>DOC1905090</t>
  </si>
  <si>
    <t>Đồng ống PC 19.05x0.90</t>
  </si>
  <si>
    <t>DOC1905091</t>
  </si>
  <si>
    <t>Đồng ống PC 19.05x0.91</t>
  </si>
  <si>
    <t>DOC1905095</t>
  </si>
  <si>
    <t>Đồng ống PC 19.05x0.95</t>
  </si>
  <si>
    <t>DOC1905100</t>
  </si>
  <si>
    <t>Đồng ống PC 19.05x1.00</t>
  </si>
  <si>
    <t>DOC190510050</t>
  </si>
  <si>
    <t>Đồng ống PC 19.05x1.00x50</t>
  </si>
  <si>
    <t>DOC1905110</t>
  </si>
  <si>
    <t>Đồng ống PC 19.05x1.10</t>
  </si>
  <si>
    <t>DOC1905114</t>
  </si>
  <si>
    <t>Đồng ống cuộn 19.05x1.14</t>
  </si>
  <si>
    <t>DOC1905115</t>
  </si>
  <si>
    <t>Đồng ống PC 19.05x1.15</t>
  </si>
  <si>
    <t>DOC1905120</t>
  </si>
  <si>
    <t>Đồng ống PC 19.05x1.20</t>
  </si>
  <si>
    <t>DOC190512050</t>
  </si>
  <si>
    <t>Đồng ống PC 19.05x1.20x50</t>
  </si>
  <si>
    <t>DOC2222080</t>
  </si>
  <si>
    <t>Đồng ống PC 22.22x0.80</t>
  </si>
  <si>
    <t>DOC2222120</t>
  </si>
  <si>
    <t>Đồng ống PC 22.22x1.2</t>
  </si>
  <si>
    <t>DOC250010</t>
  </si>
  <si>
    <t>Đồng ống cuộn 25.00x1.0</t>
  </si>
  <si>
    <t>DOC2500150</t>
  </si>
  <si>
    <t>Đồng ống cuộn 25.00x1.50</t>
  </si>
  <si>
    <t>DOC254080</t>
  </si>
  <si>
    <t>Đồng ống PC 25.4x0.80</t>
  </si>
  <si>
    <t>DOC254081</t>
  </si>
  <si>
    <t>Đồng ống PC 25.4x0.81</t>
  </si>
  <si>
    <t>DOC254100</t>
  </si>
  <si>
    <t>Đồng ống PC 25.4x1.00</t>
  </si>
  <si>
    <t>DOC2600100</t>
  </si>
  <si>
    <t>Đồng ống PC 26.00x1.00</t>
  </si>
  <si>
    <t>DOC2700091</t>
  </si>
  <si>
    <t>Đồng ống PC 27.00x0.91</t>
  </si>
  <si>
    <t>DOC2700100</t>
  </si>
  <si>
    <t>Đồng ống PC 27.00x1.00</t>
  </si>
  <si>
    <t>DOC2800150</t>
  </si>
  <si>
    <t>Đồng ống PC 28.00x1.50</t>
  </si>
  <si>
    <t>DOC2858080</t>
  </si>
  <si>
    <t>Đồng ống PC 28.58x0.80</t>
  </si>
  <si>
    <t>DOC2858081</t>
  </si>
  <si>
    <t>Đồng ống PC 28.58x0.81</t>
  </si>
  <si>
    <t>ĐTPCAYDI</t>
  </si>
  <si>
    <t>DOT047004030</t>
  </si>
  <si>
    <t>Đồng ống thẳng 04.70x0.40x3.0</t>
  </si>
  <si>
    <t>DOT047004530</t>
  </si>
  <si>
    <t>Đồng ống thẳng 04.70x0.45x3.0</t>
  </si>
  <si>
    <t>DOT04700530</t>
  </si>
  <si>
    <t>Đồng ống thẳng 04.70x0.5x3.0</t>
  </si>
  <si>
    <t>DOT047605030</t>
  </si>
  <si>
    <t>Đồng ống thẳng 4.76x0.50x3.0</t>
  </si>
  <si>
    <t>DOT050005130</t>
  </si>
  <si>
    <t>Đồng ống thẳng 05.00x0.51x3.0</t>
  </si>
  <si>
    <t>DOT050005530</t>
  </si>
  <si>
    <t>Đồng ống thẳng 05.00x0.55x3.0</t>
  </si>
  <si>
    <t>DOT050009130</t>
  </si>
  <si>
    <t>Đồng ống thẳng 05.00x0.91x3.0</t>
  </si>
  <si>
    <t>DOT055004030</t>
  </si>
  <si>
    <t>Đồng ống thẳng 05.50x0.40x3.0</t>
  </si>
  <si>
    <t>DOT055004530</t>
  </si>
  <si>
    <t>Đồng ống thẳng 05.50x0.45x3.0</t>
  </si>
  <si>
    <t>DOT055005115</t>
  </si>
  <si>
    <t>Đồng ống thẳng 05.50x0.51x1.5</t>
  </si>
  <si>
    <t>DOT055005130</t>
  </si>
  <si>
    <t>Đồng ống thẳng 05.50x0.51x3.0</t>
  </si>
  <si>
    <t>DOT055005515</t>
  </si>
  <si>
    <t>Đồng ống thẳng 05.50x0.55x1.5</t>
  </si>
  <si>
    <t>DOT055005529</t>
  </si>
  <si>
    <t>Đồng ống thẳng 05.50x0.55x2.9</t>
  </si>
  <si>
    <t>DOT055005530</t>
  </si>
  <si>
    <t>Đồng ống thẳng 05.50x0.55x3.0</t>
  </si>
  <si>
    <t>DOT055006130</t>
  </si>
  <si>
    <t>Đồng ống thẳng 05.50x0.61x3.0</t>
  </si>
  <si>
    <t>DOT055006330</t>
  </si>
  <si>
    <t>Đồng ống thẳng 05.50x0.63x3.0</t>
  </si>
  <si>
    <t>DOT055006530</t>
  </si>
  <si>
    <t>Đồng ống thẳng 05.50x0.65x3.0</t>
  </si>
  <si>
    <t>DOT055007530</t>
  </si>
  <si>
    <t>Đồng ống thẳng 05.50x0.75x3.0</t>
  </si>
  <si>
    <t>DOT055008130</t>
  </si>
  <si>
    <t>Đồng ống thẳng 05.50x0.81x3.0</t>
  </si>
  <si>
    <t>DOT056006130</t>
  </si>
  <si>
    <t>Đồng ống thẳng 05.60x0.61x3.0</t>
  </si>
  <si>
    <t>DOT060004022</t>
  </si>
  <si>
    <t>Đồng ống thẳng 06.00x0.40x2.2</t>
  </si>
  <si>
    <t>DOT060009130</t>
  </si>
  <si>
    <t>Đồng ống thẳng 06.00x0.91x3.0</t>
  </si>
  <si>
    <t>DOT060010030</t>
  </si>
  <si>
    <t>Đồng ống thẳng 06.00x1.00x3.0</t>
  </si>
  <si>
    <t>DOT063505130</t>
  </si>
  <si>
    <t>Đồng ống thẳng 06.35x0.51x3.0</t>
  </si>
  <si>
    <t>DOT063505615</t>
  </si>
  <si>
    <t>Đồng ống thẳng 06.35x0.56x1.5</t>
  </si>
  <si>
    <t>DOT063505630</t>
  </si>
  <si>
    <t>Đồng ống thẳng 06.35x0.56x3.0</t>
  </si>
  <si>
    <t>DOT063506130</t>
  </si>
  <si>
    <t>Đồng ống thẳng 06.35x0.61x3.0</t>
  </si>
  <si>
    <t>DOT063507003</t>
  </si>
  <si>
    <t>Đồng ống thẳng 06.35x0.70x3.0</t>
  </si>
  <si>
    <t>DOT064005030</t>
  </si>
  <si>
    <t>Đồng ống thẳng 06.40x0.50x3.0</t>
  </si>
  <si>
    <t>DOT064005530</t>
  </si>
  <si>
    <t>Đồng ống thẳng 06.40x0.55x3.0</t>
  </si>
  <si>
    <t>DOT064005630</t>
  </si>
  <si>
    <t>Đồng ống thẳng 06.40x0.56x3.0</t>
  </si>
  <si>
    <t>DOT064006030</t>
  </si>
  <si>
    <t>Đồng ống thẳng 06.40x0.60x3.0</t>
  </si>
  <si>
    <t>DOT064006530</t>
  </si>
  <si>
    <t>Đồng ống thẳng 06.40x0.65x3.0</t>
  </si>
  <si>
    <t>DOT065005130</t>
  </si>
  <si>
    <t>Đồng ống thẳng 06.50x0.51x3.0</t>
  </si>
  <si>
    <t>DOT065005515</t>
  </si>
  <si>
    <t>Đồng ống thẳng 06.50x0.55x1.5</t>
  </si>
  <si>
    <t>DOT065005530</t>
  </si>
  <si>
    <t>Đồng ống thẳng 06.50x0.55x3.0</t>
  </si>
  <si>
    <t>DOT065006029</t>
  </si>
  <si>
    <t>Đồng ống thẳng 06.50x0.60x2.9</t>
  </si>
  <si>
    <t>DOT065006030</t>
  </si>
  <si>
    <t>Đồng ống thẳng 06.50x0.60x3.0</t>
  </si>
  <si>
    <t>DOT065006130</t>
  </si>
  <si>
    <t>Đồng ống thẳng 06.50x0.61x3.0</t>
  </si>
  <si>
    <t>DOT065006515</t>
  </si>
  <si>
    <t>Đồng ống thẳng 06.50x0.65x1.5</t>
  </si>
  <si>
    <t>DOT065006530</t>
  </si>
  <si>
    <t>Đồng ống thẳng 06.50x0.65x3.0</t>
  </si>
  <si>
    <t>DOT065007030</t>
  </si>
  <si>
    <t>Đồng ống thẳng 06.50x0.70x3.0</t>
  </si>
  <si>
    <t>DOT067008530</t>
  </si>
  <si>
    <t>Đồng ống thẳng 06.70x0.85x3.0</t>
  </si>
  <si>
    <t>DOT70005830</t>
  </si>
  <si>
    <t>Đồng ống thẳng 07.00x0.58x3.0</t>
  </si>
  <si>
    <t>DOT070006130</t>
  </si>
  <si>
    <t>Đồng ống thẳng 07.00x0.61x3.0</t>
  </si>
  <si>
    <t>DOT70006520</t>
  </si>
  <si>
    <t>Đồng ống thẳng 7.00x0.65x2.0</t>
  </si>
  <si>
    <t>DOT70006530</t>
  </si>
  <si>
    <t>Đồng ống thẳng 7.00x0.65x3.0</t>
  </si>
  <si>
    <t>DOT070007503</t>
  </si>
  <si>
    <t>Đồng ống thẳng 0.70x0.75x3.0</t>
  </si>
  <si>
    <t>DOT070008130</t>
  </si>
  <si>
    <t>Đồng ống thẳng 07.00x0.81x3.0</t>
  </si>
  <si>
    <t>DOT075008530</t>
  </si>
  <si>
    <t>Đồng ống thẳng 07.05x0.85x3.0</t>
  </si>
  <si>
    <t>DOT072005830</t>
  </si>
  <si>
    <t>Đồng ống thẳng 07.20x0.58x3.0</t>
  </si>
  <si>
    <t>DOT072006030</t>
  </si>
  <si>
    <t>Đồng ống thẳng 07.20x0.60x3.0</t>
  </si>
  <si>
    <t>DOT072006130</t>
  </si>
  <si>
    <t>Đồng ống thẳng 07.20x0.61x3.0</t>
  </si>
  <si>
    <t>DOT073006130</t>
  </si>
  <si>
    <t>Đồng ống thẳng 07.30x0.61x3.0</t>
  </si>
  <si>
    <t>DOT073006330</t>
  </si>
  <si>
    <t>Đồng ống thẳng 07.30x0.63x3.0</t>
  </si>
  <si>
    <t>DOT074006630</t>
  </si>
  <si>
    <t>Đồng ống thẳng 07.40x0.66x3.0</t>
  </si>
  <si>
    <t>DOT075006030</t>
  </si>
  <si>
    <t>Đồng ống thẳng 07.50x0.60x3.0</t>
  </si>
  <si>
    <t>DOT07506030</t>
  </si>
  <si>
    <t>Đồng ống thẳng 7.5x0.60x3.0</t>
  </si>
  <si>
    <t>DOT075006115</t>
  </si>
  <si>
    <t>Đồng ống thẳng 07.50x0.61x1.5</t>
  </si>
  <si>
    <t>DOT07506330</t>
  </si>
  <si>
    <t>Đồng ống thẳng 7.5x0.63x3.0</t>
  </si>
  <si>
    <t>DOT0750065140</t>
  </si>
  <si>
    <t>Đồng ống thẳng 07.50x0.65x1.4</t>
  </si>
  <si>
    <t>DOT075006530</t>
  </si>
  <si>
    <t>Đồng ống thẳng 07.50x0.65x3.0</t>
  </si>
  <si>
    <t>DOT7506514</t>
  </si>
  <si>
    <t>Đồng ống thẳng 7.5x0.65x1.4m</t>
  </si>
  <si>
    <t>DOT7506515</t>
  </si>
  <si>
    <t>Đồng ống thẳng 7.5x0.65x1.5m</t>
  </si>
  <si>
    <t>DOT750653</t>
  </si>
  <si>
    <t>Đồng ống thẳng 7.5x0.65x3.0</t>
  </si>
  <si>
    <t>DOT075006630</t>
  </si>
  <si>
    <t>Đồng ống thẳng 07.50x0.66x3.0</t>
  </si>
  <si>
    <t>DOT075006830</t>
  </si>
  <si>
    <t>Đồng ống thẳng 07.50x0.68x3.0</t>
  </si>
  <si>
    <t>DOT075007030</t>
  </si>
  <si>
    <t>Đồng ống thẳng 07.50x0.70x3.0</t>
  </si>
  <si>
    <t>DOT07507130</t>
  </si>
  <si>
    <t>Đồng ống thẳng 07.50x0.71x3.0</t>
  </si>
  <si>
    <t>DOT075007530</t>
  </si>
  <si>
    <t>Đồng ống thẳng 07.50x0.75x3.0</t>
  </si>
  <si>
    <t>DOT075008030</t>
  </si>
  <si>
    <t>Đồng ống thẳng 07.50x0.80x3.0</t>
  </si>
  <si>
    <t>DOT075008130</t>
  </si>
  <si>
    <t>Đồng ống thẳng 07.50x0.81x3.0</t>
  </si>
  <si>
    <t>DOT075008529</t>
  </si>
  <si>
    <t>Đồng ống thẳng 07.50x0.85x2.9</t>
  </si>
  <si>
    <t>DOT075009030</t>
  </si>
  <si>
    <t>Đồng ống thẳng 07.50x0.90x3.0</t>
  </si>
  <si>
    <t>DOT076007530</t>
  </si>
  <si>
    <t>Đồng ống thẳng 7.60x0.75x3.0</t>
  </si>
  <si>
    <t>DOT8000401883</t>
  </si>
  <si>
    <t>Đồng ống thẳng 8.00x0.40x1.883</t>
  </si>
  <si>
    <t>DOT800040189</t>
  </si>
  <si>
    <t>Đồng ống thẳng 8.00x0.40x1.89</t>
  </si>
  <si>
    <t>DOT80006130</t>
  </si>
  <si>
    <t>Đồng ống thẳng 8.00x0.61x3.0</t>
  </si>
  <si>
    <t>DOT80007130</t>
  </si>
  <si>
    <t>Đồng ống thẳng 8.00x0.71x3.0</t>
  </si>
  <si>
    <t>DOT8000800745</t>
  </si>
  <si>
    <t>Đồng ống thẳng 8.00x0.80x0.745</t>
  </si>
  <si>
    <t>DOT800080075</t>
  </si>
  <si>
    <t>Đồng ống thẳng 8.00x0.80x0.75</t>
  </si>
  <si>
    <t>DOT80010030</t>
  </si>
  <si>
    <t>Đồng ống thẳng 8.00x1.00x3.0</t>
  </si>
  <si>
    <t>DOT80012030</t>
  </si>
  <si>
    <t>Đồng ống thẳng 8.00x1.20x3.0</t>
  </si>
  <si>
    <t>DOT085006630</t>
  </si>
  <si>
    <t>Đồng ống thẳng 08.50x0.66x3.0</t>
  </si>
  <si>
    <t>DOT085006830</t>
  </si>
  <si>
    <t>Đồng ống thẳng 08.50x0.68x3.0</t>
  </si>
  <si>
    <t>DOT085007130</t>
  </si>
  <si>
    <t>Đồng ống thẳng 8.5x0.71x3.0</t>
  </si>
  <si>
    <t>DOT08500733</t>
  </si>
  <si>
    <t>DOT085007530</t>
  </si>
  <si>
    <t>Đồng ống thẳng 8.5x0.75x3.0</t>
  </si>
  <si>
    <t>DOT085008030</t>
  </si>
  <si>
    <t>Đồng ống thẳng 08.50x0.80x3.0</t>
  </si>
  <si>
    <t>DOT085008530</t>
  </si>
  <si>
    <t>Đồng ống thẳng 08.50x0.85x3.0</t>
  </si>
  <si>
    <t>DOT08515030</t>
  </si>
  <si>
    <t>Đồng ống thẳng 8.50x1.50x3.0</t>
  </si>
  <si>
    <t>DOT086006530</t>
  </si>
  <si>
    <t>Đồng ống thẳng 08.60x0.65x3.0</t>
  </si>
  <si>
    <t>DOT086006630</t>
  </si>
  <si>
    <t>Đồng ống thẳng 08.60x0.66x3.0</t>
  </si>
  <si>
    <t>DOT086007130</t>
  </si>
  <si>
    <t>Đồng ống thẳng 08.60x0.71x3.0</t>
  </si>
  <si>
    <t>DOT088010030</t>
  </si>
  <si>
    <t>Đồng ống thẳng 08.80x1.00x3.0</t>
  </si>
  <si>
    <t>DOT089007630</t>
  </si>
  <si>
    <t>Đồng ống thẳng 08.90x0.76x3.0</t>
  </si>
  <si>
    <t>DOT089008030</t>
  </si>
  <si>
    <t>Đồng ống thẳng 08.90x0.80x3.0</t>
  </si>
  <si>
    <t>DOT090006130</t>
  </si>
  <si>
    <t>Đồng ống thẳng 09.00x0.61x3.0</t>
  </si>
  <si>
    <t>DOT090007030</t>
  </si>
  <si>
    <t>Đồng ống thẳng 09.00x0.70x3.0</t>
  </si>
  <si>
    <t>DOT090007130</t>
  </si>
  <si>
    <t>Đồng ống thẳng 09.00x0.71x3.0</t>
  </si>
  <si>
    <t>DOT090007530</t>
  </si>
  <si>
    <t>Đồng ống thẳng 09.00x0.75x3.0</t>
  </si>
  <si>
    <t>DOT090007830</t>
  </si>
  <si>
    <t>Đồng ống thẳng 09.00x0.78x3.0</t>
  </si>
  <si>
    <t>DOT090008030</t>
  </si>
  <si>
    <t>Đồng ống thẳng 09.00x0.80x3.0</t>
  </si>
  <si>
    <t>DOT09000914</t>
  </si>
  <si>
    <t>Đồng ống thẳng 09.00x0.90x1.4</t>
  </si>
  <si>
    <t>DOT09000915</t>
  </si>
  <si>
    <t>Đồng ống thẳng 09.00x0.90x1.5</t>
  </si>
  <si>
    <t>DOT0900093</t>
  </si>
  <si>
    <t>Đồng ống thẳng 09.00x0.90x3.0</t>
  </si>
  <si>
    <t>DOT090010030</t>
  </si>
  <si>
    <t>Đồng ống thẳng 09.00x1.00x3.0</t>
  </si>
  <si>
    <t>DOT090011030</t>
  </si>
  <si>
    <t>Đồng ống thẳng 09.00x1.10x3.0</t>
  </si>
  <si>
    <t>DOT090011530</t>
  </si>
  <si>
    <t>Đồng ống thẳng 09.00x1.15x3.0</t>
  </si>
  <si>
    <t>DOT090012530</t>
  </si>
  <si>
    <t>Đồng ống thẳng 09.00x1.25x3.0</t>
  </si>
  <si>
    <t>DOT095006630</t>
  </si>
  <si>
    <t>Đồng ống thẳng 09.50x0.66x3.0</t>
  </si>
  <si>
    <t>DOT095007630</t>
  </si>
  <si>
    <t>Đồng ống thẳng 09.50x0.76x3.0</t>
  </si>
  <si>
    <t>DOT0950078030</t>
  </si>
  <si>
    <t>Đồng ống thẳng 09.50x0.78x3.0</t>
  </si>
  <si>
    <t>DOT095008030</t>
  </si>
  <si>
    <t>Đồng ống thẳng 09.50x0.80x3.0</t>
  </si>
  <si>
    <t>DOT095008330</t>
  </si>
  <si>
    <t>Đồng ống thẳng 09.50x0.83x3.0</t>
  </si>
  <si>
    <t>DOT0952050114</t>
  </si>
  <si>
    <t>Đồng ống thẳng 09.52x0.50x1.14</t>
  </si>
  <si>
    <t>DOT09520511175</t>
  </si>
  <si>
    <t>Đồng ống thẳng 09.52x0.51x1.175</t>
  </si>
  <si>
    <t>DOT0952051122</t>
  </si>
  <si>
    <t>Đồng ống thẳng 09.52x0.51x1.22</t>
  </si>
  <si>
    <t>DOT0952051189</t>
  </si>
  <si>
    <t>Đồng ống thẳng 09.52x0.51x1.89</t>
  </si>
  <si>
    <t>DOT0952070</t>
  </si>
  <si>
    <t>Đồng ống thẳng 09.52x0.70x2.9</t>
  </si>
  <si>
    <t>DOT0952080</t>
  </si>
  <si>
    <t>Đồng ống thẳng 09.52x0.80</t>
  </si>
  <si>
    <t>DOT095208130</t>
  </si>
  <si>
    <t>Đồng ống thẳng 09.52x0.81x3.0</t>
  </si>
  <si>
    <t>DOT09520853</t>
  </si>
  <si>
    <t>Đồng ống thẳng 9.52x0.85x30</t>
  </si>
  <si>
    <t>DOT095210014</t>
  </si>
  <si>
    <t>Đồng ống thẳng 09.52x1.00x1.4</t>
  </si>
  <si>
    <t>DOT095210025</t>
  </si>
  <si>
    <t>Đồng ống thẳng 09.52x1.00x2.5</t>
  </si>
  <si>
    <t>DOT0952100285</t>
  </si>
  <si>
    <t>Đồng ống thẳng 09.52x1.00x2.85</t>
  </si>
  <si>
    <t>DOT096006530</t>
  </si>
  <si>
    <t>Đồng ống thẳng 09.60x0.65x3.0</t>
  </si>
  <si>
    <t>DOT096007130</t>
  </si>
  <si>
    <t>Đồng ống thẳng 09.60x0.71x3.0</t>
  </si>
  <si>
    <t>DOT096007230</t>
  </si>
  <si>
    <t>Đồng ống thẳng 09.60x0.72x3.0</t>
  </si>
  <si>
    <t>DOT096008130</t>
  </si>
  <si>
    <t>Đồng ống thẳng 09.60x0.81x3.0</t>
  </si>
  <si>
    <t>DOT10000501882</t>
  </si>
  <si>
    <t>Đồng ống thẳng 10.00x0.50x1.882</t>
  </si>
  <si>
    <t>DOT1000050189</t>
  </si>
  <si>
    <t>Đồng ống thẳng 10.00x0.50x1.89</t>
  </si>
  <si>
    <t>DOT10000501893</t>
  </si>
  <si>
    <t>Đồng ống thẳng 10x0.50x1.893</t>
  </si>
  <si>
    <t>DOT1000060597</t>
  </si>
  <si>
    <t>Đồng ống thẳng 10.00x0.60x5.97</t>
  </si>
  <si>
    <t>DOT100006130</t>
  </si>
  <si>
    <t>DOT100008003</t>
  </si>
  <si>
    <t>Đồng ống thẳng 10.00x0.80x03.00</t>
  </si>
  <si>
    <t>DOT100008019</t>
  </si>
  <si>
    <t>Đồng ống thẳng 10.00x0.80x1.9</t>
  </si>
  <si>
    <t>DOT1000080211</t>
  </si>
  <si>
    <t>Đồng ống thẳng 10.00x0.80x2.11</t>
  </si>
  <si>
    <t>DOT100008130</t>
  </si>
  <si>
    <t>Đồng ống thẳng 10.00x0.81x3.0</t>
  </si>
  <si>
    <t>DOT100008530</t>
  </si>
  <si>
    <t>Đồng ống thẳng 10.00x0.85x3.0</t>
  </si>
  <si>
    <t>DOT100009030</t>
  </si>
  <si>
    <t>Đồng ống thẳng 10.00x0.90x3.0</t>
  </si>
  <si>
    <t>DOT10001</t>
  </si>
  <si>
    <t>Đồng ống thẳng 10.00x1</t>
  </si>
  <si>
    <t>DOT100010012</t>
  </si>
  <si>
    <t>Đồng ống thẳng 10.00x1.00x1.2</t>
  </si>
  <si>
    <t>DOT100010014</t>
  </si>
  <si>
    <t>Đồng ống thẳng 10.00x1.00x1.4</t>
  </si>
  <si>
    <t>DOT100010015</t>
  </si>
  <si>
    <t>Đồng ống thẳng 10.00x1.00x1.5</t>
  </si>
  <si>
    <t>DOT10001003</t>
  </si>
  <si>
    <t>Đồng ống thẳng 10.00x1.00x3.0</t>
  </si>
  <si>
    <t>DOT1000100495</t>
  </si>
  <si>
    <t>Đồng ống thẳng 10.00x1.00x4.95</t>
  </si>
  <si>
    <t>DOT1000100496</t>
  </si>
  <si>
    <t>Đồng ống thẳng 10.00x1.00x4.68</t>
  </si>
  <si>
    <t>DOT10001103</t>
  </si>
  <si>
    <t>Đồng ống thẳng 10.00x1.1x30</t>
  </si>
  <si>
    <t>DOT10001253</t>
  </si>
  <si>
    <t>Đồng ống thẳng 10.00x1.25x3.0</t>
  </si>
  <si>
    <t>DOT10001530</t>
  </si>
  <si>
    <t>Đồng ống thẳng 10.00x1.5x3.0</t>
  </si>
  <si>
    <t>DOT105011030</t>
  </si>
  <si>
    <t>Đồng ống thẳng 10.50x1.1x3.0</t>
  </si>
  <si>
    <t>DOT105011530</t>
  </si>
  <si>
    <t>Đồng ống thẳng 10.50x1.15x3.0</t>
  </si>
  <si>
    <t>DOT105012020</t>
  </si>
  <si>
    <t>Đồng ống thẳng 10.50x1.20x2.0</t>
  </si>
  <si>
    <t>DOT105015030</t>
  </si>
  <si>
    <t>Đồng ống thẳng 10.50x1.50x3.0</t>
  </si>
  <si>
    <t>DOT106012530</t>
  </si>
  <si>
    <t>Đồng ống thẳng 10.60x1.25x3.0</t>
  </si>
  <si>
    <t>DOT110012530</t>
  </si>
  <si>
    <t>Đồng ống thẳng 11.00x1.25x3.0</t>
  </si>
  <si>
    <t>DOT110015030</t>
  </si>
  <si>
    <t>Đồng ống thẳng 11.00x1.50x3.0</t>
  </si>
  <si>
    <t>DOT114008530</t>
  </si>
  <si>
    <t>Đồng ống thẳng 11.40x0.85x3.0</t>
  </si>
  <si>
    <t>DOT115008130</t>
  </si>
  <si>
    <t>Đồng ống thẳng 11.50X0.81x3.0</t>
  </si>
  <si>
    <t>DOT115008530</t>
  </si>
  <si>
    <t>Đồng ống thẳng 11.50X0.85x3.0</t>
  </si>
  <si>
    <t>DOT115009030</t>
  </si>
  <si>
    <t>Đồng ống thẳng 11.50X0.90x3.0</t>
  </si>
  <si>
    <t>DOT115009530</t>
  </si>
  <si>
    <t>Đồng ống thẳng 11.50X0.95x3.0</t>
  </si>
  <si>
    <t>DOT117008830</t>
  </si>
  <si>
    <t>Đồng ống thẳng 11.70x0.88x3.0</t>
  </si>
  <si>
    <t>DOT117009130</t>
  </si>
  <si>
    <t>Đồng ống thẳng 11.70x0.91x3.0</t>
  </si>
  <si>
    <t>DOT118008630</t>
  </si>
  <si>
    <t>Đồng ống thẳng 11.80x0.86x3.0</t>
  </si>
  <si>
    <t>DOT118008830</t>
  </si>
  <si>
    <t>Đồng ống thẳng 11.80x0.88x3.0</t>
  </si>
  <si>
    <t>DOT12000611235</t>
  </si>
  <si>
    <t>Đồng ống thẳng 12.00x0.61x1.235</t>
  </si>
  <si>
    <t>DOT120006130</t>
  </si>
  <si>
    <t>Đồng ống thẳng 12.00x0.61x3.0</t>
  </si>
  <si>
    <t>DOT120008130</t>
  </si>
  <si>
    <t>Đồng ống thẳng 12.00x0.81x3.0</t>
  </si>
  <si>
    <t>DOT120008630</t>
  </si>
  <si>
    <t>Đồng ống thẳng 12.00x0.86x3.0</t>
  </si>
  <si>
    <t>DOT120008830</t>
  </si>
  <si>
    <t>Đồng ống thẳng 12.00x0.88x3.0</t>
  </si>
  <si>
    <t>DOT120009130</t>
  </si>
  <si>
    <t>Đồng ống thẳng 12.00x0.91x3.0</t>
  </si>
  <si>
    <t>DOT120009530</t>
  </si>
  <si>
    <t>Đồng ống thẳng 12.00x0.95x3.0</t>
  </si>
  <si>
    <t>DOT12001024</t>
  </si>
  <si>
    <t>Đồng ống thẳng 12.00x1.00x2.4</t>
  </si>
  <si>
    <t>DOT12001030</t>
  </si>
  <si>
    <t>Đồng ống thẳng 12.00x1.00x3.0</t>
  </si>
  <si>
    <t>DOT120011030</t>
  </si>
  <si>
    <t>Đồng ống thẳng 12.00x1.10x3.0</t>
  </si>
  <si>
    <t>DOT12011414</t>
  </si>
  <si>
    <t>Đồng ống thẳng 12.00x1.14x1.4m</t>
  </si>
  <si>
    <t>DOT120012030</t>
  </si>
  <si>
    <t>Đồng ống thẳng 12.00x1.20x3.0</t>
  </si>
  <si>
    <t>DOT120012530</t>
  </si>
  <si>
    <t>Đồng ống thẳng 12.00x1.25x3.0</t>
  </si>
  <si>
    <t>DOT120013230</t>
  </si>
  <si>
    <t>Đồng ống thẳng 12.00x1.32x3.0</t>
  </si>
  <si>
    <t>DOT125013030</t>
  </si>
  <si>
    <t>Đồng ống thẳng 12.50x1.30x3.0</t>
  </si>
  <si>
    <t>DOT125013530</t>
  </si>
  <si>
    <t>Đồng ống thẳng 12.50x1.35x3.0</t>
  </si>
  <si>
    <t>DOT125015030</t>
  </si>
  <si>
    <t>Đồng ống thẳng 12.50x1.50x3.0</t>
  </si>
  <si>
    <t>DOT1270050</t>
  </si>
  <si>
    <t>Đồng ống thẳng 12.70x0.50</t>
  </si>
  <si>
    <t>DOT1270055</t>
  </si>
  <si>
    <t>Đồng ống thẳng 12.70x0.55</t>
  </si>
  <si>
    <t>DOT1270060</t>
  </si>
  <si>
    <t>Đồng ống thẳng 12.70x0.60</t>
  </si>
  <si>
    <t>ĐTPCAYDD</t>
  </si>
  <si>
    <t>DOT1270071</t>
  </si>
  <si>
    <t>Đồng ống thẳng 12.70x0.71</t>
  </si>
  <si>
    <t>DOT1270075</t>
  </si>
  <si>
    <t>Đồng ống thẳng 12.70x0.75</t>
  </si>
  <si>
    <t>DOT12707558</t>
  </si>
  <si>
    <t>Đồng ống thẳng 12.7x0.75x5.8</t>
  </si>
  <si>
    <t>DOT1270080</t>
  </si>
  <si>
    <t>Đồng ống thẳng 12.70x0.80</t>
  </si>
  <si>
    <t>DOT127080303</t>
  </si>
  <si>
    <t>Đồng ống thẳng 12.7x0.80x3.03</t>
  </si>
  <si>
    <t>DOT1270828</t>
  </si>
  <si>
    <t>Đồng ống thẳng 12.70x0.80x2.8</t>
  </si>
  <si>
    <t>DOT1270081</t>
  </si>
  <si>
    <t>Đồng ống thẳng 12.70x0.81</t>
  </si>
  <si>
    <t>DOT1270081303</t>
  </si>
  <si>
    <t>Đồng ống thẳng 12.70x0.81x3.03</t>
  </si>
  <si>
    <t>DOT127008158</t>
  </si>
  <si>
    <t>Đồng ống thẳng 12.70x0.81x5.8</t>
  </si>
  <si>
    <t>DOT1270089</t>
  </si>
  <si>
    <t>Đồng ống thẳng 12.70x0.89</t>
  </si>
  <si>
    <t>DOT1270100</t>
  </si>
  <si>
    <t>Đồng ống thẳng 12.70x1.00</t>
  </si>
  <si>
    <t>DOT1270124</t>
  </si>
  <si>
    <t>Đồng ống thẳng 12.70x1.24</t>
  </si>
  <si>
    <t>DOT130015030</t>
  </si>
  <si>
    <t>Đồng ống thẳng 13.00x1.50x3.0</t>
  </si>
  <si>
    <t>DOT135010530</t>
  </si>
  <si>
    <t>Đồng ống thẳng 13.50x1.05x3.0</t>
  </si>
  <si>
    <t>DOT135011530</t>
  </si>
  <si>
    <t>Đồng ống thẳng 13.50x1.15x3.0</t>
  </si>
  <si>
    <t>DOT135012030</t>
  </si>
  <si>
    <t>Đồng ống thẳng 13.50x1.20x3.0</t>
  </si>
  <si>
    <t>DOT135013030</t>
  </si>
  <si>
    <t>Đồng ống thẳng 13.50x1.30x3.0</t>
  </si>
  <si>
    <t>DOT136012030</t>
  </si>
  <si>
    <t>Đồng ống thẳng 13.60x1.20x3.0</t>
  </si>
  <si>
    <t>DOT140010030</t>
  </si>
  <si>
    <t>Đồng ống thẳng 14.00x1.00x3.0</t>
  </si>
  <si>
    <t>DOT140010530</t>
  </si>
  <si>
    <t>Đồng ống thẳng 14.00x1.05x3.0</t>
  </si>
  <si>
    <t>DOT140011030</t>
  </si>
  <si>
    <t>Đồng ống thẳng 14.00x1.1x3</t>
  </si>
  <si>
    <t>DOT140011530</t>
  </si>
  <si>
    <t>Đồng ống thẳng 14.00x1.15x3.0</t>
  </si>
  <si>
    <t>DOT14001214</t>
  </si>
  <si>
    <t>Đồng ống thẳng 14.00x1.2x1.4</t>
  </si>
  <si>
    <t>DOT1400123</t>
  </si>
  <si>
    <t>Đồng ống thẳng 14.00x1.2x3</t>
  </si>
  <si>
    <t>DOT1412730</t>
  </si>
  <si>
    <t>Đồng ống thẳng 14x1.27x3.0</t>
  </si>
  <si>
    <t>DOT140013030</t>
  </si>
  <si>
    <t>Đồng ống thẳng 14.00x1.3x3</t>
  </si>
  <si>
    <t>DOT140014020</t>
  </si>
  <si>
    <t>Đồng ống thẳng 14.00x1.40x2.0</t>
  </si>
  <si>
    <t>DOT140014030</t>
  </si>
  <si>
    <t>Đồng ống thẳng 14.00x1.40x3.0</t>
  </si>
  <si>
    <t>DOT140014530</t>
  </si>
  <si>
    <t>Đồng ống thẳng 14.00x1.45x3.0</t>
  </si>
  <si>
    <t>DOT140015030</t>
  </si>
  <si>
    <t>Đồng ống thẳng 14.00x1.50x3.0</t>
  </si>
  <si>
    <t>DOT145013030</t>
  </si>
  <si>
    <t>Đồng ống thẳng 14.50x1.30x3.0</t>
  </si>
  <si>
    <t>DOT145015030</t>
  </si>
  <si>
    <t>Đồng ống thẳng 14.50x1.50x3.0</t>
  </si>
  <si>
    <t>DOT146016530</t>
  </si>
  <si>
    <t>Đồng ống thẳng 14.60x1.65x3.0</t>
  </si>
  <si>
    <t>DOT147015030</t>
  </si>
  <si>
    <t>Đồng ống thẳng 14.70x1.50x3.0</t>
  </si>
  <si>
    <t>DOT1500200120</t>
  </si>
  <si>
    <t>Đồng ống thẳng 15.00x2.00x1.20</t>
  </si>
  <si>
    <t>DOT150020030</t>
  </si>
  <si>
    <t>Đồng ống thẳng 15.00x2.00x3.0</t>
  </si>
  <si>
    <t>DOT155012030</t>
  </si>
  <si>
    <t>Đồng ống thẳng 15.50x1.20x3.0</t>
  </si>
  <si>
    <t>DOT1588050(NM)</t>
  </si>
  <si>
    <t>Đồng ống thẳng 15.88x0.50</t>
  </si>
  <si>
    <t>DOT158805018</t>
  </si>
  <si>
    <t>Đồng ống thẳng 15.88x0.50x1.8</t>
  </si>
  <si>
    <t>DOT1588050193</t>
  </si>
  <si>
    <t>Đồng ống thẳng 15.88x0.50x1.93</t>
  </si>
  <si>
    <t>DOT158805024</t>
  </si>
  <si>
    <t>Đồng ống thẳng 15.88x0.50x2.4</t>
  </si>
  <si>
    <t>DOT158805025</t>
  </si>
  <si>
    <t>Đồng ống thẳng 15.88x0.50x2.5</t>
  </si>
  <si>
    <t>DOT158805058</t>
  </si>
  <si>
    <t>Đồng ống thẳng 15.88x0.5x5.8</t>
  </si>
  <si>
    <t>DOT158805140</t>
  </si>
  <si>
    <t>Đồng ống thẳng 15.88x0.51x4.0</t>
  </si>
  <si>
    <t>DOT1588055</t>
  </si>
  <si>
    <t>Đồng ống thẳng 15.88x0.55</t>
  </si>
  <si>
    <t>DOT158805619</t>
  </si>
  <si>
    <t>Đồng ống thẳng 15.88x0.56x1.9</t>
  </si>
  <si>
    <t>DOT1588060</t>
  </si>
  <si>
    <t>Đồng ống thẳng 15.88x0.60</t>
  </si>
  <si>
    <t>DOT158806016</t>
  </si>
  <si>
    <t>Đồng ống thẳng 15.88x0.60x1.6</t>
  </si>
  <si>
    <t>DOT158806058</t>
  </si>
  <si>
    <t>Đồng ống thẳng 15.88x0.60x5.8</t>
  </si>
  <si>
    <t>DOT1588061</t>
  </si>
  <si>
    <t>Đồng ống thẳng 15.88x0.61</t>
  </si>
  <si>
    <t>DOT1588061193</t>
  </si>
  <si>
    <t>Đồng ống thẳng 15.88x0.61x1.93</t>
  </si>
  <si>
    <t>DOT158806132</t>
  </si>
  <si>
    <t>Đồng ống thẳng 15.88x0.61x3.2</t>
  </si>
  <si>
    <t>DOT1588061387</t>
  </si>
  <si>
    <t>Đồng ống thẳng 15.88x0.61x3.87</t>
  </si>
  <si>
    <t>DOT158806141</t>
  </si>
  <si>
    <t>Đồng ống thẳng 15.88x0.61x4.1</t>
  </si>
  <si>
    <t>DOT158806558</t>
  </si>
  <si>
    <t>Đồng ống thẳng 15.88x0.65x5.8</t>
  </si>
  <si>
    <t>DOT1588070</t>
  </si>
  <si>
    <t>Đồng ống thẳng 15.88x0.70</t>
  </si>
  <si>
    <t>DOT1588071</t>
  </si>
  <si>
    <t>Đồng ống thẳng 15.88x0.71</t>
  </si>
  <si>
    <t>DOT1588071193</t>
  </si>
  <si>
    <t>Đồng ống thẳng 15.88x0.71x1.93</t>
  </si>
  <si>
    <t>DOT158807158</t>
  </si>
  <si>
    <t>Đồng ống thẳng 15.88x0.71x5.8</t>
  </si>
  <si>
    <t>DOT1588080</t>
  </si>
  <si>
    <t>Đồng ống thẳng 15.88x0.80</t>
  </si>
  <si>
    <t>DOT1588081387</t>
  </si>
  <si>
    <t>Đồng ống thẳng 15.88x0.81x3.87</t>
  </si>
  <si>
    <t>ĐTPCAYIB</t>
  </si>
  <si>
    <t>DOT1588081</t>
  </si>
  <si>
    <t>Đồng ống thẳng 15.88x0.81</t>
  </si>
  <si>
    <t>DOT158808529</t>
  </si>
  <si>
    <t>Đồng ống thẳng 15.88x0.85x2.9</t>
  </si>
  <si>
    <t>DOT158808558</t>
  </si>
  <si>
    <t>Đồng ống thẳng 15.88x0.85x5.8</t>
  </si>
  <si>
    <t>DOT1588090</t>
  </si>
  <si>
    <t>Đồng ống thẳng 15.88x0.90</t>
  </si>
  <si>
    <t>DOT158809158</t>
  </si>
  <si>
    <t>Đồng ống thẳng 15.88x0.91x5.8</t>
  </si>
  <si>
    <t>DOT1588095</t>
  </si>
  <si>
    <t>Đồng ống thẳng 15.88x0.95</t>
  </si>
  <si>
    <t>DOT158809558</t>
  </si>
  <si>
    <t>Đồng ống thẳng 15.88x0.95x5.8</t>
  </si>
  <si>
    <t>DOT158809858</t>
  </si>
  <si>
    <t>Đồng ống thẳng 15.88x0.98x5.8</t>
  </si>
  <si>
    <t>DOT158810030</t>
  </si>
  <si>
    <t>Đồng ống thẳng 15.88x1.00x3.0</t>
  </si>
  <si>
    <t>DOT15881058</t>
  </si>
  <si>
    <t>Đồng ống thẳng 15.88x1x5.8</t>
  </si>
  <si>
    <t>DOT1588100</t>
  </si>
  <si>
    <t>Đồng ống thẳng 15.88x1.00</t>
  </si>
  <si>
    <t>DOT1588102</t>
  </si>
  <si>
    <t>Đồng ống thẳng 15.88x1.02</t>
  </si>
  <si>
    <t>DOT158812016</t>
  </si>
  <si>
    <t>Đồng ống thẳng 15.88x1.20x1.6</t>
  </si>
  <si>
    <t>DOT1588124</t>
  </si>
  <si>
    <t>Đồng ống thẳng 15.88x1.24</t>
  </si>
  <si>
    <t>DOT158815030</t>
  </si>
  <si>
    <t>Đồng ống thẳng 15.88x1.50x3.0</t>
  </si>
  <si>
    <t>DOT160006130</t>
  </si>
  <si>
    <t>Đồng ống thẳng 16.00x0.61x3.0</t>
  </si>
  <si>
    <t>DOT160010030</t>
  </si>
  <si>
    <t>Đồng ống thẳng 16.00x1.00x3.0</t>
  </si>
  <si>
    <t>DOT160012030</t>
  </si>
  <si>
    <t>Đồng ống thẳng 16.00x1.20x3.0</t>
  </si>
  <si>
    <t>DOT160012530</t>
  </si>
  <si>
    <t>Đồng ống thẳng 16.00x1.25x3.0</t>
  </si>
  <si>
    <t>DOT160013030</t>
  </si>
  <si>
    <t>Đồng ống thẳng 16.00x1.30x3.0</t>
  </si>
  <si>
    <t>DOT1600130305</t>
  </si>
  <si>
    <t>Đồng ống thẳng 16.00x1.30x3.05</t>
  </si>
  <si>
    <t>DOT160013530</t>
  </si>
  <si>
    <t>Đồng ống thẳng 16.00x1.35x3.0</t>
  </si>
  <si>
    <t>DOT1600143</t>
  </si>
  <si>
    <t>Đồng ống thẳng 16.00x1.4x3</t>
  </si>
  <si>
    <t>DOT160015020</t>
  </si>
  <si>
    <t>Đồng ống thẳng 16.00x1.50x2.0</t>
  </si>
  <si>
    <t>DOT1600153</t>
  </si>
  <si>
    <t>Đồng ống thẳng 16.00x1.5x3</t>
  </si>
  <si>
    <t>DOT165009120</t>
  </si>
  <si>
    <t>Đồng ống thẳng 16.50x0.91x2.0</t>
  </si>
  <si>
    <t>DOT165015030</t>
  </si>
  <si>
    <t>Đồng ống thẳng 16.50x1.50x3.0</t>
  </si>
  <si>
    <t>DOT170013030</t>
  </si>
  <si>
    <t>Đồng ống thẳng 17.00x1.30x3.0</t>
  </si>
  <si>
    <t>DOT170015030</t>
  </si>
  <si>
    <t>Đồng ống thẳng 17.00x1.50x3.0</t>
  </si>
  <si>
    <t>DOT170015530</t>
  </si>
  <si>
    <t>Đồng ống thẳng 17.00x1.55x3.0</t>
  </si>
  <si>
    <t>DOT170016030</t>
  </si>
  <si>
    <t>Đồng ống thẳng 17.00x1.60x3.0</t>
  </si>
  <si>
    <t>DOT170017530</t>
  </si>
  <si>
    <t>Đồng ống thẳng 17.00x1.75x3.0</t>
  </si>
  <si>
    <t>DOT174019030</t>
  </si>
  <si>
    <t>Đồng ống thẳng 17.40x1.90x3.0</t>
  </si>
  <si>
    <t>DOT174020020</t>
  </si>
  <si>
    <t>Đồng ống thẳng 17.40x2.00x2.0</t>
  </si>
  <si>
    <t>DOT175013030</t>
  </si>
  <si>
    <t>Đồng ống thẳng 17.50x1.30x3.0</t>
  </si>
  <si>
    <t>DOT175014530</t>
  </si>
  <si>
    <t>Đồng ống thẳng 17.50x1.45x3.0</t>
  </si>
  <si>
    <t>DOT175015030</t>
  </si>
  <si>
    <t>Đồng ống thẳng 17.50x1.50x3.0</t>
  </si>
  <si>
    <t>DOT175016030</t>
  </si>
  <si>
    <t>Đồng ống thẳng 17.50x1.60x3.0</t>
  </si>
  <si>
    <t>DOT175017030</t>
  </si>
  <si>
    <t>Đồng ống thẳng 17.50x1.70x3.0</t>
  </si>
  <si>
    <t>DOT180015030</t>
  </si>
  <si>
    <t>Đồng ống thẳng 18.00x1.50x3.0</t>
  </si>
  <si>
    <t>DOT180015530</t>
  </si>
  <si>
    <t>Đồng ống thẳng 18.00x1.55x30</t>
  </si>
  <si>
    <t>DOT180016030</t>
  </si>
  <si>
    <t>Đồng ống thẳng 18.00x1.6x30</t>
  </si>
  <si>
    <t>DOT180017530</t>
  </si>
  <si>
    <t>Đồng ống thẳng 18.00x1.75x30</t>
  </si>
  <si>
    <t>DOT182817020</t>
  </si>
  <si>
    <t>Đồng ống thẳng 18.28x1.70x2.0</t>
  </si>
  <si>
    <t>DOT190014030</t>
  </si>
  <si>
    <t>Đồng ống thẳng 19.00x1.40x3.0</t>
  </si>
  <si>
    <t>DOT190015030</t>
  </si>
  <si>
    <t>Đồng ống thẳng 19.00x1.50x3.0</t>
  </si>
  <si>
    <t>DOT190018030</t>
  </si>
  <si>
    <t>Đồng ống thẳng 19.00x1.80x3.0</t>
  </si>
  <si>
    <t>DOT190019030</t>
  </si>
  <si>
    <t>Đồng ống thẳng 19.00x1.90x3.0</t>
  </si>
  <si>
    <t>DOT190020030</t>
  </si>
  <si>
    <t>Đồng ống thẳng 19.00x2.00x3.0</t>
  </si>
  <si>
    <t>DOT190505524</t>
  </si>
  <si>
    <t>Đồng ống thẳng 19.05x0.55x2.4</t>
  </si>
  <si>
    <t>DOT1905060</t>
  </si>
  <si>
    <t>Đồng ống thẳng 19.05x0.60</t>
  </si>
  <si>
    <t>DOT1905065</t>
  </si>
  <si>
    <t>Đồng ống thẳng 19.05x0.65</t>
  </si>
  <si>
    <t>DOT1905071</t>
  </si>
  <si>
    <t>Đồng ống thẳng 19.05x0.71</t>
  </si>
  <si>
    <t>DOT190507130</t>
  </si>
  <si>
    <t>Đồng ống thẳng 19.05x0.71x3.0</t>
  </si>
  <si>
    <t>DOT1905075</t>
  </si>
  <si>
    <t>Đồng ống thẳng 19.05x0.75</t>
  </si>
  <si>
    <t>DOT190508058</t>
  </si>
  <si>
    <t>Đồng ống thẳng 19.05x0.80x5.8m</t>
  </si>
  <si>
    <t>DOT1905081</t>
  </si>
  <si>
    <t>Đồng ống thẳng 19.05x0.81</t>
  </si>
  <si>
    <t>DOT190508558</t>
  </si>
  <si>
    <t>Đồng ống thẳng 19.05x0.85x5.8</t>
  </si>
  <si>
    <t>DOT1905090</t>
  </si>
  <si>
    <t>Đồng ống thẳng 19.05x0.90</t>
  </si>
  <si>
    <t>DOT190509058</t>
  </si>
  <si>
    <t>Đồng ống thẳng 19.05x0.9x5.8</t>
  </si>
  <si>
    <t>DOT1905095(NM)</t>
  </si>
  <si>
    <t>Đồng ống thẳng 19.05x0.95</t>
  </si>
  <si>
    <t>DOT190510058</t>
  </si>
  <si>
    <t>Đồng ống thẳng 19.05x1.00x5.8</t>
  </si>
  <si>
    <t>DOT1905100</t>
  </si>
  <si>
    <t>Đồng ống thẳng 19.05x1.00</t>
  </si>
  <si>
    <t>DOT1905107</t>
  </si>
  <si>
    <t>Đồng ống thẳng 19.05x1.07</t>
  </si>
  <si>
    <t>DOT1905110</t>
  </si>
  <si>
    <t>Đồng ống thẳng 19.05x1.10</t>
  </si>
  <si>
    <t>DOT1905120</t>
  </si>
  <si>
    <t>Đồng ống thẳng 19.05x1.20</t>
  </si>
  <si>
    <t>DOT1905124</t>
  </si>
  <si>
    <t>Đồng ống thẳng 19.05x1.24</t>
  </si>
  <si>
    <t>DOT1905140</t>
  </si>
  <si>
    <t>Đồng ống thẳng 19.05x1.4</t>
  </si>
  <si>
    <t>DOT190515030</t>
  </si>
  <si>
    <t>Đồng ống thẳng 19.05x1.50x3.0</t>
  </si>
  <si>
    <t>DOT190519530</t>
  </si>
  <si>
    <t>Đồng ống thẳng 19.05x1.95x3.0</t>
  </si>
  <si>
    <t>DOT195014030</t>
  </si>
  <si>
    <t>Đồng ống thẳng 19.50x1.40x3.0</t>
  </si>
  <si>
    <t>DOT195015530</t>
  </si>
  <si>
    <t>Đồng ống thẳng 19.50x1.55x3.0</t>
  </si>
  <si>
    <t>DOT195017030</t>
  </si>
  <si>
    <t>Đồng ống thẳng 19.50x1.70x3.0</t>
  </si>
  <si>
    <t>DOT195019530</t>
  </si>
  <si>
    <t>Đồng ống thẳng 19.50x1.95x3.0</t>
  </si>
  <si>
    <t>DOT195023020</t>
  </si>
  <si>
    <t>Đồng ống thẳng 19.50x2.30x2.0</t>
  </si>
  <si>
    <t>DOT200010029</t>
  </si>
  <si>
    <t>Đồng ống thẳng 20.00x1x2.9m</t>
  </si>
  <si>
    <t>DOT20001530</t>
  </si>
  <si>
    <t>Đồng ống thẳng 20.00x1.5x3.0</t>
  </si>
  <si>
    <t>DOT20001630</t>
  </si>
  <si>
    <t>Đồng ống thẳng 20.00x1.6x3.0</t>
  </si>
  <si>
    <t>DOT20001730</t>
  </si>
  <si>
    <t>Đồng ống thẳng 20.00x1.7x3.0</t>
  </si>
  <si>
    <t>DOT20001930</t>
  </si>
  <si>
    <t>Đồng ống thẳng 20.00x1.9x3.0</t>
  </si>
  <si>
    <t>DOT20002030</t>
  </si>
  <si>
    <t>Đồng ống thẳng 20.00x2.00x3.0</t>
  </si>
  <si>
    <t>DOT200022030</t>
  </si>
  <si>
    <t>Đồng ống thẳng 20.00x2.20x3.0</t>
  </si>
  <si>
    <t>DOT2000225030</t>
  </si>
  <si>
    <t>Đồng ống thẳng 20.00x2.25x3.0</t>
  </si>
  <si>
    <t>DOT210015030</t>
  </si>
  <si>
    <t>Đồng ống thẳng 21.00x1.50x3.0</t>
  </si>
  <si>
    <t>DOT210018030</t>
  </si>
  <si>
    <t>Đồng ống thẳng 21.00x1.80x3.0</t>
  </si>
  <si>
    <t>DOT210019030</t>
  </si>
  <si>
    <t>Đồng ống thẳng 21.00x1.90x3.0</t>
  </si>
  <si>
    <t>DOT210020030</t>
  </si>
  <si>
    <t>Đồng ống thẳng 21.00x2.00x3.0</t>
  </si>
  <si>
    <t>DOT210021030</t>
  </si>
  <si>
    <t>Đồng ống thẳng 21.00x2.10x3.0</t>
  </si>
  <si>
    <t>DOT210022030</t>
  </si>
  <si>
    <t>Đồng ống thẳng 21.00x2.20x3.0</t>
  </si>
  <si>
    <t>DOT215015020</t>
  </si>
  <si>
    <t>Đồng ống thẳng 21.50x1.50x2.0</t>
  </si>
  <si>
    <t>DOT215015030</t>
  </si>
  <si>
    <t>Đồng ống thẳng 21.50x1.50x3.0</t>
  </si>
  <si>
    <t>DOT215015530</t>
  </si>
  <si>
    <t>Đồng ống thẳng 21.50x1.55x3.0</t>
  </si>
  <si>
    <t>DOT220012030</t>
  </si>
  <si>
    <t>Đồng ống thẳng 22.00x1.20x3.0</t>
  </si>
  <si>
    <t>DOT220006011</t>
  </si>
  <si>
    <t>Đồng ống thẳng 22.00x0.60x1.1</t>
  </si>
  <si>
    <t>DOT220006013</t>
  </si>
  <si>
    <t>Đồng ống thẳng 22.00x0.60x1.3</t>
  </si>
  <si>
    <t>DOT2200060212</t>
  </si>
  <si>
    <t>Đồng ống thẳng 22.00x0.60x2.12</t>
  </si>
  <si>
    <t>DOT2200060262</t>
  </si>
  <si>
    <t>Đồng ống thẳng 22.00x0.60x2.62</t>
  </si>
  <si>
    <t>DOT220006032</t>
  </si>
  <si>
    <t>Đồng ống thẳng 22.00x0.60x3.2m</t>
  </si>
  <si>
    <t>DOT220006041</t>
  </si>
  <si>
    <t>Đồng ống thẳng 22.00x0.60x4.1m</t>
  </si>
  <si>
    <t>DOT220006113</t>
  </si>
  <si>
    <t>Đồng ống thẳng 22.00x0.61x1.3</t>
  </si>
  <si>
    <t>DOT2200071212</t>
  </si>
  <si>
    <t>Đồng ống thẳng 22.00x0.71x2.12</t>
  </si>
  <si>
    <t>DOT2200071262</t>
  </si>
  <si>
    <t>Đồng ống thẳng 22.00x0.71x2.62</t>
  </si>
  <si>
    <t>DOT220008126</t>
  </si>
  <si>
    <t>Đồng ống thẳng 22.00x0.81x2.6</t>
  </si>
  <si>
    <t>DOT220008132</t>
  </si>
  <si>
    <t>Đồng ống thẳng 22.00x0.81x3.2</t>
  </si>
  <si>
    <t>DOT220008141</t>
  </si>
  <si>
    <t>Đồng ống thẳng 22.00x0.81x4.1</t>
  </si>
  <si>
    <t>DOT220001630</t>
  </si>
  <si>
    <t>Đồng ống thẳng 22.00x1.6x3.0</t>
  </si>
  <si>
    <t>DOT220017030</t>
  </si>
  <si>
    <t>Đồng ống thẳng 22.00x1.70x3.0</t>
  </si>
  <si>
    <t>DOT220001830</t>
  </si>
  <si>
    <t>Đồng ống thẳng 22.00x1.8x3.0</t>
  </si>
  <si>
    <t>DOT220001930</t>
  </si>
  <si>
    <t>Đồng ống thẳng 22.00x1.9x3.0</t>
  </si>
  <si>
    <t>DOT2200225030</t>
  </si>
  <si>
    <t>Đồng ống thẳng 22.00x2.25x3.0</t>
  </si>
  <si>
    <t>DOT2222095(NM)</t>
  </si>
  <si>
    <t>Đồng ống thẳng 22.22x0.95</t>
  </si>
  <si>
    <t>DOT2222060</t>
  </si>
  <si>
    <t>Đồng ống thẳng 22.22x0.60</t>
  </si>
  <si>
    <t>DOT2222065</t>
  </si>
  <si>
    <t>Đồng ống thẳng 22.22x0.65</t>
  </si>
  <si>
    <t>DOT2222070(NM)</t>
  </si>
  <si>
    <t>Đồng ống thẳng 22.22x0.70</t>
  </si>
  <si>
    <t>DOT2222071210</t>
  </si>
  <si>
    <t>Đồng ống thẳng 22.22x0.71x2.10</t>
  </si>
  <si>
    <t>DOT2222071212</t>
  </si>
  <si>
    <t>Đồng ống thẳng 22.22x0.71x2.12</t>
  </si>
  <si>
    <t>DOT222207158</t>
  </si>
  <si>
    <t>Đồng ống thẳng 22.22x0.71x5.8</t>
  </si>
  <si>
    <t>DOT2222071(NM)</t>
  </si>
  <si>
    <t>Đồng ống thẳng 22.22x0.71</t>
  </si>
  <si>
    <t>DOT2222075(NM)</t>
  </si>
  <si>
    <t>Đồng ống thẳng 22.22x0.75</t>
  </si>
  <si>
    <t>DOT2222080</t>
  </si>
  <si>
    <t>Đồng ống thẳng 22.22x0.80</t>
  </si>
  <si>
    <t>DOT222208058</t>
  </si>
  <si>
    <t>Đồng ống thẳng 22.22x0.80x5.8m</t>
  </si>
  <si>
    <t>DOT222208158</t>
  </si>
  <si>
    <t>Đồng ống thẳng 22.22x0.81x5.8</t>
  </si>
  <si>
    <t>DOT2222081</t>
  </si>
  <si>
    <t>Đồng ống thẳng 22.22x0.81</t>
  </si>
  <si>
    <t>DOT2222085</t>
  </si>
  <si>
    <t>Đồng ống thẳng 22.22x0.85</t>
  </si>
  <si>
    <t>DOT222208558</t>
  </si>
  <si>
    <t>Đồng ống thẳng 22.22x0.85x5.8</t>
  </si>
  <si>
    <t>DOT2222091</t>
  </si>
  <si>
    <t>Đồng ống thẳng 22.22x0.91</t>
  </si>
  <si>
    <t>DOT222209158</t>
  </si>
  <si>
    <t>Đồng ống thẳng 22.22x0.91x5.8</t>
  </si>
  <si>
    <t>ĐTPCAYCT</t>
  </si>
  <si>
    <t>DOT2222100</t>
  </si>
  <si>
    <t>Đồng ống thẳng 22.22x1.00</t>
  </si>
  <si>
    <t>DOT22221058</t>
  </si>
  <si>
    <t>Đồng ống thẳng 22.22x1.0x5.8</t>
  </si>
  <si>
    <t>DOT2222102</t>
  </si>
  <si>
    <t>Đồng ống thẳng 22.22x1.02</t>
  </si>
  <si>
    <t>DOT2222107</t>
  </si>
  <si>
    <t>Đồng ống thẳng 22.22x1.07</t>
  </si>
  <si>
    <t>DOT222210729</t>
  </si>
  <si>
    <t>Đồng ống thẳng 22.22x1.07x2.9</t>
  </si>
  <si>
    <t>DOT222211</t>
  </si>
  <si>
    <t>Đồng ống thẳng 22.22x1.1</t>
  </si>
  <si>
    <t>DOT2222114</t>
  </si>
  <si>
    <t>Đồng ống thẳng 22.22x1.14</t>
  </si>
  <si>
    <t>DOT2222115</t>
  </si>
  <si>
    <t>Đồng ống thẳng 22.22x1.15</t>
  </si>
  <si>
    <t>DOT222211558</t>
  </si>
  <si>
    <t>Đồng ống thẳng 22.22x1.15x5.8</t>
  </si>
  <si>
    <t>DOT2222120</t>
  </si>
  <si>
    <t>Đồng ống thẳng 22.22x1.20</t>
  </si>
  <si>
    <t>DOT222212058</t>
  </si>
  <si>
    <t>Đồng ống thẳng 22.22x1.20x5.8</t>
  </si>
  <si>
    <t>DOT2222121</t>
  </si>
  <si>
    <t>Đồng ống thẳng 22.22x1.21</t>
  </si>
  <si>
    <t>DOT2222122</t>
  </si>
  <si>
    <t>Đồng ống thẳng 22.22x1.22</t>
  </si>
  <si>
    <t>DOT2222130</t>
  </si>
  <si>
    <t>Đồng ống thẳng 22.22x1.30</t>
  </si>
  <si>
    <t>DOT2222140</t>
  </si>
  <si>
    <t>Đồng ống thẳng 22.22x1.4</t>
  </si>
  <si>
    <t>DOT2222165</t>
  </si>
  <si>
    <t>Đồng ống thẳng 22.22x165</t>
  </si>
  <si>
    <t>DOT230020030</t>
  </si>
  <si>
    <t>Đồng ống thẳng 23.00x2.00x3.0</t>
  </si>
  <si>
    <t>DOT230021030</t>
  </si>
  <si>
    <t>Đồng ống thẳng 23.00x2.10x3.0</t>
  </si>
  <si>
    <t>DOT230023030</t>
  </si>
  <si>
    <t>Đồng ống thẳng 23.00x2.30x3.0</t>
  </si>
  <si>
    <t>DOT230025030</t>
  </si>
  <si>
    <t>Đồng ống thẳng 23.00x2.50x3.0</t>
  </si>
  <si>
    <t>DOT235018030</t>
  </si>
  <si>
    <t>Đồng ống thẳng 23.50x1.80x3.0</t>
  </si>
  <si>
    <t>DOT235019030</t>
  </si>
  <si>
    <t>Đồng ống thẳng 23.50x1.90x3.0</t>
  </si>
  <si>
    <t>DOT235022530</t>
  </si>
  <si>
    <t>Đồng ống thẳng 23.50x2.25x3.0</t>
  </si>
  <si>
    <t>DOT235025030</t>
  </si>
  <si>
    <t>Đồng ống thẳng 23.50x2.50x3.0</t>
  </si>
  <si>
    <t>DOT240018030</t>
  </si>
  <si>
    <t>Đồng ống thẳng 24.00x1.80x3.0</t>
  </si>
  <si>
    <t>DOT245018030</t>
  </si>
  <si>
    <t>Đồng ống thẳng 24.50x1.80x3.0</t>
  </si>
  <si>
    <t>DOT245019530</t>
  </si>
  <si>
    <t>Đồng ống thẳng 24.50x1.95x3.0</t>
  </si>
  <si>
    <t>DOT2450275030</t>
  </si>
  <si>
    <t>Đồng ống thẳng 24.50x2.75x3.0</t>
  </si>
  <si>
    <t>DOT250018030</t>
  </si>
  <si>
    <t>Đồng ống thẳng 25.00x1.80x3.0</t>
  </si>
  <si>
    <t>DOT250019030</t>
  </si>
  <si>
    <t>Đồng ống thẳng 25.00x1.90x3.0</t>
  </si>
  <si>
    <t>DOT250019530</t>
  </si>
  <si>
    <t>Đồng ống thẳng 25.00x1.95x3.0</t>
  </si>
  <si>
    <t>DOT250020020</t>
  </si>
  <si>
    <t>Đồng ống thẳng 25.00x2.00x2.0</t>
  </si>
  <si>
    <t>DOT250020030</t>
  </si>
  <si>
    <t>Đồng ống thẳng 25.00x2.00x3.0</t>
  </si>
  <si>
    <t>DOT250023030</t>
  </si>
  <si>
    <t>Đồng ống thẳng 25.00x2.30x3.0</t>
  </si>
  <si>
    <t>DOT250025030</t>
  </si>
  <si>
    <t>Đồng ống thẳng 25.00x2.50x3.0</t>
  </si>
  <si>
    <t>DOT250025040</t>
  </si>
  <si>
    <t>Đồng ống thẳng 25.00x2.50x4.0</t>
  </si>
  <si>
    <t>DOT250030030</t>
  </si>
  <si>
    <t>Đồng ống thẳng 25.00x3.0x3.0</t>
  </si>
  <si>
    <t>DOT2540102</t>
  </si>
  <si>
    <t>Đồng ống thẳng 25.40x1.02</t>
  </si>
  <si>
    <t>DOT2540070</t>
  </si>
  <si>
    <t>Đồng ống thẳng 25.40x0.70</t>
  </si>
  <si>
    <t>DOT2540071</t>
  </si>
  <si>
    <t>Đồng ống thẳng 25.40x0.71</t>
  </si>
  <si>
    <t>DOT2540075</t>
  </si>
  <si>
    <t>Đồng ống thẳng 25.40x0.75</t>
  </si>
  <si>
    <t>DOT2540080</t>
  </si>
  <si>
    <t>Đồng ống thẳng 25.40x0.80</t>
  </si>
  <si>
    <t>DOT2540081</t>
  </si>
  <si>
    <t>Đồng ống thẳng 25.40x0.81</t>
  </si>
  <si>
    <t>DOT2540085</t>
  </si>
  <si>
    <t>Đồng ống thẳng 25.40x0.85</t>
  </si>
  <si>
    <t>DOT2540090</t>
  </si>
  <si>
    <t>Đồng ống thẳng 25.40x0.90</t>
  </si>
  <si>
    <t>DOT2540095</t>
  </si>
  <si>
    <t>Đồng ống thẳng 25.40x0.95</t>
  </si>
  <si>
    <t>DOT254009558</t>
  </si>
  <si>
    <t>Đồng ống thẳng 25.40x0.95x5.8</t>
  </si>
  <si>
    <t>DOT25401058</t>
  </si>
  <si>
    <t>Đồng ống thẳng 25.40x1.00x5.8</t>
  </si>
  <si>
    <t>DOT2540100</t>
  </si>
  <si>
    <t>Đồng ống thẳng 25.40x1.00</t>
  </si>
  <si>
    <t>DOT2540110</t>
  </si>
  <si>
    <t>Đồng ống thẳng 25.4x1.10</t>
  </si>
  <si>
    <t>DOT2540114</t>
  </si>
  <si>
    <t>Đồng ống thẳng 25.4x1.14</t>
  </si>
  <si>
    <t>DOT2540120</t>
  </si>
  <si>
    <t>Đồng ống thẳng 25.40x1.20</t>
  </si>
  <si>
    <t>DOT2540165</t>
  </si>
  <si>
    <t>Đồng ống thẳng 25.4x1.65</t>
  </si>
  <si>
    <t>DOT285809558</t>
  </si>
  <si>
    <t>Đồng ống thẳng 25.58x0.95x5.8</t>
  </si>
  <si>
    <t>DOT28580122</t>
  </si>
  <si>
    <t>Đồng ống thẳng 28.58x1.22</t>
  </si>
  <si>
    <t>DOT25901058</t>
  </si>
  <si>
    <t>Đồng ống thẳng 25.90x1.0x5.8</t>
  </si>
  <si>
    <t>DOT25901059</t>
  </si>
  <si>
    <t>DOT260023030</t>
  </si>
  <si>
    <t>Đồng ống thẳng 26.00x2.3x3.0</t>
  </si>
  <si>
    <t>DOT260027030</t>
  </si>
  <si>
    <t>Đồng ống thẳng 26.00x2.7x3.0</t>
  </si>
  <si>
    <t>DOT265022030</t>
  </si>
  <si>
    <t>Đồng ống thẳng 26.50x2.2x3.0</t>
  </si>
  <si>
    <t>DOT265025030</t>
  </si>
  <si>
    <t>Đồng ống thẳng 26.50x2.5x3.0</t>
  </si>
  <si>
    <t>DOT265028030</t>
  </si>
  <si>
    <t>Đồng ống thẳng 26.50x2.80x3.0</t>
  </si>
  <si>
    <t>DOT270009060</t>
  </si>
  <si>
    <t>Đồng ống thẳng 27.00x0.90x6.0</t>
  </si>
  <si>
    <t>DOT270022030</t>
  </si>
  <si>
    <t>Đồng ống thẳng 27.00x2.20x3.0</t>
  </si>
  <si>
    <t>DOT270024030</t>
  </si>
  <si>
    <t>Đồng ống thẳng 27.00x2.40x3.0</t>
  </si>
  <si>
    <t>DOT270025030</t>
  </si>
  <si>
    <t>Đồng ống thẳng 27.00x2.50x3.0</t>
  </si>
  <si>
    <t>DOT270026030</t>
  </si>
  <si>
    <t>Đồng ống thẳng 27.00x2.60x3.0</t>
  </si>
  <si>
    <t>DOT270027030</t>
  </si>
  <si>
    <t>Đồng ống thẳng 27.00x2.70x3.0</t>
  </si>
  <si>
    <t>DOT280020030</t>
  </si>
  <si>
    <t>Đồng ống thẳng 28.00X2.00x3.0</t>
  </si>
  <si>
    <t>DOT280021030</t>
  </si>
  <si>
    <t>Đồng ống thẳng 28.00X2.10x3.0</t>
  </si>
  <si>
    <t>DOT280022020</t>
  </si>
  <si>
    <t>Đồng ống thẳng 28.00x2.20x2.0</t>
  </si>
  <si>
    <t>DOT280022030</t>
  </si>
  <si>
    <t>Đồng ống thẳng 28.00X2.20x3.0</t>
  </si>
  <si>
    <t>DOT280030030</t>
  </si>
  <si>
    <t>Đồng ống thẳng 28.00X3.00x3.0</t>
  </si>
  <si>
    <t>DOT285022030</t>
  </si>
  <si>
    <t>Đồng ống thẳng 28.50x2.20x3.0</t>
  </si>
  <si>
    <t>DOT2858122</t>
  </si>
  <si>
    <t>DOT2858125</t>
  </si>
  <si>
    <t>Đồng ống thẳng 28.58x1.25</t>
  </si>
  <si>
    <t>DOT2858070</t>
  </si>
  <si>
    <t>Đồng ống thẳng 28.58x0.70</t>
  </si>
  <si>
    <t>DOT2858071</t>
  </si>
  <si>
    <t>Đồng ống thẳng 28.58x0.71</t>
  </si>
  <si>
    <t>DOT285807158</t>
  </si>
  <si>
    <t>Đồng ống thẳng 28.58x0.71x5.8</t>
  </si>
  <si>
    <t>DOT2858075</t>
  </si>
  <si>
    <t>Đồng ống thẳng 28.58x0.75</t>
  </si>
  <si>
    <t>DOT2858080</t>
  </si>
  <si>
    <t>Đồng ống thẳng 28.58x0.80</t>
  </si>
  <si>
    <t>DOT285808158</t>
  </si>
  <si>
    <t>Đồng ống thẳng 28.58x0.81x5.8</t>
  </si>
  <si>
    <t>DOT2858081</t>
  </si>
  <si>
    <t>Đồng ống thẳng 28.58x0.81</t>
  </si>
  <si>
    <t>DOT2858085</t>
  </si>
  <si>
    <t>Đồng ống thẳng 28.58x0.85</t>
  </si>
  <si>
    <t>DOT285808558</t>
  </si>
  <si>
    <t>Đồng ống thẳng 28.58x0.85x5.8</t>
  </si>
  <si>
    <t>DOT2858090</t>
  </si>
  <si>
    <t>Đồng ống thẳng 28.58x0.90</t>
  </si>
  <si>
    <t>DOT285809158</t>
  </si>
  <si>
    <t>Đồng ống thẳng 28.58x0.91x5.8</t>
  </si>
  <si>
    <t>DOT2858095</t>
  </si>
  <si>
    <t>Đồng ống thẳng 28.58x0.95</t>
  </si>
  <si>
    <t>DOT28580955.8</t>
  </si>
  <si>
    <t>Đồng ống thẳng 28.58x0.95x5.8</t>
  </si>
  <si>
    <t>DOT2858100</t>
  </si>
  <si>
    <t>Đồng ống thẳng 28.58x1.00</t>
  </si>
  <si>
    <t>DOT285810058</t>
  </si>
  <si>
    <t>Đồng ống thẳng 28.58x1.00x5.8</t>
  </si>
  <si>
    <t>DOT2858103</t>
  </si>
  <si>
    <t>Đồng ống thẳng 28.58x1.0x3</t>
  </si>
  <si>
    <t>DOT2858107</t>
  </si>
  <si>
    <t>Đồng ống thẳng 28.58x1.07</t>
  </si>
  <si>
    <t>DOT285801158</t>
  </si>
  <si>
    <t>Đồng ống thẳng 28.58x1.1x5.8</t>
  </si>
  <si>
    <t>DOT2858110</t>
  </si>
  <si>
    <t>Đồng ống thẳng 28.58x1.10</t>
  </si>
  <si>
    <t>DOT285811058</t>
  </si>
  <si>
    <t>Đồng ống thẳng 28.58x1.10x5.8</t>
  </si>
  <si>
    <t>DOT2858115</t>
  </si>
  <si>
    <t>Đồng ống thẳng 28.58x1.15</t>
  </si>
  <si>
    <t>DOT285811558</t>
  </si>
  <si>
    <t>Đồng ống thẳng 28.58x1.15x5.8</t>
  </si>
  <si>
    <t>DOT2858120</t>
  </si>
  <si>
    <t>Đồng ống thẳng 28.58x1.20</t>
  </si>
  <si>
    <t>DOT285812058</t>
  </si>
  <si>
    <t>Đồng ống thẳng 28.58x1.2x5.8</t>
  </si>
  <si>
    <t>DOT28580125</t>
  </si>
  <si>
    <t>DOT285812729</t>
  </si>
  <si>
    <t>Đồng ống thẳng 28.58x1.27x2.9</t>
  </si>
  <si>
    <t>DOT285813</t>
  </si>
  <si>
    <t>Đồng ống thẳng 28.58x1.3</t>
  </si>
  <si>
    <t>DOT2858135</t>
  </si>
  <si>
    <t>Đồng ống thẳng 28.58x1.35</t>
  </si>
  <si>
    <t>DOT2858140</t>
  </si>
  <si>
    <t>Đồng ống thẳng 28.58x1.40</t>
  </si>
  <si>
    <t>DOT285814058</t>
  </si>
  <si>
    <t>Đồng ống thẳng 28.58x1.40x5.8</t>
  </si>
  <si>
    <t>DOT285815</t>
  </si>
  <si>
    <t>Đồng ống thẳng 28.58x1.5</t>
  </si>
  <si>
    <t>DOT2858165</t>
  </si>
  <si>
    <t>Đồng ống thẳng 28.58x1.65</t>
  </si>
  <si>
    <t>DOT285828020</t>
  </si>
  <si>
    <t>Đồng ống thẳng 28.58x2.80x2.0</t>
  </si>
  <si>
    <t>DOT290022030</t>
  </si>
  <si>
    <t>Đồng ống thẳng 29.00x2.20x3.0</t>
  </si>
  <si>
    <t>DOT290022530</t>
  </si>
  <si>
    <t>Đồng ống thẳng 29.00x2.25x3.0</t>
  </si>
  <si>
    <t>DOT290023030</t>
  </si>
  <si>
    <t>Đồng ống thẳng 29.00x2.30x3.0</t>
  </si>
  <si>
    <t>DOT290023530</t>
  </si>
  <si>
    <t>Đồng ống thẳng 29.00x2.35x3.0</t>
  </si>
  <si>
    <t>DOT290024030</t>
  </si>
  <si>
    <t>Đồng ống thẳng 29.00x2.40x3.0</t>
  </si>
  <si>
    <t>DOT2900243</t>
  </si>
  <si>
    <t>Đồng ống thẳng 29.00x2.4x3</t>
  </si>
  <si>
    <t>DOT29002453</t>
  </si>
  <si>
    <t>Đồng ống thẳng 29.00x2.45x3.0</t>
  </si>
  <si>
    <t>DOT290028030</t>
  </si>
  <si>
    <t>Đồng ống thẳng 29.00x2.80x3.0</t>
  </si>
  <si>
    <t>DOT290030030</t>
  </si>
  <si>
    <t>Đồng ống thẳng 29.00x3.00x3.0</t>
  </si>
  <si>
    <t>DOT290031030</t>
  </si>
  <si>
    <t>Đồng ống thẳng 29.00x3.10x3.0</t>
  </si>
  <si>
    <t>DOT295031030</t>
  </si>
  <si>
    <t>Đồng ống thẳng 29.50x3.10x3.0</t>
  </si>
  <si>
    <t>DOT300015030</t>
  </si>
  <si>
    <t>Đồng ống thẳng 30.00x1.50x3.0</t>
  </si>
  <si>
    <t>DOT300020030</t>
  </si>
  <si>
    <t>Đồng ống thẳng 30.00x2.00x3.0</t>
  </si>
  <si>
    <t>DOT300025030</t>
  </si>
  <si>
    <t>Đồng ống thẳng 30.00x2.50x3.0</t>
  </si>
  <si>
    <t>DOT300028030</t>
  </si>
  <si>
    <t>Đồng ống thẳng 30.00x2.80x3.0</t>
  </si>
  <si>
    <t>DOT300030030</t>
  </si>
  <si>
    <t>Đồng ống thẳng 30.00x3.00x3.0</t>
  </si>
  <si>
    <t>DOT300032030</t>
  </si>
  <si>
    <t>Đồng ống thẳng 30.00x3.20x3.0</t>
  </si>
  <si>
    <t>DOT300032530</t>
  </si>
  <si>
    <t>Đồng ống thẳng 30.00x3.25x3.0</t>
  </si>
  <si>
    <t>DOT300035020</t>
  </si>
  <si>
    <t>Đồng ống thẳng 30.00x3.50x2.0</t>
  </si>
  <si>
    <t>DOT305024030</t>
  </si>
  <si>
    <t>Đồng ống thẳng 30.50x2.40x3.0</t>
  </si>
  <si>
    <t>DOT305032530</t>
  </si>
  <si>
    <t>Đồng ống thẳng 30.50x3.25x3.0</t>
  </si>
  <si>
    <t>DOT3175070</t>
  </si>
  <si>
    <t>Đồng ống thẳng 31.75x0.70</t>
  </si>
  <si>
    <t>DOT158806142</t>
  </si>
  <si>
    <t>Đồng ống thẳng 31.75x0.71x2.8</t>
  </si>
  <si>
    <t>DOT317507128</t>
  </si>
  <si>
    <t>DOT3175075</t>
  </si>
  <si>
    <t>Đồng ống thẳng 31.75x0.75</t>
  </si>
  <si>
    <t>DOT3175080</t>
  </si>
  <si>
    <t>Đồng ống thẳng 31.75x0.80</t>
  </si>
  <si>
    <t>DOT3175085</t>
  </si>
  <si>
    <t>Đồng ống thẳng 31.75x0.85</t>
  </si>
  <si>
    <t>DOT3175090</t>
  </si>
  <si>
    <t>Đồng ống thẳng 31.75x0.90</t>
  </si>
  <si>
    <t>DOT3175095</t>
  </si>
  <si>
    <t>Đồng ống thẳng 31.75x0.95</t>
  </si>
  <si>
    <t>DOT317510058</t>
  </si>
  <si>
    <t>Đồng ống thẳng 31.75x1.00x5.8</t>
  </si>
  <si>
    <t>DOT3175100</t>
  </si>
  <si>
    <t>Đồng ống thẳng 31.75x1.00</t>
  </si>
  <si>
    <t>DOT3175110</t>
  </si>
  <si>
    <t>Đồng ống thẳng 31.75x1.1</t>
  </si>
  <si>
    <t>DOT31751158</t>
  </si>
  <si>
    <t>Đồng ống thẳng 31.75x1.1x5.8</t>
  </si>
  <si>
    <t>DOT3175115</t>
  </si>
  <si>
    <t>Đồng ống thẳng 31.75x1.15</t>
  </si>
  <si>
    <t>DOT317512058</t>
  </si>
  <si>
    <t>Đồng ống thẳng 31.75x1.20x5.8</t>
  </si>
  <si>
    <t>DOT3175120</t>
  </si>
  <si>
    <t>Đồng ống thẳng 31.75x1.20</t>
  </si>
  <si>
    <t>DOT3175122</t>
  </si>
  <si>
    <t>Đồng ống thẳng 31.75x1.22</t>
  </si>
  <si>
    <t>DOT3175127</t>
  </si>
  <si>
    <t>Đồng ống thẳng 31.75x1.27</t>
  </si>
  <si>
    <t>DOT3175113</t>
  </si>
  <si>
    <t>Đồng ống thẳng 31.75x1.3</t>
  </si>
  <si>
    <t>DOT3175135</t>
  </si>
  <si>
    <t>Đồng ống thẳng 31.75x1.35</t>
  </si>
  <si>
    <t>DOT3175140</t>
  </si>
  <si>
    <t>Đồng ống thẳng 31.75x1.4</t>
  </si>
  <si>
    <t>DOT3175165</t>
  </si>
  <si>
    <t>Đồng ống thẳng 31.75x1.65</t>
  </si>
  <si>
    <t>DOT318075</t>
  </si>
  <si>
    <t>Đồng ống thẳng 31.8x0.75</t>
  </si>
  <si>
    <t>DOT32002430</t>
  </si>
  <si>
    <t>Đồng ống thẳng 32.00x2.4x3.0</t>
  </si>
  <si>
    <t>DOT33002230</t>
  </si>
  <si>
    <t>Đồng ống thẳng 33.00x2.2x3.0</t>
  </si>
  <si>
    <t>DOT330023030</t>
  </si>
  <si>
    <t>Đồng ống thẳng 33.00x2.30x3.0</t>
  </si>
  <si>
    <t>DOT33002530</t>
  </si>
  <si>
    <t>Đồng ống thẳng 33.00x2.50x3.0</t>
  </si>
  <si>
    <t>DOT330026030</t>
  </si>
  <si>
    <t>Đồng ống thẳng 33.00x2.60x3.0</t>
  </si>
  <si>
    <t>DOT330027030</t>
  </si>
  <si>
    <t>Đồng ống thẳng 33.00x2.70x3.0</t>
  </si>
  <si>
    <t>DOT33003030</t>
  </si>
  <si>
    <t>Đồng ống thẳng 33.00x3.0x3.0</t>
  </si>
  <si>
    <t>DOT340032030</t>
  </si>
  <si>
    <t>Đồng ống thẳng 34.00x3.20x3.0</t>
  </si>
  <si>
    <t>DOT34909558</t>
  </si>
  <si>
    <t>Đồng ống thẳng 34.9x0.95x5.8</t>
  </si>
  <si>
    <t>DOT349011558</t>
  </si>
  <si>
    <t>Đồng ống thẳng 34.9x1.15x5.8</t>
  </si>
  <si>
    <t>DOT349123</t>
  </si>
  <si>
    <t>Đồng ống thẳng 34.9x1.2x3.0</t>
  </si>
  <si>
    <t>DOT34901358</t>
  </si>
  <si>
    <t>Đồng ống thẳng 34.90x1.3x5.8</t>
  </si>
  <si>
    <t>DOT349016</t>
  </si>
  <si>
    <t>Đồng ống thẳng 34.9x1.6</t>
  </si>
  <si>
    <t>DOT3490142</t>
  </si>
  <si>
    <t>Đồng ống thẳng 34.93x1.42</t>
  </si>
  <si>
    <t>DOT3490070</t>
  </si>
  <si>
    <t>Đồng ống thẳng 34.93x0.70</t>
  </si>
  <si>
    <t>DOT3493071</t>
  </si>
  <si>
    <t>Đồng ống thẳng 34.93x0.71</t>
  </si>
  <si>
    <t>DOT3490075</t>
  </si>
  <si>
    <t>Đồng ống thẳng 34.93x0.75</t>
  </si>
  <si>
    <t>DOT3490080</t>
  </si>
  <si>
    <t>Đồng ống thẳng 34.93x0.80</t>
  </si>
  <si>
    <t>DOT3493081</t>
  </si>
  <si>
    <t>Đồng ống thẳng 34.93x0.81</t>
  </si>
  <si>
    <t>DOT3490090</t>
  </si>
  <si>
    <t>Đồng ống thẳng 34.93x0.90</t>
  </si>
  <si>
    <t>DOT3490095</t>
  </si>
  <si>
    <t>Đồng ống thẳng 34.93x0.95</t>
  </si>
  <si>
    <t>DOT3493100</t>
  </si>
  <si>
    <t>Đồng ống thẳng 34.93x1.00</t>
  </si>
  <si>
    <t>DOT3493103</t>
  </si>
  <si>
    <t>Đồng ống thẳng 34.93x1.00x3.0</t>
  </si>
  <si>
    <t>DOT349010058</t>
  </si>
  <si>
    <t>Đồng ống thẳng 34.93x1.00x5.8</t>
  </si>
  <si>
    <t>DOT3493107</t>
  </si>
  <si>
    <t>Đồng ống thẳng 34.93x1.07</t>
  </si>
  <si>
    <t>DOT3493110</t>
  </si>
  <si>
    <t>Đồng ống thẳng 34.93x1.10</t>
  </si>
  <si>
    <t>DOT349011058</t>
  </si>
  <si>
    <t>Đồng ống thẳng 34.93x1.10x5.8</t>
  </si>
  <si>
    <t>DOT3490115</t>
  </si>
  <si>
    <t>Đồng ống thẳng 34.93x1.15</t>
  </si>
  <si>
    <t>DOT3493115</t>
  </si>
  <si>
    <t>Đồng ống thẳng 34.93x1.15x2.9</t>
  </si>
  <si>
    <t>DOT3493120</t>
  </si>
  <si>
    <t>Đồng ống thẳng 34.93x1.20</t>
  </si>
  <si>
    <t>DOT349012058</t>
  </si>
  <si>
    <t>Đồng ống thẳng 34.93x1.20x5.8</t>
  </si>
  <si>
    <t>DOT3490122</t>
  </si>
  <si>
    <t>Đồng ống thẳng 34.93x1.22</t>
  </si>
  <si>
    <t>DOT3493127</t>
  </si>
  <si>
    <t>Đồng ống thẳng 34.93x1.27</t>
  </si>
  <si>
    <t>DOT3493130</t>
  </si>
  <si>
    <t>Đồng ống thẳng 34.93x1.3</t>
  </si>
  <si>
    <t>DOT3490135</t>
  </si>
  <si>
    <t>Đồng ống thẳng 34.93x1.35</t>
  </si>
  <si>
    <t>DOT349013558</t>
  </si>
  <si>
    <t>Đồng ống thẳng 34.93x1.35x5.8</t>
  </si>
  <si>
    <t>DOT349014058</t>
  </si>
  <si>
    <t>Đồng ống thẳng 34.93x1.40x5.8</t>
  </si>
  <si>
    <t>DOT3493140</t>
  </si>
  <si>
    <t>Đồng ống thẳng 34.93x1.40</t>
  </si>
  <si>
    <t>DOT3493143</t>
  </si>
  <si>
    <t>Đồng ống thẳng 34.93x1.43</t>
  </si>
  <si>
    <t>DOT3490150</t>
  </si>
  <si>
    <t>Đồng ống thẳng 34.93x1.50</t>
  </si>
  <si>
    <t>DOT34931503</t>
  </si>
  <si>
    <t>Đồng ống thẳng 34.93x1.50x3.0</t>
  </si>
  <si>
    <t>DOT3493160</t>
  </si>
  <si>
    <t>Đồng ống thẳng 34.93x1.60</t>
  </si>
  <si>
    <t>DOT3493165</t>
  </si>
  <si>
    <t>Đồng ống thẳng 34.93x1.65</t>
  </si>
  <si>
    <t>DOT350032030</t>
  </si>
  <si>
    <t>Đồng ống thẳng 35.00x3.00x3.0</t>
  </si>
  <si>
    <t>DOT380030030</t>
  </si>
  <si>
    <t>Đồng ống thẳng 38.00x3.0x3.0</t>
  </si>
  <si>
    <t>DOT3810070(NM)</t>
  </si>
  <si>
    <t>Đồng ống thẳng 38.10x0.70</t>
  </si>
  <si>
    <t>DOT3810081</t>
  </si>
  <si>
    <t>Đồng ống thẳng 38.10x0.81</t>
  </si>
  <si>
    <t>DOT3810095</t>
  </si>
  <si>
    <t>Đồng ống thẳng 38.10x0.95</t>
  </si>
  <si>
    <t>DOT3810100</t>
  </si>
  <si>
    <t>Đồng ống thẳng 38.10x1.00</t>
  </si>
  <si>
    <t>DOT381010058</t>
  </si>
  <si>
    <t>Đồng ống thẳng 38.10x1.00x5.8</t>
  </si>
  <si>
    <t>DOT3810110</t>
  </si>
  <si>
    <t>Đồng ống thẳng 38.10x1.10</t>
  </si>
  <si>
    <t>DOT3810115</t>
  </si>
  <si>
    <t>Đồng ống thẳng 38.10x1.15</t>
  </si>
  <si>
    <t>DOT3810120(NM)</t>
  </si>
  <si>
    <t>Đồng ống thẳng 38.10x1.20</t>
  </si>
  <si>
    <t>DOT3810130</t>
  </si>
  <si>
    <t>Đồng ống thẳng 38.10x1.30</t>
  </si>
  <si>
    <t>DOT381013058</t>
  </si>
  <si>
    <t>Đồng ống thẳng 38.10x1.30x5.8</t>
  </si>
  <si>
    <t>DOT3811358</t>
  </si>
  <si>
    <t>Đồng ống thẳng 38.1x1.3x5.8</t>
  </si>
  <si>
    <t>DOT3810135</t>
  </si>
  <si>
    <t>Đồng ống thẳng 38.10x1.35</t>
  </si>
  <si>
    <t>DOT381013558</t>
  </si>
  <si>
    <t>Đồng ống thẳng 38.10x1.35x5.8</t>
  </si>
  <si>
    <t>DOT381014058</t>
  </si>
  <si>
    <t>Đồng ống thẳng 38.10x1.40x5.8</t>
  </si>
  <si>
    <t>DOT3810140</t>
  </si>
  <si>
    <t>Đồng ống thẳng 38.10x1.40</t>
  </si>
  <si>
    <t>DOT3810150</t>
  </si>
  <si>
    <t>Đồng ống thẳng 38.10x1.50</t>
  </si>
  <si>
    <t>DOT4128080(NM)</t>
  </si>
  <si>
    <t>Đồng ống thẳng 41.28x0.80</t>
  </si>
  <si>
    <t>DOT4128081</t>
  </si>
  <si>
    <t>Đồng ống thẳng 41.28x0.81</t>
  </si>
  <si>
    <t>DOT412808158</t>
  </si>
  <si>
    <t>Đồng ống thẳng 41.28x0.81x5.8</t>
  </si>
  <si>
    <t>DOT4128085</t>
  </si>
  <si>
    <t>Đồng ống thẳng 41.28x0.85</t>
  </si>
  <si>
    <t>DOT4128095</t>
  </si>
  <si>
    <t>Đồng ống thẳng 41.28x0.95</t>
  </si>
  <si>
    <t>DOT41281058</t>
  </si>
  <si>
    <t>Đồng ống thẳng 41.28x1.0x5.8</t>
  </si>
  <si>
    <t>DOT4128100</t>
  </si>
  <si>
    <t>Đồng ống thẳng 41.28x1.00</t>
  </si>
  <si>
    <t>DOT4128107</t>
  </si>
  <si>
    <t>Đồng ống thẳng 41.28x1.07</t>
  </si>
  <si>
    <t>DOT4128110</t>
  </si>
  <si>
    <t>Đồng ống thẳng 41.28x1.10</t>
  </si>
  <si>
    <t>DOT4128115</t>
  </si>
  <si>
    <t>Đồng ống thẳng 41.28x1.15</t>
  </si>
  <si>
    <t>DOT4128120(NM)</t>
  </si>
  <si>
    <t>Đồng ống thẳng 41.28x1.20</t>
  </si>
  <si>
    <t>DOT412812058</t>
  </si>
  <si>
    <t>Đồng ống thẳng 41.28x1.20x5.8</t>
  </si>
  <si>
    <t>DOT412813</t>
  </si>
  <si>
    <t>Đồng ống thẳng 41.28x1.3</t>
  </si>
  <si>
    <t>DOT4128135(NM)</t>
  </si>
  <si>
    <t>Đồng ống thẳng 41.28x1.35</t>
  </si>
  <si>
    <t>DOT4128140</t>
  </si>
  <si>
    <t>Đồng ống thẳng 41.28x1.40</t>
  </si>
  <si>
    <t>DOT412814058</t>
  </si>
  <si>
    <t>Đồng ống thẳng 41.28x1.40x5.8</t>
  </si>
  <si>
    <t>DOT4128142</t>
  </si>
  <si>
    <t>Đồng ống thẳng 41.28x1.42</t>
  </si>
  <si>
    <t>DOT4128143</t>
  </si>
  <si>
    <t>Đồng ống thẳng 41.28x1.43</t>
  </si>
  <si>
    <t>DOT4128145</t>
  </si>
  <si>
    <t>Đồng ống thẳng 41.28x1.45</t>
  </si>
  <si>
    <t>DOT412814558</t>
  </si>
  <si>
    <t>Đồng ống thẳng 41.28x1.45x5.8</t>
  </si>
  <si>
    <t>DOT4128150</t>
  </si>
  <si>
    <t>Đồng ống thẳng 41.28x1.50</t>
  </si>
  <si>
    <t>DOT41281558</t>
  </si>
  <si>
    <t>Đồng ống thẳng 41.28x1.5x5.8</t>
  </si>
  <si>
    <t>DOT4128152</t>
  </si>
  <si>
    <t>Đồng ống thẳng 41.28x1.52</t>
  </si>
  <si>
    <t>DOT4128153</t>
  </si>
  <si>
    <t>Đồng ống thẳng 41.28x1.53</t>
  </si>
  <si>
    <t>DOT4128155</t>
  </si>
  <si>
    <t>Đồng ống thẳng 41.28x1.55</t>
  </si>
  <si>
    <t>DOT4128160</t>
  </si>
  <si>
    <t>Đồng ống thẳng 41.28x1.60</t>
  </si>
  <si>
    <t>DOT4128180</t>
  </si>
  <si>
    <t>Đồng ống thẳng 41.28x1.80</t>
  </si>
  <si>
    <t>DOT412818030</t>
  </si>
  <si>
    <t>Đồng ống thẳng 41.28x1.80x3.0</t>
  </si>
  <si>
    <t>DOT4128183</t>
  </si>
  <si>
    <t>Đồng ống thẳng 41.28x1.83</t>
  </si>
  <si>
    <t>DOT412820029</t>
  </si>
  <si>
    <t>Đồng ống thẳng 41.28x2.00</t>
  </si>
  <si>
    <t>DOT42001829</t>
  </si>
  <si>
    <t>Đồng ống thẳng 42.00x1.80x2.9</t>
  </si>
  <si>
    <t>DOT42001830</t>
  </si>
  <si>
    <t>Đồng ống thẳng 42.00x1.80x3.0</t>
  </si>
  <si>
    <t>DOT420020030</t>
  </si>
  <si>
    <t>Đồng ống thẳng 42.00x2.00x3.0</t>
  </si>
  <si>
    <t>DOT420025029</t>
  </si>
  <si>
    <t>Đồng ống thẳng 42.00x2.50x2.9</t>
  </si>
  <si>
    <t>DOT442813529</t>
  </si>
  <si>
    <t>Đồng ống thẳng 44x1.35( 2.9m)</t>
  </si>
  <si>
    <t>DOT4428115(2.9)</t>
  </si>
  <si>
    <t>Đồng ống thẳng 44.28x1.15 (2.9m)</t>
  </si>
  <si>
    <t>DOT44451558</t>
  </si>
  <si>
    <t>Đồng ống thẳng 44.45x1.5x5.8</t>
  </si>
  <si>
    <t>DOT445115</t>
  </si>
  <si>
    <t>Đồng ống thẳng 44.5x1.15</t>
  </si>
  <si>
    <t>DOT4450120</t>
  </si>
  <si>
    <t>Đồng ống thẳng 44.50x1.20</t>
  </si>
  <si>
    <t>DOT445014058</t>
  </si>
  <si>
    <t>Đồng ống thẳng 44.50x1.40x5.8</t>
  </si>
  <si>
    <t>DOT4451403</t>
  </si>
  <si>
    <t>Đồng ống thẳng 44.5x1.40x3m</t>
  </si>
  <si>
    <t>DOT4450140</t>
  </si>
  <si>
    <t>Đồng ống thẳng 44.50x1.40</t>
  </si>
  <si>
    <t>DOT44514029</t>
  </si>
  <si>
    <t>Đồng ống thẳng 44.5x1.40 2.9m</t>
  </si>
  <si>
    <t>DOT4450143</t>
  </si>
  <si>
    <t>Đồng ống thẳng 44.50x1.43</t>
  </si>
  <si>
    <t>DOT445150</t>
  </si>
  <si>
    <t>Đồng ống thẳng 44.5x1.50</t>
  </si>
  <si>
    <t>DOT44515058</t>
  </si>
  <si>
    <t>Đồng ống thẳng 44.5x1.5x5.8</t>
  </si>
  <si>
    <t>DOT4450250</t>
  </si>
  <si>
    <t>Đồng ống thẳng 44.50x2.50</t>
  </si>
  <si>
    <t>DOT4515558</t>
  </si>
  <si>
    <t>Đồng ống thẳng 45x1.55x5.8</t>
  </si>
  <si>
    <t>DOT5080211</t>
  </si>
  <si>
    <t>Đồng ống thẳng 50.80x2.11</t>
  </si>
  <si>
    <t>DOT5393095</t>
  </si>
  <si>
    <t>Đồng ống thẳng 53.93x0.95</t>
  </si>
  <si>
    <t>DOT5393115</t>
  </si>
  <si>
    <t>Đồng ống thẳng 53.93x1.15</t>
  </si>
  <si>
    <t>DOT5398211</t>
  </si>
  <si>
    <t>Đồng ống thẳng 53.98x2.11</t>
  </si>
  <si>
    <t>DOT5398090</t>
  </si>
  <si>
    <t>Đồng ống thẳng 53.98x0.90</t>
  </si>
  <si>
    <t>DOT5398095</t>
  </si>
  <si>
    <t>Đồng ống thẳng 53.98x0.95</t>
  </si>
  <si>
    <t>DOT5398100</t>
  </si>
  <si>
    <t>Đồng ống thẳng 53.98x1.00</t>
  </si>
  <si>
    <t>DOT5398115</t>
  </si>
  <si>
    <t>Đồng ống thẳng 53.98x1.15</t>
  </si>
  <si>
    <t>DOT5398120</t>
  </si>
  <si>
    <t>Đồng ống thẳng 53.98x1.20</t>
  </si>
  <si>
    <t>DOT5398125</t>
  </si>
  <si>
    <t>Đồng ống thẳng 53.98x1.25</t>
  </si>
  <si>
    <t>DOT5398130</t>
  </si>
  <si>
    <t>Đồng ống thẳng 53.98x1.30</t>
  </si>
  <si>
    <t>DOT5398135</t>
  </si>
  <si>
    <t>Đồng ống thẳng 53.98x1.35</t>
  </si>
  <si>
    <t>DOT5398140</t>
  </si>
  <si>
    <t>Đồng ống thẳng 53.98x1.40</t>
  </si>
  <si>
    <t>DOT5398145</t>
  </si>
  <si>
    <t>Đồng ống thẳng 53.98x1.45</t>
  </si>
  <si>
    <t>DOT5398150</t>
  </si>
  <si>
    <t>Đồng ống thẳng 53.98x1.50</t>
  </si>
  <si>
    <t>DOT5398160</t>
  </si>
  <si>
    <t>Đồng ống thẳng 53.98x1.60</t>
  </si>
  <si>
    <t>DOT5398165</t>
  </si>
  <si>
    <t>Đồng ống thẳng 53.98x1.65</t>
  </si>
  <si>
    <t>DOT5398165TP</t>
  </si>
  <si>
    <t>DOT5398170</t>
  </si>
  <si>
    <t>Đồng ống thẳng 53.98x1.70</t>
  </si>
  <si>
    <t>DOT539818</t>
  </si>
  <si>
    <t>Đồng ống thẳng 53.98x1.8</t>
  </si>
  <si>
    <t>DOT5398185</t>
  </si>
  <si>
    <t>Đồng ống thẳng 53.98x1.85</t>
  </si>
  <si>
    <t>DOT540012</t>
  </si>
  <si>
    <t>Đồng ống thẳng 54x1.2x2.9</t>
  </si>
  <si>
    <t>DOT631429</t>
  </si>
  <si>
    <t>Đồng ống thẳng 63.00x1.40x2.9</t>
  </si>
  <si>
    <t>ĐTPBANH</t>
  </si>
  <si>
    <t>DOLWC0160050</t>
  </si>
  <si>
    <t>Đồng cuộn LWC 1.60x0.50</t>
  </si>
  <si>
    <t>DOLWC0194061</t>
  </si>
  <si>
    <t>Đồng cuộn LWC 1.94x0.61</t>
  </si>
  <si>
    <t>DOLWC0250050</t>
  </si>
  <si>
    <t>Đồng cuộn LWC 2.50x0.50</t>
  </si>
  <si>
    <t>DOLWC0300040</t>
  </si>
  <si>
    <t>Đồng cuộn LWC 03.00x0.40</t>
  </si>
  <si>
    <t>DOLWC0350040</t>
  </si>
  <si>
    <t>Đồng cuộn LWC 03.50x0.40</t>
  </si>
  <si>
    <t>DOLWC0350045</t>
  </si>
  <si>
    <t>Đồng cuộn LWC 03.50x0.45</t>
  </si>
  <si>
    <t>DOLWC0400050</t>
  </si>
  <si>
    <t>Đồng cuộn LWC 04.00x0.50</t>
  </si>
  <si>
    <t>DOLWC0400100</t>
  </si>
  <si>
    <t>Đồng cuộn LWC 04.00x1.0</t>
  </si>
  <si>
    <t>DOLWC0476051</t>
  </si>
  <si>
    <t>Đồng cuộn LWC 04.76x0.51</t>
  </si>
  <si>
    <t>DOLWC0500041</t>
  </si>
  <si>
    <t>Đồng cuộn LWC 5.00x0.41</t>
  </si>
  <si>
    <t>DOLWC0500051</t>
  </si>
  <si>
    <t>Đồng cuộn LWC 5.00x0.51</t>
  </si>
  <si>
    <t>DOLWC0550051</t>
  </si>
  <si>
    <t>Đồng cuộn LWC 5.50x0.51</t>
  </si>
  <si>
    <t>DOLWC0600041</t>
  </si>
  <si>
    <t>Đồng cuộn LWC 06.00x0.41</t>
  </si>
  <si>
    <t>DOLWC0600061</t>
  </si>
  <si>
    <t>Đồng cuộn LWC 06.00x0.61</t>
  </si>
  <si>
    <t>DOLWC060010</t>
  </si>
  <si>
    <t>Đồng ống LWC 06.00x1.00</t>
  </si>
  <si>
    <t>DOLWC0635035</t>
  </si>
  <si>
    <t>Đồng cuộn LWC 06.35x0.35</t>
  </si>
  <si>
    <t>DOLWC063504</t>
  </si>
  <si>
    <t>Đồng cuộn LWC 06.35x0.4</t>
  </si>
  <si>
    <t>DOLWC0635046</t>
  </si>
  <si>
    <t>Đồng cuộn LWC 06.35x0.46</t>
  </si>
  <si>
    <t>DOLWC0635050</t>
  </si>
  <si>
    <t>Đồng cuộn LWC06.35x0.50</t>
  </si>
  <si>
    <t>DOBKILWC0635055</t>
  </si>
  <si>
    <t>Đồng ống LWC KHÔNG IN 06.35x0.55</t>
  </si>
  <si>
    <t>DOLWC650055</t>
  </si>
  <si>
    <t>Đồng ống LWC 6.50x0.55</t>
  </si>
  <si>
    <t>LWC0635055</t>
  </si>
  <si>
    <t>Đồng ống LWC 06.35x0.55</t>
  </si>
  <si>
    <t>LWC0635056</t>
  </si>
  <si>
    <t>Đồng cuộn LWC 06.35x0.56</t>
  </si>
  <si>
    <t>DOLWC063506</t>
  </si>
  <si>
    <t>Đồng cuộn LWC 06.35x0.6</t>
  </si>
  <si>
    <t>DOBKILWC0635061</t>
  </si>
  <si>
    <t>Đồng ống LWC KHÔNG IN 06.35x0.61</t>
  </si>
  <si>
    <t>DOLWC0635061</t>
  </si>
  <si>
    <t>Đồng cuộn LWC 06.35x0.61</t>
  </si>
  <si>
    <t>DOBKILWC0635065</t>
  </si>
  <si>
    <t>Đồng ống LWC KHÔNG IN 06.35x0.65</t>
  </si>
  <si>
    <t>DOLWC0635065</t>
  </si>
  <si>
    <t>Đồng cuộn LWC 06.35x0.65</t>
  </si>
  <si>
    <t>DOBKILWC635071</t>
  </si>
  <si>
    <t>Đồng ống LWC KHÔNG IN 06.35x0.71</t>
  </si>
  <si>
    <t>DOLWC0635071</t>
  </si>
  <si>
    <t>Đồng cuộn LWC 06.35x0.71</t>
  </si>
  <si>
    <t>DOBKILWC635075</t>
  </si>
  <si>
    <t>Đồng ống LWC KHÔNG IN 06.35x0.75</t>
  </si>
  <si>
    <t>DOLWC0635076</t>
  </si>
  <si>
    <t>Đồng cuộn LWC 06.35x0.76</t>
  </si>
  <si>
    <t>DOLWC635081</t>
  </si>
  <si>
    <t>Đồng ống LWC 6.35x0.81</t>
  </si>
  <si>
    <t>DOLWC06506</t>
  </si>
  <si>
    <t>Đồng cuộn LWC 06.5x0.6</t>
  </si>
  <si>
    <t>DOLWC0794061</t>
  </si>
  <si>
    <t>Đồng cuộn LWC 07.94x0.61</t>
  </si>
  <si>
    <t>DOLWC080010</t>
  </si>
  <si>
    <t>Đồng ống LWC 08.00x1.00</t>
  </si>
  <si>
    <t>DOLWC0952035</t>
  </si>
  <si>
    <t>Đồng ống LWC 09.52x0.35</t>
  </si>
  <si>
    <t>DOLWC952035</t>
  </si>
  <si>
    <t>Đồng cuộn LWC 09.52x0.35</t>
  </si>
  <si>
    <t>DOLWC0952041</t>
  </si>
  <si>
    <t>Đồng cuộn LWC 09.52x0.41</t>
  </si>
  <si>
    <t>DOLWC0952050</t>
  </si>
  <si>
    <t>Đồng cuộn LWC 09.52x0.50</t>
  </si>
  <si>
    <t>DOLWC0952051</t>
  </si>
  <si>
    <t>Đồng cuộn LWC 09.52x0.51</t>
  </si>
  <si>
    <t>DOBKILWC0952055</t>
  </si>
  <si>
    <t>Đồng ống LWC KHÔNG IN 09.52x0.55</t>
  </si>
  <si>
    <t>LWC0952055</t>
  </si>
  <si>
    <t>Đồng ống LWC 09.52x0.55</t>
  </si>
  <si>
    <t>LWC0952056</t>
  </si>
  <si>
    <t>Đồng cuộn LWC 09.52x0.56</t>
  </si>
  <si>
    <t>DOLWC0952060</t>
  </si>
  <si>
    <t>Đồng cuộn LWC 9.52x0.60</t>
  </si>
  <si>
    <t>LWC0952060</t>
  </si>
  <si>
    <t>Đồng ống LWC 09.52x0.60</t>
  </si>
  <si>
    <t>DOBKILWC0952061</t>
  </si>
  <si>
    <t>Đồng ống LWC KHÔNG IN 09.52x0.61</t>
  </si>
  <si>
    <t>LWC0952061</t>
  </si>
  <si>
    <t>Đồng cuộn LWC 9.52x0.61</t>
  </si>
  <si>
    <t>DOBKILWC0952065</t>
  </si>
  <si>
    <t>Đồng ống LWC KHÔNG IN 09.52x0.65</t>
  </si>
  <si>
    <t>DOLWC0952065</t>
  </si>
  <si>
    <t>Đồng cuộn LWC 09.52x0.65</t>
  </si>
  <si>
    <t>DOLWC952070</t>
  </si>
  <si>
    <t>Đồng ống LWC 9.52x0.7</t>
  </si>
  <si>
    <t>DOBKILWC952071</t>
  </si>
  <si>
    <t>Đồng ống LWC KHÔNG IN 09.52x0.71</t>
  </si>
  <si>
    <t>DOLWC0952071</t>
  </si>
  <si>
    <t>Đồng cuộn LWC 09.52x0.71</t>
  </si>
  <si>
    <t>DOBKILWC952075</t>
  </si>
  <si>
    <t>Đồng ống LWC KHÔNG IN 09.52x0.75</t>
  </si>
  <si>
    <t>DOLWC952080</t>
  </si>
  <si>
    <t>Đồng ống LWC 9.52x0.80</t>
  </si>
  <si>
    <t>DOBKILWC952081</t>
  </si>
  <si>
    <t>Đồng ống LWC KHÔNG IN 09.52x0.81</t>
  </si>
  <si>
    <t>DOLWC952081</t>
  </si>
  <si>
    <t>Đồng ống LWC 9.52x0.81</t>
  </si>
  <si>
    <t>LWC0952091</t>
  </si>
  <si>
    <t>Đồng cuộn LWC 9.52x0.91</t>
  </si>
  <si>
    <t>LWC1000100</t>
  </si>
  <si>
    <t>Đồng cuộn LWC 10.00x1.00</t>
  </si>
  <si>
    <t>DOLWC1000150</t>
  </si>
  <si>
    <t>Đồng cuộn LWC 10.00x1.50</t>
  </si>
  <si>
    <t>DOLWC12.7055</t>
  </si>
  <si>
    <t>đồng LWC 12.07x0.55</t>
  </si>
  <si>
    <t>DOLWC12.7060</t>
  </si>
  <si>
    <t>đồng LWC12.07c0.60</t>
  </si>
  <si>
    <t>DOLWC127050</t>
  </si>
  <si>
    <t>Đồng ống LWC 12.7x0.50</t>
  </si>
  <si>
    <t>DOLWC1270061</t>
  </si>
  <si>
    <t>Đồng cuộn LWC 12.70x0.61</t>
  </si>
  <si>
    <t>DOBKILWC1270061</t>
  </si>
  <si>
    <t>Đồng ống LWC KHÔNG IN 12.70x0.61</t>
  </si>
  <si>
    <t>DOBKILWC1270065</t>
  </si>
  <si>
    <t>Đồng ống LWC KHÔNG IN 12.70x0.65</t>
  </si>
  <si>
    <t>DOLWC1270065</t>
  </si>
  <si>
    <t>Đồng cuộn LWC 12.70x0.65</t>
  </si>
  <si>
    <t>DOLWC1270066</t>
  </si>
  <si>
    <t>Đồng cuộn LWC 12.70x0.66</t>
  </si>
  <si>
    <t>DOLWC127070</t>
  </si>
  <si>
    <t>Đồng ống LWC 12.7x0.70</t>
  </si>
  <si>
    <t>DOBKILWC1270071</t>
  </si>
  <si>
    <t>Đồng ống LWC KHÔNG IN 12.70x0.71</t>
  </si>
  <si>
    <t>DOLWC127071</t>
  </si>
  <si>
    <t>Đồng cuộn LWC 12.70x0.71</t>
  </si>
  <si>
    <t>DOBKILWC1270081</t>
  </si>
  <si>
    <t>Đồng ống LWC KHÔNG IN 12.70x0.81</t>
  </si>
  <si>
    <t>DOLWC127081</t>
  </si>
  <si>
    <t>Đồng ống LWC 12.7x0.81</t>
  </si>
  <si>
    <t>DOLWC1588050</t>
  </si>
  <si>
    <t>Đồng cuộn LWC 15.88x0.50</t>
  </si>
  <si>
    <t>DOLWC1588051</t>
  </si>
  <si>
    <t>Đồng cuộn LWC 15.88x0.51</t>
  </si>
  <si>
    <t>DOLWC1588070</t>
  </si>
  <si>
    <t>Đồng ống LWC 15.88x0.70</t>
  </si>
  <si>
    <t>DOBKILWC1588075</t>
  </si>
  <si>
    <t>Đồng ống LWC KHÔNG IN 15.88x0.75</t>
  </si>
  <si>
    <t>DOBKILWC1588081</t>
  </si>
  <si>
    <t>Đồng ống LWC KHÔNG IN 15.88x0.81</t>
  </si>
  <si>
    <t>LWC1588081</t>
  </si>
  <si>
    <t>Đồng cuộn LWC 15.88x0.81</t>
  </si>
  <si>
    <t>LWC1588089</t>
  </si>
  <si>
    <t>Đồng cuộn LWC 15.88x0.89</t>
  </si>
  <si>
    <t>LWC1588091</t>
  </si>
  <si>
    <t>Đồng cuộn LWC 15.88x0.91</t>
  </si>
  <si>
    <t>LWC158810</t>
  </si>
  <si>
    <t>Đồng cuộn LWC 15.88x1.0</t>
  </si>
  <si>
    <t>LWC1588102</t>
  </si>
  <si>
    <t>Đồng cuộn LWC 15.88x1.02</t>
  </si>
  <si>
    <t>DOLWC1905070</t>
  </si>
  <si>
    <t>Đồng ống LWC 19.05x0.70</t>
  </si>
  <si>
    <t>DOLWC1905x08</t>
  </si>
  <si>
    <t>Đồng ống cuộn LWC 19.05x0.8</t>
  </si>
  <si>
    <t>DOBKILWC1905081</t>
  </si>
  <si>
    <t>Đồng ống LWC KHÔNG IN 19.05x0.81</t>
  </si>
  <si>
    <t>DOLWC1905100</t>
  </si>
  <si>
    <t>Đồng ống LWC 19.05x1.00</t>
  </si>
  <si>
    <t>DOLWC1905102</t>
  </si>
  <si>
    <t>Đồng ống cuộn LWC 19.05x1.02</t>
  </si>
  <si>
    <t>Ruby</t>
  </si>
  <si>
    <t>DOCRB0635056</t>
  </si>
  <si>
    <t>Đồng ống RUBY PC 06.35x0.56</t>
  </si>
  <si>
    <t>DOCRB063507150</t>
  </si>
  <si>
    <t>Đồng ống RUBY PC 06.35x0.71x50</t>
  </si>
  <si>
    <t>DOCRB0635072</t>
  </si>
  <si>
    <t>Đồng ống RUBY PC 06.35x0.72</t>
  </si>
  <si>
    <t>DOCRB063508150</t>
  </si>
  <si>
    <t>Đồng ống RUBY PC 06.35x0.81x50</t>
  </si>
  <si>
    <t>DOCRB0952061</t>
  </si>
  <si>
    <t>Đồng ống RUBY PC 09.52x0.61</t>
  </si>
  <si>
    <t>DOCRB095207150</t>
  </si>
  <si>
    <t>Đồng ống RUBY PC 09.52x0.71x50</t>
  </si>
  <si>
    <t>DOCRB0952072</t>
  </si>
  <si>
    <t>Đồng ống RUBY PC 09.52x0.72</t>
  </si>
  <si>
    <t>DOCRB095208150</t>
  </si>
  <si>
    <t>Đồng ống RUBY PC 09.52x0.81x50</t>
  </si>
  <si>
    <t>DOCRB1270055</t>
  </si>
  <si>
    <t>Đồng ống RUBY PC 12.70x0.55</t>
  </si>
  <si>
    <t>DOCRB1270071</t>
  </si>
  <si>
    <t>Đồng ống RUBY PC 12.70x0.71</t>
  </si>
  <si>
    <t>DOCRB1270072</t>
  </si>
  <si>
    <t>Đồng ống RUBY PC 12.70x0.72</t>
  </si>
  <si>
    <t>DOCRB1270081</t>
  </si>
  <si>
    <t>Đồng ống RUBY PC 12.70x0.81</t>
  </si>
  <si>
    <t>DOCRB127008150</t>
  </si>
  <si>
    <t>Đồng ống RUBY PC 12.70x0.81x50</t>
  </si>
  <si>
    <t>DOCRB1588071</t>
  </si>
  <si>
    <t>Đồng ống RUBY PC 15.88x0.71</t>
  </si>
  <si>
    <t>DOCRB1588072</t>
  </si>
  <si>
    <t>Đồng ống RUBY PC 15.88x0.72</t>
  </si>
  <si>
    <t>DOCRB1588081</t>
  </si>
  <si>
    <t>Đồng ống RUBY PC 15.88x0.81</t>
  </si>
  <si>
    <t>DOCRB1588089</t>
  </si>
  <si>
    <t>Đồng ống RUBY PC 15.88x0.89</t>
  </si>
  <si>
    <t>DOCRB158809150</t>
  </si>
  <si>
    <t>Đồng ống RUBY PC 15.88x0.91x50</t>
  </si>
  <si>
    <t>DOCRB1588100</t>
  </si>
  <si>
    <t>Đồng ống RUBY PC 15.88x1.00</t>
  </si>
  <si>
    <t>DOCRB1588102</t>
  </si>
  <si>
    <t>Đồng ống RUBY PC 15.88x1.02</t>
  </si>
  <si>
    <t>DOCRB158810250</t>
  </si>
  <si>
    <t>Đồng ống RUBY PC 15.88x1.02x50</t>
  </si>
  <si>
    <t>DOCRB1905072</t>
  </si>
  <si>
    <t>Đồng ống RUBY PC 19.05x0.72</t>
  </si>
  <si>
    <t>DODOCRB1905089</t>
  </si>
  <si>
    <t>Đồng ống RUBY PC 19.05x0.89</t>
  </si>
  <si>
    <t>DOCRB1905102</t>
  </si>
  <si>
    <t>Đồng ống RUBY PC 19.05x1.02</t>
  </si>
  <si>
    <t>DOTRB063507158</t>
  </si>
  <si>
    <t>Đồng ống thẳng RUBY 06.35x0.71x5.8</t>
  </si>
  <si>
    <t>DOTRB158810058</t>
  </si>
  <si>
    <t>Đồng ống thẳng RUBY 15.88x1.00x5.8</t>
  </si>
  <si>
    <t>DOTRB1905100</t>
  </si>
  <si>
    <t>Đồng ống thẳng RUBY 19.05x1.00</t>
  </si>
  <si>
    <t>DOTRB127008158</t>
  </si>
  <si>
    <t>Đồng ống thẳng RUBY 12.70x0.81x5.8</t>
  </si>
  <si>
    <t>DOTRB095208158</t>
  </si>
  <si>
    <t>Đồng ống thẳng RUBY 09.52x0.81x5.8</t>
  </si>
  <si>
    <t>DOTRB222207158</t>
  </si>
  <si>
    <t>Đồng ống thẳng RUBY 22.22x0.71x5.8</t>
  </si>
  <si>
    <t>DOTRB2222081</t>
  </si>
  <si>
    <t>Đồng ống thẳng RUBY 22.22x0.81</t>
  </si>
  <si>
    <t>DOTRB222209158</t>
  </si>
  <si>
    <t>Đồng ống thẳng RUBY 22.22x0.91x5.8</t>
  </si>
  <si>
    <t>DOTRB2222100</t>
  </si>
  <si>
    <t>Đồng ống thẳng RUBY 22.22x1.00</t>
  </si>
  <si>
    <t>DOTRB222210058</t>
  </si>
  <si>
    <t>Đồng ống thẳng RUBY 22.22x1.00x5.8</t>
  </si>
  <si>
    <t>DOTRB2222114</t>
  </si>
  <si>
    <t>Đồng ống thẳng RUBY 22.22x1.14</t>
  </si>
  <si>
    <t>DOTRB2222120</t>
  </si>
  <si>
    <t>Đồng ống thẳng RUBY 22.22x1.20</t>
  </si>
  <si>
    <t>DOTRB2540081</t>
  </si>
  <si>
    <t>Đồng ống thẳng RUBY 25.40x0.81</t>
  </si>
  <si>
    <t>DOTRB2540100</t>
  </si>
  <si>
    <t>Đồng ống thẳng Ruby 25.40x1.00</t>
  </si>
  <si>
    <t>DOTRB25401058</t>
  </si>
  <si>
    <t>Đồng ống thẳng Ruby 25.40x1.0X5.8</t>
  </si>
  <si>
    <t>DOTRB2540120</t>
  </si>
  <si>
    <t>Đồng ống thẳng Ruby 25.40x1.20</t>
  </si>
  <si>
    <t>DOTRB2858100</t>
  </si>
  <si>
    <t>Đồng ống thẳng RUBY 28.58x1.00</t>
  </si>
  <si>
    <t>DOTRB28581058</t>
  </si>
  <si>
    <t>Đồng ống thẳng RUBY 28.58x1.0X5.8</t>
  </si>
  <si>
    <t>DOTRB2858120</t>
  </si>
  <si>
    <t>Đồng ống thẳng Ruby 28.58x1.20</t>
  </si>
  <si>
    <t>DOTRB2858140</t>
  </si>
  <si>
    <t>Đồng ống thẳng RUBY 28.58x1.40</t>
  </si>
  <si>
    <t>DOTRB3175100</t>
  </si>
  <si>
    <t>Đồng ống thẳng RUBY 31.75x1.00</t>
  </si>
  <si>
    <t>DOTRB3175120</t>
  </si>
  <si>
    <t>Đồng ống thẳng RUBY 31.75x1.20</t>
  </si>
  <si>
    <t>DOTRB317512058</t>
  </si>
  <si>
    <t>Đồng ống thẳng RUBY 31.75x1.20x5.8</t>
  </si>
  <si>
    <t>DOTRB3175140</t>
  </si>
  <si>
    <t>Đồng ống thẳng RUBY 31.75x1.4</t>
  </si>
  <si>
    <t>DOTRB317514058</t>
  </si>
  <si>
    <t>Đồng ống thẳng RUBY 31.75x1.4x5.8</t>
  </si>
  <si>
    <t>DOTRB3493120</t>
  </si>
  <si>
    <t>Đồng ống thẳng RUBY 34.93x1.20</t>
  </si>
  <si>
    <t>DOTRB349312058</t>
  </si>
  <si>
    <t>Đồng ống thẳng RUBY 34.93x1.20x5.8</t>
  </si>
  <si>
    <t>DOTRB3493140</t>
  </si>
  <si>
    <t>Đồng ống thẳng RUBY 34.93x1.40</t>
  </si>
  <si>
    <t>DOTRB3810120(NM)</t>
  </si>
  <si>
    <t>Đồng ống thẳng RUBY 38.10x1.20</t>
  </si>
  <si>
    <t>DOTRB3810140</t>
  </si>
  <si>
    <t>Đồng ống thẳng RUBY 38.10x1.40</t>
  </si>
  <si>
    <t>DOTRB3810143</t>
  </si>
  <si>
    <t>Đồng ống thẳng RUBY 38.10x1.43</t>
  </si>
  <si>
    <t>DOTRB381014058</t>
  </si>
  <si>
    <t>Đồng ống thẳng RUBY 38.10x1.40x5.8</t>
  </si>
  <si>
    <t>DOTRB4128120</t>
  </si>
  <si>
    <t>Đồng ống thẳng RUBY 41.28x1.20</t>
  </si>
  <si>
    <t>DOTRB4128140</t>
  </si>
  <si>
    <t>Đồng ống thẳng RUBY 41.28x1.40</t>
  </si>
  <si>
    <t>DOTRB412814058</t>
  </si>
  <si>
    <t>Đồng ống thẳng RUBY 41.28x1.40x5.8</t>
  </si>
  <si>
    <t>DOTRB412814358</t>
  </si>
  <si>
    <t>Đồng ống thẳng RUBY 41.28x1.43x5.8</t>
  </si>
  <si>
    <t>DOTRB4128150</t>
  </si>
  <si>
    <t>Đồng ống thẳng RUBY 41.28x1.50</t>
  </si>
  <si>
    <t>DOTRB4128152</t>
  </si>
  <si>
    <t>Đồng ống thẳng RUBY 41.28x1.52</t>
  </si>
  <si>
    <t>DOTRUBY412815258</t>
  </si>
  <si>
    <t>Đồng ống thẳng RUBY 41.28x1.52x5.8</t>
  </si>
  <si>
    <t>DOTRB445014029</t>
  </si>
  <si>
    <t>Đồng ống thẳng RUBY 44.50x1.40x.2.9</t>
  </si>
  <si>
    <t>DOTRB445014058</t>
  </si>
  <si>
    <t>Đồng ống thẳng RUBY 44.50x1.40x5.8</t>
  </si>
  <si>
    <t>ĐHLCUONDI</t>
  </si>
  <si>
    <t>DOCHL063505015</t>
  </si>
  <si>
    <t>Đồng ống Hailiang dạng cuộn 6.35mmx0.50mmx15m</t>
  </si>
  <si>
    <t>DOCHL063505115</t>
  </si>
  <si>
    <t>Đồng ống Hailiang dạng cuộn 6.35mmx0.51mmx15m</t>
  </si>
  <si>
    <t>DOCHL063505515</t>
  </si>
  <si>
    <t>Đồng ống Hailiang dạng cuộn 6.35mmx0.55mmx15m</t>
  </si>
  <si>
    <t>DOCHL063505615</t>
  </si>
  <si>
    <t>Đồng ống Hailiang dạng cuộn 6.35mmx0.56mmx15m</t>
  </si>
  <si>
    <t>DOCHL063506015</t>
  </si>
  <si>
    <t>Đồng ống Hailiang dạng cuộn 6.35mmx0.60mmx15m</t>
  </si>
  <si>
    <t>DOCHL063506150</t>
  </si>
  <si>
    <t>Đồng ống Hailiang dạng cuộn 6.35mmx0.61mmx50m</t>
  </si>
  <si>
    <t>ĐHLCUONTD</t>
  </si>
  <si>
    <t>DOCHL063506115</t>
  </si>
  <si>
    <t>Đồng ống Hailiang dạng cuộn 6.35mmx0.61mmx15m</t>
  </si>
  <si>
    <t>DOCHL063506515</t>
  </si>
  <si>
    <t>Đồng ống Hailiang dạng cuộn 6.35mmx0.65mmx15m</t>
  </si>
  <si>
    <t>DOCHL063506615</t>
  </si>
  <si>
    <t>Đồng ống Hailiang dạng cuộn 6.35mmx0.66mmx15m</t>
  </si>
  <si>
    <t>DOCHL063507015</t>
  </si>
  <si>
    <t>Đồng ống Hailiang dạng cuộn 6.35mmx0.70mmx15m</t>
  </si>
  <si>
    <t>DOCHL063507130</t>
  </si>
  <si>
    <t>Đồng ống Hailiang dạng cuộn 6.35mmx0.71mmx30m</t>
  </si>
  <si>
    <t>DOCHL063507150</t>
  </si>
  <si>
    <t>Đồng ống Hailiang dạng cuộn 6.35mmx0.71mmx50m</t>
  </si>
  <si>
    <t>DOCHL063507115</t>
  </si>
  <si>
    <t>Đồng ống Hailiang dạng cuộn 6.35mmx0.71mmx15m</t>
  </si>
  <si>
    <t>DOCHL063507615</t>
  </si>
  <si>
    <t>Đồng ống Hailiang dạng cuộn 6.35mmx0.76mmx15m</t>
  </si>
  <si>
    <t>DOCHL063507650</t>
  </si>
  <si>
    <t>Đồng ống Hailiang dạng cuộn 6.35mmx0.76mmx50m</t>
  </si>
  <si>
    <t>DOCHL063508015</t>
  </si>
  <si>
    <t>Đồng ống Hailiang dạng cuộn 6.35mmx0.80mmx15m</t>
  </si>
  <si>
    <t>DOCHL063508150</t>
  </si>
  <si>
    <t>Đồng ống Hailiang dạng cuộn 6.35mmx0.81mmx50m</t>
  </si>
  <si>
    <t>DOCHL063508115</t>
  </si>
  <si>
    <t>Đồng ống Hailiang dạng cuộn 6.35mmx0.81mmx15m</t>
  </si>
  <si>
    <t>DOCHL095205015</t>
  </si>
  <si>
    <t>Đồng ống Hailiang dạng cuộn 9.52mmx0.50mmx15m</t>
  </si>
  <si>
    <t>DOCHL095205115</t>
  </si>
  <si>
    <t>Đồng ống Hailiang dạng cuộn 9.52mmx0.51mmx15m</t>
  </si>
  <si>
    <t>DOCHL095205515</t>
  </si>
  <si>
    <t>Đồng ống Hailiang dạng cuộn 9.52mmx0.55mmx15m</t>
  </si>
  <si>
    <t>DOCHL095205615</t>
  </si>
  <si>
    <t>Đồng ống Hailiang dạng cuộn 9.52mmx0.56mmx15m</t>
  </si>
  <si>
    <t>DOCHL095206015</t>
  </si>
  <si>
    <t>Đồng ống Hailiang dạng cuộn 9.52mmx0.60mmx15m</t>
  </si>
  <si>
    <t>DOCHL095206115</t>
  </si>
  <si>
    <t>Đồng ống Hailiang dạng cuộn 9.52mmx0.61mmx15m</t>
  </si>
  <si>
    <t>DOCHL095206515</t>
  </si>
  <si>
    <t>Đồng ống Hailiang dạng cuộn 9.52mmx0.65mmx15m</t>
  </si>
  <si>
    <t>DOCHL095206615</t>
  </si>
  <si>
    <t>Đồng ống Hailiang dạng cuộn 9.52mmx0.66mmx15m</t>
  </si>
  <si>
    <t>DOCHL095207015</t>
  </si>
  <si>
    <t>Đồng ống Hailiang dạng cuộn 9.52mmx0.70mmx15m</t>
  </si>
  <si>
    <t>DOCHL095207150</t>
  </si>
  <si>
    <t>Đồng ống Hailiang dạng cuộn 9.52mmx0.71mmx50m</t>
  </si>
  <si>
    <t>DOCHL095207115</t>
  </si>
  <si>
    <t>Đồng ống Hailiang dạng cuộn 9.52mmx0.71mmx15m</t>
  </si>
  <si>
    <t>DOCHL095207615</t>
  </si>
  <si>
    <t>Đồng ống Hailiang dạng cuộn 9.52mmx0.76mmx15m</t>
  </si>
  <si>
    <t>DOCHL095207650</t>
  </si>
  <si>
    <t>Đồng ống Hailiang dạng cuộn 9.52mmx0.76mmx50m</t>
  </si>
  <si>
    <t>DOCHL095208015</t>
  </si>
  <si>
    <t>Đồng ống Hailiang dạng cuộn 9.52mmx0.80mmx15m</t>
  </si>
  <si>
    <t>DOCHL095208130</t>
  </si>
  <si>
    <t>Đồng ống Hailiang dạng cuộn 9.52mmx0.81mmx30m</t>
  </si>
  <si>
    <t>DOCHL095208150</t>
  </si>
  <si>
    <t>Đồng ống Hailiang dạng cuộn 9.52mmx0.81mmx50m</t>
  </si>
  <si>
    <t>DOCHL095208115</t>
  </si>
  <si>
    <t>Đồng ống Hailiang dạng cuộn 9.52mmx0.81mmx15m</t>
  </si>
  <si>
    <t>DOCHL095209115</t>
  </si>
  <si>
    <t>Đồng ống Hailiang dạng cuộn 9.52mmx0.91mmx15m</t>
  </si>
  <si>
    <t>DOCHL1200070</t>
  </si>
  <si>
    <t>Đồng ống Hailiang dạng cuộn 12.00mmx0.70mmx15m</t>
  </si>
  <si>
    <t>DOCHL12706115</t>
  </si>
  <si>
    <t>Đồng ống Hailiang dạng cuộn 12.7mmx0.61mmx15m</t>
  </si>
  <si>
    <t>DOCHL127008915</t>
  </si>
  <si>
    <t>Đồng ống Hailiang dạng cuộn 12.70mmx0.89mmx15m</t>
  </si>
  <si>
    <t>DOCHL127010215</t>
  </si>
  <si>
    <t>Đồng ống Hailiang dạng cuộn 12.70mmx1.02mmx15m</t>
  </si>
  <si>
    <t>DOCHL127007115</t>
  </si>
  <si>
    <t>Đồng ống Hailiang dạng cuộn 12.7mmx0.71mmx15m</t>
  </si>
  <si>
    <t>DOCHL127008015</t>
  </si>
  <si>
    <t>Đồng ống Hailiang dạng cuộn 12.70mmx0.80mmx15m</t>
  </si>
  <si>
    <t>DOCHL127008115</t>
  </si>
  <si>
    <t>Đồng ống Hailiang dạng cuộn 12.70mmx0.81mmx15m</t>
  </si>
  <si>
    <t>DOCHL12705015</t>
  </si>
  <si>
    <t>Đồng ống Hailiang dạng cuộn 12.7mmx0.50mmx15m</t>
  </si>
  <si>
    <t>DOCHL12705115</t>
  </si>
  <si>
    <t>Đồng ống Hailiang dạng cuộn 12.7mmx0.51mmx15m</t>
  </si>
  <si>
    <t>DOCHL12705515</t>
  </si>
  <si>
    <t>Đồng ống Hailiang dạng cuộn 12.7mmx0.55mmx15m</t>
  </si>
  <si>
    <t>DOCHL12705615</t>
  </si>
  <si>
    <t>Đồng ống Hailiang dạng cuộn 12.7mmx0.56mmx15m</t>
  </si>
  <si>
    <t>DOCHL12706015</t>
  </si>
  <si>
    <t>Đồng ống Hailiang dạng cuộn 12.7mmx0.60mmx15m</t>
  </si>
  <si>
    <t>DOCHL12706515</t>
  </si>
  <si>
    <t>Đồng ống Hailiang dạng cuộn 12.7mmx0.65mmx15m</t>
  </si>
  <si>
    <t>DOCHL12706615</t>
  </si>
  <si>
    <t>Đồng ống Hailiang dạng cuộn 12.7mmx0.66mmx15m</t>
  </si>
  <si>
    <t>DOCHL12707015</t>
  </si>
  <si>
    <t>Đồng ống Hailiang dạng cuộn 12.7mmx0.70mmx15m</t>
  </si>
  <si>
    <t>DOCHL12707515</t>
  </si>
  <si>
    <t>Đồng ống Hailiang dạng cuộn 12.7mmx0.75mmx15m</t>
  </si>
  <si>
    <t>DOCHL12708015</t>
  </si>
  <si>
    <t>Đồng ống Hailiang dạng cuộn 12.7mmx0.80mmx15m</t>
  </si>
  <si>
    <t>DOCHL127008150</t>
  </si>
  <si>
    <t>Đồng ống Hailiang dạng cuộn 12.70mmx0.81mmx50m</t>
  </si>
  <si>
    <t>DOCHL12708130</t>
  </si>
  <si>
    <t>Đồng ống Hailiang dạng cuộn 12.7mmx0.81mmx30m</t>
  </si>
  <si>
    <t>DOCHL12708150</t>
  </si>
  <si>
    <t>Đồng ống Hailiang dạng cuộn 12.7mmx0.81mmx50m</t>
  </si>
  <si>
    <t>DOCHL12708915</t>
  </si>
  <si>
    <t>Đồng ống Hailiang dạng cuộn 12.7mmx0.89mmx15m</t>
  </si>
  <si>
    <t>DOCHL12709115</t>
  </si>
  <si>
    <t>Đồng ống Hailiang dạng cuộn 12.7mmx0.91mmx15m</t>
  </si>
  <si>
    <t>DOCHL158806115</t>
  </si>
  <si>
    <t>Đồng ống Hailiang dạng cuộn 15.88mmx0.61mmx15m</t>
  </si>
  <si>
    <t>DOCHL158806515</t>
  </si>
  <si>
    <t>Đồng ống Hailiang dạng cuộn 15.88mmx0.65mmx15m</t>
  </si>
  <si>
    <t>DOCHL158807015</t>
  </si>
  <si>
    <t>Đồng ống Hailiang dạng cuộn 15.88mmx0.70mmx15m</t>
  </si>
  <si>
    <t>DOCHL158807115</t>
  </si>
  <si>
    <t>Đồng ống Hailiang dạng cuộn 15.88mmx0.71mmx15m</t>
  </si>
  <si>
    <t>DOCHL158807515</t>
  </si>
  <si>
    <t>Đồng ống Hailiang dạng cuộn 15.88mmx0.75mmx15m</t>
  </si>
  <si>
    <t>DOCHL158808015</t>
  </si>
  <si>
    <t>Đồng ống Hailiang dạng cuộn 15.88mmx0.80mmx15m</t>
  </si>
  <si>
    <t>DOCHL158808150</t>
  </si>
  <si>
    <t>Đồng ống Hailiang dạng cuộn 15.88mmx0.81mmx50m</t>
  </si>
  <si>
    <t>DOCHL158808115</t>
  </si>
  <si>
    <t>Đồng ống Hailiang dạng cuộn 15.88mmx0.81mmx15m</t>
  </si>
  <si>
    <t>DOCHL158808915</t>
  </si>
  <si>
    <t>Đồng ống Hailiang dạng cuộn 15.88x0.89</t>
  </si>
  <si>
    <t>DOCHL158808950</t>
  </si>
  <si>
    <t>Đồng ống Hailiang dạng cuộn 15.88mmx0.89mmx50m</t>
  </si>
  <si>
    <t>DOCHL158809115</t>
  </si>
  <si>
    <t>Đồng ống Hailiang dạng cuộn 15.88mmx0.91mmx15m</t>
  </si>
  <si>
    <t>DOCHL158809115.</t>
  </si>
  <si>
    <t>DOCHL15881015</t>
  </si>
  <si>
    <t>Đồng ống Hailiang dạng cuộn 15.88mmx1.0mmx15m</t>
  </si>
  <si>
    <t>DOCHL158810250</t>
  </si>
  <si>
    <t>Đồng ống Hailiang dạng cuộn 15.88mmx1.02mmx50m</t>
  </si>
  <si>
    <t>DOCHL158810215</t>
  </si>
  <si>
    <t>Đồng ống Hailiang dạng cuộn 15.88mmx1.02mmx15m</t>
  </si>
  <si>
    <t>DOCHL160008015</t>
  </si>
  <si>
    <t>Đồng ống Hailiang dạng cuộn 16.00mmx0.80mmx15m</t>
  </si>
  <si>
    <t>DOCHL190512215</t>
  </si>
  <si>
    <t>Đồng ống Hailiang dạng cuộn 19.05mmx1.22mmx15m</t>
  </si>
  <si>
    <t>DOCHL190506115</t>
  </si>
  <si>
    <t>Đồng ống Hailiang dạng cuộn 19.05mmx0.61mmx15m</t>
  </si>
  <si>
    <t>DOCHL190506515</t>
  </si>
  <si>
    <t>Đồng ống Hailiang dạng cuộn 19.05mmx0.65mmx15m</t>
  </si>
  <si>
    <t>DOCHL190507015</t>
  </si>
  <si>
    <t>Đồng ống Hailiang dạng cuộn 19.05mmx0.70mmx15m</t>
  </si>
  <si>
    <t>DOCHL190507115</t>
  </si>
  <si>
    <t>Đồng ống Hailiang dạng cuộn 19.05mmx0.71mmx15m</t>
  </si>
  <si>
    <t>DOCHL190507515</t>
  </si>
  <si>
    <t>Đồng ống Hailiang dạng cuộn 19.05mmx0.75mmx15m</t>
  </si>
  <si>
    <t>DOCHL190508015</t>
  </si>
  <si>
    <t>Đồng ống Hailiang dạng cuộn 19.05mmx0.80mmx15m</t>
  </si>
  <si>
    <t>DOCHL190508115</t>
  </si>
  <si>
    <t>Đồng ống Hailiang dạng cuộn 19.05mmx0.81mmx15m</t>
  </si>
  <si>
    <t>DOCHL190509115</t>
  </si>
  <si>
    <t>Đồng ống Hailiang dạng cuộn 19.05mmx0.91mmx15m</t>
  </si>
  <si>
    <t>DOCHL19051015</t>
  </si>
  <si>
    <t>Đồng ống Hailiang dạng cuộn 19.05mmx1.0mmx15m</t>
  </si>
  <si>
    <t>DOCHL190510215</t>
  </si>
  <si>
    <t>Đồng ống Hailiang dạng cuộn 19.05mmx1.02mmx15m</t>
  </si>
  <si>
    <t>DOCHL190510715</t>
  </si>
  <si>
    <t>Đồng ống Hailiang dạng cuộn 19.05mmx1.07mmx15m</t>
  </si>
  <si>
    <t>DOCHL190511015</t>
  </si>
  <si>
    <t>Đồng ống Hailiang dạng cuộn 19.05mmx1.10mmx15m</t>
  </si>
  <si>
    <t>DOCHL222208115</t>
  </si>
  <si>
    <t>Đồng ống Hailiang dạng cuộn 22.22mmx0.81mmx15m</t>
  </si>
  <si>
    <t>ĐHLCAYDI</t>
  </si>
  <si>
    <t>DOTHL127007129</t>
  </si>
  <si>
    <t>Đồng ống Hailiang dạng cây 12.70 mmx0.71 mmx2.9</t>
  </si>
  <si>
    <t>DOTHL127008129</t>
  </si>
  <si>
    <t>Đồng ống Hailiang dạng cây 12.70 mmx0.81 mmx2.9</t>
  </si>
  <si>
    <t>DOTHL158806129</t>
  </si>
  <si>
    <t>Đồng ống Hailiang dạng cây 15.88 mmx0.61 mmx2.9</t>
  </si>
  <si>
    <t>DOTHL158807129</t>
  </si>
  <si>
    <t>Đồng ống Hailiang dạng cây 15.88 mmx0.71 mmx2.9</t>
  </si>
  <si>
    <t>DOTHL158808129</t>
  </si>
  <si>
    <t>Đồng ống Hailiang dạng cây 15.88mmx0.81mmx2.9</t>
  </si>
  <si>
    <t>DOTHL158809129</t>
  </si>
  <si>
    <t>Đồng ống Hailiang dạng cây 15.88mmx0.91mmx2.9</t>
  </si>
  <si>
    <t>DOTHL158810229</t>
  </si>
  <si>
    <t>Đồng ống Hailiang dạng cây 15.88mmx1.02mmx2.9</t>
  </si>
  <si>
    <t>DOTHL190512215</t>
  </si>
  <si>
    <t>Đồng ống Hailiang dạng cây 19.05mmx1.22mmx15m</t>
  </si>
  <si>
    <t>DOTHL190507129</t>
  </si>
  <si>
    <t>Đồng ống Hailiang dạng cây 19.05mmx0.71mmx2.9</t>
  </si>
  <si>
    <t>DOTHL190508129</t>
  </si>
  <si>
    <t>Đồng ống Hailiang dạng cây 19.05mmx0.81mmx2.9</t>
  </si>
  <si>
    <t>DOTHL190510029</t>
  </si>
  <si>
    <t>Đồng ống Hailiang dạng cây 19.05mmx1.00mmx2.9</t>
  </si>
  <si>
    <t>DOTHL190510229</t>
  </si>
  <si>
    <t>Đồng ống Hailiang dạng cây 19.05mmx1.02mmx2.9</t>
  </si>
  <si>
    <t>DOTHL1905107</t>
  </si>
  <si>
    <t>Đồng ống Hailiang dạng cây 19.05mmx1.07mmx2.9m</t>
  </si>
  <si>
    <t>ĐHLCAY</t>
  </si>
  <si>
    <t>DOTHL190512029</t>
  </si>
  <si>
    <t>Đồng ống Hailiang dạng cây 19.05mmx1.20mmx2.9</t>
  </si>
  <si>
    <t>DOTHL22220829</t>
  </si>
  <si>
    <t>Đồng ống Hailiang dạng cây 22.22mmx0.80mmx2.9</t>
  </si>
  <si>
    <t>ĐHLCAYCH</t>
  </si>
  <si>
    <t>DOTHL222208129</t>
  </si>
  <si>
    <t>Đồng ống Hailiang dạng cây 22.22mmx0.81mmx2.9</t>
  </si>
  <si>
    <t>DOTHL222208158</t>
  </si>
  <si>
    <t>Đồng ống Hailiang dạng cây 22.22mmx0.81mmx5.8</t>
  </si>
  <si>
    <t>DOTHL222209129</t>
  </si>
  <si>
    <t>Đồng ống Hailiang dạng cây 22.22mmx0.91mmx2.9</t>
  </si>
  <si>
    <t>DOTHL22221029</t>
  </si>
  <si>
    <t>Đồng ống Hailiang dạng cây 22.22mmx1.0mmx2.9</t>
  </si>
  <si>
    <t>DOTHL22221058</t>
  </si>
  <si>
    <t>Đồng ống Hailiang dạng cây 22.22mmx1.00mmx5.8</t>
  </si>
  <si>
    <t>DOTHL222210258</t>
  </si>
  <si>
    <t>Đồng ống Hailiang dạng cây 22.22mmx1.02mmx5.8</t>
  </si>
  <si>
    <t>ĐHLCAYTD</t>
  </si>
  <si>
    <t>DOTHL222210229</t>
  </si>
  <si>
    <t>Đồng ống Hailiang dạng cây 22.22mmx1.02mmx2.9</t>
  </si>
  <si>
    <t>DOTHL22221129</t>
  </si>
  <si>
    <t>Đồng ống Hailiang dạng cây 22.22mmx1.1mmx2.9</t>
  </si>
  <si>
    <t>DOTHL222211429</t>
  </si>
  <si>
    <t>Đồng ống Hailiang dạng cây 22.22mmx1.14mmx2.9</t>
  </si>
  <si>
    <t>DOTHL22221258</t>
  </si>
  <si>
    <t>Đồng ống Hailiang dạng cây 22.22mmx1.2mmx5.8</t>
  </si>
  <si>
    <t>ĐHLCAYIB</t>
  </si>
  <si>
    <t>DOTHL22221229</t>
  </si>
  <si>
    <t>Đồng ống Hailiang dạng cây 22.22mmx1.22mmx2.9</t>
  </si>
  <si>
    <t>DOTHL222212258</t>
  </si>
  <si>
    <t>Đồng ống Hailiang dạng cây 22.22mmx1.22mmx5.8</t>
  </si>
  <si>
    <t>DOTHL2540081</t>
  </si>
  <si>
    <t>Đồng ống Hailiang dạng cây 25.40mmx0.81mmx2.9m</t>
  </si>
  <si>
    <t>DOTHL25401058</t>
  </si>
  <si>
    <t>Đồng ống Hailiang dạng cây 25.40mmx1.0mmx5.8m</t>
  </si>
  <si>
    <t>DOTHL254010229</t>
  </si>
  <si>
    <t>Đồng ống Hailiang dạng cây 25.40mmx1.02mmx2.9m</t>
  </si>
  <si>
    <t>DOTHL254011429</t>
  </si>
  <si>
    <t>Đồng ống Hailiang dạng cây 25.40mmx1.14mmx2.9m</t>
  </si>
  <si>
    <t>DOTHL25401229</t>
  </si>
  <si>
    <t>Đồng ống Hailiang dạng cây 25.40mmx1.2mmx2.9m</t>
  </si>
  <si>
    <t>DOTHL25401258</t>
  </si>
  <si>
    <t>Đồng ống Hailiang dạng cây 25.40mmx1.2mmx5.8m</t>
  </si>
  <si>
    <t>DOTHL254012229</t>
  </si>
  <si>
    <t>Đồng ống Hailiang dạng cây 25.40mmx1.22mmx2.9m</t>
  </si>
  <si>
    <t>DOTHL285808129</t>
  </si>
  <si>
    <t>Đồng ống Hailiang dạng cây 28.58mmx0.81mmx2.9</t>
  </si>
  <si>
    <t>DOTHL285808158</t>
  </si>
  <si>
    <t>Đồng ống Hailiang dạng cây 28.58mmx0.81mmx5.8</t>
  </si>
  <si>
    <t>DOTHL285809129</t>
  </si>
  <si>
    <t>Đồng ống Hailiang dạng cây 28.58mmx0.91mmx2.9</t>
  </si>
  <si>
    <t>DOTHL285810058</t>
  </si>
  <si>
    <t>Đồng ống Hailiang dạng cây 28.58mmx1.00mmx5.8</t>
  </si>
  <si>
    <t>DOTHL285810258</t>
  </si>
  <si>
    <t>Đồng ống Hailiang dạng cây 28.58mmx1.02mmx5.8</t>
  </si>
  <si>
    <t>DOTHL285810229</t>
  </si>
  <si>
    <t>Đồng ống Hailiang dạng cây 28.58mmx1.02mmx2.9m</t>
  </si>
  <si>
    <t>DOTHL285811029</t>
  </si>
  <si>
    <t>Đồng ống Hailiang dạng cây 28.58mmx1.10 mmx2.9</t>
  </si>
  <si>
    <t>DOTHL28581258</t>
  </si>
  <si>
    <t>Đồng ống Hailiang dạng cây 28.58mmx1.2mmx5.8</t>
  </si>
  <si>
    <t>DOTHL28581229</t>
  </si>
  <si>
    <t>Đồng ống Hailiang dạng cây 28.58mmx1.2mmx2.9</t>
  </si>
  <si>
    <t>DOTHL285812229</t>
  </si>
  <si>
    <t>Đồng ống Hailiang dạng cây 28.58mmx1.22mmx2.9</t>
  </si>
  <si>
    <t>DOTHL285812715</t>
  </si>
  <si>
    <t>Đồng ống Hailiang dạng cây 28.58mmx1.27mmx5.8m</t>
  </si>
  <si>
    <t>DOTHL285812729</t>
  </si>
  <si>
    <t>Đồng ống Hailiang dạng cây 28.58mmx1.27mmx2.9m</t>
  </si>
  <si>
    <t>DOTHL285814029</t>
  </si>
  <si>
    <t>Đồng ống Hailiang dạng cây 28.58mmx1.40 mmx2.9</t>
  </si>
  <si>
    <t>DOTHL28581458</t>
  </si>
  <si>
    <t>Đồng ống Hailiang dạng cây 28.58mmx1.4mmx5.8</t>
  </si>
  <si>
    <t>DOTHL285814329</t>
  </si>
  <si>
    <t>Đồng ống Hailiang dạng cây 28.58mmx1.43 mmx2.9</t>
  </si>
  <si>
    <t>DOTHL285815029</t>
  </si>
  <si>
    <t>Đồng ống Hailiang dạng cây 28.58mmx1.50 mmx2.9</t>
  </si>
  <si>
    <t>DOTHL31751029</t>
  </si>
  <si>
    <t>Đồng ống Hailiang dạng cây 31.75mmx1.0mmx3.0</t>
  </si>
  <si>
    <t>DOTHL31751058</t>
  </si>
  <si>
    <t>Đồng ống Hailiang dạng cây 31.75mmx1.0mmx5.8</t>
  </si>
  <si>
    <t>DOTHL317510229</t>
  </si>
  <si>
    <t>Đồng ống Hailiang dạng cây 31.75mmx1.02mmx2.9m</t>
  </si>
  <si>
    <t>DOTHL317512229</t>
  </si>
  <si>
    <t>Đồng ống Hailiang dạng cây 31.75mmx1.22mmx2.9m</t>
  </si>
  <si>
    <t>DOTHL317513029</t>
  </si>
  <si>
    <t>Đồng ống Hailiang dạng cây 31.75mmx1.30mmx2.9</t>
  </si>
  <si>
    <t>DOTHL317514329</t>
  </si>
  <si>
    <t>Đồng ống Hailiang dạng cây 31.75mmx1.43mmx2.9</t>
  </si>
  <si>
    <t>DOTHL317515029</t>
  </si>
  <si>
    <t>Đồng ống Hailiang dạng cây 31.75mmx1.50mmx2.9</t>
  </si>
  <si>
    <t>DOTHL349311029</t>
  </si>
  <si>
    <t>Đồng ống Hailiang dạng cây 34.93mmx1.10mmx2.9m</t>
  </si>
  <si>
    <t>DOTHL349312258</t>
  </si>
  <si>
    <t>Đồng ống Hailiang dạng cây 34.93mmx1.22mmx5.8</t>
  </si>
  <si>
    <t>DOTHL34931029</t>
  </si>
  <si>
    <t>Đồng ống Hailiang dạng cây 34.93mmx1.0mmx2.9</t>
  </si>
  <si>
    <t>DOTHL34931058</t>
  </si>
  <si>
    <t>Đồng ống Hailiang dạng cây 34.93mmx1.0mmx5.8</t>
  </si>
  <si>
    <t>DOTHL349310258</t>
  </si>
  <si>
    <t>Đồng ống Hailiang dạng cây 34.93mmx1.02mmx5.8</t>
  </si>
  <si>
    <t>DOTHL349310229</t>
  </si>
  <si>
    <t>Đồng ống Hailiang dạng cây 34.93mmx1.02mmx2.9m</t>
  </si>
  <si>
    <t>DOTHL34931229</t>
  </si>
  <si>
    <t>Đồng ống Hailiang dạng cây 34.93mmx1.2mmx2.9</t>
  </si>
  <si>
    <t>DOTHL34931258</t>
  </si>
  <si>
    <t>Đồng ống Hailiang dạng cây 34.93mmx1.2mmx5.8</t>
  </si>
  <si>
    <t>DOTHL349312229</t>
  </si>
  <si>
    <t>Đồng ống Hailiang dạng cây 34.93mmx1.22mmx2.9m</t>
  </si>
  <si>
    <t>DOTHL349313029</t>
  </si>
  <si>
    <t>Đồng ống Hailiang dạng cây 34.93mmx1.30mmx2.9</t>
  </si>
  <si>
    <t>DOTHL34931429</t>
  </si>
  <si>
    <t>Đồng ống Hailiang dạng cây 34.93mmx1.4mmx2.9</t>
  </si>
  <si>
    <t>DOTHL34931458</t>
  </si>
  <si>
    <t>Đồng ống Hailiang dạng cây 34.93mmx1.4mmx5.8m</t>
  </si>
  <si>
    <t>DOTHL349314329</t>
  </si>
  <si>
    <t>Đồng ống Hailiang dạng cây 34.93mmx1.43mmx2.9</t>
  </si>
  <si>
    <t>DOTHL349315029</t>
  </si>
  <si>
    <t>Đồng ống Hailiang dạng cây 34.93mmx1.50mmx2.9</t>
  </si>
  <si>
    <t>DOTHL381010229</t>
  </si>
  <si>
    <t>Đồng ống Hailiang dạng cây 38.10mmx1.02 mmx2.9</t>
  </si>
  <si>
    <t>DOTHL381012229</t>
  </si>
  <si>
    <t>Đồng ống Hailiang dạng cây 38.10mmx1.22 mmx2.9</t>
  </si>
  <si>
    <t>DOTHL381013229</t>
  </si>
  <si>
    <t>Đồng ống Hailiang dạng cây 38.10mmx1.32 mmx2.9</t>
  </si>
  <si>
    <t>DOTHL381014329</t>
  </si>
  <si>
    <t>Đồng ống Hailiang dạng cây 38.10mmx1.43 mmx2.9</t>
  </si>
  <si>
    <t>DOTHL381015029</t>
  </si>
  <si>
    <t>Đồng ống Hailiang dạng cây 38.10mmx1.50 mmx2.9</t>
  </si>
  <si>
    <t>DOTHL41281029</t>
  </si>
  <si>
    <t>Đồng ống Hailiang dạng cây 41.28mmx1.0mmx2.9</t>
  </si>
  <si>
    <t>DOTHL41281058</t>
  </si>
  <si>
    <t>Đồng ống Hailiang dạng cây 41.28mmx1.0mmx5.8</t>
  </si>
  <si>
    <t>DOTHL412810229</t>
  </si>
  <si>
    <t>Đồng ống Hailiang dạng cây 41.28mmx1.02mmx2.9</t>
  </si>
  <si>
    <t>DOTHL412810258</t>
  </si>
  <si>
    <t>Đồng ống Hailiang dạng cây 41.28mmx1.02mmx5.8</t>
  </si>
  <si>
    <t>DOTHL41281258</t>
  </si>
  <si>
    <t>Đồng ống Hailiang dạng cây 41.28mmx1.2mmx5.8</t>
  </si>
  <si>
    <t>DOTHL412812029</t>
  </si>
  <si>
    <t>Đồng ống Hailiang dạng cây 41.28mmx1.20mmx2.9</t>
  </si>
  <si>
    <t>DOTHL412812258</t>
  </si>
  <si>
    <t>Đồng ống Hailiang dạng cây 41.28mmx1.22mmx5.8</t>
  </si>
  <si>
    <t>DOTHL412812229</t>
  </si>
  <si>
    <t>Đồng ống Hailiang dạng cây 41.28mmx1.22mmx2.9</t>
  </si>
  <si>
    <t>DOTHL412813029</t>
  </si>
  <si>
    <t>Đồng ống Hailiang dạng cây 41.28mmx1.30mmx2.9m</t>
  </si>
  <si>
    <t>DOTHL41281458</t>
  </si>
  <si>
    <t>Đồng ống Hailiang dạng cây 41.28mmx1.4mmx5.8</t>
  </si>
  <si>
    <t>DOTHL412814358</t>
  </si>
  <si>
    <t>Đồng ống Hailiang dạng cây 41.28mmx1.43mmx5.8</t>
  </si>
  <si>
    <t>DOTHL412814329</t>
  </si>
  <si>
    <t>Đồng ống Hailiang dạng cây 41.28mmx1.43mmx2.9</t>
  </si>
  <si>
    <t>DOTHL412815029</t>
  </si>
  <si>
    <t>Đồng ống Hailiang dạng cây 41.28mmx1.50mmx2.9</t>
  </si>
  <si>
    <t>DOTHL412815229</t>
  </si>
  <si>
    <t>Đồng ống Hailiang dạng cây 41.28mmx1.52mmx2.9m</t>
  </si>
  <si>
    <t>DOTHL412815329</t>
  </si>
  <si>
    <t>Đồng ống Hailiang dạng cây 41.28mmx1.53mmx2.9</t>
  </si>
  <si>
    <t>DOTHL412816029</t>
  </si>
  <si>
    <t>Đồng ống Hailiang dạng cây 41.28mmx1.60mmx2.9</t>
  </si>
  <si>
    <t>DOTHL412817029</t>
  </si>
  <si>
    <t>Đồng ống Hailiang dạng cây 41.28mmx1.70mmx2.9</t>
  </si>
  <si>
    <t>DOTHL44512229</t>
  </si>
  <si>
    <t>Đồng ống Hailiang dạng cây 44.5mmx1.22mmx2.9m</t>
  </si>
  <si>
    <t>DOTHL44514329</t>
  </si>
  <si>
    <t>Đồng ống Hailiang dạng cây 44.5mmx1.43mmx2.9m</t>
  </si>
  <si>
    <t>DOTHL44515029</t>
  </si>
  <si>
    <t>Đồng ống Hailiang dạng cây 44.5mmx1.50mmx2.9m</t>
  </si>
  <si>
    <t>DOTHL508014029</t>
  </si>
  <si>
    <t>Đồng ống Hailiang dạng cây 50.80mmx1.40mmx2.9</t>
  </si>
  <si>
    <t>DOTHL539410229</t>
  </si>
  <si>
    <t>Đồng ống Hailiang dạng cây 53.94mmx1.02mmx2.9m</t>
  </si>
  <si>
    <t>DOTHL539412229</t>
  </si>
  <si>
    <t>Đồng ống Hailiang dạng cây 53.94mmx1.22mmx2.9m</t>
  </si>
  <si>
    <t>DOTHL53941429</t>
  </si>
  <si>
    <t>Đồng ống Hailiang dạng cây 53.94mmx1.4mmx2.9m</t>
  </si>
  <si>
    <t>DOTHL539810229</t>
  </si>
  <si>
    <t>Đồng ống Hailiang dạng cây 53.98mmx1.02mmx2.9</t>
  </si>
  <si>
    <t>DOTHL539814329</t>
  </si>
  <si>
    <t>Đồng ống Hailiang dạng cây 53.98mmx1.43mmx2.9</t>
  </si>
  <si>
    <t>DOTHL53981146</t>
  </si>
  <si>
    <t>Đồng ống Hailiang dạng cây 53.98mmx1.14mmx6</t>
  </si>
  <si>
    <t>DOTHL539812029</t>
  </si>
  <si>
    <t>Đồng ống Hailiang dạng cây 53.98mmx1.20mmx2.9</t>
  </si>
  <si>
    <t>DOTHL53981203</t>
  </si>
  <si>
    <t>Đồng ống Hailiang dạng cây 53.98mmx1.20mmx3.0</t>
  </si>
  <si>
    <t>DOTHL539812229</t>
  </si>
  <si>
    <t>Đồng ống Hailiang dạng cây 53.98mmx1.22mmx2.9m</t>
  </si>
  <si>
    <t>DOTHL539812758</t>
  </si>
  <si>
    <t>Đồng ống Hailiang dạng cây 53.98mmx1.27mmx5.8</t>
  </si>
  <si>
    <t>DOTHL539813529</t>
  </si>
  <si>
    <t>Đồng ống Hailiang dạng cây 53.98mmx1.35mmx2.9</t>
  </si>
  <si>
    <t>DOTHL539814058</t>
  </si>
  <si>
    <t>Đồng ống Hailiang dạng cây 53.98mmx1.40mmx5.8</t>
  </si>
  <si>
    <t>DOTHL539814029</t>
  </si>
  <si>
    <t>Đồng ống Hailiang dạng cây 53.98mmx1.40mmx2.9</t>
  </si>
  <si>
    <t>DOTHL539814529</t>
  </si>
  <si>
    <t>Đồng ống Hailiang dạng cây 53.98mmx1.45mmx2.9</t>
  </si>
  <si>
    <t>DOTHL539815029</t>
  </si>
  <si>
    <t>Đồng ống Hailiang dạng cây 53.98mmx1.50mmx2.9</t>
  </si>
  <si>
    <t>DOTHL539815129</t>
  </si>
  <si>
    <t>Đồng ống Hailiang dạng cây 53.98mmx1.51mmx2.9</t>
  </si>
  <si>
    <t>DOTHL539815529</t>
  </si>
  <si>
    <t>Đồng ống Hailiang dạng cây 53.98mmx1.55mmx2.9</t>
  </si>
  <si>
    <t>DOTHL539816029</t>
  </si>
  <si>
    <t>Đồng ống Hailiang dạng cây 53.98mmx1.60mmx2.9</t>
  </si>
  <si>
    <t>DOTHL53981603</t>
  </si>
  <si>
    <t>Đồng ống Hailiang dạng cây 53.98mmx1.60mmx3.0</t>
  </si>
  <si>
    <t>DOTHL539816529</t>
  </si>
  <si>
    <t>Đồng ống Hailiang dạng cây 53.98mmx1.65mmx2.9</t>
  </si>
  <si>
    <t>DOTHL539817029</t>
  </si>
  <si>
    <t>Đồng ống Hailiang dạng cây 53.98mmx1.70mmx2.9m</t>
  </si>
  <si>
    <t>DOTHL539817829</t>
  </si>
  <si>
    <t>Đồng ống Hailiang dạng cây 53.98mmx1.78mmx2.9m</t>
  </si>
  <si>
    <t>DOTHL539817858</t>
  </si>
  <si>
    <t>Đồng ống Hailiang dạng cây 53.98mmx1.78mmx5.8m</t>
  </si>
  <si>
    <t>DOTHL539818029</t>
  </si>
  <si>
    <t>Đồng ống Hailiang dạng cây 53.98mmx1.80mmx2.9</t>
  </si>
  <si>
    <t>DOTHL539818058</t>
  </si>
  <si>
    <t>Đồng ống Hailiang dạng cây 53.98mmx1.80mmx5.8</t>
  </si>
  <si>
    <t>DOTHL539825029</t>
  </si>
  <si>
    <t>Đồng ống Hailiang dạng cây 53.98mmx2.50mmx2.9</t>
  </si>
  <si>
    <t>Đồng ống Hailiang dạng cây 76.20mmx1.40mmx3m</t>
  </si>
  <si>
    <t>DOTHL1047825029</t>
  </si>
  <si>
    <t>Đồng ống Hailiang dạng cây 104.78mmx2.50mmx2.9</t>
  </si>
  <si>
    <t>DOTHL10478277958</t>
  </si>
  <si>
    <t>Đồng ống Hailiang dạng cây 104.78mmx2.79mmx5.8</t>
  </si>
  <si>
    <t>ĐHLBANH</t>
  </si>
  <si>
    <t>DOHLLWC0635061</t>
  </si>
  <si>
    <t>Đồng cuộn Hailiang LWC 6.35x0.61</t>
  </si>
  <si>
    <t>DOHLLWC0635081</t>
  </si>
  <si>
    <t>Đồng cuộn Hailiang LWC 6.35x0.81</t>
  </si>
  <si>
    <t>DOHLLWC0952071</t>
  </si>
  <si>
    <t>Đồng cuộn Hailiang LWC 9.52x0.71</t>
  </si>
  <si>
    <t>DOHLLWC0952081</t>
  </si>
  <si>
    <t>Đồng cuộn Hailiang LWC 9.52x0.81</t>
  </si>
  <si>
    <t>DOHLLWC1270081</t>
  </si>
  <si>
    <t>Đồng cuộn Hailiang LWC 12.7x0.81</t>
  </si>
  <si>
    <t>DOHLLWC1588102</t>
  </si>
  <si>
    <t>Đồng cuộn Hailiang LWC 15.88x1.02</t>
  </si>
  <si>
    <t>DOHLLWC1905102</t>
  </si>
  <si>
    <t>Đồng cuộn Hailiang LWC 19.05x1.02</t>
  </si>
  <si>
    <t>Taisei Hailiang</t>
  </si>
  <si>
    <t>ĐTSCUONDD</t>
  </si>
  <si>
    <t>DOCHLTS0635061</t>
  </si>
  <si>
    <t>Đồng ống Taisei PC 06.35x0.61 HL</t>
  </si>
  <si>
    <t>DOCHLTS0635071</t>
  </si>
  <si>
    <t>Đồng ống Taisei PC 06.35x0.71 HL</t>
  </si>
  <si>
    <t>ĐTSCUONCT</t>
  </si>
  <si>
    <t>DOCHLTS0635081</t>
  </si>
  <si>
    <t>Đồng ống Taisei PC 06.35x0.81 HL</t>
  </si>
  <si>
    <t>DOCHLTS0952061</t>
  </si>
  <si>
    <t>Đồng ống Taisei PC 09.52x0.61 HL</t>
  </si>
  <si>
    <t>DOCHLTS0952071</t>
  </si>
  <si>
    <t>Đồng ống Taisei PC 09.52x0.71 HL</t>
  </si>
  <si>
    <t>DOCHLTS0952081</t>
  </si>
  <si>
    <t>Đồng ống Taisei PC 09.52x0.81 HL</t>
  </si>
  <si>
    <t>DOCHLTS1270061</t>
  </si>
  <si>
    <t>Đồng ống Taisei PC 12.70x0.61 HL</t>
  </si>
  <si>
    <t>DOCHLTS1270071</t>
  </si>
  <si>
    <t>Đồng ống Taisei PC 12.70x0.71 HL</t>
  </si>
  <si>
    <t>DOCHLTS1270081</t>
  </si>
  <si>
    <t>Đồng ống Taisei PC 12.70x0.81 HL</t>
  </si>
  <si>
    <t>DOCHLTS1588071</t>
  </si>
  <si>
    <t>Đồng ống Taisei PC 15.88x0.71 HL</t>
  </si>
  <si>
    <t>DOCHLTS1588081</t>
  </si>
  <si>
    <t>Đồng ống Taisei PC 15.88x0.81 HL</t>
  </si>
  <si>
    <t>DOCHLTS1588100</t>
  </si>
  <si>
    <t>Đồng ống Taisei PC 15.88x1.00 HL</t>
  </si>
  <si>
    <t>DOCHLTS1905071</t>
  </si>
  <si>
    <t>Đồng ống Taisei PC 19.05x0.71 HL</t>
  </si>
  <si>
    <t>DOCHLTS1905081</t>
  </si>
  <si>
    <t>Đồng ống Taisei PC 19.05x0.81 HL</t>
  </si>
  <si>
    <t>DOCHLTS1905100</t>
  </si>
  <si>
    <t>Đồng ống Taisei PC 19.05x1.00 HL</t>
  </si>
  <si>
    <t>Taisei Việt Nam</t>
  </si>
  <si>
    <t>ĐTSCUONDI</t>
  </si>
  <si>
    <t>DOCTAISEI0635061</t>
  </si>
  <si>
    <t>Đồng ống TAISEI PC 06.35x0.61</t>
  </si>
  <si>
    <t>DOCTAISEI0635071</t>
  </si>
  <si>
    <t>Đồng ống TAISEI PC 06.35x0.71</t>
  </si>
  <si>
    <t>DOCTAISEI0635076</t>
  </si>
  <si>
    <t>Đồng ống TAISEI PC 06.35x0.76</t>
  </si>
  <si>
    <t>DOCTAISEI0635081</t>
  </si>
  <si>
    <t>Đồng ống TAISEI PC 06.35x0.81</t>
  </si>
  <si>
    <t>DOCTAISEI0794071</t>
  </si>
  <si>
    <t>Đồng ống TAISEI PC 07.94x0.71</t>
  </si>
  <si>
    <t>DOCTAISEI0952061</t>
  </si>
  <si>
    <t>Đồng ống TAISEI PC 09.52x0.61</t>
  </si>
  <si>
    <t>DOCTS0952051</t>
  </si>
  <si>
    <t>Đồng ống taisei PC 09.52x0.51</t>
  </si>
  <si>
    <t>DOCTAISEI095207115</t>
  </si>
  <si>
    <t>Đồng ống TAISEI PC 09.52x0.71x15m</t>
  </si>
  <si>
    <t>DOCTAISEI0952081</t>
  </si>
  <si>
    <t>Đồng ống TAISEI PC 09.52x0.81</t>
  </si>
  <si>
    <t>DOCTS1200100</t>
  </si>
  <si>
    <t>Đồng ống PC Taisei 12.00x1.00x15m</t>
  </si>
  <si>
    <t>DOCTAISEI1270061</t>
  </si>
  <si>
    <t>Đồng ống TAISEI PC 12.70x0.61</t>
  </si>
  <si>
    <t>DOCTAISEI1270071</t>
  </si>
  <si>
    <t>Đồng ống TAISEI PC 12.70x0.71</t>
  </si>
  <si>
    <t>DOCTAISEI1270081</t>
  </si>
  <si>
    <t>Đồng ống TAISEI PC 12.70x0.81</t>
  </si>
  <si>
    <t>DOCTAISEI1588102</t>
  </si>
  <si>
    <t>Đồng ống TAISEI PC 15.88x1.02</t>
  </si>
  <si>
    <t>DOCTAISEI1588071</t>
  </si>
  <si>
    <t>Đồng ống TAISEI PC 15.88x0.71</t>
  </si>
  <si>
    <t>DOCTAISEI1588081</t>
  </si>
  <si>
    <t>Đồng ống TAISEI PC 15.88x0.81</t>
  </si>
  <si>
    <t>DOCTAISEI1588089</t>
  </si>
  <si>
    <t>Đồng ống TAISEI PC 15.88x0.89</t>
  </si>
  <si>
    <t>DOCTAISEI1588100</t>
  </si>
  <si>
    <t>Đồng ống TAISEI PC 15.88x1.00</t>
  </si>
  <si>
    <t>DOCTAISEI1905102</t>
  </si>
  <si>
    <t>Đồng ống TAISEI PC 19.05x1.02</t>
  </si>
  <si>
    <t>DOCTAISEI1905107</t>
  </si>
  <si>
    <t>Đồng ống TAISEI PC 19.05x1.07</t>
  </si>
  <si>
    <t>DOCTAISEI1905081</t>
  </si>
  <si>
    <t>Đồng ống TAISEI PC 19.05x0.81</t>
  </si>
  <si>
    <t>DOCTAISEI1905089</t>
  </si>
  <si>
    <t>Đồng ống TAISEI PC 19.05x0.89</t>
  </si>
  <si>
    <t>DOCTAISEI1905100</t>
  </si>
  <si>
    <t>Đồng ống TAISEI PC 19.05x1.00</t>
  </si>
  <si>
    <t>ĐTSCAY</t>
  </si>
  <si>
    <t>DOTVNTS158807129</t>
  </si>
  <si>
    <t>Đồng ống thẳng 15.88x0.71x2.9m Taisei</t>
  </si>
  <si>
    <t>DOTVNTS190509129</t>
  </si>
  <si>
    <t>Đồng ống thẳng Taisei 19.05 x 0.91 x 2.9m</t>
  </si>
  <si>
    <t>ĐTSCAYIB</t>
  </si>
  <si>
    <t>DOTVNTS1905100</t>
  </si>
  <si>
    <t>Đồng ống thẳng Taisei 19.05x1.00</t>
  </si>
  <si>
    <t>DOTVNTS127007129</t>
  </si>
  <si>
    <t>Đồng ống thẳng Taisei 12.70 x 0.71 x 2.9m</t>
  </si>
  <si>
    <t>DOTVNTS127008129</t>
  </si>
  <si>
    <t>Đồng ống thẳng Taisei 12.70 x 0.81 x 2.9m</t>
  </si>
  <si>
    <t>DOTVNTS28581129</t>
  </si>
  <si>
    <t>Đồng ống thẳng Taisei 28.58 x 1.1 x 2.9m</t>
  </si>
  <si>
    <t>ĐTSCAYDI</t>
  </si>
  <si>
    <t>DOTVNTS158810029</t>
  </si>
  <si>
    <t>Đồng ống thẳng 15.88x1.0x2.9m Taisei</t>
  </si>
  <si>
    <t>DOTVNTS222208129</t>
  </si>
  <si>
    <t>Đồng ống thẳng 22.22x0.81x2.9m Taisei</t>
  </si>
  <si>
    <t>DOTVNTS222209129</t>
  </si>
  <si>
    <t>Đồng ống thẳng 22.22x0.91x2.9m Taisei</t>
  </si>
  <si>
    <t>DOTVNTS22221029</t>
  </si>
  <si>
    <t>Đồng ống thẳng 22.22x1.0x2.9m Taisei</t>
  </si>
  <si>
    <t>DOTVNTS222210229</t>
  </si>
  <si>
    <t>Đồng ống thẳng 22.22x1.02x2.9m Taisei</t>
  </si>
  <si>
    <t>DOTVNTS222211429</t>
  </si>
  <si>
    <t>Đồng ống thẳng 22.22x1.14x2.9m Taisei</t>
  </si>
  <si>
    <t>DOTVNTS222212029</t>
  </si>
  <si>
    <t>Đồng ống thẳng 22.22x1.20x2.9m Taisei</t>
  </si>
  <si>
    <t>DOTVNTS25401029</t>
  </si>
  <si>
    <t>Đồng ống thẳng 25.40x1.0x2.9m Taisei</t>
  </si>
  <si>
    <t>DOTVNTS254012029</t>
  </si>
  <si>
    <t>Đồng ống thẳng Taisei 25.40x1.20x2.9</t>
  </si>
  <si>
    <t>DOTVNTS285812729</t>
  </si>
  <si>
    <t>Đồng ống thẳng 28.58x1.27x2.9m Taisei</t>
  </si>
  <si>
    <t>DOTVNTS285808129</t>
  </si>
  <si>
    <t>Đồng ống thẳng 28.58x0.81x2.9m Taisei</t>
  </si>
  <si>
    <t>DOTVNTS28581029</t>
  </si>
  <si>
    <t>Đồng ống thẳng 28.58x1.0x2.9m Taisei</t>
  </si>
  <si>
    <t>DOTVNTS285812029</t>
  </si>
  <si>
    <t>Đồng ống thẳng 28.58x1.20x2.9m Taisei</t>
  </si>
  <si>
    <t>DOTVNTS285812229</t>
  </si>
  <si>
    <t>Đồng ống thẳng 28.58x1.22x2.9m Taisei</t>
  </si>
  <si>
    <t>DOTVNTS285814029</t>
  </si>
  <si>
    <t>Đồng ống thẳng 28.58x1.40x2.9m Taisei</t>
  </si>
  <si>
    <t>DOTVNTS31751129</t>
  </si>
  <si>
    <t>Đồng ống thẳng Taisei 31.75 x 1.1 x 2.9m</t>
  </si>
  <si>
    <t>DOTVNTS317512029</t>
  </si>
  <si>
    <t>Đồng ống thẳng 31.75x1.2x2.9m Taisei</t>
  </si>
  <si>
    <t>DOTVNTS34931029</t>
  </si>
  <si>
    <t>Đồng ống thẳng 34.93x1.0x2.9m Taisei</t>
  </si>
  <si>
    <t>DOTVNTS349312029</t>
  </si>
  <si>
    <t>Đồng ống thẳng 34.93x1.2x2.9m Taisei</t>
  </si>
  <si>
    <t>DOTVNTS34931429</t>
  </si>
  <si>
    <t>Đồng ống thẳng 34.93x1.4x2.9m Taisei</t>
  </si>
  <si>
    <t>DOTVNTS381012029</t>
  </si>
  <si>
    <t>Đồng ống thẳng 38.10x1.2x2.9m Taisei</t>
  </si>
  <si>
    <t>DOTVNTS381014029</t>
  </si>
  <si>
    <t>Đồng ống thẳng 38.10x1.4x2.9m Taisei</t>
  </si>
  <si>
    <t>DOTVNTS412810029</t>
  </si>
  <si>
    <t>Đồng ống thẳng 41.28x1.0x2.9m Taisei</t>
  </si>
  <si>
    <t>DOTVNTS412812029</t>
  </si>
  <si>
    <t>Đồng ống thẳng 41.28x1.2x2.9m Taisei</t>
  </si>
  <si>
    <t>DOTVNTS412814029</t>
  </si>
  <si>
    <t>Đồng ống thẳng 41.28x1.40x2.9m Taisei</t>
  </si>
  <si>
    <t>DOTVNTS412814329</t>
  </si>
  <si>
    <t>Đồng ống thẳng 41.28x1.43x2.9m Taisei</t>
  </si>
  <si>
    <t>DOTVNTS41281529</t>
  </si>
  <si>
    <t>Đồng ống thẳng 41.28 x 1.5 x 2.9m Taisei</t>
  </si>
  <si>
    <t>DOTVNTS412815229</t>
  </si>
  <si>
    <t>Đồng ống thẳng 41.28x1.52x2.9m Taisei</t>
  </si>
  <si>
    <t>DOTVNTS349313629</t>
  </si>
  <si>
    <t>Đồng ống thẳng Taisei 34.93 x 1.36 x 2.9m</t>
  </si>
  <si>
    <t>DOTVNTS539814329</t>
  </si>
  <si>
    <t>Đồng ống thẳng 53.98x1.43x2.9m Taisei</t>
  </si>
  <si>
    <t>DOTTS047605130</t>
  </si>
  <si>
    <t>Đồng ống thẳng Taisei 4.76x0.51x3.0</t>
  </si>
  <si>
    <t>DOTTS055005130</t>
  </si>
  <si>
    <t>Đồng ống thẳng Taisei 05.50x0.51x3.0</t>
  </si>
  <si>
    <t>DOTTS063505130</t>
  </si>
  <si>
    <t>Đồng ống thẳng Taisei 06.35x0.51x3.0</t>
  </si>
  <si>
    <t>DOTTS064004530</t>
  </si>
  <si>
    <t>Đồng ống thẳng Taisei 06.40x0.45x3.0</t>
  </si>
  <si>
    <t>DOTTS065005030</t>
  </si>
  <si>
    <t>Đồng ống thẳng Taisei 06.50x0.50x3.0</t>
  </si>
  <si>
    <t>DOTTS065005530</t>
  </si>
  <si>
    <t>Đồng ống thẳng Taisei 06.50x0.55x3.0</t>
  </si>
  <si>
    <t>DOTTS065007030</t>
  </si>
  <si>
    <t>Đồng ống thẳng Taisei 06.50x0.70x3.0</t>
  </si>
  <si>
    <t>DOTTS070005530</t>
  </si>
  <si>
    <t>Đồng ống thẳng Taisei 07.00x0.55x3.0</t>
  </si>
  <si>
    <t>DOTTS070006130</t>
  </si>
  <si>
    <t>Đồng ống thẳng Taisei 07.00x0.61x3.0</t>
  </si>
  <si>
    <t>DOTTS075006030</t>
  </si>
  <si>
    <t>Đồng ống thẳng Taisei 07.50x0.60x3.0</t>
  </si>
  <si>
    <t>DOTTS075008030</t>
  </si>
  <si>
    <t>Đồng ống thẳng Taisei 07.50x0.80x3.0</t>
  </si>
  <si>
    <t>DOTTS0800071305</t>
  </si>
  <si>
    <t>Đồng ống thẳng Taisei 08.00x0.71x3.05</t>
  </si>
  <si>
    <t>DOTTS085006830</t>
  </si>
  <si>
    <t>Đồng ống thẳng Taisei 08.50x0.68x3.0</t>
  </si>
  <si>
    <t>DOTTS086006130</t>
  </si>
  <si>
    <t>Đồng ống thẳng Taisei 08.60x0.61x3.0</t>
  </si>
  <si>
    <t>DOTTS090007030</t>
  </si>
  <si>
    <t>Đồng ống thẳng Taisei 09.00x0.70x3.0</t>
  </si>
  <si>
    <t>DOTTS090009030</t>
  </si>
  <si>
    <t>Đồng ống thẳng Taisei 09.00x0.90x3.0</t>
  </si>
  <si>
    <t>DOTTS090010030</t>
  </si>
  <si>
    <t>Đồng ống thẳng Taisei 09.00x1.00x3.0</t>
  </si>
  <si>
    <t>DOTTS0900071304</t>
  </si>
  <si>
    <t>Đồng ống thẳng Taisei 09.00x0.71x3.04</t>
  </si>
  <si>
    <t>DOTTS0950078030</t>
  </si>
  <si>
    <t>Đồng ống thẳng Taisei 09.50x0.78x3.0</t>
  </si>
  <si>
    <t>DOTTS096006530</t>
  </si>
  <si>
    <t>Đồng ống thẳng Taisei 09.60x0.65x3.0</t>
  </si>
  <si>
    <t>DOTTS1000061304</t>
  </si>
  <si>
    <t>Đồng ống thẳng Taisei 10.00x0.61x3.04</t>
  </si>
  <si>
    <t>DOTTS100008003</t>
  </si>
  <si>
    <t>Đồng ống thẳng Taisei 10.00x0.80x3.0</t>
  </si>
  <si>
    <t>DOTTS1000081304</t>
  </si>
  <si>
    <t>Đồng ống thẳng Taisei 10.00x0.81x3.04</t>
  </si>
  <si>
    <t>DOTTS100008530</t>
  </si>
  <si>
    <t>Đồng ống thẳng Taisei 10.00x0.85x3.0</t>
  </si>
  <si>
    <t>DOTTS115008530</t>
  </si>
  <si>
    <t>Đồng ống thẳng Taisei 11.50x0.85x3.0</t>
  </si>
  <si>
    <t>DOTTS120008130</t>
  </si>
  <si>
    <t>Đồng ống thẳng Taisei 12.00x0.81x3.0</t>
  </si>
  <si>
    <t>DOTTS120008830</t>
  </si>
  <si>
    <t>Đồng ống thẳng Taisei 12.00x0.88x3.0</t>
  </si>
  <si>
    <t>DOTTS120009030</t>
  </si>
  <si>
    <t>Đồng ống thẳng Taisei 12.00x0.90x3.0</t>
  </si>
  <si>
    <t>DOTTS120009530</t>
  </si>
  <si>
    <t>Đồng ống thẳng Taisei 12.00x0.95x3.0</t>
  </si>
  <si>
    <t>DOTTS120009130</t>
  </si>
  <si>
    <t>Đồng ống thẳng Taisei 12.00x0.91x3.0</t>
  </si>
  <si>
    <t>DOTTS120010030</t>
  </si>
  <si>
    <t>Đồng ống thẳng Taisei 12.00x1.00x3.0</t>
  </si>
  <si>
    <t>DOTTS125013030</t>
  </si>
  <si>
    <t>Đồng ống thẳng Taisei 12.50x1.30x3.0</t>
  </si>
  <si>
    <t>DOTTS127005158</t>
  </si>
  <si>
    <t>Đồng ống thẳng Taisei 12.70x0.51x5.8</t>
  </si>
  <si>
    <t>DOTTS135010530</t>
  </si>
  <si>
    <t>Đồng ống thẳng Taisei 13.50x1.05x3.0</t>
  </si>
  <si>
    <t>DOTTS140011030</t>
  </si>
  <si>
    <t>Đồng ống thẳng Taisei 14.00x1.10x3.0</t>
  </si>
  <si>
    <t>DOTTS140011530</t>
  </si>
  <si>
    <t>Đồng ống thẳng Taisei 14.00x1.15x3.0</t>
  </si>
  <si>
    <t>DOTTS145015030</t>
  </si>
  <si>
    <t>Đồng ống thẳng Taisei 14.50x1.50x3.0</t>
  </si>
  <si>
    <t>DOTTS155012030</t>
  </si>
  <si>
    <t>Đồng ống thẳng taisei 15.50x1.20x3.0</t>
  </si>
  <si>
    <t>DOTTS158805158</t>
  </si>
  <si>
    <t>Đồng ống thẳng Taisei 15.88x0.51x5.8</t>
  </si>
  <si>
    <t>DOTTS160012030</t>
  </si>
  <si>
    <t>Đồng ống thẳng Taisei 16.00x1.20x3.0</t>
  </si>
  <si>
    <t>DOTTS160013030</t>
  </si>
  <si>
    <t>Đồng ống thẳng Taisei 16.00x1.30x3.0</t>
  </si>
  <si>
    <t>DOTTS20001731</t>
  </si>
  <si>
    <t>Đồng ống thẳng Taisei 20.00x1.7x3.1</t>
  </si>
  <si>
    <t>DOTTS175017030</t>
  </si>
  <si>
    <t>Đồng ống thẳng Taisei 17.50x1.70x3.0</t>
  </si>
  <si>
    <t>DOTTS180014530</t>
  </si>
  <si>
    <t>Đồng ống thẳng Taisei 18.00x1.45x3.0</t>
  </si>
  <si>
    <t>DOTTS180015030</t>
  </si>
  <si>
    <t>Đồng ống thẳng Taisei 18.00x1.50x3.0</t>
  </si>
  <si>
    <t>DOTTS195019530</t>
  </si>
  <si>
    <t>Đồng ống thẳng Taisei 19.50x1.95x3.0</t>
  </si>
  <si>
    <t>DOTTS2000160298</t>
  </si>
  <si>
    <t>Đồng ống thẳng Taisei 20.00x1.60x2.98</t>
  </si>
  <si>
    <t>DOTTS200015530</t>
  </si>
  <si>
    <t>Đồng ống thẳng Taisei 20.00x1.55x3.0</t>
  </si>
  <si>
    <t>DOTTS210015030</t>
  </si>
  <si>
    <t>Đồng ống thẳng taisei 21.00x1.50x3.0</t>
  </si>
  <si>
    <t>DOTTS215016030</t>
  </si>
  <si>
    <t>Đồng ống thẳng Taisei 21.50x1.60x3.0</t>
  </si>
  <si>
    <t>DOTTS220016530</t>
  </si>
  <si>
    <t>Đồng ống thẳng Taisei 22.00x1.65x3.0</t>
  </si>
  <si>
    <t>DOTTS220017030</t>
  </si>
  <si>
    <t>Đồng ống thẳng Taisei 22.00x1.70x3.0</t>
  </si>
  <si>
    <t>DOTTS2200180313</t>
  </si>
  <si>
    <t>Đồng ống thẳng Taisei 22.00x1.80x3.13</t>
  </si>
  <si>
    <t>DOTTS240018030</t>
  </si>
  <si>
    <t>Đồng ống thẳng taisei 24.00x1.80x3.0</t>
  </si>
  <si>
    <t>DOTTS250017030</t>
  </si>
  <si>
    <t>Đồng ống thẳng Taisei 25.00x1.70x3.0</t>
  </si>
  <si>
    <t>DOTTS250017530</t>
  </si>
  <si>
    <t>Đồng ống thẳng Taisei 25.00x1.75x3.0</t>
  </si>
  <si>
    <t>DOTTS250020030</t>
  </si>
  <si>
    <t>Đồng ống thẳng Taisei 25.00x2.00x3.0</t>
  </si>
  <si>
    <t>DOTTS254012029</t>
  </si>
  <si>
    <t>DOTTS265022030</t>
  </si>
  <si>
    <t>Đồng ống thẳng Taisei 26.50x2.2x3.0</t>
  </si>
  <si>
    <t>DOTTS265026030</t>
  </si>
  <si>
    <t>Đồng ống thẳng Taisei 26.50x2.6x3.0</t>
  </si>
  <si>
    <t>DOTTS280021030</t>
  </si>
  <si>
    <t>Đồng ống thẳng taisei 28.00x2.10x3.0</t>
  </si>
  <si>
    <t>DOTTS290022030</t>
  </si>
  <si>
    <t>Đồng ống thẳng Taisei 29.00x2.20x3.0</t>
  </si>
  <si>
    <t>DOTTS290022530</t>
  </si>
  <si>
    <t>Đồng ống thẳng Taisei 29.00x2.25x3.0</t>
  </si>
  <si>
    <t>DOTTS2900230300</t>
  </si>
  <si>
    <t>Đồng ống thẳng Taisei 29.00x2.30x3.0</t>
  </si>
  <si>
    <t>DOTTS2900230305</t>
  </si>
  <si>
    <t>Đồng ống thẳng Taisei 29.00x2.30x3.05</t>
  </si>
  <si>
    <t>DOTTS300028030</t>
  </si>
  <si>
    <t>Đồng ống thẳng Taisei 30.00x2.80x3.0</t>
  </si>
  <si>
    <t>DOTTS330026030</t>
  </si>
  <si>
    <t>Đồng ống thẳng Taisei 33.00x2.60x3.0</t>
  </si>
  <si>
    <t>ĐTSBANH</t>
  </si>
  <si>
    <t>DOLWCTS0500051</t>
  </si>
  <si>
    <t>Đồng ống LWC Taisei 5.00x0.51</t>
  </si>
  <si>
    <t>DOLWCTS0550051</t>
  </si>
  <si>
    <t>Đồng ống LWC Taisei 5.50x0.51</t>
  </si>
  <si>
    <t>DOLWCTS0635055</t>
  </si>
  <si>
    <t>Đồng ống LWC Taisei 06.35x0.55</t>
  </si>
  <si>
    <t>DOLWCTSKI0635051</t>
  </si>
  <si>
    <t>Đồng ống LWC Taisei KI 06.35x0.51</t>
  </si>
  <si>
    <t>DOLWCTS0635061</t>
  </si>
  <si>
    <t>Đồng ống LWC Taisei 06.35x0.61</t>
  </si>
  <si>
    <t>DOLWCTSKI0635061</t>
  </si>
  <si>
    <t>Đồng ống LWC Taisei KI 06.35x0.61</t>
  </si>
  <si>
    <t>DOLWCTS0635065</t>
  </si>
  <si>
    <t>Đồng ống LWC Taisei 06.35x0.65</t>
  </si>
  <si>
    <t>DOLWCTSKI0635055</t>
  </si>
  <si>
    <t>Đồng ống LWC Taisei KI 06.35x0.55</t>
  </si>
  <si>
    <t>DOLWCTSKI0635065</t>
  </si>
  <si>
    <t>Đồng ống LWC Taisei KI 06.35x0.65</t>
  </si>
  <si>
    <t>DOLWCTS0635071</t>
  </si>
  <si>
    <t>Đồng ống LWC Taisei 06.35x0.71</t>
  </si>
  <si>
    <t>DOLWCTSKI0635071</t>
  </si>
  <si>
    <t>Đồng ống LWC Taisei KI 06.35x0.71</t>
  </si>
  <si>
    <t>DOLWCTS0635081</t>
  </si>
  <si>
    <t>Đồng ống LWC Taisei 06.35x0.81</t>
  </si>
  <si>
    <t>DOLWCTSKI0635081</t>
  </si>
  <si>
    <t>Đồng ống LWC Taisei KI 06.35x0.81</t>
  </si>
  <si>
    <t>DOLWCTS0720060</t>
  </si>
  <si>
    <t>Đồng ống LWC Taisei 07.20x0.60</t>
  </si>
  <si>
    <t>DOLWCTS0952061</t>
  </si>
  <si>
    <t>Đồng ống LWC Taisei 09.52x0.61</t>
  </si>
  <si>
    <t>DOLWCTSKI0952061</t>
  </si>
  <si>
    <t>Đồng ống LWC Taisei KI 09.52x0.61</t>
  </si>
  <si>
    <t>DOLWCTS0952055</t>
  </si>
  <si>
    <t>Đồng ống LWC Taisei 09.52x0.55</t>
  </si>
  <si>
    <t>DOLWCTSKI0952055</t>
  </si>
  <si>
    <t>Đồng ống LWC Taisei KI 09.52x0.55</t>
  </si>
  <si>
    <t>DOLWCTS0952065</t>
  </si>
  <si>
    <t>Đồng ống LWC Taisei 09.52x0.65</t>
  </si>
  <si>
    <t>DOLWCTSKI0952065</t>
  </si>
  <si>
    <t>Đồng ống LWC Taisei KI 09.52x0.65</t>
  </si>
  <si>
    <t>DOLWCTS0952071</t>
  </si>
  <si>
    <t>Đồng ống LWC Taisei 09.52x0.71</t>
  </si>
  <si>
    <t>DOLWCTSKI0952071</t>
  </si>
  <si>
    <t>Đồng ống LWC Taisei KI 09.52x0.71</t>
  </si>
  <si>
    <t>DOLWCTS0952081</t>
  </si>
  <si>
    <t>Đồng ống LWC Taisei 09.52x0.81</t>
  </si>
  <si>
    <t>DOLWCTSKI0952081</t>
  </si>
  <si>
    <t>Đồng ống LWC Taisei KI 09.52x0.81</t>
  </si>
  <si>
    <t>DOLWCTS1270061</t>
  </si>
  <si>
    <t>Đồng ống LWC Taisei 12.70x0.61</t>
  </si>
  <si>
    <t>DOLWCTS1270065</t>
  </si>
  <si>
    <t>Đồng ống LWC Taisei 12.70x0.65</t>
  </si>
  <si>
    <t>DOLWCTSKI1270065</t>
  </si>
  <si>
    <t>Đồng ống LWC Taisei KI 12.70x0.65</t>
  </si>
  <si>
    <t>DOLWCTS1270071</t>
  </si>
  <si>
    <t>Đồng ống LWC Taisei 12.70x0.71</t>
  </si>
  <si>
    <t>DOLWCTSKI1270071</t>
  </si>
  <si>
    <t>Đồng ống LWC Taisei KI 12.70x0.71</t>
  </si>
  <si>
    <t>DOLWCTS1270081</t>
  </si>
  <si>
    <t>Đồng ống LWC Taisei 12.70x0.81</t>
  </si>
  <si>
    <t>DOLWCTS1588071</t>
  </si>
  <si>
    <t>Đồng ống LWC Taisei 15.88x0.71</t>
  </si>
  <si>
    <t>DOLWCTSKI1588071</t>
  </si>
  <si>
    <t>Đồng ống LWC Taisei KI 15.88x0.71</t>
  </si>
  <si>
    <t>DOLWCTS1588081</t>
  </si>
  <si>
    <t>Đồng ống LWC Taisei 15.88x0.81</t>
  </si>
  <si>
    <t>DOLWCTSKI1588081</t>
  </si>
  <si>
    <t>Đồng ống LWC Taisei KI 15.88x0.81</t>
  </si>
  <si>
    <t>DOLWCTS1588102</t>
  </si>
  <si>
    <t>Đồng ống LWC Taisei 15.88x1.02</t>
  </si>
  <si>
    <t>DOLWCTS1905081</t>
  </si>
  <si>
    <t>Đồng ống LWC Taisei 19.05x0.81</t>
  </si>
  <si>
    <t>J-Flex</t>
  </si>
  <si>
    <t>ĐJFLEXCUON</t>
  </si>
  <si>
    <t>JC06000GA15M</t>
  </si>
  <si>
    <t>Đồng ống PC J-Flex 06.00x0.61</t>
  </si>
  <si>
    <t>JC0600A0015M</t>
  </si>
  <si>
    <t>Đồng ống PC J-Flex 06.00x1.00</t>
  </si>
  <si>
    <t>JC06350EA15M</t>
  </si>
  <si>
    <t>Đồng ống PC J-Flex 06.35x0.51</t>
  </si>
  <si>
    <t>JC06350GA15M</t>
  </si>
  <si>
    <t>Đồng ống PC J-Flex 06.35x0.61</t>
  </si>
  <si>
    <t>JC06350GE15M</t>
  </si>
  <si>
    <t>Đồng ống PC J-Flex 06.35x0.65</t>
  </si>
  <si>
    <t>JC06350HA15M</t>
  </si>
  <si>
    <t>Đồng ống PC J-Flex 06.35x0.71</t>
  </si>
  <si>
    <t>JC06350IA15M</t>
  </si>
  <si>
    <t>Đồng ống PC J-Flex 06.35x0.81</t>
  </si>
  <si>
    <t>JC07940EE15M</t>
  </si>
  <si>
    <t>Đồng ống PC J-Flex 07.94x0.55</t>
  </si>
  <si>
    <t>JC07940GA15M</t>
  </si>
  <si>
    <t>Đồng ống PC J-Flex 07.94x0.61</t>
  </si>
  <si>
    <t>JC0800A0015M</t>
  </si>
  <si>
    <t>Đồng ống PC J-Flex 08.00x1.00</t>
  </si>
  <si>
    <t>JC0800AE015M</t>
  </si>
  <si>
    <t>Đồng ống PC J-Flex 08.00x1.50</t>
  </si>
  <si>
    <t>JC09520EA15M</t>
  </si>
  <si>
    <t>Đồng ống PC J-Flex 09.52x0.51</t>
  </si>
  <si>
    <t>JC09520GA15M</t>
  </si>
  <si>
    <t>Đồng ống PC J-Flex 09.52x0.61</t>
  </si>
  <si>
    <t>JC09520GE15M</t>
  </si>
  <si>
    <t>Đồng ống PC J-Flex 09.52x0.65</t>
  </si>
  <si>
    <t>JC09520HA15M</t>
  </si>
  <si>
    <t>Đồng ống PC J-Flex 09.52x0.71</t>
  </si>
  <si>
    <t>JC09520IA15M</t>
  </si>
  <si>
    <t>Đồng ống PC J-Flex 09.52x0.81</t>
  </si>
  <si>
    <t>JC1000A0015M</t>
  </si>
  <si>
    <t>Đồng ống PC J-Flex 10.00x1.00</t>
  </si>
  <si>
    <t>JC12700GA15M</t>
  </si>
  <si>
    <t>Đồng ống PC J-Flex 12.7x0.61</t>
  </si>
  <si>
    <t>JC12700GE15M</t>
  </si>
  <si>
    <t>Đồng ống PC J-Flex 12.7x0.65</t>
  </si>
  <si>
    <t>JC12700HA15M</t>
  </si>
  <si>
    <t>Đồng ống PC J-Flex 12.7x0.71</t>
  </si>
  <si>
    <t>JC12700IA15M</t>
  </si>
  <si>
    <t>Đồng ống PC J-Flex 12.7x0.81</t>
  </si>
  <si>
    <t>Đồng ống PC J-Flex 15.88x0.71</t>
  </si>
  <si>
    <t>JC15880HE15M</t>
  </si>
  <si>
    <t>Đồng ống PC J-Flex 15.88x0.75</t>
  </si>
  <si>
    <t>JC15880IA15M</t>
  </si>
  <si>
    <t>Đồng ống PC J-Flex 15.88x0.81</t>
  </si>
  <si>
    <t>JC1588A0015M</t>
  </si>
  <si>
    <t>Đồng ống PC J-Flex 15.88x1.00</t>
  </si>
  <si>
    <t>JC1588A0B15M</t>
  </si>
  <si>
    <t>Đồng ống PC J-Flex 15.88x1.02</t>
  </si>
  <si>
    <t>Đồng ống PC J-Flex 19.05x0.71</t>
  </si>
  <si>
    <t>JC19050IA15M</t>
  </si>
  <si>
    <t>Đồng ống PC J-Flex 19.05x0.81</t>
  </si>
  <si>
    <t>JC1905A0015M</t>
  </si>
  <si>
    <t>Đồng ống PC J-Flex 19.05x1.00</t>
  </si>
  <si>
    <t>JC1905A0B15M</t>
  </si>
  <si>
    <t>Đồng ống PC J-Flex 19.05x1.02</t>
  </si>
  <si>
    <t>ĐJFLEXCAY</t>
  </si>
  <si>
    <t>JT06400E0030</t>
  </si>
  <si>
    <t>Đồng ống thẳng J-Flex 06.40x0.50x3.0</t>
  </si>
  <si>
    <t>JT06500E0030</t>
  </si>
  <si>
    <t>Đồng ống thẳng J-Flex 06.50x0.50x3.0</t>
  </si>
  <si>
    <t>JT06500H0030</t>
  </si>
  <si>
    <t>Đồng ống thẳng J-Flex 06.50x0.70x3.0</t>
  </si>
  <si>
    <t>JT07000G0030</t>
  </si>
  <si>
    <t>Đồng ống thẳng J-Flex 07.00x0.60x3.0</t>
  </si>
  <si>
    <t>JT07500G0030</t>
  </si>
  <si>
    <t>Đồng ống thẳng J-Flex 07.50x0.60x3.0</t>
  </si>
  <si>
    <t>JT07500I0030</t>
  </si>
  <si>
    <t>Đồng ống thẳng J-Flex 07.50x0.80x3.0</t>
  </si>
  <si>
    <t>JT08500GI030</t>
  </si>
  <si>
    <t>Đồng ống thẳng J-Flex 08.50x0.68x3.0</t>
  </si>
  <si>
    <t>JT09000GA030</t>
  </si>
  <si>
    <t>Đồng ống thẳng J-Flex 09.00x0.61x3.0</t>
  </si>
  <si>
    <t>JT09000HA030</t>
  </si>
  <si>
    <t>Đồng ống thẳng J-Flex 09.00x0.71x3.0</t>
  </si>
  <si>
    <t>JT09000I0030</t>
  </si>
  <si>
    <t>Đồng ống thẳng J-Flex 09.00x0.80x3.0</t>
  </si>
  <si>
    <t>JT0900A00030</t>
  </si>
  <si>
    <t>Đồng ống thẳng J-Flex 09.00x1.00x3.0</t>
  </si>
  <si>
    <t>JT09500HI030</t>
  </si>
  <si>
    <t>Đồng ống thẳng J-Flex 09.50x0.78x3.0</t>
  </si>
  <si>
    <t>JT09500IA030</t>
  </si>
  <si>
    <t>Đồng ống thẳng J-Flex 09.50x0.81x3.0</t>
  </si>
  <si>
    <t>JT09600GE030</t>
  </si>
  <si>
    <t>Đồng ống thẳng J-Flex 09.60x0.65x3.0</t>
  </si>
  <si>
    <t>JT10000I002115</t>
  </si>
  <si>
    <t>Đồng ống thẳng J-Flex 10.00x0.80x2.115</t>
  </si>
  <si>
    <t>JT10000I0030</t>
  </si>
  <si>
    <t>Đồng ống thẳng J-Flex 10.00x0.80x3.0</t>
  </si>
  <si>
    <t>JT10000IE030</t>
  </si>
  <si>
    <t>Đồng ống thẳng J-Flex 10.00x0.85x3.0</t>
  </si>
  <si>
    <t>JT1050AA0030</t>
  </si>
  <si>
    <t>Đồng ống thẳng J-Flex 10.50x1.10x3.0</t>
  </si>
  <si>
    <t>JT11500IE030</t>
  </si>
  <si>
    <t>Đồng ống thẳng J-Flex 11.50x0.85x3.0</t>
  </si>
  <si>
    <t>JT11500K0030</t>
  </si>
  <si>
    <t>Đồng ống thẳng J-Flex 11.50x0.90x3.0</t>
  </si>
  <si>
    <t>JT12000II030</t>
  </si>
  <si>
    <t>Đồng ống thẳng J-Flex 12.00x0.88x3.0</t>
  </si>
  <si>
    <t>JT1200A00030</t>
  </si>
  <si>
    <t>Đồng ống thẳng J-Flex 12.00x1.00x3.0</t>
  </si>
  <si>
    <t>JT1250AC0030</t>
  </si>
  <si>
    <t>Đồng ống thẳng J-Flex 12.50x1.30x3.0</t>
  </si>
  <si>
    <t>JT1350A0E030</t>
  </si>
  <si>
    <t>Đồng ống thẳng J-Flex 13.50x1.05x3.0</t>
  </si>
  <si>
    <t>JT1350AA0030</t>
  </si>
  <si>
    <t>Đồng ống thẳng J-Flex 13.50x1.10x3.0</t>
  </si>
  <si>
    <t>JT1400AA0030</t>
  </si>
  <si>
    <t>Đồng ống thẳng J-Flex 14.00x1.10x3.0</t>
  </si>
  <si>
    <t>JT1400AB0030</t>
  </si>
  <si>
    <t>Đồng ống thẳng J-Flex 14.00x1.20x3.0</t>
  </si>
  <si>
    <t>JT1550AB0030</t>
  </si>
  <si>
    <t>Đồng ống thẳng J-Flex 15.50x1.20x3.0</t>
  </si>
  <si>
    <t>JT1550AC0030</t>
  </si>
  <si>
    <t>Đồng ống thẳng J-Flex 15.50x1.30x3.0</t>
  </si>
  <si>
    <t>JT15880EA0396</t>
  </si>
  <si>
    <t>Đồng ống thẳng J-Flex 15.88x0.51x3.960</t>
  </si>
  <si>
    <t>JT15880EA058</t>
  </si>
  <si>
    <t>Đồng ống thẳng J-Flex 15.88x0.51x5.8</t>
  </si>
  <si>
    <t>JT15880GA058</t>
  </si>
  <si>
    <t>Đồng ống thẳng J-Flex 15.88x0.61x5.8</t>
  </si>
  <si>
    <t>JT15880IA058</t>
  </si>
  <si>
    <t>Đồng ống thẳng J-Flex 15.88x0.81x5.8</t>
  </si>
  <si>
    <t>JT1600AC0030</t>
  </si>
  <si>
    <t>Đồng ống thẳng J-Flex 16.00x1.30x3.0</t>
  </si>
  <si>
    <t>JT1700AC0030</t>
  </si>
  <si>
    <t>Đồng ống thẳng J-Flex 17.00x1.30x3.0</t>
  </si>
  <si>
    <t>JT1800AE0030</t>
  </si>
  <si>
    <t>Đồng ống thẳng J-Flex 18.00x1.50x3.0</t>
  </si>
  <si>
    <t>JT1800AG0030</t>
  </si>
  <si>
    <t>Đồng ống thẳng J-Flex 18.00x1.60x3.0</t>
  </si>
  <si>
    <t>JT1900AD0030</t>
  </si>
  <si>
    <t>Đồng ống thẳng J-Flex 19.00x1.40x3.0</t>
  </si>
  <si>
    <t>JT1905A00029</t>
  </si>
  <si>
    <t>Đồng ống thẳng J-Flex 19.05x1.00</t>
  </si>
  <si>
    <t>JT1950AG0030</t>
  </si>
  <si>
    <t>Đồng ống thẳng J-Flex 19.50x1.60x3.0</t>
  </si>
  <si>
    <t>JT2000AG0030</t>
  </si>
  <si>
    <t>Đồng ống thẳng J-Flex 20.00x1.60x3.0</t>
  </si>
  <si>
    <t>JT2000AG0031</t>
  </si>
  <si>
    <t>Đồng ống thẳng J-Flex 20.00x1.60x3.1</t>
  </si>
  <si>
    <t>JT2000B00030</t>
  </si>
  <si>
    <t>Đồng ống thẳng J-Flex 20.00x2.00x3.0</t>
  </si>
  <si>
    <t>JT2100AE0030</t>
  </si>
  <si>
    <t>Đồng ống thẳng J-Flex 21.00x1.50x3.0</t>
  </si>
  <si>
    <t>JT2150AH0030</t>
  </si>
  <si>
    <t>Đồng ống thẳng J-Flex 21.50x1.70x3.0</t>
  </si>
  <si>
    <t>JT2200AH0030</t>
  </si>
  <si>
    <t>Đồng ống thẳng J-Flex 22.00x1.70x3.0</t>
  </si>
  <si>
    <t>JT22220GA029</t>
  </si>
  <si>
    <t>Đồng ống thẳng J-Flex 22.22x0.61</t>
  </si>
  <si>
    <t>JT22220HA029</t>
  </si>
  <si>
    <t>Đồng ống thẳng J-Flex 22.22x0.71</t>
  </si>
  <si>
    <t>JT22220IA029</t>
  </si>
  <si>
    <t>Đồng ống thẳng J-Flex 22.22x0.81</t>
  </si>
  <si>
    <t>JT2222A0B029</t>
  </si>
  <si>
    <t>Đồng ống thẳng J-Flex 22.22x1.02</t>
  </si>
  <si>
    <t>JT2222ABB029</t>
  </si>
  <si>
    <t>Đồng ống thẳng J-Flex 22.22x1.22</t>
  </si>
  <si>
    <t>JT2300BA0030</t>
  </si>
  <si>
    <t>Đồng ống thẳng J-Flex 23.00x2.10x3.0</t>
  </si>
  <si>
    <t>JT2350BE0030</t>
  </si>
  <si>
    <t>Đồng ống thẳng J-Flex 23.50x2.50x3.0</t>
  </si>
  <si>
    <t>JT2400AI0030</t>
  </si>
  <si>
    <t>Đồng ống thẳng J-Flex 24.00x1.80x3.0</t>
  </si>
  <si>
    <t>JT2500AE0031</t>
  </si>
  <si>
    <t>Đồng ống thẳng J-Flex 25.00x1.50x3.1</t>
  </si>
  <si>
    <t>JT2500AI0030</t>
  </si>
  <si>
    <t>Đồng ống thẳng J-Flex 25.00x1.80x3.0</t>
  </si>
  <si>
    <t>JT2500AK0030</t>
  </si>
  <si>
    <t>Đồng ống thẳng J-Flex 25.00x1.90x3.0</t>
  </si>
  <si>
    <t>JT2500B00030</t>
  </si>
  <si>
    <t>Đồng ống thẳng J-Flex 25.00x2.00x3.0</t>
  </si>
  <si>
    <t>JT25400HA029</t>
  </si>
  <si>
    <t>Đồng ống thẳng J-Flex 25.4x0.71</t>
  </si>
  <si>
    <t>JT25400IA029</t>
  </si>
  <si>
    <t>Đồng ống thẳng J-Flex 25.4x0.81</t>
  </si>
  <si>
    <t>JT2540A0B029</t>
  </si>
  <si>
    <t>Đồng ống thẳng J-Flex 25.4x1.02</t>
  </si>
  <si>
    <t>JT2650BHE030</t>
  </si>
  <si>
    <t>Đồng ống thẳng J-Flex 26.50x2.75x3.0</t>
  </si>
  <si>
    <t>JT2700BG0030</t>
  </si>
  <si>
    <t>Đồng ống thẳng J-Flex 27.00x2.60x3.0</t>
  </si>
  <si>
    <t>JT2800B00030</t>
  </si>
  <si>
    <t>Đồng ống thẳng J-Flex 28.00x2.00x3.0</t>
  </si>
  <si>
    <t>JT2800BA0030</t>
  </si>
  <si>
    <t>Đồng ống thẳng J-Flex 28.00x2.10x3.0</t>
  </si>
  <si>
    <t>JT2858ABH029</t>
  </si>
  <si>
    <t>Đồng ống thẳng J-Flex 28.58x1.27</t>
  </si>
  <si>
    <t>JT28580HA029</t>
  </si>
  <si>
    <t>Đồng ống thẳng J-Flex 28.58x0.71</t>
  </si>
  <si>
    <t>JT28580IA029</t>
  </si>
  <si>
    <t>Đồng ống thẳng J-Flex 28.58x0.81</t>
  </si>
  <si>
    <t>JT2858A0B029</t>
  </si>
  <si>
    <t>Đồng ống thẳng J-Flex 28.58x1.02</t>
  </si>
  <si>
    <t>JT2858ABB029</t>
  </si>
  <si>
    <t>Đồng ống thẳng J-Flex 28.58x1.22</t>
  </si>
  <si>
    <t>JT2900BC0030</t>
  </si>
  <si>
    <t>Đồng ống thẳng J-Flex 29.00x2.30x3.0</t>
  </si>
  <si>
    <t>JT2900CA0030</t>
  </si>
  <si>
    <t>Đồng ống thẳng J-Flex 29.00x3.10x3.0</t>
  </si>
  <si>
    <t>JT3000B00030</t>
  </si>
  <si>
    <t>Đồng ống thẳng J-Flex 30.00x2.00x3.0</t>
  </si>
  <si>
    <t>JT3000BI0030</t>
  </si>
  <si>
    <t>Đồng ống thẳng J-Flex 30.00x2.80x3.0</t>
  </si>
  <si>
    <t>JT3050BD0030</t>
  </si>
  <si>
    <t>Đồng ống thẳng J-Flex 30.50x2.40x3.0</t>
  </si>
  <si>
    <t>JT31750HA029</t>
  </si>
  <si>
    <t>Đồng ống thẳng J-Flex 31.75x0.71</t>
  </si>
  <si>
    <t>JT31750IA029</t>
  </si>
  <si>
    <t>Đồng ống thẳng J-Flex 31.75x0.81</t>
  </si>
  <si>
    <t>JT3175A0B029</t>
  </si>
  <si>
    <t>Đồng ống thẳng J-Flex 31.75x1.02</t>
  </si>
  <si>
    <t>JT3175ABB029</t>
  </si>
  <si>
    <t>Đồng ống thẳng J-Flex 31.75x1.22</t>
  </si>
  <si>
    <t>JT3300BG0030</t>
  </si>
  <si>
    <t>Đồng ống thẳng J-Flex 33.00x2.60x3.0</t>
  </si>
  <si>
    <t>JT3400CB0030</t>
  </si>
  <si>
    <t>Đồng ống thẳng J-Flex 34.00x3.20x3.0</t>
  </si>
  <si>
    <t>JT34930IA029</t>
  </si>
  <si>
    <t>Đồng ống thẳng J-Flex 34.93x0.81</t>
  </si>
  <si>
    <t>JT3493A0B029</t>
  </si>
  <si>
    <t>Đồng ống thẳng J-Flex 34.93x1.02</t>
  </si>
  <si>
    <t>JT3493ABB029</t>
  </si>
  <si>
    <t>Đồng ống thẳng J-Flex 34.93x1.22</t>
  </si>
  <si>
    <t>JT3493ADC029</t>
  </si>
  <si>
    <t>Đồng ống thẳng J-Flex 34.93x1.43</t>
  </si>
  <si>
    <t>JT3810A0B029</t>
  </si>
  <si>
    <t>Đồng ống thẳng J-Flex 38.10x1.02</t>
  </si>
  <si>
    <t>JT4128A0B029</t>
  </si>
  <si>
    <t>Đồng ống thẳng J-Flex 41.28x1.02</t>
  </si>
  <si>
    <t>JT4128ABB029</t>
  </si>
  <si>
    <t>Đồng ống thẳng J-Flex 41.28x1.22</t>
  </si>
  <si>
    <t>JT4128ADC029</t>
  </si>
  <si>
    <t>Đồng ống thẳng J-Flex 41.28x1.43</t>
  </si>
  <si>
    <t>ĐJFLEXBANH</t>
  </si>
  <si>
    <t>JW01940GALWC</t>
  </si>
  <si>
    <t>Đồng ống LWC J-Flex 01.94x0.61</t>
  </si>
  <si>
    <t>JW04760EALWC</t>
  </si>
  <si>
    <t>Đồng ống LWC J-Flex 04.76x0.51</t>
  </si>
  <si>
    <t>JW05000E0LWC</t>
  </si>
  <si>
    <t>Đồng ống LWC J-Flex 05.00x0.50</t>
  </si>
  <si>
    <t>JW05000EALWC</t>
  </si>
  <si>
    <t>Đồng ống LWC J-Flex 05.00x0.51</t>
  </si>
  <si>
    <t>JW06350EALWC</t>
  </si>
  <si>
    <t>Đồng ống LWC J-Flex 06.35x0.51</t>
  </si>
  <si>
    <t>JW06350EELWC</t>
  </si>
  <si>
    <t>Đồng ống LWC J-Flex 06.35x0.55</t>
  </si>
  <si>
    <t>JW06350GALWC</t>
  </si>
  <si>
    <t>Đồng ống LWC J-Flex 06.35x0.61</t>
  </si>
  <si>
    <t>JW06350GELWC</t>
  </si>
  <si>
    <t>Đồng ống LWC J-Flex 06.35x0.65</t>
  </si>
  <si>
    <t>JW06350GELWCKI</t>
  </si>
  <si>
    <t>Đồng ống LWC J-Flex không in 06.35x0.65</t>
  </si>
  <si>
    <t>JW06350HALWC</t>
  </si>
  <si>
    <t>Đồng ống LWC J-Flex 06.35x0.71</t>
  </si>
  <si>
    <t>JW06350HELWC</t>
  </si>
  <si>
    <t>Đồng ống LWC J-Flex 06.35x0.75</t>
  </si>
  <si>
    <t>JW06350IALWC</t>
  </si>
  <si>
    <t>Đồng ống LWC J-Flex 06.35x0.81</t>
  </si>
  <si>
    <t>JW06500EELWC</t>
  </si>
  <si>
    <t>Đồng ống LWC J-Flex 06.50x0.55</t>
  </si>
  <si>
    <t>JW07940EALWC</t>
  </si>
  <si>
    <t>Đồng ống LWC J-Flex 07.94x0.51</t>
  </si>
  <si>
    <t>JW07940EELWC</t>
  </si>
  <si>
    <t>Đồng ống LWC J-Flex 07.94x0.55</t>
  </si>
  <si>
    <t>JW07940GALWC</t>
  </si>
  <si>
    <t>Đồng ống LWC J-Flex 07.94x0.61</t>
  </si>
  <si>
    <t>JW07940GELWC</t>
  </si>
  <si>
    <t>Đồng ống LWC J-Flex 07.94x0.65</t>
  </si>
  <si>
    <t>JW07940HALWC</t>
  </si>
  <si>
    <t>Đồng ống LWC J-Flex 07.94x0.71</t>
  </si>
  <si>
    <t>JW07940HELWC</t>
  </si>
  <si>
    <t>Đồng ống LWC J-Flex 07.94x0.75</t>
  </si>
  <si>
    <t>JW07940IALWC</t>
  </si>
  <si>
    <t>Đồng ống LWC J-Flex 07.94x0.81</t>
  </si>
  <si>
    <t>JW09520EALWC</t>
  </si>
  <si>
    <t>Đồng ống LWC J-Flex 09.52x0.51</t>
  </si>
  <si>
    <t>JW09520EELWC</t>
  </si>
  <si>
    <t>Đồng ống LWC J-Flex 09.52x0.55</t>
  </si>
  <si>
    <t>JW09520GALWC</t>
  </si>
  <si>
    <t>Đồng ống LWC J-Flex 09.52x0.61</t>
  </si>
  <si>
    <t>JW09520GALWCKI</t>
  </si>
  <si>
    <t>Đồng ống LWC J-Flex không in 09.52x0.61</t>
  </si>
  <si>
    <t>JW09520GELWC</t>
  </si>
  <si>
    <t>Đồng ống LWC J-Flex 09.52x0.65</t>
  </si>
  <si>
    <t>JW09520GELWCKI</t>
  </si>
  <si>
    <t>Đồng ống LWC J-Flex không in 09.52x0.65</t>
  </si>
  <si>
    <t>JW09520HALWC</t>
  </si>
  <si>
    <t>Đồng ống LWC J-Flex 09.52x0.71</t>
  </si>
  <si>
    <t>JW09520HALWCKI</t>
  </si>
  <si>
    <t>Đồng ống LWC J-Flex không in 09.52x0.71</t>
  </si>
  <si>
    <t>JW09520HELWC</t>
  </si>
  <si>
    <t>Đồng ống LWC J-Flex 09.52x0.75</t>
  </si>
  <si>
    <t>JW09520IALWC</t>
  </si>
  <si>
    <t>Đồng ống LWC J-Flex 09.52x0.81</t>
  </si>
  <si>
    <t>JW12700EALWC</t>
  </si>
  <si>
    <t>Đồng ống LWC J-Flex 12.7x0.51</t>
  </si>
  <si>
    <t>JW12700EELWC</t>
  </si>
  <si>
    <t>Đồng ống LWC J-Flex 12.7x0.55</t>
  </si>
  <si>
    <t>JW12700GALWC</t>
  </si>
  <si>
    <t>Đồng ống LWC J-Flex 12.7x0.61</t>
  </si>
  <si>
    <t>JW12700GELWC</t>
  </si>
  <si>
    <t>Đồng ống LWC J-Flex 12.7x0.65</t>
  </si>
  <si>
    <t>JW12700HALWC</t>
  </si>
  <si>
    <t>Đồng ống LWC J-Flex 12.7x0.71</t>
  </si>
  <si>
    <t>JW12700HALWCKI</t>
  </si>
  <si>
    <t>Đồng ống LWC J-Flex không in 12.7x0.71</t>
  </si>
  <si>
    <t>JW12700HELWC</t>
  </si>
  <si>
    <t>Đồng ống LWC J-Flex 12.7x0.75</t>
  </si>
  <si>
    <t>JW12700IALWC</t>
  </si>
  <si>
    <t>Đồng ống LWC J-Flex 12.7x0.81</t>
  </si>
  <si>
    <t>JW12700IALWCKI</t>
  </si>
  <si>
    <t>Đồng ống LWC J-Flex không in 12.7x0.81</t>
  </si>
  <si>
    <t>JW15880EALWC</t>
  </si>
  <si>
    <t>Đồng ống LWC J-Flex 15.88x0.51</t>
  </si>
  <si>
    <t>JW15880EELWC</t>
  </si>
  <si>
    <t>Đồng ống LWC J-Flex 15.88x0.55</t>
  </si>
  <si>
    <t>JW15880GALWC</t>
  </si>
  <si>
    <t>Đồng ống LWC J-Flex 15.88x0.61</t>
  </si>
  <si>
    <t>JW15880GELWC</t>
  </si>
  <si>
    <t>Đồng ống LWC J-Flex 15.88x0.65</t>
  </si>
  <si>
    <t>JW15880HALWC</t>
  </si>
  <si>
    <t>Đồng ống LWC J-Flex 15.88x0.71</t>
  </si>
  <si>
    <t>JW15880HELWC</t>
  </si>
  <si>
    <t>Đồng ống LWC J-Flex 15.88x0.75</t>
  </si>
  <si>
    <t>JW15880IALWC</t>
  </si>
  <si>
    <t>Đồng ống LWC J-Flex 15.88x0.81</t>
  </si>
  <si>
    <t>JW15880IALWCKI</t>
  </si>
  <si>
    <t>Đồng ống LWC J-Flex không in 15.88x0.81</t>
  </si>
  <si>
    <t>JW1588A0BLWC</t>
  </si>
  <si>
    <t>Đồng ống LWC J-Flex 15.88x1.02</t>
  </si>
  <si>
    <t>JW19050HALWC</t>
  </si>
  <si>
    <t>Đồng ống LWC J-Flex 19.05x0.71</t>
  </si>
  <si>
    <t>JW19050HELWC</t>
  </si>
  <si>
    <t>Đồng ống LWC J-Flex 19.05x0.75</t>
  </si>
  <si>
    <t>JW19050IALWC</t>
  </si>
  <si>
    <t>Đồng ống LWC J-Flex 19.05x0.81</t>
  </si>
  <si>
    <t>JW1905A0BLWC</t>
  </si>
  <si>
    <t>Đồng ống LWC J-Flex 19.05x1.02</t>
  </si>
  <si>
    <t>Ống đồng Toàn Phát luồn xốp Taisei</t>
  </si>
  <si>
    <t>DONGKHAC</t>
  </si>
  <si>
    <t>Ống đồng luồn bảo ôn Taisei (6+10)x0.61</t>
  </si>
  <si>
    <t>Ống đồng luồn bảo ôn Taisei (6+12)x0.61</t>
  </si>
  <si>
    <t>Ống đồng luồn bảo ôn Taisei (6+10)x0.71</t>
  </si>
  <si>
    <t>Ống đồng luồn bảo ôn Taisei (6+12)x0.71</t>
  </si>
  <si>
    <t>Ống đồng luồn bảo ôn Taisei (6+16)x0.71</t>
  </si>
  <si>
    <t>Ống đồng luồn bảo ôn Taisei (10+16)x0.71</t>
  </si>
  <si>
    <t>Ống đồng luồn bảo ôn Taisei (6+10)x0.81</t>
  </si>
  <si>
    <t>Ống đồng luồn bảo ôn Taisei (6+12)x0.81</t>
  </si>
  <si>
    <t>Ống đồng luồn bảo ôn Taisei (6+16)x0.81</t>
  </si>
  <si>
    <t>Ống đồng luồn bảo ôn Taisei (10+16)x0.81</t>
  </si>
  <si>
    <t>Ống đồng Hailiang luồn xốp Taisei</t>
  </si>
  <si>
    <t>Ống đồng Hailiang luồn bảo ôn Taisei (6+10)x0.61</t>
  </si>
  <si>
    <t>Ống đồng Hailiang luồn bảo ôn Taisei (6+12)x0.61</t>
  </si>
  <si>
    <t>Ống đồng Hailiang luồn bảo ôn Taisei (6+10)x0.71</t>
  </si>
  <si>
    <t>Ống đồng Hailiang luồn bảo ôn Taisei (6+12)x0.71</t>
  </si>
  <si>
    <t>Ống đồng Hailiang luồn bảo ôn Taisei (6+16)x0.71</t>
  </si>
  <si>
    <t>Ống đồng Hailiang luồn bảo ôn Taisei (10+16)x0.71</t>
  </si>
  <si>
    <t>Ống đồng Hailiang luồn bảo ôn Taisei (6+10)x0.81</t>
  </si>
  <si>
    <t>Ống đồng Hailiang luồn bảo ôn Taisei (6+12)x0.81</t>
  </si>
  <si>
    <t>Ống đồng Hailiang luồn bảo ôn Taisei (6+16)x0.81</t>
  </si>
  <si>
    <t>Ống đồng Hailiang luồn bảo ôn Taisei (10+16)x0.81</t>
  </si>
  <si>
    <t>2. NHÓM BẢO ÔN</t>
  </si>
  <si>
    <t>Superlon Malaysia</t>
  </si>
  <si>
    <t>SUP-OTD</t>
  </si>
  <si>
    <t>XBOS006X6</t>
  </si>
  <si>
    <t>Ống cao su lưu hóa Superlon 06X6 (250S/T)</t>
  </si>
  <si>
    <t>XBOS010X6</t>
  </si>
  <si>
    <t>Ống cao su lưu hóa Superlon 10X6 (200S/T)</t>
  </si>
  <si>
    <t>XBOS012X6</t>
  </si>
  <si>
    <t>Ống cao su lưu hóa Superlon 13X6 (150S/T)</t>
  </si>
  <si>
    <t>XBOS016X6</t>
  </si>
  <si>
    <t>Ống cao su lưu hóa Superlon 16X6 (120S/T)</t>
  </si>
  <si>
    <t>XBOS019X6</t>
  </si>
  <si>
    <t>Ống cao su lưu hóa Superlon 19X6 (100S/T)</t>
  </si>
  <si>
    <t>XBOS022X6</t>
  </si>
  <si>
    <t>Ống cao su lưu hóa Superlon 22X6 (90S/T)</t>
  </si>
  <si>
    <t>XBOS025X6</t>
  </si>
  <si>
    <t>Ống cao su lưu hóa Superlon 25X6 (80S/T)</t>
  </si>
  <si>
    <t>XBOS028X6</t>
  </si>
  <si>
    <t>Ống cao su lưu hóa Superlon 28X6 (72S/T)</t>
  </si>
  <si>
    <t>XBOS032X6</t>
  </si>
  <si>
    <t>Ống cao su lưu hóa Superlon 32X6 (56S/T)</t>
  </si>
  <si>
    <t>XBOS035X6</t>
  </si>
  <si>
    <t>Ống cao su lưu hóa Superlon 35X6 (48S/T)</t>
  </si>
  <si>
    <t>XBOS038X6</t>
  </si>
  <si>
    <t>Ống cao su lưu hóa Superlon 38X6 (42S/T)</t>
  </si>
  <si>
    <t>XBOS006X10.195</t>
  </si>
  <si>
    <t>Ống cao su lưu hóa Superlon 006X10(195S/T)</t>
  </si>
  <si>
    <t>XBOS006X10</t>
  </si>
  <si>
    <t>Ống cao su lưu hóa Superlon 6X10 (156S/T)</t>
  </si>
  <si>
    <t>XBOS010X10.140</t>
  </si>
  <si>
    <t>Ống cao su lưu hóa Superlon 010X10(140S/T)</t>
  </si>
  <si>
    <t>XBOS010X10</t>
  </si>
  <si>
    <t>Ống cao su lưu hóa Superlon 10X10 (120S/T)</t>
  </si>
  <si>
    <t>SUP-OIB</t>
  </si>
  <si>
    <t>XBOS013X10.120</t>
  </si>
  <si>
    <t>Ống cao su lưu hóa Superlon 013X10.(120S/T)</t>
  </si>
  <si>
    <t>XBOS013X10.105</t>
  </si>
  <si>
    <t>Ống cao su lưu hóa Superlon 13X10 (105S/T)</t>
  </si>
  <si>
    <t>SUP-ODI</t>
  </si>
  <si>
    <t>XBOS013X10</t>
  </si>
  <si>
    <t>Ống cao su lưu hóa Superlon 13X10 (100S/T)</t>
  </si>
  <si>
    <t>XBOS016X10.100</t>
  </si>
  <si>
    <t>Ống cao su lưu hóa Superlon 016X10(100S/T)</t>
  </si>
  <si>
    <t>XBOS016X10</t>
  </si>
  <si>
    <t>Ống cao su lưu hóa Superlon 16X10 (90S/T)</t>
  </si>
  <si>
    <t>XBOS019X10.080</t>
  </si>
  <si>
    <t>Ống cao su lưu hóa Superlon 019X10(80S/T)</t>
  </si>
  <si>
    <t>XBOS019X10</t>
  </si>
  <si>
    <t>Ống cao su lưu hóa Superlon 19X10 (72S/T)</t>
  </si>
  <si>
    <t>XBOS022X10.072</t>
  </si>
  <si>
    <t>Ống cao su lưu hóa Superlon 022X10.(72S/T)</t>
  </si>
  <si>
    <t>XBOS022X10.067</t>
  </si>
  <si>
    <t>Ống cao su lưu hóa Superlon 22X10 (67S/T)</t>
  </si>
  <si>
    <t>XBOS022X10</t>
  </si>
  <si>
    <t>Ống cao su lưu hóa Superlon 22X10 (64S/T)</t>
  </si>
  <si>
    <t>XBOS025X10.063</t>
  </si>
  <si>
    <t>Ống cao su lưu hóa Superlon 025X10(63S/T)</t>
  </si>
  <si>
    <t>XBOS025X10</t>
  </si>
  <si>
    <t>Ống cao su lưu hóa Superlon 25X10 (56S/T)</t>
  </si>
  <si>
    <t>XBOS028X10</t>
  </si>
  <si>
    <t>Ống cao su lưu hóa Superlon 28X10 (49S/T)</t>
  </si>
  <si>
    <t>XBOS032X10</t>
  </si>
  <si>
    <t>Ống cao su lưu hóa Superlon 32X10 (42S/T)</t>
  </si>
  <si>
    <t>XBOS035X10</t>
  </si>
  <si>
    <t>Ống cao su lưu hóa Superlon 35X10 (36S/T)</t>
  </si>
  <si>
    <t>XBOS038X10</t>
  </si>
  <si>
    <t>Ống cao su lưu hóa Superlon 38X10 (34S/T)</t>
  </si>
  <si>
    <t>XBOS042X10</t>
  </si>
  <si>
    <t>Ống cao su lưu hóa Superlon 42X10 (30S/T)</t>
  </si>
  <si>
    <t>XBOS048X10</t>
  </si>
  <si>
    <t>Ống cao su lưu hóa Superlon 48X10 (28S/T)</t>
  </si>
  <si>
    <t>XBOS051X10</t>
  </si>
  <si>
    <t>Ống cao su lưu hóa Superlon 51X10 (24S/T)</t>
  </si>
  <si>
    <t>XBOS054X10.022</t>
  </si>
  <si>
    <t>Ống cao su lưu hóa Superlon 54X10 (22S/T)</t>
  </si>
  <si>
    <t>XBOS054X10</t>
  </si>
  <si>
    <t>Ống cao su lưu hóa Superlon 54X10 (21S/T)</t>
  </si>
  <si>
    <t>XBOS057X10</t>
  </si>
  <si>
    <t>Ống cao su lưu hóa Superlon 57X10 (21S/T)</t>
  </si>
  <si>
    <t>XBOS060X10</t>
  </si>
  <si>
    <t>Ống cao su lưu hóa Superlon 60X10 (20S/T)</t>
  </si>
  <si>
    <t>XBOS064X10</t>
  </si>
  <si>
    <t>Ống cao su lưu hóa Superlon 64X10 (20S/T)</t>
  </si>
  <si>
    <t>XBOS067X10</t>
  </si>
  <si>
    <t>Ống cao su lưu hóa Superlon 67X10 (18S/T)</t>
  </si>
  <si>
    <t>XBOS073X10</t>
  </si>
  <si>
    <t>Ống cao su lưu hóa Superlon 73X10 (18S/T)</t>
  </si>
  <si>
    <t>XBOS076X10</t>
  </si>
  <si>
    <t>Ống cao su lưu hóa Superlon 76X10 (18S/T)</t>
  </si>
  <si>
    <t>XBOS079X10</t>
  </si>
  <si>
    <t>Ống cao su lưu hóa Superlon 79X10 (16S/T)</t>
  </si>
  <si>
    <t>XBOS089X10</t>
  </si>
  <si>
    <t>Ống cao su lưu hóa Superlon 89X10 (16S/T)</t>
  </si>
  <si>
    <t>XBOS102X10</t>
  </si>
  <si>
    <t>Ống cao su lưu hóa Superlon 102X10 (14S/T)</t>
  </si>
  <si>
    <t>XBOS105X10</t>
  </si>
  <si>
    <t>Ống cao su lưu hóa Superlon 105X10 (14S/T)</t>
  </si>
  <si>
    <t>XBOS108X10</t>
  </si>
  <si>
    <t>Ống cao su lưu hóa Superlon 108X10 (14S/T)</t>
  </si>
  <si>
    <t>XBOS114X10</t>
  </si>
  <si>
    <t>Ống cao su lưu hóa Superlon 114X10 (14S/T)</t>
  </si>
  <si>
    <t>XBOS127X10</t>
  </si>
  <si>
    <t>Ống cao su lưu hóa Superlon 127X10 (10S/T)</t>
  </si>
  <si>
    <t>XBOS127X10.012</t>
  </si>
  <si>
    <t>Ống cao su lưu hóa Superlon 127X10 (12S/T)</t>
  </si>
  <si>
    <t>XBOS130X10</t>
  </si>
  <si>
    <t>Ống cao su lưu hóa Superlon 130X10 (10S/T)</t>
  </si>
  <si>
    <t>XBOS133X10</t>
  </si>
  <si>
    <t>Ống cao su lưu hóa Superlon 133X10 (10S/T)</t>
  </si>
  <si>
    <t>XBOS140X10</t>
  </si>
  <si>
    <t>Ống cao su lưu hóa Superlon 140X10 (10S/T)</t>
  </si>
  <si>
    <t>XBOS152X10</t>
  </si>
  <si>
    <t>Ống cao su lưu hóa Superlon 152X10 (10S/T)</t>
  </si>
  <si>
    <t>XBOS159X10</t>
  </si>
  <si>
    <t>Ống cao su lưu hóa Superlon 159X10(9S/T)</t>
  </si>
  <si>
    <t>XBOS165X10</t>
  </si>
  <si>
    <t>Ống cao su lưu hóa Superlon 165X10(9S/T)</t>
  </si>
  <si>
    <t>XBOS006X13.120</t>
  </si>
  <si>
    <t>Ống cao su lưu hóa Superlon 006X13(120S/T)</t>
  </si>
  <si>
    <t>XBOS006X13</t>
  </si>
  <si>
    <t>Ống cao su lưu hóa Superlon 6X13 (110S/T)</t>
  </si>
  <si>
    <t>XBOS010X13.100</t>
  </si>
  <si>
    <t>Ống cao su lưu hóa Superlon 010X13(100S/T)</t>
  </si>
  <si>
    <t>XBOS010X13</t>
  </si>
  <si>
    <t>Ống cao su lưu hóa Superlon 10X13 (90S/T)</t>
  </si>
  <si>
    <t>XBOS013X13.080</t>
  </si>
  <si>
    <t>Ống cao su lưu hóa Superlon 013X13(80S/T)</t>
  </si>
  <si>
    <t>XBOS013X13</t>
  </si>
  <si>
    <t>Ống cao su lưu hóa Superlon 13X13 (72S/T)</t>
  </si>
  <si>
    <t>XBOS016X13.070</t>
  </si>
  <si>
    <t>Ống cao su lưu hóa Superlon 016X13(70S/T)</t>
  </si>
  <si>
    <t>XBOS016X13</t>
  </si>
  <si>
    <t>Ống cao su lưu hóa Superlon 16X13 (63S/T)</t>
  </si>
  <si>
    <t>XBOS019X13.064</t>
  </si>
  <si>
    <t>Ống cao su lưu hóa Superlon 019X13(64S/T)</t>
  </si>
  <si>
    <t>XBOS019X13</t>
  </si>
  <si>
    <t>Ống cao su lưu hóa Superlon 19X13 (56S/T)</t>
  </si>
  <si>
    <t>XBOS022X13.056</t>
  </si>
  <si>
    <t>Ống cao su lưu hóa Superlon 022X13(56S/T)</t>
  </si>
  <si>
    <t>XBOS022X13</t>
  </si>
  <si>
    <t>Ống cao su lưu hóa Superlon 22X13 (48S/T)</t>
  </si>
  <si>
    <t>XBOS025X13</t>
  </si>
  <si>
    <t>Ống cao su lưu hóa Superlon 25X13 (42S/T)</t>
  </si>
  <si>
    <t>XBOS028X13</t>
  </si>
  <si>
    <t>Ống cao su lưu hóa Superlon 28X13 (36S/T)</t>
  </si>
  <si>
    <t>XBOS032X13</t>
  </si>
  <si>
    <t>Ống cao su lưu hóa Superlon 32X13 (30S/T)</t>
  </si>
  <si>
    <t>XBOS035X13</t>
  </si>
  <si>
    <t>Ống cao su lưu hóa Superlon 35X13 (30S/T)</t>
  </si>
  <si>
    <t>XBOS038X13.026</t>
  </si>
  <si>
    <t>Ống cao su lưu hóa Superlon 38X13 (26S/T)</t>
  </si>
  <si>
    <t>XBOS038X13</t>
  </si>
  <si>
    <t>Ống cao su lưu hóa Superlon 38X13 (25S/T)</t>
  </si>
  <si>
    <t>XBOS042X13</t>
  </si>
  <si>
    <t>Ống cao su lưu hóa Superlon 42X13 (25S/T)</t>
  </si>
  <si>
    <t>XBOS048X13</t>
  </si>
  <si>
    <t>Ống cao su lưu hóa Superlon 48X13 (20S/T)</t>
  </si>
  <si>
    <t>XBOS051X13</t>
  </si>
  <si>
    <t>Ống cao su lưu hóa Superlon 51X13 (20S/T)</t>
  </si>
  <si>
    <t>XBOS054X13</t>
  </si>
  <si>
    <t>Ống cao su lưu hóa Superlon 54X13 (20S/T)</t>
  </si>
  <si>
    <t>XBOS057X13</t>
  </si>
  <si>
    <t>Ống cao su lưu hóa Superlon 57X13 (20S/T)</t>
  </si>
  <si>
    <t>XBOS060X13</t>
  </si>
  <si>
    <t>Ống cao su lưu hóa Superlon 60X13 (18S/T)</t>
  </si>
  <si>
    <t>XBOS064X13</t>
  </si>
  <si>
    <t>Ống cao su lưu hóa Superlon 64X13 (15S/T)</t>
  </si>
  <si>
    <t>XBOS067X13</t>
  </si>
  <si>
    <t>Ống cao su lưu hóa Superlon 67X13 (15S/T)</t>
  </si>
  <si>
    <t>XBOS073X13.014</t>
  </si>
  <si>
    <t>Ống cao su lưu hóa Superlon 73X13 (14S/T)</t>
  </si>
  <si>
    <t>XBOS073X13</t>
  </si>
  <si>
    <t>Ống cao su lưu hóa Superlon 73X13 (13S/T)</t>
  </si>
  <si>
    <t>XBOS076X13.014</t>
  </si>
  <si>
    <t>Ống cao su lưu hóa Superlon 76X13 (14S/T)</t>
  </si>
  <si>
    <t>XBOS076X13</t>
  </si>
  <si>
    <t>Ống cao su lưu hóa Superlon 76X13 (12S/T)</t>
  </si>
  <si>
    <t>XBOS079X13</t>
  </si>
  <si>
    <t>Ống cao su lưu hóa Superlon 79X13 (12S/T)</t>
  </si>
  <si>
    <t>XBOS089X13</t>
  </si>
  <si>
    <t>Ống cao su lưu hóa Superlon 89X13 (12S/T)</t>
  </si>
  <si>
    <t>XBOS102X13</t>
  </si>
  <si>
    <t>Ống cao su lưu hóa Superlon 102X13 (12S/T)</t>
  </si>
  <si>
    <t>XBOS105X13</t>
  </si>
  <si>
    <t>Ống cao su lưu hóa Superlon 105X13 (12S/T)</t>
  </si>
  <si>
    <t>XBOS108X13</t>
  </si>
  <si>
    <t>Ống cao su lưu hóa Superlon 108X13 (12S/T)</t>
  </si>
  <si>
    <t>XBOS114X13</t>
  </si>
  <si>
    <t>Ống cao su lưu hóa Superlon 114X13 (12S/T)</t>
  </si>
  <si>
    <t>XBOS127X13</t>
  </si>
  <si>
    <t>Ống cao su lưu hóa Superlon 127X13 (9S/T)</t>
  </si>
  <si>
    <t>XBOS130X13</t>
  </si>
  <si>
    <t>Ống cao su lưu hóa Superlon 130X13 (9S/T)</t>
  </si>
  <si>
    <t>XBOS133X13</t>
  </si>
  <si>
    <t>Ống cao su lưu hóa Superlon 133X13 (9S/T)</t>
  </si>
  <si>
    <t>XBOS140X13</t>
  </si>
  <si>
    <t>Ống cao su lưu hóa Superlon 140X13 (9S/T)</t>
  </si>
  <si>
    <t>XBOS152X13</t>
  </si>
  <si>
    <t>Ống cao su lưu hóa Superlon 152X13 (9S/T)</t>
  </si>
  <si>
    <t>XBOS159X13</t>
  </si>
  <si>
    <t>Ống cao su lưu hóa Superlon 159X13(9S/T)</t>
  </si>
  <si>
    <t>XBOS165X13</t>
  </si>
  <si>
    <t>Ống cao su lưu hóa Superlon 165X13(9S/T)</t>
  </si>
  <si>
    <t>XBOS006X19</t>
  </si>
  <si>
    <t>Ống cao su lưu hóa Superlon 6X19 (49S/T)</t>
  </si>
  <si>
    <t>XBOS010X19</t>
  </si>
  <si>
    <t>Ống cao su lưu hóa Superlon 10X19 (42S/T)</t>
  </si>
  <si>
    <t>XBOS013X19</t>
  </si>
  <si>
    <t>Ống cao su lưu hóa Superlon 13X19 (36S/T)</t>
  </si>
  <si>
    <t>XBOS016X19</t>
  </si>
  <si>
    <t>Ống cao su lưu hóa Superlon 16X19 (36S/T)</t>
  </si>
  <si>
    <t>XBOS019X19</t>
  </si>
  <si>
    <t>Ống cao su lưu hóa Superlon 19X19 (30S/T)</t>
  </si>
  <si>
    <t>XBOS022X19.027</t>
  </si>
  <si>
    <t>Ống cao su lưu hóa Superlon 22X19 (27S/T)</t>
  </si>
  <si>
    <t>XBOS022X19</t>
  </si>
  <si>
    <t>Ống cao su lưu hóa Superlon 22X19 (25S/T)</t>
  </si>
  <si>
    <t>XBOS025X19.024</t>
  </si>
  <si>
    <t>Ống cao su lưu hóa Superlon 25X19 (24S/T)</t>
  </si>
  <si>
    <t>XBOS025X19</t>
  </si>
  <si>
    <t>Ống cao su lưu hóa Superlon 25X19 (20S/T)</t>
  </si>
  <si>
    <t>XBOS028X19.024</t>
  </si>
  <si>
    <t>Ống cao su lưu hóa Superlon 28X19 (24S/T)</t>
  </si>
  <si>
    <t>XBOS028X19</t>
  </si>
  <si>
    <t>Ống cao su lưu hóa Superlon 28X19 (20S/T)</t>
  </si>
  <si>
    <t>XBOS032X19</t>
  </si>
  <si>
    <t>Ống cao su lưu hóa Superlon 32X19 (20S/T)</t>
  </si>
  <si>
    <t>XBOS035X19</t>
  </si>
  <si>
    <t>Ống cao su lưu hóa Superlon 35X19 (16S/T)</t>
  </si>
  <si>
    <t>XBOS038X19</t>
  </si>
  <si>
    <t>Ống cao su lưu hóa Superlon 38X19 (16S/T)</t>
  </si>
  <si>
    <t>XBOS042X19</t>
  </si>
  <si>
    <t>Ống cao su lưu hóa Superlon 42X19 (16S/T)</t>
  </si>
  <si>
    <t>XBOS048X19</t>
  </si>
  <si>
    <t>Ống cao su lưu hóa Superlon 48X19 (15S/T)</t>
  </si>
  <si>
    <t>XBOS051X19</t>
  </si>
  <si>
    <t>Ống cao su lưu hóa Superlon 51X19 (12S/T)</t>
  </si>
  <si>
    <t>XBOS054X19</t>
  </si>
  <si>
    <t>Ống cao su lưu hóa Superlon 54X19 (12S/T)</t>
  </si>
  <si>
    <t>XBOS057X19</t>
  </si>
  <si>
    <t>Ống cao su lưu hóa Superlon 57X19 (12S/T)</t>
  </si>
  <si>
    <t>XBOS060X19</t>
  </si>
  <si>
    <t>Ống cao su lưu hóa Superlon 60X19 (12S/T)</t>
  </si>
  <si>
    <t>XBOS064X19</t>
  </si>
  <si>
    <t>Ống cao su lưu hóa Superlon 64X19 (9S/T)</t>
  </si>
  <si>
    <t>XBOS067X19</t>
  </si>
  <si>
    <t>Ống cao su lưu hóa Superlon 67X19 (9S/T)</t>
  </si>
  <si>
    <t>XBOS073X19</t>
  </si>
  <si>
    <t>Ống cao su lưu hóa Superlon 73X19 (9S/T)</t>
  </si>
  <si>
    <t>XBOS076X19</t>
  </si>
  <si>
    <t>Ống cao su lưu hóa Superlon 76X19 (8S/T)</t>
  </si>
  <si>
    <t>XBOS079X19</t>
  </si>
  <si>
    <t>Ống cao su lưu hóa Superlon 79X19 (8S/T)</t>
  </si>
  <si>
    <t>XBOS089X19</t>
  </si>
  <si>
    <t>Ống cao su lưu hóa Superlon 89X19 (8S/T)</t>
  </si>
  <si>
    <t>XBOS102X19</t>
  </si>
  <si>
    <t>Ống cao su lưu hóa Superlon 102X19 (6S/T)</t>
  </si>
  <si>
    <t>XBOS105X19</t>
  </si>
  <si>
    <t>Ống cao su lưu hóa Superlon 105X19 (6S/T)</t>
  </si>
  <si>
    <t>XBOS108X19</t>
  </si>
  <si>
    <t>Ống cao su lưu hóa Superlon 108X19 (6S/T)</t>
  </si>
  <si>
    <t>XBOS114X19</t>
  </si>
  <si>
    <t>Ống cao su lưu hóa Superlon 114X19 (6S/T)</t>
  </si>
  <si>
    <t>XBOS127X19</t>
  </si>
  <si>
    <t>Ống cao su lưu hóa Superlon 127X19 (6S/T)</t>
  </si>
  <si>
    <t>XBOS130X19</t>
  </si>
  <si>
    <t>Ống cao su lưu hóa Superlon 130X19 (6S/T)</t>
  </si>
  <si>
    <t>XBOS133X19</t>
  </si>
  <si>
    <t>Ống cao su lưu hóa Superlon 133X19 (6S/T)</t>
  </si>
  <si>
    <t>XBOS140X19</t>
  </si>
  <si>
    <t>Ống cao su lưu hóa Superlon 140X19 (6S/T)</t>
  </si>
  <si>
    <t>XBOS152X19</t>
  </si>
  <si>
    <t>Ống cao su lưu hóa Superlon 152X19 (6S/T)</t>
  </si>
  <si>
    <t>XBOS159X19</t>
  </si>
  <si>
    <t>Ống cao su lưu hóa Superlon 159X19 (6S/T)</t>
  </si>
  <si>
    <t>XBOS165X19</t>
  </si>
  <si>
    <t>Ống cao su lưu hóa Superlon 165X19 (6S/T)</t>
  </si>
  <si>
    <t>XBOS006X25.032</t>
  </si>
  <si>
    <t>Ống cao su lưu hóa Superlon 6X25 (32S/T)</t>
  </si>
  <si>
    <t>XBOS006X25</t>
  </si>
  <si>
    <t>Ống cao su lưu hóa Superlon 6X25 (30S/T)</t>
  </si>
  <si>
    <t>XBOS010X25</t>
  </si>
  <si>
    <t>Ống cao su lưu hóa Superlon 10X25 (30S/T)</t>
  </si>
  <si>
    <t>XBOS013X25.025</t>
  </si>
  <si>
    <t>Ống cao su lưu hóa Superlon 13X25 (25S/T)</t>
  </si>
  <si>
    <t>XBOS013X25</t>
  </si>
  <si>
    <t>Ống cao su lưu hóa Superlon 13X25 (24S/T)</t>
  </si>
  <si>
    <t>XBOS016X25.023</t>
  </si>
  <si>
    <t>Ống cao su lưu hóa Superlon 16X25 (23S/T)</t>
  </si>
  <si>
    <t>XBOS016X25</t>
  </si>
  <si>
    <t>Ống cao su lưu hóa Superlon 16X25 (20S/T)</t>
  </si>
  <si>
    <t>XBOS019X25</t>
  </si>
  <si>
    <t>Ống cao su lưu hóa Superlon 19X25 (20S/T)</t>
  </si>
  <si>
    <t>XBOS022X25</t>
  </si>
  <si>
    <t>Ống cao su lưu hóa Superlon 22X25 (18S/T)</t>
  </si>
  <si>
    <t>XBOS025X25.017</t>
  </si>
  <si>
    <t>Ống cao su lưu hóa Superlon 25X25 (17S/T)</t>
  </si>
  <si>
    <t>XBOS025X25</t>
  </si>
  <si>
    <t>Ống cao su lưu hóa Superlon 25X25 (16S/T)</t>
  </si>
  <si>
    <t>XBOS028X25</t>
  </si>
  <si>
    <t>Ống cao su lưu hóa Superlon 28X25 (16S/T)</t>
  </si>
  <si>
    <t>XBOS032X25.016</t>
  </si>
  <si>
    <t>Ống cao su lưu hóa Superlon 32X25 (16S/T)</t>
  </si>
  <si>
    <t>XBOS032X25</t>
  </si>
  <si>
    <t>Ống cao su lưu hóa Superlon 32X25 (15S/T)</t>
  </si>
  <si>
    <t>XBOS035X25</t>
  </si>
  <si>
    <t>Ống cao su lưu hóa Superlon 35X25 (12S/T)</t>
  </si>
  <si>
    <t>XBOS038X25</t>
  </si>
  <si>
    <t>Ống cao su lưu hóa Superlon 38X25 (12S/T)</t>
  </si>
  <si>
    <t>XBOS042X25</t>
  </si>
  <si>
    <t>Ống cao su lưu hóa Superlon 42X25 (12S/T)</t>
  </si>
  <si>
    <t>XBOS048X25</t>
  </si>
  <si>
    <t>Ống cao su lưu hóa Superlon 48X25 (10S/T)</t>
  </si>
  <si>
    <t>XBOS051X25</t>
  </si>
  <si>
    <t>Ống cao su lưu hóa Superlon 51X25 (9S/T)</t>
  </si>
  <si>
    <t>XBOS054X25</t>
  </si>
  <si>
    <t>Ống cao su lưu hóa Superlon 54X25 (9S/T)</t>
  </si>
  <si>
    <t>XBOS057X25</t>
  </si>
  <si>
    <t>Ống cao su lưu hóa Superlon 57X25 (9S/T)</t>
  </si>
  <si>
    <t>XBOS060X25</t>
  </si>
  <si>
    <t>Ống cao su lưu hóa Superlon 60X25 (9S/T)</t>
  </si>
  <si>
    <t>XBOS064X25</t>
  </si>
  <si>
    <t>Ống cao su lưu hóa Superlon 64X25 (8S/T)</t>
  </si>
  <si>
    <t>XBOS067X25</t>
  </si>
  <si>
    <t>Ống cao su lưu hóa Superlon 67X25 (8S/T)</t>
  </si>
  <si>
    <t>XBOS073X25</t>
  </si>
  <si>
    <t>Ống cao su lưu hóa Superlon 73X25 (8S/T)</t>
  </si>
  <si>
    <t>XBOS076X25</t>
  </si>
  <si>
    <t>Ống cao su lưu hóa Superlon 76X25 (8S/T)</t>
  </si>
  <si>
    <t>XBOS079X25</t>
  </si>
  <si>
    <t>Ống cao su lưu hóa Superlon 79X25 (6S/T)</t>
  </si>
  <si>
    <t>XBOS089X25</t>
  </si>
  <si>
    <t>Ống cao su lưu hóa Superlon 89X25 (6S/T)</t>
  </si>
  <si>
    <t>XBOS102X25</t>
  </si>
  <si>
    <t>Ống cao su lưu hóa Superlon 102X25 (6S/T)</t>
  </si>
  <si>
    <t>XBOS105X25</t>
  </si>
  <si>
    <t>Ống cao su lưu hóa Superlon 105X25 (5S/T)</t>
  </si>
  <si>
    <t>XBOS108X25</t>
  </si>
  <si>
    <t>Ống cao su lưu hóa Superlon 108X25 (5S/T)</t>
  </si>
  <si>
    <t>XBOS114X25</t>
  </si>
  <si>
    <t>Ống cao su lưu hóa Superlon 114X25 (4S/T)</t>
  </si>
  <si>
    <t>XBOS127X25</t>
  </si>
  <si>
    <t>Ống cao su lưu hóa Superlon 127X25 (4S/T)</t>
  </si>
  <si>
    <t>XBOS130X25</t>
  </si>
  <si>
    <t>Ống cao su lưu hóa Superlon 130X25 (3S/T)</t>
  </si>
  <si>
    <t>XBOS133X25</t>
  </si>
  <si>
    <t>Ống cao su lưu hóa Superlon 133X25 (3S/T)</t>
  </si>
  <si>
    <t>XBOS140X25</t>
  </si>
  <si>
    <t>Ống cao su lưu hóa Superlon 140X25 (3S/T)</t>
  </si>
  <si>
    <t>XBOS152X25</t>
  </si>
  <si>
    <t>Ống cao su lưu hóa Superlon 152X25 (3S/T)</t>
  </si>
  <si>
    <t>XBOS159X25</t>
  </si>
  <si>
    <t>Ống cao su lưu hóa Superlon 159X25 (3S/T)</t>
  </si>
  <si>
    <t>XBOS165X25</t>
  </si>
  <si>
    <t>Ống cao su lưu hóa Superlon 165X25 (3S/T)</t>
  </si>
  <si>
    <t>XBOS010X32.015</t>
  </si>
  <si>
    <t>Ống cao su lưu hóa Superlon 10X32 (15S/T)</t>
  </si>
  <si>
    <t>XBOS013X32</t>
  </si>
  <si>
    <t>Ống cao su lưu hóa Superlon 13X32 (12S/T)</t>
  </si>
  <si>
    <t>XBOS016X32</t>
  </si>
  <si>
    <t>Ống cao su lưu hóa Superlon 16X32 (12S/T)</t>
  </si>
  <si>
    <t>XBOS019X32</t>
  </si>
  <si>
    <t>Ống cao su lưu hóa Superlon 19X32 (12S/T)</t>
  </si>
  <si>
    <t>XBOS022X32.011</t>
  </si>
  <si>
    <t>Ống cao su lưu hóa Superlon 22X32 (11S/T)</t>
  </si>
  <si>
    <t>XBOS022X32</t>
  </si>
  <si>
    <t>Ống cao su lưu hóa Superlon 22X32 (9S/T)</t>
  </si>
  <si>
    <t>XBOS025X32.011</t>
  </si>
  <si>
    <t>Ống cao su lưu hóa Superlon 25X32 (11S/T)</t>
  </si>
  <si>
    <t>XBOS025X32</t>
  </si>
  <si>
    <t>Ống cao su lưu hóa Superlon 25X32 (9S/T)</t>
  </si>
  <si>
    <t>XBOS028X32</t>
  </si>
  <si>
    <t>Ống cao su lưu hóa Superlon 28X32 (9S/T)</t>
  </si>
  <si>
    <t>XBOS032X32</t>
  </si>
  <si>
    <t>Ống cao su lưu hóa Superlon 32X32 (9S/T)</t>
  </si>
  <si>
    <t>XBOS035X32</t>
  </si>
  <si>
    <t>Ống cao su lưu hóa Superlon 35X32 (9S/T)</t>
  </si>
  <si>
    <t>XBOS038X32</t>
  </si>
  <si>
    <t>Ống cao su lưu hóa Superlon 38X32 (9S/T)</t>
  </si>
  <si>
    <t>XBOS042X32</t>
  </si>
  <si>
    <t>Ống cao su lưu hóa Superlon 42X32 (9S/T)</t>
  </si>
  <si>
    <t>XBOS048X32</t>
  </si>
  <si>
    <t>Ống cao su lưu hóa Superlon 48X32 (8S/T)</t>
  </si>
  <si>
    <t>XBOS051X32</t>
  </si>
  <si>
    <t>Ống cao su lưu hóa Superlon 51X32 (8S/T)</t>
  </si>
  <si>
    <t>XBOS054X32</t>
  </si>
  <si>
    <t>Ống cao su lưu hóa Superlon 54X32 (8S/T)</t>
  </si>
  <si>
    <t>XBOS057X32</t>
  </si>
  <si>
    <t>Ống cao su lưu hóa Superlon 57X32 (6S/T)</t>
  </si>
  <si>
    <t>XBOS060X32</t>
  </si>
  <si>
    <t>Ống cao su lưu hóa Superlon 60X32 (6S/T)</t>
  </si>
  <si>
    <t>XBOS064X32</t>
  </si>
  <si>
    <t>Ống cao su lưu hóa Superlon 64X32 (6S/T)</t>
  </si>
  <si>
    <t>XBOS067X32</t>
  </si>
  <si>
    <t>Ống cao su lưu hóa Superlon 67X32 (6S/T)</t>
  </si>
  <si>
    <t>XBOS073X32</t>
  </si>
  <si>
    <t>Ống cao su lưu hóa Superlon 73X32 (6S/T)</t>
  </si>
  <si>
    <t>XBOS076X32</t>
  </si>
  <si>
    <t>Ống cao su lưu hóa Superlon 76X32 (4S/T)</t>
  </si>
  <si>
    <t>XBOS079X32</t>
  </si>
  <si>
    <t>Ống cao su lưu hóa Superlon 79X32 (4S/T)</t>
  </si>
  <si>
    <t>XBOS089X32</t>
  </si>
  <si>
    <t>Ống cao su lưu hóa Superlon 89X32 (4S/T)</t>
  </si>
  <si>
    <t>XBOS102X32</t>
  </si>
  <si>
    <t>Ống cao su lưu hóa Superlon 102X32 (4S/T)</t>
  </si>
  <si>
    <t>XBOS105X32</t>
  </si>
  <si>
    <t>Ống cao su lưu hóa Superlon 105X32 (4S/T)</t>
  </si>
  <si>
    <t>XBOS108X32</t>
  </si>
  <si>
    <t>Ống cao su lưu hóa Superlon 108X32 (4S/T)</t>
  </si>
  <si>
    <t>XBOS114X32</t>
  </si>
  <si>
    <t>Ống cao su lưu hóa Superlon 114X32 (4S/T)</t>
  </si>
  <si>
    <t>XBOS127X32</t>
  </si>
  <si>
    <t>Ống cao su lưu hóa Superlon 127X32 (3S/T)</t>
  </si>
  <si>
    <t>XBOS130X32</t>
  </si>
  <si>
    <t>Ống cao su lưu hóa Superlon 130X32 (3S/T)</t>
  </si>
  <si>
    <t>XBOS133X32</t>
  </si>
  <si>
    <t>Ống cao su lưu hóa Superlon 133X32 (3S/T)</t>
  </si>
  <si>
    <t>XBOS140X32</t>
  </si>
  <si>
    <t>Ống cao su lưu hóa Superlon 140X32 (3S/T)</t>
  </si>
  <si>
    <t>XBOS152X32</t>
  </si>
  <si>
    <t>Ống cao su lưu hóa Superlon 152X32 (3S/T)</t>
  </si>
  <si>
    <t>XBOS159X32</t>
  </si>
  <si>
    <t>Ống cao su lưu hóa Superlon 159X32 (3S/T)</t>
  </si>
  <si>
    <t>XBOS165X32</t>
  </si>
  <si>
    <t>Ống cao su lưu hóa Superlon 165X32 (3S/T)</t>
  </si>
  <si>
    <t>XBOS013X38.010</t>
  </si>
  <si>
    <t>Ống cao su lưu hóa Superlon 13X38 (10S/T)</t>
  </si>
  <si>
    <t>XBOS013X38</t>
  </si>
  <si>
    <t>Ống cao su lưu hóa Superlon 013X38 (10S/T)</t>
  </si>
  <si>
    <t>XBOS016X38</t>
  </si>
  <si>
    <t>Ống cao su lưu hóa Superlon 16X38 (9S/T)</t>
  </si>
  <si>
    <t>XBOS019X38</t>
  </si>
  <si>
    <t>Ống cao su lưu hóa Superlon 19X38 (9S/T)</t>
  </si>
  <si>
    <t>XBOS022X38</t>
  </si>
  <si>
    <t>Ống cao su lưu hóa Superlon 22X38 (9S/T)</t>
  </si>
  <si>
    <t>XBOS025X38</t>
  </si>
  <si>
    <t>Ống cao su lưu hóa Superlon 25X38 (9S/T)</t>
  </si>
  <si>
    <t>XBOS028X38</t>
  </si>
  <si>
    <t>Ống cao su lưu hóa Superlon 28X38 (9S/T)</t>
  </si>
  <si>
    <t>XBOS032X38</t>
  </si>
  <si>
    <t>Ống cao su lưu hóa Superlon 32X38 (9S/T)</t>
  </si>
  <si>
    <t>XBOS035X38</t>
  </si>
  <si>
    <t>Ống cao su lưu hóa Superlon 35X38 (9S/T)</t>
  </si>
  <si>
    <t>XBOS038X38</t>
  </si>
  <si>
    <t>Ống cao su lưu hóa Superlon 38X38 (8S/T)</t>
  </si>
  <si>
    <t>XBOS042X38</t>
  </si>
  <si>
    <t>Ống cao su lưu hóa Superlon 42X38 (8S/T)</t>
  </si>
  <si>
    <t>XBOS048X38</t>
  </si>
  <si>
    <t>Ống cao su lưu hóa Superlon 48X38 (6S/T)</t>
  </si>
  <si>
    <t>XBOS051X38</t>
  </si>
  <si>
    <t>Ống cao su lưu hóa Superlon 51X38 (6S/T)</t>
  </si>
  <si>
    <t>XBOS054X38</t>
  </si>
  <si>
    <t>Ống cao su lưu hóa Superlon 54X38 (6S/T)</t>
  </si>
  <si>
    <t>XBOS057X38</t>
  </si>
  <si>
    <t>Ống cao su lưu hóa Superlon 57X38 (6S/T)</t>
  </si>
  <si>
    <t>XBOS060X38</t>
  </si>
  <si>
    <t>Ống cao su lưu hóa Superlon 60X38 (6S/T)</t>
  </si>
  <si>
    <t>XBOS064X38</t>
  </si>
  <si>
    <t>Ống cao su lưu hóa Superlon 64X38 (6S/T)</t>
  </si>
  <si>
    <t>XBOS067X38</t>
  </si>
  <si>
    <t>Ống cao su lưu hóa Superlon 67X38 (6S/T)</t>
  </si>
  <si>
    <t>XBOS073X38</t>
  </si>
  <si>
    <t>Ống cao su lưu hóa Superlon 73X38 (4S/T)</t>
  </si>
  <si>
    <t>XBOS076X38</t>
  </si>
  <si>
    <t>Ống cao su lưu hóa Superlon 76X38 (4S/T)</t>
  </si>
  <si>
    <t>XBOS079X38</t>
  </si>
  <si>
    <t>Ống cao su lưu hóa Superlon 79X38 (4S/T)</t>
  </si>
  <si>
    <t>XBOS089X38</t>
  </si>
  <si>
    <t>Ống cao su lưu hóa Superlon 89X38 (4S/T)</t>
  </si>
  <si>
    <t>XBOS102X38</t>
  </si>
  <si>
    <t>Ống cao su lưu hóa Superlon 102X38 (3S/T)</t>
  </si>
  <si>
    <t>XBOS105X38</t>
  </si>
  <si>
    <t>Ống cao su lưu hóa Superlon 105X38 (3S/T)</t>
  </si>
  <si>
    <t>XBOS108X38</t>
  </si>
  <si>
    <t>Ống cao su lưu hóa Superlon 108X38 (3S/T)</t>
  </si>
  <si>
    <t>XBOS114X38</t>
  </si>
  <si>
    <t>Ống cao su lưu hóa Superlon 114X38 (4S/T)</t>
  </si>
  <si>
    <t>XBOS127X38</t>
  </si>
  <si>
    <t>Ống cao su lưu hóa Superlon 127X38 (3S/T)</t>
  </si>
  <si>
    <t>XBOS130X38</t>
  </si>
  <si>
    <t>Ống cao su lưu hóa Superlon 130X38 (3S/T)</t>
  </si>
  <si>
    <t>XBOS133X38</t>
  </si>
  <si>
    <t>Ống cao su lưu hóa Superlon 133X38 (3S/T)</t>
  </si>
  <si>
    <t>XBOS140X38</t>
  </si>
  <si>
    <t>Ống cao su lưu hóa Superlon 140X38 (3S/T)</t>
  </si>
  <si>
    <t>XBOS152X38</t>
  </si>
  <si>
    <t>Ống cao su lưu hóa Superlon 152X38 (3S/T)</t>
  </si>
  <si>
    <t>XBOS013X51</t>
  </si>
  <si>
    <t>Ống cao su lưu hóa Superlon 13X51 (6S/T)</t>
  </si>
  <si>
    <t>XBOS016X51</t>
  </si>
  <si>
    <t>Ống cao su lưu hóa Superlon 16X51 (6S/T)</t>
  </si>
  <si>
    <t>XBOS019X51</t>
  </si>
  <si>
    <t>Ống cao su lưu hóa Superlon 19X51 (6S/T)</t>
  </si>
  <si>
    <t>XBOS022X51</t>
  </si>
  <si>
    <t>Ống cao su lưu hóa Superlon 22X51 (6S/T)</t>
  </si>
  <si>
    <t>XBOS025X51</t>
  </si>
  <si>
    <t>Ống cao su lưu hóa Superlon 25X51 (6S/T)</t>
  </si>
  <si>
    <t>XBOS028X51</t>
  </si>
  <si>
    <t>Ống cao su lưu hóa Superlon 28X51 (6S/T)</t>
  </si>
  <si>
    <t>XBOS032X51</t>
  </si>
  <si>
    <t>Ống cao su lưu hóa Superlon 32X51 (4S/T)</t>
  </si>
  <si>
    <t>XBOS035X51</t>
  </si>
  <si>
    <t>Ống cao su lưu hóa Superlon 35X51 (4S/T)</t>
  </si>
  <si>
    <t>XBOS038X51</t>
  </si>
  <si>
    <t>Ống cao su lưu hóa Superlon 38X51 (4S/T)</t>
  </si>
  <si>
    <t>XBOS042X51</t>
  </si>
  <si>
    <t>Ống cao su lưu hóa Superlon 42X51 (4S/T)</t>
  </si>
  <si>
    <t>XBOS048X51</t>
  </si>
  <si>
    <t>Ống cao su lưu hóa Superlon 48X51 (4S/T)</t>
  </si>
  <si>
    <t>XBOS051X51</t>
  </si>
  <si>
    <t>Ống cao su lưu hóa Superlon 51X51 (4S/T)</t>
  </si>
  <si>
    <t>XBOS054X51</t>
  </si>
  <si>
    <t>Ống cao su lưu hóa Superlon 54X51 (4S/T)</t>
  </si>
  <si>
    <t>XBOS057X51</t>
  </si>
  <si>
    <t>Ống cao su lưu hóa Superlon 57X51 (4S/T)</t>
  </si>
  <si>
    <t>XBOS060X51</t>
  </si>
  <si>
    <t>Ống cao su lưu hóa Superlon 60X51 (3S/T)</t>
  </si>
  <si>
    <t>XBOS064X51</t>
  </si>
  <si>
    <t>Ống cao su lưu hóa Superlon 64X51 (3S/T)</t>
  </si>
  <si>
    <t>XBOS067X51</t>
  </si>
  <si>
    <t>Ống cao su lưu hóa Superlon 67X51 (3S/T)</t>
  </si>
  <si>
    <t>XBOS073X51</t>
  </si>
  <si>
    <t>Ống cao su lưu hóa Superlon 73X51(3S/T)</t>
  </si>
  <si>
    <t>XBOS076X51</t>
  </si>
  <si>
    <t>Ống cao su lưu hóa Superlon 76X51 (3S/T)</t>
  </si>
  <si>
    <t>XBOS079X51</t>
  </si>
  <si>
    <t>Ống cao su lưu hóa Superlon 79X51(3S/T)</t>
  </si>
  <si>
    <t>XBOS089X51</t>
  </si>
  <si>
    <t>Ống cao su lưu hóa Superlon 89X51 (3S/T)</t>
  </si>
  <si>
    <t>XBOS102X51</t>
  </si>
  <si>
    <t>Ống cao su lưu hóa Superlon 102X51(2S/T)</t>
  </si>
  <si>
    <t>XBOS105X51</t>
  </si>
  <si>
    <t>Ống cao su lưu hóa Superlon 105X51(2S/T)</t>
  </si>
  <si>
    <t>XBOS108X51</t>
  </si>
  <si>
    <t>Ống cao su lưu hóa Superlon 108X51(2S/T)</t>
  </si>
  <si>
    <t>XBOS114X51</t>
  </si>
  <si>
    <t>Ống cao su lưu hóa Superlon 114X51 (2S/T)</t>
  </si>
  <si>
    <t>XBOS127X51</t>
  </si>
  <si>
    <t>Ống cao su lưu hóa Superlon 127X51(2S/T)</t>
  </si>
  <si>
    <t>Superlon Việt Nam</t>
  </si>
  <si>
    <t>XBOSVN006X6</t>
  </si>
  <si>
    <t>XBOSVN010X6</t>
  </si>
  <si>
    <t>XBOSVN012X6</t>
  </si>
  <si>
    <t>XBOSVN016X6</t>
  </si>
  <si>
    <t>XBOSVN019X6</t>
  </si>
  <si>
    <t>XBOSVN022X6</t>
  </si>
  <si>
    <t>XBOSVN025X6</t>
  </si>
  <si>
    <t>XBOSVN028X6</t>
  </si>
  <si>
    <t>XBOSVN032X6</t>
  </si>
  <si>
    <t>XBOSVN035X6</t>
  </si>
  <si>
    <t>XBOSVN038X6</t>
  </si>
  <si>
    <t>XBOSVN006X10.195</t>
  </si>
  <si>
    <t>XBOSVN006X10</t>
  </si>
  <si>
    <t>XBOSVN010X10.140</t>
  </si>
  <si>
    <t>XBOSVN010X10</t>
  </si>
  <si>
    <t>XBOSVN013X10.120</t>
  </si>
  <si>
    <t>XBOSVN013X10.105</t>
  </si>
  <si>
    <t>XBOSVN013X10</t>
  </si>
  <si>
    <t>XBOSVN016X10.100</t>
  </si>
  <si>
    <t>XBOSVN016X10</t>
  </si>
  <si>
    <t>XBOSVN019X10.080</t>
  </si>
  <si>
    <t>XBOSVN019X10</t>
  </si>
  <si>
    <t>XBOSVN022X10.072</t>
  </si>
  <si>
    <t>XBOSVN022X10.067</t>
  </si>
  <si>
    <t>XBOSVN022X10</t>
  </si>
  <si>
    <t>XBOSVN025X10.063</t>
  </si>
  <si>
    <t>XBOSVN025X10</t>
  </si>
  <si>
    <t>XBOSVN028X10</t>
  </si>
  <si>
    <t>XBOSVN032X10</t>
  </si>
  <si>
    <t>XBOSVN035X10</t>
  </si>
  <si>
    <t>XBOSVN038X10</t>
  </si>
  <si>
    <t>XBOSVN042X10</t>
  </si>
  <si>
    <t>XBOSVN048X10</t>
  </si>
  <si>
    <t>XBOSVN051X10</t>
  </si>
  <si>
    <t>XBOSVN054X10.022</t>
  </si>
  <si>
    <t>XBOSVN054X10</t>
  </si>
  <si>
    <t>XBOSVN057X10</t>
  </si>
  <si>
    <t>XBOSVN060X10</t>
  </si>
  <si>
    <t>XBOSVN064X10</t>
  </si>
  <si>
    <t>XBOSVN067X10</t>
  </si>
  <si>
    <t>XBOSVN073X10</t>
  </si>
  <si>
    <t>XBOSVN076X10</t>
  </si>
  <si>
    <t>XBOSVN079X10</t>
  </si>
  <si>
    <t>XBOSVN089X10</t>
  </si>
  <si>
    <t>XBOSVN102X10</t>
  </si>
  <si>
    <t>XBOSVN105X10</t>
  </si>
  <si>
    <t>XBOSVN108X10</t>
  </si>
  <si>
    <t>XBOSVN114X10</t>
  </si>
  <si>
    <t>XBOSVN127X10</t>
  </si>
  <si>
    <t>XBOSVN127X10.012</t>
  </si>
  <si>
    <t>XBOSVN130X10</t>
  </si>
  <si>
    <t>XBOSVN133X10</t>
  </si>
  <si>
    <t>XBOSVN140X10</t>
  </si>
  <si>
    <t>XBOSVN152X10</t>
  </si>
  <si>
    <t>XBOSVN159X10</t>
  </si>
  <si>
    <t>XBOSVN165X10</t>
  </si>
  <si>
    <t>XBOSVN006X13.120</t>
  </si>
  <si>
    <t>XBOSVN006X13</t>
  </si>
  <si>
    <t>XBOSVN010X13.100</t>
  </si>
  <si>
    <t>XBOSVN010X13</t>
  </si>
  <si>
    <t>XBOSVN013X13.080</t>
  </si>
  <si>
    <t>XBOSVN013X13</t>
  </si>
  <si>
    <t>XBOSVN016X13.070</t>
  </si>
  <si>
    <t>XBOSVN016X13</t>
  </si>
  <si>
    <t>XBOSVN019X13.064</t>
  </si>
  <si>
    <t>XBOSVN019X13</t>
  </si>
  <si>
    <t>XBOSVN022X13.056</t>
  </si>
  <si>
    <t>XBOSVN022X13</t>
  </si>
  <si>
    <t>XBOSVN025X13</t>
  </si>
  <si>
    <t>XBOSVN028X13</t>
  </si>
  <si>
    <t>XBOSVN032X13</t>
  </si>
  <si>
    <t>XBOSVN035X13</t>
  </si>
  <si>
    <t>XBOSVN038X13.026</t>
  </si>
  <si>
    <t>XBOSVN038X13</t>
  </si>
  <si>
    <t>XBOSVN042X13</t>
  </si>
  <si>
    <t>XBOSVN048X13</t>
  </si>
  <si>
    <t>XBOSVN051X13</t>
  </si>
  <si>
    <t>XBOSVN054X13</t>
  </si>
  <si>
    <t>XBOSVN057X13</t>
  </si>
  <si>
    <t>XBOSVN060X13</t>
  </si>
  <si>
    <t>XBOSVN064X13</t>
  </si>
  <si>
    <t>XBOSVN067X13</t>
  </si>
  <si>
    <t>XBOSVN073X13.014</t>
  </si>
  <si>
    <t>XBOSVN073X13</t>
  </si>
  <si>
    <t>XBOSVN076X13.014</t>
  </si>
  <si>
    <t>XBOSVN076X13</t>
  </si>
  <si>
    <t>XBOSVN079X13</t>
  </si>
  <si>
    <t>XBOSVN089X13</t>
  </si>
  <si>
    <t>XBOSVN102X13</t>
  </si>
  <si>
    <t>XBOSVN105X13</t>
  </si>
  <si>
    <t>XBOSVN108X13</t>
  </si>
  <si>
    <t>XBOSVN114X13</t>
  </si>
  <si>
    <t>XBOSVN127X13</t>
  </si>
  <si>
    <t>XBOSVN130X13</t>
  </si>
  <si>
    <t>XBOSVN133X13</t>
  </si>
  <si>
    <t>XBOSVN140X13</t>
  </si>
  <si>
    <t>XBOSVN152X13</t>
  </si>
  <si>
    <t>XBOSVN159X13</t>
  </si>
  <si>
    <t>XBOSVN165X13</t>
  </si>
  <si>
    <t>XBOSVN006X19</t>
  </si>
  <si>
    <t>XBOSVN010X19</t>
  </si>
  <si>
    <t>XBOSVN013X19</t>
  </si>
  <si>
    <t>XBOSVN016X19</t>
  </si>
  <si>
    <t>XBOSVN019X19</t>
  </si>
  <si>
    <t>XBOSVN022X19.027</t>
  </si>
  <si>
    <t>XBOSVN022X19</t>
  </si>
  <si>
    <t>XBOSVN025X19.024</t>
  </si>
  <si>
    <t>XBOSVN025X19</t>
  </si>
  <si>
    <t>XBOSVN028X19.024</t>
  </si>
  <si>
    <t>XBOSVN028X19</t>
  </si>
  <si>
    <t>XBOSVN032X19</t>
  </si>
  <si>
    <t>XBOSVN035X19</t>
  </si>
  <si>
    <t>XBOSVN038X19</t>
  </si>
  <si>
    <t>XBOSVN042X19</t>
  </si>
  <si>
    <t>XBOSVN048X19</t>
  </si>
  <si>
    <t>XBOSVN051X19</t>
  </si>
  <si>
    <t>XBOSVN054X19</t>
  </si>
  <si>
    <t>XBOSVN057X19</t>
  </si>
  <si>
    <t>XBOSVN060X19</t>
  </si>
  <si>
    <t>XBOSVN064X19</t>
  </si>
  <si>
    <t>XBOSVN067X19</t>
  </si>
  <si>
    <t>XBOSVN073X19</t>
  </si>
  <si>
    <t>XBOSVN076X19</t>
  </si>
  <si>
    <t>XBOSVN079X19</t>
  </si>
  <si>
    <t>XBOSVN089X19</t>
  </si>
  <si>
    <t>XBOSVN102X19</t>
  </si>
  <si>
    <t>XBOSVN105X19</t>
  </si>
  <si>
    <t>XBOSVN108X19</t>
  </si>
  <si>
    <t>XBOSVN114X19</t>
  </si>
  <si>
    <t>XBOSVN127X19</t>
  </si>
  <si>
    <t>XBOSVN130X19</t>
  </si>
  <si>
    <t>XBOSVN133X19</t>
  </si>
  <si>
    <t>XBOSVN140X19</t>
  </si>
  <si>
    <t>XBOSVN152X19</t>
  </si>
  <si>
    <t>XBOSVN159X19</t>
  </si>
  <si>
    <t>XBOSVN165X19</t>
  </si>
  <si>
    <t>XBOSVN006X25.032</t>
  </si>
  <si>
    <t>XBOSVN006X25</t>
  </si>
  <si>
    <t>XBOSVN010X25</t>
  </si>
  <si>
    <t>XBOSVN013X25.025</t>
  </si>
  <si>
    <t>XBOSVN013X25</t>
  </si>
  <si>
    <t>XBOSVN016X25.023</t>
  </si>
  <si>
    <t>XBOSVN016X25</t>
  </si>
  <si>
    <t>XBOSVN019X25</t>
  </si>
  <si>
    <t>XBOSVN022X25</t>
  </si>
  <si>
    <t>XBOSVN025X25.017</t>
  </si>
  <si>
    <t>XBOSVN025X25</t>
  </si>
  <si>
    <t>XBOSVN028X25</t>
  </si>
  <si>
    <t>XBOSVN032X25.016</t>
  </si>
  <si>
    <t>XBOSVN032X25</t>
  </si>
  <si>
    <t>XBOSVN035X25</t>
  </si>
  <si>
    <t>XBOSVN038X25</t>
  </si>
  <si>
    <t>XBOSVN042X25</t>
  </si>
  <si>
    <t>XBOSVN048X25</t>
  </si>
  <si>
    <t>XBOSVN051X25</t>
  </si>
  <si>
    <t>XBOSVN054X25</t>
  </si>
  <si>
    <t>XBOSVN057X25</t>
  </si>
  <si>
    <t>XBOSVN060X25</t>
  </si>
  <si>
    <t>XBOSVN064X25</t>
  </si>
  <si>
    <t>XBOSVN067X25</t>
  </si>
  <si>
    <t>XBOSVN073X25</t>
  </si>
  <si>
    <t>XBOSVN076X25</t>
  </si>
  <si>
    <t>XBOSVN079X25</t>
  </si>
  <si>
    <t>XBOSVN089X25</t>
  </si>
  <si>
    <t>XBOSVN102X25</t>
  </si>
  <si>
    <t>XBOSVN105X25</t>
  </si>
  <si>
    <t>XBOSVN108X25</t>
  </si>
  <si>
    <t>XBOSVN114X25</t>
  </si>
  <si>
    <t>XBOSVN127X25</t>
  </si>
  <si>
    <t>XBOSVN130X25</t>
  </si>
  <si>
    <t>XBOSVN133X25</t>
  </si>
  <si>
    <t>XBOSVN140X25</t>
  </si>
  <si>
    <t>XBOSVN152X25</t>
  </si>
  <si>
    <t>XBOSVN159X25</t>
  </si>
  <si>
    <t>XBOSVN165X25</t>
  </si>
  <si>
    <t>XBOSVN010X32.015</t>
  </si>
  <si>
    <t>XBOSVN013X32</t>
  </si>
  <si>
    <t>XBOSVN016X32</t>
  </si>
  <si>
    <t>XBOSVN019X32</t>
  </si>
  <si>
    <t>XBOSVN022X32.011</t>
  </si>
  <si>
    <t>XBOSVN022X32</t>
  </si>
  <si>
    <t>XBOSVN025X32.011</t>
  </si>
  <si>
    <t>XBOSVN025X32</t>
  </si>
  <si>
    <t>XBOSVN028X32</t>
  </si>
  <si>
    <t>XBOSVN032X32</t>
  </si>
  <si>
    <t>XBOSVN035X32</t>
  </si>
  <si>
    <t>XBOSVN038X32</t>
  </si>
  <si>
    <t>XBOSVN042X32</t>
  </si>
  <si>
    <t>XBOSVN048X32</t>
  </si>
  <si>
    <t>XBOSVN051X32</t>
  </si>
  <si>
    <t>XBOSVN054X32</t>
  </si>
  <si>
    <t>XBOSVN057X32</t>
  </si>
  <si>
    <t>XBOSVN060X32</t>
  </si>
  <si>
    <t>XBOSVN064X32</t>
  </si>
  <si>
    <t>XBOSVN067X32</t>
  </si>
  <si>
    <t>XBOSVN073X32</t>
  </si>
  <si>
    <t>XBOSVN076X32</t>
  </si>
  <si>
    <t>XBOSVN079X32</t>
  </si>
  <si>
    <t>XBOSVN089X32</t>
  </si>
  <si>
    <t>XBOSVN102X32</t>
  </si>
  <si>
    <t>XBOSVN105X32</t>
  </si>
  <si>
    <t>XBOSVN108X32</t>
  </si>
  <si>
    <t>XBOSVN114X32</t>
  </si>
  <si>
    <t>XBOSVN127X32</t>
  </si>
  <si>
    <t>XBOSVN130X32</t>
  </si>
  <si>
    <t>XBOSVN133X32</t>
  </si>
  <si>
    <t>XBOSVN140X32</t>
  </si>
  <si>
    <t>XBOSVN152X32</t>
  </si>
  <si>
    <t>XBOSVN159X32</t>
  </si>
  <si>
    <t>XBOSVN165X32</t>
  </si>
  <si>
    <t>XBOSVN013X38.010</t>
  </si>
  <si>
    <t>XBOSVN013X38</t>
  </si>
  <si>
    <t>XBOSVN016X38</t>
  </si>
  <si>
    <t>XBOSVN019X38</t>
  </si>
  <si>
    <t>XBOSVN022X38</t>
  </si>
  <si>
    <t>XBOSVN025X38</t>
  </si>
  <si>
    <t>XBOSVN028X38</t>
  </si>
  <si>
    <t>XBOSVN032X38</t>
  </si>
  <si>
    <t>XBOSVN035X38</t>
  </si>
  <si>
    <t>XBOSVN038X38</t>
  </si>
  <si>
    <t>XBOSVN042X38</t>
  </si>
  <si>
    <t>XBOSVN048X38</t>
  </si>
  <si>
    <t>XBOSVN051X38</t>
  </si>
  <si>
    <t>XBOSVN054X38</t>
  </si>
  <si>
    <t>XBOSVN057X38</t>
  </si>
  <si>
    <t>XBOSVN060X38</t>
  </si>
  <si>
    <t>XBOSVN064X38</t>
  </si>
  <si>
    <t>XBOSVN067X38</t>
  </si>
  <si>
    <t>XBOSVN073X38</t>
  </si>
  <si>
    <t>XBOSVN076X38</t>
  </si>
  <si>
    <t>XBOSVN079X38</t>
  </si>
  <si>
    <t>XBOSVN089X38</t>
  </si>
  <si>
    <t>XBOSVN102X38</t>
  </si>
  <si>
    <t>XBOSVN105X38</t>
  </si>
  <si>
    <t>XBOSVN108X38</t>
  </si>
  <si>
    <t>XBOSVN114X38</t>
  </si>
  <si>
    <t>XBOSVN127X38</t>
  </si>
  <si>
    <t>XBOSVN130X38</t>
  </si>
  <si>
    <t>XBOSVN133X38</t>
  </si>
  <si>
    <t>XBOSVN140X38</t>
  </si>
  <si>
    <t>XBOSVN152X38</t>
  </si>
  <si>
    <t>XBOSVN013X51</t>
  </si>
  <si>
    <t>XBOSVN016X51</t>
  </si>
  <si>
    <t>XBOSVN019X51</t>
  </si>
  <si>
    <t>XBOSVN022X51</t>
  </si>
  <si>
    <t>XBOSVN025X51</t>
  </si>
  <si>
    <t>XBOSVN028X51</t>
  </si>
  <si>
    <t>XBOSVN032X51</t>
  </si>
  <si>
    <t>XBOSVN035X51</t>
  </si>
  <si>
    <t>XBOSVN038X51</t>
  </si>
  <si>
    <t>XBOSVN042X51</t>
  </si>
  <si>
    <t>XBOSVN048X51</t>
  </si>
  <si>
    <t>XBOSVN051X51</t>
  </si>
  <si>
    <t>XBOSVN054X51</t>
  </si>
  <si>
    <t>XBOSVN057X51</t>
  </si>
  <si>
    <t>XBOSVN060X51</t>
  </si>
  <si>
    <t>XBOSVN064X51</t>
  </si>
  <si>
    <t>XBOSVN067X51</t>
  </si>
  <si>
    <t>XBOSVN073X51</t>
  </si>
  <si>
    <t>XBOSVN076X51</t>
  </si>
  <si>
    <t>XBOSVN079X51</t>
  </si>
  <si>
    <t>XBOSVN089X51</t>
  </si>
  <si>
    <t>XBOSVN102X51</t>
  </si>
  <si>
    <t>XBOSVN105X51</t>
  </si>
  <si>
    <t>XBOSVN108X51</t>
  </si>
  <si>
    <t>XBOSVN114X51</t>
  </si>
  <si>
    <t>XBOSVN127X51</t>
  </si>
  <si>
    <t>Superlon Class 0 Malaysia</t>
  </si>
  <si>
    <t>XBOS006X10C0</t>
  </si>
  <si>
    <t>Ống cao su lưu hóa Superlon Class 0 Malaysia 06X10 (156S/T)</t>
  </si>
  <si>
    <t>XBOS010X10C0</t>
  </si>
  <si>
    <t>Ống cao su lưu hóa Superlon Class 0 Malaysia 10X10 (120S/T)</t>
  </si>
  <si>
    <t>XBOS013X10C0</t>
  </si>
  <si>
    <t>Ống cao su lưu hóa Superlon Class 0 Malaysia 13X10 (100S/T)</t>
  </si>
  <si>
    <t>XBOS016X10C0</t>
  </si>
  <si>
    <t>Ống cao su lưu hóa Superlon Class 0 Malaysia 16X10 (90S/T)</t>
  </si>
  <si>
    <t>XBOS019X10C0</t>
  </si>
  <si>
    <t>Ống cao su lưu hóa Superlon Class 0 Malaysia 19X10 (72S/T)</t>
  </si>
  <si>
    <t>XBOS022X10C0</t>
  </si>
  <si>
    <t>Ống cao su lưu hóa Superlon Class 0 Malaysia 22X10 (64S/T)</t>
  </si>
  <si>
    <t>XBOS025X10C0</t>
  </si>
  <si>
    <t>Ống cao su lưu hóa Superlon Class 0 Malaysia 25X10 (56S/T)</t>
  </si>
  <si>
    <t>XBOS028X10C0</t>
  </si>
  <si>
    <t>Ống cao su lưu hóa Superlon Class 0 Malaysia 28X10 (49S/T)</t>
  </si>
  <si>
    <t>XBOS032X10C0</t>
  </si>
  <si>
    <t>Ống cao su lưu hóa Superlon Class 0 Malaysia 32X10 (42S/T)</t>
  </si>
  <si>
    <t>XBOS035X10C0</t>
  </si>
  <si>
    <t>Ống cao su lưu hóa Superlon Class 0 Malaysia 35X10 (36S/T)</t>
  </si>
  <si>
    <t>XBOS038X10C0</t>
  </si>
  <si>
    <t>Ống cao su lưu hóa Superlon Class 0 Malaysia 38X10 (34S/T)</t>
  </si>
  <si>
    <t>XBOS042X10C0</t>
  </si>
  <si>
    <t>Ống cao su lưu hóa Superlon Class 0 Malaysia 42X10 (30S/T)</t>
  </si>
  <si>
    <t>XBOS048X10C0</t>
  </si>
  <si>
    <t>Ống cao su lưu hóa Superlon Class 0 Malaysia 48X10 (28S/T)</t>
  </si>
  <si>
    <t>XBOS051X10C0</t>
  </si>
  <si>
    <t>Ống cao su lưu hóa Superlon Class 0 Malaysia 51X10 (24S/T)</t>
  </si>
  <si>
    <t>XBOS054X10C0</t>
  </si>
  <si>
    <t>Ống cao su lưu hóa Superlon Class 0 Malaysia 54X10 (21S/T)</t>
  </si>
  <si>
    <t>XBOS060X10C0</t>
  </si>
  <si>
    <t>Ống cao su lưu hóa Superlon Class 0 Malaysia 60X10 (20S/T)</t>
  </si>
  <si>
    <t>XBOS067X10C0</t>
  </si>
  <si>
    <t>Ống cao su lưu hóa Superlon Class 0 Malaysia 67X10 (18S/T)</t>
  </si>
  <si>
    <t>XBOS073X10C0</t>
  </si>
  <si>
    <t>Ống cao su lưu hóa Superlon Class 0 Malaysia 73X10 (18S/T)</t>
  </si>
  <si>
    <t>XBOS076X10C0</t>
  </si>
  <si>
    <t>Ống cao su lưu hóa Superlon Class 0 Malaysia 76X10 (18S/T)</t>
  </si>
  <si>
    <t>XBOS079X10C0</t>
  </si>
  <si>
    <t>Ống cao su lưu hóa Superlon Class 0 Malaysia 79X10 (16S/T)</t>
  </si>
  <si>
    <t>XBOS089X10C0</t>
  </si>
  <si>
    <t>Ống cao su lưu hóa Superlon Class 0 Malaysia 89X10 (16S/T)</t>
  </si>
  <si>
    <t>XBOS102X10C0</t>
  </si>
  <si>
    <t>Ống cao su lưu hóa Superlon Class 0 Malaysia 102X10 (14S/T)</t>
  </si>
  <si>
    <t>XBOS105X10C0</t>
  </si>
  <si>
    <t>Ống cao su lưu hóa Superlon Class 0 Malaysia 105X10 (14S/T)</t>
  </si>
  <si>
    <t>XBOS108X10C0</t>
  </si>
  <si>
    <t>Ống cao su lưu hóa Superlon Class 0 Malaysia 108X10 (14S/T)</t>
  </si>
  <si>
    <t>XBOS114X10C0</t>
  </si>
  <si>
    <t>Ống cao su lưu hóa Superlon Class 0 Malaysia 114X10 (14S/T)</t>
  </si>
  <si>
    <t>XBOS127X10C0</t>
  </si>
  <si>
    <t>Ống cao su lưu hóa Superlon Class 0 Malaysia 127X10 (10S/T)</t>
  </si>
  <si>
    <t>XBOS130X10C0</t>
  </si>
  <si>
    <t>Ống cao su lưu hóa Superlon Class 0 Malaysia 130X10 (10S/T)</t>
  </si>
  <si>
    <t>XBOS133X10C0</t>
  </si>
  <si>
    <t>Ống cao su lưu hóa Superlon Class 0 Malaysia 133X10 (10S/T)</t>
  </si>
  <si>
    <t>XBOS140X10C0</t>
  </si>
  <si>
    <t>Ống cao su lưu hóa Superlon Class 0 Malaysia 140X10 (10S/T)</t>
  </si>
  <si>
    <t>XBOS152X10C0</t>
  </si>
  <si>
    <t>Ống cao su lưu hóa Superlon Class 0 Malaysia 152X10 (3S/T)</t>
  </si>
  <si>
    <t>XBOS159X10C0</t>
  </si>
  <si>
    <t>Ống cao su lưu hóa Superlon Class 0 Malaysia 159X10 (3S/T)</t>
  </si>
  <si>
    <t>XBOS165X10C0</t>
  </si>
  <si>
    <t>Ống cao su lưu hóa Superlon Class 0 Malaysia 165X10 (3S/T)</t>
  </si>
  <si>
    <t>XBOS006X13C0</t>
  </si>
  <si>
    <t>Ống cao su lưu hóa Superlon Class 0 Malaysia 06X13 (110S/T)</t>
  </si>
  <si>
    <t>XBOS010X13C0</t>
  </si>
  <si>
    <t>Ống cao su lưu hóa Superlon Class 0 Malaysia 10X13 (90S/T)</t>
  </si>
  <si>
    <t>XBOS013X13C0</t>
  </si>
  <si>
    <t>Ống cao su lưu hóa Superlon Class 0 Malaysia 13X13 (72S/T)</t>
  </si>
  <si>
    <t>XBOS016X13C0</t>
  </si>
  <si>
    <t>Ống cao su lưu hóa Superlon Class 0 Malaysia 16X13 (63S/T)</t>
  </si>
  <si>
    <t>XBOS019X13C0</t>
  </si>
  <si>
    <t>Ống cao su lưu hóa Superlon Class 0 Malaysia 19X13 (56S/T)</t>
  </si>
  <si>
    <t>XBOS022X13C0</t>
  </si>
  <si>
    <t>Ống cao su lưu hóa Superlon Class 0 Malaysia 22X13 (48S/T)</t>
  </si>
  <si>
    <t>XBOS025X13C0</t>
  </si>
  <si>
    <t>Ống cao su lưu hóa Superlon Class 0 Malaysia 25X13 (42S/T)</t>
  </si>
  <si>
    <t>XBOS028X13C0</t>
  </si>
  <si>
    <t>Ống cao su lưu hóa Superlon Class 0 Malaysia 28X13 (36S/T)</t>
  </si>
  <si>
    <t>XBOS032X13C0</t>
  </si>
  <si>
    <t>Ống cao su lưu hóa Superlon Class 0 Malaysia 32X13 (30S/T)</t>
  </si>
  <si>
    <t>XBOS035X13C0</t>
  </si>
  <si>
    <t>Ống cao su lưu hóa Superlon Class 0 Malaysia 35X13 (30S/T)</t>
  </si>
  <si>
    <t>XBOS038X13C0</t>
  </si>
  <si>
    <t>Ống cao su lưu hóa Superlon Class 0 Malaysia 38X13 (25S/T)</t>
  </si>
  <si>
    <t>XBOS042X13C0</t>
  </si>
  <si>
    <t>Ống cao su lưu hóa Superlon Class 0 Malaysia 42X13 (25S/T)</t>
  </si>
  <si>
    <t>XBOS048X13C0</t>
  </si>
  <si>
    <t>Ống cao su lưu hóa Superlon Class 0 Malaysia 48X13 (20S/T)</t>
  </si>
  <si>
    <t>XBOS051X13C0</t>
  </si>
  <si>
    <t>Ống cao su lưu hóa Superlon Class 0 Malaysia 51X13 (20S/T)</t>
  </si>
  <si>
    <t>XBOS054X13C0</t>
  </si>
  <si>
    <t>Ống cao su lưu hóa Superlon Class 0 Malaysia 54X13 (20S/T)</t>
  </si>
  <si>
    <t>XBOS060X13C0</t>
  </si>
  <si>
    <t>Ống cao su lưu hóa Superlon Class 0 Malaysia 60X13 (18S/T)</t>
  </si>
  <si>
    <t>XBOS067X13C0</t>
  </si>
  <si>
    <t>Ống cao su lưu hóa Superlon Class 0 Malaysia 67X13 (15S/T)</t>
  </si>
  <si>
    <t>XBOS073X13C0</t>
  </si>
  <si>
    <t>Ống cao su lưu hóa Superlon Class 0 Malaysia 73X13 (13S/T)</t>
  </si>
  <si>
    <t>XBOS076X13C0</t>
  </si>
  <si>
    <t>Ống cao su lưu hóa Superlon Class 0 Malaysia 76X13 (12S/T)</t>
  </si>
  <si>
    <t>XBOS079X13C0</t>
  </si>
  <si>
    <t>Ống cao su lưu hóa Superlon Class 0 Malaysia 79X13 (12S/T)</t>
  </si>
  <si>
    <t>XBOS089X13C0</t>
  </si>
  <si>
    <t>Ống cao su lưu hóa Superlon Class 0 Malaysia 89X13 (12S/T)</t>
  </si>
  <si>
    <t>XBOS102X13C0</t>
  </si>
  <si>
    <t>Ống cao su lưu hóa Superlon Class 0 Malaysia 102X13 (12S/T)</t>
  </si>
  <si>
    <t>XBOS105X13C0</t>
  </si>
  <si>
    <t>Ống cao su lưu hóa Superlon Class 0 Malaysia 105X13 (12S/T)</t>
  </si>
  <si>
    <t>XBOS108X13C0</t>
  </si>
  <si>
    <t>Ống cao su lưu hóa Superlon Class 0 Malaysia 108X13 (12S/T)</t>
  </si>
  <si>
    <t>XBOS114X13C0</t>
  </si>
  <si>
    <t>Ống cao su lưu hóa Superlon Class 0 Malaysia 114X13 (12S/T)</t>
  </si>
  <si>
    <t>XBOS127X13C0</t>
  </si>
  <si>
    <t>Ống cao su lưu hóa Superlon Class 0 Malaysia 127X13 (9S/T)</t>
  </si>
  <si>
    <t>XBOS130X13C0</t>
  </si>
  <si>
    <t>Ống cao su lưu hóa Superlon Class 0 Malaysia 130X13 (9S/T)</t>
  </si>
  <si>
    <t>XBOS133X13C0</t>
  </si>
  <si>
    <t>Ống cao su lưu hóa Superlon Class 0 Malaysia 133X13 (9S/T)</t>
  </si>
  <si>
    <t>XBOS140X13C0</t>
  </si>
  <si>
    <t>Ống cao su lưu hóa Superlon Class 0 Malaysia 140X13 (8S/T)</t>
  </si>
  <si>
    <t>XBOS152X13C0</t>
  </si>
  <si>
    <t>Ống cao su lưu hóa Superlon Class 0 Malaysia 152X13 (6S/T)</t>
  </si>
  <si>
    <t>XBOS159X13C0</t>
  </si>
  <si>
    <t>Ống cao su lưu hóa Superlon Class 0 Malaysia 159X13 (3S/T)</t>
  </si>
  <si>
    <t>XBOS165X13C0</t>
  </si>
  <si>
    <t>Ống cao su lưu hóa Superlon Class 0 Malaysia 165X13 (3S/T)</t>
  </si>
  <si>
    <t>XBOS006X19C0</t>
  </si>
  <si>
    <t>Ống cao su lưu hóa Superlon Class 0 Malaysia 06X19 (49S/T)</t>
  </si>
  <si>
    <t>XBOS010X19C0</t>
  </si>
  <si>
    <t>Ống cao su lưu hóa Superlon Class 0 Malaysia 10X19 (42S/T)</t>
  </si>
  <si>
    <t>XBOS013X19C0</t>
  </si>
  <si>
    <t>Ống cao su lưu hóa Superlon Class 0 Malaysia 13X19 (36S/T)</t>
  </si>
  <si>
    <t>XBOS016X19C0</t>
  </si>
  <si>
    <t>Ống cao su lưu hóa Superlon Class 0 Malaysia 16X19 (36S/T)</t>
  </si>
  <si>
    <t>XBOS019X19C0</t>
  </si>
  <si>
    <t>Ống cao su lưu hóa Superlon Class 0 Malaysia 19X19 (30S/T)</t>
  </si>
  <si>
    <t>XBOS022X19C0</t>
  </si>
  <si>
    <t>Ống cao su lưu hóa Superlon Class 0 Malaysia 22X19 (25S/T)</t>
  </si>
  <si>
    <t>XBOS025X19C0</t>
  </si>
  <si>
    <t>Ống cao su lưu hóa Superlon Class 0 Malaysia 25X19 (20S/T)</t>
  </si>
  <si>
    <t>XBOS028X19C0</t>
  </si>
  <si>
    <t>Ống cao su lưu hóa Superlon Class 0 Malaysia 28X19 (20S/T)</t>
  </si>
  <si>
    <t>XBOS032X19C0</t>
  </si>
  <si>
    <t>Ống cao su lưu hóa Superlon Class 0 Malaysia 32X19 (20S/T)</t>
  </si>
  <si>
    <t>XBOS035X19C0</t>
  </si>
  <si>
    <t>Ống cao su lưu hóa Superlon Class 0 Malaysia 35X19 (16S/T)</t>
  </si>
  <si>
    <t>XBOS038X19C0</t>
  </si>
  <si>
    <t>Ống cao su lưu hóa Superlon Class 0 Malaysia 38X19 (16S/T)</t>
  </si>
  <si>
    <t>XBOS042X19C0</t>
  </si>
  <si>
    <t>Ống cao su lưu hóa Superlon Class 0 Malaysia 42X19 (16S/T)</t>
  </si>
  <si>
    <t>XBOS048X19C0</t>
  </si>
  <si>
    <t>Ống cao su lưu hóa Superlon Class 0 Malaysia 48X19 (15S/T)</t>
  </si>
  <si>
    <t>XBOS051X19C0</t>
  </si>
  <si>
    <t>Ống cao su lưu hóa Superlon Class 0 Malaysia 51X19 (12S/T)</t>
  </si>
  <si>
    <t>XBOS054X19C0</t>
  </si>
  <si>
    <t>Ống cao su lưu hóa Superlon Class 0 Malaysia 54X19 (12S/T)</t>
  </si>
  <si>
    <t>XBOS060X19C0</t>
  </si>
  <si>
    <t>Ống cao su lưu hóa Superlon Class 0 Malaysia 60X19 (12S/T)</t>
  </si>
  <si>
    <t>XBOS067X19C0</t>
  </si>
  <si>
    <t>Ống cao su lưu hóa Superlon Class 0 Malaysia 67X19 (9S/T)</t>
  </si>
  <si>
    <t>XBOS073X19C0</t>
  </si>
  <si>
    <t>Ống cao su lưu hóa Superlon Class 0 Malaysia 73X19 (9S/T)</t>
  </si>
  <si>
    <t>XBOS076X19C0</t>
  </si>
  <si>
    <t>Ống cao su lưu hóa Superlon Class 0 Malaysia 76X19 (8S/T)</t>
  </si>
  <si>
    <t>XBOS079X19C0</t>
  </si>
  <si>
    <t>Ống cao su lưu hóa Superlon Class 0 Malaysia 79X19 (8S/T)</t>
  </si>
  <si>
    <t>XBOS089X19C0</t>
  </si>
  <si>
    <t>Ống cao su lưu hóa Superlon Class 0 Malaysia 89X19 (8S/T)</t>
  </si>
  <si>
    <t>XBOS102X19C0</t>
  </si>
  <si>
    <t>Ống cao su lưu hóa Superlon Class 0 Malaysia 102X19 (6S/T)</t>
  </si>
  <si>
    <t>XBOS105X19C0</t>
  </si>
  <si>
    <t>Ống cao su lưu hóa Superlon Class 0 Malaysia 105X19 (6S/T)</t>
  </si>
  <si>
    <t>XBOS108X19C0</t>
  </si>
  <si>
    <t>Ống cao su lưu hóa Superlon Class 0 Malaysia 108X19 (6S/T)</t>
  </si>
  <si>
    <t>XBOS114X19C0</t>
  </si>
  <si>
    <t>Ống cao su lưu hóa Superlon Class 0 Malaysia 114X19 (6S/T)</t>
  </si>
  <si>
    <t>XBOS127X19C0</t>
  </si>
  <si>
    <t>Ống cao su lưu hóa Superlon Class 0 Malaysia 127X19 (6S/T)</t>
  </si>
  <si>
    <t>XBOS130X19C0</t>
  </si>
  <si>
    <t>Ống cao su lưu hóa Superlon Class 0 Malaysia 130X19 (6S/T)</t>
  </si>
  <si>
    <t>XBOS133X19C0</t>
  </si>
  <si>
    <t>Ống cao su lưu hóa Superlon Class 0 Malaysia 133X19 (6S/T)</t>
  </si>
  <si>
    <t>XBOS140X19C0</t>
  </si>
  <si>
    <t>Ống cao su lưu hóa Superlon Class 0 Malaysia 140X19 (6S/T)</t>
  </si>
  <si>
    <t>XBOS152X19C0</t>
  </si>
  <si>
    <t>Ống cao su lưu hóa Superlon Class 0 Malaysia 152X19 (6S/T)</t>
  </si>
  <si>
    <t>XBOS159X19C0</t>
  </si>
  <si>
    <t>Ống cao su lưu hóa Superlon Class 0 Malaysia 159X19 (3S/T)</t>
  </si>
  <si>
    <t>XBOS165X19C0</t>
  </si>
  <si>
    <t>Ống cao su lưu hóa Superlon Class 0 Malaysia 165X19 (3S/T)</t>
  </si>
  <si>
    <t>XBOS006X25C0</t>
  </si>
  <si>
    <t>Ống cao su lưu hóa Superlon Class 0 Malaysia 06X25 (30S/T)</t>
  </si>
  <si>
    <t>XBOS010X25C0</t>
  </si>
  <si>
    <t>Ống cao su lưu hóa Superlon Class 0 Malaysia 10X25 (30S/T)</t>
  </si>
  <si>
    <t>XBOS013X25C0</t>
  </si>
  <si>
    <t>Ống cao su lưu hóa Superlon Class 0 Malaysia 13X25 (24S/T)</t>
  </si>
  <si>
    <t>XBOS016X25C0</t>
  </si>
  <si>
    <t>Ống cao su lưu hóa Superlon Class 0 Malaysia 16X25 (20S/T)</t>
  </si>
  <si>
    <t>XBOS019X25C0</t>
  </si>
  <si>
    <t>Ống cao su lưu hóa Superlon Class 0 Malaysia 19X25 (20S/T)</t>
  </si>
  <si>
    <t>XBOS022X25C0</t>
  </si>
  <si>
    <t>Ống cao su lưu hóa Superlon Class 0 Malaysia 22X25 (18S/T)</t>
  </si>
  <si>
    <t>XBOS025X25C0</t>
  </si>
  <si>
    <t>Ống cao su lưu hóa Superlon Class 0 Malaysia 25X25 (16S/T)</t>
  </si>
  <si>
    <t>XBOS028X25C0</t>
  </si>
  <si>
    <t>Ống cao su lưu hóa Superlon Class 0 Malaysia 28X25 (16S/T)</t>
  </si>
  <si>
    <t>XBOS032X25C0</t>
  </si>
  <si>
    <t>Ống cao su lưu hóa Superlon Class 0 Malaysia 32X25 (15S/T)</t>
  </si>
  <si>
    <t>XBOS035X25C0</t>
  </si>
  <si>
    <t>Ống cao su lưu hóa Superlon Class 0 Malaysia 35X25 (12S/T)</t>
  </si>
  <si>
    <t>XBOS038X25C0</t>
  </si>
  <si>
    <t>Ống cao su lưu hóa Superlon Class 0 Malaysia 38X25 (12S/T)</t>
  </si>
  <si>
    <t>XBOS042X25C0</t>
  </si>
  <si>
    <t>Ống cao su lưu hóa Superlon Class 0 Malaysia 42X25 (12S/T)</t>
  </si>
  <si>
    <t>XBOS048X25C0</t>
  </si>
  <si>
    <t>Ống cao su lưu hóa Superlon Class 0 Malaysia 48X25 (10S/T)</t>
  </si>
  <si>
    <t>XBOS051X25C0</t>
  </si>
  <si>
    <t>Ống cao su lưu hóa Superlon Class 0 Malaysia 51X25 (9S/T)</t>
  </si>
  <si>
    <t>XBOS054X25C0</t>
  </si>
  <si>
    <t>Ống cao su lưu hóa Superlon Class 0 Malaysia 54X25 (9S/T)</t>
  </si>
  <si>
    <t>XBOS060X25C0</t>
  </si>
  <si>
    <t>Ống cao su lưu hóa Superlon Class 0 Malaysia 60X25 (9S/T)</t>
  </si>
  <si>
    <t>XBOS067X25C0</t>
  </si>
  <si>
    <t>Ống cao su lưu hóa Superlon Class 0 Malaysia 67X25 (8S/T)</t>
  </si>
  <si>
    <t>XBOS073X25C0</t>
  </si>
  <si>
    <t>Ống cao su lưu hóa Superlon Class 0 Malaysia 73X25 (8S/T)</t>
  </si>
  <si>
    <t>XBOS076X25C0</t>
  </si>
  <si>
    <t>Ống cao su lưu hóa Superlon Class 0 Malaysia 76X25 (8S/T)</t>
  </si>
  <si>
    <t>XBOS079X25C0</t>
  </si>
  <si>
    <t>Ống cao su lưu hóa Superlon Class 0 Malaysia 79X25 (6S/T)</t>
  </si>
  <si>
    <t>XBOS089X25C0</t>
  </si>
  <si>
    <t>Ống cao su lưu hóa Superlon Class 0 Malaysia 89X25 (6S/T)</t>
  </si>
  <si>
    <t>XBOS102X25C0</t>
  </si>
  <si>
    <t>Ống cao su lưu hóa Superlon Class 0 Malaysia 102X25 (6S/T)</t>
  </si>
  <si>
    <t>XBOS105X25C0</t>
  </si>
  <si>
    <t>Ống cao su lưu hóa Superlon Class 0 Malaysia 105X25 (5S/T)</t>
  </si>
  <si>
    <t>XBOS108X25C0</t>
  </si>
  <si>
    <t>Ống cao su lưu hóa Superlon Class 0 Malaysia 108X25 (5S/T)</t>
  </si>
  <si>
    <t>XBOS114X25C0</t>
  </si>
  <si>
    <t>Ống cao su lưu hóa Superlon Class 0 Malaysia 114X25 (4S/T)</t>
  </si>
  <si>
    <t>XBOS127X25C0</t>
  </si>
  <si>
    <t>Ống cao su lưu hóa Superlon Class 0 Malaysia 127X25 (4S/T)</t>
  </si>
  <si>
    <t>XBOS130X25C0</t>
  </si>
  <si>
    <t>Ống cao su lưu hóa Superlon Class 0 Malaysia 130X25 (3S/T)</t>
  </si>
  <si>
    <t>XBOS133X25C0</t>
  </si>
  <si>
    <t>Ống cao su lưu hóa Superlon Class 0 Malaysia 133X25 (3S/T)</t>
  </si>
  <si>
    <t>XBOS140X25C0</t>
  </si>
  <si>
    <t>Ống cao su lưu hóa Superlon Class 0 Malaysia 140X25 (3S/T)</t>
  </si>
  <si>
    <t>XBOS152X25C0</t>
  </si>
  <si>
    <t>Ống cao su lưu hóa Superlon Class 0 Malaysia 152X25 (S/T)</t>
  </si>
  <si>
    <t>XBOS159X25C0</t>
  </si>
  <si>
    <t>Ống cao su lưu hóa Superlon Class 0 Malaysia 159X25 (S/T)</t>
  </si>
  <si>
    <t>XBOS165X25C0</t>
  </si>
  <si>
    <t>Ống cao su lưu hóa Superlon Class 0 Malaysia 165X25 (S/T)</t>
  </si>
  <si>
    <t>XBOS016X32C0</t>
  </si>
  <si>
    <t>Ống cao su lưu hóa Superlon Class 0 Malaysia 16X32 (12S/T)</t>
  </si>
  <si>
    <t>XBOS019X32C0</t>
  </si>
  <si>
    <t>Ống cao su lưu hóa Superlon Class 0 Malaysia 19X32 (12S/T)</t>
  </si>
  <si>
    <t>XBOS022X32C0</t>
  </si>
  <si>
    <t>Ống cao su lưu hóa Superlon Class 0 Malaysia 22X32 (9S/T)</t>
  </si>
  <si>
    <t>XBOS025X32C0</t>
  </si>
  <si>
    <t>Ống cao su lưu hóa Superlon Class 0 Malaysia 25X32 (9S/T)</t>
  </si>
  <si>
    <t>XBOS028X32C0</t>
  </si>
  <si>
    <t>Ống cao su lưu hóa Superlon Class 0 Malaysia 28X32 (9S/T)</t>
  </si>
  <si>
    <t>XBOS032X32C0</t>
  </si>
  <si>
    <t>Ống cao su lưu hóa Superlon Class 0 Malaysia 32X32 (9S/T)</t>
  </si>
  <si>
    <t>XBOS035X32C0</t>
  </si>
  <si>
    <t>Ống cao su lưu hóa Superlon Class 0 Malaysia 35X32 (9S/T)</t>
  </si>
  <si>
    <t>XBOS038X32C0</t>
  </si>
  <si>
    <t>Ống cao su lưu hóa Superlon Class 0 Malaysia 38X32 (9S/T)</t>
  </si>
  <si>
    <t>XBOS042X32C0</t>
  </si>
  <si>
    <t>Ống cao su lưu hóa Superlon Class 0 Malaysia 42X32 (9S/T)</t>
  </si>
  <si>
    <t>XBOS048X32C0</t>
  </si>
  <si>
    <t>Ống cao su lưu hóa Superlon Class 0 Malaysia 48X32 (8S/T)</t>
  </si>
  <si>
    <t>XBOS050X32C0</t>
  </si>
  <si>
    <t>Ống cao su lưu hóa Superlon Class 0 Malaysia 50X32 (8S/T)</t>
  </si>
  <si>
    <t>XBOS054X32C0</t>
  </si>
  <si>
    <t>Ống cao su lưu hóa Superlon Class 0 Malaysia 54X32 (8S/T)</t>
  </si>
  <si>
    <t>XBOS060X32C0</t>
  </si>
  <si>
    <t>Ống cao su lưu hóa Superlon Class 0 Malaysia 60X32 (6S/T)</t>
  </si>
  <si>
    <t>XBOS067X32C0</t>
  </si>
  <si>
    <t>Ống cao su lưu hóa Superlon Class 0 Malaysia 67X32 (6S/T)</t>
  </si>
  <si>
    <t>XBOS072X32C0</t>
  </si>
  <si>
    <t>Ống cao su lưu hóa Superlon Class 0 Malaysia 72X32 (6S/T)</t>
  </si>
  <si>
    <t>XBOS075X32C0</t>
  </si>
  <si>
    <t>Ống cao su lưu hóa Superlon Class 0 Malaysia 75X32 (4S/T)</t>
  </si>
  <si>
    <t>XBOS078X32C0</t>
  </si>
  <si>
    <t>Ống cao su lưu hóa Superlon Class 0 Malaysia 78X32 (4S/T)</t>
  </si>
  <si>
    <t>XBOS089X32C0</t>
  </si>
  <si>
    <t>Ống cao su lưu hóa Superlon Class 0 Malaysia 89X32 (4S/T)</t>
  </si>
  <si>
    <t>XBOS102X32C0</t>
  </si>
  <si>
    <t>Ống cao su lưu hóa Superlon Class 0 Malaysia 102X32 (S/T)</t>
  </si>
  <si>
    <t>XBOS105X32C0</t>
  </si>
  <si>
    <t>Ống cao su lưu hóa Superlon Class 0 Malaysia 105X32 (S/T)</t>
  </si>
  <si>
    <t>XBOS108X32C0</t>
  </si>
  <si>
    <t>Ống cao su lưu hóa Superlon Class 0 Malaysia 108X32 (S/T)</t>
  </si>
  <si>
    <t>XBOS114X32C0</t>
  </si>
  <si>
    <t>Ống cao su lưu hóa Superlon Class 0 Malaysia 114X32 (S/T)</t>
  </si>
  <si>
    <t>XBOS127X32C0</t>
  </si>
  <si>
    <t>Ống cao su lưu hóa Superlon Class 0 Malaysia 127X32 (S/T)</t>
  </si>
  <si>
    <t>XBOS130X32C0</t>
  </si>
  <si>
    <t>Ống cao su lưu hóa Superlon Class 0 Malaysia 130X32 (S/T)</t>
  </si>
  <si>
    <t>XBOS133X32C0</t>
  </si>
  <si>
    <t>Ống cao su lưu hóa Superlon Class 0 Malaysia 133X32 (S/T)</t>
  </si>
  <si>
    <t>XBOS140X32C0</t>
  </si>
  <si>
    <t>Ống cao su lưu hóa Superlon Class 0 Malaysia 140X32 (S/T)</t>
  </si>
  <si>
    <t>XBOS152X32C0</t>
  </si>
  <si>
    <t>Ống cao su lưu hóa Superlon Class 0 Malaysia 152X32 (S/T)</t>
  </si>
  <si>
    <t>XBOS159X32C0</t>
  </si>
  <si>
    <t>Ống cao su lưu hóa Superlon Class 0 Malaysia 159X32 (S/T)</t>
  </si>
  <si>
    <t>XBOS165X32C0</t>
  </si>
  <si>
    <t>Ống cao su lưu hóa Superlon Class 0 Malaysia 165X32 (S/T)</t>
  </si>
  <si>
    <t>XBOS016X38C0</t>
  </si>
  <si>
    <t>Ống cao su lưu hóa Superlon Class 0 Malaysia 16X38 (9S/T)</t>
  </si>
  <si>
    <t>XBOS019X38C0</t>
  </si>
  <si>
    <t>Ống cao su lưu hóa Superlon Class 0 Malaysia 19X38 (9S/T)</t>
  </si>
  <si>
    <t>XBOS022X38C0</t>
  </si>
  <si>
    <t>Ống cao su lưu hóa Superlon Class 0 Malaysia 22X38 (9S/T)</t>
  </si>
  <si>
    <t>XBOS025X38C0</t>
  </si>
  <si>
    <t>Ống cao su lưu hóa Superlon Class 0 Malaysia 25X38 (9S/T)</t>
  </si>
  <si>
    <t>XBOS028X38C0</t>
  </si>
  <si>
    <t>Ống cao su lưu hóa Superlon Class 0 Malaysia 28X38 (9S/T)</t>
  </si>
  <si>
    <t>XBOS032X38C0</t>
  </si>
  <si>
    <t>Ống cao su lưu hóa Superlon Class 0 Malaysia 32X38 (9S/T)</t>
  </si>
  <si>
    <t>XBOS035X38C0</t>
  </si>
  <si>
    <t>Ống cao su lưu hóa Superlon Class 0 Malaysia 35X38 (9S/T)</t>
  </si>
  <si>
    <t>XBOS038X38C0</t>
  </si>
  <si>
    <t>Ống cao su lưu hóa Superlon Class 0 Malaysia 38X38 (8S/T)</t>
  </si>
  <si>
    <t>XBOS042X38C0</t>
  </si>
  <si>
    <t>Ống cao su lưu hóa Superlon Class 0 Malaysia 42X38 (8S/T)</t>
  </si>
  <si>
    <t>XBOS048X38C0</t>
  </si>
  <si>
    <t>Ống cao su lưu hóa Superlon Class 0 Malaysia 48X38 (6S/T)</t>
  </si>
  <si>
    <t>XBOS050X38C0</t>
  </si>
  <si>
    <t>Ống cao su lưu hóa Superlon Class 0 Malaysia 50X38 (6S/T)</t>
  </si>
  <si>
    <t>XBOS054X38C0</t>
  </si>
  <si>
    <t>Ống cao su lưu hóa Superlon Class 0 Malaysia 54X38 (6S/T)</t>
  </si>
  <si>
    <t>XBOS060X38C0</t>
  </si>
  <si>
    <t>Ống cao su lưu hóa Superlon Class 0 Malaysia 60X38 (6S/T)</t>
  </si>
  <si>
    <t>XBOS066X38C0</t>
  </si>
  <si>
    <t>Ống cao su lưu hóa Superlon Class 0 Malaysia 66X38 (6S/T)</t>
  </si>
  <si>
    <t>XBOS072X38C0</t>
  </si>
  <si>
    <t>Ống cao su lưu hóa Superlon Class 0 Malaysia 72X38 (4S/T)</t>
  </si>
  <si>
    <t>XBOS075X38C0</t>
  </si>
  <si>
    <t>Ống cao su lưu hóa Superlon Class 0 Malaysia 75X38 (4S/T)</t>
  </si>
  <si>
    <t>XBOS078X38C0</t>
  </si>
  <si>
    <t>Ống cao su lưu hóa Superlon Class 0 Malaysia 78X38 (4S/T)</t>
  </si>
  <si>
    <t>XBOS089X38C0</t>
  </si>
  <si>
    <t>Ống cao su lưu hóa Superlon Class 0 Malaysia 89X38 (4S/T)</t>
  </si>
  <si>
    <t>XBOS102X38C0</t>
  </si>
  <si>
    <t>Ống cao su lưu hóa Superlon Class 0 Malaysia 102X38 (4S/T)</t>
  </si>
  <si>
    <t>XBOS105X38C0</t>
  </si>
  <si>
    <t>Ống cao su lưu hóa Superlon Class 0 Malaysia 105X38 (3S/T)</t>
  </si>
  <si>
    <t>XBOS108X38C0</t>
  </si>
  <si>
    <t>Ống cao su lưu hóa Superlon Class 0 Malaysia 108X38 (S/T)</t>
  </si>
  <si>
    <t>XBOS114X38C0</t>
  </si>
  <si>
    <t>Ống cao su lưu hóa Superlon Class 0 Malaysia 114X38 (S/T)</t>
  </si>
  <si>
    <t>XBOS127X38C0</t>
  </si>
  <si>
    <t>Ống cao su lưu hóa Superlon Class 0 Malaysia 127X38 (S/T)</t>
  </si>
  <si>
    <t>XBOS130X38C0</t>
  </si>
  <si>
    <t>Ống cao su lưu hóa Superlon Class 0 Malaysia 130X38 (S/T)</t>
  </si>
  <si>
    <t>XBOS133X38C0</t>
  </si>
  <si>
    <t>Ống cao su lưu hóa Superlon Class 0 Malaysia 133X38 (S/T)</t>
  </si>
  <si>
    <t>XBOS140X38C0</t>
  </si>
  <si>
    <t>Ống cao su lưu hóa Superlon Class 0 Malaysia 140X38 (S/T)</t>
  </si>
  <si>
    <t>XBOS152X38C0</t>
  </si>
  <si>
    <t>Ống cao su lưu hóa Superlon Class 0 Malaysia 152X38 (S/T)</t>
  </si>
  <si>
    <t>XBOS159X38C0</t>
  </si>
  <si>
    <t>Ống cao su lưu hóa Superlon Class 0 Malaysia 159X38 (S/T)</t>
  </si>
  <si>
    <t>XBOS165X38C0</t>
  </si>
  <si>
    <t>Ống cao su lưu hóa Superlon Class 0 Malaysia 165X38 (S/T)</t>
  </si>
  <si>
    <t>XBOS016X50C0</t>
  </si>
  <si>
    <t>Ống cao su lưu hóa Superlon Class 0 Malaysia 16X50 (6S/T)</t>
  </si>
  <si>
    <t>XBOS019X50C0</t>
  </si>
  <si>
    <t>Ống cao su lưu hóa Superlon Class 0 Malaysia 19X50 (6S/T)</t>
  </si>
  <si>
    <t>XBOS022X50C0</t>
  </si>
  <si>
    <t>Ống cao su lưu hóa Superlon Class 0 Malaysia 22X50 (6S/T)</t>
  </si>
  <si>
    <t>XBOS025X50C0</t>
  </si>
  <si>
    <t>Ống cao su lưu hóa Superlon Class 0 Malaysia 25X50 (6S/T)</t>
  </si>
  <si>
    <t>XBOS028X50C0</t>
  </si>
  <si>
    <t>Ống cao su lưu hóa Superlon Class 0 Malaysia 28X50 (6S/T)</t>
  </si>
  <si>
    <t>XBOS032X50C0</t>
  </si>
  <si>
    <t>Ống cao su lưu hóa Superlon Class 0 Malaysia 32X50 (4S/T)</t>
  </si>
  <si>
    <t>XBOS035X50C0</t>
  </si>
  <si>
    <t>Ống cao su lưu hóa Superlon Class 0 Malaysia 35X50 (4S/T)</t>
  </si>
  <si>
    <t>XBOS038X50C0</t>
  </si>
  <si>
    <t>Ống cao su lưu hóa Superlon Class 0 Malaysia 38X50 (4S/T)</t>
  </si>
  <si>
    <t>XBOS042X50C0</t>
  </si>
  <si>
    <t>Ống cao su lưu hóa Superlon Class 0 Malaysia 42X50 (4S/T)</t>
  </si>
  <si>
    <t>XBOS048X50C0</t>
  </si>
  <si>
    <t>Ống cao su lưu hóa Superlon Class 0 Malaysia 48X50 (4S/T)</t>
  </si>
  <si>
    <t>XBOS050X50C0</t>
  </si>
  <si>
    <t>Ống cao su lưu hóa Superlon Class 0 Malaysia 50X50 (4S/T)</t>
  </si>
  <si>
    <t>XBOS054X50C0</t>
  </si>
  <si>
    <t>Ống cao su lưu hóa Superlon Class 0 Malaysia 54X50 (4S/T)</t>
  </si>
  <si>
    <t>XBOS060X50C0</t>
  </si>
  <si>
    <t>Ống cao su lưu hóa Superlon Class 0 Malaysia 60X50 (3S/T)</t>
  </si>
  <si>
    <t>XBOS067X50C0</t>
  </si>
  <si>
    <t>Ống cao su lưu hóa Superlon Class 0 Malaysia 67X50 (3S/T)</t>
  </si>
  <si>
    <t>XBOS073X50C0</t>
  </si>
  <si>
    <t>Ống cao su lưu hóa Superlon Class 0 Malaysia 73X50 (3S/T)</t>
  </si>
  <si>
    <t>XBOS076X50C0</t>
  </si>
  <si>
    <t>Ống cao su lưu hóa Superlon Class 0 Malaysia 76X50 (3S/T)</t>
  </si>
  <si>
    <t>XBOS079X50C0</t>
  </si>
  <si>
    <t>Ống cao su lưu hóa Superlon Class 0 Malaysia 79X50 (3S/T)</t>
  </si>
  <si>
    <t>XBOS089X50C0</t>
  </si>
  <si>
    <t>Ống cao su lưu hóa Superlon Class 0 Malaysia 89X50 (2S/T)</t>
  </si>
  <si>
    <t>XBOS102X50C0</t>
  </si>
  <si>
    <t>Ống cao su lưu hóa Superlon Class 0 Malaysia 102X50 (S/T)</t>
  </si>
  <si>
    <t>XBOS105X50C0</t>
  </si>
  <si>
    <t>Ống cao su lưu hóa Superlon Class 0 Malaysia 105X50 (S/T)</t>
  </si>
  <si>
    <t>XBOS108X50C0</t>
  </si>
  <si>
    <t>Ống cao su lưu hóa Superlon Class 0 Malaysia 108X50 (S/T)</t>
  </si>
  <si>
    <t>XBOS114X50C0</t>
  </si>
  <si>
    <t>Ống cao su lưu hóa Superlon Class 0 Malaysia 114X50 (S/T)</t>
  </si>
  <si>
    <t>XBOS127X50C0</t>
  </si>
  <si>
    <t>Ống cao su lưu hóa Superlon Class 0 Malaysia 127X50 (S/T)</t>
  </si>
  <si>
    <t>XBOS130X50C0</t>
  </si>
  <si>
    <t>Ống cao su lưu hóa Superlon Class 0 Malaysia 130X50 (S/T)</t>
  </si>
  <si>
    <t>XBOS133X50C0</t>
  </si>
  <si>
    <t>Ống cao su lưu hóa Superlon Class 0 Malaysia 133X50 (S/T)</t>
  </si>
  <si>
    <t>XBOS140X50C0</t>
  </si>
  <si>
    <t>Ống cao su lưu hóa Superlon Class 0 Malaysia 140X50 (S/T)</t>
  </si>
  <si>
    <t>XBOS022X10 C0</t>
  </si>
  <si>
    <t>Ống cao su lưu hóa Superlon 22X10 Malaysia Class 0</t>
  </si>
  <si>
    <t>XBOS006X13 C0</t>
  </si>
  <si>
    <t>Ống cao su lưu hóa Superlon 6X13 Malaysia Class 0</t>
  </si>
  <si>
    <t>XBOS022X13 C0</t>
  </si>
  <si>
    <t>Ống cao su lưu hóa Superlon 22X13 Malaysia Class 0</t>
  </si>
  <si>
    <t>XBOS028X13 C0</t>
  </si>
  <si>
    <t>Ống cao su lưu hóa Superlon 28X13 Malaysia Class 0</t>
  </si>
  <si>
    <t>XBOS035X13 C0</t>
  </si>
  <si>
    <t>Ống cao su lưu hóa Superlon 35X13 Malaysia Class 0</t>
  </si>
  <si>
    <t>XBOS042X13 C0</t>
  </si>
  <si>
    <t>Ống cao su lưu hóa Superlon 42X13 Malaysia Class 0</t>
  </si>
  <si>
    <t>XBOSVN060x13C0</t>
  </si>
  <si>
    <t>Ống cao su lưu hóa Superlon 60X13 Malaysia Class 0 (18S/T)</t>
  </si>
  <si>
    <t>XBOS060X13 C0</t>
  </si>
  <si>
    <t>Ống cao su lưu hóa Superlon 60X13 Malaysia Class 0</t>
  </si>
  <si>
    <t>XBOS076X13 C0</t>
  </si>
  <si>
    <t>Ống cao su lưu hóa Superlon 76X13 Malaysia Class 0</t>
  </si>
  <si>
    <t>XBOS089X13 C0</t>
  </si>
  <si>
    <t>Ống cao su lưu hóa Superlon 89X13 Malaysia Class 0</t>
  </si>
  <si>
    <t>XBOS114X13 C0</t>
  </si>
  <si>
    <t>Ống cao su lưu hóa Superlon 114X13 Malaysia Class 0</t>
  </si>
  <si>
    <t>XBOSVN035X13C0</t>
  </si>
  <si>
    <t>Ống cao su lưu hóa Superlon Class 0 35X13 (30S/T)</t>
  </si>
  <si>
    <t>XBOSVN048X13C0</t>
  </si>
  <si>
    <t>Ống cao su lưu hóa Superlon Class 0 48X13 (20S/T)</t>
  </si>
  <si>
    <t>XBOS006X19 C0</t>
  </si>
  <si>
    <t>Ống cao su lưu hóa Superlon 6X19 Malaysia Class 0</t>
  </si>
  <si>
    <t>XBOS010X19 C0</t>
  </si>
  <si>
    <t>Ống cao su lưu hóa Superlon 10X19 Malaysia Class 0</t>
  </si>
  <si>
    <t>XBOS013X19 C0</t>
  </si>
  <si>
    <t>Ống cao su lưu hóa Superlon 13X19 Malaysia Class 0</t>
  </si>
  <si>
    <t>XBOS016X19 C0</t>
  </si>
  <si>
    <t>Ống cao su lưu hóa Superlon 16X19 Malaysia Class 0</t>
  </si>
  <si>
    <t>XBOS019X19 C0</t>
  </si>
  <si>
    <t>Ống cao su lưu hóa Superlon 19X19 Malaysia Class 0</t>
  </si>
  <si>
    <t>XBOS022X19 C0</t>
  </si>
  <si>
    <t>Ống cao su lưu hóa Superlon 22X19 Malaysia Class 0</t>
  </si>
  <si>
    <t>XBOS025X19 C0</t>
  </si>
  <si>
    <t>Ống cao su lưu hóa Superlon 25X19 Malaysia Class 0</t>
  </si>
  <si>
    <t>XBOS028X19 C0</t>
  </si>
  <si>
    <t>Ống cao su lưu hóa Superlon 28X19 Malaysia Class 0</t>
  </si>
  <si>
    <t>XBOS032X19 C0</t>
  </si>
  <si>
    <t>Ống cao su lưu hóa Superlon 32X19 Malaysia Class 0</t>
  </si>
  <si>
    <t>XBOS035X19 C0</t>
  </si>
  <si>
    <t>Ống cao su lưu hóa Superlon 35X19 Malaysia Class 0</t>
  </si>
  <si>
    <t>XBOS042X19 C0</t>
  </si>
  <si>
    <t>Ống cao su lưu hóa Superlon 42X19 Malaysia Class 0</t>
  </si>
  <si>
    <t>XBOSVN006X19C0</t>
  </si>
  <si>
    <t>Ống cao su lưu hóa Superlon Class 0 6X19 (49S/T)</t>
  </si>
  <si>
    <t>XBOSVN010X19C0</t>
  </si>
  <si>
    <t>Ống cao su lưu hóa Superlon Class 0 10X19 (42S/T)</t>
  </si>
  <si>
    <t>XBOSVN019X19C0</t>
  </si>
  <si>
    <t>Ống cao su lưu hóa Superlon Class 0 19X19 (30S/T)</t>
  </si>
  <si>
    <t>XBOS028X25 C0</t>
  </si>
  <si>
    <t>Ống cao su lưu hóa Superlon 28X25 Malaysia Class 0</t>
  </si>
  <si>
    <t>XBOS032X25 C0</t>
  </si>
  <si>
    <t>Ống cao su lưu hóa Superlon 32X25 Malaysia Class 0</t>
  </si>
  <si>
    <t>XBOS035X25 C0</t>
  </si>
  <si>
    <t>Ống cao su lưu hóa Superlon 35X25 Malaysia Class 0 (12S/T)</t>
  </si>
  <si>
    <t>XBOS042X25 C0</t>
  </si>
  <si>
    <t>Ống cao su lưu hóa Superlon 42X25 Malaysia Class 0 (12S/T)</t>
  </si>
  <si>
    <t>Armaflex</t>
  </si>
  <si>
    <t>ARMAFLEX-O</t>
  </si>
  <si>
    <t>XBOA006X06</t>
  </si>
  <si>
    <t>Ống cao su lưu hóa Armaflex Thái Lan 6X6</t>
  </si>
  <si>
    <t>XBOA010X06</t>
  </si>
  <si>
    <t>Ống cao su lưu hóa Armaflex Thái Lan 10X6</t>
  </si>
  <si>
    <t>XBOA012X06</t>
  </si>
  <si>
    <t>Ống cao su lưu hóa Armaflex Thái Lan 12X6</t>
  </si>
  <si>
    <t>XBOA015X06</t>
  </si>
  <si>
    <t>Ống cao su lưu hóa Armaflex Thái Lan 15X6</t>
  </si>
  <si>
    <t>XBOA020X06</t>
  </si>
  <si>
    <t>Ống cao su lưu hóa Armaflex Thái Lan 20X6</t>
  </si>
  <si>
    <t>XBOA022X06</t>
  </si>
  <si>
    <t>Ống cao su lưu hóa Armaflex Thái Lan 22X6</t>
  </si>
  <si>
    <t>XBOA025X06</t>
  </si>
  <si>
    <t>Ống cao su lưu hóa Armaflex Thái Lan 25X6</t>
  </si>
  <si>
    <t>XBOA028X06</t>
  </si>
  <si>
    <t>Ống cao su lưu hóa Armaflex Thái Lan 28X6</t>
  </si>
  <si>
    <t>XBOA006X09</t>
  </si>
  <si>
    <t>Ống cao su lưu hóa Armaflex Thái Lan 6X9</t>
  </si>
  <si>
    <t>XBOA010X09</t>
  </si>
  <si>
    <t>Ống cao su lưu hóa Armaflex Thái Lan 10X9</t>
  </si>
  <si>
    <t>XBOA012X09</t>
  </si>
  <si>
    <t>Ống cao su lưu hóa Armaflex Thái Lan 12X9</t>
  </si>
  <si>
    <t>XBOA015X09</t>
  </si>
  <si>
    <t>Ống cao su lưu hóa Armaflex Thái Lan 15X9</t>
  </si>
  <si>
    <t>XBOA020X09</t>
  </si>
  <si>
    <t>Ống cao su lưu hóa Armaflex Thái Lan 20X9</t>
  </si>
  <si>
    <t>XBOA025X09</t>
  </si>
  <si>
    <t>Ống cao su lưu hóa Armaflex Thái Lan 25X9</t>
  </si>
  <si>
    <t>XBOA028X09</t>
  </si>
  <si>
    <t>Ống cao su lưu hóa Armaflex Thái Lan 28X9</t>
  </si>
  <si>
    <t>XBOA032X09</t>
  </si>
  <si>
    <t>Ống cao su lưu hóa Armaflex Thái Lan 32X9</t>
  </si>
  <si>
    <t>Ống cao su lưu hóa Armaflex Thái Lan 35X9</t>
  </si>
  <si>
    <t>XBOA038X09</t>
  </si>
  <si>
    <t>Ống cao su lưu hóa Armaflex Thái Lan 38X9</t>
  </si>
  <si>
    <t>XBOA045X09</t>
  </si>
  <si>
    <t>Ống cao su lưu hóa Armaflex Thái Lan 45X9</t>
  </si>
  <si>
    <t>Ống cao su lưu hóa Armaflex Thái Lan 48X9</t>
  </si>
  <si>
    <t>XBOA050X09</t>
  </si>
  <si>
    <t>Ống cao su lưu hóa Armaflex Thái Lan 50X9</t>
  </si>
  <si>
    <t>XBOA054X09</t>
  </si>
  <si>
    <t>Ống cao su lưu hóa Armaflex Thái Lan 54X9</t>
  </si>
  <si>
    <t>XBOA057X09</t>
  </si>
  <si>
    <t>Ống cao su lưu hóa Armaflex Thái Lan 57X9</t>
  </si>
  <si>
    <t>XBOA060X09</t>
  </si>
  <si>
    <t>Ống cao su lưu hóa Armaflex Thái Lan 60X9</t>
  </si>
  <si>
    <t>XBOA006X13</t>
  </si>
  <si>
    <t>Ống cao su lưu hóa Armaflex Thái Lan 6X13</t>
  </si>
  <si>
    <t>XBOA010X13</t>
  </si>
  <si>
    <t>Ống cao su lưu hóa Armaflex Thái Lan 10X13</t>
  </si>
  <si>
    <t>XBOA015X13</t>
  </si>
  <si>
    <t>Ống cao su lưu hóa Armaflex Thái Lan 15X13</t>
  </si>
  <si>
    <t>XBOA022X13</t>
  </si>
  <si>
    <t>Ống cao su lưu hóa Armaflex Thái Lan 22X13</t>
  </si>
  <si>
    <t>Ống cao su lưu hóa Armaflex Thái Lan 28X13</t>
  </si>
  <si>
    <t>XBOA032X13</t>
  </si>
  <si>
    <t>Ống cao su lưu hóa Armaflex Thái Lan 32X13</t>
  </si>
  <si>
    <t>XBOA038X13</t>
  </si>
  <si>
    <t>Ống cao su lưu hóa Armaflex Thái Lan 38X13</t>
  </si>
  <si>
    <t>XBOA045X13</t>
  </si>
  <si>
    <t>Ống cao su lưu hóa Armaflex Thái Lan 45X13</t>
  </si>
  <si>
    <t>Ống cao su lưu hóa Armaflex Thái Lan 48X13</t>
  </si>
  <si>
    <t>XBOA050X13</t>
  </si>
  <si>
    <t>Ống cao su lưu hóa Armaflex Thái Lan 50X13</t>
  </si>
  <si>
    <t>XBOA054X13</t>
  </si>
  <si>
    <t>Ống cao su lưu hóa Armaflex Thái Lan 54X13</t>
  </si>
  <si>
    <t>XBOA067X13</t>
  </si>
  <si>
    <t>Ống cao su lưu hóa Armaflex Thái Lan 67X13</t>
  </si>
  <si>
    <t>XBOA076X13</t>
  </si>
  <si>
    <t>Ống cao su lưu hóa Armaflex Thái Lan 76X13</t>
  </si>
  <si>
    <t>XBOA080X13</t>
  </si>
  <si>
    <t>Ống cao su lưu hóa Armaflex Thái Lan 80X13</t>
  </si>
  <si>
    <t>XBOA108X13</t>
  </si>
  <si>
    <t>Ống cao su lưu hóa Armaflex Thái Lan 108X13</t>
  </si>
  <si>
    <t>XBOA114X13</t>
  </si>
  <si>
    <t>Ống cao su lưu hóa Armaflex Thái Lan 114X13</t>
  </si>
  <si>
    <t>XBOA006X19</t>
  </si>
  <si>
    <t>Ống cao su lưu hóa Armaflex Thái Lan 6X19</t>
  </si>
  <si>
    <t>XBOA010X19</t>
  </si>
  <si>
    <t>Ống cao su lưu hóa Armaflex Thái Lan 10X19</t>
  </si>
  <si>
    <t>XBOA025X19</t>
  </si>
  <si>
    <t>Ống cao su lưu hóa Armaflex Thái Lan 25X19</t>
  </si>
  <si>
    <t>Ống cao su lưu hóa Armaflex Thái Lan 35X19</t>
  </si>
  <si>
    <t>XBOA038X19</t>
  </si>
  <si>
    <t>Ống cao su lưu hóa Armaflex Thái Lan 38X19</t>
  </si>
  <si>
    <t>XBOA042X19</t>
  </si>
  <si>
    <t>Ống cao su lưu hóa Armaflex Thái Lan 42X19</t>
  </si>
  <si>
    <t>XBOA050X19</t>
  </si>
  <si>
    <t>Ống cao su lưu hóa Armaflex Thái Lan 50X19</t>
  </si>
  <si>
    <t>XBOA054X19</t>
  </si>
  <si>
    <t>Ống cao su lưu hóa Armaflex Thái Lan 54X19</t>
  </si>
  <si>
    <t>XBOA060X19</t>
  </si>
  <si>
    <t>Ống cao su lưu hóa Armaflex Thái Lan 60X19</t>
  </si>
  <si>
    <t>XBOA067X19</t>
  </si>
  <si>
    <t>Ống cao su lưu hóa Armaflex Thái Lan 67X19</t>
  </si>
  <si>
    <t>XBOA076X19</t>
  </si>
  <si>
    <t>Ống cao su lưu hóa Armaflex Thái Lan 76X19</t>
  </si>
  <si>
    <t>XBOA080X19</t>
  </si>
  <si>
    <t>Ống cao su lưu hóa Armaflex Thái Lan 80X19</t>
  </si>
  <si>
    <t>Ống cao su lưu hóa Armaflex Thái Lan 89X19</t>
  </si>
  <si>
    <t>XBOA108X19</t>
  </si>
  <si>
    <t>Ống cao su lưu hóa Armaflex Thái Lan 108X19</t>
  </si>
  <si>
    <t>XBOA114X19</t>
  </si>
  <si>
    <t>Ống cao su lưu hóa Armaflex Thái Lan 114X19</t>
  </si>
  <si>
    <t>XBOA140X19</t>
  </si>
  <si>
    <t>Ống cao su lưu hóa Armaflex Thái Lan 140X19</t>
  </si>
  <si>
    <t>XBOA010X25</t>
  </si>
  <si>
    <t>Ống cao su lưu hóa Armaflex Thái Lan 10X25</t>
  </si>
  <si>
    <t>XBOA012X25</t>
  </si>
  <si>
    <t>Ống cao su lưu hóa Armaflex Thái Lan 12X25</t>
  </si>
  <si>
    <t>Ống cao su lưu hóa Armaflex Thái Lan 15X25</t>
  </si>
  <si>
    <t>XBOA020X25</t>
  </si>
  <si>
    <t>Ống cao su lưu hóa Armaflex Thái Lan 20X25</t>
  </si>
  <si>
    <t>XBOA022X25</t>
  </si>
  <si>
    <t>Ống cao su lưu hóa Armaflex Thái Lan 22X25</t>
  </si>
  <si>
    <t>Ống cao su lưu hóa Armaflex Thái Lan 25X25</t>
  </si>
  <si>
    <t>XBOA032X25</t>
  </si>
  <si>
    <t>Ống cao su lưu hóa Armaflex Thái Lan 32X25</t>
  </si>
  <si>
    <t>XBOA035X25</t>
  </si>
  <si>
    <t>Ống cao su lưu hóa Armaflex Thái Lan 35X25</t>
  </si>
  <si>
    <t>XBOA038X25</t>
  </si>
  <si>
    <t>Ống cao su lưu hóa Armaflex Thái Lan 38X25</t>
  </si>
  <si>
    <t>XBOA042X25</t>
  </si>
  <si>
    <t>Ống cao su lưu hóa Armaflex Thái Lan 42X25</t>
  </si>
  <si>
    <t>XBOA050X25</t>
  </si>
  <si>
    <t>Ống cao su lưu hóa Armaflex Thái Lan 50X25</t>
  </si>
  <si>
    <t>XBOA060X25</t>
  </si>
  <si>
    <t>Ống cao su lưu hóa Armaflex Thái Lan 60X25</t>
  </si>
  <si>
    <t>XBOA067X25</t>
  </si>
  <si>
    <t>Ống cao su lưu hóa Armaflex Thái Lan 67X25</t>
  </si>
  <si>
    <t>Ống cao su lưu hóa Armaflex Thái Lan 76X25</t>
  </si>
  <si>
    <t>XBOA080X25</t>
  </si>
  <si>
    <t>Ống cao su lưu hóa Armaflex Thái Lan 80X25</t>
  </si>
  <si>
    <t>XBOA108X25</t>
  </si>
  <si>
    <t>Ống cao su lưu hóa Armaflex Thái Lan 108X25</t>
  </si>
  <si>
    <t>XBOA114X25</t>
  </si>
  <si>
    <t>Ống cao su lưu hóa Armaflex Thái Lan 114X25</t>
  </si>
  <si>
    <t>XBOA140X25</t>
  </si>
  <si>
    <t>Ống cao su lưu hóa Armaflex Thái Lan 140X25</t>
  </si>
  <si>
    <t>XBOA168X25</t>
  </si>
  <si>
    <t>Ống cao su lưu hóa Armaflex Thái Lan 168X25</t>
  </si>
  <si>
    <t>XBOA010X32</t>
  </si>
  <si>
    <t>Ống cao su lưu hóa Armaflex Thái Lan 10X32</t>
  </si>
  <si>
    <t>XBOA012X32</t>
  </si>
  <si>
    <t>Ống cao su lưu hóa Armaflex Thái Lan 12X32</t>
  </si>
  <si>
    <t>XBOA015X32</t>
  </si>
  <si>
    <t>Ống cao su lưu hóa Armaflex Thái Lan 15X32</t>
  </si>
  <si>
    <t>XBOA020X32</t>
  </si>
  <si>
    <t>Ống cao su lưu hóa Armaflex Thái Lan 20X32</t>
  </si>
  <si>
    <t>XBOA022X32</t>
  </si>
  <si>
    <t>Ống cao su lưu hóa Armaflex Thái Lan 22X32</t>
  </si>
  <si>
    <t>XBOA025X32</t>
  </si>
  <si>
    <t>Ống cao su lưu hóa Armaflex Thái Lan 25X32</t>
  </si>
  <si>
    <t>XBOA032X32</t>
  </si>
  <si>
    <t>Ống cao su lưu hóa Armaflex Thái Lan 32X32</t>
  </si>
  <si>
    <t>XBOA035X32</t>
  </si>
  <si>
    <t>Ống cao su lưu hóa Armaflex Thái Lan 35X32</t>
  </si>
  <si>
    <t>XBOA038X32</t>
  </si>
  <si>
    <t>Ống cao su lưu hóa Armaflex Thái Lan 38X32</t>
  </si>
  <si>
    <t>XBOA042X32</t>
  </si>
  <si>
    <t>Ống cao su lưu hóa Armaflex Thái Lan 42X32</t>
  </si>
  <si>
    <t>Ống cao su lưu hóa Armaflex Thái Lan 48X32</t>
  </si>
  <si>
    <t>XBOA050X32</t>
  </si>
  <si>
    <t>Ống cao su lưu hóa Armaflex Thái Lan 50X32</t>
  </si>
  <si>
    <t>XBOA054X32</t>
  </si>
  <si>
    <t>Ống cao su lưu hóa Armaflex Thái Lan 54X32</t>
  </si>
  <si>
    <t>XBOA060X32</t>
  </si>
  <si>
    <t>Ống cao su lưu hóa Armaflex Thái Lan 60X32</t>
  </si>
  <si>
    <t>XBOA067X32</t>
  </si>
  <si>
    <t>Ống cao su lưu hóa Armaflex Thái Lan 67X32</t>
  </si>
  <si>
    <t>XBOA076X32</t>
  </si>
  <si>
    <t>Ống cao su lưu hóa Armaflex Thái Lan 76X32</t>
  </si>
  <si>
    <t>XBOA080X32</t>
  </si>
  <si>
    <t>Ống cao su lưu hóa Armaflex Thái Lan 80X32</t>
  </si>
  <si>
    <t>XBOA108X32</t>
  </si>
  <si>
    <t>Ống cao su lưu hóa Armaflex Thái Lan 108X32</t>
  </si>
  <si>
    <t>XBOA114X32</t>
  </si>
  <si>
    <t>Ống cao su lưu hóa Armaflex Thái Lan 114X32</t>
  </si>
  <si>
    <t>XBOA140X32</t>
  </si>
  <si>
    <t>Ống cao su lưu hóa Armaflex Thái Lan 140X32</t>
  </si>
  <si>
    <t>XBOA168X32</t>
  </si>
  <si>
    <t>Ống cao su lưu hóa Armaflex Thái Lan 168X32</t>
  </si>
  <si>
    <t>XBOA015X38</t>
  </si>
  <si>
    <t>Ống cao su lưu hóa Armaflex Thái Lan 15X38</t>
  </si>
  <si>
    <t>XBOA020X38</t>
  </si>
  <si>
    <t>Ống cao su lưu hóa Armaflex Thái Lan 20X38</t>
  </si>
  <si>
    <t>XBOA022X38</t>
  </si>
  <si>
    <t>Ống cao su lưu hóa Armaflex Thái Lan 22X38</t>
  </si>
  <si>
    <t>XBOA025X38</t>
  </si>
  <si>
    <t>Ống cao su lưu hóa Armaflex Thái Lan 25X38</t>
  </si>
  <si>
    <t>XBOA028X38</t>
  </si>
  <si>
    <t>Ống cao su lưu hóa Armaflex Thái Lan 28X38</t>
  </si>
  <si>
    <t>XBOA032X38</t>
  </si>
  <si>
    <t>Ống cao su lưu hóa Armaflex Thái Lan 32X38</t>
  </si>
  <si>
    <t>XBOA038X38</t>
  </si>
  <si>
    <t>Ống cao su lưu hóa Armaflex Thái Lan 38X38</t>
  </si>
  <si>
    <t>XBOA042X38</t>
  </si>
  <si>
    <t>Ống cao su lưu hóa Armaflex Thái Lan 42X38</t>
  </si>
  <si>
    <t>XBOA054X38</t>
  </si>
  <si>
    <t>Ống cao su lưu hóa Armaflex Thái Lan 54X38</t>
  </si>
  <si>
    <t>XBOA067X38</t>
  </si>
  <si>
    <t>Ống cao su lưu hóa Armaflex Thái Lan 67X38</t>
  </si>
  <si>
    <t>XBOA076X38</t>
  </si>
  <si>
    <t>Ống cao su lưu hóa Armaflex Thái Lan 76X38</t>
  </si>
  <si>
    <t>XBOA080X38</t>
  </si>
  <si>
    <t>Ống cao su lưu hóa Armaflex Thái Lan 80X38</t>
  </si>
  <si>
    <t>XBOA108X38</t>
  </si>
  <si>
    <t>Ống cao su lưu hóa Armaflex Thái Lan 108X38</t>
  </si>
  <si>
    <t>XBOA140X38</t>
  </si>
  <si>
    <t>Ống cao su lưu hóa Armaflex Thái Lan 140X38</t>
  </si>
  <si>
    <t>XBOA168X38</t>
  </si>
  <si>
    <t>Ống cao su lưu hóa Armaflex Thái Lan 168X38</t>
  </si>
  <si>
    <t>XBOA020X50</t>
  </si>
  <si>
    <t>Ống cao su lưu hóa Armaflex Thái Lan 20X50</t>
  </si>
  <si>
    <t>XBOA022X50</t>
  </si>
  <si>
    <t>Ống cao su lưu hóa Armaflex Thái Lan 22X50</t>
  </si>
  <si>
    <t>XBOA025X50</t>
  </si>
  <si>
    <t>Ống cao su lưu hóa Armaflex Thái Lan 25X50</t>
  </si>
  <si>
    <t>XBOA028X50</t>
  </si>
  <si>
    <t>Ống cao su lưu hóa Armaflex Thái Lan 28X50</t>
  </si>
  <si>
    <t>XBOA032X50</t>
  </si>
  <si>
    <t>Ống cao su lưu hóa Armaflex Thái Lan 32X50</t>
  </si>
  <si>
    <t>XBOA035X50</t>
  </si>
  <si>
    <t>Ống cao su lưu hóa Armaflex Thái Lan 35X50</t>
  </si>
  <si>
    <t>XBOA042X50</t>
  </si>
  <si>
    <t>Ống cao su lưu hóa Armaflex Thái Lan 42X50</t>
  </si>
  <si>
    <t>XBOA048X50</t>
  </si>
  <si>
    <t>Ống cao su lưu hóa Armaflex Thái Lan 48X50</t>
  </si>
  <si>
    <t>XBOA050X50</t>
  </si>
  <si>
    <t>Ống cao su lưu hóa Armaflex Thái Lan 50X50</t>
  </si>
  <si>
    <t>XBOA054X50</t>
  </si>
  <si>
    <t>Ống cao su lưu hóa Armaflex Thái Lan 54X50</t>
  </si>
  <si>
    <t>XBOA060X50</t>
  </si>
  <si>
    <t>Ống cao su lưu hóa Armaflex Thái Lan 60X50</t>
  </si>
  <si>
    <t>XBOA067X50</t>
  </si>
  <si>
    <t>Ống cao su lưu hóa Armaflex Thái Lan 67X50</t>
  </si>
  <si>
    <t>XBOA076X50</t>
  </si>
  <si>
    <t>Ống cao su lưu hóa Armaflex Thái Lan 76X50</t>
  </si>
  <si>
    <t>XBOA080X50</t>
  </si>
  <si>
    <t>Ống cao su lưu hóa Armaflex Thái Lan 80X50</t>
  </si>
  <si>
    <t>XBOA108X50</t>
  </si>
  <si>
    <t>Ống cao su lưu hóa Armaflex Thái Lan 108X50</t>
  </si>
  <si>
    <t>XBOA114X50</t>
  </si>
  <si>
    <t>Ống cao su lưu hóa Armaflex Thái Lan 114X50</t>
  </si>
  <si>
    <t>XBOA140X50</t>
  </si>
  <si>
    <t>Ống cao su lưu hóa Armaflex Thái Lan 140X50</t>
  </si>
  <si>
    <t>XBOA168X50</t>
  </si>
  <si>
    <t>Ống cao su lưu hóa Armaflex Thái Lan 168X50</t>
  </si>
  <si>
    <t>XBOA012X06C0</t>
  </si>
  <si>
    <t>Ống cao su lưu hóa Armaflex Thái Lan 12X6 Class 0 (143S/T)</t>
  </si>
  <si>
    <t>XBOA015X06C0</t>
  </si>
  <si>
    <t>Ống cao su lưu hóa Armaflex Thái Lan 15X6 Class 0 (132S/T)</t>
  </si>
  <si>
    <t>XBOA020X06C0</t>
  </si>
  <si>
    <t>Ống cao su lưu hóa Armaflex Thái Lan 20X6 Class 0 (110S/T)</t>
  </si>
  <si>
    <t>XBOA022X06C0</t>
  </si>
  <si>
    <t>Ống cao su lưu hóa Armaflex Thái Lan 22X6 Class 0 (90S/T)</t>
  </si>
  <si>
    <t>XBOA025X06C0</t>
  </si>
  <si>
    <t>Ống cao su lưu hóa Armaflex Thái Lan 25X6 Class 0 (72S/T)</t>
  </si>
  <si>
    <t>XBOA028X06C0</t>
  </si>
  <si>
    <t>Ống cao su lưu hóa Armaflex Thái Lan 28X6 Class 0 (72S/T)</t>
  </si>
  <si>
    <t>XBOA006X09C0</t>
  </si>
  <si>
    <t>Ống cao su lưu hóa Armaflex Thái Lan 6X9 Class 0 (156S/T)</t>
  </si>
  <si>
    <t>XBOA010X9C0</t>
  </si>
  <si>
    <t>Ống cao su lưu hóa Armaflex Thái Lan 10X9 Class 0 (132S/T)</t>
  </si>
  <si>
    <t>XBOA012X09C0</t>
  </si>
  <si>
    <t>Ống cao su lưu hóa Armaflex Thái Lan 12X9 Class 0 (110S/T)</t>
  </si>
  <si>
    <t>XBOA015X09C0</t>
  </si>
  <si>
    <t>Ống cao su lưu hóa Armaflex Thái Lan 15X9 Class 0 (90S/T)</t>
  </si>
  <si>
    <t>XBOA020X09C0</t>
  </si>
  <si>
    <t>Ống cao su lưu hóa Armaflex Thái Lan 20X9 Class 0 (72S/T)</t>
  </si>
  <si>
    <t>XBOA022X09C0</t>
  </si>
  <si>
    <t>Ống cao su lưu hóa Armaflex Thái Lan 22X9 Class 0 (64S/T)</t>
  </si>
  <si>
    <t>XBOA025X09C0</t>
  </si>
  <si>
    <t>Ống cao su lưu hóa Armaflex Thái Lan 25X9 Class 0 (54S/T)</t>
  </si>
  <si>
    <t>XBOA028X09C0</t>
  </si>
  <si>
    <t>Ống cao su lưu hóa Armaflex Thái Lan 28X9 Class 0 (49S/T)</t>
  </si>
  <si>
    <t>XBOA045X09C0</t>
  </si>
  <si>
    <t>Ống cao su lưu hóa Armaflex Thái Lan 45X9 Class 0 (28S/T)</t>
  </si>
  <si>
    <t>XBOA048X09C0</t>
  </si>
  <si>
    <t>Ống cao su lưu hóa Armaflex Thái Lan 48X9 Class 0 (28S/T)</t>
  </si>
  <si>
    <t>XBOA054X09C0</t>
  </si>
  <si>
    <t>Ống cao su lưu hóa Armaflex Thái Lan 54X9 Class 0 (27S/T)</t>
  </si>
  <si>
    <t>XBOA057X09C0</t>
  </si>
  <si>
    <t>Ống cao su lưu hóa Armaflex Thái Lan 57X9 Class 0 (27S/T)</t>
  </si>
  <si>
    <t>XBOA060X9C0</t>
  </si>
  <si>
    <t>Ống cao su lưu hóa Armaflex Thái Lan 60X9 Class 0 (27S/T)</t>
  </si>
  <si>
    <t>XBOA076X09C0</t>
  </si>
  <si>
    <t>Ống cao su lưu hóa Armaflex Thái Lan 76X9 Class 0 (16S/T)</t>
  </si>
  <si>
    <t>XBOA012X13C0</t>
  </si>
  <si>
    <t>Ống cao su lưu hóa Armaflex Thái Lan 12X13 Class 0 (64S/T)</t>
  </si>
  <si>
    <t>XBOA015X13C0</t>
  </si>
  <si>
    <t>Ống cao su lưu hóa Armaflex Thái Lan 15X13 Class 0 (56S/T)</t>
  </si>
  <si>
    <t>XBOA020X13C0</t>
  </si>
  <si>
    <t>Ống cao su lưu hóa Armaflex Thái Lan 20X13 Class 0 (45S/T)</t>
  </si>
  <si>
    <t>XBOA022X13C0</t>
  </si>
  <si>
    <t>Ống cao su lưu hóa Armaflex Thái Lan 22X13 Class 0 (45S/T)</t>
  </si>
  <si>
    <t>XBOA025X13C0</t>
  </si>
  <si>
    <t>Ống cao su lưu hóa Armaflex Thái Lan 25X13 Class 0 (41S/T)</t>
  </si>
  <si>
    <t>XBOA045X13C0</t>
  </si>
  <si>
    <t>Ống cao su lưu hóa Armaflex Thái Lan 45X13 Class 0 (21S/T)</t>
  </si>
  <si>
    <t>XBOA054X13C0</t>
  </si>
  <si>
    <t>Ống cao su lưu hóa Armaflex Thái Lan 54X13 Class 0 (21S/T)</t>
  </si>
  <si>
    <t>XBOA057X13C0</t>
  </si>
  <si>
    <t>Ống cao su lưu hóa Armaflex Thái Lan 57X13 Class 0 (18S/T)</t>
  </si>
  <si>
    <t>XBOA067X13C0</t>
  </si>
  <si>
    <t>Ống cao su lưu hóa Armaflex Thái Lan 67X13 Class 0 (15S/T)</t>
  </si>
  <si>
    <t>XBOA076X13C0</t>
  </si>
  <si>
    <t>Ống cao su lưu hóa Armaflex Thái Lan 76X13 Class 0 (16S/T)</t>
  </si>
  <si>
    <t>XBOA108X13C0</t>
  </si>
  <si>
    <t>Ống cao su lưu hóa Armaflex Thái Lan 108X13 Class 0 (8S/T)</t>
  </si>
  <si>
    <t>XBOA114X13C0</t>
  </si>
  <si>
    <t>Ống cao su lưu hóa Armaflex Thái Lan 114X13 Class 0 (8S/T)</t>
  </si>
  <si>
    <t>XBOA125X13C0</t>
  </si>
  <si>
    <t>Ống cao su lưu hóa Armaflex Thái Lan 125X13 Class 0 (6S/T)</t>
  </si>
  <si>
    <t>XBOA133X13C0</t>
  </si>
  <si>
    <t>Ống cao su lưu hóa Armaflex Thái Lan 133X13 Class 0 (5S/T)</t>
  </si>
  <si>
    <t>XBOA140X13C0</t>
  </si>
  <si>
    <t>Ống cao su lưu hóa Armaflex Thái Lan 140X13 Class 0 (5S/T)</t>
  </si>
  <si>
    <t>XBOA025X19C0</t>
  </si>
  <si>
    <t>Ống cao su lưu hóa Armaflex Thái Lan 25X19 Class 0 (25S/T)</t>
  </si>
  <si>
    <t>XBOA038X19C0</t>
  </si>
  <si>
    <t>Ống cao su lưu hóa Armaflex Thái Lan 38X19 Class 0 (18S/T)</t>
  </si>
  <si>
    <t>XBOA045X19C0</t>
  </si>
  <si>
    <t>Ống cao su lưu hóa Armaflex Thái Lan 45X19 Class 0 (15S/T)</t>
  </si>
  <si>
    <t>XBOA054X19C0</t>
  </si>
  <si>
    <t>Ống cao su lưu hóa Armaflex Thái Lan 54X19 Class 0 (15S/T)</t>
  </si>
  <si>
    <t>XBOA057X19C0</t>
  </si>
  <si>
    <t>Ống cao su lưu hóa Armaflex Thái Lan 57X19 Class 0 (14S/T)</t>
  </si>
  <si>
    <t>XBOA067X19C0</t>
  </si>
  <si>
    <t>Ống cao su lưu hóa Armaflex Thái Lan 67X19 Class 0 (11S/T)</t>
  </si>
  <si>
    <t>XBOA076X19C0</t>
  </si>
  <si>
    <t>Ống cao su lưu hóa Armaflex Thái Lan 76X19 Class 0 (8S/T)</t>
  </si>
  <si>
    <t>XBOA108X19C0</t>
  </si>
  <si>
    <t>Ống cao su lưu hóa Armaflex Thái Lan 108X19 Class 0 (5S/T)</t>
  </si>
  <si>
    <t>XBOA114X19C0</t>
  </si>
  <si>
    <t>Ống cao su lưu hóa Armaflex Thái Lan 114X19 Class 0 (5S/T)</t>
  </si>
  <si>
    <t>XBOA125X19C0</t>
  </si>
  <si>
    <t>Ống cao su lưu hóa Armaflex Thái Lan 125X19 Class 0 (3S/T)</t>
  </si>
  <si>
    <t>XBOA133X19C0</t>
  </si>
  <si>
    <t>Ống cao su lưu hóa Armaflex Thái Lan 133X19 Class 0 (3S/T)</t>
  </si>
  <si>
    <t>XBOA140X19C0</t>
  </si>
  <si>
    <t>Ống cao su lưu hóa Armaflex Thái Lan 140X19 Class 0 (3S/T)</t>
  </si>
  <si>
    <t>XBOA010X25C0</t>
  </si>
  <si>
    <t>Ống cao su lưu hóa Armaflex Thái Lan 10X25 Class 0 (27S/T)</t>
  </si>
  <si>
    <t>XBOA015X25C0</t>
  </si>
  <si>
    <t>Ống cao su lưu hóa Armaflex Thái Lan 15X25 Class 0 (20S/T)</t>
  </si>
  <si>
    <t>XBOA022X25C0</t>
  </si>
  <si>
    <t>Ống cao su lưu hóa Armaflex Thái Lan 22X25 Class 0 (18S/T)</t>
  </si>
  <si>
    <t>XBOA025X25C0</t>
  </si>
  <si>
    <t>Ống cao su lưu hóa Armaflex Thái Lan 25X25 Class 0 (16S/T)</t>
  </si>
  <si>
    <t>XBOA032X25C0</t>
  </si>
  <si>
    <t>Ống cao su lưu hóa Armaflex Thái Lan 32X25 Class 0 (14S/T)</t>
  </si>
  <si>
    <t>XBOA038X25C0</t>
  </si>
  <si>
    <t>Ống cao su lưu hóa Armaflex Thái Lan 38X25 Class 0 (12S/T)</t>
  </si>
  <si>
    <t>XBOA042X25C0</t>
  </si>
  <si>
    <t>Ống cao su lưu hóa Armaflex Thái Lan 42X25 Class 0 ((12S/1T)</t>
  </si>
  <si>
    <t>XBOA045X25C0</t>
  </si>
  <si>
    <t>Ống cao su lưu hóa Armaflex Thái Lan 45X25 Class 0 (12S/T)</t>
  </si>
  <si>
    <t>XBOA054X25C0</t>
  </si>
  <si>
    <t>Ống cao su lưu hóa Armaflex Thái Lan 54X25 Class 0 (10S/T)</t>
  </si>
  <si>
    <t>XBOA057X25C0</t>
  </si>
  <si>
    <t>Ống cao su lưu hóa Armaflex Thái Lan 57X25 Class 0 (8S/T)</t>
  </si>
  <si>
    <t>XBOA067X25C0</t>
  </si>
  <si>
    <t>Ống cao su lưu hóa Armaflex Thái Lan 67X25 Class 0 (8S/T)</t>
  </si>
  <si>
    <t>XBOA108X25C0</t>
  </si>
  <si>
    <t>Ống cao su lưu hóa Armaflex Thái Lan 108X25 Class 0 (4S/T)</t>
  </si>
  <si>
    <t>XBOA114X25C0</t>
  </si>
  <si>
    <t>Ống cao su lưu hóa Armaflex Thái Lan 114X25 Class 0 (3S/T)</t>
  </si>
  <si>
    <t>XBOA125X25C0</t>
  </si>
  <si>
    <t>Ống cao su lưu hóa Armaflex Thái Lan 125X25 Class 0 (3S/T)</t>
  </si>
  <si>
    <t>XBOA133X25C0</t>
  </si>
  <si>
    <t>Ống cao su lưu hóa Armaflex Thái Lan 133X25 Class 0 (2S/T)</t>
  </si>
  <si>
    <t>XBOA140X25C0</t>
  </si>
  <si>
    <t>Ống cao su lưu hóa Armaflex Thái Lan 140X25 Class 0 (2S/T)</t>
  </si>
  <si>
    <t>XBOA012X32C0</t>
  </si>
  <si>
    <t>Ống cao su lưu hóa Armaflex Thái Lan 12X32 Class 0 (16S/T)</t>
  </si>
  <si>
    <t>XBOA015X32C0</t>
  </si>
  <si>
    <t>Ống cao su lưu hóa Armaflex Thái Lan 15X32 Class 0 (16S/T)</t>
  </si>
  <si>
    <t>XBOA020X32C0</t>
  </si>
  <si>
    <t>Ống cao su lưu hóa Armaflex Thái Lan 20X32 Class 0 (12S/T)</t>
  </si>
  <si>
    <t>XBOA022X32C0</t>
  </si>
  <si>
    <t>Ống cao su lưu hóa Armaflex Thái Lan 22X32 Class 0 (12S/T)</t>
  </si>
  <si>
    <t>XBOA025X32C0</t>
  </si>
  <si>
    <t>Ống cao su lưu hóa Armaflex Thái Lan 25X32 Class 0 (12S/T)</t>
  </si>
  <si>
    <t>XBOA028X32C0</t>
  </si>
  <si>
    <t>Ống cao su lưu hóa Armaflex Thái Lan 28X32 Class 0 (11S/T)</t>
  </si>
  <si>
    <t>XBOA032X32C0</t>
  </si>
  <si>
    <t>Ống cao su lưu hóa Armaflex Thái Lan 32X32 Class 0 (10S/T)</t>
  </si>
  <si>
    <t>XBOA035X32C0</t>
  </si>
  <si>
    <t>Ống cao su lưu hóa Armaflex Thái Lan 35X32 Class 0 (9S/T)</t>
  </si>
  <si>
    <t>XBOA038X32C0</t>
  </si>
  <si>
    <t>Ống cao su lưu hóa Armaflex Thái Lan 38X32 Class 0 (8S/T)</t>
  </si>
  <si>
    <t>XBOA042X32C0</t>
  </si>
  <si>
    <t>Ống cao su lưu hóa Armaflex Thái Lan 42X32 Class 0 (8S/T)</t>
  </si>
  <si>
    <t>XBOA045X32C0</t>
  </si>
  <si>
    <t>Ống cao su lưu hóa Armaflex Thái Lan 45X32 Class 0 (6S/T)</t>
  </si>
  <si>
    <t>XBOA048X32C0</t>
  </si>
  <si>
    <t>Ống cao su lưu hóa Armaflex Thái Lan 48X32 Class 0 (6S/T)</t>
  </si>
  <si>
    <t>XBOA054X32C0</t>
  </si>
  <si>
    <t>Ống cao su lưu hóa Armaflex Thái Lan 54X32 Class 0 (5S/T)</t>
  </si>
  <si>
    <t>XBOA057X32C0</t>
  </si>
  <si>
    <t>Ống cao su lưu hóa Armaflex Thái Lan 57X32 Class 0 (5S/T)</t>
  </si>
  <si>
    <t>XBOA060X32C0</t>
  </si>
  <si>
    <t>Ống cao su lưu hóa Armaflex Thái Lan 60X32 Class 0 (5S/T)</t>
  </si>
  <si>
    <t>XBOA067X32C0</t>
  </si>
  <si>
    <t>Ống cao su lưu hóa Armaflex Thái Lan 67X32 Class 0 (4S/T)</t>
  </si>
  <si>
    <t>XBOA076X32C0</t>
  </si>
  <si>
    <t>Ống cao su lưu hóa Armaflex Thái Lan 76X32 Class 0 (4S/T)</t>
  </si>
  <si>
    <t>XBOA089X32C0</t>
  </si>
  <si>
    <t>Ống cao su lưu hóa Armaflex Thái Lan 89X32 Class 0 (4S/T)</t>
  </si>
  <si>
    <t>XBOA108X32C0</t>
  </si>
  <si>
    <t>Ống cao su lưu hóa Armaflex Thái Lan 108X32 Class 0 (3S/T)</t>
  </si>
  <si>
    <t>XBOA125X32C0</t>
  </si>
  <si>
    <t>Ống cao su lưu hóa Armaflex Thái Lan 125X32 Class 0 (2S/T)</t>
  </si>
  <si>
    <t>XBOA133X32C0</t>
  </si>
  <si>
    <t>Ống cao su lưu hóa Armaflex Thái Lan 133X32 Class 0 (2S/T)</t>
  </si>
  <si>
    <t>XBOA140X32C0</t>
  </si>
  <si>
    <t>Ống cao su lưu hóa Armaflex Thái Lan 140X32 Class 0 (2S/T)</t>
  </si>
  <si>
    <t>XBOA168X32C0</t>
  </si>
  <si>
    <t>Ống cao su lưu hóa Armaflex Thái Lan 168X32 Class 0 (2S/T)</t>
  </si>
  <si>
    <t>XBOA015X40C0</t>
  </si>
  <si>
    <t>Ống cao su lưu hóa Armaflex Thái Lan 15X40 Class 0 (11S/T)</t>
  </si>
  <si>
    <t>XBOA020X40C0</t>
  </si>
  <si>
    <t>Ống cao su lưu hóa Armaflex Thái Lan 20X40 Class 0 (9S/T)</t>
  </si>
  <si>
    <t>XBOA022X40C0</t>
  </si>
  <si>
    <t>Ống cao su lưu hóa Armaflex Thái Lan 22X40 Class 0 (9S/T)</t>
  </si>
  <si>
    <t>XBOA025X40C0</t>
  </si>
  <si>
    <t>Ống cao su lưu hóa Armaflex Thái Lan 25X40 Class 0 (9S/T)</t>
  </si>
  <si>
    <t>XBOA028X40C0</t>
  </si>
  <si>
    <t>Ống cao su lưu hóa Armaflex Thái Lan 28X40 Class 0 (8S/T)</t>
  </si>
  <si>
    <t>XBOA032X40C0</t>
  </si>
  <si>
    <t>Ống cao su lưu hóa Armaflex Thái Lan 32X40 Class 0 (8S/T)</t>
  </si>
  <si>
    <t>XBOA035X40C0</t>
  </si>
  <si>
    <t>Ống cao su lưu hóa Armaflex Thái Lan 35X40 Class 0 (6S/T)</t>
  </si>
  <si>
    <t>XBOA038X40C0</t>
  </si>
  <si>
    <t>Ống cao su lưu hóa Armaflex Thái Lan 38X40 Class 0 (6S/T)</t>
  </si>
  <si>
    <t>XBOA042X40C0</t>
  </si>
  <si>
    <t>Ống cao su lưu hóa Armaflex Thái Lan 42X40 Class 0 (6S/T)</t>
  </si>
  <si>
    <t>XBOA045X40C0</t>
  </si>
  <si>
    <t>Ống cao su lưu hóa Armaflex Thái Lan 45X40 Class 0 (6S/T)</t>
  </si>
  <si>
    <t>XBOA048X40C0</t>
  </si>
  <si>
    <t>Ống cao su lưu hóa Armaflex Thái Lan 48X40 Class 0 (6S/T)</t>
  </si>
  <si>
    <t>XBOA054X40C0</t>
  </si>
  <si>
    <t>Ống cao su lưu hóa Armaflex Thái Lan 54X40 Class 0 (5S/T)</t>
  </si>
  <si>
    <t>XBOA057X40C0</t>
  </si>
  <si>
    <t>Ống cao su lưu hóa Armaflex Thái Lan 57X40 Class 0 (5S/T)</t>
  </si>
  <si>
    <t>XBOA067X40C0</t>
  </si>
  <si>
    <t>Ống cao su lưu hóa Armaflex Thái Lan 67X40 Class 0 (4S/T)</t>
  </si>
  <si>
    <t>XBOA076X40C0</t>
  </si>
  <si>
    <t>Ống cao su lưu hóa Armaflex Thái Lan 76X40 Class 0 (4S/T)</t>
  </si>
  <si>
    <t>XBOA089X40C0</t>
  </si>
  <si>
    <t>Ống cao su lưu hóa Armaflex Thái Lan 89X40 Class 0 (4S/T)</t>
  </si>
  <si>
    <t>XBOA108X40C0</t>
  </si>
  <si>
    <t>Ống cao su lưu hóa Armaflex Thái Lan 108X40 Class 0 (3S/T)</t>
  </si>
  <si>
    <t>XBOA125X40C0</t>
  </si>
  <si>
    <t>Ống cao su lưu hóa Armaflex Thái Lan 125X40 Class 0 (2S/T)</t>
  </si>
  <si>
    <t>XBOA140X40C0</t>
  </si>
  <si>
    <t>Ống cao su lưu hóa Armaflex Thái Lan 140X40 Class 0 (2S/T)</t>
  </si>
  <si>
    <t>XBOA168X40C0</t>
  </si>
  <si>
    <t>Ống cao su lưu hóa Armaflex Thái Lan 168X40 Class 0 (2S/T)</t>
  </si>
  <si>
    <t>XBOA020X50C0</t>
  </si>
  <si>
    <t>Ống cao su lưu hóa Armaflex Thái Lan 20X50 Class 0</t>
  </si>
  <si>
    <t>XBOA022X50C0</t>
  </si>
  <si>
    <t>Ống cao su lưu hóa Armaflex Thái Lan 22X50 Class 0</t>
  </si>
  <si>
    <t>XBOA025X50C0</t>
  </si>
  <si>
    <t>Ống cao su lưu hóa Armaflex Thái Lan 25X50 Class 0</t>
  </si>
  <si>
    <t>XBOA028X50C0</t>
  </si>
  <si>
    <t>Ống cao su lưu hóa Armaflex Thái Lan 28X50 Class 0</t>
  </si>
  <si>
    <t>XBOA032X50C0</t>
  </si>
  <si>
    <t>Ống cao su lưu hóa Armaflex Thái Lan 32X50 Class 0</t>
  </si>
  <si>
    <t>XBOA035X50C0</t>
  </si>
  <si>
    <t>Ống cao su lưu hóa Armaflex Thái Lan 35X50 Class 0</t>
  </si>
  <si>
    <t>XBOA038X50C0</t>
  </si>
  <si>
    <t>Ống cao su lưu hóa Armaflex Thái Lan 38X50 Class 0</t>
  </si>
  <si>
    <t>XBOA042X50C0</t>
  </si>
  <si>
    <t>Ống cao su lưu hóa Armaflex Thái Lan 42X50 Class 0</t>
  </si>
  <si>
    <t>XBOA045X50C0</t>
  </si>
  <si>
    <t>Ống cao su lưu hóa Armaflex Thái Lan 45X50 Class 0</t>
  </si>
  <si>
    <t>XBOA054X50C0</t>
  </si>
  <si>
    <t>Ống cao su lưu hóa Armaflex Thái Lan 54X50 Class 0</t>
  </si>
  <si>
    <t>XBOA057X50C0</t>
  </si>
  <si>
    <t>Ống cao su lưu hóa Armaflex Thái Lan 57X50 Class 0</t>
  </si>
  <si>
    <t>XBOA060X50C0</t>
  </si>
  <si>
    <t>Ống cao su lưu hóa Armaflex Thái Lan 60X50 Class 0</t>
  </si>
  <si>
    <t>XBOA067X50C0</t>
  </si>
  <si>
    <t>Ống cao su lưu hóa Armaflex Thái Lan 67X50 Class 0</t>
  </si>
  <si>
    <t>XBOA108X50C0</t>
  </si>
  <si>
    <t>Ống cao su lưu hóa Armaflex Thái Lan 108X50 Class 0</t>
  </si>
  <si>
    <t>XBOA114X50C0</t>
  </si>
  <si>
    <t>Ống cao su lưu hóa Armaflex Thái Lan 114X50 Class 0</t>
  </si>
  <si>
    <t>XBOAF006X09</t>
  </si>
  <si>
    <t>Ống cao su lưu hóa Armaflex FRV Thái Lan 06X09</t>
  </si>
  <si>
    <t>XBOAF010X09</t>
  </si>
  <si>
    <t>Ống cao su lưu hóa Armaflex FRV Thái Lan 10X09</t>
  </si>
  <si>
    <t>XBOAF012X09</t>
  </si>
  <si>
    <t>Ống cao su lưu hóa Armaflex FRV Thái Lan 12X09</t>
  </si>
  <si>
    <t>XBOAF015X09</t>
  </si>
  <si>
    <t>Ống cao su lưu hóa Armaflex FRV Thái Lan 15X09</t>
  </si>
  <si>
    <t>XBOAF020X09</t>
  </si>
  <si>
    <t>Ống cao su lưu hóa Armaflex FRV Thái Lan 20X09</t>
  </si>
  <si>
    <t>XBOAF025X09</t>
  </si>
  <si>
    <t>Ống cao su lưu hóa Armaflex FRV Thái Lan 25X09</t>
  </si>
  <si>
    <t>Ống cao su lưu hóa Armaflex FRV Thái Lan 28X09</t>
  </si>
  <si>
    <t>XBOAF032X09</t>
  </si>
  <si>
    <t>Ống cao su lưu hóa Armaflex FRV Thái Lan 32X09</t>
  </si>
  <si>
    <t>XBOAF035X09</t>
  </si>
  <si>
    <t>Ống cao su lưu hóa Armaflex FRV Thái Lan 35X09</t>
  </si>
  <si>
    <t>Ống cao su lưu hóa Armaflex FRV Thái Lan 42X09</t>
  </si>
  <si>
    <t>XBOAF048X09</t>
  </si>
  <si>
    <t>Ống cao su lưu hóa Armaflex FRV Thái Lan 48X09</t>
  </si>
  <si>
    <t>XBOAF054X09</t>
  </si>
  <si>
    <t>Ống cao su lưu hóa Armaflex FRV Thái Lan 54X09</t>
  </si>
  <si>
    <t>XBOAF060X09</t>
  </si>
  <si>
    <t>Ống cao su lưu hóa Armaflex FRV Thái Lan 60X09</t>
  </si>
  <si>
    <t>Ống cao su lưu hóa Armaflex FRV Thái Lan 06X13</t>
  </si>
  <si>
    <t>Ống cao su lưu hóa Armaflex FRV Thái Lan 10X13</t>
  </si>
  <si>
    <t>XBOAF012X13</t>
  </si>
  <si>
    <t>Ống cao su lưu hóa Armaflex FRV Thái Lan 12X13</t>
  </si>
  <si>
    <t>XBOAF015X13</t>
  </si>
  <si>
    <t>Ống cao su lưu hóa Armaflex FRV Thái Lan 15X13</t>
  </si>
  <si>
    <t>XBOAF020X13</t>
  </si>
  <si>
    <t>Ống cao su lưu hóa Armaflex FRV Thái Lan 20X13</t>
  </si>
  <si>
    <t>XBOAF025X13</t>
  </si>
  <si>
    <t>Ống cao su lưu hóa Armaflex FRV Thái Lan 25X13</t>
  </si>
  <si>
    <t>XBOAF032X13</t>
  </si>
  <si>
    <t>Ống cao su lưu hóa Armaflex FRV Thái Lan 32X13</t>
  </si>
  <si>
    <t>XBOAF038X13</t>
  </si>
  <si>
    <t>Ống cao su lưu hóa Armaflex FRV Thái Lan 38X13</t>
  </si>
  <si>
    <t>Ống cao su lưu hóa Armaflex FRV Thái Lan 48X13</t>
  </si>
  <si>
    <t>XBOAF054X13</t>
  </si>
  <si>
    <t>Ống cao su lưu hóa Armaflex FRV Thái Lan 54X13</t>
  </si>
  <si>
    <t>Ống cao su lưu hóa Armaflex FRV Thái Lan 60X13</t>
  </si>
  <si>
    <t>XBOAF067X13</t>
  </si>
  <si>
    <t>Ống cao su lưu hóa Armaflex FRV Thái Lan 67X13</t>
  </si>
  <si>
    <t>XBOAF076X13</t>
  </si>
  <si>
    <t>Ống cao su lưu hóa Armaflex FRV Thái Lan 76X13</t>
  </si>
  <si>
    <t>XBOAF080X13</t>
  </si>
  <si>
    <t>Ống cao su lưu hóa Armaflex FRV Thái Lan 80X13</t>
  </si>
  <si>
    <t>XBOAF089X13</t>
  </si>
  <si>
    <t>Ống cao su lưu hóa Armaflex FRV Thái Lan 89X13</t>
  </si>
  <si>
    <t>XBOAF108X13</t>
  </si>
  <si>
    <t>Ống cao su lưu hóa Armaflex FRV Thái Lan 108X13</t>
  </si>
  <si>
    <t>XBOAF114X13</t>
  </si>
  <si>
    <t>Ống cao su lưu hóa Armaflex FRV Thái Lan 114X13</t>
  </si>
  <si>
    <t>Ống cao su lưu hóa Armaflex FRV Thái Lan 06X19</t>
  </si>
  <si>
    <t>XBOAF010X19</t>
  </si>
  <si>
    <t>Ống cao su lưu hóa Armaflex FRV Thái Lan 10X19</t>
  </si>
  <si>
    <t>Ống cao su lưu hóa Armaflex FRV Thái Lan 15X19</t>
  </si>
  <si>
    <t>XBOAF020X19</t>
  </si>
  <si>
    <t>Ống cao su lưu hóa Armaflex FRV Thái Lan 20X19</t>
  </si>
  <si>
    <t>XBOAF025X19</t>
  </si>
  <si>
    <t>Ống cao su lưu hóa Armaflex FRV Thái Lan 25X19</t>
  </si>
  <si>
    <t>Ống cao su lưu hóa Armaflex FRV Thái Lan 28X19</t>
  </si>
  <si>
    <t>XBOAF032X19</t>
  </si>
  <si>
    <t>Ống cao su lưu hóa Armaflex FRV Thái Lan 32X19</t>
  </si>
  <si>
    <t>XBOAF035X19</t>
  </si>
  <si>
    <t>Ống cao su lưu hóa Armaflex FRV Thái Lan 35X19</t>
  </si>
  <si>
    <t>XBOAF038X19</t>
  </si>
  <si>
    <t>Ống cao su lưu hóa Armaflex FRV Thái Lan 38X19</t>
  </si>
  <si>
    <t>Ống cao su lưu hóa Armaflex FRV Thái Lan 42X19</t>
  </si>
  <si>
    <t>XBOAF048X19</t>
  </si>
  <si>
    <t>Ống cao su lưu hóa Armaflex FRV Thái Lan 48X19</t>
  </si>
  <si>
    <t>XBOAF054X19</t>
  </si>
  <si>
    <t>Ống cao su lưu hóa Armaflex FRV Thái Lan 54X19</t>
  </si>
  <si>
    <t>XBOAF060X19</t>
  </si>
  <si>
    <t>Ống cao su lưu hóa Armaflex FRV Thái Lan 60X19</t>
  </si>
  <si>
    <t>XBOAF067X19</t>
  </si>
  <si>
    <t>Ống cao su lưu hóa Armaflex FRV Thái Lan 67X19</t>
  </si>
  <si>
    <t>XBOAF073X19</t>
  </si>
  <si>
    <t>Ống cao su lưu hóa Armaflex FRV Thái Lan 73X19</t>
  </si>
  <si>
    <t>XBOAF076X19</t>
  </si>
  <si>
    <t>Ống cao su lưu hóa Armaflex FRV Thái Lan 76X19</t>
  </si>
  <si>
    <t>XBOAF080X19</t>
  </si>
  <si>
    <t>Ống cao su lưu hóa Armaflex FRV Thái Lan 80X19</t>
  </si>
  <si>
    <t>XBOAF108X19</t>
  </si>
  <si>
    <t>Ống cao su lưu hóa Armaflex FRV Thái Lan 108X19</t>
  </si>
  <si>
    <t>XBOAF114X19</t>
  </si>
  <si>
    <t>Ống cao su lưu hóa Armaflex FRV Thái Lan 114X19</t>
  </si>
  <si>
    <t>XBOAF140X19</t>
  </si>
  <si>
    <t>Ống cao su lưu hóa Armaflex FRV Thái Lan 140X19</t>
  </si>
  <si>
    <t>XBOAF010X25</t>
  </si>
  <si>
    <t>Ống cao su lưu hóa Armaflex FRV Thái Lan 10X25</t>
  </si>
  <si>
    <t>XBOAF012X25</t>
  </si>
  <si>
    <t>Ống cao su lưu hóa Armaflex FRV Thái Lan 12X25</t>
  </si>
  <si>
    <t>XBOAF015X25</t>
  </si>
  <si>
    <t>Ống cao su lưu hóa Armaflex FRV Thái Lan 15X25</t>
  </si>
  <si>
    <t>Ống cao su lưu hóa Armaflex FRV Thái Lan 20X25</t>
  </si>
  <si>
    <t>XBOAF025X25</t>
  </si>
  <si>
    <t>Ống cao su lưu hóa Armaflex FRV Thái Lan 25X25</t>
  </si>
  <si>
    <t>XBOAF028X25</t>
  </si>
  <si>
    <t>Ống cao su lưu hóa Armaflex FRV Thái Lan 28X25</t>
  </si>
  <si>
    <t>XBOAF032X25</t>
  </si>
  <si>
    <t>Ống cao su lưu hóa Armaflex FRV Thái Lan 32X25</t>
  </si>
  <si>
    <t>XBOAF038X25</t>
  </si>
  <si>
    <t>Ống cao su lưu hóa Armaflex FRV Thái Lan 38X25</t>
  </si>
  <si>
    <t>XBOAF042X25</t>
  </si>
  <si>
    <t>Ống cao su lưu hóa Armaflex FRV Thái Lan 42X25</t>
  </si>
  <si>
    <t>XBOAF048X25</t>
  </si>
  <si>
    <t>Ống cao su lưu hóa Armaflex FRV Thái Lan 48X25</t>
  </si>
  <si>
    <t>XBOAF054X25</t>
  </si>
  <si>
    <t>Ống cao su lưu hóa Armaflex FRV Thái Lan 54X25</t>
  </si>
  <si>
    <t>XBOAF060X25</t>
  </si>
  <si>
    <t>Ống cao su lưu hóa Armaflex FRV Thái Lan 60X25</t>
  </si>
  <si>
    <t>XBOAF067X25</t>
  </si>
  <si>
    <t>Ống cao su lưu hóa Armaflex FRV Thái Lan 67X25</t>
  </si>
  <si>
    <t>XBOAF073X25</t>
  </si>
  <si>
    <t>Ống cao su lưu hóa Armaflex FRV Thái Lan 73X25</t>
  </si>
  <si>
    <t>XBOAF076X25</t>
  </si>
  <si>
    <t>Ống cao su lưu hóa Armaflex FRV Thái Lan 76X25</t>
  </si>
  <si>
    <t>XBOAF080X25</t>
  </si>
  <si>
    <t>Ống cao su lưu hóa Armaflex FRV Thái Lan 80X25</t>
  </si>
  <si>
    <t>XBOAF089X25</t>
  </si>
  <si>
    <t>Ống cao su lưu hóa Armaflex FRV Thái Lan 89X25</t>
  </si>
  <si>
    <t>XBOAF108X25</t>
  </si>
  <si>
    <t>Ống cao su lưu hóa Armaflex FRV Thái Lan 108X25</t>
  </si>
  <si>
    <t>XBOAF114X25</t>
  </si>
  <si>
    <t>Ống cao su lưu hóa Armaflex FRV Thái Lan 114X25</t>
  </si>
  <si>
    <t>XBOAF140X25</t>
  </si>
  <si>
    <t>Ống cao su lưu hóa Armaflex FRV Thái Lan 140X25</t>
  </si>
  <si>
    <t>XBOAF168X25</t>
  </si>
  <si>
    <t>Ống cao su lưu hóa Armaflex FRV Thái Lan 168X25</t>
  </si>
  <si>
    <t>XBOAF012X32</t>
  </si>
  <si>
    <t>Ống cao su lưu hóa Armaflex FRV Thái Lan 12X32</t>
  </si>
  <si>
    <t>XBOAF015X32</t>
  </si>
  <si>
    <t>Ống cao su lưu hóa Armaflex FRV Thái Lan 15X32</t>
  </si>
  <si>
    <t>XBOAF020X32</t>
  </si>
  <si>
    <t>Ống cao su lưu hóa Armaflex FRV Thái Lan 20X32</t>
  </si>
  <si>
    <t>XBOAF022X32</t>
  </si>
  <si>
    <t>Ống cao su lưu hóa Armaflex FRV Thái Lan 22X32</t>
  </si>
  <si>
    <t>XBOAF025X32</t>
  </si>
  <si>
    <t>Ống cao su lưu hóa Armaflex FRV Thái Lan 25X32</t>
  </si>
  <si>
    <t>XBOAF028X32</t>
  </si>
  <si>
    <t>Ống cao su lưu hóa Armaflex FRV Thái Lan 28X32</t>
  </si>
  <si>
    <t>XBOAF032X32</t>
  </si>
  <si>
    <t>Ống cao su lưu hóa Armaflex FRV Thái Lan 32X32</t>
  </si>
  <si>
    <t>XBOAF035X32</t>
  </si>
  <si>
    <t>Ống cao su lưu hóa Armaflex FRV Thái Lan 35X32</t>
  </si>
  <si>
    <t>XBOAF042X32</t>
  </si>
  <si>
    <t>Ống cao su lưu hóa Armaflex FRV Thái Lan 42X32</t>
  </si>
  <si>
    <t>XBOAF054X32</t>
  </si>
  <si>
    <t>Ống cao su lưu hóa Armaflex FRV Thái Lan 54X32</t>
  </si>
  <si>
    <t>XBOAF060X32</t>
  </si>
  <si>
    <t>Ống cao su lưu hóa Armaflex FRV Thái Lan 60X32</t>
  </si>
  <si>
    <t>XBOAF067X32</t>
  </si>
  <si>
    <t>Ống cao su lưu hóa Armaflex FRV Thái Lan 67X32</t>
  </si>
  <si>
    <t>XBOAF073X32</t>
  </si>
  <si>
    <t>Ống cao su lưu hóa Armaflex FRV Thái Lan 73X32</t>
  </si>
  <si>
    <t>XBOAF080X32</t>
  </si>
  <si>
    <t>Ống cao su lưu hóa Armaflex FRV Thái Lan 80X32</t>
  </si>
  <si>
    <t>XBOAF089X32</t>
  </si>
  <si>
    <t>Ống cao su lưu hóa Armaflex FRV Thái Lan 89X32</t>
  </si>
  <si>
    <t>XBOAF108X32</t>
  </si>
  <si>
    <t>Ống cao su lưu hóa Armaflex FRV Thái Lan 108X32</t>
  </si>
  <si>
    <t>XBOAF114X32</t>
  </si>
  <si>
    <t>Ống cao su lưu hóa Armaflex FRV Thái Lan 114X32</t>
  </si>
  <si>
    <t>XBOAF140X32</t>
  </si>
  <si>
    <t>Ống cao su lưu hóa Armaflex FRV Thái Lan 140X32</t>
  </si>
  <si>
    <t>XBOAF168X32</t>
  </si>
  <si>
    <t>Ống cao su lưu hóa Armaflex FRV Thái Lan 168X32</t>
  </si>
  <si>
    <t>XBOAF012X38</t>
  </si>
  <si>
    <t>Ống cao su lưu hóa Armaflex FRV Thái Lan 12X38</t>
  </si>
  <si>
    <t>XBOAF015X38</t>
  </si>
  <si>
    <t>Ống cao su lưu hóa Armaflex FRV Thái Lan 15X38</t>
  </si>
  <si>
    <t>XBOAF020X38</t>
  </si>
  <si>
    <t>Ống cao su lưu hóa Armaflex FRV Thái Lan 20X38</t>
  </si>
  <si>
    <t>XBOAF022X38</t>
  </si>
  <si>
    <t>Ống cao su lưu hóa Armaflex FRV Thái Lan 22X38</t>
  </si>
  <si>
    <t>XBOAF025X38</t>
  </si>
  <si>
    <t>Ống cao su lưu hóa Armaflex FRV Thái Lan 25X38</t>
  </si>
  <si>
    <t>XBOAF028X38</t>
  </si>
  <si>
    <t>Ống cao su lưu hóa Armaflex FRV Thái Lan 28X38</t>
  </si>
  <si>
    <t>XBOAF032X38</t>
  </si>
  <si>
    <t>Ống cao su lưu hóa Armaflex FRV Thái Lan 32X38</t>
  </si>
  <si>
    <t>XBOAF035X38</t>
  </si>
  <si>
    <t>Ống cao su lưu hóa Armaflex FRV Thái Lan 35X38</t>
  </si>
  <si>
    <t>XBOAF042X38</t>
  </si>
  <si>
    <t>Ống cao su lưu hóa Armaflex FRV Thái Lan 42X38</t>
  </si>
  <si>
    <t>XBOAF048X38</t>
  </si>
  <si>
    <t>Ống cao su lưu hóa Armaflex FRV Thái Lan 48X38</t>
  </si>
  <si>
    <t>XBOAF054X38</t>
  </si>
  <si>
    <t>Ống cao su lưu hóa Armaflex FRV Thái Lan 54X38</t>
  </si>
  <si>
    <t>XBOAF060X38</t>
  </si>
  <si>
    <t>Ống cao su lưu hóa Armaflex FRV Thái Lan 60X38</t>
  </si>
  <si>
    <t>XBOAF067X38</t>
  </si>
  <si>
    <t>Ống cao su lưu hóa Armaflex FRV Thái Lan 67X38</t>
  </si>
  <si>
    <t>XBOAF073X38</t>
  </si>
  <si>
    <t>Ống cao su lưu hóa Armaflex FRV Thái Lan 73X38</t>
  </si>
  <si>
    <t>XBOAF076X38</t>
  </si>
  <si>
    <t>Ống cao su lưu hóa Armaflex FRV Thái Lan 76X38</t>
  </si>
  <si>
    <t>XBOAF080X38</t>
  </si>
  <si>
    <t>Ống cao su lưu hóa Armaflex FRV Thái Lan 80X38</t>
  </si>
  <si>
    <t>XBOAF089X38</t>
  </si>
  <si>
    <t>Ống cao su lưu hóa Armaflex FRV Thái Lan 89X38</t>
  </si>
  <si>
    <t>XBOAF108X38</t>
  </si>
  <si>
    <t>Ống cao su lưu hóa Armaflex FRV Thái Lan 108X38</t>
  </si>
  <si>
    <t>XBOAF114X38</t>
  </si>
  <si>
    <t>Ống cao su lưu hóa Armaflex FRV Thái Lan 114X38</t>
  </si>
  <si>
    <t>XBOAF140X38</t>
  </si>
  <si>
    <t>Ống cao su lưu hóa Armaflex FRV Thái Lan 140X38</t>
  </si>
  <si>
    <t>XBOAF168X38</t>
  </si>
  <si>
    <t>Ống cao su lưu hóa Armaflex FRV Thái Lan 168X38</t>
  </si>
  <si>
    <t>XBOAF020X50</t>
  </si>
  <si>
    <t>Ống cao su lưu hóa Armaflex FRV Thái Lan 20X50</t>
  </si>
  <si>
    <t>XBOAF022X50</t>
  </si>
  <si>
    <t>Ống cao su lưu hóa Armaflex FRV Thái Lan 22X50</t>
  </si>
  <si>
    <t>XBOAF025X50</t>
  </si>
  <si>
    <t>Ống cao su lưu hóa Armaflex FRV Thái Lan 25X50</t>
  </si>
  <si>
    <t>XBOAF028X50</t>
  </si>
  <si>
    <t>Ống cao su lưu hóa Armaflex FRV Thái Lan 28X50</t>
  </si>
  <si>
    <t>XBOAF032X50</t>
  </si>
  <si>
    <t>Ống cao su lưu hóa Armaflex FRV Thái Lan 32X50</t>
  </si>
  <si>
    <t>XBOAF035X50</t>
  </si>
  <si>
    <t>Ống cao su lưu hóa Armaflex FRV Thái Lan 35X50</t>
  </si>
  <si>
    <t>XBOAF042X50</t>
  </si>
  <si>
    <t>Ống cao su lưu hóa Armaflex FRV Thái Lan 42X50</t>
  </si>
  <si>
    <t>XBOAF048X50</t>
  </si>
  <si>
    <t>Ống cao su lưu hóa Armaflex FRV Thái Lan 48X50</t>
  </si>
  <si>
    <t>XBOAF054X50</t>
  </si>
  <si>
    <t>Ống cao su lưu hóa Armaflex FRV Thái Lan 54X50</t>
  </si>
  <si>
    <t>XBOAF060X50</t>
  </si>
  <si>
    <t>Ống cao su lưu hóa Armaflex FRV Thái Lan 60X50</t>
  </si>
  <si>
    <t>XBOAF067X50</t>
  </si>
  <si>
    <t>Ống cao su lưu hóa Armaflex FRV Thái Lan 67X50</t>
  </si>
  <si>
    <t>XBOAF073X50</t>
  </si>
  <si>
    <t>Ống cao su lưu hóa Armaflex FRV Thái Lan 73X50</t>
  </si>
  <si>
    <t>XBOAF076X50</t>
  </si>
  <si>
    <t>Ống cao su lưu hóa Armaflex FRV Thái Lan 76X50</t>
  </si>
  <si>
    <t>XBOAF080X50</t>
  </si>
  <si>
    <t>Ống cao su lưu hóa Armaflex FRV Thái Lan 80X50</t>
  </si>
  <si>
    <t>Ống cao su lưu hóa Armaflex FRV Thái Lan 89X50</t>
  </si>
  <si>
    <t>XBOAF108X50</t>
  </si>
  <si>
    <t>Ống cao su lưu hóa Armaflex FRV Thái Lan 108X50</t>
  </si>
  <si>
    <t>XBOAF114X50</t>
  </si>
  <si>
    <t>Ống cao su lưu hóa Armaflex FRV Thái Lan 114X50</t>
  </si>
  <si>
    <t>XBOAF140X50</t>
  </si>
  <si>
    <t>Ống cao su lưu hóa Armaflex FRV Thái Lan 140X50</t>
  </si>
  <si>
    <t>XBOAF168X50</t>
  </si>
  <si>
    <t>Ống cao su lưu hóa Armaflex FRV Thái Lan 168X50</t>
  </si>
  <si>
    <t>XAE-ODI</t>
  </si>
  <si>
    <t>XAE-OIB</t>
  </si>
  <si>
    <t>XAE-OTD</t>
  </si>
  <si>
    <t>XBOAE03813</t>
  </si>
  <si>
    <t>Ống cao su lưu hóa Aeroflex 38X13 (18S/T)</t>
  </si>
  <si>
    <t>XBOAE04513</t>
  </si>
  <si>
    <t>Ống cao su lưu hóa Aeroflex 45X13 (18S/T)</t>
  </si>
  <si>
    <t>XBOAE05113</t>
  </si>
  <si>
    <t>Ống cao su lưu hóa Aeroflex 51X13 (14S/T)</t>
  </si>
  <si>
    <t>XBOAE05713</t>
  </si>
  <si>
    <t>Ống cao su lưu hóa Aeroflex 57X13 (14S/T)</t>
  </si>
  <si>
    <t>XBOAE06413</t>
  </si>
  <si>
    <t>Ống cao su lưu hóa Aeroflex 64X13 (10S/T)</t>
  </si>
  <si>
    <t>XBOAE07313</t>
  </si>
  <si>
    <t>Ống cao su lưu hóa Aeroflex 73X13 (10S/T)</t>
  </si>
  <si>
    <t>XBOAE08013</t>
  </si>
  <si>
    <t>Ống cao su lưu hóa Aeroflex 80X13 (8S/T)</t>
  </si>
  <si>
    <t>XBOAE08313</t>
  </si>
  <si>
    <t>Ống cao su lưu hóa Aeroflex 83X13 (8S/T)</t>
  </si>
  <si>
    <t>XBOAE09213</t>
  </si>
  <si>
    <t>Ống cao su lưu hóa Aeroflex 92X13 (8S/T)</t>
  </si>
  <si>
    <t>XBOAE09813</t>
  </si>
  <si>
    <t>Ống cao su lưu hóa Aeroflex 98X13 (8S/T)</t>
  </si>
  <si>
    <t>XBOAE10213</t>
  </si>
  <si>
    <t>Ống cao su lưu hóa Aeroflex 102X13 (8S/T)</t>
  </si>
  <si>
    <t>XBOAE10513</t>
  </si>
  <si>
    <t>Ống cao su lưu hóa Aeroflex 105X13 (8S/T)</t>
  </si>
  <si>
    <t>XBOAE10913</t>
  </si>
  <si>
    <t>Ống cao su lưu hóa Aeroflex 109X13 (8S/T)</t>
  </si>
  <si>
    <t>XBOAE12713</t>
  </si>
  <si>
    <t>Ống cao su lưu hóa Aeroflex 127X13 (6S/T)</t>
  </si>
  <si>
    <t>XBOAE13013</t>
  </si>
  <si>
    <t>Ống cao su lưu hóa Aeroflex 130X13 (6S/T)</t>
  </si>
  <si>
    <t>XBOAE14013</t>
  </si>
  <si>
    <t>Ống cao su lưu hóa Aeroflex 140X13 (6S/T)</t>
  </si>
  <si>
    <t>XBOAE16513</t>
  </si>
  <si>
    <t>Ống cao su lưu hóa Aeroflex 165X13 (6S/T)</t>
  </si>
  <si>
    <t>XBOAE04519</t>
  </si>
  <si>
    <t>Ống cao su lưu hóa Aeroflex 45X19 (10S/T)</t>
  </si>
  <si>
    <t>XBOAE05119</t>
  </si>
  <si>
    <t>Ống cao su lưu hóa Aeroflex 51X19 (8S/T)</t>
  </si>
  <si>
    <t>XBOAE05719</t>
  </si>
  <si>
    <t>Ống cao su lưu hóa Aeroflex 57X19 (8S/T)</t>
  </si>
  <si>
    <t>XBOAE06419</t>
  </si>
  <si>
    <t>Ống cao su lưu hóa Aeroflex 64X19 (8S/T)</t>
  </si>
  <si>
    <t>XBOAE07319</t>
  </si>
  <si>
    <t>Ống cao su lưu hóa Aeroflex 73X19 (6S/T)</t>
  </si>
  <si>
    <t>XBOAE08019</t>
  </si>
  <si>
    <t>Ống cao su lưu hóa Aeroflex 80X19 (6S/T)</t>
  </si>
  <si>
    <t>XBOAE08319</t>
  </si>
  <si>
    <t>Ống cao su lưu hóa Aeroflex 83X19 (6S/T)</t>
  </si>
  <si>
    <t>XBOAE09219</t>
  </si>
  <si>
    <t>Ống cao su lưu hóa Aeroflex 92X19 (6S/T)</t>
  </si>
  <si>
    <t>XBOAE09819</t>
  </si>
  <si>
    <t>Ống cao su lưu hóa Aeroflex 98X19 (4S/T)</t>
  </si>
  <si>
    <t>XBOAE10219</t>
  </si>
  <si>
    <t>Ống cao su lưu hóa Aeroflex 102X19 (4S/T)</t>
  </si>
  <si>
    <t>XBOAE10519</t>
  </si>
  <si>
    <t>Ống cao su lưu hóa Aeroflex 105X19 (4S/T)</t>
  </si>
  <si>
    <t>XBOAE10919</t>
  </si>
  <si>
    <t>Ống cao su lưu hóa Aeroflex 109X19 (4S/T)</t>
  </si>
  <si>
    <t>XBOAE12719</t>
  </si>
  <si>
    <t>Ống cao su lưu hóa Aeroflex 127X19 (4S/T)</t>
  </si>
  <si>
    <t>XBOAE13019</t>
  </si>
  <si>
    <t>Ống cao su lưu hóa Aeroflex 130X19 (4S/T)</t>
  </si>
  <si>
    <t>XBOAE16519</t>
  </si>
  <si>
    <t>Ống cao su lưu hóa Aeroflex 165X19 (2S/T)</t>
  </si>
  <si>
    <t>XBOAE00625</t>
  </si>
  <si>
    <t>Ống cao su lưu hóa Aeroflex 6X25 (24S/T)</t>
  </si>
  <si>
    <t>XBOAE04525</t>
  </si>
  <si>
    <t>Ống cao su lưu hóa Aeroflex 45X25 (8S/T)</t>
  </si>
  <si>
    <t>XBOAE05725</t>
  </si>
  <si>
    <t>Ống cao su lưu hóa Aeroflex 57X25 (8S/T)</t>
  </si>
  <si>
    <t>XBOAE06425</t>
  </si>
  <si>
    <t>Ống cao su lưu hóa Aeroflex 64X25 (6S/T)</t>
  </si>
  <si>
    <t>XBOAE07325</t>
  </si>
  <si>
    <t>Ống cao su lưu hóa Aeroflex 73X25 (6S/T)</t>
  </si>
  <si>
    <t>XBOAE08325</t>
  </si>
  <si>
    <t>Ống cao su lưu hóa Aeroflex 83X25 (6S/T)</t>
  </si>
  <si>
    <t>XBOAE09225</t>
  </si>
  <si>
    <t>Ống cao su lưu hóa Aeroflex 92X25 (4S/T)</t>
  </si>
  <si>
    <t>XBOAE09825</t>
  </si>
  <si>
    <t>Ống cao su lưu hóa Aeroflex 98X25 (4S/T)</t>
  </si>
  <si>
    <t>XBOAE10225</t>
  </si>
  <si>
    <t>Ống cao su lưu hóa Aeroflex 102X25 (4S/T)</t>
  </si>
  <si>
    <t>XBOAE10525</t>
  </si>
  <si>
    <t>Ống cao su lưu hóa Aeroflex 105X25 (4S/T)</t>
  </si>
  <si>
    <t>XBOAE10925</t>
  </si>
  <si>
    <t>XBOAE12725</t>
  </si>
  <si>
    <t>Ống cao su lưu hóa Aeroflex 127X25 (4S/T)</t>
  </si>
  <si>
    <t>XBOAE13025</t>
  </si>
  <si>
    <t>Ống cao su lưu hóa Aeroflex 130X25 (2S/T)</t>
  </si>
  <si>
    <t>XBOAE16525</t>
  </si>
  <si>
    <t>Ống cao su lưu hóa Aeroflex 165X25 (2S/T)</t>
  </si>
  <si>
    <t>XBOAE00632</t>
  </si>
  <si>
    <t>Ống cao su lưu hóa Aeroflex 6X32 (15S/T)</t>
  </si>
  <si>
    <t>XBOAE01032</t>
  </si>
  <si>
    <t>Ống cao su lưu hóa Aeroflex 10X32 (14S/T)</t>
  </si>
  <si>
    <t>XBOAE03832</t>
  </si>
  <si>
    <t>Ống cao su lưu hóa Aeroflex 38X32 (8S/T)</t>
  </si>
  <si>
    <t>XBOAE04532</t>
  </si>
  <si>
    <t>Ống cao su lưu hóa Aeroflex 45X32 (8S/T)</t>
  </si>
  <si>
    <t>XBOAE05132</t>
  </si>
  <si>
    <t>Ống cao su lưu hóa Aeroflex 51X32 (6S/T)</t>
  </si>
  <si>
    <t>XBOAE05732</t>
  </si>
  <si>
    <t>Ống cao su lưu hóa Aeroflex 57X32 (6S/T)</t>
  </si>
  <si>
    <t>XBOAE06432</t>
  </si>
  <si>
    <t>Ống cao su lưu hóa Aeroflex 64X32 (4S/T)</t>
  </si>
  <si>
    <t>XBOAE07332</t>
  </si>
  <si>
    <t>Ống cao su lưu hóa Aeroflex 73X32 (4S/T)</t>
  </si>
  <si>
    <t>XBOAE08332</t>
  </si>
  <si>
    <t>Ống cao su lưu hóa Aeroflex 83X32 (4S/T)</t>
  </si>
  <si>
    <t>XBOAE09232</t>
  </si>
  <si>
    <t>Ống cao su lưu hóa Aeroflex 92X32 (4S/T)</t>
  </si>
  <si>
    <t>XBOAE09832</t>
  </si>
  <si>
    <t>Ống cao su lưu hóa Aeroflex 98X32 (2S/T)</t>
  </si>
  <si>
    <t>XBOAE10232</t>
  </si>
  <si>
    <t>Ống cao su lưu hóa Aeroflex 102X32 (2S/T)</t>
  </si>
  <si>
    <t>XBOAE10532</t>
  </si>
  <si>
    <t>Ống cao su lưu hóa Aeroflex 105X32 (2S/T)</t>
  </si>
  <si>
    <t>XBOAE12732</t>
  </si>
  <si>
    <t>Ống cao su lưu hóa Aeroflex 127X32 (2S/T)</t>
  </si>
  <si>
    <t>XBOAE13032</t>
  </si>
  <si>
    <t>Ống cao su lưu hóa Aeroflex 130X32 (2S/T)</t>
  </si>
  <si>
    <t>XBOAE16532</t>
  </si>
  <si>
    <t>Ống cao su lưu hóa Aeroflex 165X32 (2S/T)</t>
  </si>
  <si>
    <t>XBOAE00638</t>
  </si>
  <si>
    <t>Ống cao su lưu hóa Aeroflex 6X38 (10S/T)</t>
  </si>
  <si>
    <t>XBOAE01038</t>
  </si>
  <si>
    <t>Ống cao su lưu hóa Aeroflex 10X38 (10S/T)</t>
  </si>
  <si>
    <t>XBOAE01338</t>
  </si>
  <si>
    <t>Ống cao su lưu hóa Aeroflex 13X38 (10S/T)</t>
  </si>
  <si>
    <t>XBOAE03838</t>
  </si>
  <si>
    <t>Ống cao su lưu hóa Aeroflex 38X38 (6S/T)</t>
  </si>
  <si>
    <t>XBOAE04538</t>
  </si>
  <si>
    <t>Ống cao su lưu hóa Aeroflex 45X38 (6S/T)</t>
  </si>
  <si>
    <t>XBOAE05138</t>
  </si>
  <si>
    <t>Ống cao su lưu hóa Aeroflex 51X38 (4S/T)</t>
  </si>
  <si>
    <t>XBOAE05738</t>
  </si>
  <si>
    <t>Ống cao su lưu hóa Aeroflex 57X38 (4S/T)</t>
  </si>
  <si>
    <t>XBOAE06438</t>
  </si>
  <si>
    <t>Ống cao su lưu hóa Aeroflex 64X38 (4S/T)</t>
  </si>
  <si>
    <t>XBOAE07338</t>
  </si>
  <si>
    <t>Ống cao su lưu hóa Aeroflex 73X38 (3S/T)</t>
  </si>
  <si>
    <t>XBOAE08038</t>
  </si>
  <si>
    <t>Ống cao su lưu hóa Aeroflex 80X38 (3S/T)</t>
  </si>
  <si>
    <t>XBOAE08338</t>
  </si>
  <si>
    <t>Ống cao su lưu hóa Aeroflex 83X38 (3S/T)</t>
  </si>
  <si>
    <t>XBOAE09238</t>
  </si>
  <si>
    <t>Ống cao su lưu hóa Aeroflex 92X38 (3S/T)</t>
  </si>
  <si>
    <t>XBOAE09838</t>
  </si>
  <si>
    <t>Ống cao su lưu hóa Aeroflex 98X38 (3S/T)</t>
  </si>
  <si>
    <t>XBOAE10238</t>
  </si>
  <si>
    <t>Ống cao su lưu hóa Aeroflex 102X38 (3S/T)</t>
  </si>
  <si>
    <t>XBOAE10538</t>
  </si>
  <si>
    <t>Ống cao su lưu hóa Aeroflex 105X38 (3S/T)</t>
  </si>
  <si>
    <t>XBOAE12738</t>
  </si>
  <si>
    <t>Ống cao su lưu hóa Aeroflex 127X38 (2S/T)</t>
  </si>
  <si>
    <t>XBOAE13038</t>
  </si>
  <si>
    <t>Ống cao su lưu hóa Aeroflex 130X38 (2S/T)</t>
  </si>
  <si>
    <t>XBOAE16538</t>
  </si>
  <si>
    <t>Ống cao su lưu hóa Aeroflex 165X38 (2S/T)</t>
  </si>
  <si>
    <t>XBOAE01050</t>
  </si>
  <si>
    <t>Ống cao su lưu hóa Aeroflex 10X50 (4S/T)</t>
  </si>
  <si>
    <t>XBOAE01350</t>
  </si>
  <si>
    <t>Ống cao su lưu hóa Aeroflex 13X50 (4S/T)</t>
  </si>
  <si>
    <t>XBOAE01650</t>
  </si>
  <si>
    <t>Ống cao su lưu hóa Aeroflex 16X50 (4S/T)</t>
  </si>
  <si>
    <t>XBOAE03850</t>
  </si>
  <si>
    <t>Ống cao su lưu hóa Aeroflex 38X50 (4S/T)</t>
  </si>
  <si>
    <t>XBOAE04550</t>
  </si>
  <si>
    <t>Ống cao su lưu hóa Aeroflex 45X50 (4S/T)</t>
  </si>
  <si>
    <t>XBOAE05150</t>
  </si>
  <si>
    <t>Ống cao su lưu hóa Aeroflex 51X50 (3S/T)</t>
  </si>
  <si>
    <t>XBOAE05750</t>
  </si>
  <si>
    <t>Ống cao su lưu hóa Aeroflex 57X50 (3S/T)</t>
  </si>
  <si>
    <t>XBOAE06450</t>
  </si>
  <si>
    <t>Ống cao su lưu hóa Aeroflex 64X50 (3S/T)</t>
  </si>
  <si>
    <t>XBOAE07350</t>
  </si>
  <si>
    <t>Ống cao su lưu hóa Aeroflex 73X50 (3S/T)</t>
  </si>
  <si>
    <t>XBOAE08050</t>
  </si>
  <si>
    <t>Ống cao su lưu hóa Aeroflex 80X50 (2S/T)</t>
  </si>
  <si>
    <t>XBOAE08350</t>
  </si>
  <si>
    <t>Ống cao su lưu hóa Aeroflex 83X50 (2S/T)</t>
  </si>
  <si>
    <t>XBOAE09250</t>
  </si>
  <si>
    <t>Ống cao su lưu hóa Aeroflex 92X50 (2S/T)</t>
  </si>
  <si>
    <t>XBOAE09850</t>
  </si>
  <si>
    <t>Ống cao su lưu hóa Aeroflex 98X50 (2S/T)</t>
  </si>
  <si>
    <t>XBOAE10250</t>
  </si>
  <si>
    <t>Ống cao su lưu hóa Aeroflex 102X50 (2S/T)</t>
  </si>
  <si>
    <t>XBOAE10550</t>
  </si>
  <si>
    <t>Ống cao su lưu hóa Aeroflex 105X50 (2S/T)</t>
  </si>
  <si>
    <t>XBOAE12750</t>
  </si>
  <si>
    <t>Ống cao su lưu hóa Aeroflex 127X50 (2S/T)</t>
  </si>
  <si>
    <t>XBOAE13050</t>
  </si>
  <si>
    <t>Ống cao su lưu hóa Aeroflex 130X50 (2S/T)</t>
  </si>
  <si>
    <t>XBOAE16550</t>
  </si>
  <si>
    <t>Ống cao su lưu hóa Aeroflex 165X50 (2S/T)</t>
  </si>
  <si>
    <t>AFFOM38X13</t>
  </si>
  <si>
    <t>Ống cao su lưu hóa Aeroflex Class 0 - 38X13 (18S/T)</t>
  </si>
  <si>
    <t>AFFOM45X13</t>
  </si>
  <si>
    <t>Ống cao su lưu hóa Aeroflex Class 0 - 45X13 (18S/T)</t>
  </si>
  <si>
    <t>AFFOM51X13</t>
  </si>
  <si>
    <t>Ống cao su lưu hóa Aeroflex Class 0 - 51X13 (14S/T)</t>
  </si>
  <si>
    <t>AFFOM57X13</t>
  </si>
  <si>
    <t>Ống cao su lưu hóa Aeroflex Class 0 - 57X13 (14S/T)</t>
  </si>
  <si>
    <t>AFFOM64X13</t>
  </si>
  <si>
    <t>Ống cao su lưu hóa Aeroflex Class 0 - 64X13 (10S/T)</t>
  </si>
  <si>
    <t>AFFOM73X13</t>
  </si>
  <si>
    <t>Ống cao su lưu hóa Aeroflex Class 0 - 73X13 (10S/T)</t>
  </si>
  <si>
    <t>AFFOM80X13</t>
  </si>
  <si>
    <t>Ống cao su lưu hóa Aeroflex Class 0 - 80X13 (8S/T)</t>
  </si>
  <si>
    <t>AFFOM83X13</t>
  </si>
  <si>
    <t>Ống cao su lưu hóa Aeroflex Class 0 - 83X13 (8S/T)</t>
  </si>
  <si>
    <t>AFFOM92X13</t>
  </si>
  <si>
    <t>Ống cao su lưu hóa Aeroflex Class 0 - 92X13 (8S/T)</t>
  </si>
  <si>
    <t>AFFOM98X13</t>
  </si>
  <si>
    <t>Ống cao su lưu hóa Aeroflex Class 0 - 98X13 (8S/T)</t>
  </si>
  <si>
    <t>AFFOM102X13</t>
  </si>
  <si>
    <t>Ống cao su lưu hóa Aeroflex Class 0 - 102X13 (8S/T)</t>
  </si>
  <si>
    <t>AFFOM105X13</t>
  </si>
  <si>
    <t>Ống cao su lưu hóa Aeroflex Class 0 - 105X13 (8S/T)</t>
  </si>
  <si>
    <t>AFFOM109X13</t>
  </si>
  <si>
    <t>Ống cao su lưu hóa Aeroflex Class 0 - 109X13 (6S/T)</t>
  </si>
  <si>
    <t>AFFOM127X13</t>
  </si>
  <si>
    <t>Ống cao su lưu hóa Aeroflex Class 0 - 127X13 (6S/T)</t>
  </si>
  <si>
    <t>AFFOM130X13</t>
  </si>
  <si>
    <t>Ống cao su lưu hóa Aeroflex Class 0 - 130X13 (4S/T)</t>
  </si>
  <si>
    <t>AFFOM140X13</t>
  </si>
  <si>
    <t>Ống cao su lưu hóa Aeroflex Class 0 - 140X13 (4S/T)</t>
  </si>
  <si>
    <t>AFFOM165X13</t>
  </si>
  <si>
    <t>Ống cao su lưu hóa Aeroflex Class 0 - 165X13 (4S/T)</t>
  </si>
  <si>
    <t>AFFOM38X19</t>
  </si>
  <si>
    <t>Ống cao su lưu hóa Aeroflex Class 0 - 38X19 (16S/T)</t>
  </si>
  <si>
    <t>AFFOM45X19</t>
  </si>
  <si>
    <t>Ống cao su lưu hóa Aeroflex Class 0 - 45X19 (10S/T)</t>
  </si>
  <si>
    <t>AFFOM51X19</t>
  </si>
  <si>
    <t>Ống cao su lưu hóa Aeroflex Class 0 - 51X19 (8S/T)</t>
  </si>
  <si>
    <t>AFFOM57X19</t>
  </si>
  <si>
    <t>Ống cao su lưu hóa Aeroflex Class 0 - 57X19 (8S/T)</t>
  </si>
  <si>
    <t>AFFOM64X19</t>
  </si>
  <si>
    <t>Ống cao su lưu hóa Aeroflex Class 0 - 64X19 (8S/T)</t>
  </si>
  <si>
    <t>AFFOM73X19</t>
  </si>
  <si>
    <t>Ống cao su lưu hóa Aeroflex Class 0 - 73X19 (6S/T)</t>
  </si>
  <si>
    <t>AFFOM80X19</t>
  </si>
  <si>
    <t>Ống cao su lưu hóa Aeroflex Class 0 - 80X19 (6S/T)</t>
  </si>
  <si>
    <t>AFFOM83X19</t>
  </si>
  <si>
    <t>Ống cao su lưu hóa Aeroflex Class 0 - 83X19 (6S/T)</t>
  </si>
  <si>
    <t>AFFOM92X19</t>
  </si>
  <si>
    <t>Ống cao su lưu hóa Aeroflex Class 0 - 92X19 (6S/T)</t>
  </si>
  <si>
    <t>AFFOM98X19</t>
  </si>
  <si>
    <t>Ống cao su lưu hóa Aeroflex Class 0 - 98X19 (4S/T)</t>
  </si>
  <si>
    <t>AFFOM102X19</t>
  </si>
  <si>
    <t>Ống cao su lưu hóa Aeroflex Class 0 - 102X19 (4S/T)</t>
  </si>
  <si>
    <t>AFFOM105X19</t>
  </si>
  <si>
    <t>Ống cao su lưu hóa Aeroflex Class 0 - 105X19 (4S/T)</t>
  </si>
  <si>
    <t>AFFOM109X19</t>
  </si>
  <si>
    <t>Ống cao su lưu hóa Aeroflex Class 0 - 109X19 (4S/T)</t>
  </si>
  <si>
    <t>AFFOM127X19</t>
  </si>
  <si>
    <t>Ống cao su lưu hóa Aeroflex Class 0 - 127X19 (4S/T)</t>
  </si>
  <si>
    <t>AFFOM130X19</t>
  </si>
  <si>
    <t>Ống cao su lưu hóa Aeroflex Class 0 - 130X19 (4S/T)</t>
  </si>
  <si>
    <t>AFFOM140X19</t>
  </si>
  <si>
    <t>Ống cao su lưu hóa Aeroflex Class 0 - 140X19 (4S/T)</t>
  </si>
  <si>
    <t>AFFOM165X19</t>
  </si>
  <si>
    <t>Ống cao su lưu hóa Aeroflex Class 0 - 165X19 (2S/T)</t>
  </si>
  <si>
    <t>AFFOM06X25</t>
  </si>
  <si>
    <t>Ống cao su lưu hóa Aeroflex Class 0 - 06X25 (24S/T)</t>
  </si>
  <si>
    <t>AFFOM45X25</t>
  </si>
  <si>
    <t>Ống cao su lưu hóa Aeroflex Class 0 - 45X25 (8S/T)</t>
  </si>
  <si>
    <t>AFFOM57X25</t>
  </si>
  <si>
    <t>Ống cao su lưu hóa Aeroflex Class 0 - 57X25 (8S/T)</t>
  </si>
  <si>
    <t>AFFOM64X25</t>
  </si>
  <si>
    <t>Ống cao su lưu hóa Aeroflex Class 0 - 64X25 (6S/T)</t>
  </si>
  <si>
    <t>AFFOM73X25</t>
  </si>
  <si>
    <t>Ống cao su lưu hóa Aeroflex Class 0 - 73X25 (6S/T)</t>
  </si>
  <si>
    <t>AFFOM83X25</t>
  </si>
  <si>
    <t>Ống cao su lưu hóa Aeroflex Class 0 - 83X25 (6S/T)</t>
  </si>
  <si>
    <t>AFFOM92X25</t>
  </si>
  <si>
    <t>Ống cao su lưu hóa Aeroflex Class 0 - 92X25 (4S/T)</t>
  </si>
  <si>
    <t>AFFOM98X25</t>
  </si>
  <si>
    <t>Ống cao su lưu hóa Aeroflex Class 0 - 98X25 (4S/T)</t>
  </si>
  <si>
    <t>AFFOM102X25</t>
  </si>
  <si>
    <t>Ống cao su lưu hóa Aeroflex Class 0 - 102X25 (4S/T)</t>
  </si>
  <si>
    <t>AFFOM105X25</t>
  </si>
  <si>
    <t>Ống cao su lưu hóa Aeroflex Class 0 - 105X25 (4S/T)</t>
  </si>
  <si>
    <t>AFFOM127X25</t>
  </si>
  <si>
    <t>Ống cao su lưu hóa Aeroflex Class 0 - 127X25 (4S/T)</t>
  </si>
  <si>
    <t>AFFOM130X25</t>
  </si>
  <si>
    <t>Ống cao su lưu hóa Aeroflex Class 0 - 130X25 (2S/T)</t>
  </si>
  <si>
    <t>AFFOM165X25</t>
  </si>
  <si>
    <t>Ống cao su lưu hóa Aeroflex Class 0 - 165X25 (2S/T)</t>
  </si>
  <si>
    <t>AFFOM06X32</t>
  </si>
  <si>
    <t>Ống cao su lưu hóa Aeroflex Class 0 - 06X32 (15S/T)</t>
  </si>
  <si>
    <t>AFFOM10X32</t>
  </si>
  <si>
    <t>Ống cao su lưu hóa Aeroflex Class 0 - 10X32 (14S/T)</t>
  </si>
  <si>
    <t>XTS-OTD</t>
  </si>
  <si>
    <t>XBOTS016X09</t>
  </si>
  <si>
    <t>Ống cao su lưu hóa Taisei 16x09 (100S/T)</t>
  </si>
  <si>
    <t>XBOTS019X09</t>
  </si>
  <si>
    <t>Ống cao su lưu hóa Taisei 19x09 (80S/T)</t>
  </si>
  <si>
    <t>XBOTS019X19</t>
  </si>
  <si>
    <t>Ống cao su lưu hóa Taisei 19x19</t>
  </si>
  <si>
    <t>J-Flex Malaysia</t>
  </si>
  <si>
    <t>XJFLEX</t>
  </si>
  <si>
    <t>XBOJ006X09</t>
  </si>
  <si>
    <t>Xốp bảo ôn Malaysia J-Flex 6X9 (195 sợi/thùng)</t>
  </si>
  <si>
    <t>Xốp bảo ôn Malaysia J-Flex 10X9 (140 sợi/thùng)</t>
  </si>
  <si>
    <t>Xốp bảo ôn Malaysia J-Flex 13X9 (120 sợi/thùng)</t>
  </si>
  <si>
    <t>Xốp bảo ôn Malaysia J-Flex 16X9 (100 sợi/thùng)</t>
  </si>
  <si>
    <t>XBOJ019X09</t>
  </si>
  <si>
    <t>Xốp bảo ôn Malaysia J-Flex 19X9 (80 sợi/thùng)</t>
  </si>
  <si>
    <t>AFFOM38X32</t>
  </si>
  <si>
    <t>Ống cao su lưu hóa Aeroflex Class 0 - 38X32 (8S/T)</t>
  </si>
  <si>
    <t>AFFOM45X32</t>
  </si>
  <si>
    <t>Ống cao su lưu hóa Aeroflex Class 0 - 45X32 (8S/T)</t>
  </si>
  <si>
    <t>AFFOM51X32</t>
  </si>
  <si>
    <t>Ống cao su lưu hóa Aeroflex Class 0 - 51X32 (6S/T)</t>
  </si>
  <si>
    <t>AFFOM57X32</t>
  </si>
  <si>
    <t>Ống cao su lưu hóa Aeroflex Class 0 - 57X32 (6S/T)</t>
  </si>
  <si>
    <t>AFFOM64X32</t>
  </si>
  <si>
    <t>Ống cao su lưu hóa Aeroflex Class 0 - 64X32 (4S/T)</t>
  </si>
  <si>
    <t>AFFOM73X32</t>
  </si>
  <si>
    <t>Ống cao su lưu hóa Aeroflex Class 0 - 73X32 (4S/T)</t>
  </si>
  <si>
    <t>AFFOM83X32</t>
  </si>
  <si>
    <t>Ống cao su lưu hóa Aeroflex Class 0 - 83X32 (4S/T)</t>
  </si>
  <si>
    <t>AFFOM92X32</t>
  </si>
  <si>
    <t>Ống cao su lưu hóa Aeroflex Class 0 - 92X32 (4S/T)</t>
  </si>
  <si>
    <t>AFFOM98X32</t>
  </si>
  <si>
    <t>Ống cao su lưu hóa Aeroflex Class 0 - 98X32 (2S/T)</t>
  </si>
  <si>
    <t>AFFOM102X32</t>
  </si>
  <si>
    <t>Ống cao su lưu hóa Aeroflex Class 0 - 102X32 (2S/T)</t>
  </si>
  <si>
    <t>AFFOM105X32</t>
  </si>
  <si>
    <t>Ống cao su lưu hóa Aeroflex Class 0 - 105X32 (2S/T)</t>
  </si>
  <si>
    <t>AFFOM127X32</t>
  </si>
  <si>
    <t>Ống cao su lưu hóa Aeroflex Class 0 - 127X32 (2S/T)</t>
  </si>
  <si>
    <t>AFFOM130X32</t>
  </si>
  <si>
    <t>Ống cao su lưu hóa Aeroflex Class 0 - 130X32 (2S/T)</t>
  </si>
  <si>
    <t>AFFOM165X32</t>
  </si>
  <si>
    <t>Ống cao su lưu hóa Aeroflex Class 0 - 165X32 (2S/T)</t>
  </si>
  <si>
    <t>AFFOM06X38</t>
  </si>
  <si>
    <t>Ống cao su lưu hóa Aeroflex Class 0 - 06X38 (10S/T)</t>
  </si>
  <si>
    <t>AFFOM10X38</t>
  </si>
  <si>
    <t>Ống cao su lưu hóa Aeroflex Class 0 - 10X38 (10S/T)</t>
  </si>
  <si>
    <t>AFFOM13X38</t>
  </si>
  <si>
    <t>Ống cao su lưu hóa Aeroflex Class 0 - 13X38 (10S/T)</t>
  </si>
  <si>
    <t>AFFOM38X38</t>
  </si>
  <si>
    <t>Ống cao su lưu hóa Aeroflex Class 0 - 38X38 (6S/T)</t>
  </si>
  <si>
    <t>AFFOM45X38</t>
  </si>
  <si>
    <t>Ống cao su lưu hóa Aeroflex Class 0 - 45X38 (6S/T)</t>
  </si>
  <si>
    <t>AFFOM51X38</t>
  </si>
  <si>
    <t>Ống cao su lưu hóa Aeroflex Class 0 - 51X38 (4S/T)</t>
  </si>
  <si>
    <t>AFFOM57X38</t>
  </si>
  <si>
    <t>Ống cao su lưu hóa Aeroflex Class 0 - 57X38 (4S/T)</t>
  </si>
  <si>
    <t>AFFOM64X38</t>
  </si>
  <si>
    <t>Ống cao su lưu hóa Aeroflex Class 0 - 64X38 (4S/T)</t>
  </si>
  <si>
    <t>AFFOM73X38</t>
  </si>
  <si>
    <t>Ống cao su lưu hóa Aeroflex Class 0 - 73X38 (4S/T)</t>
  </si>
  <si>
    <t>AFFOM80X38</t>
  </si>
  <si>
    <t>Ống cao su lưu hóa Aeroflex Class 0 - 80X38 (3S/T)</t>
  </si>
  <si>
    <t>AFFOM83X38</t>
  </si>
  <si>
    <t>Ống cao su lưu hóa Aeroflex Class 0 - 83X38 (3S/T)</t>
  </si>
  <si>
    <t>AFFOM92X38</t>
  </si>
  <si>
    <t>Ống cao su lưu hóa Aeroflex Class 0 - 92X38 (3S/T)</t>
  </si>
  <si>
    <t>AFFOM98X38</t>
  </si>
  <si>
    <t>Ống cao su lưu hóa Aeroflex Class 0 - 98X38 (3S/T)</t>
  </si>
  <si>
    <t>AFFOM102X38</t>
  </si>
  <si>
    <t>Ống cao su lưu hóa Aeroflex Class 0 - 102X38 (2S/T)</t>
  </si>
  <si>
    <t>AFFOM105X38</t>
  </si>
  <si>
    <t>Ống cao su lưu hóa Aeroflex Class 0 - 105X38 (2S/T)</t>
  </si>
  <si>
    <t>AFFOM127X38</t>
  </si>
  <si>
    <t>Ống cao su lưu hóa Aeroflex Class 0 - 127X38 (2S/T)</t>
  </si>
  <si>
    <t>AFFOM130X38</t>
  </si>
  <si>
    <t>Ống cao su lưu hóa Aeroflex Class 0 - 130X38 (2S/T)</t>
  </si>
  <si>
    <t>AFFOM165X38</t>
  </si>
  <si>
    <t>Ống cao su lưu hóa Aeroflex Class 0 - 165X38 (2S/T)</t>
  </si>
  <si>
    <t>AFFOM10X50</t>
  </si>
  <si>
    <t>Ống cao su lưu hóa Aeroflex Class 0 - 10X50 (4S/T)</t>
  </si>
  <si>
    <t>AFFOM13X50</t>
  </si>
  <si>
    <t>Ống cao su lưu hóa Aeroflex Class 0 - 13X50 (4S/T)</t>
  </si>
  <si>
    <t>AFFOM16X50</t>
  </si>
  <si>
    <t>Ống cao su lưu hóa Aeroflex Class 0 - 16X50 (4S/T)</t>
  </si>
  <si>
    <t>AFFOM38X50</t>
  </si>
  <si>
    <t>Ống cao su lưu hóa Aeroflex Class 0 - 38X50 (4S/T)</t>
  </si>
  <si>
    <t>AFFOM45X50</t>
  </si>
  <si>
    <t>Ống cao su lưu hóa Aeroflex Class 0 - 45X50 (4S/T)</t>
  </si>
  <si>
    <t>AFFOM51X50</t>
  </si>
  <si>
    <t>Ống cao su lưu hóa Aeroflex Class 0 - 51X50 (3S/T)</t>
  </si>
  <si>
    <t>AFFOM57X50</t>
  </si>
  <si>
    <t>Ống cao su lưu hóa Aeroflex Class 0 - 57X50 (3S/T)</t>
  </si>
  <si>
    <t>AFFOM64X50</t>
  </si>
  <si>
    <t>Ống cao su lưu hóa Aeroflex Class 0 - 64X50 (3S/T)</t>
  </si>
  <si>
    <t>AFFOM73X50</t>
  </si>
  <si>
    <t>Ống cao su lưu hóa Aeroflex Class 0 - 73X50 (2S/T)</t>
  </si>
  <si>
    <t>AFFOM80X50</t>
  </si>
  <si>
    <t>Ống cao su lưu hóa Aeroflex Class 0 - 80X50 (2S/T)</t>
  </si>
  <si>
    <t>AFFOM83X50</t>
  </si>
  <si>
    <t>Ống cao su lưu hóa Aeroflex Class 0 - 83X50 (2S/T)</t>
  </si>
  <si>
    <t>AFFOM92X50</t>
  </si>
  <si>
    <t>Ống cao su lưu hóa Aeroflex Class 0 - 92X50 (2S/T)</t>
  </si>
  <si>
    <t>AFFOM98X50</t>
  </si>
  <si>
    <t>Ống cao su lưu hóa Aeroflex Class 0 - 98X50 (2S/T)</t>
  </si>
  <si>
    <t>AFFOM102X50</t>
  </si>
  <si>
    <t>Ống cao su lưu hóa Aeroflex Class 0 - 102X50 (2S/T)</t>
  </si>
  <si>
    <t>AFFOM105X50</t>
  </si>
  <si>
    <t>Ống cao su lưu hóa Aeroflex Class 0 - 105X50 (2S/T)</t>
  </si>
  <si>
    <t>AFFOM127X50</t>
  </si>
  <si>
    <t>Ống cao su lưu hóa Aeroflex Class 0 - 127X50 (2S/T)</t>
  </si>
  <si>
    <t>AFFOM130X50</t>
  </si>
  <si>
    <t>Ống cao su lưu hóa Aeroflex Class 0 - 130X50 (2S/T)</t>
  </si>
  <si>
    <t>AFFOM165X50</t>
  </si>
  <si>
    <t>Ống cao su lưu hóa Aeroflex Class 0 - 165X50 (2S/T)</t>
  </si>
  <si>
    <t>SUP-TDI</t>
  </si>
  <si>
    <t>XTS0612224</t>
  </si>
  <si>
    <t>Tấm cao su lưu hóa Superlon D6x1.22x24</t>
  </si>
  <si>
    <t>XTS0612224B</t>
  </si>
  <si>
    <t>Tấm cao su lưu hóa Superlon D6x1.22x24 - Bạc</t>
  </si>
  <si>
    <t>XTS0612224D</t>
  </si>
  <si>
    <t>Tấm cao su lưu hóa Superlon D6x1.22x24 - Dính</t>
  </si>
  <si>
    <t>XTS0612224BD</t>
  </si>
  <si>
    <t>Tấm cao su lưu hóa Superlon D6x1.22x24 - Bạc+Dính</t>
  </si>
  <si>
    <t>XTS0612224D2M</t>
  </si>
  <si>
    <t>Tấm cao su lưu hóa Superlon D6x1.22x24 - 2 mặt dính</t>
  </si>
  <si>
    <t>SUP-TTD</t>
  </si>
  <si>
    <t>XTS1012221</t>
  </si>
  <si>
    <t>Tấm cao su lưu hóa Superlon D10x1.22x21</t>
  </si>
  <si>
    <t>XTS1012221B</t>
  </si>
  <si>
    <t>Tấm cao su lưu hóa Superlon D10x1.22x21 - Bạc</t>
  </si>
  <si>
    <t>XTS1012221D</t>
  </si>
  <si>
    <t>Tấm cao su lưu hóa Superlon D10x1.22x21 - Dính</t>
  </si>
  <si>
    <t>XTS1012221BD</t>
  </si>
  <si>
    <t>Tấm cao su lưu hóa Superlon D10x1.22x21 - Bạc+Dính</t>
  </si>
  <si>
    <t>XTS1012221D2M</t>
  </si>
  <si>
    <t>Tấm cao su lưu hóa Superlon D10x1.22x21 - 2 mặt dính</t>
  </si>
  <si>
    <t>XTS1312215</t>
  </si>
  <si>
    <t>Tấm cao su lưu hóa Superlon D13x1.22x15</t>
  </si>
  <si>
    <t>SUP-T</t>
  </si>
  <si>
    <t>XTS1312215B</t>
  </si>
  <si>
    <t>Tấm cao su lưu hóa Superlon D13x1.22x15 - Bạc</t>
  </si>
  <si>
    <t>XTS1312215D</t>
  </si>
  <si>
    <t>Tấm cao su lưu hóa Superlon D13x1.22x15 - Dính</t>
  </si>
  <si>
    <t>XTS1312215BD</t>
  </si>
  <si>
    <t>Tấm cao su lưu hóa Superlon D13x1.22x15 - Bạc+Dính</t>
  </si>
  <si>
    <t>XTS1312215D2M</t>
  </si>
  <si>
    <t>Tấm cao su lưu hóa Superlon D13x1.22x15 - 2 mặt dính</t>
  </si>
  <si>
    <t>XTS1612214</t>
  </si>
  <si>
    <t>Tấm cao su lưu hóa Superlon D16x1.22x14</t>
  </si>
  <si>
    <t>XTS1612214B</t>
  </si>
  <si>
    <t>Tấm cao su lưu hóa Superlon D16x1.22x14 - Bạc</t>
  </si>
  <si>
    <t>XTS1612214D</t>
  </si>
  <si>
    <t>Tấm cao su lưu hóa Superlon D16x1.22x14 - Dính</t>
  </si>
  <si>
    <t>XTS1612214BD</t>
  </si>
  <si>
    <t>Tấm cao su lưu hóa Superlon D16x1.22x14 - Bạc+Dính</t>
  </si>
  <si>
    <t>XTS1612214D2M</t>
  </si>
  <si>
    <t>Tấm cao su lưu hóa Superlon D16x1.22x14 - 2 mặt dính</t>
  </si>
  <si>
    <t>XTS1912209</t>
  </si>
  <si>
    <t>Tấm cao su lưu hóa Superlon D19x1.22x09</t>
  </si>
  <si>
    <t>XTS1912209B</t>
  </si>
  <si>
    <t>Tấm cao su lưu hóa Superlon D19x1.22x09 - Bạc</t>
  </si>
  <si>
    <t>XTS1912209D</t>
  </si>
  <si>
    <t>Tấm cao su lưu hóa Superlon D19x1.22x09 - Dính</t>
  </si>
  <si>
    <t>XTS1912209BD</t>
  </si>
  <si>
    <t>Tấm cao su lưu hóa Superlon D19x1.22x09 - Bạc+Dính</t>
  </si>
  <si>
    <t>XTS1912209D2M</t>
  </si>
  <si>
    <t>Tấm cao su lưu hóa Superlon D19x1.22x09 - 2 mặt dính</t>
  </si>
  <si>
    <t>XTS2512208</t>
  </si>
  <si>
    <t>Tấm cao su lưu hóa Superlon D25x1.22x08</t>
  </si>
  <si>
    <t>XTS2512208B</t>
  </si>
  <si>
    <t>Tấm cao su lưu hóa Superlon D25x1.22x08 - Bạc</t>
  </si>
  <si>
    <t>XTS2512208D</t>
  </si>
  <si>
    <t>Tấm cao su lưu hóa Superlon D25x1.22x08 - Dính</t>
  </si>
  <si>
    <t>XTS2512208BD</t>
  </si>
  <si>
    <t>Tấm cao su lưu hóa Superlon D25x1.22x08 - Bạc+Dính</t>
  </si>
  <si>
    <t>XTS2512208D2M</t>
  </si>
  <si>
    <t>Tấm cao su lưu hóa Superlon D25x1.22x08 - 2 mặt dính</t>
  </si>
  <si>
    <t>XTS3212206</t>
  </si>
  <si>
    <t>Tấm cao su lưu hóa Superlon D32x1.22x06</t>
  </si>
  <si>
    <t>XTS3212206B</t>
  </si>
  <si>
    <t>Tấm cao su lưu hóa Superlon D32x1.22x06 - Bạc</t>
  </si>
  <si>
    <t>XTS3212206D</t>
  </si>
  <si>
    <t>Tấm cao su lưu hóa Superlon D32x1.22x06 - Dính</t>
  </si>
  <si>
    <t>XTS3212206BD</t>
  </si>
  <si>
    <t>Tấm cao su lưu hóa Superlon D32x1.22x06 - Bạc+Dính</t>
  </si>
  <si>
    <t>XTS3212206D2M</t>
  </si>
  <si>
    <t>Tấm cao su lưu hóa Superlon D32x1.22x06 - 2 mặt dính</t>
  </si>
  <si>
    <t>XTS3812205</t>
  </si>
  <si>
    <t>Tấm cao su lưu hóa Superlon D38x1.22x05</t>
  </si>
  <si>
    <t>XTS3812205B</t>
  </si>
  <si>
    <t>Tấm cao su lưu hóa Superlon D38x1.22x05 - Bạc</t>
  </si>
  <si>
    <t>XTS3812205D</t>
  </si>
  <si>
    <t>Tấm cao su lưu hóa Superlon D38x1.22x05 - Dính</t>
  </si>
  <si>
    <t>XTS3812205BD</t>
  </si>
  <si>
    <t>Tấm cao su lưu hóa Superlon D38x1.22x05 - Bạc+Dính</t>
  </si>
  <si>
    <t>XTS3812205D2M</t>
  </si>
  <si>
    <t>Tấm cao su lưu hóa Superlon D38x1.22x05 - 2 mặt dính</t>
  </si>
  <si>
    <t>XTS5112204</t>
  </si>
  <si>
    <t>Tấm cao su lưu hóa Superlon D51x1.22x04</t>
  </si>
  <si>
    <t>XTS5112204B</t>
  </si>
  <si>
    <t>Tấm cao su lưu hóa Superlon D51x1.22x04 - Bạc</t>
  </si>
  <si>
    <t>XTS5112204D</t>
  </si>
  <si>
    <t>Tấm cao su lưu hóa Superlon D51x1.22x04 - Dính</t>
  </si>
  <si>
    <t>XTS5112204BD</t>
  </si>
  <si>
    <t>Tấm cao su lưu hóa Superlon D51x1.22x04 - Bạc+Dính</t>
  </si>
  <si>
    <t>XTS5112204D2M</t>
  </si>
  <si>
    <t>Tấm cao su lưu hóa Superlon D51x1.22x04 - 2 mặt dính</t>
  </si>
  <si>
    <t>Superlon C0</t>
  </si>
  <si>
    <t>XTS0612224C0</t>
  </si>
  <si>
    <t>Tấm cao su lưu hóa Superlon Class 0 D6x1.22x24</t>
  </si>
  <si>
    <t>XTS0612224BC0</t>
  </si>
  <si>
    <t>Tấm cao su lưu hóa Superlon Class 0 D6x1.22x24 - Bạc</t>
  </si>
  <si>
    <t>XTS0612224DC0</t>
  </si>
  <si>
    <t>Tấm cao su lưu hóa Superlon Class 0 D6x1.22x24 - Dính</t>
  </si>
  <si>
    <t>XTS0612224BDC0</t>
  </si>
  <si>
    <t>Tấm cao su lưu hóa Superlon Class 0 D6x1.22x24 - Bạc+Dính</t>
  </si>
  <si>
    <t>XTS0612224D2MC0</t>
  </si>
  <si>
    <t>Tấm cao su lưu hóa Superlon Class 0 D6x1.22x24 - 2 mặt dính</t>
  </si>
  <si>
    <t>XTS1012221C0</t>
  </si>
  <si>
    <t>Tấm cao su lưu hóa Superlon Class 0 D10x1.22x21</t>
  </si>
  <si>
    <t>XTS1012221BC0</t>
  </si>
  <si>
    <t>Tấm cao su lưu hóa Superlon Class 0 D10x1.22x21 - Bạc</t>
  </si>
  <si>
    <t>XTS1012221DC0</t>
  </si>
  <si>
    <t>Tấm cao su lưu hóa Superlon Class 0 D10x1.22x21 - Dính</t>
  </si>
  <si>
    <t>XTS1012221BDC0</t>
  </si>
  <si>
    <t>Tấm cao su lưu hóa Superlon Class 0 D10x1.22x21 - Bạc+Dính</t>
  </si>
  <si>
    <t>XTS1012221D2MC0</t>
  </si>
  <si>
    <t>Tấm cao su lưu hóa Superlon Class 0 D10x1.22x21 - 2 mặt dính</t>
  </si>
  <si>
    <t>XTS1312215C0</t>
  </si>
  <si>
    <t>Tấm cao su lưu hóa Superlon Class 0 D13x1.22x15</t>
  </si>
  <si>
    <t>XTS1312215BC0</t>
  </si>
  <si>
    <t>Tấm cao su lưu hóa Superlon Class 0 D13x1.22x15 - Bạc</t>
  </si>
  <si>
    <t>XTS1312215DC0</t>
  </si>
  <si>
    <t>Tấm cao su lưu hóa Superlon Class 0 D13x1.22x15 - Dính</t>
  </si>
  <si>
    <t>XTS1312215BDC0</t>
  </si>
  <si>
    <t>Tấm cao su lưu hóa Superlon Class 0 D13x1.22x15 - Bạc+Dính</t>
  </si>
  <si>
    <t>XTS1312215D2MC0</t>
  </si>
  <si>
    <t>Tấm cao su lưu hóa Superlon Class 0 D13x1.22x15 - 2 mặt dính</t>
  </si>
  <si>
    <t>XTS1612214C0</t>
  </si>
  <si>
    <t>Tấm cao su lưu hóa Superlon Class 0 D16x1.22x14</t>
  </si>
  <si>
    <t>XTS1612214BC0</t>
  </si>
  <si>
    <t>Tấm cao su lưu hóa Superlon Class 0 D16x1.22x14 - Bạc</t>
  </si>
  <si>
    <t>XTS1612214DC0</t>
  </si>
  <si>
    <t>Tấm cao su lưu hóa Superlon Class 0 D16x1.22x14 - Dính</t>
  </si>
  <si>
    <t>XTS1612214BDC0</t>
  </si>
  <si>
    <t>Tấm cao su lưu hóa Superlon Class 0 D16x1.22x14 - Bạc+Dính</t>
  </si>
  <si>
    <t>XTS1612214D2MC0</t>
  </si>
  <si>
    <t>Tấm cao su lưu hóa Superlon Class 0 D16x1.22x14 - 2 mặt dính</t>
  </si>
  <si>
    <t>XTS1912209C0</t>
  </si>
  <si>
    <t>Tấm cao su lưu hóa Superlon Class 0 D19x1.22x09</t>
  </si>
  <si>
    <t>XTS1912209BC0</t>
  </si>
  <si>
    <t>Tấm cao su lưu hóa Superlon Class 0 D19x1.22x09 - Bạc</t>
  </si>
  <si>
    <t>XTS1912209DC0</t>
  </si>
  <si>
    <t>Tấm cao su lưu hóa Superlon Class 0 D19x1.22x09 - Dính</t>
  </si>
  <si>
    <t>XTS1912209BDC0</t>
  </si>
  <si>
    <t>Tấm cao su lưu hóa Superlon Class 0 D19x1.22x09 - Bạc+Dính</t>
  </si>
  <si>
    <t>XTS1912209D2MC0</t>
  </si>
  <si>
    <t>Tấm cao su lưu hóa Superlon Class 0 D19x1.22x09 - 2 mặt dính</t>
  </si>
  <si>
    <t>XTS2512208C0</t>
  </si>
  <si>
    <t>Tấm cao su lưu hóa Superlon Class 0 D25x1.22x08</t>
  </si>
  <si>
    <t>XTS2512208BC0</t>
  </si>
  <si>
    <t>Tấm cao su lưu hóa Superlon Class 0 D25x1.22x08 - Bạc</t>
  </si>
  <si>
    <t>XTS2512208DC0</t>
  </si>
  <si>
    <t>Tấm cao su lưu hóa Superlon Class 0 D25x1.22x08 - Dính</t>
  </si>
  <si>
    <t>XTS2512208BDC0</t>
  </si>
  <si>
    <t>Tấm cao su lưu hóa Superlon Class 0 D25x1.22x08 - Bạc+Dính</t>
  </si>
  <si>
    <t>XTS2512208D2MC0</t>
  </si>
  <si>
    <t>Tấm cao su lưu hóa Superlon Class 0 D25x1.22x08 - 2 mặt dính</t>
  </si>
  <si>
    <t>XTS3212206C0</t>
  </si>
  <si>
    <t>Tấm cao su lưu hóa Superlon Class 0 D32x1.22x06</t>
  </si>
  <si>
    <t>XTS3212206BC0</t>
  </si>
  <si>
    <t>Tấm cao su lưu hóa Superlon Class 0 D32x1.22x06 - Bạc</t>
  </si>
  <si>
    <t>XTS3212206DC0</t>
  </si>
  <si>
    <t>Tấm cao su lưu hóa Superlon Class 0 D32x1.22x06 - Dính</t>
  </si>
  <si>
    <t>XTS3212206BDC0</t>
  </si>
  <si>
    <t>Tấm cao su lưu hóa Superlon Class 0 D32x1.22x06 - Bạc+Dính</t>
  </si>
  <si>
    <t>XTS3212206D2MC0</t>
  </si>
  <si>
    <t>Tấm cao su lưu hóa Superlon Class 0 D32x1.22x06 - 2 mặt dính</t>
  </si>
  <si>
    <t>XTS3812205C0</t>
  </si>
  <si>
    <t>Tấm cao su lưu hóa Superlon Class 0 D38x1.22x05</t>
  </si>
  <si>
    <t>XTS3812205BC0</t>
  </si>
  <si>
    <t>Tấm cao su lưu hóa Superlon Class 0 D38x1.22x05 - Bạc</t>
  </si>
  <si>
    <t>XTS3812205DC0</t>
  </si>
  <si>
    <t>Tấm cao su lưu hóa Superlon Class 0 D38x1.22x05 - Dính</t>
  </si>
  <si>
    <t>XTS3812205BDC0</t>
  </si>
  <si>
    <t>Tấm cao su lưu hóa Superlon Class 0 D38x1.22x05 - Bạc+Dính</t>
  </si>
  <si>
    <t>XTS3812205D2MC0</t>
  </si>
  <si>
    <t>Tấm cao su lưu hóa Superlon Class 0 D38x1.22x05 - 2 mặt dính</t>
  </si>
  <si>
    <t>XTS5112204C0</t>
  </si>
  <si>
    <t>Tấm cao su lưu hóa Superlon Class 0 D51x1.22x04</t>
  </si>
  <si>
    <t>XTS5112204BC0</t>
  </si>
  <si>
    <t>Tấm cao su lưu hóa Superlon Class 0 D51x1.22x04 - Bạc</t>
  </si>
  <si>
    <t>XTS5112204DC0</t>
  </si>
  <si>
    <t>Tấm cao su lưu hóa Superlon Class 0 D51x1.22x04 - Dính</t>
  </si>
  <si>
    <t>XTS5112204BDC0</t>
  </si>
  <si>
    <t>Tấm cao su lưu hóa Superlon Class 0 D51x1.22x04 - Bạc+Dính</t>
  </si>
  <si>
    <t>XTS5112204D2MC0</t>
  </si>
  <si>
    <t>Tấm cao su lưu hóa Superlon Class 0 D51x1.22x04 - 2 mặt dính</t>
  </si>
  <si>
    <t>XTS0614020</t>
  </si>
  <si>
    <t>Tấm cao su lưu hóa Superlon D6x1.40x20</t>
  </si>
  <si>
    <t>XTS0614020D</t>
  </si>
  <si>
    <t>Tấm cao su lưu hóa Superlon D6x1.40x20 - Dính</t>
  </si>
  <si>
    <t>SUP-TIB</t>
  </si>
  <si>
    <t>XTS1002015D</t>
  </si>
  <si>
    <t>Tấm cao su lưu hóa Superlon D10x0.20x15 - Dính</t>
  </si>
  <si>
    <t>XTS1014015</t>
  </si>
  <si>
    <t>Tấm cao su lưu hóa Superlon D10x1.40x15</t>
  </si>
  <si>
    <t>XTS1014015B</t>
  </si>
  <si>
    <t>Tấm cao su lưu hóa Superlon D10x1.40x15 - Bạc</t>
  </si>
  <si>
    <t>XTS1014015D</t>
  </si>
  <si>
    <t>Tấm cao su lưu hóa Superlon D10x1.40x15 - Dính</t>
  </si>
  <si>
    <t>XTS1014015BD</t>
  </si>
  <si>
    <t>Tấm cao su lưu hóa Superlon D10x1.40x15 - Bạc+Dính</t>
  </si>
  <si>
    <t>XTS1014015D2M</t>
  </si>
  <si>
    <t>Tấm cao su lưu hóa Superlon D10x1.40x15 - 2 mặt dính</t>
  </si>
  <si>
    <t>XTS13020914D</t>
  </si>
  <si>
    <t>Tấm cao su lưu hóa Superlon D13x0.20x9.14 - Dính</t>
  </si>
  <si>
    <t>XTS13122914</t>
  </si>
  <si>
    <t>Tấm cao su lưu hóa Superlon D13x1.22x9.14</t>
  </si>
  <si>
    <t>XTS1314015</t>
  </si>
  <si>
    <t>Tấm cao su lưu hóa Superlon D13x1.40x15</t>
  </si>
  <si>
    <t>XTS1314015B</t>
  </si>
  <si>
    <t>Tấm cao su lưu hóa Superlon D13x1.40x15 - Bạc</t>
  </si>
  <si>
    <t>XTS1314015D</t>
  </si>
  <si>
    <t>Tấm cao su lưu hóa Superlon D13x1.40x15 - Dính</t>
  </si>
  <si>
    <t>XTS1314015BD</t>
  </si>
  <si>
    <t>Tấm cao su lưu hóa Superlon D13x1.40x15 - Bạc+Dính</t>
  </si>
  <si>
    <t>XTS1314015D2M</t>
  </si>
  <si>
    <t>Tấm cao su lưu hóa Superlon D13x1.40x15 - 2 mặt dính</t>
  </si>
  <si>
    <t>XTS1914010</t>
  </si>
  <si>
    <t>Tấm cao su lưu hóa Superlon D19x1.40x10</t>
  </si>
  <si>
    <t>XTS1914010B</t>
  </si>
  <si>
    <t>Tấm cao su lưu hóa Superlon D19x1.40x10 - Bạc</t>
  </si>
  <si>
    <t>XTS1914010D</t>
  </si>
  <si>
    <t>Tấm cao su lưu hóa Superlon D19x1.40x10 - Dính</t>
  </si>
  <si>
    <t>XTS1914010BD</t>
  </si>
  <si>
    <t>Tấm cao su lưu hóa Superlon D19x1.40x10 - Bạc+Dính</t>
  </si>
  <si>
    <t>XTS1914010D2M</t>
  </si>
  <si>
    <t>Tấm cao su lưu hóa Superlon D19x1.40x10 - 2 mặt dính</t>
  </si>
  <si>
    <t>XTS25122914</t>
  </si>
  <si>
    <t>Tấm cao su lưu hóa Superlon D25x1.22x9.14</t>
  </si>
  <si>
    <t>XTS25122914BD</t>
  </si>
  <si>
    <t>Tấm cao su lưu hóa Superlon D25x1.22x9.14 - Bạc+Dính</t>
  </si>
  <si>
    <t>XTS2514010</t>
  </si>
  <si>
    <t>Tấm cao su lưu hóa Superlon D25x1.40x10</t>
  </si>
  <si>
    <t>XTS2514010B</t>
  </si>
  <si>
    <t>Tấm cao su lưu hóa Superlon D25x1.40x10 - Bạc</t>
  </si>
  <si>
    <t>XTS2514010D</t>
  </si>
  <si>
    <t>Tấm cao su lưu hóa Superlon D25x1.40x10 - Dính</t>
  </si>
  <si>
    <t>XTS2514010BD</t>
  </si>
  <si>
    <t>Tấm cao su lưu hóa Superlon D25x1.40x10 - Bạc+Dính</t>
  </si>
  <si>
    <t>XTS2514010D2M</t>
  </si>
  <si>
    <t>Tấm cao su lưu hóa Superlon D25x1.40x10 - 2 mặt dính</t>
  </si>
  <si>
    <t>XTS38100914</t>
  </si>
  <si>
    <t>Tấm cao su lưu hóa Superlon D38x1.00x9.14</t>
  </si>
  <si>
    <t>XTS38122914</t>
  </si>
  <si>
    <t>Tấm cao su lưu hóa Superlon D38x1.22x9.14</t>
  </si>
  <si>
    <t>XTS3814010</t>
  </si>
  <si>
    <t>Tấm cao su lưu hóa Superlon D38x1.40x10</t>
  </si>
  <si>
    <t>XTS3814010B</t>
  </si>
  <si>
    <t>Tấm cao su lưu hóa Superlon D38x1.40x10 - Bạc</t>
  </si>
  <si>
    <t>XTS3814010D</t>
  </si>
  <si>
    <t>Tấm cao su lưu hóa Superlon D38x1.40x10 - Dính</t>
  </si>
  <si>
    <t>XTS3814010BD</t>
  </si>
  <si>
    <t>Tấm cao su lưu hóa Superlon D38x1.40x10 - Bạc+Dính</t>
  </si>
  <si>
    <t>XTS3814010D2M</t>
  </si>
  <si>
    <t>Tấm cao su lưu hóa Superlon D38x1.40x10 - 2 mặt dính</t>
  </si>
  <si>
    <t>XTS50122914</t>
  </si>
  <si>
    <t>Tấm cao su lưu hóa Superlon D50x1.22x9.14</t>
  </si>
  <si>
    <t>XTS50122914B</t>
  </si>
  <si>
    <t>Tấm cao su lưu hóa Superlon D50x1.22x9.14 - Bạc</t>
  </si>
  <si>
    <t>XTS50122914D</t>
  </si>
  <si>
    <t>Tấm cao su lưu hóa Superlon D50x1.22x9.14 - Dính</t>
  </si>
  <si>
    <t>XTS50122914BD</t>
  </si>
  <si>
    <t>Tấm cao su lưu hóa Superlon D50x1.22x9.14 - Bạc+Dính</t>
  </si>
  <si>
    <t>XTS50122914D2M</t>
  </si>
  <si>
    <t>Tấm cao su lưu hóa Superlon D50x1.22x9.14 - 2 mặt dính</t>
  </si>
  <si>
    <t>XTSVN0612224</t>
  </si>
  <si>
    <t>XTSVN0612224B</t>
  </si>
  <si>
    <t>XTSVN0612224D</t>
  </si>
  <si>
    <t>XTSVN0612224BD</t>
  </si>
  <si>
    <t>XTSVN0612224D2M</t>
  </si>
  <si>
    <t>XTSVN1012221</t>
  </si>
  <si>
    <t>XTSVN1012221B</t>
  </si>
  <si>
    <t>XTSVN1012221D</t>
  </si>
  <si>
    <t>XTSVN1012221BD</t>
  </si>
  <si>
    <t>XTSVN1012221D2M</t>
  </si>
  <si>
    <t>XTSVN1312215</t>
  </si>
  <si>
    <t>XTSVN1312215B</t>
  </si>
  <si>
    <t>XTSVN1312215D</t>
  </si>
  <si>
    <t>XTSVN1312215BD</t>
  </si>
  <si>
    <t>XTSVN1312215D2M</t>
  </si>
  <si>
    <t>XTSVN1612214</t>
  </si>
  <si>
    <t>XTSVN1612214B</t>
  </si>
  <si>
    <t>XTSVN1612214D</t>
  </si>
  <si>
    <t>XTSVN1612214BD</t>
  </si>
  <si>
    <t>XTSVN1612214D2M</t>
  </si>
  <si>
    <t>XTSVN1912209</t>
  </si>
  <si>
    <t>XTSVN1912209B</t>
  </si>
  <si>
    <t>XTSVN1912209D</t>
  </si>
  <si>
    <t>XTSVN1912209BD</t>
  </si>
  <si>
    <t>XTSVN1912209D2M</t>
  </si>
  <si>
    <t>XTSVN2512208</t>
  </si>
  <si>
    <t>XTSVN2512208B</t>
  </si>
  <si>
    <t>XTSVN2512208D</t>
  </si>
  <si>
    <t>XTSVN2512208BD</t>
  </si>
  <si>
    <t>XTSVN2512208D2M</t>
  </si>
  <si>
    <t>XTSVN3212206</t>
  </si>
  <si>
    <t>XTSVN3212206B</t>
  </si>
  <si>
    <t>XTSVN3212206D</t>
  </si>
  <si>
    <t>XTSVN3212206BD</t>
  </si>
  <si>
    <t>XTSVN3212206D2M</t>
  </si>
  <si>
    <t>XTSVN3812205</t>
  </si>
  <si>
    <t>XTSVN3812205B</t>
  </si>
  <si>
    <t>XTSVN3812205D</t>
  </si>
  <si>
    <t>XTSVN3812205BD</t>
  </si>
  <si>
    <t>XTSVN3812205D2M</t>
  </si>
  <si>
    <t>XTSVN5112204</t>
  </si>
  <si>
    <t>XTSVN5112204B</t>
  </si>
  <si>
    <t>XTSVN5112204D</t>
  </si>
  <si>
    <t>XTSVN5112204BD</t>
  </si>
  <si>
    <t>XTSVN5112204D2M</t>
  </si>
  <si>
    <t>XTSVN0614020</t>
  </si>
  <si>
    <t>XTSVN1014015D</t>
  </si>
  <si>
    <t>XTSVN13020914D</t>
  </si>
  <si>
    <t>XTSVN13122914</t>
  </si>
  <si>
    <t>XTSVN1314015</t>
  </si>
  <si>
    <t>XTSVN1314015B</t>
  </si>
  <si>
    <t>XTSVN1314015D</t>
  </si>
  <si>
    <t>XTSVN1314015BD</t>
  </si>
  <si>
    <t>XTSVN1314015D2M</t>
  </si>
  <si>
    <t>XTSVN19122914</t>
  </si>
  <si>
    <t>Tấm cao su lưu hóa Superlon D19x1.22x9.14</t>
  </si>
  <si>
    <t>XTSVN19122914B</t>
  </si>
  <si>
    <t>Tấm cao su lưu hóa Superlon D19x1.22x9.14 - Bạc</t>
  </si>
  <si>
    <t>XTSVN19122914D</t>
  </si>
  <si>
    <t>Tấm cao su lưu hóa Superlon D19x1.22x9.14 - Dính</t>
  </si>
  <si>
    <t>XTSVN19122914BD</t>
  </si>
  <si>
    <t>Tấm cao su lưu hóa Superlon D19x1.22x9.14 - Bạc+Dính</t>
  </si>
  <si>
    <t>XTSVN1914010</t>
  </si>
  <si>
    <t>XTSVN1914010D</t>
  </si>
  <si>
    <t>XTSVN19140914</t>
  </si>
  <si>
    <t>Tấm cao su lưu hóa Superlon D19x1.40x9.14</t>
  </si>
  <si>
    <t>XTSVN19140914D</t>
  </si>
  <si>
    <t>Tấm cao su lưu hóa Superlon D19x1.40x9.14 - Dính</t>
  </si>
  <si>
    <t>XTSVN25122914</t>
  </si>
  <si>
    <t>XTSVN2514010</t>
  </si>
  <si>
    <t>XTSVN2514010BD</t>
  </si>
  <si>
    <t>XTSVN2514010D2M</t>
  </si>
  <si>
    <t>XTSVN38100914</t>
  </si>
  <si>
    <t>XTSVN38122914</t>
  </si>
  <si>
    <t>XTSVN3814010D</t>
  </si>
  <si>
    <t>XTSVN3814010</t>
  </si>
  <si>
    <t>XTSVN51122914</t>
  </si>
  <si>
    <t>Tấm cao su lưu hóa Superlon D51x1.22x9.14</t>
  </si>
  <si>
    <t>XTSVN51122914D</t>
  </si>
  <si>
    <t>Tấm cao su lưu hóa Superlon D51x1.22x9.14 - Dính</t>
  </si>
  <si>
    <t>ARMAFLEX-T</t>
  </si>
  <si>
    <t>Tấm cao su lưu hóa Armaflex FRV Thái Lan D25x1.22x4</t>
  </si>
  <si>
    <t>XTA251204C0B</t>
  </si>
  <si>
    <t>Tấm cao su lưu hóa Armaflex D25x1.2x4 Class 0 - Bạc</t>
  </si>
  <si>
    <t>Tấm cao su lưu hóa Armaflex Thái Lan D13x1.22x8</t>
  </si>
  <si>
    <t>XTA1612206</t>
  </si>
  <si>
    <t>Tấm cao su lưu hóa Armaflex Thái Lan D16 x1.22x6</t>
  </si>
  <si>
    <t>Tấm cao su lưu hóa Armaflex Thái Lan D25 x1.22x4 - Bạc+Dính</t>
  </si>
  <si>
    <t>Tấm cao su lưu hóa Armaflex Thái Lan D32x1.22x3 - Dính</t>
  </si>
  <si>
    <t>XTA5012203BD</t>
  </si>
  <si>
    <t>Tấm cao su lưu hóa Armaflex Thái Lan D50x1.22x3 - Bạc+Dính</t>
  </si>
  <si>
    <t>XAE-TDI</t>
  </si>
  <si>
    <t>Tấm cao su lưu hóa Aeroflex Class 0 - D6x1.20x22</t>
  </si>
  <si>
    <t>Tấm cao su lưu hóa Aeroflex Class 0 - D9x1.20x15</t>
  </si>
  <si>
    <t>Tấm cao su lưu hóa Aeroflex Class 0 - D13x1.20x11</t>
  </si>
  <si>
    <t>Tấm cao su lưu hóa Aeroflex Class 0 - D16x1.20x10</t>
  </si>
  <si>
    <t>Tấm cao su lưu hóa Aeroflex Class 0 - D19x1.20x7</t>
  </si>
  <si>
    <t>Tấm cao su lưu hóa Aeroflex Class 0 - D25x1.20x5</t>
  </si>
  <si>
    <t>Tấm cao su lưu hóa Aeroflex Class 0 - D32x1.20x4</t>
  </si>
  <si>
    <t>Tấm cao su lưu hóa Aeroflex Class 0 - D38x1.20x3</t>
  </si>
  <si>
    <t>Tấm cao su lưu hóa Aeroflex Class 0 - D50x1.20x2</t>
  </si>
  <si>
    <t>XAE-TIB</t>
  </si>
  <si>
    <t>XAE-TTD</t>
  </si>
  <si>
    <t>3. NHÓM GAS</t>
  </si>
  <si>
    <t>Chủng loại</t>
  </si>
  <si>
    <t>Chemours USA</t>
  </si>
  <si>
    <t>GASKHAC</t>
  </si>
  <si>
    <t>GA123CHEM-USA</t>
  </si>
  <si>
    <t>Gas lạnh R123 Chemours USA (45.4kg/bình)</t>
  </si>
  <si>
    <t>R123</t>
  </si>
  <si>
    <t>T</t>
  </si>
  <si>
    <t>GAS134C</t>
  </si>
  <si>
    <t>Gas lạnh 134a Freon Chemours USA (13.6kg/bình)</t>
  </si>
  <si>
    <t>GAS404C</t>
  </si>
  <si>
    <t>Gas lạnh Freon 404 Chemours USA (10.89kg/bình)</t>
  </si>
  <si>
    <t>Gas lạnh 404a Chemours (10.896 kg/bình) (Dupont cũ đổi tên)</t>
  </si>
  <si>
    <t>GAS407C</t>
  </si>
  <si>
    <t>Gas lạnh 407C Chemours USA (11.35kg/bình)</t>
  </si>
  <si>
    <t>GAS410C</t>
  </si>
  <si>
    <t>Gas lạnh Freon 410a Chemours (11.35kg/bình)</t>
  </si>
  <si>
    <t>Gas lạnh Freon 410a Chemours USA (11.35kg/bình)</t>
  </si>
  <si>
    <t>SRF Ấn Độ</t>
  </si>
  <si>
    <t>GASR22</t>
  </si>
  <si>
    <t>GA22SRF</t>
  </si>
  <si>
    <t>Gas lạnh R22 SRF Ấn Độ (13.6 kg/bình)</t>
  </si>
  <si>
    <t>GAS134S</t>
  </si>
  <si>
    <t>Gas lạnh SRF R134A Ấn Độ (13.6kg/bình)</t>
  </si>
  <si>
    <t>GASSRF</t>
  </si>
  <si>
    <t>Gas lạnh SRF R404A Ấn Độ (10.09kg/bình)</t>
  </si>
  <si>
    <t>Gas lạnh SRF R407C Ấn Độ (11.3kg/bình)</t>
  </si>
  <si>
    <t>GA410SRF</t>
  </si>
  <si>
    <t>Gas lạnh SRF R410A Ấn Độ (11.3kg/bình)</t>
  </si>
  <si>
    <t>Bestgas</t>
  </si>
  <si>
    <t>GASKHACLK</t>
  </si>
  <si>
    <t>Gas lạnh 404A Bestgas (10.9kg/bình)</t>
  </si>
  <si>
    <t xml:space="preserve">R404 </t>
  </si>
  <si>
    <t>Floron Ấn Độ</t>
  </si>
  <si>
    <t>GASFLORON</t>
  </si>
  <si>
    <t>Gas lạnh R134a Floron Ấn Độ (13.6kg/bình)</t>
  </si>
  <si>
    <t>Gas lạnh Floron R134A Ấn Độ (3 kg/bình)</t>
  </si>
  <si>
    <t>B</t>
  </si>
  <si>
    <t>Refron</t>
  </si>
  <si>
    <t>Gas lạnh R22 Refron Ấn Độ (13.6 kg/bình)</t>
  </si>
  <si>
    <t>GA22L1(TO)</t>
  </si>
  <si>
    <t>Gas lạnh R22 Refron Ấn Độ (22.7 kg/bình)</t>
  </si>
  <si>
    <t>GASREFRON</t>
  </si>
  <si>
    <t>Gas lạnh R407 Refron Ấn Độ (11.3Kg/ bình)</t>
  </si>
  <si>
    <t>Gas lạnh R410 Refron Ấn Độ (11.3Kg/ bình)</t>
  </si>
  <si>
    <t>Akema</t>
  </si>
  <si>
    <t>GASARKEMA</t>
  </si>
  <si>
    <t>GA134AKMFOVT</t>
  </si>
  <si>
    <t>Gas lạnh 134 Akema Forace (13,6kg/bình) - Loại van to</t>
  </si>
  <si>
    <t>Taisei Ấn Độ</t>
  </si>
  <si>
    <t>GAS134T</t>
  </si>
  <si>
    <t>GA134TAI-AD</t>
  </si>
  <si>
    <t>Gas lạnh R134 TAISEI INDIA (13.6kg/bình)</t>
  </si>
  <si>
    <t>GAS022T</t>
  </si>
  <si>
    <t>Gas lạnh R22 Taisei Ấn Độ (13.6kg/bình)</t>
  </si>
  <si>
    <t>GA22TAISEITO</t>
  </si>
  <si>
    <t>Gas lạnh R22 Taisei Ấn Độ bình to (22.7 Kg/bình)</t>
  </si>
  <si>
    <t>GAS410T</t>
  </si>
  <si>
    <t>Gas lạnh R410 TAISEI INDIA (11.3kg/bình)</t>
  </si>
  <si>
    <t>Gas lạnh R22 Taisei ( 3Kg/bình)</t>
  </si>
  <si>
    <t>Gas lạnh R22 Taisei (13.6kg/bình)</t>
  </si>
  <si>
    <t>GAS032T</t>
  </si>
  <si>
    <t>Gas lạnh R32 Taisei (3Kg/bình)</t>
  </si>
  <si>
    <t>Gas lạnh R32 Taisei (7Kg/bình)</t>
  </si>
  <si>
    <t>Gas lạnh R32 Taisei ( 9.5Kg/bình)</t>
  </si>
  <si>
    <t>Gas lạnh R32 Taisei (10Kg/bình)</t>
  </si>
  <si>
    <t>Gas lạnh 134 Taisei Akashi - Nhật ( 13.60 kg/bình)</t>
  </si>
  <si>
    <t>Gas lạnh R134a Taisei (13.6 kg/bình)</t>
  </si>
  <si>
    <t>Gas lạnh R134a Taisei (3 kg/bình)</t>
  </si>
  <si>
    <t>Gas lạnh R410 TAISEI ( 2.8kg/bình)</t>
  </si>
  <si>
    <t>GA410TAI-TQ36</t>
  </si>
  <si>
    <t>Gas lạnh R410 TAISEI ( 3.6kg/bình)</t>
  </si>
  <si>
    <t>Gas lạnh R410 TAISEI ( 11.3kg/bình)</t>
  </si>
  <si>
    <t>GAS404T</t>
  </si>
  <si>
    <t>Gas lạnh R404A Taisei ( 2.7Kg/bình)</t>
  </si>
  <si>
    <t>Gas lạnh R404A Taisei (10.9Kg/bình)</t>
  </si>
  <si>
    <t>GAS407T</t>
  </si>
  <si>
    <t>Gas lạnh R407C Taisei ( 2.8Kg/bình)</t>
  </si>
  <si>
    <t>GASLK</t>
  </si>
  <si>
    <t>Gas lạnh R600A Taisei ( 3Kg/bình)</t>
  </si>
  <si>
    <t>Gas lạnh R600A Taisei ( 6.5Kg/bình)</t>
  </si>
  <si>
    <t>4. NHÓM CÁCH NHIỆT</t>
  </si>
  <si>
    <t>ỐNG GIÓ ORD</t>
  </si>
  <si>
    <t>OGOR-T</t>
  </si>
  <si>
    <t>OGT450</t>
  </si>
  <si>
    <t>Ống gió trơn D450</t>
  </si>
  <si>
    <t>OGOR-B</t>
  </si>
  <si>
    <t>OGT10010</t>
  </si>
  <si>
    <t>Ống gió trơn D100 (10m/c)</t>
  </si>
  <si>
    <t>OGT15010</t>
  </si>
  <si>
    <t>Ống gió trơn D150 (10m/c)</t>
  </si>
  <si>
    <t>OGT20010</t>
  </si>
  <si>
    <t>Ống gió trơn D200 (10m/c)</t>
  </si>
  <si>
    <t>OGT25010</t>
  </si>
  <si>
    <t>Ống gió trơn D250 (10m/c)</t>
  </si>
  <si>
    <t>OGT30010</t>
  </si>
  <si>
    <t>Ống gió trơn D300 (10m/c)</t>
  </si>
  <si>
    <t>OGB10010</t>
  </si>
  <si>
    <t>Ống gió bạc D100 (10m/c)</t>
  </si>
  <si>
    <t>OGB15010</t>
  </si>
  <si>
    <t>Ống gió bạc D150 (10m/c)</t>
  </si>
  <si>
    <t>OGB20010</t>
  </si>
  <si>
    <t>Ống gió bạc D200 (10m/c)</t>
  </si>
  <si>
    <t>OGB25010</t>
  </si>
  <si>
    <t>Ống gió bạc D250 (10m/c)</t>
  </si>
  <si>
    <t>OGB30010</t>
  </si>
  <si>
    <t>Ống gió bạc D300 (10m/c)</t>
  </si>
  <si>
    <t>OGB1003208</t>
  </si>
  <si>
    <t>Ống gió bạc D100 tỷ trọng 32kg/m3 (8m/c)</t>
  </si>
  <si>
    <t>OGB1253208</t>
  </si>
  <si>
    <t>Ống gió bạc D125 tỷ trọng 32kg/m3 (8m/c)</t>
  </si>
  <si>
    <t>OGB1503208</t>
  </si>
  <si>
    <t>Ống gió bạc D150 tỷ trọng 32kg/m3 (8m/c)</t>
  </si>
  <si>
    <t>OGB20032</t>
  </si>
  <si>
    <t>Ống gió bạc D200 tỷ trọng 32kg/m3</t>
  </si>
  <si>
    <t>OGB25032</t>
  </si>
  <si>
    <t>Ống gió bạc D250 tỷ trọng 32kg/m3</t>
  </si>
  <si>
    <t>OGB30032</t>
  </si>
  <si>
    <t>Ống gió bạc D300 tỷ trọng 32kg/m3</t>
  </si>
  <si>
    <t>OGB35032</t>
  </si>
  <si>
    <t>Ống gió bạc D350 tỷ trọng 32kg/m3</t>
  </si>
  <si>
    <t>OGB40032</t>
  </si>
  <si>
    <t>Ống gió bạc D400 tỷ trọng 32kg/m3</t>
  </si>
  <si>
    <t>OGB45032</t>
  </si>
  <si>
    <t>Ống gió bạc D450 tỷ trọng 32kg/m3</t>
  </si>
  <si>
    <t>OGB1253210</t>
  </si>
  <si>
    <t>Ống gió bạc D125 tỷ trọng 32kg/m3 (10m/c)</t>
  </si>
  <si>
    <t>OGB1503210</t>
  </si>
  <si>
    <t>Ống gió bạc D150 tỷ trọng 32kg/m3 ( 10m/c)</t>
  </si>
  <si>
    <t>OGB2003210</t>
  </si>
  <si>
    <t>Ống gió bạc D200 tỷ trọng 32kg/m3 (10m/c)</t>
  </si>
  <si>
    <t>OGB2503210</t>
  </si>
  <si>
    <t>Ống gió bạc D250 tỷ trọng 32kg/m3 (10m/c)</t>
  </si>
  <si>
    <t>OGB3002450</t>
  </si>
  <si>
    <t>Ống gió bạc D300 (tỷ trọng 24 dầy 50)</t>
  </si>
  <si>
    <t>OGB3003210</t>
  </si>
  <si>
    <t>Ống gió bạc D300 tỷ trọng 32kg/m3 (10m/c)</t>
  </si>
  <si>
    <t>OGB3503210</t>
  </si>
  <si>
    <t>Ống gió bạc D350 tỷ trọng 32kg/m3 (10m/c)</t>
  </si>
  <si>
    <t>OGB4003210</t>
  </si>
  <si>
    <t>Ống gió bạc D400 tỷ trọng 32kg/m3 (10m/c)</t>
  </si>
  <si>
    <t>ỐNG GIÓ TAISEI</t>
  </si>
  <si>
    <t>OGTS-T</t>
  </si>
  <si>
    <t>Ống gió trơn D100 TAISEI</t>
  </si>
  <si>
    <t>Ống gió trơn D125 TAISEI</t>
  </si>
  <si>
    <t>Ống gió trơn D150 TAISEI</t>
  </si>
  <si>
    <t>Ống gió trơn D200 TAISEI</t>
  </si>
  <si>
    <t>Ống gió trơn D250 TAISEI</t>
  </si>
  <si>
    <t>Ống gió trơn D300 TAISEI</t>
  </si>
  <si>
    <t>Ống gió trơn D350 TAISEI</t>
  </si>
  <si>
    <t>Ống gió trơn D400 TAISEI</t>
  </si>
  <si>
    <t>OGTTS450</t>
  </si>
  <si>
    <t>Ống gió trơn D450 TAISEI</t>
  </si>
  <si>
    <t>OGTS-B</t>
  </si>
  <si>
    <t>Ống gió bạc D100 TAISEI</t>
  </si>
  <si>
    <t>Ống gió bạc D125 TAISEI</t>
  </si>
  <si>
    <t>Ống gió bạc D150 TAISEI</t>
  </si>
  <si>
    <t>Ống gió bạc D200 TAISEI</t>
  </si>
  <si>
    <t>Ống gió bạc D250 TAISEI</t>
  </si>
  <si>
    <t>Ống gió bạc D300 TAISEI</t>
  </si>
  <si>
    <t>Ống gió bạc D350 TAISEI</t>
  </si>
  <si>
    <t>Ống gió bạc D400 TAISEI</t>
  </si>
  <si>
    <t>Ống gió bạc D450 TAISEI</t>
  </si>
  <si>
    <t>Ống gió bạc D100 TAISEI tỷ trọng 32kg/m3</t>
  </si>
  <si>
    <t>Ống gió bạc D125 TAISEI tỷ trọng 32kg/m3</t>
  </si>
  <si>
    <t>Ống gió bạc D150 TAISEI tỷ trọng 32kg/m3</t>
  </si>
  <si>
    <t>Ống gió bạc D200 TAISEI tỷ trọng 32kg/m3</t>
  </si>
  <si>
    <t>Ống gió bạc D250 TAISEI tỷ trọng 32kg/m3</t>
  </si>
  <si>
    <t>Ống gió bạc D300 TAISEI tỷ trọng 32kg/m3</t>
  </si>
  <si>
    <t>Ống gió bạc D350 TAISEI tỷ trọng 32kg/m3</t>
  </si>
  <si>
    <t>Ống gió bạc D400 TAISEI tỷ trọng 32kg/m3</t>
  </si>
  <si>
    <t>OGBTS45032</t>
  </si>
  <si>
    <t>Ống gió bạc D450 TAISEI tỷ trọng 32kg/m3</t>
  </si>
  <si>
    <t>Polyeste</t>
  </si>
  <si>
    <t>OGOR-P</t>
  </si>
  <si>
    <t>OGBPL450</t>
  </si>
  <si>
    <t>Ống gió bạc D450 Polyester (8m/cuộn)</t>
  </si>
  <si>
    <t>Bông khoáng - bông thủy tinh ORD</t>
  </si>
  <si>
    <t>BKKO</t>
  </si>
  <si>
    <t>BKDH28X25CB</t>
  </si>
  <si>
    <t>Bông khoáng dạng ống 28x25 có bạc</t>
  </si>
  <si>
    <t>BKDH34X25CB</t>
  </si>
  <si>
    <t>Bông khoáng dạng ống 34x25 có bạc</t>
  </si>
  <si>
    <t>BKDH43X25CB</t>
  </si>
  <si>
    <t>Bông khoáng dạng ống 43x25 có bạc</t>
  </si>
  <si>
    <t>BKDH48X25CB</t>
  </si>
  <si>
    <t>Bông khoáng dạng ống 48x25 có bạc</t>
  </si>
  <si>
    <t>BKDH60X25CB</t>
  </si>
  <si>
    <t>Bông khoáng dạng ống 60x25 có bạc</t>
  </si>
  <si>
    <t>BKDH76X25CB</t>
  </si>
  <si>
    <t>Bông khoáng dạng ống 76x25 có bạc</t>
  </si>
  <si>
    <t>BKDH114X25C</t>
  </si>
  <si>
    <t>Bông khoáng dạng ống 114x25 có bạc</t>
  </si>
  <si>
    <t>BKDH22X30CB</t>
  </si>
  <si>
    <t>Bông khoáng dạng ống 22x30 có bạc</t>
  </si>
  <si>
    <t>BKDH28X30CB</t>
  </si>
  <si>
    <t>Bông khoáng dạng ống 28x30 có bạc</t>
  </si>
  <si>
    <t>BKDH34X30CB</t>
  </si>
  <si>
    <t>Bông khoáng dạng ống 34x30 có bạc</t>
  </si>
  <si>
    <t>BKD4330CB</t>
  </si>
  <si>
    <t>Bông khoáng dạng ống 43x30 có bạc</t>
  </si>
  <si>
    <t>BKDH48X30CB</t>
  </si>
  <si>
    <t>Bông khoáng dạng ống 48x30 có bạc</t>
  </si>
  <si>
    <t>BKDH60X30CB</t>
  </si>
  <si>
    <t>Bông khoáng dạng ống 60x30 có bạc</t>
  </si>
  <si>
    <t>BKDH89X30CB</t>
  </si>
  <si>
    <t>Bông khoáng dạng ống 89x30 có bạc</t>
  </si>
  <si>
    <t>BKD11430CB</t>
  </si>
  <si>
    <t>Bông khoáng dạng ống 114x30 có bạc</t>
  </si>
  <si>
    <t>BKDH140X30CB</t>
  </si>
  <si>
    <t>Bông khoáng dạng ống 140x30 có bạc</t>
  </si>
  <si>
    <t>BKDH22X40CB</t>
  </si>
  <si>
    <t>Bông khoáng dạng ống 22x40 có bạc</t>
  </si>
  <si>
    <t>BKDH28X40CB</t>
  </si>
  <si>
    <t>Bông khoáng dạng ống 28x40 có bạc</t>
  </si>
  <si>
    <t>BKDH34X40CB</t>
  </si>
  <si>
    <t>Bông khoáng dạng ống 34x40 có bạc</t>
  </si>
  <si>
    <t>BKDH43X40CB</t>
  </si>
  <si>
    <t>Bông khoáng dạng ống 43x40 có bạc</t>
  </si>
  <si>
    <t>BKDH48X40CB</t>
  </si>
  <si>
    <t>Bông khoáng dạng ống 48x40 có bạc</t>
  </si>
  <si>
    <t>BKDH60X40CB</t>
  </si>
  <si>
    <t>Bông khoáng dạng ống 60x40 có bạc</t>
  </si>
  <si>
    <t>BKDH76X40CB</t>
  </si>
  <si>
    <t>Bông khoáng dạng ống 76x40 có bạc</t>
  </si>
  <si>
    <t>BKDO8940CB</t>
  </si>
  <si>
    <t>Bông khoáng dạng ống 89x40 có bạc</t>
  </si>
  <si>
    <t>BKD11440CB</t>
  </si>
  <si>
    <t>Bông khoáng dạng ống 114x40 có bạc</t>
  </si>
  <si>
    <t>BKDO14040CB</t>
  </si>
  <si>
    <t>Bông khoáng dạng ống 140x40 có bạc</t>
  </si>
  <si>
    <t>BKDO16940CB</t>
  </si>
  <si>
    <t>Bông khoáng dạng ống 169x40 có bạc</t>
  </si>
  <si>
    <t>BKDH219X40CB</t>
  </si>
  <si>
    <t>Bông khoáng dạng ống 219x40 có bạc</t>
  </si>
  <si>
    <t>BKDO273X40</t>
  </si>
  <si>
    <t>Bông khoáng dạng ống 273x40 có bạc</t>
  </si>
  <si>
    <t>BKDH325X40CB</t>
  </si>
  <si>
    <t>Bông khoáng dạng ống 325x40 có bạc</t>
  </si>
  <si>
    <t>BKDH22X50CB</t>
  </si>
  <si>
    <t>Bông khoáng dạng ống 22x50 có bạc</t>
  </si>
  <si>
    <t>BKDH22X50KB</t>
  </si>
  <si>
    <t>Bông khoáng dạng ống 22x50 không bạc</t>
  </si>
  <si>
    <t>BKDO2850CB</t>
  </si>
  <si>
    <t>Bông khoáng dạng ống 28x50 có bạc</t>
  </si>
  <si>
    <t>BKDO2850KB</t>
  </si>
  <si>
    <t>Bông khoáng dạng ống 28x50 không bạc</t>
  </si>
  <si>
    <t>BKDO3450CB</t>
  </si>
  <si>
    <t>Bông khoáng dạng ống 34x50 có bạc</t>
  </si>
  <si>
    <t>BKDO3450KB</t>
  </si>
  <si>
    <t>Bông khoáng dạng ống 34x50 không bạc</t>
  </si>
  <si>
    <t>BKDO4350CB</t>
  </si>
  <si>
    <t>Bông khoáng dạng ống 43x50 có bạc</t>
  </si>
  <si>
    <t>BKDO4350KB</t>
  </si>
  <si>
    <t>Bông khoáng dạng ống 43x50 không bạc</t>
  </si>
  <si>
    <t>BKDO4850CB</t>
  </si>
  <si>
    <t>Bông khoáng dạng ống 48x50 có bạc</t>
  </si>
  <si>
    <t>BKDO4850KB</t>
  </si>
  <si>
    <t>Bông khoáng dạng ống 48x50 không bạc</t>
  </si>
  <si>
    <t>HKBKC6050CB</t>
  </si>
  <si>
    <t>Bông khoáng dạng ống 60x50 có bạc</t>
  </si>
  <si>
    <t>HKBKC6050KB</t>
  </si>
  <si>
    <t>Bông khoáng dạng ống 60x50 không bạc</t>
  </si>
  <si>
    <t>BKDO7650CB</t>
  </si>
  <si>
    <t>Bông khoáng dạng ống 76x50 có bạc</t>
  </si>
  <si>
    <t>BKDO7650KB</t>
  </si>
  <si>
    <t>Bông khoáng dạng ống 76x50 không bạc</t>
  </si>
  <si>
    <t>BKDH89X50CB</t>
  </si>
  <si>
    <t>Bông khoáng dạng ống 89x50 có bạc</t>
  </si>
  <si>
    <t>BKDO8950KB</t>
  </si>
  <si>
    <t>Bông khoáng dạng ống 89x50 không bạc</t>
  </si>
  <si>
    <t>BKDH114X50CB</t>
  </si>
  <si>
    <t>Bông khoáng dạng ống 114x50 có bạc</t>
  </si>
  <si>
    <t>BKDO11450KB</t>
  </si>
  <si>
    <t>Bông khoáng dạng ống 114x50 không bạc</t>
  </si>
  <si>
    <t>BKDO14050CB</t>
  </si>
  <si>
    <t>Bông khoáng dạng ống 140x50 có bạc</t>
  </si>
  <si>
    <t>BKDO14050KB</t>
  </si>
  <si>
    <t>Bông khoáng dạng ống 140x50 không bạc</t>
  </si>
  <si>
    <t>BKDH169X50CB</t>
  </si>
  <si>
    <t>Bông khoáng dạng ống 169x50 có bạc</t>
  </si>
  <si>
    <t>BKDO21950CB</t>
  </si>
  <si>
    <t>Bông khoáng dạng ống 219x50 có bạc</t>
  </si>
  <si>
    <t>BKDO27350CB</t>
  </si>
  <si>
    <t>Bông khoáng dạng ống 273x50 có bạc</t>
  </si>
  <si>
    <t>BKDOD325X50CB</t>
  </si>
  <si>
    <t>Bông khoáng dạng ống 325x50 có bạc</t>
  </si>
  <si>
    <t>BKDO2260CB</t>
  </si>
  <si>
    <t>Bông khoáng dạng ống 22x60 có bạc</t>
  </si>
  <si>
    <t>BKDO3460CB</t>
  </si>
  <si>
    <t>Bông khoáng dạng ống 34x60 có bạc</t>
  </si>
  <si>
    <t>BKDO4360CB</t>
  </si>
  <si>
    <t>Bông khoáng dạng ống 43x60 có bạc</t>
  </si>
  <si>
    <t>BKDO4860CB</t>
  </si>
  <si>
    <t>Bông khoáng dạng ống 48x60 có bạc</t>
  </si>
  <si>
    <t>BKDO6060CB</t>
  </si>
  <si>
    <t>Bông khoáng dạng ống 60x60 có bạc</t>
  </si>
  <si>
    <t>BKDO7660CB</t>
  </si>
  <si>
    <t>Bông khoáng dạng ống 76x60 có bạc</t>
  </si>
  <si>
    <t>BKDO8960CB</t>
  </si>
  <si>
    <t>Bông khoáng dạng ống 89x60 có bạc</t>
  </si>
  <si>
    <t>BKDO11460CB</t>
  </si>
  <si>
    <t>Bông khoáng dạng ống 114x60 có bạc</t>
  </si>
  <si>
    <t>BKDO14060CB</t>
  </si>
  <si>
    <t>Bông khoáng dạng ống 140x60 có bạc</t>
  </si>
  <si>
    <t>BKDO2280CB</t>
  </si>
  <si>
    <t>Bông khoáng dạng ống 22x80 có bạc</t>
  </si>
  <si>
    <t>BKDO3480CB</t>
  </si>
  <si>
    <t>Bông khoáng dạng ống 34x80 có bạc</t>
  </si>
  <si>
    <t>BKDO4380CB</t>
  </si>
  <si>
    <t>Bông khoáng dạng ống 43x80 có bạc</t>
  </si>
  <si>
    <t>BKDO4880CB</t>
  </si>
  <si>
    <t>Bông khoáng dạng ống 48x80 có bạc</t>
  </si>
  <si>
    <t>BKDO6080CB</t>
  </si>
  <si>
    <t>Bông khoáng dạng ống 60x80 có bạc</t>
  </si>
  <si>
    <t>BKDO7680CB</t>
  </si>
  <si>
    <t>Bông khoáng dạng ống 76x80 có bạc</t>
  </si>
  <si>
    <t>BKDO8980CB</t>
  </si>
  <si>
    <t>Bông khoáng dạng ống 89x80 có bạc</t>
  </si>
  <si>
    <t>BKDO11480CB</t>
  </si>
  <si>
    <t>Bông khoáng dạng ống 114x80 có bạc</t>
  </si>
  <si>
    <t>BKDO14080CB</t>
  </si>
  <si>
    <t>Bông khoáng dạng ống 140x80 có bạc</t>
  </si>
  <si>
    <t>BKDO16980CB</t>
  </si>
  <si>
    <t>Bông khoáng dạng ống 169x80 có bạc</t>
  </si>
  <si>
    <t>BKDO22x100CB</t>
  </si>
  <si>
    <t>Bông khoáng dạng ống 22x100 có bạc</t>
  </si>
  <si>
    <t>BKDO34x100CB</t>
  </si>
  <si>
    <t>Bông khoáng dạng ống 34x100 có bạc</t>
  </si>
  <si>
    <t>BKDO43x100CB</t>
  </si>
  <si>
    <t>Bông khoáng dạng ống 43x100 có bạc</t>
  </si>
  <si>
    <t>BKDO48x100CB</t>
  </si>
  <si>
    <t>Bông khoáng dạng ống 48x100 có bạc</t>
  </si>
  <si>
    <t>BKDO60x100CB</t>
  </si>
  <si>
    <t>Bông khoáng dạng ống 60x100 có bạc</t>
  </si>
  <si>
    <t>BKDO76x100CB</t>
  </si>
  <si>
    <t>Bông khoáng dạng ống 76x100 có bạc</t>
  </si>
  <si>
    <t>BKDO89x100CB</t>
  </si>
  <si>
    <t>Bông khoáng dạng ống 89x100 có bạc</t>
  </si>
  <si>
    <t>BKDO114x100CB</t>
  </si>
  <si>
    <t>Bông khoáng dạng ống 114x100 có bạc</t>
  </si>
  <si>
    <t>BKDO140x100CB</t>
  </si>
  <si>
    <t>Bông khoáng dạng ống 140x100 có bạc</t>
  </si>
  <si>
    <t>BKDO169x100CB</t>
  </si>
  <si>
    <t>Bông khoáng dạng ống 169x100 có bạc</t>
  </si>
  <si>
    <t>BKDO2260KB</t>
  </si>
  <si>
    <t>Bông khoáng dạng ống 22x60 không bạc</t>
  </si>
  <si>
    <t>BKDO3460KB</t>
  </si>
  <si>
    <t>Bông khoáng dạng ống 34x60 không bạc</t>
  </si>
  <si>
    <t>BKDO4360KB</t>
  </si>
  <si>
    <t>Bông khoáng dạng ống 43x60 không bạc</t>
  </si>
  <si>
    <t>BKDO4860KB</t>
  </si>
  <si>
    <t>Bông khoáng dạng ống 48x60 không bạc</t>
  </si>
  <si>
    <t>BKDO6060KB</t>
  </si>
  <si>
    <t>Bông khoáng dạng ống 60x60 không bạc</t>
  </si>
  <si>
    <t>BKDO7660KB</t>
  </si>
  <si>
    <t>Bông khoáng dạng ống 76x60 không bạc</t>
  </si>
  <si>
    <t>BKDO8960KB</t>
  </si>
  <si>
    <t>Bông khoáng dạng ống 89x60 không bạc</t>
  </si>
  <si>
    <t>BKDO11460KB</t>
  </si>
  <si>
    <t>Bông khoáng dạng ống 114x60 không bạc</t>
  </si>
  <si>
    <t>BKDO14060KB</t>
  </si>
  <si>
    <t>Bông khoáng dạng ống 140x60 không bạc</t>
  </si>
  <si>
    <t>BKDO16960KB</t>
  </si>
  <si>
    <t>Bông khoáng dạng ống 169x60 không bạc</t>
  </si>
  <si>
    <t>BKDO2280KB</t>
  </si>
  <si>
    <t>Bông khoáng dạng ống 22x80 không bạc</t>
  </si>
  <si>
    <t>BKDO3480KB</t>
  </si>
  <si>
    <t>Bông khoáng dạng ống 34x80 không bạc</t>
  </si>
  <si>
    <t>BKDO4380KB</t>
  </si>
  <si>
    <t>Bông khoáng dạng ống 43x80 không bạc</t>
  </si>
  <si>
    <t>BKDO4880KB</t>
  </si>
  <si>
    <t>Bông khoáng dạng ống 48x80 không bạc</t>
  </si>
  <si>
    <t>BKDO6080KB</t>
  </si>
  <si>
    <t>Bông khoáng dạng ống 60x80 không bạc</t>
  </si>
  <si>
    <t>BKDO7680KB</t>
  </si>
  <si>
    <t>Bông khoáng dạng ống 76x80 không bạc</t>
  </si>
  <si>
    <t>BKDO8980KB</t>
  </si>
  <si>
    <t>Bông khoáng dạng ống 89x80 không bạc</t>
  </si>
  <si>
    <t>BKDO11480KB</t>
  </si>
  <si>
    <t>Bông khoáng dạng ống 114x80 không bạc</t>
  </si>
  <si>
    <t>BKDO14080KB</t>
  </si>
  <si>
    <t>Bông khoáng dạng ống 140x80 không bạc</t>
  </si>
  <si>
    <t>BKDO16980KB</t>
  </si>
  <si>
    <t>Bông khoáng dạng ống 169x80 không bạc</t>
  </si>
  <si>
    <t>BKDO22x100KB</t>
  </si>
  <si>
    <t>Bông khoáng dạng ống 22x100 không bạc</t>
  </si>
  <si>
    <t>BKDO34x100KB</t>
  </si>
  <si>
    <t>Bông khoáng dạng ống 34x100 không bạc</t>
  </si>
  <si>
    <t>BKDO43x100KB</t>
  </si>
  <si>
    <t>Bông khoáng dạng ống 43x100 không bạc</t>
  </si>
  <si>
    <t>BKDO48x100KB</t>
  </si>
  <si>
    <t>Bông khoáng dạng ống 48x100 không bạc</t>
  </si>
  <si>
    <t>BKDO60x100KB</t>
  </si>
  <si>
    <t>Bông khoáng dạng ống 60x100 không bạc</t>
  </si>
  <si>
    <t>BKDO76x100KB</t>
  </si>
  <si>
    <t>Bông khoáng dạng ống 76x100 không bạc</t>
  </si>
  <si>
    <t>BKDO89x100KB</t>
  </si>
  <si>
    <t>Bông khoáng dạng ống 89x100 không bạc</t>
  </si>
  <si>
    <t>BKDO114x100KB</t>
  </si>
  <si>
    <t>Bông khoáng dạng ống 114x100 không bạc</t>
  </si>
  <si>
    <t>BKDO140x100KB</t>
  </si>
  <si>
    <t>Bông khoáng dạng ống 140x100 không bạc</t>
  </si>
  <si>
    <t>BKDO169x100KB</t>
  </si>
  <si>
    <t>Bông khoáng dạng ống 169x100 không bạc</t>
  </si>
  <si>
    <t>BKKK</t>
  </si>
  <si>
    <t>HKBK4050CB</t>
  </si>
  <si>
    <t>Bông khoáng dạng kiện 40x50 có bạc</t>
  </si>
  <si>
    <t>HKBK4050</t>
  </si>
  <si>
    <t>Bông khoáng dạng kiện 40x50 không bạc</t>
  </si>
  <si>
    <t>HKBK5050CB</t>
  </si>
  <si>
    <t>Bông khoáng dạng kiện 50x50 có bạc</t>
  </si>
  <si>
    <t>HKBKT5050</t>
  </si>
  <si>
    <t>Bông khoáng dạng kiện 50x50 không bạc</t>
  </si>
  <si>
    <t>HKBKT6050CB</t>
  </si>
  <si>
    <t>Bông khoáng dạng kiện 60x50 có bạc</t>
  </si>
  <si>
    <t>HKBKT6050</t>
  </si>
  <si>
    <t>Bông khoáng dạng kiện 60x50 không bạc</t>
  </si>
  <si>
    <t>HKBK8050</t>
  </si>
  <si>
    <t>Bông khoáng dạng kiện 80x50 không bạc</t>
  </si>
  <si>
    <t>HKBK8050CB</t>
  </si>
  <si>
    <t>Bông khoáng dạng kiện 80x50 có bạc</t>
  </si>
  <si>
    <t>HKBK10050</t>
  </si>
  <si>
    <t>Bông khoáng dạng kiện 100x50 không bạc</t>
  </si>
  <si>
    <t>HKBKT13050</t>
  </si>
  <si>
    <t>Bông khoáng dạng kiện 130x50 không bạc</t>
  </si>
  <si>
    <t>HKBK28800CB</t>
  </si>
  <si>
    <t>Bông khoáng dạng kiện 28x80 có bạc</t>
  </si>
  <si>
    <t>HKBK8080</t>
  </si>
  <si>
    <t>Bông khoáng dạng kiện 80x80 không bạc</t>
  </si>
  <si>
    <t>HKBK60100CB</t>
  </si>
  <si>
    <t>Bông khoáng dạng kiện 60x100 có bạc</t>
  </si>
  <si>
    <t>HKBK114110CB</t>
  </si>
  <si>
    <t>Bông khoáng dạng kiện 114x110 có bạc</t>
  </si>
  <si>
    <t>BTTO</t>
  </si>
  <si>
    <t>HKBK22X30CB</t>
  </si>
  <si>
    <t>Bông thủy tinh dạng ống 22x30 có bạc</t>
  </si>
  <si>
    <t>HKBK25x30</t>
  </si>
  <si>
    <t>Bông thủy tinh dạng ống 25x30</t>
  </si>
  <si>
    <t>BTTO28X30CB</t>
  </si>
  <si>
    <t>Bông thủy tinh dạng ống 28x30 có bạc</t>
  </si>
  <si>
    <t>HKBK28X30</t>
  </si>
  <si>
    <t>Bông thủy tinh dạng ống 28x30</t>
  </si>
  <si>
    <t>BTTO34X30CB</t>
  </si>
  <si>
    <t>Bông thủy tinh dạng ống 34x30 có bạc</t>
  </si>
  <si>
    <t>HKBK43X30</t>
  </si>
  <si>
    <t>Bông thủy tinh dạng ống 43x30</t>
  </si>
  <si>
    <t>BTTO43X30CB</t>
  </si>
  <si>
    <t>Bông thủy tinh dạng ống 43x30 có bạc</t>
  </si>
  <si>
    <t>BTTO48X30CB</t>
  </si>
  <si>
    <t>Bông thủy tinh dạng ống 48x30 có bạc</t>
  </si>
  <si>
    <t>HKBK60X30CB</t>
  </si>
  <si>
    <t>Bông thủy tinh dạng ống 60x30 có bạc</t>
  </si>
  <si>
    <t>HKBK76X30</t>
  </si>
  <si>
    <t>Bông thủy tinh dạng ống 76x30</t>
  </si>
  <si>
    <t>BTTO76X30CB</t>
  </si>
  <si>
    <t>Bông thủy tinh dạng ống 76x30 có bạc</t>
  </si>
  <si>
    <t>BTTO89X30CB</t>
  </si>
  <si>
    <t>Bông thủy tinh dạng ống 89x30 có bạc</t>
  </si>
  <si>
    <t>BKDH114X30CB</t>
  </si>
  <si>
    <t>Bông thủy tinh dạng ống 114x30 có bạc</t>
  </si>
  <si>
    <t>BTTO169X30CB</t>
  </si>
  <si>
    <t>Bông thủy tinh dạng ống 169x30 có bạc</t>
  </si>
  <si>
    <t>BTTO22X40CB</t>
  </si>
  <si>
    <t>Bông thủy tinh dạng ống 22x40 có bạc</t>
  </si>
  <si>
    <t>BTTO28X40CB</t>
  </si>
  <si>
    <t>Bông thủy tinh dạng ống 28x40 có bạc</t>
  </si>
  <si>
    <t>BTTO34X40CB</t>
  </si>
  <si>
    <t>Bông thủy tinh dạng ống 34x40 có bạc</t>
  </si>
  <si>
    <t>BKDH43X40</t>
  </si>
  <si>
    <t>Bông thủy tinh dạng ống 43x40</t>
  </si>
  <si>
    <t>BTTO43X40CB</t>
  </si>
  <si>
    <t>Bông thủy tinh dạng ống 43x40 có bạc</t>
  </si>
  <si>
    <t>HKBK48X40CB</t>
  </si>
  <si>
    <t>Bông thủy tinh dạng ống 48x40 có bạc</t>
  </si>
  <si>
    <t>HKBK48X40</t>
  </si>
  <si>
    <t>Bông thủy tinh dạng ống 48x40</t>
  </si>
  <si>
    <t>BTTO60X40CB</t>
  </si>
  <si>
    <t>Bông thủy tinh dạng ống 60x40 có bạc</t>
  </si>
  <si>
    <t>BTTO76X40CB</t>
  </si>
  <si>
    <t>Bông thủy tinh dạng ống 76x40 có bạc</t>
  </si>
  <si>
    <t>HKBK76X40</t>
  </si>
  <si>
    <t>Bông thủy tinh dạng ống 76x40</t>
  </si>
  <si>
    <t>BKDH89X40</t>
  </si>
  <si>
    <t>Bông thủy tinh dạng ống 89x40</t>
  </si>
  <si>
    <t>BTTO89X40CB</t>
  </si>
  <si>
    <t>Bông thủy tinh dạng ống 89x40 có bạc</t>
  </si>
  <si>
    <t>HKBK89X40</t>
  </si>
  <si>
    <t>BTTO114X40CB</t>
  </si>
  <si>
    <t>Bông thủy tinh dạng ống 114x40 có bạc</t>
  </si>
  <si>
    <t>HKBK114X40</t>
  </si>
  <si>
    <t>Bông thủy tinh dạng ống 114x40</t>
  </si>
  <si>
    <t>BTTO140X40CB</t>
  </si>
  <si>
    <t>Bông thủy tinh dạng ống 140x40 có bạc</t>
  </si>
  <si>
    <t>BTTO169X40CB</t>
  </si>
  <si>
    <t>Bông thủy tinh dạng ống 169x40 có bạc</t>
  </si>
  <si>
    <t>BTTO219X40CB</t>
  </si>
  <si>
    <t>Bông thủy tinh dạng ống 219x40 có bạc</t>
  </si>
  <si>
    <t>BTTO260X40CB</t>
  </si>
  <si>
    <t>Bông thủy tinh dạng ống 260x40 có bạc</t>
  </si>
  <si>
    <t>BTTO273X40CB</t>
  </si>
  <si>
    <t>Bông thủy tinh dạng ống 273x40 có bạc</t>
  </si>
  <si>
    <t>BTTO325X40CB</t>
  </si>
  <si>
    <t>Bông thủy tinh dạng ống 325x40 có bạc</t>
  </si>
  <si>
    <t>BTTO22X50CB</t>
  </si>
  <si>
    <t>Bông thủy tinh dạng ống 22x50 có bạc</t>
  </si>
  <si>
    <t>BKDO22X50</t>
  </si>
  <si>
    <t>Bông thủy tinh dạng ống 22x50</t>
  </si>
  <si>
    <t>BKDO28X50</t>
  </si>
  <si>
    <t>Bông thủy tinh dạng ống 28x50</t>
  </si>
  <si>
    <t>BTTO28X50KB</t>
  </si>
  <si>
    <t>Bông thủy tinh dạng ống 28x50 không bạc</t>
  </si>
  <si>
    <t>BTTO28X50CB</t>
  </si>
  <si>
    <t>Bông thủy tinh dạng ống 28X50 có bạc</t>
  </si>
  <si>
    <t>BKDO34X50</t>
  </si>
  <si>
    <t>Bông thủy tinh dạng ống 34x50</t>
  </si>
  <si>
    <t>BTTO34X50KB</t>
  </si>
  <si>
    <t>Bông thủy tinh dạng ống 34x50 không bạc</t>
  </si>
  <si>
    <t>BTTO34X50CB</t>
  </si>
  <si>
    <t>Bông thủy tinh dạng ống 34x50 có bạc</t>
  </si>
  <si>
    <t>Bông thủy tinh dạng ống 43x50 có bạc</t>
  </si>
  <si>
    <t>BKDO43X50</t>
  </si>
  <si>
    <t>Bông thủy tinh dạng ống 43x50</t>
  </si>
  <si>
    <t>BTTO43X50KB</t>
  </si>
  <si>
    <t>Bông thủy tinh dạng ống 43x50 không bạc</t>
  </si>
  <si>
    <t>BTTO48X50KB</t>
  </si>
  <si>
    <t>Bông thủy tinh dạng ống 48x50 không bạc</t>
  </si>
  <si>
    <t>BTTO48X50CB</t>
  </si>
  <si>
    <t>Bông thủy tinh dạng ống 48X50 có bạc</t>
  </si>
  <si>
    <t>BTTO60X50CB</t>
  </si>
  <si>
    <t>Bông thủy tinh dạng ống 60x50 có bạc</t>
  </si>
  <si>
    <t>BTTO60X50KB</t>
  </si>
  <si>
    <t>Bông thủy tinh dạng ống 60x50 không bạc</t>
  </si>
  <si>
    <t>HKBK60X50</t>
  </si>
  <si>
    <t>Bông thủy tinh dạng ống 60x50</t>
  </si>
  <si>
    <t>BKDO76X50</t>
  </si>
  <si>
    <t>Bông thủy tinh dạng ống 76x50</t>
  </si>
  <si>
    <t>BTTO76X50CB</t>
  </si>
  <si>
    <t>Bông thủy tinh dạng ống 76x50 có bạc</t>
  </si>
  <si>
    <t>BTTO76X50KB</t>
  </si>
  <si>
    <t>Bông thủy tinh dạng ống 76x50 không bạc</t>
  </si>
  <si>
    <t>BKDO89X50</t>
  </si>
  <si>
    <t>Bông thủy tinh dạng ống 89x50</t>
  </si>
  <si>
    <t>BTTO89X50KB</t>
  </si>
  <si>
    <t>Bông thủy tinh dạng ống 89x50 không bạc</t>
  </si>
  <si>
    <t>BTTO89X50CB</t>
  </si>
  <si>
    <t>Bông thủy tinh dạng ống 89x50 có bạc</t>
  </si>
  <si>
    <t>BKDO108X50</t>
  </si>
  <si>
    <t>Bông thủy tinh dạng ống 108x50 có bạc</t>
  </si>
  <si>
    <t>BKDO114X50</t>
  </si>
  <si>
    <t>Bông thủy tinh dạng ống 114x50</t>
  </si>
  <si>
    <t>BTTO114X50KB</t>
  </si>
  <si>
    <t>Bông thủy tinh dạng ống 114x50 không bạc</t>
  </si>
  <si>
    <t>BTTO114X50CB</t>
  </si>
  <si>
    <t>Bông thủy tinh dạng ống 114x50 có bạc</t>
  </si>
  <si>
    <t>BTTO13350</t>
  </si>
  <si>
    <t>Bông thủy tinh dạng ống 133x50 có bạc</t>
  </si>
  <si>
    <t>BTTO140X50KB</t>
  </si>
  <si>
    <t>Bông thủy tinh dạng ống 140x50 không bạc</t>
  </si>
  <si>
    <t>HKBK140X50</t>
  </si>
  <si>
    <t>Bông thủy tinh dạng ống 140x50</t>
  </si>
  <si>
    <t>BTTO140X50CB</t>
  </si>
  <si>
    <t>Bông thủy tinh dạng ống 140x50 có bạc</t>
  </si>
  <si>
    <t>BTTO169X50CB</t>
  </si>
  <si>
    <t>Bông thủy tinh dạng ống 169x50 có bạc</t>
  </si>
  <si>
    <t>BTTO169X50KB</t>
  </si>
  <si>
    <t>Bông thủy tinh dạng ống 169x50 không bạc</t>
  </si>
  <si>
    <t>HKBK169X50</t>
  </si>
  <si>
    <t>Bông thủy tinh dạng ống 169x50</t>
  </si>
  <si>
    <t>BTTO219X50CB</t>
  </si>
  <si>
    <t>Bông thủy tinh dạng ống 219x50 có bạc</t>
  </si>
  <si>
    <t>BTTO219X50KB</t>
  </si>
  <si>
    <t>Bông thủy tinh dạng ống 219x50 không bạc</t>
  </si>
  <si>
    <t>HKBK219X50</t>
  </si>
  <si>
    <t>Bông thủy tinh dạng ống 219x50</t>
  </si>
  <si>
    <t>BTTO265X50CB</t>
  </si>
  <si>
    <t>Bông thủy tinh dạng ống 265x50 có bạc</t>
  </si>
  <si>
    <t>BTTO265X50KB</t>
  </si>
  <si>
    <t>Bông thủy tinh dạng ống 265x50 không bạc</t>
  </si>
  <si>
    <t>BKĐH27350</t>
  </si>
  <si>
    <t>Bông thủy tinh dạng ống 273x50</t>
  </si>
  <si>
    <t>BKDH275X50</t>
  </si>
  <si>
    <t>Bông thủy tinh dạng ống 275x50</t>
  </si>
  <si>
    <t>BTTO273X50CB</t>
  </si>
  <si>
    <t>Bông thủy tinh dạng ống 273x50 có bạc</t>
  </si>
  <si>
    <t>BTTO273X50KB</t>
  </si>
  <si>
    <t>Bông thủy tinh dạng ống 273x50 không bạc</t>
  </si>
  <si>
    <t>BTTO325X50CB</t>
  </si>
  <si>
    <t>Bông thủy tinh dạng ống 325x50 có bạc</t>
  </si>
  <si>
    <t>BTTO325X50KB</t>
  </si>
  <si>
    <t>Bông thủy tinh dạng ống 325x50 không bạc</t>
  </si>
  <si>
    <t>HKBK325X50</t>
  </si>
  <si>
    <t>Bông thủy tinh dạng ống 325x50</t>
  </si>
  <si>
    <t>BTTO375X50CB</t>
  </si>
  <si>
    <t>Bông thủy tinh dạng ống 375x50 Có bạc</t>
  </si>
  <si>
    <t>BKDH377x50</t>
  </si>
  <si>
    <t>Bông thủy tinh dạng ống 377x50</t>
  </si>
  <si>
    <t>BTTO377X50KB</t>
  </si>
  <si>
    <t>Bông thủy tinh dạng ống 377x50 không bạc</t>
  </si>
  <si>
    <t>BTTO377X50CB</t>
  </si>
  <si>
    <t>Bông thủy tinh dạng ống 377x50 có bạc</t>
  </si>
  <si>
    <t>BKĐH42650</t>
  </si>
  <si>
    <t>Bông thủy tinh dạng ống 426x50</t>
  </si>
  <si>
    <t>BTTO425X50CB</t>
  </si>
  <si>
    <t>Bông thủy tinh dạng ống 425x50 có bạc</t>
  </si>
  <si>
    <t>BTTO43X60CB</t>
  </si>
  <si>
    <t>Bông thủy tinh dạng ống 43x60 có bạc</t>
  </si>
  <si>
    <t>BKDH60X60CB</t>
  </si>
  <si>
    <t>Bông thủy tinh dạng ống 60x60 có bạc</t>
  </si>
  <si>
    <t>BTTO140X80CB</t>
  </si>
  <si>
    <t>Bông thủy tinh dạng ống 140x80 có bạc</t>
  </si>
  <si>
    <t>BKDH34X80</t>
  </si>
  <si>
    <t>Bông thủy tinh dạng ống 34x80 có bạc</t>
  </si>
  <si>
    <t>BTTO60X80CB</t>
  </si>
  <si>
    <t>Bông thủy tinh dạng ống 60x80 có bạc</t>
  </si>
  <si>
    <t>BTTO89X80CB</t>
  </si>
  <si>
    <t>Bông thủy tinh dạng ống 89x80 có bạc</t>
  </si>
  <si>
    <t>BTTO114X80CB</t>
  </si>
  <si>
    <t>Bông thủy tinh dạng ống 114x80 có bạc</t>
  </si>
  <si>
    <t>BTTO169X80CB</t>
  </si>
  <si>
    <t>Bông thủy tinh dạng ống 169x80 có bạc</t>
  </si>
  <si>
    <t>BTTO219X80CB</t>
  </si>
  <si>
    <t>Bông thủy tinh dạng ống 219x80 có bạc</t>
  </si>
  <si>
    <t>BTTO273X80CB</t>
  </si>
  <si>
    <t>Bông thủy tinh dạng ống 273x80 có bạc</t>
  </si>
  <si>
    <t>BTTO325X80CB</t>
  </si>
  <si>
    <t>Bông thủy tinh dạng ống 325x80 có bạc</t>
  </si>
  <si>
    <t>BTTO425X80CB</t>
  </si>
  <si>
    <t>Bông thủy tinh dạng ống 425x80 có bạc</t>
  </si>
  <si>
    <t>BTTT</t>
  </si>
  <si>
    <t>HKBTT24X2524</t>
  </si>
  <si>
    <t>Bông thủy tinh 24x25 có bạc (24m2/cuộn)</t>
  </si>
  <si>
    <t>Bông thủy tinh 24x25 có bạc (36m2/cuộn)</t>
  </si>
  <si>
    <t>HKBTT32x25(18m)</t>
  </si>
  <si>
    <t>Bông thủy tinh 32x25 có bạc (18m2/cuộn)</t>
  </si>
  <si>
    <t>HKBTT32X25</t>
  </si>
  <si>
    <t>Bông thủy tinh 32x25 có bạc (24m2/cuộn)</t>
  </si>
  <si>
    <t>HKBTT48x25</t>
  </si>
  <si>
    <t>Bông thủy tinh 48x25 có bạc (24m2/cuộn)</t>
  </si>
  <si>
    <t>Bông thủy tinh 12x50 có bạc (36m2/cuộn)</t>
  </si>
  <si>
    <t>Bông thủy tinh 24x50 có bạc (24m2/cuộn)</t>
  </si>
  <si>
    <t>Bông thủy tinh 32x50 có bạc (18m2/cuộn)</t>
  </si>
  <si>
    <t>HKBTT32X50KC</t>
  </si>
  <si>
    <t>Bông thủy tinh 32x50 có bạc (18m2/cuộn) không bao chữ</t>
  </si>
  <si>
    <t>HKBTT48X50</t>
  </si>
  <si>
    <t>Bông thủy tinh 48x50 có bạc (8.64m2/cuộn)</t>
  </si>
  <si>
    <t>HKBTT48x50B</t>
  </si>
  <si>
    <t>Bông thủy tinh 48x50 có bạc (12m2/cuộn)</t>
  </si>
  <si>
    <t>Bông thủy tinh 32x25 không bạc (24m2/cuộn)</t>
  </si>
  <si>
    <t>Bông thủy tinh 12x50 không bạc (36m2/cuộn)</t>
  </si>
  <si>
    <t>Bông thủy tinh 24x25 không bạc (36m2/cuộn)</t>
  </si>
  <si>
    <t>Bông thủy tinh 24x50 không bạc (24m2/cuộn)</t>
  </si>
  <si>
    <t>Bông thủy tinh 32x50 không bạc (18m2/cuộn)</t>
  </si>
  <si>
    <t>HKBTTK4850CB</t>
  </si>
  <si>
    <t>Bông thủy tinh dạng kiện 48x50 có bạc</t>
  </si>
  <si>
    <t>HKBTTK4850KB</t>
  </si>
  <si>
    <t>Bông thủy tinh dạng kiện 48x50 không bạc</t>
  </si>
  <si>
    <t>Bông khoáng - bông thủy tinh Taisei</t>
  </si>
  <si>
    <t>BTTTS</t>
  </si>
  <si>
    <t>HKBTTTAISEI32X25</t>
  </si>
  <si>
    <t>Bông thủy tinh TAISEI 32x25 có bạc (24m2/cuộn)</t>
  </si>
  <si>
    <t>HKBTTTAISEI48x25</t>
  </si>
  <si>
    <t>Bông thủy tinh TAISEI 48x25 có bạc (18m2/cuộn)</t>
  </si>
  <si>
    <t>HKBTTTAISEI12X50</t>
  </si>
  <si>
    <t>Bông thủy tinh TAISEI 12x50 có bạc (36m2/cuộn)</t>
  </si>
  <si>
    <t>HKBTTTAISEI24X50</t>
  </si>
  <si>
    <t>Bông thủy tinh TAISEI 24x50 có bạc (24m2/cuộn)</t>
  </si>
  <si>
    <t>HKBTTTAISEI32X50</t>
  </si>
  <si>
    <t>Bông thủy tinh TAISEI 32x50 có bạc (18m2/cuộn)</t>
  </si>
  <si>
    <t>HKBTTTAISEI48x50</t>
  </si>
  <si>
    <t>Bông thủy tinh TAISEI 48x50 có bạc (8.64m2/cuộn)</t>
  </si>
  <si>
    <t>HKBTTTAISEI32X25KB</t>
  </si>
  <si>
    <t>Bông thủy tinh TAISEI 32x25 không bạc (24m2/cuộn)</t>
  </si>
  <si>
    <t>HKBTTTAISEI12X50KB</t>
  </si>
  <si>
    <t>Bông thủy tinh TAISEI 12x50 không bạc (36m2/cuộn)</t>
  </si>
  <si>
    <t>HKBTTTAISEI24X50KB</t>
  </si>
  <si>
    <t>Bông thủy tinh TAISEI 24x50 không bạc (24m2/cuộn)</t>
  </si>
  <si>
    <t>HKBTTTAISEI32X50KB</t>
  </si>
  <si>
    <t>Bông thủy tinh TAISEI 32x50 không bạc (18m2/cuộn)</t>
  </si>
  <si>
    <t>HKBTTTAISEI48x25KB</t>
  </si>
  <si>
    <t>Bông thủy tinh TAISEI 48x25 không bạc (18m2/cuộn)</t>
  </si>
  <si>
    <t>HKBTTTAISEI48x50KB</t>
  </si>
  <si>
    <t>Bông thủy tinh TAISEI 48x50 không bạc (8.64m2/cuộn)</t>
  </si>
  <si>
    <t>Mút xốp</t>
  </si>
  <si>
    <t>MUTXBD</t>
  </si>
  <si>
    <t>HKMUTBD05</t>
  </si>
  <si>
    <t>Mút xốp bạc + dính 5mm</t>
  </si>
  <si>
    <t>HKMUTBD10</t>
  </si>
  <si>
    <t>Mút xốp bạc + dính 10mm</t>
  </si>
  <si>
    <t>HKXBD15</t>
  </si>
  <si>
    <t>Mút xốp bạc + dính 15mm</t>
  </si>
  <si>
    <t>Mút xốp bạc + dính 20mm</t>
  </si>
  <si>
    <t>Mút xốp bạc + dính 25mm</t>
  </si>
  <si>
    <t>Mút xốp bạc + dính 30mm</t>
  </si>
  <si>
    <t>HKMUTXBD35</t>
  </si>
  <si>
    <t>Mút xốp bạc + dính 35mm</t>
  </si>
  <si>
    <t>HKXBD50</t>
  </si>
  <si>
    <t>Mút xốp bạc + dính 50mm</t>
  </si>
  <si>
    <t>MUTXKBD</t>
  </si>
  <si>
    <t>HKXKBD05</t>
  </si>
  <si>
    <t>Mút xốp không bạc + dính 05mm</t>
  </si>
  <si>
    <t>HKXKBD20</t>
  </si>
  <si>
    <t>Mút xốp không bạc + dính 20mm</t>
  </si>
  <si>
    <t>HKMXKB02</t>
  </si>
  <si>
    <t>Mút xốp không bạc + không dính 02mm</t>
  </si>
  <si>
    <t>HKMXKB04</t>
  </si>
  <si>
    <t>Mút xốp không bạc + không dính 05mm</t>
  </si>
  <si>
    <t>HKMXKB20</t>
  </si>
  <si>
    <t>Mút xốp không bạc + không dính 20mm</t>
  </si>
  <si>
    <t>HKMXKB25</t>
  </si>
  <si>
    <t>Mút xốp không bạc + không dính 25mm</t>
  </si>
  <si>
    <t>HKMXKB30</t>
  </si>
  <si>
    <t>Mút xốp không bạc + không dính 30mm</t>
  </si>
  <si>
    <t>HKMXKB50</t>
  </si>
  <si>
    <t>Mút xốp không bạc + không dính 50mm</t>
  </si>
  <si>
    <t>MUTXT</t>
  </si>
  <si>
    <t>HKXBKD05</t>
  </si>
  <si>
    <t>Mút xốp bạc không dính 05mm</t>
  </si>
  <si>
    <t>Mút xốp bạc không dính 10mm</t>
  </si>
  <si>
    <t>Mút xốp bạc không dính 15mm</t>
  </si>
  <si>
    <t>Mút xốp bạc không dính 20mm</t>
  </si>
  <si>
    <t>Mút xốp bạc không dính 25mm</t>
  </si>
  <si>
    <t>Mút xốp bạc không dính 30mm</t>
  </si>
  <si>
    <t>HKMXBKD35</t>
  </si>
  <si>
    <t>Mút xốp bạc không dính 35mm</t>
  </si>
  <si>
    <t>HKXB40</t>
  </si>
  <si>
    <t>Mút xốp bạc không dính 40mm</t>
  </si>
  <si>
    <t>Mút xốp bạc không dính 50mm</t>
  </si>
  <si>
    <t>Xốp kép</t>
  </si>
  <si>
    <t>XOPKEPKR</t>
  </si>
  <si>
    <t>XK0610</t>
  </si>
  <si>
    <t>Xốp kép 6 +10</t>
  </si>
  <si>
    <t>XK0612</t>
  </si>
  <si>
    <t>Xốp kép 6 + 12</t>
  </si>
  <si>
    <t>XK0616200</t>
  </si>
  <si>
    <t>Xốp kép 6 + 16 ( 200m)</t>
  </si>
  <si>
    <t>XK010162</t>
  </si>
  <si>
    <t>Xốp kép 10+16 (200)</t>
  </si>
  <si>
    <t>XK01019200</t>
  </si>
  <si>
    <t>Xốp kép 10+19 (200)</t>
  </si>
  <si>
    <t>XKKOREA1019</t>
  </si>
  <si>
    <t>XOPKEPTS</t>
  </si>
  <si>
    <t>Xốp kép TAISEI 06 + 10 ( 200m)</t>
  </si>
  <si>
    <t>Xốp kép TAISEI 06 + 12 (200m)</t>
  </si>
  <si>
    <t>Xốp kép TAISEI 06 + 16 (200m)</t>
  </si>
  <si>
    <t>Xốp kép TAISEI 10 + 16 (200m)</t>
  </si>
  <si>
    <t>XKTAISEI1019</t>
  </si>
  <si>
    <t>Xốp kép TAISEI 10 + 19 (200m)</t>
  </si>
  <si>
    <t>XKTSLT0610C1</t>
  </si>
  <si>
    <t>Xốp kép TAISEI 06 + 10 Class 1 (200m)</t>
  </si>
  <si>
    <t>XKTSLT0612C1</t>
  </si>
  <si>
    <t>Xốp kép TAISEI 06 + 12 Class 1 (200m)</t>
  </si>
  <si>
    <t>XKTSLT0616C1</t>
  </si>
  <si>
    <t>Xốp kép TAISEI 06 + 16 Class 1 (200m)</t>
  </si>
  <si>
    <t>XKTSLT1016C1</t>
  </si>
  <si>
    <t>Xốp kép TAISEI 10 + 16 Class 1 (200m)</t>
  </si>
  <si>
    <t>XKTSLT1019C1</t>
  </si>
  <si>
    <t>Xốp kép TAISEI 10 + 19 Class 1 (200m)</t>
  </si>
  <si>
    <t>XKTSLT0610C0</t>
  </si>
  <si>
    <t>Xốp kép TAISEI 06 + 10 Class 0 (200m)</t>
  </si>
  <si>
    <t>XKTSLT0612C0</t>
  </si>
  <si>
    <t>Xốp kép TAISEI 06 + 12 Class 0 (200m)</t>
  </si>
  <si>
    <t>XKTSLT0616C0</t>
  </si>
  <si>
    <t>Xốp kép TAISEI 06 + 16 Class 0 (200m)</t>
  </si>
  <si>
    <t>XKTSLT1016C0</t>
  </si>
  <si>
    <t>Xốp kép TAISEI 10 + 16 Class 0 (200m)</t>
  </si>
  <si>
    <t>XKTSLT1019C0</t>
  </si>
  <si>
    <t>Xốp kép TAISEI 10 + 19 Class 0 (200m)</t>
  </si>
  <si>
    <t>XKTSLX0610C1</t>
  </si>
  <si>
    <t>Xốp kép TAISEI lõi xám 06 + 10 Class 1 (200m)</t>
  </si>
  <si>
    <t>XKTSLX0612C1</t>
  </si>
  <si>
    <t>Xốp kép TAISEI lõi xám 06 + 12 Class 1 (200m)</t>
  </si>
  <si>
    <t>XKTSLX0616C1</t>
  </si>
  <si>
    <t>Xốp kép TAISEI lõi xám 06 + 16 Class 1 (200m)</t>
  </si>
  <si>
    <t>XKTSLX1016C1</t>
  </si>
  <si>
    <t>Xốp kép TAISEI lõi xám 10 + 16 Class 1 (200m)</t>
  </si>
  <si>
    <t>XKTSLX1019C1</t>
  </si>
  <si>
    <t>Xốp kép TAISEI lõi xám 10 + 19 Class 1 (200m)</t>
  </si>
  <si>
    <t>XKTSLX0610C0</t>
  </si>
  <si>
    <t>Xốp kép TAISEI lõi xám 06 + 10 Class 0 (200m)</t>
  </si>
  <si>
    <t>XKTSLX0612C0</t>
  </si>
  <si>
    <t>Xốp kép TAISEI lõi xám 06 + 12 Class 0 (200m)</t>
  </si>
  <si>
    <t>XKTSLX0616C0</t>
  </si>
  <si>
    <t>Xốp kép TAISEI lõi xám 06 + 16 Class 0 (200m)</t>
  </si>
  <si>
    <t>XKTSLX1016C0</t>
  </si>
  <si>
    <t>Xốp kép TAISEI lõi xám 10 + 16 Class 0 (200m)</t>
  </si>
  <si>
    <t>XKTSLX1019C0</t>
  </si>
  <si>
    <t>Xốp kép TAISEI lõi xám 10 + 19 Class 0 (200m)</t>
  </si>
  <si>
    <t>Xốp phun (PU)</t>
  </si>
  <si>
    <t>XOPPU</t>
  </si>
  <si>
    <t>HKXFBaDD MDI</t>
  </si>
  <si>
    <t>Polyurethan Xốp Đỏ Bayer (Desmodur 44V 20L MDI, 250kg)</t>
  </si>
  <si>
    <t>HKXFBaDDMR200</t>
  </si>
  <si>
    <t>Polyurethan Xốp Đỏ Japan MR200(250kg)</t>
  </si>
  <si>
    <t>HKXFBASDD(NM)</t>
  </si>
  <si>
    <t>Polyurethan Xốp đỏ, Basf (Elastopor H3610/0 C, B, 250kg)</t>
  </si>
  <si>
    <t>HKXFOriDX (NM)</t>
  </si>
  <si>
    <t>Polyurethan Xốp Xanh ORIKEN (RG 2610, 4002/ oriken, 210kg)</t>
  </si>
  <si>
    <t>HKXFOriDXRG4620</t>
  </si>
  <si>
    <t>Polyurethan Xốp Xanh ORIKEN (RG 4620/ oriken, 220kg)</t>
  </si>
  <si>
    <t>ZOANG</t>
  </si>
  <si>
    <t>HKBXD3X5X10ATT</t>
  </si>
  <si>
    <t>Zoăng (băng) xốp 3cmx5mmx10m</t>
  </si>
  <si>
    <t>HKBXD5X25X10ATT</t>
  </si>
  <si>
    <t>Zoăng (băng) xốp 5cmx25mmx10mm</t>
  </si>
  <si>
    <t>HKBXD5X35X10</t>
  </si>
  <si>
    <t>Zoăng (băng) xốp 5cmx35mmx10mm</t>
  </si>
  <si>
    <t>HKBXD5X5X10ATT</t>
  </si>
  <si>
    <t>Zoăng (băng) xốp 5cmx5mmx10m</t>
  </si>
  <si>
    <t>HKBXBAN2.5</t>
  </si>
  <si>
    <t>Zoăng (băng) xốp bản 2.5cm</t>
  </si>
  <si>
    <t>HKBXMNHAMBAN2.5</t>
  </si>
  <si>
    <t>HKBXBAN3</t>
  </si>
  <si>
    <t>Zoăng (băng) xốp bản 3cm</t>
  </si>
  <si>
    <t>HKBXD5X50X10</t>
  </si>
  <si>
    <t>Zoăng (băng) xốp bản 5cm</t>
  </si>
  <si>
    <t>HKBXD5X10X10</t>
  </si>
  <si>
    <t>Zoăng (băng) xốp dày 5cmx10mmx10m</t>
  </si>
  <si>
    <t>HKBXD5X30X10</t>
  </si>
  <si>
    <t>Zoăng (băng) xốp dày 5cmx30mmx10m</t>
  </si>
  <si>
    <t>ZBOA0350914</t>
  </si>
  <si>
    <t>Zoăng bảo ôn Armaflex bản 3mmx50mmx9.14 m</t>
  </si>
  <si>
    <t>5. NHÓM VẬT TƯ</t>
  </si>
  <si>
    <t>Co Đồng</t>
  </si>
  <si>
    <t>PKDCODONG</t>
  </si>
  <si>
    <t>HKCOD6</t>
  </si>
  <si>
    <t>Co đồng 6</t>
  </si>
  <si>
    <t>HKCOD10</t>
  </si>
  <si>
    <t>Co đồng 10</t>
  </si>
  <si>
    <t>HKCOD12</t>
  </si>
  <si>
    <t>Co đồng 12</t>
  </si>
  <si>
    <t>Co đồng 16</t>
  </si>
  <si>
    <t>HKCOD19</t>
  </si>
  <si>
    <t>Co đồng 19</t>
  </si>
  <si>
    <t>HKCOD22</t>
  </si>
  <si>
    <t>Co đồng 22</t>
  </si>
  <si>
    <t>HKCOD25</t>
  </si>
  <si>
    <t>Co đồng 25</t>
  </si>
  <si>
    <t>HKCOD28</t>
  </si>
  <si>
    <t>Co đồng 28</t>
  </si>
  <si>
    <t>HKCOD32</t>
  </si>
  <si>
    <t>Co đồng 32</t>
  </si>
  <si>
    <t>HKCOD35</t>
  </si>
  <si>
    <t>Co đồng 35</t>
  </si>
  <si>
    <t>HKCOD38</t>
  </si>
  <si>
    <t>Co đồng 38</t>
  </si>
  <si>
    <t>HKCOD42</t>
  </si>
  <si>
    <t>Co đồng 42</t>
  </si>
  <si>
    <t>HKCOD45</t>
  </si>
  <si>
    <t>Co đồng 45</t>
  </si>
  <si>
    <t>HKCOD51</t>
  </si>
  <si>
    <t>Co đồng 51</t>
  </si>
  <si>
    <t>HKCOD54</t>
  </si>
  <si>
    <t>Co đồng 54</t>
  </si>
  <si>
    <t>HKCOD67</t>
  </si>
  <si>
    <t>Co đồng 67</t>
  </si>
  <si>
    <t>HKCOD76</t>
  </si>
  <si>
    <t>Co đồng 76</t>
  </si>
  <si>
    <t>HKCOD79</t>
  </si>
  <si>
    <t>Co đồng 79</t>
  </si>
  <si>
    <t>HKCOD89</t>
  </si>
  <si>
    <t>Co đồng 89</t>
  </si>
  <si>
    <t>HKCO108</t>
  </si>
  <si>
    <t>Co đồng 108</t>
  </si>
  <si>
    <t>Nối Đồng</t>
  </si>
  <si>
    <t>PKDNOI</t>
  </si>
  <si>
    <t>HKNOI6</t>
  </si>
  <si>
    <t>Nối đồng 6</t>
  </si>
  <si>
    <t>HKNOI10</t>
  </si>
  <si>
    <t>Nối đồng 10</t>
  </si>
  <si>
    <t>Nối đồng 12</t>
  </si>
  <si>
    <t>Nối đồng 16</t>
  </si>
  <si>
    <t>Nối đồng 19</t>
  </si>
  <si>
    <t>Nối đồng 22</t>
  </si>
  <si>
    <t>Nối đồng 25</t>
  </si>
  <si>
    <t>Nối đồng 28</t>
  </si>
  <si>
    <t>HKNOI32</t>
  </si>
  <si>
    <t>Nối đồng 32</t>
  </si>
  <si>
    <t>HKNOI35</t>
  </si>
  <si>
    <t>Nối đồng 35</t>
  </si>
  <si>
    <t>HKNOI38</t>
  </si>
  <si>
    <t>Nối đồng 38</t>
  </si>
  <si>
    <t>HKNOI42</t>
  </si>
  <si>
    <t>Nối đồng 42</t>
  </si>
  <si>
    <t>HKNOI45</t>
  </si>
  <si>
    <t>Nối đồng 45</t>
  </si>
  <si>
    <t>HKNOI51</t>
  </si>
  <si>
    <t>Nối đồng 51</t>
  </si>
  <si>
    <t>HKNOI54</t>
  </si>
  <si>
    <t>Nối đồng 54</t>
  </si>
  <si>
    <t>HKNOI67</t>
  </si>
  <si>
    <t>Nối đồng 67</t>
  </si>
  <si>
    <t>HKNOI76</t>
  </si>
  <si>
    <t>Nối đồng 76</t>
  </si>
  <si>
    <t>HKNOI79</t>
  </si>
  <si>
    <t>Nối đồng 79</t>
  </si>
  <si>
    <t>HKNOI89</t>
  </si>
  <si>
    <t>Nối đồng 89</t>
  </si>
  <si>
    <t>HKNOI108</t>
  </si>
  <si>
    <t>Nối đồng 108</t>
  </si>
  <si>
    <t>Chếch Đồng</t>
  </si>
  <si>
    <t>PKDCHECH</t>
  </si>
  <si>
    <t>HKCHECH10</t>
  </si>
  <si>
    <t>Chếch đồng 10</t>
  </si>
  <si>
    <t>HKCHECH12</t>
  </si>
  <si>
    <t>Chếch đồng 12</t>
  </si>
  <si>
    <t>HKCHENH16</t>
  </si>
  <si>
    <t>Chếch đồng 16</t>
  </si>
  <si>
    <t>HKCHENH19</t>
  </si>
  <si>
    <t>Chếch đồng 19</t>
  </si>
  <si>
    <t>HKCHENH22</t>
  </si>
  <si>
    <t>Chếch đồng 22</t>
  </si>
  <si>
    <t>HKCHECH25</t>
  </si>
  <si>
    <t>Chếch đồng 25</t>
  </si>
  <si>
    <t>HKCHENH28</t>
  </si>
  <si>
    <t>Chếch đồng 28</t>
  </si>
  <si>
    <t>HKCHENH32</t>
  </si>
  <si>
    <t>Chếch đồng 32</t>
  </si>
  <si>
    <t>HKCHENH35</t>
  </si>
  <si>
    <t>Chếch đồng 35</t>
  </si>
  <si>
    <t>HKCHENH38</t>
  </si>
  <si>
    <t>Chếch đồng 38</t>
  </si>
  <si>
    <t>HKCHENH42</t>
  </si>
  <si>
    <t>Chếch đồng 42</t>
  </si>
  <si>
    <t>HKCHECH45</t>
  </si>
  <si>
    <t>Chếch đồng 45</t>
  </si>
  <si>
    <t>HKCHENH54</t>
  </si>
  <si>
    <t>Chếch đồng 54</t>
  </si>
  <si>
    <t>HKCHECH67</t>
  </si>
  <si>
    <t>Chếch đồng 67</t>
  </si>
  <si>
    <t>Tê Đồng</t>
  </si>
  <si>
    <t>PKDTE</t>
  </si>
  <si>
    <t>Tê đồng 6</t>
  </si>
  <si>
    <t>Tê đồng 10</t>
  </si>
  <si>
    <t>Tê đồng 12</t>
  </si>
  <si>
    <t>Tê đồng 16</t>
  </si>
  <si>
    <t>Tê đồng 19</t>
  </si>
  <si>
    <t>Tê đồng 22</t>
  </si>
  <si>
    <t>Tê đồng 25</t>
  </si>
  <si>
    <t>Tê đồng 28</t>
  </si>
  <si>
    <t>Tê đồng 32</t>
  </si>
  <si>
    <t>Tê đồng 35</t>
  </si>
  <si>
    <t>Tê đồng 38</t>
  </si>
  <si>
    <t>Tê đồng 42</t>
  </si>
  <si>
    <t>HKTE51</t>
  </si>
  <si>
    <t>Tê đồng 51</t>
  </si>
  <si>
    <t>Tê đồng 54</t>
  </si>
  <si>
    <t>HKTE63</t>
  </si>
  <si>
    <t>Tê đồng 63</t>
  </si>
  <si>
    <t>Tê đồng 67</t>
  </si>
  <si>
    <t>Tê đồng 76</t>
  </si>
  <si>
    <t>HKTE79</t>
  </si>
  <si>
    <t>Tê đồng 79</t>
  </si>
  <si>
    <t>HKTE89</t>
  </si>
  <si>
    <t>Tê đồng 89</t>
  </si>
  <si>
    <t>HKTE108</t>
  </si>
  <si>
    <t>Tê đồng 108</t>
  </si>
  <si>
    <t>Thu Đồng</t>
  </si>
  <si>
    <t>PKDTHU</t>
  </si>
  <si>
    <t>HKTHU106</t>
  </si>
  <si>
    <t>Thu đồng 10, 6</t>
  </si>
  <si>
    <t>Thu đồng 12, 10</t>
  </si>
  <si>
    <t>Thu đồng 12, 6</t>
  </si>
  <si>
    <t>Thu đồng 16, 10</t>
  </si>
  <si>
    <t>Thu đồng 16, 12</t>
  </si>
  <si>
    <t>HKTHU168</t>
  </si>
  <si>
    <t>Thu đồng 16, 8</t>
  </si>
  <si>
    <t>Thu đồng 19, 10</t>
  </si>
  <si>
    <t>Thu đồng 19, 12</t>
  </si>
  <si>
    <t>Thu đồng 19, 16</t>
  </si>
  <si>
    <t>Thu đồng 22, 10</t>
  </si>
  <si>
    <t>Thu đồng 22, 12</t>
  </si>
  <si>
    <t>Thu đồng 22, 16</t>
  </si>
  <si>
    <t>Thu đồng 22, 19</t>
  </si>
  <si>
    <t>HKTHU2510</t>
  </si>
  <si>
    <t>Thu đồng 25, 10</t>
  </si>
  <si>
    <t>HKTHU2512</t>
  </si>
  <si>
    <t>Thu đồng 25, 12</t>
  </si>
  <si>
    <t>Thu đồng 25, 16</t>
  </si>
  <si>
    <t>Thu đồng 25, 19</t>
  </si>
  <si>
    <t>Thu đồng 25, 22</t>
  </si>
  <si>
    <t>HKTHU2810</t>
  </si>
  <si>
    <t>Thu đồng 28, 10</t>
  </si>
  <si>
    <t>Thu đồng 28, 12</t>
  </si>
  <si>
    <t>Thu đồng 28, 16</t>
  </si>
  <si>
    <t>Thu đồng 28, 19</t>
  </si>
  <si>
    <t>Thu đồng 28, 22</t>
  </si>
  <si>
    <t>Thu đồng 28, 25</t>
  </si>
  <si>
    <t>Thu đồng 32, 22</t>
  </si>
  <si>
    <t>Thu đồng 32, 25</t>
  </si>
  <si>
    <t>Thu đồng 32, 28</t>
  </si>
  <si>
    <t>HKTHU3510</t>
  </si>
  <si>
    <t>Thu đồng 35, 10</t>
  </si>
  <si>
    <t>Thu đồng 35, 12</t>
  </si>
  <si>
    <t>Thu đồng 35, 16</t>
  </si>
  <si>
    <t>Thu đồng 35, 19</t>
  </si>
  <si>
    <t>Thu đồng 35, 22</t>
  </si>
  <si>
    <t>HKTHU3525</t>
  </si>
  <si>
    <t>Thu đồng 35, 25</t>
  </si>
  <si>
    <t>Thu đồng 35, 28</t>
  </si>
  <si>
    <t>Thu đồng 38, 25</t>
  </si>
  <si>
    <t>Thu đồng 38, 32</t>
  </si>
  <si>
    <t>Thu đồng 38, 35</t>
  </si>
  <si>
    <t>Thu đồng 42, 16</t>
  </si>
  <si>
    <t>Thu đồng 42, 19</t>
  </si>
  <si>
    <t>Thu đồng 42, 22</t>
  </si>
  <si>
    <t>Thu đồng 42, 28</t>
  </si>
  <si>
    <t>Thu Đồng 42, 35</t>
  </si>
  <si>
    <t>Thu Đồng 42, 38</t>
  </si>
  <si>
    <t>HKTHU5128</t>
  </si>
  <si>
    <t>Thu đồng 51, 28</t>
  </si>
  <si>
    <t>HKTHU5135</t>
  </si>
  <si>
    <t>Thu đồng 51, 35</t>
  </si>
  <si>
    <t>HKTHU5142</t>
  </si>
  <si>
    <t>Thu đồng 51, 42</t>
  </si>
  <si>
    <t>HKTHU5419</t>
  </si>
  <si>
    <t>Thu đồng 54, 19</t>
  </si>
  <si>
    <t>HKTHU5422</t>
  </si>
  <si>
    <t>Thu đồng 54, 22</t>
  </si>
  <si>
    <t>Thu đồng 54, 28</t>
  </si>
  <si>
    <t>Thu đồng 54, 35</t>
  </si>
  <si>
    <t>Thu đồng 54, 42</t>
  </si>
  <si>
    <t>HKTHU5451</t>
  </si>
  <si>
    <t>Thu đồng 54, 51</t>
  </si>
  <si>
    <t>HKTHU6335</t>
  </si>
  <si>
    <t>Thu đồng 63, 35</t>
  </si>
  <si>
    <t>Thu đồng 67, 19</t>
  </si>
  <si>
    <t>Thu đồng 67, 28</t>
  </si>
  <si>
    <t>HKTHU6735</t>
  </si>
  <si>
    <t>Thu đồng 67, 35</t>
  </si>
  <si>
    <t>Thu đồng 67, 42</t>
  </si>
  <si>
    <t>Thu đồng 67, 54</t>
  </si>
  <si>
    <t>Thu đồng 76, 42</t>
  </si>
  <si>
    <t>HKTHU7654</t>
  </si>
  <si>
    <t>Thu đồng 76, 54</t>
  </si>
  <si>
    <t>Thu đồng 76, 67</t>
  </si>
  <si>
    <t>Thu đồng 79, 54</t>
  </si>
  <si>
    <t>HKTHU7967</t>
  </si>
  <si>
    <t>Thu đồng 79, 67</t>
  </si>
  <si>
    <t>HKTHU8928</t>
  </si>
  <si>
    <t>Thu đồng 89, 28</t>
  </si>
  <si>
    <t>HKTHU8935</t>
  </si>
  <si>
    <t>Thu đồng 89, 35</t>
  </si>
  <si>
    <t>HKTHU8954</t>
  </si>
  <si>
    <t>Thu đồng 89, 54</t>
  </si>
  <si>
    <t>HKTHU8967</t>
  </si>
  <si>
    <t>Thu đồng 89, 67</t>
  </si>
  <si>
    <t>HKTHU8976</t>
  </si>
  <si>
    <t>Thu đồng 89, 76</t>
  </si>
  <si>
    <t>HKTHU108</t>
  </si>
  <si>
    <t>Thu đồng 108, 67</t>
  </si>
  <si>
    <t>Tê Thu Đồng</t>
  </si>
  <si>
    <t>PKDTETHU</t>
  </si>
  <si>
    <t>Tê thu 12, 10</t>
  </si>
  <si>
    <t>Tê thu 16, 12</t>
  </si>
  <si>
    <t>HKTTHU1912</t>
  </si>
  <si>
    <t>Tê thu 19, 12</t>
  </si>
  <si>
    <t>HKTTHU2212</t>
  </si>
  <si>
    <t>Tê thu 22, 12</t>
  </si>
  <si>
    <t>HKTTHU2216</t>
  </si>
  <si>
    <t>Tê thu 22, 16</t>
  </si>
  <si>
    <t>HKTTHU2810</t>
  </si>
  <si>
    <t>Tê thu 28, 10</t>
  </si>
  <si>
    <t>HKTTHU2812</t>
  </si>
  <si>
    <t>Tê thu 28, 12</t>
  </si>
  <si>
    <t>Tê thu 28, 16</t>
  </si>
  <si>
    <t>HKTTHU2822</t>
  </si>
  <si>
    <t>Tê thu 28, 22</t>
  </si>
  <si>
    <t>HKTTHU3228</t>
  </si>
  <si>
    <t>Tê thu 32, 28</t>
  </si>
  <si>
    <t>HKTTHU3510</t>
  </si>
  <si>
    <t>Tê thu 35, 10</t>
  </si>
  <si>
    <t>HKTTHU3512</t>
  </si>
  <si>
    <t>Tê thu 35, 12</t>
  </si>
  <si>
    <t>HKTTHU3516</t>
  </si>
  <si>
    <t>Tê thu 35, 16</t>
  </si>
  <si>
    <t>HKTTHU3519</t>
  </si>
  <si>
    <t>Tê thu 35, 19</t>
  </si>
  <si>
    <t>HKTTHU3528</t>
  </si>
  <si>
    <t>Tê thu 35, 28</t>
  </si>
  <si>
    <t>HKTTHU3822</t>
  </si>
  <si>
    <t>Tê thu 38, 22</t>
  </si>
  <si>
    <t>HKTTHU3825</t>
  </si>
  <si>
    <t>Tê thu 38, 25</t>
  </si>
  <si>
    <t>HKTTHU3828</t>
  </si>
  <si>
    <t>Tê thu 38, 28</t>
  </si>
  <si>
    <t>HKTTHU3832</t>
  </si>
  <si>
    <t>Tê thu 38, 32</t>
  </si>
  <si>
    <t>Tê thu 42, 28</t>
  </si>
  <si>
    <t>Tê thu 42, 35</t>
  </si>
  <si>
    <t>HKTTHU5135</t>
  </si>
  <si>
    <t>Tê thu 51, 35</t>
  </si>
  <si>
    <t>HKTTHU5422</t>
  </si>
  <si>
    <t>Tê thu 54, 22</t>
  </si>
  <si>
    <t>HKTTHU5435</t>
  </si>
  <si>
    <t>Tê thu 54, 35</t>
  </si>
  <si>
    <t>HKTTHU5438</t>
  </si>
  <si>
    <t>Tê thu 54, 38</t>
  </si>
  <si>
    <t>Tê thu 54, 42</t>
  </si>
  <si>
    <t>HKTTHU6335</t>
  </si>
  <si>
    <t>Tê thu 63, 35</t>
  </si>
  <si>
    <t>HKTTHU6742</t>
  </si>
  <si>
    <t>Tê thu 67, 42</t>
  </si>
  <si>
    <t>Tê thu 67, 54</t>
  </si>
  <si>
    <t>HKTTHU7635</t>
  </si>
  <si>
    <t>Tê thu 76, 35</t>
  </si>
  <si>
    <t>Tê thu 76, 42</t>
  </si>
  <si>
    <t>HKTTHU7654</t>
  </si>
  <si>
    <t>Tê thu 76, 54</t>
  </si>
  <si>
    <t>HKTTHU7667</t>
  </si>
  <si>
    <t>Tê thu 76, 67</t>
  </si>
  <si>
    <t>HKTTHU7922</t>
  </si>
  <si>
    <t>Tê thu 79, 22</t>
  </si>
  <si>
    <t>HKTTHU79-42</t>
  </si>
  <si>
    <t>Tê thu 79, 42</t>
  </si>
  <si>
    <t>HKTTHU7954</t>
  </si>
  <si>
    <t>Tê thu 79, 54</t>
  </si>
  <si>
    <t>HKTTHU8935</t>
  </si>
  <si>
    <t>Tê thu 89, 35</t>
  </si>
  <si>
    <t>HKTTHU8951</t>
  </si>
  <si>
    <t>Tê thu 89, 51</t>
  </si>
  <si>
    <t>PKDCUTU</t>
  </si>
  <si>
    <t>HKCU12</t>
  </si>
  <si>
    <t>Cút U 12</t>
  </si>
  <si>
    <t>PKDZACCO</t>
  </si>
  <si>
    <t>DAN</t>
  </si>
  <si>
    <t>DLDD71P</t>
  </si>
  <si>
    <t>Dàn lạnh DD7 1 pha (220v/1p/50hz)</t>
  </si>
  <si>
    <t>DLTSDD11.2/60-3p-11200W</t>
  </si>
  <si>
    <t>Dàn lạnh Taisei DD11.2/60-11200W(380v/3p/50hz)</t>
  </si>
  <si>
    <t>DLTSDD-30.0/160(380V)</t>
  </si>
  <si>
    <t>Dàn lạnh Taisei DD160-30.0/160 (380v/3p)</t>
  </si>
  <si>
    <t>DLTSDD-2.2/12-1p-2200W</t>
  </si>
  <si>
    <t>Dàn lạnh Taisei DD2.2/12-1p-2200W(220v/1p/50hz)</t>
  </si>
  <si>
    <t>DLTSDD-2.2/12-3p-2200W</t>
  </si>
  <si>
    <t>Dàn lạnh Taisei DD2.2/12-2200W(380v/3p/50hz)</t>
  </si>
  <si>
    <t>DLTSDD-2.8/15-1p-2800W</t>
  </si>
  <si>
    <t>Dàn lạnh Taisei DD2.8/15-2800W(220v/1p/50hz)</t>
  </si>
  <si>
    <t>DLTSDD-2.8/15-3p-2800W</t>
  </si>
  <si>
    <t>Dàn lạnh Taisei DD2.8/15-2800W(380v/3p/50hz)</t>
  </si>
  <si>
    <t>DLTSDD-3.7/22-1p-3700W</t>
  </si>
  <si>
    <t>Dàn lạnh Taisei DD3.7/22-3700W(220v/1p/50hz)</t>
  </si>
  <si>
    <t>DLTSDD-3.7/22-3p-3700W</t>
  </si>
  <si>
    <t>Dàn lạnh Taisei DD3.7/22-3700W(380v/3p/50hz)</t>
  </si>
  <si>
    <t>DLTSDD-5.6/30-3p-5600W</t>
  </si>
  <si>
    <t>Dàn lạnh Taisei DD5.6/30-5600W(380v/3p/50hz)</t>
  </si>
  <si>
    <t>DLTSDD-1.3/7-3p-1300W</t>
  </si>
  <si>
    <t>Dàn lạnh Taisei DD7 (380v/3p/50hz)</t>
  </si>
  <si>
    <t>DLTSDD7.5/40-3p-7500W</t>
  </si>
  <si>
    <t>Dàn lạnh Taisei DD7.5/40-7500W(380v/3p/50hz)</t>
  </si>
  <si>
    <t>DLTSDD-14.9/80-3p-14900W</t>
  </si>
  <si>
    <t>Dàn lạnh Taisei DD80 (380v/3p/50hz)</t>
  </si>
  <si>
    <t>DLTSDE0.45/2.5-1p-450W</t>
  </si>
  <si>
    <t>Dàn lạnh Taisei DE0.45/2.5-450W (220v/1p/50hz)</t>
  </si>
  <si>
    <t>DNTSFNA0.38/1.2-380W(DAN4</t>
  </si>
  <si>
    <t>Dàn Nóng Taisei FNA 0.38/1.2 (380W/220V) ( Dàn Mảnh 4M)</t>
  </si>
  <si>
    <t>DNTSFNA1.2/5.4-56W</t>
  </si>
  <si>
    <t>Dàn Nóng Taisei FNA1.2/5.4(56W/220V/50HZ)</t>
  </si>
  <si>
    <t>DNTSFNF15.2/53-6.5HP-3p</t>
  </si>
  <si>
    <t>Dàn Nóng Taisei FNF15.2/53-6.5HP(380V/3p/50Hz)</t>
  </si>
  <si>
    <t>DNTSFNF19.0/63-7.5HP-3p</t>
  </si>
  <si>
    <t>Dàn Nóng Taisei FNF19.0/63-7.5HP(380V/3p/50Hz)</t>
  </si>
  <si>
    <t>DLTSDD-14.9/80-3p-14901W</t>
  </si>
  <si>
    <t>DNTSFNF2.8/13-1p-2HP</t>
  </si>
  <si>
    <t>Dàn Nóng Taisei FNF2.8-2HP(220V/1p/50Hz)</t>
  </si>
  <si>
    <t>DNTSFNF5.5/20-1p-3HP</t>
  </si>
  <si>
    <t>Dàn Nóng Taisei FNF20-3HP(220V/1p/50Hz)</t>
  </si>
  <si>
    <t>DNTSFNF21.5/75-8.5HP-3p</t>
  </si>
  <si>
    <t>Dàn Nóng Taisei FNF21.5/75-8.5HP(380V/3p/50Hz)</t>
  </si>
  <si>
    <t>DNTSFNF24.2/88-3p-10HP</t>
  </si>
  <si>
    <t>Dàn Nóng Taisei FNF24.2-10HP (380v/3p/50hz)</t>
  </si>
  <si>
    <t>DNTSFNF36/130-3p-15HP</t>
  </si>
  <si>
    <t>Dàn Nóng Taisei FNF36-15HP (380v/3p/50hz)</t>
  </si>
  <si>
    <t>DNTSFNF5.5/20-3p-3HP</t>
  </si>
  <si>
    <t>Dàn Nóng Taisei FNF5.5-3HP (380v/3p/50hz)</t>
  </si>
  <si>
    <t>DNTSFNF8.8/30-1p-4HP</t>
  </si>
  <si>
    <t>Dàn Nóng Taisei FNF8.8/30-4HP(220V/1p/50Hz)</t>
  </si>
  <si>
    <t>DNTSFNF8.8/30-4HP-3p</t>
  </si>
  <si>
    <t>Dàn Nóng Taisei FNF8.8/30-4HP(380V/3p/50Hz)</t>
  </si>
  <si>
    <t>DNTSFNF9.0/42-5HP-3p</t>
  </si>
  <si>
    <t>Dàn Nóng Taisei FNF9.0/42-5HP(380V/3p/50Hz)</t>
  </si>
  <si>
    <t>Lốc</t>
  </si>
  <si>
    <t>LOCCOPELAND</t>
  </si>
  <si>
    <t>MNKZR61KH-TFD-522</t>
  </si>
  <si>
    <t>Máy nén khí Copeland cho Thiết Bị Lạnh ZR61KH-TFD-522(380v/3P/50Hz)</t>
  </si>
  <si>
    <t>MNKZR22K3-PFJ-522</t>
  </si>
  <si>
    <t>Máy nén khí cho TBị Lạnh MNKZR22K3-PFJ-522(220V420V50Hz)</t>
  </si>
  <si>
    <t>MNKZR26K3-PFJ-522</t>
  </si>
  <si>
    <t>Máy nén khí cho TBị Lạnh MNKZR26K3-PFJ-522(220V240V50Hz)</t>
  </si>
  <si>
    <t>MNKZR26K3-TFD-522</t>
  </si>
  <si>
    <t>Máy nén khí cho TBị Lạnh MNKZR26K3-TFD-522(380V420V50Hz)</t>
  </si>
  <si>
    <t>MNKZR42K3-PFJ-522</t>
  </si>
  <si>
    <t>Máy nén khí cho TBị Lạnh MNKZR42K3-PFJ-522(220V240V50Hz)</t>
  </si>
  <si>
    <t>MNKZR125KCTFD-422</t>
  </si>
  <si>
    <t>Máy nén khí cho TBị Lạnh ZR125KC-TFD-422(380V420V50Hz)</t>
  </si>
  <si>
    <t>MNKZR125-KC-TFD-522</t>
  </si>
  <si>
    <t>Máy nén khí cho TBị Lạnh ZR125KC-TFD-522(380V420V50Hz)</t>
  </si>
  <si>
    <t>MNKZR144KCTFD422</t>
  </si>
  <si>
    <t>Máy nén khí cho TBị Lạnh ZR144KC-TFD-422(380V420V50Hz)</t>
  </si>
  <si>
    <t>MNKZR144-KC-TFD522</t>
  </si>
  <si>
    <t>Máy nén khí cho TBị Lạnh ZR144KC-TFD-522(380V420V50Hz)</t>
  </si>
  <si>
    <t>MNKZR144KCETFD-422</t>
  </si>
  <si>
    <t>Máy nén khí cho TBị Lạnh ZR144KCE-TFD-422(380V420V50Hz)</t>
  </si>
  <si>
    <t>MNKZR144KCETFD-522</t>
  </si>
  <si>
    <t>Máy nén khí cho TBị Lạnh ZR144KCE-TFD-522(380V420V50Hz)</t>
  </si>
  <si>
    <t>MNKZR190KCTFD-550</t>
  </si>
  <si>
    <t>Máy nén khí cho TBị Lạnh ZR190KC-TFD-550(380V420V50Hz)</t>
  </si>
  <si>
    <t>MNKZR250KCTWD-522</t>
  </si>
  <si>
    <t>Máy nén khí cho TBị Lạnh ZR250KC-TWD-522</t>
  </si>
  <si>
    <t>MNKZR380KCTWD-523</t>
  </si>
  <si>
    <t>Máy nén khí cho TBị Lạnh ZR380KC-TWD-523 (380V420V50Hz)</t>
  </si>
  <si>
    <t>MNKZR54KCTFD-522</t>
  </si>
  <si>
    <t>Máy nén khí cho TBị Lạnh ZR54KC-TFD-522(380V420V50Hz)</t>
  </si>
  <si>
    <t>MNKZR61KCTFD-422</t>
  </si>
  <si>
    <t>Máy nén khí cho TBị Lạnh ZR61KC-TFD-422(380V420V50Hz)</t>
  </si>
  <si>
    <t>MNKZR61KCTFD-522</t>
  </si>
  <si>
    <t>Máy nén khí cho TBị Lạnh ZR61KC-TFD-522(380V420V50Hz)</t>
  </si>
  <si>
    <t>MNKZR61KCETFD</t>
  </si>
  <si>
    <t>Máy nén khí cho TBị Lạnh ZR61KCE-TFD-522(380V420V50Hz)</t>
  </si>
  <si>
    <t>MNKZR68KCTFD-522</t>
  </si>
  <si>
    <t>Máy nén khí cho TBị Lạnh ZR68KC-TFD-522(380V420V50Hz)</t>
  </si>
  <si>
    <t>MNKZR72KCTFD-522</t>
  </si>
  <si>
    <t>Máy nén khí cho TBị Lạnh ZR72KC-TFD-522(380V420V50Hz)</t>
  </si>
  <si>
    <t>MNKZR72KCTFD-52E</t>
  </si>
  <si>
    <t>Máy nén khí cho TBị Lạnh ZR72KC-TFD-52E</t>
  </si>
  <si>
    <t>MNKZR72KCETFD-522</t>
  </si>
  <si>
    <t>Máy nén khí cho TBị Lạnh ZR72KCE-TFD-522(380V420V50Hz)</t>
  </si>
  <si>
    <t>MNKZR72KCETFD-52E</t>
  </si>
  <si>
    <t>Máy nén khí cho TBị Lạnh ZR72KCE-TFD-52E</t>
  </si>
  <si>
    <t>MNKCR30K6M-TFM-101</t>
  </si>
  <si>
    <t>Máy nén khí cho thiết bị lạnh CR30K6M-TFM-101,Serial-wea-0000324</t>
  </si>
  <si>
    <t>MNKCR37-KQ-TFD-522</t>
  </si>
  <si>
    <t>Máy nén khí cho thiết bị lạnh CR37-KQ-TFD522</t>
  </si>
  <si>
    <t>MNKCR37K6M-TF5-101</t>
  </si>
  <si>
    <t>Máy nén khí cho thiết bị lạnh CR37K6M-TF5-101, 200-230V,60HZ, LRA68</t>
  </si>
  <si>
    <t>MNKCR37K6M-TFD-101</t>
  </si>
  <si>
    <t>Máy nén khí cho thiết bị lạnh CR37K6M-TFD-101, 380VAC, LRA45</t>
  </si>
  <si>
    <t>MNKCR62-KQM-TFD-202</t>
  </si>
  <si>
    <t>Máy nén khí cho thiết bị lạnh CR62-KQM-TFD-202(380V420W50Hz)</t>
  </si>
  <si>
    <t>MNKZB88KQTFD550</t>
  </si>
  <si>
    <t>Máy nén khi cho thiết bị lạnh MNKZB88KQ - TFD - 550 (380V420V50HZ)</t>
  </si>
  <si>
    <t>MNKZB114KQTFD - 550</t>
  </si>
  <si>
    <t>Máy nén khí cho thiết bị lạnh ZB114KQ-TFD-550(380V420V50Hz)</t>
  </si>
  <si>
    <t>MNKZB15KQEPJF-558</t>
  </si>
  <si>
    <t>Máy nén khí cho thiết bị lạnh ZB15KQE-PFJ-558(220/240-50hz)</t>
  </si>
  <si>
    <t>MNKZB21KQPFJ-558</t>
  </si>
  <si>
    <t>Máy nén khí cho thiết bị lạnh ZB21KQ-PFJ-558(380V420V50Hz)</t>
  </si>
  <si>
    <t>MNKZB21KQTFD-524</t>
  </si>
  <si>
    <t>Máy nén khí cho thiết bị lạnh ZB21KQ-TFD-524 (380V420V50Hz)</t>
  </si>
  <si>
    <t>MNKZB21KQTFD-558</t>
  </si>
  <si>
    <t>Máy nén khí cho thiết bị lạnh ZB21KQ-TFD-558(380V420VLGAPLGAP50Hz)</t>
  </si>
  <si>
    <t>MNKZB21KQETFD-558</t>
  </si>
  <si>
    <t>Máy nén khí cho thiết bị lạnh ZB21KQE-TFD-558(380V420V-50HZ)</t>
  </si>
  <si>
    <t>MNKZB26KQTFD-558</t>
  </si>
  <si>
    <t>Máy nén khí cho thiết bị lạnh ZB26KQ-TFD-558(380V420V50Hz)</t>
  </si>
  <si>
    <t>Máy nén khí cho thiết bị lạnh ZB38KQ-TFD-558(380V420V50Hz)</t>
  </si>
  <si>
    <t>MNKZB38KQETFD-558</t>
  </si>
  <si>
    <t>Máy nén khí cho thiết bị lạnh ZB38KQE-TFD-558(380V420V50Hz)</t>
  </si>
  <si>
    <t>MNKZB48KQTF5-524</t>
  </si>
  <si>
    <t>Máy nén khí cho thiết bị lạnh ZB48KQ-TF5-524</t>
  </si>
  <si>
    <t>MNKZB48KQTFD-558</t>
  </si>
  <si>
    <t>Máy nén khí cho thiết bị lạnh ZB48KQ-TFD-558(380V420V50Hz)</t>
  </si>
  <si>
    <t>MNKZB48KQETFD-558</t>
  </si>
  <si>
    <t>Máy nén khí cho thiết bị lạnh ZB48KQE-TFD-558(380V420V50Hz)</t>
  </si>
  <si>
    <t>MNKZB76KQTFD</t>
  </si>
  <si>
    <t>Máy nén khí cho thiết bị lạnh ZB76KQ-TFD-550(380V420W50Hz)</t>
  </si>
  <si>
    <t>MNKZP103KCE-TFD-522</t>
  </si>
  <si>
    <t>Máy nén khí cho thiết bị lạnh ZP103KCE-TFD-522(380V420V50Hz)</t>
  </si>
  <si>
    <t>MNKZP72KCE-TFD-522</t>
  </si>
  <si>
    <t>Máy nén khí cho thiết bị lạnh ZP72KCE-TFD-522(380V420V50Hz)</t>
  </si>
  <si>
    <t>MNKZR108KCETFD-522</t>
  </si>
  <si>
    <t>Máy nén khí cho thiết bị lạnh ZR108KCE-TFD-522(380V420V50Hz)</t>
  </si>
  <si>
    <t>MNKZR125KCETFD-522</t>
  </si>
  <si>
    <t>Máy nén khí cho thiết bị lạnh ZR125KCE-TFD-522(380V420V50Hz)</t>
  </si>
  <si>
    <t>MNKZR190KCTFD-522</t>
  </si>
  <si>
    <t>máy nén khí cho thiết bị lạnh ZR190KC-TFD-522(380V/420V-50HZ)</t>
  </si>
  <si>
    <t>MNKZR190KCTFD-523</t>
  </si>
  <si>
    <t>máy nén khí cho thiết bị lạnh ZR190KC-TFD-523(380V/420V-50HZ)</t>
  </si>
  <si>
    <t>MNKZR190KCE-TFD-522</t>
  </si>
  <si>
    <t>máy nén khí cho thiết bị lạnh ZR190KCE-TFD-522 (380V/420V-50HZ)</t>
  </si>
  <si>
    <t>MNKZR36K3-PFJ-522</t>
  </si>
  <si>
    <t>máy nén khí cho thiết bị lạnh ZR36K3-PFJ-522(220v-240-1-50HZ)</t>
  </si>
  <si>
    <t>MNKZR36K3TFD522</t>
  </si>
  <si>
    <t>máy nén khí cho thiết bị lạnh ZR36K3-TFD-522(380V/420V50HZ)</t>
  </si>
  <si>
    <t>MNKZR42K3TFD-522</t>
  </si>
  <si>
    <t>máy nén khí cho thiết bị lạnh ZR42K3-TFD-522(380V/420V50HZ)</t>
  </si>
  <si>
    <t>MNKZR48KCTFD-522</t>
  </si>
  <si>
    <t>máy nén khí cho thiết bị lạnh ZR48KC-TFD-522(380V420V-50HZ)</t>
  </si>
  <si>
    <t>MNKZR48KCETFD-522</t>
  </si>
  <si>
    <t>máy nén khí cho thiết bị lạnh ZR48KCE-TFD-522(380V420V-50HZ)</t>
  </si>
  <si>
    <t>MNKZR81KCTFD-522</t>
  </si>
  <si>
    <t>Máy nén khí cho thiết bị lạnh ZR81KC-TFD-522(380V420V50Hz)</t>
  </si>
  <si>
    <t>MNKZR81KCETFD-522</t>
  </si>
  <si>
    <t>Máy nén khí cho thiết bị lạnh ZR81KCE-TFD-522(380V420V50Hz)</t>
  </si>
  <si>
    <t>MNKZR84KCTFD-522</t>
  </si>
  <si>
    <t>Máy nén khí cho thiết bị lạnh ZR84KC-TFD-522(380V420V50Hz)</t>
  </si>
  <si>
    <t>LOCDANFOS</t>
  </si>
  <si>
    <t>MNKDMT100-4VI</t>
  </si>
  <si>
    <t>Máy nén khí Danfoss cho thiết bị lạnh MT 100- 4VI</t>
  </si>
  <si>
    <t>MNKDMT100-4VM</t>
  </si>
  <si>
    <t>Máy nén khí Danfoss cho thiết bị lạnh MT 100- 4VM</t>
  </si>
  <si>
    <t>MNKDMT125-4VM</t>
  </si>
  <si>
    <t>Máy nén khí Danfoss cho thiết bị lạnh MT 125 - 4VM</t>
  </si>
  <si>
    <t>MNKDMT160-4VM</t>
  </si>
  <si>
    <t>Máy nén khí Danfoss cho thiết bị lạnh MT 160 - 4VM</t>
  </si>
  <si>
    <t>MNKDMT22-4VI</t>
  </si>
  <si>
    <t>Máy nén khí Danfoss cho thiết bị lạnh MT 22 - 4VI</t>
  </si>
  <si>
    <t>MNKDMT36-5VI</t>
  </si>
  <si>
    <t>Máy nén khí Danfoss cho thiết bị lạnh MT 36 - 1 pha- 5VI</t>
  </si>
  <si>
    <t>MNKDMT36-4VM</t>
  </si>
  <si>
    <t>Máy nén khí Danfoss cho thiết bị lạnh MT 36 - 4VM</t>
  </si>
  <si>
    <t>MNKDMT44-4VM</t>
  </si>
  <si>
    <t>Máy nén khí Danfoss cho thiết bị lạnh MT 44 - 4VM</t>
  </si>
  <si>
    <t>MNKDMT64-4VM</t>
  </si>
  <si>
    <t>Máy nén khí Danfoss cho thiết bị lạnh MT 64 - 4VM</t>
  </si>
  <si>
    <t>MNKDMT72-4VI</t>
  </si>
  <si>
    <t>Máy nén khí Danfoss cho thiết bị lạnh MT 72 - 4VI</t>
  </si>
  <si>
    <t>MNKDMT72-4VM</t>
  </si>
  <si>
    <t>Máy nén khí Danfoss cho thiết bị lạnh MT 72 - 4VM</t>
  </si>
  <si>
    <t>MNKDMT80-4VM</t>
  </si>
  <si>
    <t>Máy nén khí Danfoss cho thiết bị lạnh MT 80 - 4VM</t>
  </si>
  <si>
    <t>MNKDMT28-4VI</t>
  </si>
  <si>
    <t>Máy nén khí Danfoss cho thiết bị lạnh MT28 - 4VI</t>
  </si>
  <si>
    <t>MNKDMT28-4VM</t>
  </si>
  <si>
    <t>Máy nén khí Danfoss cho thiết bị lạnh MT28 - 4VM</t>
  </si>
  <si>
    <t>MNKDMT40-4VI</t>
  </si>
  <si>
    <t>Máy nén khí Danfoss cho thiết bị lạnh MT40 -4VI</t>
  </si>
  <si>
    <t>MNKDMTZ125</t>
  </si>
  <si>
    <t>Máy nén khí Danfoss cho thiết bị lạnh MTZ 125</t>
  </si>
  <si>
    <t>MNKDMTZ64-4VM</t>
  </si>
  <si>
    <t>Máy nén khí Danfoss cho thiết bị lạnh MTZ 64</t>
  </si>
  <si>
    <t>MNKDMTZ64-4VI</t>
  </si>
  <si>
    <t>Máy nén khí Danfoss cho thiết bị lạnh MTZ 64-4VI</t>
  </si>
  <si>
    <t>MNKDMTZ80-4VI</t>
  </si>
  <si>
    <t>Máy nén khí Danfoss cho thiết bị lạnh MTZ 80 - 3 pha</t>
  </si>
  <si>
    <t>MNKDMTZ80-4VM</t>
  </si>
  <si>
    <t>Máy nén khí Danfoss cho thiết bị lạnh MTZ 80 - 4VM</t>
  </si>
  <si>
    <t>MNKMTZ100-4VI</t>
  </si>
  <si>
    <t>Máy nén khí Danfoss cho thiết bị lạnh MTZ100 - 3 pha</t>
  </si>
  <si>
    <t>MNKDMTZ28-4VI</t>
  </si>
  <si>
    <t>Máy nén khí Danfoss cho thiết bị lạnh MTZ28 - 3 pha - 4VI</t>
  </si>
  <si>
    <t>MNKDMTZ36-4VI</t>
  </si>
  <si>
    <t>Máy nén khí Danfoss cho thiết bị lạnh MTZ36 - 4VI</t>
  </si>
  <si>
    <t>MNKDSC12G</t>
  </si>
  <si>
    <t>Máy nén khí Danfoss cho thiết bị lạnh SC 12G</t>
  </si>
  <si>
    <t>MNKDSM120-4VI</t>
  </si>
  <si>
    <t>Máy nén khí Danfoss cho thiết bị lạnh SM 120 - 4VI</t>
  </si>
  <si>
    <t>MNKDSM120S4VC</t>
  </si>
  <si>
    <t>Máy nén khí Danfoss cho thiết bị lạnh SM 120 S4 VC - 4VI</t>
  </si>
  <si>
    <t>MNKDSM148-4VAI</t>
  </si>
  <si>
    <t>Máy nén khí Danfoss cho thiết bị lạnh SM148-4VAI</t>
  </si>
  <si>
    <t>MNKDSY240A4PAI</t>
  </si>
  <si>
    <t>Máy nén khí Danfoss cho thiết bị lạnh SY240A4PAI</t>
  </si>
  <si>
    <t>MNKDSC12CL</t>
  </si>
  <si>
    <t>máy nén khí Danfoss SC12CL</t>
  </si>
  <si>
    <t>Máy nén khí Danfoss SM185S4CC</t>
  </si>
  <si>
    <t>LOCKHAC</t>
  </si>
  <si>
    <t>MNK2P21T225AZB12</t>
  </si>
  <si>
    <t>Máy nén khí 2P21T225AZB (12000BTU)</t>
  </si>
  <si>
    <t>MNK42F522AUA</t>
  </si>
  <si>
    <t>Máy nén khí chân treo 2V42S225AUA (24000 BTU)</t>
  </si>
  <si>
    <t>MNKCBZN140L5Z</t>
  </si>
  <si>
    <t>Máy nén khí cho thiết bị lạnh C-BZN140L5Z</t>
  </si>
  <si>
    <t>MNKCQE120L5C</t>
  </si>
  <si>
    <t>Máy nén khí cho thiết bị lạnh C-QE120L5C</t>
  </si>
  <si>
    <t>MNKCBZN250L5Z</t>
  </si>
  <si>
    <t>Máy nén khi cho thiết bị lạnh C, BNZ250L5Z</t>
  </si>
  <si>
    <t>MNKZR36K3ETFD522</t>
  </si>
  <si>
    <t>Máy nén khí cho thiết bị lạnh ZR36K3E-TFD-522(380V/420V50HZ)</t>
  </si>
  <si>
    <t>MNKAW5516EK</t>
  </si>
  <si>
    <t>Máy nén khí Kulthorn AW5516EK</t>
  </si>
  <si>
    <t>MNKQX</t>
  </si>
  <si>
    <t>Máy nén khí QX-34F050GA (18000 BTU)-Greez</t>
  </si>
  <si>
    <t>MNKGR7000BTU</t>
  </si>
  <si>
    <t>Máy nén khí QX-R14A130 7000 BTU Gree</t>
  </si>
  <si>
    <t>MNKQXR</t>
  </si>
  <si>
    <t>Máy nén khí QXR-RB164H235BBA (9000 BTU)</t>
  </si>
  <si>
    <t>LOCWANBAO</t>
  </si>
  <si>
    <t>MNKGFM12AA</t>
  </si>
  <si>
    <t>con lốc AL120-330W - 12.0 cm3 R134a 3/8 HP 330 W CSIR 80 Pcs</t>
  </si>
  <si>
    <t>MNKGFF93AA</t>
  </si>
  <si>
    <t>lốc AQAW110-260W Nhãn Hiệu Siberia, 9.3 cm3 R134a 1/3+ HP 270 W RSIR 80 Pcs</t>
  </si>
  <si>
    <t>MNKAL120</t>
  </si>
  <si>
    <t>Máy nén khí cho thiết bị lạnh - AL120</t>
  </si>
  <si>
    <t>MNKAL150</t>
  </si>
  <si>
    <t>Máy nén khí cho thiết bị lạnh - AL150</t>
  </si>
  <si>
    <t>MNKW110</t>
  </si>
  <si>
    <t>Máy nén khí cho thiết bị lạnh - AQAW110</t>
  </si>
  <si>
    <t>MNKW66X</t>
  </si>
  <si>
    <t>Máy nén khí cho thiết bị lạnh - AQAW66X</t>
  </si>
  <si>
    <t>MNKW77X</t>
  </si>
  <si>
    <t>Máy nén khí cho thiết bị lạnh - AQAW77X</t>
  </si>
  <si>
    <t>MNKDASD43</t>
  </si>
  <si>
    <t>Máy nén khí cho thiết bị lạnh - ASD43K43</t>
  </si>
  <si>
    <t>MNKASD53K</t>
  </si>
  <si>
    <t>Máy nén khí cho thiết bị lạnh - ASD53K</t>
  </si>
  <si>
    <t>MNKW91</t>
  </si>
  <si>
    <t>Máy nén khí cho thiết bị lạnh- AQAW91</t>
  </si>
  <si>
    <t>Vật tư dàn</t>
  </si>
  <si>
    <t>VTDAN</t>
  </si>
  <si>
    <t>HKT6T2</t>
  </si>
  <si>
    <t>Kim số 6 tex 2 (068_2009)</t>
  </si>
  <si>
    <t>HKKHS30</t>
  </si>
  <si>
    <t>Bình ngưng KHS 30</t>
  </si>
  <si>
    <t>HKATTOMAT15A</t>
  </si>
  <si>
    <t>Attomat 15 A</t>
  </si>
  <si>
    <t>HKBCG3HP12</t>
  </si>
  <si>
    <t>Bình chứa gas 3HP phi 12</t>
  </si>
  <si>
    <t>HKBTD3HP12</t>
  </si>
  <si>
    <t>Bình tách dầu 3HP phi 12</t>
  </si>
  <si>
    <t>HKBTD19</t>
  </si>
  <si>
    <t>Bình tách dầu phi 19</t>
  </si>
  <si>
    <t>HKBTD28</t>
  </si>
  <si>
    <t>Bình tách dầu phi 28</t>
  </si>
  <si>
    <t>HKBTL5HPPHI19</t>
  </si>
  <si>
    <t>Bình tách lỏng 5HP phi 19</t>
  </si>
  <si>
    <t>HKBTLPHI16</t>
  </si>
  <si>
    <t>Bình tách lỏng phi 16</t>
  </si>
  <si>
    <t>HKBTLPHI28</t>
  </si>
  <si>
    <t>Bình tách lỏng phi 28</t>
  </si>
  <si>
    <t>HKBXRDL</t>
  </si>
  <si>
    <t>Bình xịt rửa dàn lạnh</t>
  </si>
  <si>
    <t>CA</t>
  </si>
  <si>
    <t>Con âm Pana Toshiba</t>
  </si>
  <si>
    <t>HKDLD48</t>
  </si>
  <si>
    <t>Đá lọc Danfoss 48 DC</t>
  </si>
  <si>
    <t>HKĐCGN410</t>
  </si>
  <si>
    <t>Đầu chuyển ga 410 ngắn</t>
  </si>
  <si>
    <t>HKĐCG134</t>
  </si>
  <si>
    <t>Đầu chuyển gas 134</t>
  </si>
  <si>
    <t>DEDAN 4 HP</t>
  </si>
  <si>
    <t>Đế dàn 4 HP</t>
  </si>
  <si>
    <t>HKDVTEXT5067B4011</t>
  </si>
  <si>
    <t>Đế van tiết lưu text 5 (067B4011)</t>
  </si>
  <si>
    <t>TECMOTTA285</t>
  </si>
  <si>
    <t>Ewlly ew 285 (Tecmotta kho lạnh có xả đá)</t>
  </si>
  <si>
    <t>HKGĐĐ</t>
  </si>
  <si>
    <t>Giá đỡ đại</t>
  </si>
  <si>
    <t>HKGĐĐTHEPV</t>
  </si>
  <si>
    <t>Giá đỡ đại thép V</t>
  </si>
  <si>
    <t>HKGĐTTHEPV</t>
  </si>
  <si>
    <t>Giá đỡ to thép V</t>
  </si>
  <si>
    <t>HKKIM3TEX5</t>
  </si>
  <si>
    <t>Kim số 3 tex 5</t>
  </si>
  <si>
    <t>Kim số 4 tex 2 (068, 2007)</t>
  </si>
  <si>
    <t>HKKIM4TEX5</t>
  </si>
  <si>
    <t>Kim số 4 tex 5 (067B2792)</t>
  </si>
  <si>
    <t>HKKIM5TEX2</t>
  </si>
  <si>
    <t>Kim số 5 tex 2</t>
  </si>
  <si>
    <t>mắt báo gas Danfoss 10 (014, 0162)</t>
  </si>
  <si>
    <t>mắt báo gas Danfoss 12 (014, 0163)</t>
  </si>
  <si>
    <t>HKPDHT</t>
  </si>
  <si>
    <t>Phin điều hòa to</t>
  </si>
  <si>
    <t>PHINLOCDF</t>
  </si>
  <si>
    <t>Phin lọc Danfoss DCL 052</t>
  </si>
  <si>
    <t>PHINLOCDCL083PHIN10</t>
  </si>
  <si>
    <t>Phin lọc Danfoss DCL 083 phi 10</t>
  </si>
  <si>
    <t>PHINLDDCL163</t>
  </si>
  <si>
    <t>Phin lọc Danfoss DCL 163</t>
  </si>
  <si>
    <t>PHINLDDCL164PHIN12</t>
  </si>
  <si>
    <t>Phin lọc Danfoss DCL 164 phi 12</t>
  </si>
  <si>
    <t>PHINNDDCL304PHIN12</t>
  </si>
  <si>
    <t>Phin lọc Danfoss DCL 304 phi 12</t>
  </si>
  <si>
    <t>PHINLDDCL306PHIN19</t>
  </si>
  <si>
    <t>Phin lọc Danfoss DCL 306 phi 19</t>
  </si>
  <si>
    <t>PHINLDDCL307PHIN22</t>
  </si>
  <si>
    <t>Phin lọc danfoss DCL 307 phi 22</t>
  </si>
  <si>
    <t>PHINLDDCL165</t>
  </si>
  <si>
    <t>Phin lọc Danfoss DCL165 phi 12</t>
  </si>
  <si>
    <t>PHINLDDCL082PHIN06</t>
  </si>
  <si>
    <t>phin lọc Danfoss DML 082 phi 6 ( 023Z5039 )</t>
  </si>
  <si>
    <t>PHINLOCDML083PHIN10</t>
  </si>
  <si>
    <t>Phin lọc Danfoss DML 083 phi 10</t>
  </si>
  <si>
    <t>PHINLDDCL084PHIN12</t>
  </si>
  <si>
    <t>phin lọc Danfoss DML 084 phi 12</t>
  </si>
  <si>
    <t>PHINLDDML163PHIN10</t>
  </si>
  <si>
    <t>Phin lọc Danfoss DML 163 phi 10 ( 023Z5043 )</t>
  </si>
  <si>
    <t>PHINLDDML163SPHIN10</t>
  </si>
  <si>
    <t>Phin lọc Danfoss DML 163S phi 10</t>
  </si>
  <si>
    <t>Phin lọc Danfoss DML 164 (023Z5044)</t>
  </si>
  <si>
    <t>PHINLDDML164SPHIN10</t>
  </si>
  <si>
    <t>Phin lọc Danfoss DML 164S phi 12</t>
  </si>
  <si>
    <t>PHINLDDML165PHIN16</t>
  </si>
  <si>
    <t>phin lọc Danfoss DML 165 phi 16 (023Z5045)</t>
  </si>
  <si>
    <t>PHINLDDML165SPHIN10</t>
  </si>
  <si>
    <t>Phin lọc Danfoss DML 165S phi 16</t>
  </si>
  <si>
    <t>PHINLDDML305PHIN16</t>
  </si>
  <si>
    <t>Phin lọc Danfoss DML 305 phi 16</t>
  </si>
  <si>
    <t>PHINDANFOSS23</t>
  </si>
  <si>
    <t>Phin lọc Danfoss DML 305s phi 16</t>
  </si>
  <si>
    <t>PHINLDDML307PHIN22</t>
  </si>
  <si>
    <t>Phin lọc Danfoss DML 307 Phi 22</t>
  </si>
  <si>
    <t>PHINLDDML307SPHIN22</t>
  </si>
  <si>
    <t>Phin lọc Danfoss DML 307S Phi 22</t>
  </si>
  <si>
    <t>PHINLDDML309SPHIN28</t>
  </si>
  <si>
    <t>Phin lọc Danfoss DML309S phi 28</t>
  </si>
  <si>
    <t>PHINLDDML319SPHIN28</t>
  </si>
  <si>
    <t>Phin lọc Danfoss DML319S phi 28</t>
  </si>
  <si>
    <t>PHINLDDML419SPHIN28</t>
  </si>
  <si>
    <t>Phin lọc Danfoss DML419S phi 28</t>
  </si>
  <si>
    <t>PHINLEMERSON047613</t>
  </si>
  <si>
    <t>Phin lọc Emerson 047613/EK 163 STD</t>
  </si>
  <si>
    <t>PHINLEMERSON047614</t>
  </si>
  <si>
    <t>Phin lọc Emerson 047614/EK 163 S STD</t>
  </si>
  <si>
    <t>PHINLEMERSON047615</t>
  </si>
  <si>
    <t>Phin lọc Emerson 047615/EK 164 STD</t>
  </si>
  <si>
    <t>PHINLEMERSON047616</t>
  </si>
  <si>
    <t>Phin lọc Emerson 047616/EK 164S STD</t>
  </si>
  <si>
    <t>PHINLEMERSON047617</t>
  </si>
  <si>
    <t>Phin lọc Emerson 047617/EK 165 STD</t>
  </si>
  <si>
    <t>PHINLEMERSON047619</t>
  </si>
  <si>
    <t>Phin lọc Emerson 047619/EK 167 S STD</t>
  </si>
  <si>
    <t>PHINLEMERSON048210</t>
  </si>
  <si>
    <t>Phin lọc Emerson 048210/EK 303 STD</t>
  </si>
  <si>
    <t>PHINLEMERSON048212</t>
  </si>
  <si>
    <t>Phin lọc Emerson 048212/EK 304 STD</t>
  </si>
  <si>
    <t>PHINLEMERSON048214</t>
  </si>
  <si>
    <t>Phin lọc Emerson 048214/EK 305 STD</t>
  </si>
  <si>
    <t>PHINLEMERSON048215</t>
  </si>
  <si>
    <t>Phin lọc Emerson 048215/EK 305S STD</t>
  </si>
  <si>
    <t>PHINLEMERSON048216</t>
  </si>
  <si>
    <t>Phin lọc Emerson 048216/EK 306S STD</t>
  </si>
  <si>
    <t>PHINLEMERSON048217</t>
  </si>
  <si>
    <t>Phin lọc Emerson 048217/EK 307S STD</t>
  </si>
  <si>
    <t>PHINLEMERSON048218</t>
  </si>
  <si>
    <t>Phin lọc Emerson 048218/EK 309S STD</t>
  </si>
  <si>
    <t>HKPT1D</t>
  </si>
  <si>
    <t>Phin tủ 1 đuôi</t>
  </si>
  <si>
    <t>QCG1.0NN</t>
  </si>
  <si>
    <t>Quạt cắt gió 1.0m (Nanyoo)</t>
  </si>
  <si>
    <t>QCG1.2JL</t>
  </si>
  <si>
    <t>Quạt cắt gió 1.2m (JinLing)</t>
  </si>
  <si>
    <t>QCG1.2NN</t>
  </si>
  <si>
    <t>Quạt cắt gió 1.2m (Nanyoo)</t>
  </si>
  <si>
    <t>QCG1.2TD</t>
  </si>
  <si>
    <t>Quạt cắt gió 1.2m (The Door)</t>
  </si>
  <si>
    <t>HKQUATDAY</t>
  </si>
  <si>
    <t>Quạt tủ đắt</t>
  </si>
  <si>
    <t>RCB.EKS111</t>
  </si>
  <si>
    <t>Râu cảm biến EKS 111</t>
  </si>
  <si>
    <t>ROLEASD</t>
  </si>
  <si>
    <t>Rơ Le áp suất dầu</t>
  </si>
  <si>
    <t>RLASKKP15</t>
  </si>
  <si>
    <t>Rơle A/S kép KP 15</t>
  </si>
  <si>
    <t>HKTVTLT2</t>
  </si>
  <si>
    <t>Thân van tiết lưu Tex 2</t>
  </si>
  <si>
    <t>HKVTLTEXT5</t>
  </si>
  <si>
    <t>Thân Van tiết lưu Tex 5 ( 067B3267)</t>
  </si>
  <si>
    <t>HKTVTLTGEX7.5</t>
  </si>
  <si>
    <t>Thân van tiết lưu TGEX 7.5</t>
  </si>
  <si>
    <t>HKTU30</t>
  </si>
  <si>
    <t>Tụ 30 wf</t>
  </si>
  <si>
    <t>HKTU35</t>
  </si>
  <si>
    <t>Tụ 35 wf</t>
  </si>
  <si>
    <t>HKTYGAS</t>
  </si>
  <si>
    <t>Ty nạp gas</t>
  </si>
  <si>
    <t>VANC12</t>
  </si>
  <si>
    <t>Van chặn 12</t>
  </si>
  <si>
    <t>VANC16</t>
  </si>
  <si>
    <t>Van Chặn 16</t>
  </si>
  <si>
    <t>VANC22</t>
  </si>
  <si>
    <t>Van chặn 22</t>
  </si>
  <si>
    <t>VANC28</t>
  </si>
  <si>
    <t>Van chặn 28</t>
  </si>
  <si>
    <t>VANC54</t>
  </si>
  <si>
    <t>Van chặn 54</t>
  </si>
  <si>
    <t>VANC6</t>
  </si>
  <si>
    <t>Van chặn 6</t>
  </si>
  <si>
    <t>VANDTEVANR10.16</t>
  </si>
  <si>
    <t>Van điện từ EVR 10 phi 16 (032L8098)</t>
  </si>
  <si>
    <t>VANDTEVANR15.22</t>
  </si>
  <si>
    <t>Van điện từ EVR 15 phi 22</t>
  </si>
  <si>
    <t>VANDTEVANR03.10</t>
  </si>
  <si>
    <t>Van điện từ EVR 3 phi 10</t>
  </si>
  <si>
    <t>VANDTEVANR06.10</t>
  </si>
  <si>
    <t>Van điện từ EVR 6 phi 10</t>
  </si>
  <si>
    <t>VANDTEVANR06.12</t>
  </si>
  <si>
    <t>Van điện từ EVR 6 phi 12</t>
  </si>
  <si>
    <t>HKVLX16</t>
  </si>
  <si>
    <t>Van lốc xanh 16</t>
  </si>
  <si>
    <t>HKVTLEX8-U21</t>
  </si>
  <si>
    <t>Van tiết lưu điện tử EX8-U21</t>
  </si>
  <si>
    <t>HKVTLT2KIM4</t>
  </si>
  <si>
    <t>Van Tiết lưu Tes 2 kim số 4</t>
  </si>
  <si>
    <t>HKVTLT12</t>
  </si>
  <si>
    <t>Van tiết lưu Tex 12 ( 067B3210)</t>
  </si>
  <si>
    <t>HKVTLT2</t>
  </si>
  <si>
    <t>Van tiết lưu Tex 2 ( 068Z3211)</t>
  </si>
  <si>
    <t>HKVTLTGEX15067N2162</t>
  </si>
  <si>
    <t>Van tiết lưu TGEX 15</t>
  </si>
  <si>
    <t>HKVTLTGEX18067N2163</t>
  </si>
  <si>
    <t>Van tiết lưu TGEX 18</t>
  </si>
  <si>
    <t>PKDBCG</t>
  </si>
  <si>
    <t>BCGY11TCV</t>
  </si>
  <si>
    <t>Bộ chia gas chữ Y KHRP26MC11T có vỏ</t>
  </si>
  <si>
    <t>BCGY22T</t>
  </si>
  <si>
    <t>Bộ chia gas chữ Y KHRP26MC22T</t>
  </si>
  <si>
    <t>BCGY22TCV</t>
  </si>
  <si>
    <t>Bộ chia gas chữ Y KHRP26MC22T có vỏ</t>
  </si>
  <si>
    <t>BCGY33T</t>
  </si>
  <si>
    <t>Bộ chia gas chữ Y KHRP26MC33T</t>
  </si>
  <si>
    <t>BCGY33TCV</t>
  </si>
  <si>
    <t>Bộ chia gas chữ Y KHRP26MC33T có vỏ</t>
  </si>
  <si>
    <t>BCGY37T</t>
  </si>
  <si>
    <t>Bộ chia gas chữ Y KHRP26MC37T</t>
  </si>
  <si>
    <t>BCGY37TCV</t>
  </si>
  <si>
    <t>Bộ chia gas chữ Y KHRP26MC37T có vỏ</t>
  </si>
  <si>
    <t>BCGY40T</t>
  </si>
  <si>
    <t>Bộ chia gas chữ Y KHRP26MC40T</t>
  </si>
  <si>
    <t>BCGY40TCV</t>
  </si>
  <si>
    <t>Bộ chia gas chữ Y KHRP26MC40T có vỏ</t>
  </si>
  <si>
    <t>BCGY72T</t>
  </si>
  <si>
    <t>Bộ chia gas chữ Y KHRP26MC72T</t>
  </si>
  <si>
    <t>BCGY72TCV</t>
  </si>
  <si>
    <t>Bộ chia gas chữ Y KHRP26MC72T có vỏ</t>
  </si>
  <si>
    <t>BCGY73T</t>
  </si>
  <si>
    <t>Bộ chia gas chữ Y KHRP26MC73T</t>
  </si>
  <si>
    <t>BCGY73TCV</t>
  </si>
  <si>
    <t>Bộ chia gas chữ Y KHRP26MC73T có vỏ</t>
  </si>
  <si>
    <t>BCGY75T</t>
  </si>
  <si>
    <t>Bộ chia gas chữ Y KHRP26MC75T</t>
  </si>
  <si>
    <t>BCGY75TCV</t>
  </si>
  <si>
    <t>Bộ chia gas chữ Y KHRP26MC75T có vỏ</t>
  </si>
  <si>
    <t>HKVBCG22T</t>
  </si>
  <si>
    <t>Vỏ bộ chia gas 22T (11T, 18T, 33T, 37T)</t>
  </si>
  <si>
    <t>HKVBCG33T</t>
  </si>
  <si>
    <t>Vỏ bộ chia gas 33T</t>
  </si>
  <si>
    <t>HKVBCG37T</t>
  </si>
  <si>
    <t>Vỏ bộ chia gas 37T (72T)</t>
  </si>
  <si>
    <t>HKVBCG72T</t>
  </si>
  <si>
    <t>Vỏ bộ chia gas 72T</t>
  </si>
  <si>
    <t>HKVBCG73T</t>
  </si>
  <si>
    <t>Vỏ bộ chia gas 73T</t>
  </si>
  <si>
    <t>HKVBCG75T</t>
  </si>
  <si>
    <t>Vỏ bộ chia gas 75T (73T, 40T)</t>
  </si>
  <si>
    <t>Phụ kiện khác</t>
  </si>
  <si>
    <t>PKDPK</t>
  </si>
  <si>
    <t>NLOE-Value-VFT-808-MIS</t>
  </si>
  <si>
    <t>Bộ Nong Loe Value 2 bàn kẹp.ĐK ống:6, 19mm.dao cắt nhỡ</t>
  </si>
  <si>
    <t>NLOE-Value-VFT-808-IS</t>
  </si>
  <si>
    <t>Bộ Nong Loe Value.ĐK ống:6, 19mm.dao cắt nhỡ</t>
  </si>
  <si>
    <t>CAP3</t>
  </si>
  <si>
    <t>Cáp 3</t>
  </si>
  <si>
    <t>CAP4</t>
  </si>
  <si>
    <t>Cáp 4</t>
  </si>
  <si>
    <t>HKDC-Value-VTC-28B</t>
  </si>
  <si>
    <t>Dao Cắt Value. Kích cỡ: 4-28mm (dao cắt nhỡ)</t>
  </si>
  <si>
    <t>HKDC-Value-VTC-70</t>
  </si>
  <si>
    <t>Dao Cắt Value.Kích cỡ:6-67mm (dao cắt đại)</t>
  </si>
  <si>
    <t>HKDD1X15</t>
  </si>
  <si>
    <t>Dây điện 1x1.5</t>
  </si>
  <si>
    <t>HKDDTD1X15</t>
  </si>
  <si>
    <t>Dây điện 1x1.5 (tiếp địa)</t>
  </si>
  <si>
    <t>HKDD1x1.5TP</t>
  </si>
  <si>
    <t>Dây điện 1x1.5 TP</t>
  </si>
  <si>
    <t>HKDD2X25</t>
  </si>
  <si>
    <t>Dây điện 2x2.5 ( Trần Phú)</t>
  </si>
  <si>
    <t>HKDD3X1.5CDSUN</t>
  </si>
  <si>
    <t>Dây điện 3x1.5( Cadisun)</t>
  </si>
  <si>
    <t>HKDD4x1.5CDSUN</t>
  </si>
  <si>
    <t>Dây điện 4x1.5 ( cadisun)</t>
  </si>
  <si>
    <t>Que Hàn</t>
  </si>
  <si>
    <t>PKDQUEHAN</t>
  </si>
  <si>
    <t>HKBHĐ</t>
  </si>
  <si>
    <t>Bột hàn đồng</t>
  </si>
  <si>
    <t>Bột hàn Harris code Stay, SilvR Black Flux (Harris Products SSBF, 1)</t>
  </si>
  <si>
    <t>HKBHN</t>
  </si>
  <si>
    <t>Bột hàn nhôm (100g/hộp)</t>
  </si>
  <si>
    <t>HKBHTN</t>
  </si>
  <si>
    <t>Bột hàn the nhôm dạng nước đơn</t>
  </si>
  <si>
    <t>Hợp kim đồng dạng thanh Harris - USA (0%)</t>
  </si>
  <si>
    <t>QHD0Q</t>
  </si>
  <si>
    <t>Hợp kim đồng dạng thanh Harris SX tại Mỹ (0%) (Que)</t>
  </si>
  <si>
    <t>Hợp kim đồng dạng thanh Harris SX tại Mỹ (2%)</t>
  </si>
  <si>
    <t>QHD2Q</t>
  </si>
  <si>
    <t>Hợp kim đồng dạng thanh Harris SX tại Mỹ (2%) (que)</t>
  </si>
  <si>
    <t>Hợp kim đồng dạng thanh Harris SX tại Mỹ (5% )</t>
  </si>
  <si>
    <t>QHD5Q</t>
  </si>
  <si>
    <t>Hợp kim đồng dạng thanh Harris SX tại Mỹ (5% ) (que)</t>
  </si>
  <si>
    <t>Hợp kim đồng dạng thanh Harris SX tại Mỹ ( 15%)</t>
  </si>
  <si>
    <t>QHD15Q</t>
  </si>
  <si>
    <t>Hợp kim đồng dạng thanh Harris SX tại Mỹ ( 15%) (Que)</t>
  </si>
  <si>
    <t>Hợp kim đồng dạng thanh Harris SX tại Mỹ ( 30)</t>
  </si>
  <si>
    <t>HKQDHKDN</t>
  </si>
  <si>
    <t>Que hàn đồng nhôm</t>
  </si>
  <si>
    <t>HKQDHKDV</t>
  </si>
  <si>
    <t>Que hàn đồng vàng</t>
  </si>
  <si>
    <t>VTCNBB</t>
  </si>
  <si>
    <t>Băng cuốn</t>
  </si>
  <si>
    <t>VTCNBC</t>
  </si>
  <si>
    <t>Băng cuốn trắng SG</t>
  </si>
  <si>
    <t>Băng dính</t>
  </si>
  <si>
    <t>VTCNBD</t>
  </si>
  <si>
    <t>HKBBDD</t>
  </si>
  <si>
    <t>Băng dính điện đen ( Mỏng)</t>
  </si>
  <si>
    <t>HKBDDĐ18</t>
  </si>
  <si>
    <t>Băng dính điện đen dầy Nano, rộng 1.8 cm, 18m dàI</t>
  </si>
  <si>
    <t>HKBDDT</t>
  </si>
  <si>
    <t>Băng dính điện trắng</t>
  </si>
  <si>
    <t>HKBDDTD</t>
  </si>
  <si>
    <t>Băng dính điện trắng dày (20Y)</t>
  </si>
  <si>
    <t>HKBDHM</t>
  </si>
  <si>
    <t>Băng dính hai mặt</t>
  </si>
  <si>
    <t>HKBANGW75X50ML</t>
  </si>
  <si>
    <t>HKBDT1KG</t>
  </si>
  <si>
    <t>Băng dính trong 1kg/c</t>
  </si>
  <si>
    <t>HKBDTD</t>
  </si>
  <si>
    <t>Băng dính trong dầy</t>
  </si>
  <si>
    <t>HKBDTM</t>
  </si>
  <si>
    <t>Băng dính trong mỏng</t>
  </si>
  <si>
    <t>HKBDTMTT</t>
  </si>
  <si>
    <t>Băng dính trong mỏng trắng trong</t>
  </si>
  <si>
    <t>HKBKLOGO50</t>
  </si>
  <si>
    <t>BĂNG KEO IN LOGO 50MICX72MMX50M</t>
  </si>
  <si>
    <t>HKBKLOGO63</t>
  </si>
  <si>
    <t>BĂNG KEO IN LOGO 63MICX72MMX50M</t>
  </si>
  <si>
    <t>Đai treo, cùm treo</t>
  </si>
  <si>
    <t>VTCNĐC</t>
  </si>
  <si>
    <t>HKCUMULA103M10</t>
  </si>
  <si>
    <t>Cùm ula 103 M10</t>
  </si>
  <si>
    <t>HKCUMULA105M10</t>
  </si>
  <si>
    <t>Cùm ula 105 M10</t>
  </si>
  <si>
    <t>HKCUMULA109M10</t>
  </si>
  <si>
    <t>Cùm ula 109 M10</t>
  </si>
  <si>
    <t>HKCUMULA113</t>
  </si>
  <si>
    <t>Cùm ula 113</t>
  </si>
  <si>
    <t>HKCUMULA122M10</t>
  </si>
  <si>
    <t>Cùm ula 122 M10</t>
  </si>
  <si>
    <t>HKCUMULA194M10</t>
  </si>
  <si>
    <t>Cùm ula 194 M10</t>
  </si>
  <si>
    <t>HKCUMULA220M10</t>
  </si>
  <si>
    <t>Cùm ula 220 M10</t>
  </si>
  <si>
    <t>HKCUMULA268M10</t>
  </si>
  <si>
    <t>Cùm ula 268 M10</t>
  </si>
  <si>
    <t>HKCUMULA319M10</t>
  </si>
  <si>
    <t>Cùm ula 319 M10</t>
  </si>
  <si>
    <t>HKCUMULA373M10</t>
  </si>
  <si>
    <t>Cùm ula 373 M10</t>
  </si>
  <si>
    <t>HKCUMULA425M10</t>
  </si>
  <si>
    <t>Cùm ula 425 M10</t>
  </si>
  <si>
    <t>HKCUMULA83M10</t>
  </si>
  <si>
    <t>Cùm ula 83 M10</t>
  </si>
  <si>
    <t>HKCUMULA88M8</t>
  </si>
  <si>
    <t>Cùm ula 88 M8</t>
  </si>
  <si>
    <t>HKCUMULA92</t>
  </si>
  <si>
    <t>Cùm ula 92</t>
  </si>
  <si>
    <t>ĐTO21</t>
  </si>
  <si>
    <t>Đai treo ống 21 (100c/túi)</t>
  </si>
  <si>
    <t>HKĐTO42</t>
  </si>
  <si>
    <t>Đai treo ống 42 (50c/túi)</t>
  </si>
  <si>
    <t>Đinh ghim</t>
  </si>
  <si>
    <t>VTCNĐG</t>
  </si>
  <si>
    <t>HKD50</t>
  </si>
  <si>
    <t>Đinh ghim phi 50</t>
  </si>
  <si>
    <t>HKD70</t>
  </si>
  <si>
    <t>Đinh ghim phi 70</t>
  </si>
  <si>
    <t>Gối đỡ</t>
  </si>
  <si>
    <t>VTCNGĐ</t>
  </si>
  <si>
    <t>HKPUFOAMDV273250</t>
  </si>
  <si>
    <t>Gối đỡ PU Foam đế vuông 27x32x50</t>
  </si>
  <si>
    <t>HKPUFOAMDV433250</t>
  </si>
  <si>
    <t>Gối đỡ PU Foam đế vuông 43x32x50</t>
  </si>
  <si>
    <t>HKPUFOAMDV483250</t>
  </si>
  <si>
    <t>Gối đỡ PU Foam đế vuông 48x32x50</t>
  </si>
  <si>
    <t>HKPUFOAMDVTS1144050</t>
  </si>
  <si>
    <t>Gối đỡ PU Foam đế vuông Taisei 114x40x50</t>
  </si>
  <si>
    <t>HKPUFOAMDVTS1405050</t>
  </si>
  <si>
    <t>Gối đỡ PU Foam đế vuông Taisei 140x50x50</t>
  </si>
  <si>
    <t>HKPUFOAMDVTS1685050</t>
  </si>
  <si>
    <t>Gối đỡ PU Foam đế vuông Taisei 168x50x50</t>
  </si>
  <si>
    <t>HKPUFOAMDVTS2195050</t>
  </si>
  <si>
    <t>Gối đỡ PU Foam đế vuông Taisei 219x50x50</t>
  </si>
  <si>
    <t>HKPUFOAMDVTS213050</t>
  </si>
  <si>
    <t>Gối đỡ PU Foam đế vuông Taisei 21x32x50</t>
  </si>
  <si>
    <t>HKPUFOAMDVTS2735050</t>
  </si>
  <si>
    <t>Gối đỡ PU Foam đế vuông Taisei 273x50x50</t>
  </si>
  <si>
    <t>HKPUFOAMDVTS3255050</t>
  </si>
  <si>
    <t>Gối đỡ PU Foam đế vuông Taisei 325x50x50</t>
  </si>
  <si>
    <t>HKPUFOAMDVTS433250</t>
  </si>
  <si>
    <t>Gối đỡ PU Foam đế vuông Taisei 43x32x50</t>
  </si>
  <si>
    <t>HKPUFOAMDVTS603250</t>
  </si>
  <si>
    <t>Gối đỡ PU Foam đế vuông Taisei 60x32x50</t>
  </si>
  <si>
    <t>GFOAMDETRON21X25ULA</t>
  </si>
  <si>
    <t>Gối Foam Đế tròn 21x25 + ula</t>
  </si>
  <si>
    <t>GFOAMDETRON28X25ULA</t>
  </si>
  <si>
    <t>Gối Foam Đế tròn 28x25 + ula</t>
  </si>
  <si>
    <t>GFOAMDETRON28x30ULA</t>
  </si>
  <si>
    <t>Gối Foam Đế tròn 28x30 + ula</t>
  </si>
  <si>
    <t>GFOAMDETRON34x25ULA</t>
  </si>
  <si>
    <t>Gối Foam Đế tròn 34x25 + ula</t>
  </si>
  <si>
    <t>GFOAMDETRON43x30ULA</t>
  </si>
  <si>
    <t>Gối Foam Đế tròn 43x30 + ula</t>
  </si>
  <si>
    <t>Keo</t>
  </si>
  <si>
    <t>VTCNKE</t>
  </si>
  <si>
    <t>HKKAPOLOA200</t>
  </si>
  <si>
    <t>Keo Apolo A200</t>
  </si>
  <si>
    <t>HKKAPOLOA300</t>
  </si>
  <si>
    <t>Keo Apolo A300</t>
  </si>
  <si>
    <t>HKKAPOLOA500</t>
  </si>
  <si>
    <t>Keo Apolo A500</t>
  </si>
  <si>
    <t>HKKAPOLOA600</t>
  </si>
  <si>
    <t>Keo Apolo A600</t>
  </si>
  <si>
    <t>HKKAPOLOA500DUC</t>
  </si>
  <si>
    <t>Keo Apolo A 500 đục</t>
  </si>
  <si>
    <t>HKKFOAM</t>
  </si>
  <si>
    <t>Keo APOLO Foam</t>
  </si>
  <si>
    <t>HKKBUJO15</t>
  </si>
  <si>
    <t>Keo Bujo 15kg</t>
  </si>
  <si>
    <t>HKKBUJO03</t>
  </si>
  <si>
    <t>Keo Bujo 3kg</t>
  </si>
  <si>
    <t>HKKAEROFLEX3.5</t>
  </si>
  <si>
    <t>Keo dán Aeroflex (3.5kg/hộp)</t>
  </si>
  <si>
    <t>HKKAEROFLEX0.7</t>
  </si>
  <si>
    <t>Keo Aeroflex 700g</t>
  </si>
  <si>
    <t>HKKDA820-1L</t>
  </si>
  <si>
    <t>Keo dán Armaflex 820 (1l/ 1 can)</t>
  </si>
  <si>
    <t>HKKDA520-3.78L</t>
  </si>
  <si>
    <t>Keo dán Armaflex 520 (3.78l/ 1 can)</t>
  </si>
  <si>
    <t>HKKDS</t>
  </si>
  <si>
    <t>Keo dán Superlon (3.36lít/hộp)</t>
  </si>
  <si>
    <t>HKKDOG6</t>
  </si>
  <si>
    <t>Keo Dog 0.6kg</t>
  </si>
  <si>
    <t>HKKDOG15</t>
  </si>
  <si>
    <t>Keo Dog 15kg</t>
  </si>
  <si>
    <t>HKKDOG3</t>
  </si>
  <si>
    <t>Keo Dog 3kg</t>
  </si>
  <si>
    <t>HKKSILICON112</t>
  </si>
  <si>
    <t>Keo Silicon 112</t>
  </si>
  <si>
    <t>HKKSILICONN300</t>
  </si>
  <si>
    <t>Keo Silicon A300</t>
  </si>
  <si>
    <t>HKKSG1</t>
  </si>
  <si>
    <t>Keo Superlon Glue 1l</t>
  </si>
  <si>
    <t>HKKTEKBOND</t>
  </si>
  <si>
    <t>Keo Tekbond 300ml</t>
  </si>
  <si>
    <t>HKKTY</t>
  </si>
  <si>
    <t>Keo Titebond</t>
  </si>
  <si>
    <t>VTCNKH</t>
  </si>
  <si>
    <t>HKCN</t>
  </si>
  <si>
    <t>Cuộn ống nước</t>
  </si>
  <si>
    <t>GBDVTT12276</t>
  </si>
  <si>
    <t>Giấy bạc dạng vải thủy tinh1.22*200( lõi 76cm )</t>
  </si>
  <si>
    <t>GBQT12220076</t>
  </si>
  <si>
    <t>Giấy bạc hình quả trám 1.22x200 (lõi 7.6cm)</t>
  </si>
  <si>
    <t>DẦU</t>
  </si>
  <si>
    <t>VTGDAU</t>
  </si>
  <si>
    <t>DAU3GSXS</t>
  </si>
  <si>
    <t>Dầu Suniso 3GS (xô sắt) 20l/xô</t>
  </si>
  <si>
    <t>DAU3GSCN</t>
  </si>
  <si>
    <t>Dầu Suniso 3GS(4l can nhựa)</t>
  </si>
  <si>
    <t>DAU4GSXS</t>
  </si>
  <si>
    <t>Dầu Suniso 4GS( xô sắt 20l/xô)</t>
  </si>
  <si>
    <t>DAU5GSCS</t>
  </si>
  <si>
    <t>Dầu Suniso 5GS (20l/xô sắt)</t>
  </si>
  <si>
    <t>DAU5GSXN4L</t>
  </si>
  <si>
    <t>Dầu Suniso 5GS (Can nhựa) 4l/Can</t>
  </si>
  <si>
    <t>HKDAU134</t>
  </si>
  <si>
    <t>Dầu SUNISO Nhật PB100 1 lít/hộp (R134a)</t>
  </si>
  <si>
    <t>DAUSUNISOSL68</t>
  </si>
  <si>
    <t>Dầu Suniso SL68 (4l/1can)</t>
  </si>
  <si>
    <t>DAUKA46XS</t>
  </si>
  <si>
    <t>Dầu Total KA46</t>
  </si>
  <si>
    <t>DAUXAERUS</t>
  </si>
  <si>
    <t>Dầu Xaerus Mỹ (534-68) (4l/can)</t>
  </si>
  <si>
    <t>VTGKHA</t>
  </si>
  <si>
    <t>DHNG-VMG-2-R22-B Value</t>
  </si>
  <si>
    <t>Bộ đồng hồ nạp gas Value VMG, 2, R22, B.2 đầu chuyển đổi, 3 dây nạp gas. ĐK đồng hồ nạp gas: phi 68mm</t>
  </si>
  <si>
    <t>DHNG-VMG-2-R410A-B</t>
  </si>
  <si>
    <t>Bộ đồng hồ nạp gas Value VMG, 2, R410A, B.3 dây nạp gas,Đường kính đồng hồ nạp gas: phi 68mm</t>
  </si>
  <si>
    <t>DNG-VALUE-0.9-R22</t>
  </si>
  <si>
    <t>Dây nạp gas Value R22 -0.9m</t>
  </si>
  <si>
    <t>DNG-VALUE-1.5-R22</t>
  </si>
  <si>
    <t>Dây nạp gas Value R22 -1.5m</t>
  </si>
  <si>
    <t>DNG-VALUE-0.9-R410A</t>
  </si>
  <si>
    <t>Dây nạp gas Value R410A -0.9m</t>
  </si>
  <si>
    <t>DHGASASC</t>
  </si>
  <si>
    <t>Đồng hồ AS dầu cao Comax</t>
  </si>
  <si>
    <t>DHGASAST</t>
  </si>
  <si>
    <t>Đồng hồ AS dầu thấp Comax</t>
  </si>
  <si>
    <t>DHG536GX</t>
  </si>
  <si>
    <t>Đồng hồ gas 536 xanh</t>
  </si>
  <si>
    <t>HKMHCK-VH115N-1.5CFMValue</t>
  </si>
  <si>
    <t>Máy hút chân không Value 1.5CFM,1/5HP-4 Kg</t>
  </si>
  <si>
    <t>HKMHCK-VE125N-3CFMValue</t>
  </si>
  <si>
    <t>Máy hút chân không Value 3.0CFM.230V/50-60HZ.84l/min.1/4HP-7,1kg</t>
  </si>
  <si>
    <t>HKMHCK-VI160SV-6CFMValue</t>
  </si>
  <si>
    <t>Máy hút chân không Value 6C.Có Đồng hồ.170l/min.1/2HP.10.3 Kg</t>
  </si>
  <si>
    <t>HKMHCK-VI180SV-8CFMValue</t>
  </si>
  <si>
    <t>Máy hút chân không Value 8C.Có Đồng hồ.226l/min.3/4HP-15.4kg</t>
  </si>
  <si>
    <t>Dịch vụ</t>
  </si>
  <si>
    <t>DV</t>
  </si>
  <si>
    <t>VC</t>
  </si>
  <si>
    <t>Vận chuyển</t>
  </si>
  <si>
    <t/>
  </si>
  <si>
    <t>LME niêm yết</t>
  </si>
  <si>
    <t>giá K ko thuế ko lấy HĐ</t>
  </si>
  <si>
    <t>áp dụng ống đồng + xốp superlon(MAL) giá = giá niêm yếm bao gồm VAT</t>
  </si>
  <si>
    <t>đơn giá bán cho khách</t>
  </si>
  <si>
    <t>ống đồng</t>
  </si>
  <si>
    <t>LME</t>
  </si>
  <si>
    <t>ống thẳng</t>
  </si>
  <si>
    <t>superlon</t>
  </si>
  <si>
    <t>chua VAT</t>
  </si>
  <si>
    <t>ống gió bạc</t>
  </si>
  <si>
    <t>Phân loại đồng ống 20.8</t>
  </si>
  <si>
    <t>XỐP ỐNG</t>
  </si>
  <si>
    <t>ỐG+BTT TAISEI(6)</t>
  </si>
  <si>
    <t>ống gió trơn</t>
  </si>
  <si>
    <t>giảm 15%</t>
  </si>
  <si>
    <t>Giá 253</t>
  </si>
  <si>
    <t>giảm 6,5%</t>
  </si>
  <si>
    <t>Check</t>
  </si>
  <si>
    <t>VẬT TƯ</t>
  </si>
  <si>
    <t>Sheet</t>
  </si>
  <si>
    <t>Qhan+BC+BB(05)</t>
  </si>
  <si>
    <t>Gas (03)</t>
  </si>
  <si>
    <t>Taisei Kép + Bạc(01)</t>
  </si>
  <si>
    <t>TAISEI + D ĐỒNG (02) + OĐLX</t>
  </si>
  <si>
    <t>XỐP TẤM</t>
  </si>
  <si>
    <t>GAS</t>
  </si>
  <si>
    <t>ỐNG GIÓ</t>
  </si>
  <si>
    <t>BTT+BK</t>
  </si>
  <si>
    <t>CÁCH NHIỆT KHÁC</t>
  </si>
  <si>
    <t>D:D</t>
  </si>
  <si>
    <t>D:J</t>
  </si>
  <si>
    <t>D:L</t>
  </si>
  <si>
    <t>D:I</t>
  </si>
  <si>
    <t>B:B</t>
  </si>
  <si>
    <t>B:J</t>
  </si>
  <si>
    <t>C:C</t>
  </si>
  <si>
    <t>C:K</t>
  </si>
  <si>
    <t>C:I</t>
  </si>
  <si>
    <t>C:O</t>
  </si>
  <si>
    <t>B:I</t>
  </si>
  <si>
    <t>B:S</t>
  </si>
  <si>
    <t>B:L</t>
  </si>
  <si>
    <t>B:Q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</si>
</sst>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d&quot;/&quot;m&quot;/&quot;yyyy"/>
    <numFmt numFmtId="166" formatCode="_(* #,##0.000_);_(* \(#,##0.000\);_(* &quot;-&quot;??_);_(@_)"/>
    <numFmt numFmtId="167" formatCode="_(* #,##0.00_);_(* \(#,##0.00\);_(* &quot;-&quot;??.00_);_(@_)"/>
  </numFmts>
  <fonts count="89">
    <font>
      <sz val="10"/>
      <color rgb="FF000000"/>
      <name val="Arial"/>
      <scheme val="minor"/>
    </font>
    <font>
      <sz val="11"/>
      <color rgb="FF000000"/>
      <name val="Inconsolata"/>
    </font>
    <font>
      <sz val="10"/>
      <color theme="1"/>
      <name val="Arial"/>
      <scheme val="minor"/>
    </font>
    <font>
      <b/>
      <sz val="18"/>
      <color rgb="FFFF0000"/>
      <name val="&quot;times new roman&quot;"/>
    </font>
    <font>
      <sz val="10"/>
      <color rgb="FF000000"/>
      <name val="Arial"/>
    </font>
    <font>
      <b/>
      <i/>
      <sz val="10"/>
      <color rgb="FFFF0000"/>
      <name val="Arial"/>
    </font>
    <font>
      <sz val="10"/>
      <name val="Arial"/>
    </font>
    <font>
      <sz val="12"/>
      <color theme="1"/>
      <name val="Times New Roman"/>
    </font>
    <font>
      <b/>
      <sz val="12"/>
      <color rgb="FFFF0000"/>
      <name val="&quot;times new roman&quot;"/>
    </font>
    <font>
      <b/>
      <i/>
      <sz val="12"/>
      <color rgb="FFFF0000"/>
      <name val="&quot;times new roman&quot;"/>
    </font>
    <font>
      <sz val="12"/>
      <color rgb="FF000000"/>
      <name val="&quot;times new roman&quot;"/>
    </font>
    <font>
      <b/>
      <sz val="9"/>
      <color rgb="FF000000"/>
      <name val="&quot;Times New Roman&quot;"/>
    </font>
    <font>
      <sz val="12"/>
      <color rgb="FF333333"/>
      <name val="&quot;times new roman&quot;"/>
    </font>
    <font>
      <sz val="9"/>
      <color rgb="FF000000"/>
      <name val="&quot;Times New Roman&quot;"/>
    </font>
    <font>
      <sz val="10"/>
      <color theme="1"/>
      <name val="Arial"/>
    </font>
    <font>
      <sz val="10"/>
      <color theme="1"/>
      <name val="Times New Roman"/>
    </font>
    <font>
      <sz val="9"/>
      <color rgb="FF000000"/>
      <name val="Times New Roman"/>
    </font>
    <font>
      <sz val="12"/>
      <color rgb="FF333333"/>
      <name val="Times New Roman"/>
    </font>
    <font>
      <b/>
      <i/>
      <sz val="10"/>
      <color rgb="FFFF0000"/>
      <name val="Arial"/>
    </font>
    <font>
      <sz val="9"/>
      <color rgb="FF000000"/>
      <name val="Calibri"/>
    </font>
    <font>
      <b/>
      <i/>
      <sz val="12"/>
      <color rgb="FFFF0000"/>
      <name val="Times New Roman"/>
    </font>
    <font>
      <b/>
      <sz val="11"/>
      <color rgb="FFFF0000"/>
      <name val="&quot;Times New Roman&quot;"/>
    </font>
    <font>
      <sz val="11"/>
      <color rgb="FF000000"/>
      <name val="&quot;Times New Roman&quot;"/>
    </font>
    <font>
      <sz val="11"/>
      <color theme="1"/>
      <name val="&quot;Times New Roman&quot;"/>
    </font>
    <font>
      <sz val="12"/>
      <color rgb="FF000000"/>
      <name val="&quot;Times New Roman&quot;"/>
    </font>
    <font>
      <b/>
      <sz val="10"/>
      <color rgb="FFFF0000"/>
      <name val="Merriweather"/>
    </font>
    <font>
      <sz val="10"/>
      <color theme="1"/>
      <name val="Merriweather"/>
    </font>
    <font>
      <b/>
      <sz val="14"/>
      <color rgb="FF0000FF"/>
      <name val="Merriweather"/>
    </font>
    <font>
      <b/>
      <sz val="10"/>
      <color theme="1"/>
      <name val="Merriweather"/>
    </font>
    <font>
      <sz val="10"/>
      <color rgb="FF000000"/>
      <name val="Merriweather"/>
    </font>
    <font>
      <b/>
      <i/>
      <sz val="10"/>
      <color rgb="FFFF0000"/>
      <name val="Merriweather"/>
    </font>
    <font>
      <b/>
      <i/>
      <sz val="10"/>
      <color theme="1"/>
      <name val="Merriweather"/>
    </font>
    <font>
      <b/>
      <sz val="9"/>
      <color rgb="FFFFFFFF"/>
      <name val="Merriweather"/>
    </font>
    <font>
      <b/>
      <sz val="10"/>
      <color rgb="FFCC0000"/>
      <name val="Merriweather"/>
    </font>
    <font>
      <b/>
      <i/>
      <sz val="10"/>
      <color rgb="FFCC0000"/>
      <name val="Merriweather"/>
    </font>
    <font>
      <sz val="10"/>
      <color rgb="FFFF0000"/>
      <name val="Merriweather"/>
    </font>
    <font>
      <b/>
      <sz val="10"/>
      <color rgb="FF000000"/>
      <name val="Merriweather"/>
    </font>
    <font>
      <sz val="10"/>
      <color rgb="FFCCCCCC"/>
      <name val="Merriweather"/>
    </font>
    <font>
      <i/>
      <sz val="10"/>
      <color theme="1"/>
      <name val="Merriweather"/>
    </font>
    <font>
      <sz val="10"/>
      <color rgb="FF333399"/>
      <name val="Merriweather"/>
    </font>
    <font>
      <sz val="10"/>
      <color rgb="FF333333"/>
      <name val="Merriweather"/>
    </font>
    <font>
      <b/>
      <sz val="10"/>
      <color rgb="FF333399"/>
      <name val="Merriweather"/>
    </font>
    <font>
      <b/>
      <sz val="18"/>
      <color rgb="FF0000FF"/>
      <name val="Merriweather"/>
    </font>
    <font>
      <b/>
      <sz val="11"/>
      <color rgb="FFFFFFFF"/>
      <name val="Times New Roman"/>
    </font>
    <font>
      <b/>
      <sz val="10"/>
      <color rgb="FFEA4335"/>
      <name val="Merriweather"/>
    </font>
    <font>
      <b/>
      <i/>
      <u/>
      <sz val="10"/>
      <color rgb="FF000000"/>
      <name val="Merriweather"/>
    </font>
    <font>
      <b/>
      <i/>
      <sz val="10"/>
      <color rgb="FF000000"/>
      <name val="Merriweather"/>
    </font>
    <font>
      <sz val="10"/>
      <color rgb="FF002060"/>
      <name val="Merriweather"/>
    </font>
    <font>
      <sz val="10"/>
      <color rgb="FFB7B7B7"/>
      <name val="Merriweather"/>
    </font>
    <font>
      <b/>
      <sz val="10"/>
      <color rgb="FF4285F4"/>
      <name val="Merriweather"/>
    </font>
    <font>
      <sz val="10"/>
      <color rgb="FF003366"/>
      <name val="Merriweather"/>
    </font>
    <font>
      <sz val="10"/>
      <color rgb="FFFFFFFF"/>
      <name val="Merriweather"/>
    </font>
    <font>
      <b/>
      <sz val="14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sz val="12"/>
      <color rgb="FFFF0000"/>
      <name val="Calibri"/>
    </font>
    <font>
      <sz val="11"/>
      <color theme="1"/>
      <name val="Calibri"/>
    </font>
    <font>
      <sz val="11"/>
      <color rgb="FFFF0000"/>
      <name val="Times New Roman"/>
    </font>
    <font>
      <sz val="11"/>
      <color theme="1"/>
      <name val="Times New Roman"/>
    </font>
    <font>
      <b/>
      <sz val="18"/>
      <color rgb="FFFF0000"/>
      <name val="Times New Roman"/>
    </font>
    <font>
      <sz val="11"/>
      <color rgb="FF000000"/>
      <name val="Times New Roman"/>
    </font>
    <font>
      <sz val="11"/>
      <color rgb="FF333333"/>
      <name val="Times New Roman"/>
    </font>
    <font>
      <b/>
      <i/>
      <u/>
      <sz val="11"/>
      <color rgb="FF333333"/>
      <name val="Times New Roman"/>
    </font>
    <font>
      <b/>
      <i/>
      <u/>
      <sz val="11"/>
      <color rgb="FF333333"/>
      <name val="Times New Roman"/>
    </font>
    <font>
      <b/>
      <i/>
      <sz val="11"/>
      <color rgb="FFFF0000"/>
      <name val="Times New Roman"/>
    </font>
    <font>
      <b/>
      <i/>
      <u/>
      <sz val="11"/>
      <color rgb="FF333333"/>
      <name val="Times New Roman"/>
    </font>
    <font>
      <i/>
      <sz val="11"/>
      <color rgb="FF333333"/>
      <name val="Times New Roman"/>
    </font>
    <font>
      <b/>
      <i/>
      <sz val="10"/>
      <color rgb="FFFF0000"/>
      <name val="Times New Roman"/>
    </font>
    <font>
      <b/>
      <i/>
      <sz val="9"/>
      <color rgb="FFFF0000"/>
      <name val="Times New Roman"/>
    </font>
    <font>
      <b/>
      <sz val="11"/>
      <color rgb="FFFF0000"/>
      <name val="Times New Roman"/>
    </font>
    <font>
      <b/>
      <sz val="14"/>
      <color rgb="FF000000"/>
      <name val="&quot;Times New Roman&quot;"/>
    </font>
    <font>
      <sz val="11"/>
      <color rgb="FF000000"/>
      <name val="Calibri"/>
    </font>
    <font>
      <sz val="8"/>
      <color rgb="FF000000"/>
      <name val="&quot;Microsoft Sans Serif&quot;"/>
    </font>
    <font>
      <sz val="8"/>
      <color theme="1"/>
      <name val="&quot;Microsoft Sans Serif&quot;"/>
    </font>
    <font>
      <b/>
      <sz val="14"/>
      <color rgb="FF000000"/>
      <name val="Merriweather"/>
    </font>
    <font>
      <sz val="11"/>
      <color rgb="FF000000"/>
      <name val="Merriweather"/>
    </font>
    <font>
      <b/>
      <sz val="11"/>
      <color rgb="FF000000"/>
      <name val="Merriweather"/>
    </font>
    <font>
      <sz val="11"/>
      <color theme="1"/>
      <name val="Merriweather"/>
    </font>
    <font>
      <b/>
      <sz val="12"/>
      <color rgb="FF000000"/>
      <name val="Merriweather"/>
    </font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name val="Arial"/>
      <family val="2"/>
      <scheme val="minor"/>
    </font>
    <font>
      <b/>
      <sz val="10"/>
      <name val="Merriweather"/>
    </font>
    <font>
      <sz val="10"/>
      <name val="Merriweather"/>
    </font>
    <font>
      <b/>
      <i/>
      <sz val="10"/>
      <name val="Merriweather"/>
    </font>
    <font>
      <sz val="10"/>
      <name val="Arial"/>
      <family val="2"/>
    </font>
    <font>
      <sz val="8"/>
      <name val="Arial"/>
      <family val="2"/>
      <scheme val="minor"/>
    </font>
    <font>
      <sz val="12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theme="0"/>
        <bgColor theme="0"/>
      </patternFill>
    </fill>
    <fill>
      <patternFill patternType="solid">
        <fgColor rgb="FF1FD2FF"/>
        <bgColor rgb="FF1FD2FF"/>
      </patternFill>
    </fill>
    <fill>
      <patternFill patternType="solid">
        <fgColor rgb="FF87F71F"/>
        <bgColor rgb="FF87F71F"/>
      </patternFill>
    </fill>
    <fill>
      <patternFill patternType="solid">
        <fgColor rgb="FFFD41FF"/>
        <bgColor rgb="FFFD41FF"/>
      </patternFill>
    </fill>
    <fill>
      <patternFill patternType="solid">
        <fgColor rgb="FFF8CBAD"/>
        <bgColor rgb="FFF8CBAD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B6D7A8"/>
        <bgColor rgb="FFB6D7A8"/>
      </patternFill>
    </fill>
    <fill>
      <patternFill patternType="solid">
        <fgColor rgb="FF9FC5E8"/>
        <bgColor rgb="FF9FC5E8"/>
      </patternFill>
    </fill>
    <fill>
      <patternFill patternType="solid">
        <fgColor rgb="FFEA4335"/>
        <bgColor rgb="FFEA4335"/>
      </patternFill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99CCFF"/>
        <bgColor rgb="FF99CCFF"/>
      </patternFill>
    </fill>
    <fill>
      <patternFill patternType="solid">
        <fgColor rgb="FFFF9900"/>
        <bgColor rgb="FFFF9900"/>
      </patternFill>
    </fill>
    <fill>
      <patternFill patternType="solid">
        <fgColor rgb="FFF9CB9C"/>
        <bgColor rgb="FFF9CB9C"/>
      </patternFill>
    </fill>
    <fill>
      <patternFill patternType="solid">
        <fgColor rgb="FFFBBC04"/>
        <bgColor rgb="FFFBBC04"/>
      </patternFill>
    </fill>
    <fill>
      <patternFill patternType="solid">
        <fgColor rgb="FFFAD9D6"/>
        <bgColor rgb="FFFAD9D6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C6EFCE"/>
        <bgColor rgb="FFC6EFCE"/>
      </patternFill>
    </fill>
    <fill>
      <patternFill patternType="solid">
        <fgColor rgb="FFFFE599"/>
        <bgColor rgb="FFFFE599"/>
      </patternFill>
    </fill>
    <fill>
      <patternFill patternType="solid">
        <fgColor rgb="FF00FFFF"/>
        <bgColor rgb="FF00FFFF"/>
      </patternFill>
    </fill>
    <fill>
      <patternFill patternType="solid">
        <fgColor rgb="FFFFD966"/>
        <bgColor rgb="FFFFD966"/>
      </patternFill>
    </fill>
    <fill>
      <patternFill patternType="solid">
        <fgColor rgb="FF6D9EEB"/>
        <bgColor rgb="FF6D9EEB"/>
      </patternFill>
    </fill>
    <fill>
      <patternFill patternType="solid">
        <fgColor rgb="FFA9D08E"/>
        <bgColor rgb="FFA9D08E"/>
      </patternFill>
    </fill>
    <fill>
      <patternFill patternType="solid">
        <fgColor rgb="FFADC7E7"/>
        <bgColor rgb="FFADC7E7"/>
      </patternFill>
    </fill>
    <fill>
      <patternFill patternType="solid">
        <fgColor rgb="FFD7D7D7"/>
        <bgColor rgb="FFD7D7D7"/>
      </patternFill>
    </fill>
    <fill>
      <patternFill patternType="solid">
        <fgColor rgb="FFF6B3AE"/>
        <bgColor rgb="FFF6B3AE"/>
      </patternFill>
    </fill>
    <fill>
      <patternFill patternType="solid">
        <fgColor rgb="FFD8D8D8"/>
        <bgColor rgb="FFD8D8D8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13">
    <border>
      <left/>
      <right/>
      <top/>
      <bottom/>
      <diagonal/>
    </border>
    <border>
      <left style="double">
        <color rgb="FFFF0000"/>
      </left>
      <right/>
      <top style="double">
        <color rgb="FFFF0000"/>
      </top>
      <bottom style="dotted">
        <color rgb="FFFF0000"/>
      </bottom>
      <diagonal/>
    </border>
    <border>
      <left/>
      <right/>
      <top style="double">
        <color rgb="FFFF0000"/>
      </top>
      <bottom style="dotted">
        <color rgb="FFFF0000"/>
      </bottom>
      <diagonal/>
    </border>
    <border>
      <left/>
      <right style="double">
        <color rgb="FFFF0000"/>
      </right>
      <top style="double">
        <color rgb="FFFF0000"/>
      </top>
      <bottom style="dotted">
        <color rgb="FFFF0000"/>
      </bottom>
      <diagonal/>
    </border>
    <border>
      <left style="double">
        <color rgb="FFFF0000"/>
      </left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hair">
        <color rgb="FFFF0000"/>
      </left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hair">
        <color rgb="FFFF0000"/>
      </left>
      <right style="double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/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 style="double">
        <color rgb="FFFF0000"/>
      </right>
      <top style="dotted">
        <color rgb="FFFF0000"/>
      </top>
      <bottom style="dotted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 style="hair">
        <color rgb="FFFF0000"/>
      </bottom>
      <diagonal/>
    </border>
    <border>
      <left style="double">
        <color rgb="FFFF0000"/>
      </left>
      <right style="dotted">
        <color rgb="FFFF0000"/>
      </right>
      <top style="dotted">
        <color rgb="FFFF0000"/>
      </top>
      <bottom style="double">
        <color rgb="FFFF0000"/>
      </bottom>
      <diagonal/>
    </border>
    <border>
      <left style="dotted">
        <color rgb="FFFF0000"/>
      </left>
      <right style="dotted">
        <color rgb="FFFF0000"/>
      </right>
      <top style="dotted">
        <color rgb="FFFF0000"/>
      </top>
      <bottom style="double">
        <color rgb="FFFF0000"/>
      </bottom>
      <diagonal/>
    </border>
    <border>
      <left style="dotted">
        <color rgb="FFFF0000"/>
      </left>
      <right/>
      <top style="dotted">
        <color rgb="FFFF0000"/>
      </top>
      <bottom style="double">
        <color rgb="FFFF0000"/>
      </bottom>
      <diagonal/>
    </border>
    <border>
      <left style="dotted">
        <color rgb="FFFF0000"/>
      </left>
      <right style="double">
        <color rgb="FFFF0000"/>
      </right>
      <top style="dotted">
        <color rgb="FFFF0000"/>
      </top>
      <bottom style="double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uble">
        <color rgb="FFFF0000"/>
      </left>
      <right/>
      <top style="double">
        <color rgb="FFFF0000"/>
      </top>
      <bottom/>
      <diagonal/>
    </border>
    <border>
      <left/>
      <right/>
      <top style="double">
        <color rgb="FFFF0000"/>
      </top>
      <bottom/>
      <diagonal/>
    </border>
    <border>
      <left/>
      <right style="hair">
        <color rgb="FFFF0000"/>
      </right>
      <top style="double">
        <color rgb="FFFF0000"/>
      </top>
      <bottom/>
      <diagonal/>
    </border>
    <border>
      <left style="hair">
        <color rgb="FFFF0000"/>
      </left>
      <right/>
      <top style="double">
        <color rgb="FFFF0000"/>
      </top>
      <bottom style="hair">
        <color rgb="FFFF0000"/>
      </bottom>
      <diagonal/>
    </border>
    <border>
      <left/>
      <right/>
      <top style="double">
        <color rgb="FFFF0000"/>
      </top>
      <bottom style="hair">
        <color rgb="FFFF0000"/>
      </bottom>
      <diagonal/>
    </border>
    <border>
      <left/>
      <right style="double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/>
      <top/>
      <bottom style="hair">
        <color rgb="FFFF0000"/>
      </bottom>
      <diagonal/>
    </border>
    <border>
      <left/>
      <right/>
      <top/>
      <bottom style="hair">
        <color rgb="FFFF0000"/>
      </bottom>
      <diagonal/>
    </border>
    <border>
      <left/>
      <right style="hair">
        <color rgb="FFFF0000"/>
      </right>
      <top/>
      <bottom style="hair">
        <color rgb="FFFF0000"/>
      </bottom>
      <diagonal/>
    </border>
    <border>
      <left/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double">
        <color rgb="FFFF0000"/>
      </left>
      <right/>
      <top style="hair">
        <color rgb="FFFF0000"/>
      </top>
      <bottom style="hair">
        <color rgb="FFFF0000"/>
      </bottom>
      <diagonal/>
    </border>
    <border>
      <left/>
      <right/>
      <top style="hair">
        <color rgb="FFFF0000"/>
      </top>
      <bottom style="hair">
        <color rgb="FFFF0000"/>
      </bottom>
      <diagonal/>
    </border>
    <border>
      <left/>
      <right style="double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/>
      <top style="hair">
        <color rgb="FFFF0000"/>
      </top>
      <bottom style="hair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/>
      <top style="hair">
        <color rgb="FFFF0000"/>
      </top>
      <bottom style="double">
        <color rgb="FFFF0000"/>
      </bottom>
      <diagonal/>
    </border>
    <border>
      <left/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 style="double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/>
      <diagonal/>
    </border>
    <border>
      <left style="hair">
        <color rgb="FFFF0000"/>
      </left>
      <right style="hair">
        <color rgb="FFFF0000"/>
      </right>
      <top style="hair">
        <color rgb="FFFF0000"/>
      </top>
      <bottom/>
      <diagonal/>
    </border>
    <border>
      <left style="hair">
        <color rgb="FFFF0000"/>
      </left>
      <right/>
      <top style="hair">
        <color rgb="FFFF0000"/>
      </top>
      <bottom/>
      <diagonal/>
    </border>
    <border>
      <left/>
      <right style="hair">
        <color rgb="FFFF0000"/>
      </right>
      <top style="hair">
        <color rgb="FFFF0000"/>
      </top>
      <bottom/>
      <diagonal/>
    </border>
    <border>
      <left style="double">
        <color rgb="FFFF0000"/>
      </left>
      <right style="hair">
        <color rgb="FFFF0000"/>
      </right>
      <top/>
      <bottom style="hair">
        <color rgb="FFFF0000"/>
      </bottom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 style="double">
        <color rgb="FFFF0000"/>
      </left>
      <right/>
      <top/>
      <bottom/>
      <diagonal/>
    </border>
    <border>
      <left/>
      <right style="double">
        <color rgb="FFFF0000"/>
      </right>
      <top/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 style="double">
        <color rgb="FFFF0000"/>
      </left>
      <right style="hair">
        <color rgb="FFFF0000"/>
      </right>
      <top style="double">
        <color rgb="FFFF0000"/>
      </top>
      <bottom/>
      <diagonal/>
    </border>
    <border>
      <left style="hair">
        <color rgb="FFFF0000"/>
      </left>
      <right style="hair">
        <color rgb="FFFF0000"/>
      </right>
      <top style="double">
        <color rgb="FFFF0000"/>
      </top>
      <bottom/>
      <diagonal/>
    </border>
    <border>
      <left style="hair">
        <color rgb="FFFF0000"/>
      </left>
      <right/>
      <top style="double">
        <color rgb="FFFF0000"/>
      </top>
      <bottom/>
      <diagonal/>
    </border>
    <border>
      <left style="hair">
        <color rgb="FFFF0000"/>
      </left>
      <right/>
      <top style="double">
        <color rgb="FFFF0000"/>
      </top>
      <bottom style="double">
        <color rgb="FFEA4335"/>
      </bottom>
      <diagonal/>
    </border>
    <border>
      <left/>
      <right/>
      <top style="double">
        <color rgb="FFFF0000"/>
      </top>
      <bottom style="double">
        <color rgb="FFEA4335"/>
      </bottom>
      <diagonal/>
    </border>
    <border>
      <left/>
      <right style="double">
        <color rgb="FFFF0000"/>
      </right>
      <top style="double">
        <color rgb="FFFF0000"/>
      </top>
      <bottom style="double">
        <color rgb="FFEA4335"/>
      </bottom>
      <diagonal/>
    </border>
    <border>
      <left style="double">
        <color rgb="FFFF0000"/>
      </left>
      <right style="hair">
        <color rgb="FFFF0000"/>
      </right>
      <top/>
      <bottom style="double">
        <color rgb="FFEA4335"/>
      </bottom>
      <diagonal/>
    </border>
    <border>
      <left style="hair">
        <color rgb="FFFF0000"/>
      </left>
      <right style="hair">
        <color rgb="FFFF0000"/>
      </right>
      <top/>
      <bottom style="double">
        <color rgb="FFEA4335"/>
      </bottom>
      <diagonal/>
    </border>
    <border>
      <left style="hair">
        <color rgb="FFFF0000"/>
      </left>
      <right/>
      <top/>
      <bottom style="double">
        <color rgb="FFEA4335"/>
      </bottom>
      <diagonal/>
    </border>
    <border>
      <left/>
      <right style="hair">
        <color rgb="FFFF0000"/>
      </right>
      <top/>
      <bottom style="double">
        <color rgb="FFEA4335"/>
      </bottom>
      <diagonal/>
    </border>
    <border>
      <left style="hair">
        <color rgb="FFFF0000"/>
      </left>
      <right style="hair">
        <color rgb="FFFF0000"/>
      </right>
      <top style="double">
        <color rgb="FFFF0000"/>
      </top>
      <bottom style="double">
        <color rgb="FFEA4335"/>
      </bottom>
      <diagonal/>
    </border>
    <border>
      <left style="hair">
        <color rgb="FFFF0000"/>
      </left>
      <right style="double">
        <color rgb="FFFF0000"/>
      </right>
      <top style="double">
        <color rgb="FFFF0000"/>
      </top>
      <bottom style="double">
        <color rgb="FFEA4335"/>
      </bottom>
      <diagonal/>
    </border>
    <border>
      <left style="double">
        <color rgb="FFFF0000"/>
      </left>
      <right style="hair">
        <color rgb="FFFF0000"/>
      </right>
      <top/>
      <bottom style="thin">
        <color rgb="FFFF0000"/>
      </bottom>
      <diagonal/>
    </border>
    <border>
      <left style="hair">
        <color rgb="FFFF0000"/>
      </left>
      <right style="hair">
        <color rgb="FFFF0000"/>
      </right>
      <top/>
      <bottom style="thin">
        <color rgb="FFFF0000"/>
      </bottom>
      <diagonal/>
    </border>
    <border>
      <left style="hair">
        <color rgb="FFFF0000"/>
      </left>
      <right/>
      <top/>
      <bottom style="thin">
        <color rgb="FFFF0000"/>
      </bottom>
      <diagonal/>
    </border>
    <border>
      <left/>
      <right style="hair">
        <color rgb="FFFF0000"/>
      </right>
      <top/>
      <bottom style="thin">
        <color rgb="FFFF0000"/>
      </bottom>
      <diagonal/>
    </border>
    <border>
      <left style="hair">
        <color rgb="FFFF0000"/>
      </left>
      <right style="double">
        <color rgb="FFFF0000"/>
      </right>
      <top/>
      <bottom style="thin">
        <color rgb="FFFF0000"/>
      </bottom>
      <diagonal/>
    </border>
    <border>
      <left style="double">
        <color rgb="FFFF0000"/>
      </left>
      <right style="hair">
        <color rgb="FFFF0000"/>
      </right>
      <top style="thin">
        <color rgb="FFFF0000"/>
      </top>
      <bottom style="thin">
        <color rgb="FFFF0000"/>
      </bottom>
      <diagonal/>
    </border>
    <border>
      <left style="hair">
        <color rgb="FFFF0000"/>
      </left>
      <right style="hair">
        <color rgb="FFFF0000"/>
      </right>
      <top style="thin">
        <color rgb="FFFF0000"/>
      </top>
      <bottom style="thin">
        <color rgb="FFFF0000"/>
      </bottom>
      <diagonal/>
    </border>
    <border>
      <left style="hair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hair">
        <color rgb="FFFF0000"/>
      </right>
      <top style="thin">
        <color rgb="FFFF0000"/>
      </top>
      <bottom style="thin">
        <color rgb="FFFF0000"/>
      </bottom>
      <diagonal/>
    </border>
    <border>
      <left style="hair">
        <color rgb="FFFF0000"/>
      </left>
      <right style="double">
        <color rgb="FFFF0000"/>
      </right>
      <top style="thin">
        <color rgb="FFFF0000"/>
      </top>
      <bottom style="thin">
        <color rgb="FFFF0000"/>
      </bottom>
      <diagonal/>
    </border>
    <border>
      <left style="double">
        <color rgb="FFFF0000"/>
      </left>
      <right style="hair">
        <color rgb="FFFF0000"/>
      </right>
      <top style="thin">
        <color rgb="FFFF0000"/>
      </top>
      <bottom style="double">
        <color rgb="FFFF0000"/>
      </bottom>
      <diagonal/>
    </border>
    <border>
      <left style="hair">
        <color rgb="FFFF0000"/>
      </left>
      <right style="hair">
        <color rgb="FFFF0000"/>
      </right>
      <top style="thin">
        <color rgb="FFFF0000"/>
      </top>
      <bottom style="double">
        <color rgb="FFFF0000"/>
      </bottom>
      <diagonal/>
    </border>
    <border>
      <left style="hair">
        <color rgb="FFFF0000"/>
      </left>
      <right/>
      <top style="thin">
        <color rgb="FFFF0000"/>
      </top>
      <bottom style="double">
        <color rgb="FFFF0000"/>
      </bottom>
      <diagonal/>
    </border>
    <border>
      <left/>
      <right style="hair">
        <color rgb="FFFF0000"/>
      </right>
      <top style="thin">
        <color rgb="FFFF0000"/>
      </top>
      <bottom style="double">
        <color rgb="FFFF0000"/>
      </bottom>
      <diagonal/>
    </border>
    <border>
      <left style="hair">
        <color rgb="FFFF0000"/>
      </left>
      <right style="double">
        <color rgb="FFFF0000"/>
      </right>
      <top style="thin">
        <color rgb="FFFF0000"/>
      </top>
      <bottom style="double">
        <color rgb="FFFF0000"/>
      </bottom>
      <diagonal/>
    </border>
    <border>
      <left/>
      <right/>
      <top/>
      <bottom/>
      <diagonal/>
    </border>
    <border>
      <left/>
      <right style="hair">
        <color rgb="FFFF0000"/>
      </right>
      <top/>
      <bottom/>
      <diagonal/>
    </border>
    <border>
      <left style="hair">
        <color rgb="FFFF0000"/>
      </left>
      <right/>
      <top/>
      <bottom/>
      <diagonal/>
    </border>
    <border>
      <left style="hair">
        <color rgb="FFFF0000"/>
      </left>
      <right/>
      <top/>
      <bottom style="hair">
        <color rgb="FFFF0000"/>
      </bottom>
      <diagonal/>
    </border>
    <border>
      <left style="double">
        <color rgb="FFFF0000"/>
      </left>
      <right/>
      <top style="double">
        <color rgb="FFFF0000"/>
      </top>
      <bottom style="thin">
        <color rgb="FFFF0000"/>
      </bottom>
      <diagonal/>
    </border>
    <border>
      <left/>
      <right/>
      <top style="double">
        <color rgb="FFFF0000"/>
      </top>
      <bottom style="thin">
        <color rgb="FFFF0000"/>
      </bottom>
      <diagonal/>
    </border>
    <border>
      <left/>
      <right style="thin">
        <color rgb="FFFF0000"/>
      </right>
      <top style="double">
        <color rgb="FFFF0000"/>
      </top>
      <bottom style="thin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/>
      <diagonal/>
    </border>
    <border>
      <left style="double">
        <color rgb="FFFF0000"/>
      </left>
      <right/>
      <top style="hair">
        <color rgb="FFFF0000"/>
      </top>
      <bottom style="double">
        <color rgb="FFFF0000"/>
      </bottom>
      <diagonal/>
    </border>
    <border>
      <left/>
      <right/>
      <top style="hair">
        <color rgb="FFFF0000"/>
      </top>
      <bottom style="double">
        <color rgb="FFFF0000"/>
      </bottom>
      <diagonal/>
    </border>
    <border>
      <left/>
      <right style="double">
        <color rgb="FFFF0000"/>
      </right>
      <top style="hair">
        <color rgb="FFFF0000"/>
      </top>
      <bottom style="double">
        <color rgb="FFFF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FF0000"/>
      </left>
      <right style="hair">
        <color rgb="FFFF0000"/>
      </right>
      <top/>
      <bottom style="hair">
        <color rgb="FFFF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/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 style="hair">
        <color rgb="FFFF9900"/>
      </right>
      <top style="double">
        <color rgb="FFFF0000"/>
      </top>
      <bottom style="hair">
        <color rgb="FFFF9900"/>
      </bottom>
      <diagonal/>
    </border>
    <border>
      <left style="hair">
        <color rgb="FFFF9900"/>
      </left>
      <right/>
      <top style="double">
        <color rgb="FFFF0000"/>
      </top>
      <bottom style="hair">
        <color rgb="FFFF9900"/>
      </bottom>
      <diagonal/>
    </border>
    <border>
      <left/>
      <right/>
      <top style="double">
        <color rgb="FFFF0000"/>
      </top>
      <bottom style="hair">
        <color rgb="FFFF9900"/>
      </bottom>
      <diagonal/>
    </border>
    <border>
      <left/>
      <right style="hair">
        <color rgb="FFFF9900"/>
      </right>
      <top style="double">
        <color rgb="FFFF0000"/>
      </top>
      <bottom style="hair">
        <color rgb="FFFF9900"/>
      </bottom>
      <diagonal/>
    </border>
    <border>
      <left style="hair">
        <color rgb="FFFF9900"/>
      </left>
      <right style="hair">
        <color rgb="FFFF9900"/>
      </right>
      <top style="double">
        <color rgb="FFFF0000"/>
      </top>
      <bottom style="hair">
        <color rgb="FFFF9900"/>
      </bottom>
      <diagonal/>
    </border>
    <border>
      <left style="hair">
        <color rgb="FFFF9900"/>
      </left>
      <right/>
      <top style="double">
        <color rgb="FFFF0000"/>
      </top>
      <bottom/>
      <diagonal/>
    </border>
    <border>
      <left style="double">
        <color rgb="FFFF0000"/>
      </left>
      <right/>
      <top style="hair">
        <color rgb="FFFF9900"/>
      </top>
      <bottom style="hair">
        <color rgb="FFFF9900"/>
      </bottom>
      <diagonal/>
    </border>
    <border>
      <left/>
      <right/>
      <top style="hair">
        <color rgb="FFFF9900"/>
      </top>
      <bottom style="hair">
        <color rgb="FFFF9900"/>
      </bottom>
      <diagonal/>
    </border>
    <border>
      <left/>
      <right style="hair">
        <color rgb="FFFF9900"/>
      </right>
      <top style="hair">
        <color rgb="FFFF9900"/>
      </top>
      <bottom style="hair">
        <color rgb="FFFF9900"/>
      </bottom>
      <diagonal/>
    </border>
    <border>
      <left style="hair">
        <color rgb="FFFF9900"/>
      </left>
      <right style="hair">
        <color rgb="FFFF9900"/>
      </right>
      <top style="hair">
        <color rgb="FFFF9900"/>
      </top>
      <bottom style="hair">
        <color rgb="FFFF9900"/>
      </bottom>
      <diagonal/>
    </border>
    <border>
      <left style="hair">
        <color rgb="FFFF9900"/>
      </left>
      <right/>
      <top/>
      <bottom style="hair">
        <color rgb="FFFF9900"/>
      </bottom>
      <diagonal/>
    </border>
    <border>
      <left style="double">
        <color rgb="FFFF0000"/>
      </left>
      <right style="hair">
        <color rgb="FFFF9900"/>
      </right>
      <top style="hair">
        <color rgb="FFFF9900"/>
      </top>
      <bottom style="hair">
        <color rgb="FFFF9900"/>
      </bottom>
      <diagonal/>
    </border>
    <border>
      <left style="hair">
        <color rgb="FFFF9900"/>
      </left>
      <right/>
      <top style="hair">
        <color rgb="FFFF9900"/>
      </top>
      <bottom style="hair">
        <color rgb="FFFF9900"/>
      </bottom>
      <diagonal/>
    </border>
    <border>
      <left style="double">
        <color rgb="FFFF0000"/>
      </left>
      <right style="hair">
        <color rgb="FFFF9900"/>
      </right>
      <top style="hair">
        <color rgb="FFFF9900"/>
      </top>
      <bottom style="double">
        <color rgb="FFFF0000"/>
      </bottom>
      <diagonal/>
    </border>
    <border>
      <left style="hair">
        <color rgb="FFFF9900"/>
      </left>
      <right style="hair">
        <color rgb="FFFF9900"/>
      </right>
      <top style="hair">
        <color rgb="FFFF9900"/>
      </top>
      <bottom style="double">
        <color rgb="FFFF0000"/>
      </bottom>
      <diagonal/>
    </border>
    <border>
      <left style="hair">
        <color rgb="FFFF9900"/>
      </left>
      <right/>
      <top style="hair">
        <color rgb="FFFF9900"/>
      </top>
      <bottom style="double">
        <color rgb="FFFF0000"/>
      </bottom>
      <diagonal/>
    </border>
    <border>
      <left style="double">
        <color rgb="FFFF0000"/>
      </left>
      <right/>
      <top style="dotted">
        <color rgb="FFFF0000"/>
      </top>
      <bottom style="thin">
        <color rgb="FF000000"/>
      </bottom>
      <diagonal/>
    </border>
    <border>
      <left/>
      <right/>
      <top style="dotted">
        <color rgb="FFFF0000"/>
      </top>
      <bottom style="thin">
        <color rgb="FF000000"/>
      </bottom>
      <diagonal/>
    </border>
    <border>
      <left/>
      <right style="thin">
        <color rgb="FF000000"/>
      </right>
      <top style="dotted">
        <color rgb="FFFF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EA4335"/>
      </left>
      <right style="hair">
        <color rgb="FFEA4335"/>
      </right>
      <top style="double">
        <color rgb="FFEA4335"/>
      </top>
      <bottom style="hair">
        <color rgb="FFEA4335"/>
      </bottom>
      <diagonal/>
    </border>
    <border>
      <left style="hair">
        <color rgb="FFEA4335"/>
      </left>
      <right style="hair">
        <color rgb="FFEA4335"/>
      </right>
      <top style="double">
        <color rgb="FFEA4335"/>
      </top>
      <bottom style="hair">
        <color rgb="FFEA4335"/>
      </bottom>
      <diagonal/>
    </border>
    <border>
      <left style="hair">
        <color rgb="FFEA4335"/>
      </left>
      <right style="double">
        <color rgb="FFEA4335"/>
      </right>
      <top style="double">
        <color rgb="FFEA4335"/>
      </top>
      <bottom style="hair">
        <color rgb="FFEA4335"/>
      </bottom>
      <diagonal/>
    </border>
    <border>
      <left style="double">
        <color rgb="FFEA4335"/>
      </left>
      <right style="hair">
        <color rgb="FFEA4335"/>
      </right>
      <top style="hair">
        <color rgb="FFEA4335"/>
      </top>
      <bottom style="double">
        <color rgb="FFEA4335"/>
      </bottom>
      <diagonal/>
    </border>
    <border>
      <left style="hair">
        <color rgb="FFEA4335"/>
      </left>
      <right style="hair">
        <color rgb="FFEA4335"/>
      </right>
      <top style="hair">
        <color rgb="FFEA4335"/>
      </top>
      <bottom style="double">
        <color rgb="FFEA4335"/>
      </bottom>
      <diagonal/>
    </border>
    <border>
      <left style="hair">
        <color rgb="FFEA4335"/>
      </left>
      <right style="double">
        <color rgb="FFEA4335"/>
      </right>
      <top style="hair">
        <color rgb="FFEA4335"/>
      </top>
      <bottom style="double">
        <color rgb="FFEA4335"/>
      </bottom>
      <diagonal/>
    </border>
    <border>
      <left style="hair">
        <color rgb="FFFF0000"/>
      </left>
      <right style="double">
        <color rgb="FFFF0000"/>
      </right>
      <top/>
      <bottom style="hair">
        <color rgb="FFFF0000"/>
      </bottom>
      <diagonal/>
    </border>
    <border>
      <left style="double">
        <color rgb="FFEA4335"/>
      </left>
      <right/>
      <top style="double">
        <color rgb="FFEA4335"/>
      </top>
      <bottom style="double">
        <color rgb="FFEA4335"/>
      </bottom>
      <diagonal/>
    </border>
    <border>
      <left/>
      <right style="double">
        <color rgb="FFEA4335"/>
      </right>
      <top style="double">
        <color rgb="FFEA4335"/>
      </top>
      <bottom style="double">
        <color rgb="FFEA4335"/>
      </bottom>
      <diagonal/>
    </border>
    <border>
      <left style="double">
        <color rgb="FFEA4335"/>
      </left>
      <right style="double">
        <color rgb="FFEA4335"/>
      </right>
      <top style="double">
        <color rgb="FFEA4335"/>
      </top>
      <bottom style="double">
        <color rgb="FFEA4335"/>
      </bottom>
      <diagonal/>
    </border>
    <border>
      <left style="double">
        <color rgb="FFFF0000"/>
      </left>
      <right style="hair">
        <color rgb="FFEA4335"/>
      </right>
      <top style="double">
        <color rgb="FFFF0000"/>
      </top>
      <bottom style="hair">
        <color rgb="FFEA4335"/>
      </bottom>
      <diagonal/>
    </border>
    <border>
      <left style="hair">
        <color rgb="FFEA4335"/>
      </left>
      <right style="double">
        <color rgb="FFFF0000"/>
      </right>
      <top style="double">
        <color rgb="FFFF0000"/>
      </top>
      <bottom style="hair">
        <color rgb="FFEA4335"/>
      </bottom>
      <diagonal/>
    </border>
    <border>
      <left style="double">
        <color rgb="FFFF0000"/>
      </left>
      <right style="hair">
        <color rgb="FFEA4335"/>
      </right>
      <top style="hair">
        <color rgb="FFEA4335"/>
      </top>
      <bottom style="double">
        <color rgb="FFFF0000"/>
      </bottom>
      <diagonal/>
    </border>
    <border>
      <left style="hair">
        <color rgb="FFEA4335"/>
      </left>
      <right style="double">
        <color rgb="FFFF0000"/>
      </right>
      <top style="hair">
        <color rgb="FFEA4335"/>
      </top>
      <bottom style="double">
        <color rgb="FFFF0000"/>
      </bottom>
      <diagonal/>
    </border>
    <border>
      <left style="double">
        <color rgb="FF0000FF"/>
      </left>
      <right style="dotted">
        <color rgb="FF0000FF"/>
      </right>
      <top style="double">
        <color rgb="FF0000FF"/>
      </top>
      <bottom/>
      <diagonal/>
    </border>
    <border>
      <left style="dotted">
        <color rgb="FF0000FF"/>
      </left>
      <right/>
      <top style="double">
        <color rgb="FF0000FF"/>
      </top>
      <bottom/>
      <diagonal/>
    </border>
    <border>
      <left/>
      <right style="dotted">
        <color rgb="FF0000FF"/>
      </right>
      <top style="double">
        <color rgb="FF0000FF"/>
      </top>
      <bottom/>
      <diagonal/>
    </border>
    <border>
      <left style="dotted">
        <color rgb="FF0000FF"/>
      </left>
      <right style="dotted">
        <color rgb="FF0000FF"/>
      </right>
      <top style="double">
        <color rgb="FF0000FF"/>
      </top>
      <bottom/>
      <diagonal/>
    </border>
    <border>
      <left style="dotted">
        <color rgb="FF0000FF"/>
      </left>
      <right style="double">
        <color rgb="FF0000FF"/>
      </right>
      <top style="double">
        <color rgb="FF0000FF"/>
      </top>
      <bottom/>
      <diagonal/>
    </border>
    <border>
      <left style="double">
        <color rgb="FFFF9900"/>
      </left>
      <right style="hair">
        <color theme="5"/>
      </right>
      <top style="double">
        <color rgb="FFFF9900"/>
      </top>
      <bottom style="hair">
        <color theme="5"/>
      </bottom>
      <diagonal/>
    </border>
    <border>
      <left style="double">
        <color theme="5"/>
      </left>
      <right style="hair">
        <color theme="5"/>
      </right>
      <top style="double">
        <color rgb="FFFF9900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double">
        <color rgb="FFFF9900"/>
      </top>
      <bottom style="hair">
        <color theme="5"/>
      </bottom>
      <diagonal/>
    </border>
    <border>
      <left/>
      <right/>
      <top style="double">
        <color rgb="FFFF9900"/>
      </top>
      <bottom style="hair">
        <color theme="5"/>
      </bottom>
      <diagonal/>
    </border>
    <border>
      <left/>
      <right style="double">
        <color rgb="FFFF9900"/>
      </right>
      <top style="double">
        <color rgb="FFFF9900"/>
      </top>
      <bottom style="hair">
        <color theme="5"/>
      </bottom>
      <diagonal/>
    </border>
    <border>
      <left style="dotted">
        <color rgb="FFFF0000"/>
      </left>
      <right style="dotted">
        <color rgb="FFFF0000"/>
      </right>
      <top style="double">
        <color rgb="FFFF0000"/>
      </top>
      <bottom style="dotted">
        <color rgb="FFFF0000"/>
      </bottom>
      <diagonal/>
    </border>
    <border>
      <left style="double">
        <color rgb="FF0000FF"/>
      </left>
      <right style="dotted">
        <color rgb="FF0000FF"/>
      </right>
      <top/>
      <bottom style="dotted">
        <color rgb="FF0000FF"/>
      </bottom>
      <diagonal/>
    </border>
    <border>
      <left style="dotted">
        <color rgb="FF0000FF"/>
      </left>
      <right/>
      <top/>
      <bottom style="dotted">
        <color rgb="FF0000FF"/>
      </bottom>
      <diagonal/>
    </border>
    <border>
      <left/>
      <right style="dotted">
        <color rgb="FF0000FF"/>
      </right>
      <top/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/>
      <bottom style="dotted">
        <color rgb="FF0000FF"/>
      </bottom>
      <diagonal/>
    </border>
    <border>
      <left style="dotted">
        <color rgb="FF0000FF"/>
      </left>
      <right style="double">
        <color rgb="FF0000FF"/>
      </right>
      <top/>
      <bottom style="dotted">
        <color rgb="FF0000FF"/>
      </bottom>
      <diagonal/>
    </border>
    <border>
      <left style="double">
        <color rgb="FFFF9900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double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double">
        <color rgb="FFFF9900"/>
      </right>
      <top style="hair">
        <color theme="5"/>
      </top>
      <bottom style="hair">
        <color theme="5"/>
      </bottom>
      <diagonal/>
    </border>
    <border>
      <left style="double">
        <color rgb="FF0000FF"/>
      </left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/>
      <top style="dotted">
        <color rgb="FF0000FF"/>
      </top>
      <bottom style="dotted">
        <color rgb="FF0000FF"/>
      </bottom>
      <diagonal/>
    </border>
    <border>
      <left/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 style="double">
        <color rgb="FF0000FF"/>
      </right>
      <top style="dotted">
        <color rgb="FF0000FF"/>
      </top>
      <bottom style="dotted">
        <color rgb="FF0000FF"/>
      </bottom>
      <diagonal/>
    </border>
    <border>
      <left style="double">
        <color rgb="FFFF9900"/>
      </left>
      <right style="hair">
        <color theme="5"/>
      </right>
      <top style="hair">
        <color theme="5"/>
      </top>
      <bottom style="double">
        <color rgb="FFFF9900"/>
      </bottom>
      <diagonal/>
    </border>
    <border>
      <left style="double">
        <color theme="5"/>
      </left>
      <right style="hair">
        <color theme="5"/>
      </right>
      <top style="hair">
        <color theme="5"/>
      </top>
      <bottom style="double">
        <color rgb="FFFF9900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double">
        <color rgb="FFFF9900"/>
      </bottom>
      <diagonal/>
    </border>
    <border>
      <left style="hair">
        <color theme="5"/>
      </left>
      <right/>
      <top style="hair">
        <color theme="5"/>
      </top>
      <bottom style="double">
        <color rgb="FFFF9900"/>
      </bottom>
      <diagonal/>
    </border>
    <border>
      <left style="hair">
        <color theme="5"/>
      </left>
      <right style="double">
        <color rgb="FFFF9900"/>
      </right>
      <top style="hair">
        <color theme="5"/>
      </top>
      <bottom style="double">
        <color rgb="FFFF9900"/>
      </bottom>
      <diagonal/>
    </border>
    <border>
      <left/>
      <right style="double">
        <color rgb="FFFF9900"/>
      </right>
      <top style="double">
        <color rgb="FFFF9900"/>
      </top>
      <bottom/>
      <diagonal/>
    </border>
    <border>
      <left style="double">
        <color rgb="FF0000FF"/>
      </left>
      <right style="dotted">
        <color rgb="FF0000FF"/>
      </right>
      <top style="dotted">
        <color rgb="FF0000FF"/>
      </top>
      <bottom style="double">
        <color rgb="FF0000FF"/>
      </bottom>
      <diagonal/>
    </border>
    <border>
      <left style="dotted">
        <color rgb="FF0000FF"/>
      </left>
      <right/>
      <top style="dotted">
        <color rgb="FF0000FF"/>
      </top>
      <bottom style="double">
        <color rgb="FF0000FF"/>
      </bottom>
      <diagonal/>
    </border>
    <border>
      <left/>
      <right style="dotted">
        <color rgb="FF0000FF"/>
      </right>
      <top style="dotted">
        <color rgb="FF0000FF"/>
      </top>
      <bottom style="double">
        <color rgb="FF0000FF"/>
      </bottom>
      <diagonal/>
    </border>
    <border>
      <left style="dotted">
        <color rgb="FF0000FF"/>
      </left>
      <right style="dotted">
        <color rgb="FF0000FF"/>
      </right>
      <top style="dotted">
        <color rgb="FF0000FF"/>
      </top>
      <bottom style="double">
        <color rgb="FF0000FF"/>
      </bottom>
      <diagonal/>
    </border>
    <border>
      <left style="dotted">
        <color rgb="FF0000FF"/>
      </left>
      <right style="double">
        <color rgb="FF0000FF"/>
      </right>
      <top style="dotted">
        <color rgb="FF0000FF"/>
      </top>
      <bottom style="double">
        <color rgb="FF0000FF"/>
      </bottom>
      <diagonal/>
    </border>
    <border>
      <left style="double">
        <color rgb="FFFF0000"/>
      </left>
      <right/>
      <top style="hair">
        <color rgb="FFFF0000"/>
      </top>
      <bottom/>
      <diagonal/>
    </border>
    <border>
      <left/>
      <right/>
      <top style="hair">
        <color rgb="FFFF0000"/>
      </top>
      <bottom/>
      <diagonal/>
    </border>
    <border>
      <left style="hair">
        <color rgb="FFFF0000"/>
      </left>
      <right/>
      <top style="hair">
        <color rgb="FFFF0000"/>
      </top>
      <bottom style="hair">
        <color rgb="FFFF0000"/>
      </bottom>
      <diagonal/>
    </border>
    <border>
      <left/>
      <right/>
      <top style="hair">
        <color rgb="FFFF0000"/>
      </top>
      <bottom style="hair">
        <color rgb="FFFF0000"/>
      </bottom>
      <diagonal/>
    </border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double">
        <color rgb="FF333399"/>
      </top>
      <bottom style="hair">
        <color rgb="FF333399"/>
      </bottom>
      <diagonal/>
    </border>
    <border>
      <left/>
      <right style="hair">
        <color rgb="FF333399"/>
      </right>
      <top style="double">
        <color rgb="FF333399"/>
      </top>
      <bottom style="hair">
        <color rgb="FF333399"/>
      </bottom>
      <diagonal/>
    </border>
    <border>
      <left style="hair">
        <color rgb="FF333399"/>
      </left>
      <right style="hair">
        <color rgb="FF333399"/>
      </right>
      <top style="double">
        <color rgb="FF333399"/>
      </top>
      <bottom style="hair">
        <color rgb="FF333399"/>
      </bottom>
      <diagonal/>
    </border>
    <border>
      <left/>
      <right style="double">
        <color rgb="FF333399"/>
      </right>
      <top style="double">
        <color rgb="FF333399"/>
      </top>
      <bottom style="hair">
        <color rgb="FF333399"/>
      </bottom>
      <diagonal/>
    </border>
    <border>
      <left/>
      <right/>
      <top style="hair">
        <color rgb="FF333399"/>
      </top>
      <bottom style="hair">
        <color rgb="FF333399"/>
      </bottom>
      <diagonal/>
    </border>
    <border>
      <left/>
      <right style="hair">
        <color rgb="FF333399"/>
      </right>
      <top style="hair">
        <color rgb="FF333399"/>
      </top>
      <bottom style="hair">
        <color rgb="FF333399"/>
      </bottom>
      <diagonal/>
    </border>
    <border>
      <left style="hair">
        <color rgb="FF333399"/>
      </left>
      <right style="hair">
        <color rgb="FF333399"/>
      </right>
      <top style="hair">
        <color rgb="FF333399"/>
      </top>
      <bottom style="hair">
        <color rgb="FF333399"/>
      </bottom>
      <diagonal/>
    </border>
    <border>
      <left/>
      <right style="double">
        <color rgb="FF333399"/>
      </right>
      <top style="hair">
        <color rgb="FF333399"/>
      </top>
      <bottom style="hair">
        <color rgb="FF333399"/>
      </bottom>
      <diagonal/>
    </border>
    <border>
      <left/>
      <right/>
      <top style="hair">
        <color rgb="FF333399"/>
      </top>
      <bottom style="double">
        <color rgb="FF333399"/>
      </bottom>
      <diagonal/>
    </border>
    <border>
      <left/>
      <right style="hair">
        <color rgb="FF333399"/>
      </right>
      <top style="hair">
        <color rgb="FF333399"/>
      </top>
      <bottom style="double">
        <color rgb="FF333399"/>
      </bottom>
      <diagonal/>
    </border>
    <border>
      <left style="hair">
        <color rgb="FF333399"/>
      </left>
      <right style="hair">
        <color rgb="FF333399"/>
      </right>
      <top style="hair">
        <color rgb="FF333399"/>
      </top>
      <bottom/>
      <diagonal/>
    </border>
    <border>
      <left/>
      <right style="double">
        <color rgb="FF333399"/>
      </right>
      <top style="hair">
        <color rgb="FF333399"/>
      </top>
      <bottom style="double">
        <color rgb="FF333399"/>
      </bottom>
      <diagonal/>
    </border>
    <border>
      <left style="hair">
        <color theme="5"/>
      </left>
      <right style="double">
        <color rgb="FFFF9900"/>
      </right>
      <top style="double">
        <color rgb="FFFF9900"/>
      </top>
      <bottom style="hair">
        <color theme="5"/>
      </bottom>
      <diagonal/>
    </border>
    <border>
      <left style="hair">
        <color theme="5"/>
      </left>
      <right style="double">
        <color rgb="FFFF9900"/>
      </right>
      <top style="hair">
        <color theme="5"/>
      </top>
      <bottom style="hair">
        <color theme="5"/>
      </bottom>
      <diagonal/>
    </border>
    <border>
      <left/>
      <right style="hair">
        <color theme="5"/>
      </right>
      <top/>
      <bottom style="hair">
        <color theme="5"/>
      </bottom>
      <diagonal/>
    </border>
    <border>
      <left/>
      <right/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43" fontId="79" fillId="0" borderId="0" applyFont="0" applyFill="0" applyBorder="0" applyAlignment="0" applyProtection="0"/>
  </cellStyleXfs>
  <cellXfs count="938">
    <xf numFmtId="0" fontId="0" fillId="0" borderId="0" xfId="0"/>
    <xf numFmtId="0" fontId="1" fillId="2" borderId="0" xfId="0" applyFont="1" applyFill="1" applyAlignment="1">
      <alignment horizontal="left"/>
    </xf>
    <xf numFmtId="0" fontId="2" fillId="0" borderId="0" xfId="0" applyFont="1"/>
    <xf numFmtId="0" fontId="4" fillId="0" borderId="0" xfId="0" applyFont="1"/>
    <xf numFmtId="0" fontId="7" fillId="0" borderId="0" xfId="0" applyFont="1"/>
    <xf numFmtId="0" fontId="8" fillId="3" borderId="4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10" fillId="0" borderId="0" xfId="0" applyFont="1" applyAlignment="1">
      <alignment horizontal="left"/>
    </xf>
    <xf numFmtId="0" fontId="11" fillId="4" borderId="7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11" fillId="4" borderId="10" xfId="0" applyFont="1" applyFill="1" applyBorder="1" applyAlignment="1">
      <alignment horizontal="center"/>
    </xf>
    <xf numFmtId="0" fontId="10" fillId="0" borderId="11" xfId="0" applyFont="1" applyBorder="1" applyAlignment="1">
      <alignment horizontal="right"/>
    </xf>
    <xf numFmtId="0" fontId="12" fillId="2" borderId="12" xfId="0" applyFont="1" applyFill="1" applyBorder="1" applyAlignment="1">
      <alignment horizontal="left"/>
    </xf>
    <xf numFmtId="0" fontId="9" fillId="0" borderId="12" xfId="0" applyFont="1" applyBorder="1"/>
    <xf numFmtId="0" fontId="10" fillId="0" borderId="12" xfId="0" applyFont="1" applyBorder="1"/>
    <xf numFmtId="0" fontId="10" fillId="0" borderId="13" xfId="0" applyFont="1" applyBorder="1"/>
    <xf numFmtId="0" fontId="13" fillId="5" borderId="7" xfId="0" applyFont="1" applyFill="1" applyBorder="1"/>
    <xf numFmtId="0" fontId="14" fillId="5" borderId="8" xfId="0" applyFont="1" applyFill="1" applyBorder="1"/>
    <xf numFmtId="0" fontId="13" fillId="5" borderId="8" xfId="0" applyFont="1" applyFill="1" applyBorder="1"/>
    <xf numFmtId="0" fontId="14" fillId="5" borderId="9" xfId="0" applyFont="1" applyFill="1" applyBorder="1"/>
    <xf numFmtId="0" fontId="15" fillId="5" borderId="10" xfId="0" applyFont="1" applyFill="1" applyBorder="1"/>
    <xf numFmtId="0" fontId="13" fillId="6" borderId="7" xfId="0" applyFont="1" applyFill="1" applyBorder="1"/>
    <xf numFmtId="0" fontId="14" fillId="6" borderId="8" xfId="0" applyFont="1" applyFill="1" applyBorder="1"/>
    <xf numFmtId="0" fontId="13" fillId="6" borderId="8" xfId="0" applyFont="1" applyFill="1" applyBorder="1"/>
    <xf numFmtId="0" fontId="14" fillId="6" borderId="9" xfId="0" applyFont="1" applyFill="1" applyBorder="1"/>
    <xf numFmtId="0" fontId="15" fillId="6" borderId="10" xfId="0" applyFont="1" applyFill="1" applyBorder="1"/>
    <xf numFmtId="0" fontId="13" fillId="7" borderId="7" xfId="0" applyFont="1" applyFill="1" applyBorder="1"/>
    <xf numFmtId="0" fontId="13" fillId="7" borderId="8" xfId="0" applyFont="1" applyFill="1" applyBorder="1"/>
    <xf numFmtId="0" fontId="14" fillId="7" borderId="8" xfId="0" applyFont="1" applyFill="1" applyBorder="1"/>
    <xf numFmtId="0" fontId="14" fillId="7" borderId="9" xfId="0" applyFont="1" applyFill="1" applyBorder="1"/>
    <xf numFmtId="0" fontId="15" fillId="7" borderId="10" xfId="0" applyFont="1" applyFill="1" applyBorder="1"/>
    <xf numFmtId="0" fontId="13" fillId="5" borderId="9" xfId="0" applyFont="1" applyFill="1" applyBorder="1"/>
    <xf numFmtId="0" fontId="16" fillId="5" borderId="10" xfId="0" applyFont="1" applyFill="1" applyBorder="1"/>
    <xf numFmtId="0" fontId="4" fillId="0" borderId="11" xfId="0" applyFont="1" applyBorder="1"/>
    <xf numFmtId="0" fontId="13" fillId="8" borderId="7" xfId="0" applyFont="1" applyFill="1" applyBorder="1"/>
    <xf numFmtId="0" fontId="13" fillId="8" borderId="8" xfId="0" applyFont="1" applyFill="1" applyBorder="1"/>
    <xf numFmtId="0" fontId="14" fillId="8" borderId="8" xfId="0" applyFont="1" applyFill="1" applyBorder="1"/>
    <xf numFmtId="0" fontId="14" fillId="8" borderId="9" xfId="0" applyFont="1" applyFill="1" applyBorder="1"/>
    <xf numFmtId="0" fontId="15" fillId="8" borderId="10" xfId="0" applyFont="1" applyFill="1" applyBorder="1"/>
    <xf numFmtId="0" fontId="17" fillId="9" borderId="12" xfId="0" applyFont="1" applyFill="1" applyBorder="1" applyAlignment="1">
      <alignment horizontal="left" vertical="center"/>
    </xf>
    <xf numFmtId="164" fontId="17" fillId="9" borderId="12" xfId="0" applyNumberFormat="1" applyFont="1" applyFill="1" applyBorder="1" applyAlignment="1">
      <alignment horizontal="left" vertical="center"/>
    </xf>
    <xf numFmtId="0" fontId="10" fillId="0" borderId="12" xfId="0" applyFont="1" applyBorder="1" applyAlignment="1">
      <alignment horizontal="left"/>
    </xf>
    <xf numFmtId="0" fontId="4" fillId="0" borderId="13" xfId="0" applyFont="1" applyBorder="1"/>
    <xf numFmtId="0" fontId="13" fillId="10" borderId="7" xfId="0" applyFont="1" applyFill="1" applyBorder="1"/>
    <xf numFmtId="0" fontId="14" fillId="10" borderId="8" xfId="0" applyFont="1" applyFill="1" applyBorder="1"/>
    <xf numFmtId="0" fontId="13" fillId="10" borderId="8" xfId="0" applyFont="1" applyFill="1" applyBorder="1"/>
    <xf numFmtId="0" fontId="14" fillId="10" borderId="9" xfId="0" applyFont="1" applyFill="1" applyBorder="1"/>
    <xf numFmtId="0" fontId="15" fillId="10" borderId="10" xfId="0" applyFont="1" applyFill="1" applyBorder="1"/>
    <xf numFmtId="0" fontId="4" fillId="0" borderId="12" xfId="0" applyFont="1" applyBorder="1"/>
    <xf numFmtId="0" fontId="18" fillId="0" borderId="12" xfId="0" applyFont="1" applyBorder="1"/>
    <xf numFmtId="0" fontId="13" fillId="11" borderId="7" xfId="0" applyFont="1" applyFill="1" applyBorder="1"/>
    <xf numFmtId="0" fontId="14" fillId="11" borderId="8" xfId="0" applyFont="1" applyFill="1" applyBorder="1"/>
    <xf numFmtId="0" fontId="13" fillId="11" borderId="8" xfId="0" applyFont="1" applyFill="1" applyBorder="1"/>
    <xf numFmtId="0" fontId="13" fillId="11" borderId="9" xfId="0" applyFont="1" applyFill="1" applyBorder="1"/>
    <xf numFmtId="0" fontId="16" fillId="11" borderId="10" xfId="0" applyFont="1" applyFill="1" applyBorder="1"/>
    <xf numFmtId="0" fontId="13" fillId="12" borderId="7" xfId="0" applyFont="1" applyFill="1" applyBorder="1"/>
    <xf numFmtId="0" fontId="14" fillId="12" borderId="8" xfId="0" applyFont="1" applyFill="1" applyBorder="1"/>
    <xf numFmtId="0" fontId="13" fillId="12" borderId="8" xfId="0" applyFont="1" applyFill="1" applyBorder="1"/>
    <xf numFmtId="0" fontId="14" fillId="12" borderId="9" xfId="0" applyFont="1" applyFill="1" applyBorder="1"/>
    <xf numFmtId="0" fontId="15" fillId="12" borderId="10" xfId="0" applyFont="1" applyFill="1" applyBorder="1"/>
    <xf numFmtId="0" fontId="19" fillId="12" borderId="7" xfId="0" applyFont="1" applyFill="1" applyBorder="1"/>
    <xf numFmtId="0" fontId="19" fillId="13" borderId="7" xfId="0" applyFont="1" applyFill="1" applyBorder="1"/>
    <xf numFmtId="0" fontId="14" fillId="13" borderId="8" xfId="0" applyFont="1" applyFill="1" applyBorder="1"/>
    <xf numFmtId="0" fontId="19" fillId="13" borderId="8" xfId="0" applyFont="1" applyFill="1" applyBorder="1"/>
    <xf numFmtId="0" fontId="14" fillId="13" borderId="9" xfId="0" applyFont="1" applyFill="1" applyBorder="1"/>
    <xf numFmtId="0" fontId="15" fillId="13" borderId="10" xfId="0" applyFont="1" applyFill="1" applyBorder="1"/>
    <xf numFmtId="0" fontId="7" fillId="0" borderId="11" xfId="0" applyFont="1" applyBorder="1"/>
    <xf numFmtId="0" fontId="7" fillId="0" borderId="12" xfId="0" applyFont="1" applyBorder="1"/>
    <xf numFmtId="0" fontId="20" fillId="0" borderId="12" xfId="0" applyFont="1" applyBorder="1"/>
    <xf numFmtId="0" fontId="7" fillId="0" borderId="13" xfId="0" applyFont="1" applyBorder="1"/>
    <xf numFmtId="0" fontId="19" fillId="13" borderId="14" xfId="0" applyFont="1" applyFill="1" applyBorder="1"/>
    <xf numFmtId="0" fontId="14" fillId="13" borderId="15" xfId="0" applyFont="1" applyFill="1" applyBorder="1"/>
    <xf numFmtId="0" fontId="19" fillId="13" borderId="15" xfId="0" applyFont="1" applyFill="1" applyBorder="1"/>
    <xf numFmtId="0" fontId="14" fillId="13" borderId="16" xfId="0" applyFont="1" applyFill="1" applyBorder="1"/>
    <xf numFmtId="0" fontId="15" fillId="13" borderId="17" xfId="0" applyFont="1" applyFill="1" applyBorder="1"/>
    <xf numFmtId="0" fontId="21" fillId="14" borderId="18" xfId="0" applyFont="1" applyFill="1" applyBorder="1" applyAlignment="1">
      <alignment wrapText="1"/>
    </xf>
    <xf numFmtId="0" fontId="21" fillId="14" borderId="22" xfId="0" applyFont="1" applyFill="1" applyBorder="1" applyAlignment="1">
      <alignment wrapText="1"/>
    </xf>
    <xf numFmtId="0" fontId="21" fillId="14" borderId="22" xfId="0" applyFont="1" applyFill="1" applyBorder="1"/>
    <xf numFmtId="0" fontId="22" fillId="0" borderId="22" xfId="0" applyFont="1" applyBorder="1" applyAlignment="1">
      <alignment wrapText="1"/>
    </xf>
    <xf numFmtId="0" fontId="23" fillId="0" borderId="22" xfId="0" applyFont="1" applyBorder="1"/>
    <xf numFmtId="0" fontId="24" fillId="0" borderId="0" xfId="0" applyFont="1"/>
    <xf numFmtId="0" fontId="25" fillId="9" borderId="0" xfId="0" applyFont="1" applyFill="1" applyAlignment="1">
      <alignment horizontal="center" vertical="center"/>
    </xf>
    <xf numFmtId="164" fontId="25" fillId="9" borderId="0" xfId="0" applyNumberFormat="1" applyFont="1" applyFill="1" applyAlignment="1">
      <alignment horizontal="center" vertical="center"/>
    </xf>
    <xf numFmtId="0" fontId="26" fillId="0" borderId="0" xfId="0" applyFont="1" applyAlignment="1">
      <alignment vertical="center"/>
    </xf>
    <xf numFmtId="0" fontId="28" fillId="9" borderId="29" xfId="0" applyFont="1" applyFill="1" applyBorder="1" applyAlignment="1">
      <alignment horizontal="left" vertical="center"/>
    </xf>
    <xf numFmtId="164" fontId="26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30" fillId="3" borderId="39" xfId="0" applyFont="1" applyFill="1" applyBorder="1" applyAlignment="1">
      <alignment horizontal="center" vertical="center" wrapText="1"/>
    </xf>
    <xf numFmtId="164" fontId="30" fillId="3" borderId="12" xfId="0" applyNumberFormat="1" applyFont="1" applyFill="1" applyBorder="1" applyAlignment="1">
      <alignment horizontal="center" vertical="center" wrapText="1"/>
    </xf>
    <xf numFmtId="0" fontId="30" fillId="3" borderId="12" xfId="0" applyFont="1" applyFill="1" applyBorder="1" applyAlignment="1">
      <alignment horizontal="center" vertical="center" wrapText="1"/>
    </xf>
    <xf numFmtId="0" fontId="30" fillId="3" borderId="13" xfId="0" applyFont="1" applyFill="1" applyBorder="1" applyAlignment="1">
      <alignment horizontal="center" vertical="center" wrapText="1"/>
    </xf>
    <xf numFmtId="0" fontId="31" fillId="16" borderId="39" xfId="0" applyFont="1" applyFill="1" applyBorder="1" applyAlignment="1">
      <alignment horizontal="center" vertical="center" wrapText="1"/>
    </xf>
    <xf numFmtId="164" fontId="31" fillId="16" borderId="12" xfId="0" applyNumberFormat="1" applyFont="1" applyFill="1" applyBorder="1" applyAlignment="1">
      <alignment horizontal="center" vertical="center" wrapText="1"/>
    </xf>
    <xf numFmtId="0" fontId="31" fillId="16" borderId="12" xfId="0" applyFont="1" applyFill="1" applyBorder="1" applyAlignment="1">
      <alignment horizontal="center" vertical="center" wrapText="1"/>
    </xf>
    <xf numFmtId="0" fontId="31" fillId="16" borderId="13" xfId="0" applyFont="1" applyFill="1" applyBorder="1" applyAlignment="1">
      <alignment horizontal="center" vertical="center" wrapText="1"/>
    </xf>
    <xf numFmtId="0" fontId="31" fillId="17" borderId="39" xfId="0" applyFont="1" applyFill="1" applyBorder="1" applyAlignment="1">
      <alignment horizontal="center" vertical="center" wrapText="1"/>
    </xf>
    <xf numFmtId="164" fontId="31" fillId="17" borderId="12" xfId="0" applyNumberFormat="1" applyFont="1" applyFill="1" applyBorder="1" applyAlignment="1">
      <alignment horizontal="center" vertical="center" wrapText="1"/>
    </xf>
    <xf numFmtId="0" fontId="31" fillId="17" borderId="12" xfId="0" applyFont="1" applyFill="1" applyBorder="1" applyAlignment="1">
      <alignment horizontal="center" vertical="center" wrapText="1"/>
    </xf>
    <xf numFmtId="0" fontId="31" fillId="17" borderId="13" xfId="0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/>
    </xf>
    <xf numFmtId="0" fontId="26" fillId="2" borderId="12" xfId="0" applyFont="1" applyFill="1" applyBorder="1" applyAlignment="1">
      <alignment horizontal="center" vertical="center"/>
    </xf>
    <xf numFmtId="164" fontId="26" fillId="2" borderId="12" xfId="0" applyNumberFormat="1" applyFont="1" applyFill="1" applyBorder="1" applyAlignment="1">
      <alignment horizontal="center" vertical="center"/>
    </xf>
    <xf numFmtId="164" fontId="26" fillId="2" borderId="13" xfId="0" applyNumberFormat="1" applyFont="1" applyFill="1" applyBorder="1" applyAlignment="1">
      <alignment horizontal="center" vertical="center"/>
    </xf>
    <xf numFmtId="0" fontId="26" fillId="9" borderId="11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43" xfId="0" applyFont="1" applyFill="1" applyBorder="1" applyAlignment="1">
      <alignment horizontal="center" vertical="center"/>
    </xf>
    <xf numFmtId="164" fontId="26" fillId="9" borderId="12" xfId="0" applyNumberFormat="1" applyFont="1" applyFill="1" applyBorder="1" applyAlignment="1">
      <alignment horizontal="center" vertical="center"/>
    </xf>
    <xf numFmtId="0" fontId="29" fillId="0" borderId="13" xfId="0" applyFont="1" applyBorder="1" applyAlignment="1">
      <alignment vertical="center"/>
    </xf>
    <xf numFmtId="0" fontId="26" fillId="2" borderId="44" xfId="0" applyFont="1" applyFill="1" applyBorder="1" applyAlignment="1">
      <alignment horizontal="center" vertical="center"/>
    </xf>
    <xf numFmtId="0" fontId="26" fillId="2" borderId="45" xfId="0" applyFont="1" applyFill="1" applyBorder="1" applyAlignment="1">
      <alignment horizontal="center" vertical="center"/>
    </xf>
    <xf numFmtId="164" fontId="26" fillId="2" borderId="45" xfId="0" applyNumberFormat="1" applyFont="1" applyFill="1" applyBorder="1" applyAlignment="1">
      <alignment horizontal="center" vertical="center"/>
    </xf>
    <xf numFmtId="164" fontId="26" fillId="2" borderId="48" xfId="0" applyNumberFormat="1" applyFont="1" applyFill="1" applyBorder="1" applyAlignment="1">
      <alignment horizontal="center" vertical="center"/>
    </xf>
    <xf numFmtId="0" fontId="26" fillId="0" borderId="0" xfId="0" applyFont="1"/>
    <xf numFmtId="0" fontId="26" fillId="9" borderId="49" xfId="0" applyFont="1" applyFill="1" applyBorder="1" applyAlignment="1">
      <alignment horizontal="center" vertical="center"/>
    </xf>
    <xf numFmtId="0" fontId="26" fillId="9" borderId="50" xfId="0" applyFont="1" applyFill="1" applyBorder="1" applyAlignment="1">
      <alignment horizontal="center" vertical="center"/>
    </xf>
    <xf numFmtId="164" fontId="26" fillId="2" borderId="50" xfId="0" applyNumberFormat="1" applyFont="1" applyFill="1" applyBorder="1" applyAlignment="1">
      <alignment horizontal="center" vertical="center"/>
    </xf>
    <xf numFmtId="0" fontId="26" fillId="9" borderId="53" xfId="0" applyFont="1" applyFill="1" applyBorder="1" applyAlignment="1">
      <alignment horizontal="center" vertical="center"/>
    </xf>
    <xf numFmtId="0" fontId="26" fillId="9" borderId="38" xfId="0" applyFont="1" applyFill="1" applyBorder="1" applyAlignment="1">
      <alignment horizontal="center" vertical="center"/>
    </xf>
    <xf numFmtId="164" fontId="26" fillId="2" borderId="38" xfId="0" applyNumberFormat="1" applyFont="1" applyFill="1" applyBorder="1" applyAlignment="1">
      <alignment horizontal="center" vertical="center"/>
    </xf>
    <xf numFmtId="164" fontId="26" fillId="2" borderId="39" xfId="0" applyNumberFormat="1" applyFont="1" applyFill="1" applyBorder="1" applyAlignment="1">
      <alignment horizontal="center" vertical="center"/>
    </xf>
    <xf numFmtId="165" fontId="32" fillId="18" borderId="0" xfId="0" applyNumberFormat="1" applyFont="1" applyFill="1" applyAlignment="1">
      <alignment vertical="center"/>
    </xf>
    <xf numFmtId="0" fontId="26" fillId="9" borderId="44" xfId="0" applyFont="1" applyFill="1" applyBorder="1" applyAlignment="1">
      <alignment horizontal="center" vertical="center"/>
    </xf>
    <xf numFmtId="0" fontId="26" fillId="9" borderId="45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left" vertical="center"/>
    </xf>
    <xf numFmtId="164" fontId="26" fillId="9" borderId="0" xfId="0" applyNumberFormat="1" applyFont="1" applyFill="1" applyAlignment="1">
      <alignment horizontal="center" vertical="center"/>
    </xf>
    <xf numFmtId="3" fontId="26" fillId="0" borderId="0" xfId="0" applyNumberFormat="1" applyFont="1" applyAlignment="1">
      <alignment vertical="center"/>
    </xf>
    <xf numFmtId="0" fontId="29" fillId="0" borderId="56" xfId="0" applyFont="1" applyBorder="1" applyAlignment="1">
      <alignment vertical="center"/>
    </xf>
    <xf numFmtId="0" fontId="26" fillId="0" borderId="58" xfId="0" applyFont="1" applyBorder="1"/>
    <xf numFmtId="0" fontId="29" fillId="0" borderId="59" xfId="0" applyFont="1" applyBorder="1" applyAlignment="1">
      <alignment vertical="center"/>
    </xf>
    <xf numFmtId="164" fontId="34" fillId="3" borderId="70" xfId="0" applyNumberFormat="1" applyFont="1" applyFill="1" applyBorder="1" applyAlignment="1">
      <alignment horizontal="center" vertical="center"/>
    </xf>
    <xf numFmtId="164" fontId="34" fillId="3" borderId="71" xfId="0" applyNumberFormat="1" applyFont="1" applyFill="1" applyBorder="1" applyAlignment="1">
      <alignment horizontal="center" vertical="center"/>
    </xf>
    <xf numFmtId="164" fontId="31" fillId="16" borderId="70" xfId="0" applyNumberFormat="1" applyFont="1" applyFill="1" applyBorder="1" applyAlignment="1">
      <alignment horizontal="center" vertical="center"/>
    </xf>
    <xf numFmtId="164" fontId="31" fillId="16" borderId="71" xfId="0" applyNumberFormat="1" applyFont="1" applyFill="1" applyBorder="1" applyAlignment="1">
      <alignment horizontal="center" vertical="center"/>
    </xf>
    <xf numFmtId="164" fontId="31" fillId="17" borderId="70" xfId="0" applyNumberFormat="1" applyFont="1" applyFill="1" applyBorder="1" applyAlignment="1">
      <alignment horizontal="center" vertical="center"/>
    </xf>
    <xf numFmtId="164" fontId="31" fillId="17" borderId="71" xfId="0" applyNumberFormat="1" applyFont="1" applyFill="1" applyBorder="1" applyAlignment="1">
      <alignment horizontal="center" vertical="center"/>
    </xf>
    <xf numFmtId="0" fontId="26" fillId="0" borderId="72" xfId="0" applyFont="1" applyBorder="1" applyAlignment="1">
      <alignment vertical="center"/>
    </xf>
    <xf numFmtId="0" fontId="26" fillId="0" borderId="73" xfId="0" applyFont="1" applyBorder="1" applyAlignment="1">
      <alignment vertical="center" wrapText="1"/>
    </xf>
    <xf numFmtId="164" fontId="26" fillId="0" borderId="73" xfId="0" applyNumberFormat="1" applyFont="1" applyBorder="1" applyAlignment="1">
      <alignment vertical="center" wrapText="1"/>
    </xf>
    <xf numFmtId="164" fontId="26" fillId="0" borderId="76" xfId="0" applyNumberFormat="1" applyFont="1" applyBorder="1" applyAlignment="1">
      <alignment vertical="center" wrapText="1"/>
    </xf>
    <xf numFmtId="0" fontId="26" fillId="19" borderId="77" xfId="0" applyFont="1" applyFill="1" applyBorder="1" applyAlignment="1">
      <alignment vertical="center"/>
    </xf>
    <xf numFmtId="0" fontId="26" fillId="19" borderId="78" xfId="0" applyFont="1" applyFill="1" applyBorder="1" applyAlignment="1">
      <alignment vertical="center" wrapText="1"/>
    </xf>
    <xf numFmtId="164" fontId="26" fillId="19" borderId="78" xfId="0" applyNumberFormat="1" applyFont="1" applyFill="1" applyBorder="1" applyAlignment="1">
      <alignment vertical="center" wrapText="1"/>
    </xf>
    <xf numFmtId="164" fontId="26" fillId="19" borderId="81" xfId="0" applyNumberFormat="1" applyFont="1" applyFill="1" applyBorder="1" applyAlignment="1">
      <alignment vertical="center" wrapText="1"/>
    </xf>
    <xf numFmtId="0" fontId="26" fillId="0" borderId="77" xfId="0" applyFont="1" applyBorder="1" applyAlignment="1">
      <alignment vertical="center"/>
    </xf>
    <xf numFmtId="0" fontId="26" fillId="0" borderId="78" xfId="0" applyFont="1" applyBorder="1" applyAlignment="1">
      <alignment vertical="center" wrapText="1"/>
    </xf>
    <xf numFmtId="0" fontId="26" fillId="19" borderId="82" xfId="0" applyFont="1" applyFill="1" applyBorder="1" applyAlignment="1">
      <alignment vertical="center"/>
    </xf>
    <xf numFmtId="0" fontId="26" fillId="19" borderId="83" xfId="0" applyFont="1" applyFill="1" applyBorder="1" applyAlignment="1">
      <alignment vertical="center" wrapText="1"/>
    </xf>
    <xf numFmtId="164" fontId="26" fillId="19" borderId="83" xfId="0" applyNumberFormat="1" applyFont="1" applyFill="1" applyBorder="1" applyAlignment="1">
      <alignment vertical="center" wrapText="1"/>
    </xf>
    <xf numFmtId="164" fontId="26" fillId="19" borderId="86" xfId="0" applyNumberFormat="1" applyFont="1" applyFill="1" applyBorder="1" applyAlignment="1">
      <alignment vertical="center" wrapText="1"/>
    </xf>
    <xf numFmtId="0" fontId="26" fillId="20" borderId="0" xfId="0" applyFont="1" applyFill="1" applyAlignment="1">
      <alignment vertical="center"/>
    </xf>
    <xf numFmtId="164" fontId="26" fillId="20" borderId="0" xfId="0" applyNumberFormat="1" applyFont="1" applyFill="1" applyAlignment="1">
      <alignment vertical="center"/>
    </xf>
    <xf numFmtId="0" fontId="26" fillId="20" borderId="0" xfId="0" applyFont="1" applyFill="1" applyAlignment="1">
      <alignment horizontal="center" vertical="center"/>
    </xf>
    <xf numFmtId="0" fontId="26" fillId="20" borderId="0" xfId="0" applyFont="1" applyFill="1" applyAlignment="1">
      <alignment horizontal="left" vertical="center"/>
    </xf>
    <xf numFmtId="164" fontId="26" fillId="20" borderId="0" xfId="0" applyNumberFormat="1" applyFont="1" applyFill="1" applyAlignment="1">
      <alignment horizontal="center" vertical="center"/>
    </xf>
    <xf numFmtId="3" fontId="26" fillId="20" borderId="0" xfId="0" applyNumberFormat="1" applyFont="1" applyFill="1" applyAlignment="1">
      <alignment vertical="center"/>
    </xf>
    <xf numFmtId="0" fontId="25" fillId="9" borderId="24" xfId="0" applyFont="1" applyFill="1" applyBorder="1" applyAlignment="1">
      <alignment horizontal="center" vertical="center"/>
    </xf>
    <xf numFmtId="0" fontId="25" fillId="9" borderId="25" xfId="0" applyFont="1" applyFill="1" applyBorder="1" applyAlignment="1">
      <alignment horizontal="center" vertical="center"/>
    </xf>
    <xf numFmtId="3" fontId="29" fillId="0" borderId="0" xfId="0" applyNumberFormat="1" applyFont="1" applyAlignment="1">
      <alignment vertical="center"/>
    </xf>
    <xf numFmtId="0" fontId="25" fillId="9" borderId="26" xfId="0" applyFont="1" applyFill="1" applyBorder="1" applyAlignment="1">
      <alignment horizontal="center" vertical="center"/>
    </xf>
    <xf numFmtId="0" fontId="25" fillId="9" borderId="27" xfId="0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166" fontId="31" fillId="9" borderId="29" xfId="0" applyNumberFormat="1" applyFont="1" applyFill="1" applyBorder="1" applyAlignment="1">
      <alignment horizontal="right" vertical="center"/>
    </xf>
    <xf numFmtId="164" fontId="26" fillId="9" borderId="29" xfId="0" applyNumberFormat="1" applyFont="1" applyFill="1" applyBorder="1" applyAlignment="1">
      <alignment vertical="center"/>
    </xf>
    <xf numFmtId="166" fontId="30" fillId="9" borderId="29" xfId="0" applyNumberFormat="1" applyFont="1" applyFill="1" applyBorder="1" applyAlignment="1">
      <alignment horizontal="right" vertical="center"/>
    </xf>
    <xf numFmtId="166" fontId="30" fillId="9" borderId="0" xfId="0" applyNumberFormat="1" applyFont="1" applyFill="1" applyAlignment="1">
      <alignment horizontal="right" vertical="center"/>
    </xf>
    <xf numFmtId="0" fontId="36" fillId="9" borderId="0" xfId="0" applyFont="1" applyFill="1" applyAlignment="1">
      <alignment horizontal="center" vertical="center" wrapText="1"/>
    </xf>
    <xf numFmtId="0" fontId="30" fillId="3" borderId="11" xfId="0" applyFont="1" applyFill="1" applyBorder="1" applyAlignment="1">
      <alignment horizontal="center" vertical="center" wrapText="1"/>
    </xf>
    <xf numFmtId="0" fontId="30" fillId="3" borderId="43" xfId="0" applyFont="1" applyFill="1" applyBorder="1" applyAlignment="1">
      <alignment horizontal="center" vertical="center" wrapText="1"/>
    </xf>
    <xf numFmtId="0" fontId="31" fillId="16" borderId="11" xfId="0" applyFont="1" applyFill="1" applyBorder="1" applyAlignment="1">
      <alignment horizontal="center" vertical="center" wrapText="1"/>
    </xf>
    <xf numFmtId="0" fontId="31" fillId="16" borderId="43" xfId="0" applyFont="1" applyFill="1" applyBorder="1" applyAlignment="1">
      <alignment horizontal="center" vertical="center" wrapText="1"/>
    </xf>
    <xf numFmtId="0" fontId="31" fillId="17" borderId="11" xfId="0" applyFont="1" applyFill="1" applyBorder="1" applyAlignment="1">
      <alignment horizontal="center" vertical="center" wrapText="1"/>
    </xf>
    <xf numFmtId="0" fontId="31" fillId="17" borderId="43" xfId="0" applyFont="1" applyFill="1" applyBorder="1" applyAlignment="1">
      <alignment horizontal="center" vertical="center" wrapText="1"/>
    </xf>
    <xf numFmtId="0" fontId="37" fillId="9" borderId="12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vertical="center"/>
    </xf>
    <xf numFmtId="0" fontId="26" fillId="9" borderId="12" xfId="0" applyFont="1" applyFill="1" applyBorder="1" applyAlignment="1">
      <alignment horizontal="left" vertical="center"/>
    </xf>
    <xf numFmtId="164" fontId="26" fillId="0" borderId="11" xfId="0" applyNumberFormat="1" applyFont="1" applyBorder="1" applyAlignment="1">
      <alignment horizontal="center" vertical="center"/>
    </xf>
    <xf numFmtId="164" fontId="26" fillId="0" borderId="12" xfId="0" applyNumberFormat="1" applyFont="1" applyBorder="1" applyAlignment="1">
      <alignment horizontal="center" vertical="center"/>
    </xf>
    <xf numFmtId="164" fontId="28" fillId="0" borderId="12" xfId="0" applyNumberFormat="1" applyFont="1" applyBorder="1" applyAlignment="1">
      <alignment horizontal="center" vertical="center"/>
    </xf>
    <xf numFmtId="164" fontId="28" fillId="0" borderId="43" xfId="0" applyNumberFormat="1" applyFont="1" applyBorder="1" applyAlignment="1">
      <alignment horizontal="center" vertical="center"/>
    </xf>
    <xf numFmtId="164" fontId="26" fillId="23" borderId="43" xfId="0" applyNumberFormat="1" applyFont="1" applyFill="1" applyBorder="1" applyAlignment="1">
      <alignment horizontal="center" vertical="center"/>
    </xf>
    <xf numFmtId="164" fontId="28" fillId="23" borderId="13" xfId="0" applyNumberFormat="1" applyFont="1" applyFill="1" applyBorder="1" applyAlignment="1">
      <alignment horizontal="center" vertical="center"/>
    </xf>
    <xf numFmtId="9" fontId="29" fillId="0" borderId="0" xfId="0" applyNumberFormat="1" applyFont="1" applyAlignment="1">
      <alignment vertical="center"/>
    </xf>
    <xf numFmtId="0" fontId="31" fillId="21" borderId="41" xfId="0" applyFont="1" applyFill="1" applyBorder="1" applyAlignment="1">
      <alignment horizontal="center" vertical="center"/>
    </xf>
    <xf numFmtId="0" fontId="31" fillId="21" borderId="55" xfId="0" applyFont="1" applyFill="1" applyBorder="1" applyAlignment="1">
      <alignment horizontal="center" vertical="center" wrapText="1"/>
    </xf>
    <xf numFmtId="0" fontId="31" fillId="21" borderId="0" xfId="0" applyFont="1" applyFill="1" applyAlignment="1">
      <alignment horizontal="center" vertical="center" wrapText="1"/>
    </xf>
    <xf numFmtId="0" fontId="30" fillId="24" borderId="55" xfId="0" applyFont="1" applyFill="1" applyBorder="1" applyAlignment="1">
      <alignment horizontal="center" vertical="center" wrapText="1"/>
    </xf>
    <xf numFmtId="0" fontId="38" fillId="25" borderId="0" xfId="0" applyFont="1" applyFill="1" applyAlignment="1">
      <alignment horizontal="center" vertical="center" wrapText="1"/>
    </xf>
    <xf numFmtId="0" fontId="31" fillId="18" borderId="0" xfId="0" applyFont="1" applyFill="1" applyAlignment="1">
      <alignment horizontal="center" vertical="center" wrapText="1"/>
    </xf>
    <xf numFmtId="0" fontId="26" fillId="18" borderId="0" xfId="0" applyFont="1" applyFill="1" applyAlignment="1">
      <alignment vertical="center"/>
    </xf>
    <xf numFmtId="0" fontId="26" fillId="18" borderId="56" xfId="0" applyFont="1" applyFill="1" applyBorder="1" applyAlignment="1">
      <alignment vertical="center"/>
    </xf>
    <xf numFmtId="0" fontId="30" fillId="24" borderId="30" xfId="0" applyFont="1" applyFill="1" applyBorder="1" applyAlignment="1">
      <alignment horizontal="center" vertical="center" wrapText="1"/>
    </xf>
    <xf numFmtId="0" fontId="38" fillId="25" borderId="31" xfId="0" applyFont="1" applyFill="1" applyBorder="1" applyAlignment="1">
      <alignment horizontal="center" vertical="center" wrapText="1"/>
    </xf>
    <xf numFmtId="0" fontId="31" fillId="18" borderId="31" xfId="0" applyFont="1" applyFill="1" applyBorder="1" applyAlignment="1">
      <alignment horizontal="center" vertical="center" wrapText="1"/>
    </xf>
    <xf numFmtId="0" fontId="31" fillId="18" borderId="54" xfId="0" applyFont="1" applyFill="1" applyBorder="1" applyAlignment="1">
      <alignment horizontal="center" vertical="center" wrapText="1"/>
    </xf>
    <xf numFmtId="164" fontId="28" fillId="0" borderId="13" xfId="0" applyNumberFormat="1" applyFont="1" applyBorder="1" applyAlignment="1">
      <alignment horizontal="center" vertical="center"/>
    </xf>
    <xf numFmtId="0" fontId="37" fillId="9" borderId="45" xfId="0" applyFont="1" applyFill="1" applyBorder="1" applyAlignment="1">
      <alignment horizontal="center" vertical="center"/>
    </xf>
    <xf numFmtId="0" fontId="26" fillId="9" borderId="45" xfId="0" applyFont="1" applyFill="1" applyBorder="1" applyAlignment="1">
      <alignment vertical="center"/>
    </xf>
    <xf numFmtId="0" fontId="26" fillId="9" borderId="45" xfId="0" applyFont="1" applyFill="1" applyBorder="1" applyAlignment="1">
      <alignment horizontal="left" vertical="center"/>
    </xf>
    <xf numFmtId="0" fontId="26" fillId="9" borderId="46" xfId="0" applyFont="1" applyFill="1" applyBorder="1" applyAlignment="1">
      <alignment horizontal="center" vertical="center"/>
    </xf>
    <xf numFmtId="164" fontId="26" fillId="0" borderId="44" xfId="0" applyNumberFormat="1" applyFont="1" applyBorder="1" applyAlignment="1">
      <alignment horizontal="center" vertical="center"/>
    </xf>
    <xf numFmtId="164" fontId="26" fillId="0" borderId="45" xfId="0" applyNumberFormat="1" applyFont="1" applyBorder="1" applyAlignment="1">
      <alignment horizontal="center" vertical="center"/>
    </xf>
    <xf numFmtId="164" fontId="28" fillId="0" borderId="45" xfId="0" applyNumberFormat="1" applyFont="1" applyBorder="1" applyAlignment="1">
      <alignment horizontal="center" vertical="center"/>
    </xf>
    <xf numFmtId="164" fontId="28" fillId="0" borderId="48" xfId="0" applyNumberFormat="1" applyFont="1" applyBorder="1" applyAlignment="1">
      <alignment horizontal="center" vertical="center"/>
    </xf>
    <xf numFmtId="0" fontId="26" fillId="18" borderId="31" xfId="0" applyFont="1" applyFill="1" applyBorder="1" applyAlignment="1">
      <alignment vertical="center"/>
    </xf>
    <xf numFmtId="0" fontId="26" fillId="18" borderId="54" xfId="0" applyFont="1" applyFill="1" applyBorder="1" applyAlignment="1">
      <alignment vertical="center"/>
    </xf>
    <xf numFmtId="0" fontId="26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vertical="center"/>
    </xf>
    <xf numFmtId="0" fontId="26" fillId="0" borderId="12" xfId="0" applyFont="1" applyBorder="1" applyAlignment="1">
      <alignment horizontal="left" vertical="center"/>
    </xf>
    <xf numFmtId="0" fontId="26" fillId="0" borderId="43" xfId="0" applyFont="1" applyBorder="1" applyAlignment="1">
      <alignment horizontal="center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11" xfId="0" applyNumberFormat="1" applyFont="1" applyBorder="1" applyAlignment="1">
      <alignment vertical="center"/>
    </xf>
    <xf numFmtId="164" fontId="26" fillId="0" borderId="12" xfId="0" applyNumberFormat="1" applyFont="1" applyBorder="1" applyAlignment="1">
      <alignment vertical="center"/>
    </xf>
    <xf numFmtId="3" fontId="26" fillId="0" borderId="13" xfId="0" applyNumberFormat="1" applyFont="1" applyBorder="1" applyAlignment="1">
      <alignment vertical="center"/>
    </xf>
    <xf numFmtId="0" fontId="26" fillId="0" borderId="49" xfId="0" applyFont="1" applyBorder="1" applyAlignment="1">
      <alignment horizontal="center" vertical="center"/>
    </xf>
    <xf numFmtId="0" fontId="37" fillId="0" borderId="50" xfId="0" applyFont="1" applyBorder="1" applyAlignment="1">
      <alignment horizontal="center" vertical="center"/>
    </xf>
    <xf numFmtId="0" fontId="26" fillId="0" borderId="50" xfId="0" applyFont="1" applyBorder="1" applyAlignment="1">
      <alignment vertical="center"/>
    </xf>
    <xf numFmtId="0" fontId="26" fillId="0" borderId="51" xfId="0" applyFont="1" applyBorder="1" applyAlignment="1">
      <alignment horizontal="center" vertical="center"/>
    </xf>
    <xf numFmtId="164" fontId="26" fillId="0" borderId="49" xfId="0" applyNumberFormat="1" applyFont="1" applyBorder="1" applyAlignment="1">
      <alignment vertical="center"/>
    </xf>
    <xf numFmtId="164" fontId="26" fillId="0" borderId="50" xfId="0" applyNumberFormat="1" applyFont="1" applyBorder="1" applyAlignment="1">
      <alignment vertical="center"/>
    </xf>
    <xf numFmtId="3" fontId="26" fillId="0" borderId="94" xfId="0" applyNumberFormat="1" applyFont="1" applyBorder="1" applyAlignment="1">
      <alignment vertical="center"/>
    </xf>
    <xf numFmtId="0" fontId="31" fillId="21" borderId="95" xfId="0" applyFont="1" applyFill="1" applyBorder="1" applyAlignment="1">
      <alignment horizontal="left" vertical="center"/>
    </xf>
    <xf numFmtId="0" fontId="31" fillId="21" borderId="96" xfId="0" applyFont="1" applyFill="1" applyBorder="1" applyAlignment="1">
      <alignment horizontal="left" vertical="center"/>
    </xf>
    <xf numFmtId="0" fontId="31" fillId="21" borderId="44" xfId="0" applyFont="1" applyFill="1" applyBorder="1" applyAlignment="1">
      <alignment horizontal="left" vertical="center"/>
    </xf>
    <xf numFmtId="164" fontId="31" fillId="21" borderId="46" xfId="0" applyNumberFormat="1" applyFont="1" applyFill="1" applyBorder="1" applyAlignment="1">
      <alignment horizontal="right" vertical="center"/>
    </xf>
    <xf numFmtId="164" fontId="31" fillId="21" borderId="96" xfId="0" applyNumberFormat="1" applyFont="1" applyFill="1" applyBorder="1" applyAlignment="1">
      <alignment horizontal="right" vertical="center"/>
    </xf>
    <xf numFmtId="164" fontId="31" fillId="21" borderId="97" xfId="0" applyNumberFormat="1" applyFont="1" applyFill="1" applyBorder="1" applyAlignment="1">
      <alignment horizontal="right" vertical="center"/>
    </xf>
    <xf numFmtId="0" fontId="39" fillId="9" borderId="98" xfId="0" applyFont="1" applyFill="1" applyBorder="1" applyAlignment="1">
      <alignment vertical="center"/>
    </xf>
    <xf numFmtId="0" fontId="40" fillId="9" borderId="98" xfId="0" applyFont="1" applyFill="1" applyBorder="1" applyAlignment="1">
      <alignment horizontal="left" vertical="center" wrapText="1"/>
    </xf>
    <xf numFmtId="164" fontId="41" fillId="9" borderId="98" xfId="0" applyNumberFormat="1" applyFont="1" applyFill="1" applyBorder="1" applyAlignment="1">
      <alignment vertical="center"/>
    </xf>
    <xf numFmtId="164" fontId="41" fillId="9" borderId="0" xfId="0" applyNumberFormat="1" applyFont="1" applyFill="1" applyAlignment="1">
      <alignment vertical="center"/>
    </xf>
    <xf numFmtId="0" fontId="40" fillId="9" borderId="0" xfId="0" applyFont="1" applyFill="1" applyAlignment="1">
      <alignment horizontal="center" vertical="center" wrapText="1"/>
    </xf>
    <xf numFmtId="0" fontId="40" fillId="9" borderId="0" xfId="0" applyFont="1" applyFill="1" applyAlignment="1">
      <alignment horizontal="left" vertical="center" wrapText="1"/>
    </xf>
    <xf numFmtId="0" fontId="25" fillId="9" borderId="0" xfId="0" applyFont="1" applyFill="1" applyAlignment="1">
      <alignment horizontal="left" vertical="center" wrapText="1"/>
    </xf>
    <xf numFmtId="164" fontId="29" fillId="0" borderId="0" xfId="0" applyNumberFormat="1" applyFont="1" applyAlignment="1">
      <alignment vertical="center"/>
    </xf>
    <xf numFmtId="0" fontId="26" fillId="9" borderId="0" xfId="0" applyFont="1" applyFill="1" applyAlignment="1">
      <alignment vertical="center"/>
    </xf>
    <xf numFmtId="164" fontId="30" fillId="2" borderId="0" xfId="0" applyNumberFormat="1" applyFont="1" applyFill="1" applyAlignment="1">
      <alignment vertical="center"/>
    </xf>
    <xf numFmtId="164" fontId="26" fillId="9" borderId="0" xfId="0" applyNumberFormat="1" applyFont="1" applyFill="1" applyAlignment="1">
      <alignment vertical="center"/>
    </xf>
    <xf numFmtId="0" fontId="25" fillId="20" borderId="0" xfId="0" applyFont="1" applyFill="1" applyAlignment="1">
      <alignment horizontal="center" vertical="center"/>
    </xf>
    <xf numFmtId="3" fontId="29" fillId="20" borderId="0" xfId="0" applyNumberFormat="1" applyFont="1" applyFill="1" applyAlignment="1">
      <alignment vertical="center"/>
    </xf>
    <xf numFmtId="0" fontId="29" fillId="20" borderId="0" xfId="0" applyFont="1" applyFill="1" applyAlignment="1">
      <alignment vertical="center"/>
    </xf>
    <xf numFmtId="166" fontId="31" fillId="9" borderId="103" xfId="0" applyNumberFormat="1" applyFont="1" applyFill="1" applyBorder="1" applyAlignment="1">
      <alignment horizontal="right" vertical="center"/>
    </xf>
    <xf numFmtId="164" fontId="26" fillId="9" borderId="103" xfId="0" applyNumberFormat="1" applyFont="1" applyFill="1" applyBorder="1" applyAlignment="1">
      <alignment vertical="center"/>
    </xf>
    <xf numFmtId="166" fontId="30" fillId="9" borderId="103" xfId="0" applyNumberFormat="1" applyFont="1" applyFill="1" applyBorder="1" applyAlignment="1">
      <alignment horizontal="right" vertical="center"/>
    </xf>
    <xf numFmtId="0" fontId="36" fillId="15" borderId="0" xfId="0" applyFont="1" applyFill="1" applyAlignment="1">
      <alignment horizontal="center" vertical="center" wrapText="1"/>
    </xf>
    <xf numFmtId="0" fontId="25" fillId="3" borderId="0" xfId="0" applyFont="1" applyFill="1" applyAlignment="1">
      <alignment horizontal="center" vertical="center"/>
    </xf>
    <xf numFmtId="0" fontId="30" fillId="3" borderId="12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0" fontId="31" fillId="21" borderId="0" xfId="0" applyFont="1" applyFill="1" applyAlignment="1">
      <alignment horizontal="center" vertical="center"/>
    </xf>
    <xf numFmtId="164" fontId="26" fillId="7" borderId="12" xfId="0" applyNumberFormat="1" applyFont="1" applyFill="1" applyBorder="1" applyAlignment="1">
      <alignment horizontal="center" vertical="center"/>
    </xf>
    <xf numFmtId="164" fontId="26" fillId="7" borderId="43" xfId="0" applyNumberFormat="1" applyFont="1" applyFill="1" applyBorder="1" applyAlignment="1">
      <alignment horizontal="center" vertical="center"/>
    </xf>
    <xf numFmtId="164" fontId="26" fillId="7" borderId="13" xfId="0" applyNumberFormat="1" applyFont="1" applyFill="1" applyBorder="1" applyAlignment="1">
      <alignment horizontal="center" vertical="center"/>
    </xf>
    <xf numFmtId="164" fontId="26" fillId="7" borderId="0" xfId="0" applyNumberFormat="1" applyFont="1" applyFill="1" applyAlignment="1">
      <alignment horizontal="center" vertical="center"/>
    </xf>
    <xf numFmtId="164" fontId="26" fillId="26" borderId="13" xfId="0" applyNumberFormat="1" applyFont="1" applyFill="1" applyBorder="1" applyAlignment="1">
      <alignment horizontal="center" vertical="center"/>
    </xf>
    <xf numFmtId="164" fontId="26" fillId="26" borderId="0" xfId="0" applyNumberFormat="1" applyFont="1" applyFill="1" applyAlignment="1">
      <alignment horizontal="center" vertical="center"/>
    </xf>
    <xf numFmtId="164" fontId="26" fillId="0" borderId="12" xfId="0" applyNumberFormat="1" applyFont="1" applyBorder="1" applyAlignment="1">
      <alignment horizontal="left" vertical="center"/>
    </xf>
    <xf numFmtId="0" fontId="29" fillId="26" borderId="0" xfId="0" applyFont="1" applyFill="1" applyAlignment="1">
      <alignment vertical="center"/>
    </xf>
    <xf numFmtId="0" fontId="26" fillId="3" borderId="12" xfId="0" applyFont="1" applyFill="1" applyBorder="1" applyAlignment="1">
      <alignment horizontal="center" vertical="center"/>
    </xf>
    <xf numFmtId="164" fontId="26" fillId="9" borderId="43" xfId="0" applyNumberFormat="1" applyFont="1" applyFill="1" applyBorder="1" applyAlignment="1">
      <alignment horizontal="center" vertical="center"/>
    </xf>
    <xf numFmtId="164" fontId="26" fillId="9" borderId="13" xfId="0" applyNumberFormat="1" applyFont="1" applyFill="1" applyBorder="1" applyAlignment="1">
      <alignment horizontal="center" vertical="center"/>
    </xf>
    <xf numFmtId="164" fontId="31" fillId="21" borderId="0" xfId="0" applyNumberFormat="1" applyFont="1" applyFill="1" applyAlignment="1">
      <alignment horizontal="right" vertical="center"/>
    </xf>
    <xf numFmtId="0" fontId="39" fillId="9" borderId="103" xfId="0" applyFont="1" applyFill="1" applyBorder="1" applyAlignment="1">
      <alignment vertical="center"/>
    </xf>
    <xf numFmtId="0" fontId="40" fillId="9" borderId="103" xfId="0" applyFont="1" applyFill="1" applyBorder="1" applyAlignment="1">
      <alignment horizontal="left" vertical="center" wrapText="1"/>
    </xf>
    <xf numFmtId="164" fontId="41" fillId="9" borderId="103" xfId="0" applyNumberFormat="1" applyFont="1" applyFill="1" applyBorder="1" applyAlignment="1">
      <alignment vertical="center"/>
    </xf>
    <xf numFmtId="0" fontId="40" fillId="9" borderId="111" xfId="0" applyFont="1" applyFill="1" applyBorder="1" applyAlignment="1">
      <alignment horizontal="center" vertical="center" wrapText="1"/>
    </xf>
    <xf numFmtId="0" fontId="26" fillId="9" borderId="103" xfId="0" applyFont="1" applyFill="1" applyBorder="1" applyAlignment="1">
      <alignment vertical="center"/>
    </xf>
    <xf numFmtId="164" fontId="30" fillId="2" borderId="103" xfId="0" applyNumberFormat="1" applyFont="1" applyFill="1" applyBorder="1" applyAlignment="1">
      <alignment vertical="center"/>
    </xf>
    <xf numFmtId="0" fontId="26" fillId="9" borderId="103" xfId="0" applyFont="1" applyFill="1" applyBorder="1" applyAlignment="1">
      <alignment horizontal="center" vertical="center"/>
    </xf>
    <xf numFmtId="164" fontId="26" fillId="3" borderId="12" xfId="0" applyNumberFormat="1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30" fillId="3" borderId="4" xfId="0" applyFont="1" applyFill="1" applyBorder="1" applyAlignment="1">
      <alignment horizontal="center" vertical="center"/>
    </xf>
    <xf numFmtId="0" fontId="30" fillId="3" borderId="33" xfId="0" applyFont="1" applyFill="1" applyBorder="1" applyAlignment="1">
      <alignment horizontal="center" vertical="center"/>
    </xf>
    <xf numFmtId="164" fontId="30" fillId="9" borderId="0" xfId="0" applyNumberFormat="1" applyFont="1" applyFill="1" applyAlignment="1">
      <alignment horizontal="center" vertical="center"/>
    </xf>
    <xf numFmtId="0" fontId="30" fillId="3" borderId="11" xfId="0" applyFont="1" applyFill="1" applyBorder="1" applyAlignment="1">
      <alignment horizontal="center" vertical="center"/>
    </xf>
    <xf numFmtId="0" fontId="31" fillId="16" borderId="39" xfId="0" applyFont="1" applyFill="1" applyBorder="1" applyAlignment="1">
      <alignment horizontal="center" vertical="center"/>
    </xf>
    <xf numFmtId="0" fontId="31" fillId="16" borderId="12" xfId="0" applyFont="1" applyFill="1" applyBorder="1" applyAlignment="1">
      <alignment horizontal="center" vertical="center"/>
    </xf>
    <xf numFmtId="0" fontId="31" fillId="17" borderId="12" xfId="0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12" xfId="0" applyFont="1" applyBorder="1" applyAlignment="1">
      <alignment vertical="center"/>
    </xf>
    <xf numFmtId="3" fontId="29" fillId="0" borderId="43" xfId="0" applyNumberFormat="1" applyFont="1" applyBorder="1" applyAlignment="1">
      <alignment horizontal="center" vertical="center"/>
    </xf>
    <xf numFmtId="3" fontId="36" fillId="0" borderId="11" xfId="0" applyNumberFormat="1" applyFont="1" applyBorder="1" applyAlignment="1">
      <alignment horizontal="right" vertical="center"/>
    </xf>
    <xf numFmtId="3" fontId="28" fillId="7" borderId="12" xfId="0" applyNumberFormat="1" applyFont="1" applyFill="1" applyBorder="1" applyAlignment="1">
      <alignment horizontal="right" vertical="center"/>
    </xf>
    <xf numFmtId="3" fontId="36" fillId="0" borderId="12" xfId="0" applyNumberFormat="1" applyFont="1" applyBorder="1" applyAlignment="1">
      <alignment horizontal="right" vertical="center"/>
    </xf>
    <xf numFmtId="0" fontId="25" fillId="9" borderId="13" xfId="0" applyFont="1" applyFill="1" applyBorder="1" applyAlignment="1">
      <alignment horizontal="center" vertical="center"/>
    </xf>
    <xf numFmtId="3" fontId="36" fillId="0" borderId="39" xfId="0" applyNumberFormat="1" applyFont="1" applyBorder="1" applyAlignment="1">
      <alignment horizontal="right" vertical="center"/>
    </xf>
    <xf numFmtId="165" fontId="43" fillId="28" borderId="0" xfId="0" applyNumberFormat="1" applyFont="1" applyFill="1" applyAlignment="1">
      <alignment horizontal="right" vertical="center" wrapText="1"/>
    </xf>
    <xf numFmtId="3" fontId="28" fillId="0" borderId="12" xfId="0" applyNumberFormat="1" applyFont="1" applyBorder="1" applyAlignment="1">
      <alignment horizontal="right" vertical="center"/>
    </xf>
    <xf numFmtId="0" fontId="28" fillId="9" borderId="13" xfId="0" applyFont="1" applyFill="1" applyBorder="1" applyAlignment="1">
      <alignment horizontal="center" vertical="center"/>
    </xf>
    <xf numFmtId="3" fontId="28" fillId="0" borderId="39" xfId="0" applyNumberFormat="1" applyFont="1" applyBorder="1" applyAlignment="1">
      <alignment horizontal="right" vertical="center"/>
    </xf>
    <xf numFmtId="0" fontId="25" fillId="3" borderId="13" xfId="0" applyFont="1" applyFill="1" applyBorder="1" applyAlignment="1">
      <alignment horizontal="center" vertical="center"/>
    </xf>
    <xf numFmtId="0" fontId="28" fillId="16" borderId="13" xfId="0" applyFont="1" applyFill="1" applyBorder="1" applyAlignment="1">
      <alignment horizontal="center" vertical="center"/>
    </xf>
    <xf numFmtId="0" fontId="28" fillId="17" borderId="13" xfId="0" applyFont="1" applyFill="1" applyBorder="1" applyAlignment="1">
      <alignment horizontal="center" vertical="center"/>
    </xf>
    <xf numFmtId="3" fontId="43" fillId="28" borderId="0" xfId="0" applyNumberFormat="1" applyFont="1" applyFill="1" applyAlignment="1">
      <alignment horizontal="right" vertical="center" wrapText="1"/>
    </xf>
    <xf numFmtId="3" fontId="36" fillId="29" borderId="12" xfId="0" applyNumberFormat="1" applyFont="1" applyFill="1" applyBorder="1" applyAlignment="1">
      <alignment horizontal="right" vertical="center"/>
    </xf>
    <xf numFmtId="3" fontId="28" fillId="29" borderId="12" xfId="0" applyNumberFormat="1" applyFont="1" applyFill="1" applyBorder="1" applyAlignment="1">
      <alignment horizontal="right" vertical="center"/>
    </xf>
    <xf numFmtId="0" fontId="29" fillId="2" borderId="12" xfId="0" applyFont="1" applyFill="1" applyBorder="1" applyAlignment="1">
      <alignment vertical="center"/>
    </xf>
    <xf numFmtId="0" fontId="26" fillId="2" borderId="12" xfId="0" applyFont="1" applyFill="1" applyBorder="1" applyAlignment="1">
      <alignment vertical="center"/>
    </xf>
    <xf numFmtId="0" fontId="26" fillId="3" borderId="43" xfId="0" applyFont="1" applyFill="1" applyBorder="1" applyAlignment="1">
      <alignment vertical="center"/>
    </xf>
    <xf numFmtId="3" fontId="26" fillId="0" borderId="43" xfId="0" applyNumberFormat="1" applyFont="1" applyBorder="1" applyAlignment="1">
      <alignment horizontal="center" vertical="center" wrapText="1"/>
    </xf>
    <xf numFmtId="3" fontId="28" fillId="0" borderId="11" xfId="0" applyNumberFormat="1" applyFont="1" applyBorder="1" applyAlignment="1">
      <alignment horizontal="right" vertical="center"/>
    </xf>
    <xf numFmtId="3" fontId="44" fillId="0" borderId="11" xfId="0" applyNumberFormat="1" applyFont="1" applyBorder="1" applyAlignment="1">
      <alignment horizontal="right" vertical="center"/>
    </xf>
    <xf numFmtId="0" fontId="35" fillId="2" borderId="11" xfId="0" applyFont="1" applyFill="1" applyBorder="1" applyAlignment="1">
      <alignment horizontal="center" vertical="center"/>
    </xf>
    <xf numFmtId="0" fontId="35" fillId="2" borderId="12" xfId="0" applyFont="1" applyFill="1" applyBorder="1" applyAlignment="1">
      <alignment vertical="center"/>
    </xf>
    <xf numFmtId="3" fontId="35" fillId="0" borderId="43" xfId="0" applyNumberFormat="1" applyFont="1" applyBorder="1" applyAlignment="1">
      <alignment horizontal="center" vertical="center" wrapText="1"/>
    </xf>
    <xf numFmtId="0" fontId="35" fillId="9" borderId="0" xfId="0" applyFont="1" applyFill="1" applyAlignment="1">
      <alignment vertical="center"/>
    </xf>
    <xf numFmtId="3" fontId="25" fillId="0" borderId="12" xfId="0" applyNumberFormat="1" applyFont="1" applyBorder="1" applyAlignment="1">
      <alignment horizontal="right" vertical="center"/>
    </xf>
    <xf numFmtId="0" fontId="31" fillId="16" borderId="13" xfId="0" applyFont="1" applyFill="1" applyBorder="1" applyAlignment="1">
      <alignment horizontal="center" vertical="center"/>
    </xf>
    <xf numFmtId="0" fontId="31" fillId="17" borderId="13" xfId="0" applyFont="1" applyFill="1" applyBorder="1" applyAlignment="1">
      <alignment horizontal="center" vertical="center"/>
    </xf>
    <xf numFmtId="0" fontId="26" fillId="3" borderId="44" xfId="0" applyFont="1" applyFill="1" applyBorder="1" applyAlignment="1">
      <alignment vertical="center"/>
    </xf>
    <xf numFmtId="0" fontId="26" fillId="3" borderId="45" xfId="0" applyFont="1" applyFill="1" applyBorder="1" applyAlignment="1">
      <alignment vertical="center"/>
    </xf>
    <xf numFmtId="0" fontId="26" fillId="3" borderId="46" xfId="0" applyFont="1" applyFill="1" applyBorder="1" applyAlignment="1">
      <alignment vertical="center"/>
    </xf>
    <xf numFmtId="0" fontId="25" fillId="3" borderId="44" xfId="0" applyFont="1" applyFill="1" applyBorder="1" applyAlignment="1">
      <alignment vertical="center"/>
    </xf>
    <xf numFmtId="3" fontId="25" fillId="3" borderId="45" xfId="0" applyNumberFormat="1" applyFont="1" applyFill="1" applyBorder="1" applyAlignment="1">
      <alignment horizontal="right" vertical="center"/>
    </xf>
    <xf numFmtId="0" fontId="26" fillId="3" borderId="48" xfId="0" applyFont="1" applyFill="1" applyBorder="1" applyAlignment="1">
      <alignment vertical="center"/>
    </xf>
    <xf numFmtId="0" fontId="25" fillId="16" borderId="47" xfId="0" applyFont="1" applyFill="1" applyBorder="1" applyAlignment="1">
      <alignment vertical="center"/>
    </xf>
    <xf numFmtId="3" fontId="25" fillId="16" borderId="45" xfId="0" applyNumberFormat="1" applyFont="1" applyFill="1" applyBorder="1" applyAlignment="1">
      <alignment horizontal="right" vertical="center"/>
    </xf>
    <xf numFmtId="0" fontId="26" fillId="16" borderId="45" xfId="0" applyFont="1" applyFill="1" applyBorder="1" applyAlignment="1">
      <alignment vertical="center"/>
    </xf>
    <xf numFmtId="0" fontId="26" fillId="16" borderId="48" xfId="0" applyFont="1" applyFill="1" applyBorder="1" applyAlignment="1">
      <alignment vertical="center"/>
    </xf>
    <xf numFmtId="0" fontId="25" fillId="17" borderId="45" xfId="0" applyFont="1" applyFill="1" applyBorder="1" applyAlignment="1">
      <alignment vertical="center"/>
    </xf>
    <xf numFmtId="3" fontId="25" fillId="17" borderId="45" xfId="0" applyNumberFormat="1" applyFont="1" applyFill="1" applyBorder="1" applyAlignment="1">
      <alignment horizontal="right" vertical="center"/>
    </xf>
    <xf numFmtId="0" fontId="26" fillId="17" borderId="45" xfId="0" applyFont="1" applyFill="1" applyBorder="1" applyAlignment="1">
      <alignment vertical="center"/>
    </xf>
    <xf numFmtId="0" fontId="26" fillId="17" borderId="48" xfId="0" applyFont="1" applyFill="1" applyBorder="1" applyAlignment="1">
      <alignment vertical="center"/>
    </xf>
    <xf numFmtId="0" fontId="30" fillId="3" borderId="114" xfId="0" applyFont="1" applyFill="1" applyBorder="1" applyAlignment="1">
      <alignment horizontal="center" vertical="center"/>
    </xf>
    <xf numFmtId="0" fontId="30" fillId="3" borderId="118" xfId="0" applyFont="1" applyFill="1" applyBorder="1" applyAlignment="1">
      <alignment horizontal="center" vertical="center"/>
    </xf>
    <xf numFmtId="0" fontId="30" fillId="3" borderId="123" xfId="0" applyFont="1" applyFill="1" applyBorder="1" applyAlignment="1">
      <alignment horizontal="center" vertical="center"/>
    </xf>
    <xf numFmtId="0" fontId="29" fillId="0" borderId="125" xfId="0" applyFont="1" applyBorder="1" applyAlignment="1">
      <alignment horizontal="center" vertical="center"/>
    </xf>
    <xf numFmtId="0" fontId="29" fillId="0" borderId="123" xfId="0" applyFont="1" applyBorder="1" applyAlignment="1">
      <alignment vertical="center"/>
    </xf>
    <xf numFmtId="3" fontId="29" fillId="0" borderId="123" xfId="0" applyNumberFormat="1" applyFont="1" applyBorder="1" applyAlignment="1">
      <alignment horizontal="center" vertical="center"/>
    </xf>
    <xf numFmtId="3" fontId="36" fillId="29" borderId="123" xfId="0" applyNumberFormat="1" applyFont="1" applyFill="1" applyBorder="1" applyAlignment="1">
      <alignment horizontal="right" vertical="center"/>
    </xf>
    <xf numFmtId="3" fontId="28" fillId="29" borderId="126" xfId="0" applyNumberFormat="1" applyFont="1" applyFill="1" applyBorder="1" applyAlignment="1">
      <alignment horizontal="right" vertical="center"/>
    </xf>
    <xf numFmtId="3" fontId="28" fillId="9" borderId="0" xfId="0" applyNumberFormat="1" applyFont="1" applyFill="1" applyAlignment="1">
      <alignment horizontal="right" vertical="center"/>
    </xf>
    <xf numFmtId="3" fontId="31" fillId="3" borderId="126" xfId="0" applyNumberFormat="1" applyFont="1" applyFill="1" applyBorder="1" applyAlignment="1">
      <alignment horizontal="right" vertical="center"/>
    </xf>
    <xf numFmtId="0" fontId="29" fillId="2" borderId="125" xfId="0" applyFont="1" applyFill="1" applyBorder="1" applyAlignment="1">
      <alignment horizontal="center" vertical="center"/>
    </xf>
    <xf numFmtId="0" fontId="29" fillId="2" borderId="123" xfId="0" applyFont="1" applyFill="1" applyBorder="1" applyAlignment="1">
      <alignment vertical="center"/>
    </xf>
    <xf numFmtId="0" fontId="30" fillId="3" borderId="123" xfId="0" applyFont="1" applyFill="1" applyBorder="1" applyAlignment="1">
      <alignment vertical="center"/>
    </xf>
    <xf numFmtId="3" fontId="36" fillId="2" borderId="123" xfId="0" applyNumberFormat="1" applyFont="1" applyFill="1" applyBorder="1" applyAlignment="1">
      <alignment horizontal="right" vertical="center"/>
    </xf>
    <xf numFmtId="0" fontId="25" fillId="3" borderId="127" xfId="0" applyFont="1" applyFill="1" applyBorder="1" applyAlignment="1">
      <alignment vertical="center"/>
    </xf>
    <xf numFmtId="0" fontId="25" fillId="3" borderId="128" xfId="0" applyFont="1" applyFill="1" applyBorder="1" applyAlignment="1">
      <alignment vertical="center"/>
    </xf>
    <xf numFmtId="3" fontId="25" fillId="3" borderId="128" xfId="0" applyNumberFormat="1" applyFont="1" applyFill="1" applyBorder="1" applyAlignment="1">
      <alignment horizontal="right" vertical="center"/>
    </xf>
    <xf numFmtId="0" fontId="25" fillId="3" borderId="129" xfId="0" applyFont="1" applyFill="1" applyBorder="1" applyAlignment="1">
      <alignment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164" fontId="30" fillId="3" borderId="0" xfId="0" applyNumberFormat="1" applyFont="1" applyFill="1" applyAlignment="1">
      <alignment horizontal="center" vertical="center"/>
    </xf>
    <xf numFmtId="0" fontId="26" fillId="3" borderId="22" xfId="0" applyFont="1" applyFill="1" applyBorder="1" applyAlignment="1">
      <alignment vertical="center"/>
    </xf>
    <xf numFmtId="164" fontId="30" fillId="3" borderId="22" xfId="0" applyNumberFormat="1" applyFont="1" applyFill="1" applyBorder="1" applyAlignment="1">
      <alignment horizontal="center" vertical="center"/>
    </xf>
    <xf numFmtId="164" fontId="30" fillId="3" borderId="22" xfId="0" applyNumberFormat="1" applyFont="1" applyFill="1" applyBorder="1" applyAlignment="1">
      <alignment horizontal="center" vertical="center" wrapText="1"/>
    </xf>
    <xf numFmtId="164" fontId="30" fillId="3" borderId="0" xfId="0" applyNumberFormat="1" applyFont="1" applyFill="1" applyAlignment="1">
      <alignment horizontal="center" vertical="center" wrapText="1"/>
    </xf>
    <xf numFmtId="164" fontId="30" fillId="9" borderId="0" xfId="0" applyNumberFormat="1" applyFont="1" applyFill="1" applyAlignment="1">
      <alignment horizontal="center" vertical="center" wrapText="1"/>
    </xf>
    <xf numFmtId="164" fontId="26" fillId="3" borderId="22" xfId="0" applyNumberFormat="1" applyFont="1" applyFill="1" applyBorder="1" applyAlignment="1">
      <alignment vertical="center"/>
    </xf>
    <xf numFmtId="164" fontId="26" fillId="3" borderId="0" xfId="0" applyNumberFormat="1" applyFont="1" applyFill="1" applyAlignment="1">
      <alignment vertical="center"/>
    </xf>
    <xf numFmtId="0" fontId="26" fillId="30" borderId="22" xfId="0" applyFont="1" applyFill="1" applyBorder="1" applyAlignment="1">
      <alignment vertical="center"/>
    </xf>
    <xf numFmtId="164" fontId="30" fillId="20" borderId="0" xfId="0" applyNumberFormat="1" applyFont="1" applyFill="1" applyAlignment="1">
      <alignment vertical="center"/>
    </xf>
    <xf numFmtId="164" fontId="30" fillId="9" borderId="0" xfId="0" applyNumberFormat="1" applyFont="1" applyFill="1" applyAlignment="1">
      <alignment vertical="center"/>
    </xf>
    <xf numFmtId="0" fontId="29" fillId="30" borderId="22" xfId="0" applyFont="1" applyFill="1" applyBorder="1" applyAlignment="1">
      <alignment horizontal="center" vertical="center"/>
    </xf>
    <xf numFmtId="0" fontId="29" fillId="30" borderId="22" xfId="0" applyFont="1" applyFill="1" applyBorder="1" applyAlignment="1">
      <alignment vertical="center"/>
    </xf>
    <xf numFmtId="3" fontId="29" fillId="30" borderId="22" xfId="0" applyNumberFormat="1" applyFont="1" applyFill="1" applyBorder="1" applyAlignment="1">
      <alignment horizontal="center" vertical="center"/>
    </xf>
    <xf numFmtId="164" fontId="29" fillId="30" borderId="22" xfId="0" applyNumberFormat="1" applyFont="1" applyFill="1" applyBorder="1" applyAlignment="1">
      <alignment horizontal="center" vertical="center"/>
    </xf>
    <xf numFmtId="164" fontId="30" fillId="20" borderId="22" xfId="0" applyNumberFormat="1" applyFont="1" applyFill="1" applyBorder="1" applyAlignment="1">
      <alignment vertical="center"/>
    </xf>
    <xf numFmtId="164" fontId="29" fillId="2" borderId="0" xfId="0" applyNumberFormat="1" applyFont="1" applyFill="1" applyAlignment="1">
      <alignment horizontal="center" vertical="center"/>
    </xf>
    <xf numFmtId="164" fontId="29" fillId="9" borderId="0" xfId="0" applyNumberFormat="1" applyFont="1" applyFill="1" applyAlignment="1">
      <alignment horizontal="center" vertical="center"/>
    </xf>
    <xf numFmtId="0" fontId="26" fillId="30" borderId="22" xfId="0" applyFont="1" applyFill="1" applyBorder="1" applyAlignment="1">
      <alignment horizontal="center" vertical="center"/>
    </xf>
    <xf numFmtId="164" fontId="29" fillId="30" borderId="22" xfId="0" applyNumberFormat="1" applyFont="1" applyFill="1" applyBorder="1" applyAlignment="1">
      <alignment horizontal="right" vertical="center"/>
    </xf>
    <xf numFmtId="3" fontId="29" fillId="30" borderId="22" xfId="0" applyNumberFormat="1" applyFont="1" applyFill="1" applyBorder="1" applyAlignment="1">
      <alignment horizontal="right" vertical="center"/>
    </xf>
    <xf numFmtId="164" fontId="30" fillId="20" borderId="22" xfId="0" applyNumberFormat="1" applyFont="1" applyFill="1" applyBorder="1" applyAlignment="1">
      <alignment horizontal="right" vertical="center"/>
    </xf>
    <xf numFmtId="0" fontId="36" fillId="5" borderId="22" xfId="0" applyFont="1" applyFill="1" applyBorder="1" applyAlignment="1">
      <alignment horizontal="center" vertical="center"/>
    </xf>
    <xf numFmtId="0" fontId="29" fillId="5" borderId="22" xfId="0" applyFont="1" applyFill="1" applyBorder="1" applyAlignment="1">
      <alignment vertical="center"/>
    </xf>
    <xf numFmtId="0" fontId="29" fillId="5" borderId="22" xfId="0" applyFont="1" applyFill="1" applyBorder="1" applyAlignment="1">
      <alignment horizontal="center" vertical="center"/>
    </xf>
    <xf numFmtId="164" fontId="29" fillId="5" borderId="22" xfId="0" applyNumberFormat="1" applyFont="1" applyFill="1" applyBorder="1" applyAlignment="1">
      <alignment horizontal="center" vertical="center"/>
    </xf>
    <xf numFmtId="3" fontId="30" fillId="20" borderId="0" xfId="0" applyNumberFormat="1" applyFont="1" applyFill="1" applyAlignment="1">
      <alignment horizontal="right" vertical="center"/>
    </xf>
    <xf numFmtId="3" fontId="29" fillId="5" borderId="22" xfId="0" applyNumberFormat="1" applyFont="1" applyFill="1" applyBorder="1" applyAlignment="1">
      <alignment horizontal="center" vertical="center"/>
    </xf>
    <xf numFmtId="3" fontId="30" fillId="20" borderId="22" xfId="0" applyNumberFormat="1" applyFont="1" applyFill="1" applyBorder="1" applyAlignment="1">
      <alignment horizontal="right" vertical="center"/>
    </xf>
    <xf numFmtId="0" fontId="26" fillId="3" borderId="0" xfId="0" applyFont="1" applyFill="1" applyAlignment="1">
      <alignment vertical="center"/>
    </xf>
    <xf numFmtId="0" fontId="30" fillId="3" borderId="20" xfId="0" applyFont="1" applyFill="1" applyBorder="1" applyAlignment="1">
      <alignment horizontal="center" vertical="center"/>
    </xf>
    <xf numFmtId="0" fontId="30" fillId="9" borderId="0" xfId="0" applyFont="1" applyFill="1" applyAlignment="1">
      <alignment horizontal="center" vertical="center"/>
    </xf>
    <xf numFmtId="0" fontId="29" fillId="2" borderId="22" xfId="0" applyFont="1" applyFill="1" applyBorder="1" applyAlignment="1">
      <alignment horizontal="center" vertical="center"/>
    </xf>
    <xf numFmtId="0" fontId="29" fillId="2" borderId="22" xfId="0" applyFont="1" applyFill="1" applyBorder="1" applyAlignment="1">
      <alignment vertical="center"/>
    </xf>
    <xf numFmtId="164" fontId="29" fillId="2" borderId="22" xfId="0" applyNumberFormat="1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3" fontId="30" fillId="3" borderId="22" xfId="0" applyNumberFormat="1" applyFont="1" applyFill="1" applyBorder="1" applyAlignment="1">
      <alignment horizontal="center" vertical="center"/>
    </xf>
    <xf numFmtId="3" fontId="29" fillId="2" borderId="22" xfId="0" applyNumberFormat="1" applyFont="1" applyFill="1" applyBorder="1" applyAlignment="1">
      <alignment horizontal="right" vertical="center"/>
    </xf>
    <xf numFmtId="3" fontId="26" fillId="2" borderId="22" xfId="0" applyNumberFormat="1" applyFont="1" applyFill="1" applyBorder="1" applyAlignment="1">
      <alignment vertical="center"/>
    </xf>
    <xf numFmtId="0" fontId="26" fillId="2" borderId="22" xfId="0" applyFont="1" applyFill="1" applyBorder="1" applyAlignment="1">
      <alignment vertical="center"/>
    </xf>
    <xf numFmtId="0" fontId="26" fillId="2" borderId="0" xfId="0" applyFont="1" applyFill="1" applyAlignment="1">
      <alignment vertical="center"/>
    </xf>
    <xf numFmtId="0" fontId="29" fillId="0" borderId="22" xfId="0" applyFont="1" applyBorder="1" applyAlignment="1">
      <alignment vertical="center"/>
    </xf>
    <xf numFmtId="0" fontId="28" fillId="2" borderId="22" xfId="0" applyFont="1" applyFill="1" applyBorder="1" applyAlignment="1">
      <alignment vertical="center"/>
    </xf>
    <xf numFmtId="3" fontId="28" fillId="2" borderId="22" xfId="0" applyNumberFormat="1" applyFont="1" applyFill="1" applyBorder="1" applyAlignment="1">
      <alignment vertical="center"/>
    </xf>
    <xf numFmtId="164" fontId="40" fillId="2" borderId="0" xfId="0" applyNumberFormat="1" applyFont="1" applyFill="1" applyAlignment="1">
      <alignment vertical="center" wrapText="1"/>
    </xf>
    <xf numFmtId="164" fontId="40" fillId="9" borderId="0" xfId="0" applyNumberFormat="1" applyFont="1" applyFill="1" applyAlignment="1">
      <alignment vertical="center" wrapText="1"/>
    </xf>
    <xf numFmtId="164" fontId="30" fillId="2" borderId="0" xfId="0" applyNumberFormat="1" applyFont="1" applyFill="1" applyAlignment="1">
      <alignment vertical="center" wrapText="1"/>
    </xf>
    <xf numFmtId="164" fontId="30" fillId="9" borderId="0" xfId="0" applyNumberFormat="1" applyFont="1" applyFill="1" applyAlignment="1">
      <alignment vertical="center" wrapText="1"/>
    </xf>
    <xf numFmtId="0" fontId="29" fillId="0" borderId="22" xfId="0" applyFont="1" applyBorder="1" applyAlignment="1">
      <alignment horizontal="right" vertical="center"/>
    </xf>
    <xf numFmtId="0" fontId="40" fillId="2" borderId="22" xfId="0" applyFont="1" applyFill="1" applyBorder="1" applyAlignment="1">
      <alignment horizontal="center" vertical="center" wrapText="1"/>
    </xf>
    <xf numFmtId="164" fontId="29" fillId="0" borderId="22" xfId="0" applyNumberFormat="1" applyFont="1" applyBorder="1" applyAlignment="1">
      <alignment horizontal="right" vertical="center"/>
    </xf>
    <xf numFmtId="164" fontId="26" fillId="20" borderId="22" xfId="0" applyNumberFormat="1" applyFont="1" applyFill="1" applyBorder="1" applyAlignment="1">
      <alignment vertical="center"/>
    </xf>
    <xf numFmtId="3" fontId="29" fillId="5" borderId="22" xfId="0" applyNumberFormat="1" applyFont="1" applyFill="1" applyBorder="1" applyAlignment="1">
      <alignment horizontal="right" vertical="center"/>
    </xf>
    <xf numFmtId="0" fontId="29" fillId="9" borderId="0" xfId="0" applyFont="1" applyFill="1" applyAlignment="1">
      <alignment vertical="center"/>
    </xf>
    <xf numFmtId="3" fontId="30" fillId="9" borderId="0" xfId="0" applyNumberFormat="1" applyFont="1" applyFill="1" applyAlignment="1">
      <alignment horizontal="right" vertical="center"/>
    </xf>
    <xf numFmtId="3" fontId="30" fillId="3" borderId="22" xfId="0" applyNumberFormat="1" applyFont="1" applyFill="1" applyBorder="1" applyAlignment="1">
      <alignment vertical="center"/>
    </xf>
    <xf numFmtId="0" fontId="26" fillId="0" borderId="22" xfId="0" applyFont="1" applyBorder="1" applyAlignment="1">
      <alignment vertical="center"/>
    </xf>
    <xf numFmtId="164" fontId="30" fillId="2" borderId="22" xfId="0" applyNumberFormat="1" applyFont="1" applyFill="1" applyBorder="1" applyAlignment="1">
      <alignment vertical="center"/>
    </xf>
    <xf numFmtId="164" fontId="26" fillId="0" borderId="22" xfId="0" applyNumberFormat="1" applyFont="1" applyBorder="1" applyAlignment="1">
      <alignment vertical="center"/>
    </xf>
    <xf numFmtId="3" fontId="26" fillId="0" borderId="138" xfId="0" applyNumberFormat="1" applyFont="1" applyBorder="1" applyAlignment="1">
      <alignment vertical="center"/>
    </xf>
    <xf numFmtId="3" fontId="25" fillId="0" borderId="139" xfId="0" applyNumberFormat="1" applyFont="1" applyBorder="1" applyAlignment="1">
      <alignment horizontal="center" vertical="center"/>
    </xf>
    <xf numFmtId="3" fontId="26" fillId="0" borderId="139" xfId="0" applyNumberFormat="1" applyFont="1" applyBorder="1" applyAlignment="1">
      <alignment vertical="center"/>
    </xf>
    <xf numFmtId="3" fontId="25" fillId="0" borderId="140" xfId="0" applyNumberFormat="1" applyFont="1" applyBorder="1" applyAlignment="1">
      <alignment horizontal="center" vertical="center"/>
    </xf>
    <xf numFmtId="3" fontId="25" fillId="0" borderId="141" xfId="0" applyNumberFormat="1" applyFont="1" applyBorder="1" applyAlignment="1">
      <alignment horizontal="center" vertical="center"/>
    </xf>
    <xf numFmtId="3" fontId="25" fillId="0" borderId="142" xfId="0" applyNumberFormat="1" applyFont="1" applyBorder="1" applyAlignment="1">
      <alignment horizontal="center" vertical="center"/>
    </xf>
    <xf numFmtId="3" fontId="25" fillId="0" borderId="143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164" fontId="25" fillId="3" borderId="6" xfId="0" applyNumberFormat="1" applyFont="1" applyFill="1" applyBorder="1" applyAlignment="1">
      <alignment horizontal="center" vertical="center"/>
    </xf>
    <xf numFmtId="0" fontId="25" fillId="3" borderId="104" xfId="0" applyFont="1" applyFill="1" applyBorder="1" applyAlignment="1">
      <alignment horizontal="center" vertical="center"/>
    </xf>
    <xf numFmtId="3" fontId="25" fillId="3" borderId="104" xfId="0" applyNumberFormat="1" applyFont="1" applyFill="1" applyBorder="1" applyAlignment="1">
      <alignment horizontal="center" vertical="center"/>
    </xf>
    <xf numFmtId="164" fontId="25" fillId="3" borderId="144" xfId="0" applyNumberFormat="1" applyFont="1" applyFill="1" applyBorder="1" applyAlignment="1">
      <alignment horizontal="center" vertical="center"/>
    </xf>
    <xf numFmtId="0" fontId="47" fillId="0" borderId="11" xfId="0" applyFont="1" applyBorder="1" applyAlignment="1">
      <alignment horizontal="center" vertical="center"/>
    </xf>
    <xf numFmtId="0" fontId="48" fillId="0" borderId="12" xfId="0" applyFont="1" applyBorder="1" applyAlignment="1">
      <alignment vertical="center"/>
    </xf>
    <xf numFmtId="3" fontId="49" fillId="0" borderId="12" xfId="0" applyNumberFormat="1" applyFont="1" applyBorder="1" applyAlignment="1">
      <alignment vertical="center"/>
    </xf>
    <xf numFmtId="0" fontId="47" fillId="0" borderId="12" xfId="0" applyFont="1" applyBorder="1" applyAlignment="1">
      <alignment horizontal="center" vertical="center"/>
    </xf>
    <xf numFmtId="3" fontId="47" fillId="31" borderId="12" xfId="0" applyNumberFormat="1" applyFont="1" applyFill="1" applyBorder="1" applyAlignment="1">
      <alignment horizontal="center" vertical="center"/>
    </xf>
    <xf numFmtId="3" fontId="47" fillId="0" borderId="12" xfId="0" applyNumberFormat="1" applyFont="1" applyBorder="1" applyAlignment="1">
      <alignment horizontal="center" vertical="center"/>
    </xf>
    <xf numFmtId="164" fontId="47" fillId="0" borderId="13" xfId="0" applyNumberFormat="1" applyFont="1" applyBorder="1" applyAlignment="1">
      <alignment horizontal="center" vertical="center"/>
    </xf>
    <xf numFmtId="167" fontId="26" fillId="0" borderId="0" xfId="0" applyNumberFormat="1" applyFont="1" applyAlignment="1">
      <alignment vertical="center"/>
    </xf>
    <xf numFmtId="4" fontId="47" fillId="0" borderId="12" xfId="0" applyNumberFormat="1" applyFont="1" applyBorder="1" applyAlignment="1">
      <alignment horizontal="center" vertical="center"/>
    </xf>
    <xf numFmtId="0" fontId="47" fillId="0" borderId="44" xfId="0" applyFont="1" applyBorder="1" applyAlignment="1">
      <alignment horizontal="center" vertical="center"/>
    </xf>
    <xf numFmtId="0" fontId="48" fillId="0" borderId="45" xfId="0" applyFont="1" applyBorder="1" applyAlignment="1">
      <alignment vertical="center"/>
    </xf>
    <xf numFmtId="0" fontId="26" fillId="0" borderId="45" xfId="0" applyFont="1" applyBorder="1" applyAlignment="1">
      <alignment vertical="center"/>
    </xf>
    <xf numFmtId="3" fontId="49" fillId="0" borderId="45" xfId="0" applyNumberFormat="1" applyFont="1" applyBorder="1" applyAlignment="1">
      <alignment vertical="center"/>
    </xf>
    <xf numFmtId="0" fontId="47" fillId="0" borderId="45" xfId="0" applyFont="1" applyBorder="1" applyAlignment="1">
      <alignment horizontal="center" vertical="center"/>
    </xf>
    <xf numFmtId="3" fontId="47" fillId="31" borderId="45" xfId="0" applyNumberFormat="1" applyFont="1" applyFill="1" applyBorder="1" applyAlignment="1">
      <alignment horizontal="center" vertical="center"/>
    </xf>
    <xf numFmtId="3" fontId="47" fillId="0" borderId="45" xfId="0" applyNumberFormat="1" applyFont="1" applyBorder="1" applyAlignment="1">
      <alignment horizontal="center" vertical="center"/>
    </xf>
    <xf numFmtId="164" fontId="47" fillId="0" borderId="48" xfId="0" applyNumberFormat="1" applyFont="1" applyBorder="1" applyAlignment="1">
      <alignment horizontal="center" vertical="center"/>
    </xf>
    <xf numFmtId="4" fontId="47" fillId="0" borderId="45" xfId="0" applyNumberFormat="1" applyFont="1" applyBorder="1" applyAlignment="1">
      <alignment horizontal="center" vertical="center"/>
    </xf>
    <xf numFmtId="4" fontId="26" fillId="0" borderId="0" xfId="0" applyNumberFormat="1" applyFont="1" applyAlignment="1">
      <alignment vertical="center"/>
    </xf>
    <xf numFmtId="3" fontId="26" fillId="32" borderId="145" xfId="0" applyNumberFormat="1" applyFont="1" applyFill="1" applyBorder="1" applyAlignment="1">
      <alignment horizontal="right" vertical="center"/>
    </xf>
    <xf numFmtId="3" fontId="28" fillId="32" borderId="146" xfId="0" applyNumberFormat="1" applyFont="1" applyFill="1" applyBorder="1" applyAlignment="1">
      <alignment vertical="center"/>
    </xf>
    <xf numFmtId="3" fontId="28" fillId="32" borderId="147" xfId="0" applyNumberFormat="1" applyFont="1" applyFill="1" applyBorder="1" applyAlignment="1">
      <alignment horizontal="center" vertical="center"/>
    </xf>
    <xf numFmtId="0" fontId="25" fillId="9" borderId="0" xfId="0" applyFont="1" applyFill="1" applyAlignment="1">
      <alignment vertical="center"/>
    </xf>
    <xf numFmtId="3" fontId="25" fillId="9" borderId="0" xfId="0" applyNumberFormat="1" applyFont="1" applyFill="1" applyAlignment="1">
      <alignment vertical="center"/>
    </xf>
    <xf numFmtId="0" fontId="25" fillId="9" borderId="103" xfId="0" applyFont="1" applyFill="1" applyBorder="1" applyAlignment="1">
      <alignment vertical="center"/>
    </xf>
    <xf numFmtId="3" fontId="25" fillId="0" borderId="148" xfId="0" applyNumberFormat="1" applyFont="1" applyBorder="1" applyAlignment="1">
      <alignment horizontal="center" vertical="center"/>
    </xf>
    <xf numFmtId="3" fontId="25" fillId="0" borderId="149" xfId="0" applyNumberFormat="1" applyFont="1" applyBorder="1" applyAlignment="1">
      <alignment horizontal="center" vertical="center"/>
    </xf>
    <xf numFmtId="0" fontId="25" fillId="9" borderId="102" xfId="0" applyFont="1" applyFill="1" applyBorder="1" applyAlignment="1">
      <alignment vertical="center"/>
    </xf>
    <xf numFmtId="3" fontId="25" fillId="9" borderId="103" xfId="0" applyNumberFormat="1" applyFont="1" applyFill="1" applyBorder="1" applyAlignment="1">
      <alignment vertical="center"/>
    </xf>
    <xf numFmtId="3" fontId="25" fillId="0" borderId="150" xfId="0" applyNumberFormat="1" applyFont="1" applyBorder="1" applyAlignment="1">
      <alignment horizontal="center" vertical="center"/>
    </xf>
    <xf numFmtId="3" fontId="25" fillId="0" borderId="151" xfId="0" applyNumberFormat="1" applyFont="1" applyBorder="1" applyAlignment="1">
      <alignment horizontal="center" vertical="center"/>
    </xf>
    <xf numFmtId="164" fontId="26" fillId="9" borderId="102" xfId="0" applyNumberFormat="1" applyFont="1" applyFill="1" applyBorder="1" applyAlignment="1">
      <alignment vertical="center"/>
    </xf>
    <xf numFmtId="164" fontId="26" fillId="0" borderId="0" xfId="0" applyNumberFormat="1" applyFont="1"/>
    <xf numFmtId="0" fontId="25" fillId="25" borderId="157" xfId="0" applyFont="1" applyFill="1" applyBorder="1" applyAlignment="1">
      <alignment horizontal="center" vertical="center"/>
    </xf>
    <xf numFmtId="0" fontId="25" fillId="25" borderId="158" xfId="0" applyFont="1" applyFill="1" applyBorder="1" applyAlignment="1">
      <alignment horizontal="center" vertical="center"/>
    </xf>
    <xf numFmtId="0" fontId="25" fillId="25" borderId="159" xfId="0" applyFont="1" applyFill="1" applyBorder="1" applyAlignment="1">
      <alignment horizontal="center" vertical="center"/>
    </xf>
    <xf numFmtId="0" fontId="25" fillId="25" borderId="160" xfId="0" applyFont="1" applyFill="1" applyBorder="1" applyAlignment="1">
      <alignment horizontal="center" vertical="center" wrapText="1"/>
    </xf>
    <xf numFmtId="0" fontId="25" fillId="25" borderId="161" xfId="0" applyFont="1" applyFill="1" applyBorder="1" applyAlignment="1">
      <alignment horizontal="center" vertical="center" wrapText="1"/>
    </xf>
    <xf numFmtId="164" fontId="25" fillId="3" borderId="162" xfId="0" applyNumberFormat="1" applyFont="1" applyFill="1" applyBorder="1" applyAlignment="1">
      <alignment horizontal="center" vertical="center" wrapText="1"/>
    </xf>
    <xf numFmtId="0" fontId="37" fillId="0" borderId="168" xfId="0" applyFont="1" applyBorder="1" applyAlignment="1">
      <alignment horizontal="left" vertical="center"/>
    </xf>
    <xf numFmtId="0" fontId="26" fillId="0" borderId="169" xfId="0" applyFont="1" applyBorder="1" applyAlignment="1">
      <alignment horizontal="left" vertical="center"/>
    </xf>
    <xf numFmtId="0" fontId="26" fillId="0" borderId="170" xfId="0" applyFont="1" applyBorder="1" applyAlignment="1">
      <alignment horizontal="center" vertical="center"/>
    </xf>
    <xf numFmtId="0" fontId="26" fillId="0" borderId="170" xfId="0" applyFont="1" applyBorder="1" applyAlignment="1">
      <alignment horizontal="right" vertical="center"/>
    </xf>
    <xf numFmtId="4" fontId="26" fillId="0" borderId="171" xfId="0" applyNumberFormat="1" applyFont="1" applyBorder="1" applyAlignment="1">
      <alignment horizontal="right" vertical="center"/>
    </xf>
    <xf numFmtId="3" fontId="26" fillId="0" borderId="172" xfId="0" applyNumberFormat="1" applyFont="1" applyBorder="1" applyAlignment="1">
      <alignment horizontal="right" vertical="center"/>
    </xf>
    <xf numFmtId="4" fontId="50" fillId="0" borderId="8" xfId="0" applyNumberFormat="1" applyFont="1" applyBorder="1" applyAlignment="1">
      <alignment horizontal="center" vertical="center"/>
    </xf>
    <xf numFmtId="164" fontId="50" fillId="0" borderId="8" xfId="0" applyNumberFormat="1" applyFont="1" applyBorder="1" applyAlignment="1">
      <alignment horizontal="center" vertical="center"/>
    </xf>
    <xf numFmtId="0" fontId="48" fillId="29" borderId="173" xfId="0" applyFont="1" applyFill="1" applyBorder="1" applyAlignment="1">
      <alignment vertical="center"/>
    </xf>
    <xf numFmtId="164" fontId="26" fillId="29" borderId="176" xfId="0" applyNumberFormat="1" applyFont="1" applyFill="1" applyBorder="1" applyAlignment="1">
      <alignment horizontal="center" vertical="center"/>
    </xf>
    <xf numFmtId="4" fontId="50" fillId="29" borderId="176" xfId="0" applyNumberFormat="1" applyFont="1" applyFill="1" applyBorder="1" applyAlignment="1">
      <alignment horizontal="center" vertical="center"/>
    </xf>
    <xf numFmtId="3" fontId="50" fillId="29" borderId="177" xfId="0" applyNumberFormat="1" applyFont="1" applyFill="1" applyBorder="1" applyAlignment="1">
      <alignment horizontal="center" vertical="center"/>
    </xf>
    <xf numFmtId="0" fontId="48" fillId="0" borderId="173" xfId="0" applyFont="1" applyBorder="1" applyAlignment="1">
      <alignment vertical="center"/>
    </xf>
    <xf numFmtId="164" fontId="26" fillId="0" borderId="176" xfId="0" applyNumberFormat="1" applyFont="1" applyBorder="1" applyAlignment="1">
      <alignment horizontal="center" vertical="center"/>
    </xf>
    <xf numFmtId="4" fontId="50" fillId="0" borderId="176" xfId="0" applyNumberFormat="1" applyFont="1" applyBorder="1" applyAlignment="1">
      <alignment horizontal="center" vertical="center"/>
    </xf>
    <xf numFmtId="3" fontId="50" fillId="0" borderId="177" xfId="0" applyNumberFormat="1" applyFont="1" applyBorder="1" applyAlignment="1">
      <alignment horizontal="center" vertical="center"/>
    </xf>
    <xf numFmtId="0" fontId="37" fillId="0" borderId="178" xfId="0" applyFont="1" applyBorder="1" applyAlignment="1">
      <alignment horizontal="left" vertical="center"/>
    </xf>
    <xf numFmtId="0" fontId="26" fillId="0" borderId="179" xfId="0" applyFont="1" applyBorder="1" applyAlignment="1">
      <alignment horizontal="left" vertical="center"/>
    </xf>
    <xf numFmtId="0" fontId="26" fillId="0" borderId="180" xfId="0" applyFont="1" applyBorder="1" applyAlignment="1">
      <alignment horizontal="center" vertical="center"/>
    </xf>
    <xf numFmtId="0" fontId="26" fillId="0" borderId="180" xfId="0" applyFont="1" applyBorder="1" applyAlignment="1">
      <alignment horizontal="right" vertical="center"/>
    </xf>
    <xf numFmtId="4" fontId="26" fillId="0" borderId="181" xfId="0" applyNumberFormat="1" applyFont="1" applyBorder="1" applyAlignment="1">
      <alignment horizontal="right" vertical="center"/>
    </xf>
    <xf numFmtId="3" fontId="26" fillId="0" borderId="182" xfId="0" applyNumberFormat="1" applyFont="1" applyBorder="1" applyAlignment="1">
      <alignment horizontal="right" vertical="center"/>
    </xf>
    <xf numFmtId="0" fontId="25" fillId="25" borderId="183" xfId="0" applyFont="1" applyFill="1" applyBorder="1" applyAlignment="1">
      <alignment horizontal="center" vertical="center" wrapText="1"/>
    </xf>
    <xf numFmtId="0" fontId="26" fillId="9" borderId="100" xfId="0" applyFont="1" applyFill="1" applyBorder="1" applyAlignment="1">
      <alignment vertical="center"/>
    </xf>
    <xf numFmtId="0" fontId="26" fillId="0" borderId="176" xfId="0" applyFont="1" applyBorder="1" applyAlignment="1">
      <alignment horizontal="center" vertical="center"/>
    </xf>
    <xf numFmtId="0" fontId="26" fillId="29" borderId="176" xfId="0" applyFont="1" applyFill="1" applyBorder="1" applyAlignment="1">
      <alignment horizontal="center" vertical="center"/>
    </xf>
    <xf numFmtId="0" fontId="48" fillId="0" borderId="184" xfId="0" applyFont="1" applyBorder="1" applyAlignment="1">
      <alignment vertical="center"/>
    </xf>
    <xf numFmtId="0" fontId="26" fillId="0" borderId="187" xfId="0" applyFont="1" applyBorder="1" applyAlignment="1">
      <alignment horizontal="center" vertical="center"/>
    </xf>
    <xf numFmtId="164" fontId="26" fillId="0" borderId="187" xfId="0" applyNumberFormat="1" applyFont="1" applyBorder="1" applyAlignment="1">
      <alignment horizontal="center" vertical="center"/>
    </xf>
    <xf numFmtId="4" fontId="50" fillId="0" borderId="187" xfId="0" applyNumberFormat="1" applyFont="1" applyBorder="1" applyAlignment="1">
      <alignment horizontal="center" vertical="center"/>
    </xf>
    <xf numFmtId="3" fontId="50" fillId="0" borderId="188" xfId="0" applyNumberFormat="1" applyFont="1" applyBorder="1" applyAlignment="1">
      <alignment horizontal="center" vertical="center"/>
    </xf>
    <xf numFmtId="0" fontId="48" fillId="0" borderId="0" xfId="0" applyFont="1"/>
    <xf numFmtId="0" fontId="26" fillId="0" borderId="0" xfId="0" applyFont="1" applyAlignment="1">
      <alignment horizontal="center"/>
    </xf>
    <xf numFmtId="4" fontId="50" fillId="0" borderId="0" xfId="0" applyNumberFormat="1" applyFont="1" applyAlignment="1">
      <alignment horizontal="center"/>
    </xf>
    <xf numFmtId="3" fontId="50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164" fontId="25" fillId="2" borderId="24" xfId="0" applyNumberFormat="1" applyFont="1" applyFill="1" applyBorder="1" applyAlignment="1">
      <alignment horizontal="center" vertical="center"/>
    </xf>
    <xf numFmtId="164" fontId="25" fillId="2" borderId="25" xfId="0" applyNumberFormat="1" applyFont="1" applyFill="1" applyBorder="1" applyAlignment="1">
      <alignment horizontal="center" vertical="center"/>
    </xf>
    <xf numFmtId="164" fontId="35" fillId="0" borderId="0" xfId="0" applyNumberFormat="1" applyFont="1" applyAlignment="1">
      <alignment vertical="center"/>
    </xf>
    <xf numFmtId="164" fontId="25" fillId="2" borderId="26" xfId="0" applyNumberFormat="1" applyFont="1" applyFill="1" applyBorder="1" applyAlignment="1">
      <alignment horizontal="center" vertical="center"/>
    </xf>
    <xf numFmtId="164" fontId="25" fillId="2" borderId="27" xfId="0" applyNumberFormat="1" applyFont="1" applyFill="1" applyBorder="1" applyAlignment="1">
      <alignment horizontal="center" vertical="center"/>
    </xf>
    <xf numFmtId="164" fontId="35" fillId="0" borderId="0" xfId="0" applyNumberFormat="1" applyFont="1" applyAlignment="1">
      <alignment horizontal="left" vertical="center"/>
    </xf>
    <xf numFmtId="164" fontId="30" fillId="2" borderId="103" xfId="0" applyNumberFormat="1" applyFont="1" applyFill="1" applyBorder="1" applyAlignment="1">
      <alignment horizontal="right" vertical="center"/>
    </xf>
    <xf numFmtId="164" fontId="30" fillId="3" borderId="5" xfId="0" applyNumberFormat="1" applyFont="1" applyFill="1" applyBorder="1" applyAlignment="1">
      <alignment horizontal="center" vertical="center" wrapText="1"/>
    </xf>
    <xf numFmtId="164" fontId="30" fillId="3" borderId="6" xfId="0" applyNumberFormat="1" applyFont="1" applyFill="1" applyBorder="1" applyAlignment="1">
      <alignment horizontal="center" vertical="center" wrapText="1"/>
    </xf>
    <xf numFmtId="164" fontId="31" fillId="16" borderId="5" xfId="0" applyNumberFormat="1" applyFont="1" applyFill="1" applyBorder="1" applyAlignment="1">
      <alignment horizontal="center" vertical="center" wrapText="1"/>
    </xf>
    <xf numFmtId="164" fontId="31" fillId="16" borderId="6" xfId="0" applyNumberFormat="1" applyFont="1" applyFill="1" applyBorder="1" applyAlignment="1">
      <alignment horizontal="center" vertical="center" wrapText="1"/>
    </xf>
    <xf numFmtId="164" fontId="31" fillId="17" borderId="5" xfId="0" applyNumberFormat="1" applyFont="1" applyFill="1" applyBorder="1" applyAlignment="1">
      <alignment horizontal="center" vertical="center" wrapText="1"/>
    </xf>
    <xf numFmtId="164" fontId="31" fillId="17" borderId="6" xfId="0" applyNumberFormat="1" applyFont="1" applyFill="1" applyBorder="1" applyAlignment="1">
      <alignment horizontal="center" vertical="center" wrapText="1"/>
    </xf>
    <xf numFmtId="164" fontId="25" fillId="3" borderId="5" xfId="0" applyNumberFormat="1" applyFont="1" applyFill="1" applyBorder="1" applyAlignment="1">
      <alignment horizontal="center" vertical="center" wrapText="1"/>
    </xf>
    <xf numFmtId="164" fontId="51" fillId="28" borderId="0" xfId="0" applyNumberFormat="1" applyFont="1" applyFill="1" applyAlignment="1">
      <alignment vertical="center"/>
    </xf>
    <xf numFmtId="164" fontId="25" fillId="3" borderId="12" xfId="0" applyNumberFormat="1" applyFont="1" applyFill="1" applyBorder="1" applyAlignment="1">
      <alignment horizontal="center" vertical="center" wrapText="1"/>
    </xf>
    <xf numFmtId="0" fontId="25" fillId="3" borderId="12" xfId="0" applyFont="1" applyFill="1" applyBorder="1" applyAlignment="1">
      <alignment horizontal="center" vertical="center"/>
    </xf>
    <xf numFmtId="0" fontId="26" fillId="9" borderId="191" xfId="0" applyFont="1" applyFill="1" applyBorder="1" applyAlignment="1">
      <alignment horizontal="center" vertical="center"/>
    </xf>
    <xf numFmtId="0" fontId="26" fillId="9" borderId="192" xfId="0" applyFont="1" applyFill="1" applyBorder="1" applyAlignment="1">
      <alignment horizontal="left" vertical="center"/>
    </xf>
    <xf numFmtId="164" fontId="26" fillId="9" borderId="11" xfId="0" applyNumberFormat="1" applyFont="1" applyFill="1" applyBorder="1" applyAlignment="1">
      <alignment horizontal="center" vertical="center"/>
    </xf>
    <xf numFmtId="10" fontId="29" fillId="0" borderId="0" xfId="0" applyNumberFormat="1" applyFont="1" applyAlignment="1">
      <alignment vertical="center"/>
    </xf>
    <xf numFmtId="0" fontId="31" fillId="16" borderId="11" xfId="0" applyFont="1" applyFill="1" applyBorder="1" applyAlignment="1">
      <alignment horizontal="center" vertical="center"/>
    </xf>
    <xf numFmtId="0" fontId="31" fillId="17" borderId="11" xfId="0" applyFont="1" applyFill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 wrapText="1"/>
    </xf>
    <xf numFmtId="164" fontId="31" fillId="16" borderId="11" xfId="0" applyNumberFormat="1" applyFont="1" applyFill="1" applyBorder="1" applyAlignment="1">
      <alignment horizontal="center" vertical="center" wrapText="1"/>
    </xf>
    <xf numFmtId="164" fontId="31" fillId="17" borderId="11" xfId="0" applyNumberFormat="1" applyFont="1" applyFill="1" applyBorder="1" applyAlignment="1">
      <alignment horizontal="center" vertical="center" wrapText="1"/>
    </xf>
    <xf numFmtId="164" fontId="26" fillId="3" borderId="95" xfId="0" applyNumberFormat="1" applyFont="1" applyFill="1" applyBorder="1" applyAlignment="1">
      <alignment vertical="center"/>
    </xf>
    <xf numFmtId="164" fontId="26" fillId="3" borderId="96" xfId="0" applyNumberFormat="1" applyFont="1" applyFill="1" applyBorder="1" applyAlignment="1">
      <alignment vertical="center"/>
    </xf>
    <xf numFmtId="164" fontId="26" fillId="3" borderId="44" xfId="0" applyNumberFormat="1" applyFont="1" applyFill="1" applyBorder="1" applyAlignment="1">
      <alignment vertical="center"/>
    </xf>
    <xf numFmtId="164" fontId="26" fillId="3" borderId="46" xfId="0" applyNumberFormat="1" applyFont="1" applyFill="1" applyBorder="1" applyAlignment="1">
      <alignment vertical="center"/>
    </xf>
    <xf numFmtId="164" fontId="26" fillId="3" borderId="97" xfId="0" applyNumberFormat="1" applyFont="1" applyFill="1" applyBorder="1" applyAlignment="1">
      <alignment vertical="center"/>
    </xf>
    <xf numFmtId="164" fontId="26" fillId="16" borderId="44" xfId="0" applyNumberFormat="1" applyFont="1" applyFill="1" applyBorder="1" applyAlignment="1">
      <alignment vertical="center"/>
    </xf>
    <xf numFmtId="164" fontId="26" fillId="16" borderId="46" xfId="0" applyNumberFormat="1" applyFont="1" applyFill="1" applyBorder="1" applyAlignment="1">
      <alignment vertical="center"/>
    </xf>
    <xf numFmtId="164" fontId="26" fillId="16" borderId="97" xfId="0" applyNumberFormat="1" applyFont="1" applyFill="1" applyBorder="1" applyAlignment="1">
      <alignment vertical="center"/>
    </xf>
    <xf numFmtId="164" fontId="26" fillId="17" borderId="44" xfId="0" applyNumberFormat="1" applyFont="1" applyFill="1" applyBorder="1" applyAlignment="1">
      <alignment vertical="center"/>
    </xf>
    <xf numFmtId="164" fontId="26" fillId="17" borderId="46" xfId="0" applyNumberFormat="1" applyFont="1" applyFill="1" applyBorder="1" applyAlignment="1">
      <alignment vertical="center"/>
    </xf>
    <xf numFmtId="164" fontId="26" fillId="17" borderId="97" xfId="0" applyNumberFormat="1" applyFont="1" applyFill="1" applyBorder="1" applyAlignment="1">
      <alignment vertical="center"/>
    </xf>
    <xf numFmtId="164" fontId="26" fillId="3" borderId="47" xfId="0" applyNumberFormat="1" applyFont="1" applyFill="1" applyBorder="1" applyAlignment="1">
      <alignment vertical="center"/>
    </xf>
    <xf numFmtId="164" fontId="26" fillId="3" borderId="45" xfId="0" applyNumberFormat="1" applyFont="1" applyFill="1" applyBorder="1" applyAlignment="1">
      <alignment vertical="center"/>
    </xf>
    <xf numFmtId="164" fontId="46" fillId="0" borderId="0" xfId="0" applyNumberFormat="1" applyFont="1" applyAlignment="1">
      <alignment horizontal="left" vertical="center"/>
    </xf>
    <xf numFmtId="164" fontId="26" fillId="0" borderId="0" xfId="0" applyNumberFormat="1" applyFont="1" applyAlignment="1">
      <alignment horizontal="left" vertical="center"/>
    </xf>
    <xf numFmtId="164" fontId="46" fillId="0" borderId="0" xfId="0" applyNumberFormat="1" applyFont="1" applyAlignment="1">
      <alignment horizontal="right" vertical="center"/>
    </xf>
    <xf numFmtId="164" fontId="41" fillId="2" borderId="0" xfId="0" applyNumberFormat="1" applyFont="1" applyFill="1" applyAlignment="1">
      <alignment vertical="center"/>
    </xf>
    <xf numFmtId="164" fontId="41" fillId="2" borderId="29" xfId="0" applyNumberFormat="1" applyFont="1" applyFill="1" applyBorder="1" applyAlignment="1">
      <alignment vertical="center"/>
    </xf>
    <xf numFmtId="0" fontId="40" fillId="9" borderId="102" xfId="0" applyFont="1" applyFill="1" applyBorder="1" applyAlignment="1">
      <alignment horizontal="left" vertical="center" wrapText="1"/>
    </xf>
    <xf numFmtId="164" fontId="39" fillId="2" borderId="0" xfId="0" applyNumberFormat="1" applyFont="1" applyFill="1" applyAlignment="1">
      <alignment vertical="center"/>
    </xf>
    <xf numFmtId="164" fontId="30" fillId="2" borderId="0" xfId="0" applyNumberFormat="1" applyFont="1" applyFill="1" applyAlignment="1">
      <alignment horizontal="left" vertical="center"/>
    </xf>
    <xf numFmtId="164" fontId="30" fillId="2" borderId="102" xfId="0" applyNumberFormat="1" applyFont="1" applyFill="1" applyBorder="1" applyAlignment="1">
      <alignment vertical="center"/>
    </xf>
    <xf numFmtId="164" fontId="39" fillId="2" borderId="193" xfId="0" applyNumberFormat="1" applyFont="1" applyFill="1" applyBorder="1" applyAlignment="1">
      <alignment vertical="center"/>
    </xf>
    <xf numFmtId="164" fontId="41" fillId="2" borderId="193" xfId="0" applyNumberFormat="1" applyFont="1" applyFill="1" applyBorder="1" applyAlignment="1">
      <alignment horizontal="center" vertical="center"/>
    </xf>
    <xf numFmtId="164" fontId="41" fillId="2" borderId="193" xfId="0" applyNumberFormat="1" applyFont="1" applyFill="1" applyBorder="1" applyAlignment="1">
      <alignment horizontal="left" vertical="center"/>
    </xf>
    <xf numFmtId="164" fontId="29" fillId="2" borderId="103" xfId="0" applyNumberFormat="1" applyFont="1" applyFill="1" applyBorder="1" applyAlignment="1">
      <alignment vertical="center"/>
    </xf>
    <xf numFmtId="164" fontId="29" fillId="2" borderId="103" xfId="0" applyNumberFormat="1" applyFont="1" applyFill="1" applyBorder="1" applyAlignment="1">
      <alignment horizontal="left" vertical="center"/>
    </xf>
    <xf numFmtId="164" fontId="29" fillId="0" borderId="0" xfId="0" applyNumberFormat="1" applyFont="1" applyAlignment="1">
      <alignment horizontal="left" vertical="center"/>
    </xf>
    <xf numFmtId="0" fontId="53" fillId="35" borderId="22" xfId="0" applyFont="1" applyFill="1" applyBorder="1" applyAlignment="1">
      <alignment horizontal="center"/>
    </xf>
    <xf numFmtId="0" fontId="53" fillId="35" borderId="22" xfId="0" applyFont="1" applyFill="1" applyBorder="1" applyAlignment="1">
      <alignment horizontal="center" wrapText="1"/>
    </xf>
    <xf numFmtId="0" fontId="53" fillId="35" borderId="22" xfId="0" applyFont="1" applyFill="1" applyBorder="1"/>
    <xf numFmtId="164" fontId="53" fillId="35" borderId="22" xfId="0" applyNumberFormat="1" applyFont="1" applyFill="1" applyBorder="1"/>
    <xf numFmtId="164" fontId="53" fillId="35" borderId="22" xfId="0" applyNumberFormat="1" applyFont="1" applyFill="1" applyBorder="1" applyAlignment="1">
      <alignment horizontal="right"/>
    </xf>
    <xf numFmtId="0" fontId="2" fillId="0" borderId="22" xfId="0" applyFont="1" applyBorder="1"/>
    <xf numFmtId="0" fontId="2" fillId="0" borderId="22" xfId="0" quotePrefix="1" applyFont="1" applyBorder="1"/>
    <xf numFmtId="3" fontId="2" fillId="0" borderId="22" xfId="0" applyNumberFormat="1" applyFont="1" applyBorder="1"/>
    <xf numFmtId="0" fontId="53" fillId="35" borderId="22" xfId="0" applyFont="1" applyFill="1" applyBorder="1" applyAlignment="1">
      <alignment horizontal="center" vertical="center"/>
    </xf>
    <xf numFmtId="0" fontId="53" fillId="35" borderId="22" xfId="0" applyFont="1" applyFill="1" applyBorder="1" applyAlignment="1">
      <alignment horizontal="center" vertical="center" wrapText="1"/>
    </xf>
    <xf numFmtId="0" fontId="53" fillId="35" borderId="22" xfId="0" applyFont="1" applyFill="1" applyBorder="1" applyAlignment="1">
      <alignment vertical="center"/>
    </xf>
    <xf numFmtId="164" fontId="53" fillId="35" borderId="22" xfId="0" applyNumberFormat="1" applyFont="1" applyFill="1" applyBorder="1" applyAlignment="1">
      <alignment vertical="center" wrapText="1"/>
    </xf>
    <xf numFmtId="164" fontId="53" fillId="35" borderId="22" xfId="0" applyNumberFormat="1" applyFont="1" applyFill="1" applyBorder="1" applyAlignment="1">
      <alignment vertical="center"/>
    </xf>
    <xf numFmtId="164" fontId="53" fillId="35" borderId="22" xfId="0" applyNumberFormat="1" applyFont="1" applyFill="1" applyBorder="1" applyAlignment="1">
      <alignment horizontal="right" vertical="center" wrapText="1"/>
    </xf>
    <xf numFmtId="0" fontId="2" fillId="0" borderId="22" xfId="0" applyFont="1" applyBorder="1" applyAlignment="1">
      <alignment vertical="center"/>
    </xf>
    <xf numFmtId="0" fontId="2" fillId="0" borderId="22" xfId="0" quotePrefix="1" applyFont="1" applyBorder="1" applyAlignment="1">
      <alignment vertical="center"/>
    </xf>
    <xf numFmtId="3" fontId="2" fillId="0" borderId="22" xfId="0" applyNumberFormat="1" applyFont="1" applyBorder="1" applyAlignment="1">
      <alignment vertical="center"/>
    </xf>
    <xf numFmtId="164" fontId="53" fillId="35" borderId="22" xfId="0" applyNumberFormat="1" applyFont="1" applyFill="1" applyBorder="1" applyAlignment="1">
      <alignment horizontal="center"/>
    </xf>
    <xf numFmtId="43" fontId="53" fillId="35" borderId="22" xfId="0" applyNumberFormat="1" applyFont="1" applyFill="1" applyBorder="1"/>
    <xf numFmtId="0" fontId="54" fillId="0" borderId="0" xfId="0" applyFont="1" applyAlignment="1">
      <alignment horizontal="left" vertical="center"/>
    </xf>
    <xf numFmtId="164" fontId="55" fillId="0" borderId="103" xfId="0" applyNumberFormat="1" applyFont="1" applyBorder="1" applyAlignment="1">
      <alignment horizontal="center"/>
    </xf>
    <xf numFmtId="164" fontId="55" fillId="0" borderId="102" xfId="0" applyNumberFormat="1" applyFont="1" applyBorder="1" applyAlignment="1">
      <alignment horizontal="center"/>
    </xf>
    <xf numFmtId="0" fontId="56" fillId="0" borderId="103" xfId="0" applyFont="1" applyBorder="1" applyAlignment="1">
      <alignment horizontal="right" vertical="center"/>
    </xf>
    <xf numFmtId="0" fontId="53" fillId="0" borderId="0" xfId="0" applyFont="1" applyAlignment="1">
      <alignment vertical="center"/>
    </xf>
    <xf numFmtId="164" fontId="55" fillId="0" borderId="193" xfId="0" applyNumberFormat="1" applyFont="1" applyBorder="1" applyAlignment="1">
      <alignment horizontal="center"/>
    </xf>
    <xf numFmtId="9" fontId="55" fillId="0" borderId="28" xfId="0" applyNumberFormat="1" applyFont="1" applyBorder="1" applyAlignment="1">
      <alignment horizontal="center"/>
    </xf>
    <xf numFmtId="0" fontId="54" fillId="0" borderId="0" xfId="0" applyFont="1" applyAlignment="1">
      <alignment vertical="center"/>
    </xf>
    <xf numFmtId="164" fontId="55" fillId="0" borderId="98" xfId="0" applyNumberFormat="1" applyFont="1" applyBorder="1" applyAlignment="1">
      <alignment horizontal="center"/>
    </xf>
    <xf numFmtId="9" fontId="55" fillId="0" borderId="99" xfId="0" applyNumberFormat="1" applyFont="1" applyBorder="1" applyAlignment="1">
      <alignment horizontal="center"/>
    </xf>
    <xf numFmtId="43" fontId="54" fillId="35" borderId="194" xfId="0" applyNumberFormat="1" applyFont="1" applyFill="1" applyBorder="1" applyAlignment="1">
      <alignment horizontal="center" vertical="center"/>
    </xf>
    <xf numFmtId="0" fontId="54" fillId="35" borderId="194" xfId="0" applyFont="1" applyFill="1" applyBorder="1" applyAlignment="1">
      <alignment horizontal="center" vertical="center"/>
    </xf>
    <xf numFmtId="164" fontId="54" fillId="35" borderId="194" xfId="0" applyNumberFormat="1" applyFont="1" applyFill="1" applyBorder="1" applyAlignment="1">
      <alignment horizontal="left" vertical="center"/>
    </xf>
    <xf numFmtId="164" fontId="54" fillId="35" borderId="194" xfId="0" applyNumberFormat="1" applyFont="1" applyFill="1" applyBorder="1" applyAlignment="1">
      <alignment horizontal="center" vertical="center"/>
    </xf>
    <xf numFmtId="0" fontId="54" fillId="0" borderId="194" xfId="0" applyFont="1" applyBorder="1" applyAlignment="1">
      <alignment horizontal="left" vertical="center"/>
    </xf>
    <xf numFmtId="0" fontId="54" fillId="0" borderId="194" xfId="0" applyFont="1" applyBorder="1" applyAlignment="1">
      <alignment horizontal="center" vertical="center"/>
    </xf>
    <xf numFmtId="9" fontId="54" fillId="0" borderId="194" xfId="0" applyNumberFormat="1" applyFont="1" applyBorder="1" applyAlignment="1">
      <alignment horizontal="right" vertical="center"/>
    </xf>
    <xf numFmtId="0" fontId="54" fillId="0" borderId="194" xfId="0" applyFont="1" applyBorder="1" applyAlignment="1">
      <alignment horizontal="right" vertical="center"/>
    </xf>
    <xf numFmtId="43" fontId="54" fillId="0" borderId="194" xfId="0" applyNumberFormat="1" applyFont="1" applyBorder="1" applyAlignment="1">
      <alignment horizontal="center" vertical="center"/>
    </xf>
    <xf numFmtId="43" fontId="54" fillId="0" borderId="194" xfId="0" applyNumberFormat="1" applyFont="1" applyBorder="1" applyAlignment="1">
      <alignment vertical="center"/>
    </xf>
    <xf numFmtId="0" fontId="54" fillId="14" borderId="194" xfId="0" applyFont="1" applyFill="1" applyBorder="1" applyAlignment="1">
      <alignment horizontal="left" vertical="center"/>
    </xf>
    <xf numFmtId="0" fontId="54" fillId="14" borderId="194" xfId="0" applyFont="1" applyFill="1" applyBorder="1" applyAlignment="1">
      <alignment horizontal="center" vertical="center"/>
    </xf>
    <xf numFmtId="9" fontId="54" fillId="14" borderId="194" xfId="0" applyNumberFormat="1" applyFont="1" applyFill="1" applyBorder="1" applyAlignment="1">
      <alignment horizontal="right" vertical="center"/>
    </xf>
    <xf numFmtId="0" fontId="54" fillId="14" borderId="194" xfId="0" applyFont="1" applyFill="1" applyBorder="1" applyAlignment="1">
      <alignment horizontal="right" vertical="center"/>
    </xf>
    <xf numFmtId="43" fontId="54" fillId="14" borderId="194" xfId="0" applyNumberFormat="1" applyFont="1" applyFill="1" applyBorder="1" applyAlignment="1">
      <alignment horizontal="center" vertical="center"/>
    </xf>
    <xf numFmtId="43" fontId="54" fillId="14" borderId="194" xfId="0" applyNumberFormat="1" applyFont="1" applyFill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horizontal="right" vertical="center"/>
    </xf>
    <xf numFmtId="0" fontId="58" fillId="0" borderId="0" xfId="0" applyFont="1" applyAlignment="1">
      <alignment vertical="center"/>
    </xf>
    <xf numFmtId="0" fontId="60" fillId="0" borderId="194" xfId="0" applyFont="1" applyBorder="1" applyAlignment="1">
      <alignment horizontal="left" vertical="center"/>
    </xf>
    <xf numFmtId="0" fontId="60" fillId="0" borderId="194" xfId="0" applyFont="1" applyBorder="1" applyAlignment="1">
      <alignment horizontal="center" vertical="center"/>
    </xf>
    <xf numFmtId="3" fontId="60" fillId="0" borderId="194" xfId="0" applyNumberFormat="1" applyFont="1" applyBorder="1" applyAlignment="1">
      <alignment horizontal="right" vertical="center"/>
    </xf>
    <xf numFmtId="0" fontId="60" fillId="36" borderId="194" xfId="0" applyFont="1" applyFill="1" applyBorder="1" applyAlignment="1">
      <alignment horizontal="left" vertical="center"/>
    </xf>
    <xf numFmtId="0" fontId="60" fillId="36" borderId="194" xfId="0" applyFont="1" applyFill="1" applyBorder="1" applyAlignment="1">
      <alignment horizontal="center" vertical="center"/>
    </xf>
    <xf numFmtId="3" fontId="60" fillId="36" borderId="194" xfId="0" applyNumberFormat="1" applyFont="1" applyFill="1" applyBorder="1" applyAlignment="1">
      <alignment horizontal="right" vertical="center"/>
    </xf>
    <xf numFmtId="0" fontId="60" fillId="36" borderId="194" xfId="0" applyFont="1" applyFill="1" applyBorder="1" applyAlignment="1">
      <alignment horizontal="right" vertical="center"/>
    </xf>
    <xf numFmtId="3" fontId="2" fillId="0" borderId="0" xfId="0" applyNumberFormat="1" applyFont="1"/>
    <xf numFmtId="4" fontId="60" fillId="0" borderId="194" xfId="0" applyNumberFormat="1" applyFont="1" applyBorder="1" applyAlignment="1">
      <alignment horizontal="right" vertical="center"/>
    </xf>
    <xf numFmtId="3" fontId="60" fillId="0" borderId="0" xfId="0" applyNumberFormat="1" applyFont="1" applyAlignment="1">
      <alignment horizontal="right" vertical="center"/>
    </xf>
    <xf numFmtId="0" fontId="60" fillId="0" borderId="194" xfId="0" applyFont="1" applyBorder="1" applyAlignment="1">
      <alignment vertical="center"/>
    </xf>
    <xf numFmtId="0" fontId="58" fillId="0" borderId="0" xfId="0" applyFont="1"/>
    <xf numFmtId="0" fontId="62" fillId="9" borderId="199" xfId="0" applyFont="1" applyFill="1" applyBorder="1" applyAlignment="1">
      <alignment vertical="center"/>
    </xf>
    <xf numFmtId="0" fontId="58" fillId="0" borderId="199" xfId="0" applyFont="1" applyBorder="1"/>
    <xf numFmtId="0" fontId="60" fillId="0" borderId="198" xfId="0" applyFont="1" applyBorder="1"/>
    <xf numFmtId="0" fontId="63" fillId="9" borderId="203" xfId="0" applyFont="1" applyFill="1" applyBorder="1" applyAlignment="1">
      <alignment vertical="center"/>
    </xf>
    <xf numFmtId="0" fontId="58" fillId="0" borderId="203" xfId="0" applyFont="1" applyBorder="1"/>
    <xf numFmtId="0" fontId="60" fillId="0" borderId="202" xfId="0" applyFont="1" applyBorder="1"/>
    <xf numFmtId="0" fontId="65" fillId="9" borderId="207" xfId="0" applyFont="1" applyFill="1" applyBorder="1" applyAlignment="1">
      <alignment vertical="center"/>
    </xf>
    <xf numFmtId="0" fontId="58" fillId="0" borderId="207" xfId="0" applyFont="1" applyBorder="1"/>
    <xf numFmtId="0" fontId="60" fillId="0" borderId="206" xfId="0" applyFont="1" applyBorder="1"/>
    <xf numFmtId="0" fontId="60" fillId="0" borderId="0" xfId="0" applyFont="1"/>
    <xf numFmtId="164" fontId="60" fillId="0" borderId="0" xfId="0" applyNumberFormat="1" applyFont="1"/>
    <xf numFmtId="164" fontId="67" fillId="25" borderId="157" xfId="0" applyNumberFormat="1" applyFont="1" applyFill="1" applyBorder="1" applyAlignment="1">
      <alignment horizontal="center" vertical="center" wrapText="1"/>
    </xf>
    <xf numFmtId="0" fontId="67" fillId="25" borderId="159" xfId="0" applyFont="1" applyFill="1" applyBorder="1" applyAlignment="1">
      <alignment horizontal="center" vertical="center" wrapText="1"/>
    </xf>
    <xf numFmtId="164" fontId="67" fillId="25" borderId="209" xfId="0" applyNumberFormat="1" applyFont="1" applyFill="1" applyBorder="1" applyAlignment="1">
      <alignment horizontal="center" vertical="center" wrapText="1"/>
    </xf>
    <xf numFmtId="164" fontId="68" fillId="3" borderId="157" xfId="0" applyNumberFormat="1" applyFont="1" applyFill="1" applyBorder="1" applyAlignment="1">
      <alignment horizontal="center" vertical="center" wrapText="1"/>
    </xf>
    <xf numFmtId="0" fontId="68" fillId="3" borderId="159" xfId="0" applyFont="1" applyFill="1" applyBorder="1" applyAlignment="1">
      <alignment horizontal="center" vertical="center" wrapText="1"/>
    </xf>
    <xf numFmtId="164" fontId="68" fillId="3" borderId="209" xfId="0" applyNumberFormat="1" applyFont="1" applyFill="1" applyBorder="1" applyAlignment="1">
      <alignment horizontal="center" vertical="center" wrapText="1"/>
    </xf>
    <xf numFmtId="164" fontId="64" fillId="3" borderId="168" xfId="0" applyNumberFormat="1" applyFont="1" applyFill="1" applyBorder="1" applyAlignment="1">
      <alignment horizontal="center" vertical="center" wrapText="1"/>
    </xf>
    <xf numFmtId="0" fontId="64" fillId="3" borderId="170" xfId="0" applyFont="1" applyFill="1" applyBorder="1" applyAlignment="1">
      <alignment horizontal="center" vertical="center" wrapText="1"/>
    </xf>
    <xf numFmtId="164" fontId="64" fillId="3" borderId="210" xfId="0" applyNumberFormat="1" applyFont="1" applyFill="1" applyBorder="1" applyAlignment="1">
      <alignment horizontal="center" vertical="center" wrapText="1"/>
    </xf>
    <xf numFmtId="0" fontId="58" fillId="0" borderId="168" xfId="0" applyFont="1" applyBorder="1"/>
    <xf numFmtId="0" fontId="69" fillId="0" borderId="170" xfId="0" applyFont="1" applyBorder="1" applyAlignment="1">
      <alignment wrapText="1"/>
    </xf>
    <xf numFmtId="164" fontId="58" fillId="0" borderId="210" xfId="0" applyNumberFormat="1" applyFont="1" applyBorder="1"/>
    <xf numFmtId="0" fontId="64" fillId="0" borderId="170" xfId="0" applyFont="1" applyBorder="1" applyAlignment="1">
      <alignment wrapText="1"/>
    </xf>
    <xf numFmtId="0" fontId="64" fillId="0" borderId="170" xfId="0" applyFont="1" applyBorder="1"/>
    <xf numFmtId="0" fontId="69" fillId="0" borderId="0" xfId="0" applyFont="1"/>
    <xf numFmtId="164" fontId="64" fillId="25" borderId="157" xfId="0" applyNumberFormat="1" applyFont="1" applyFill="1" applyBorder="1" applyAlignment="1">
      <alignment horizontal="center" vertical="center" wrapText="1"/>
    </xf>
    <xf numFmtId="0" fontId="64" fillId="25" borderId="159" xfId="0" applyFont="1" applyFill="1" applyBorder="1" applyAlignment="1">
      <alignment horizontal="center" vertical="center" wrapText="1"/>
    </xf>
    <xf numFmtId="164" fontId="57" fillId="25" borderId="209" xfId="0" applyNumberFormat="1" applyFont="1" applyFill="1" applyBorder="1" applyAlignment="1">
      <alignment horizontal="center" vertical="center" wrapText="1"/>
    </xf>
    <xf numFmtId="0" fontId="58" fillId="0" borderId="178" xfId="0" applyFont="1" applyBorder="1"/>
    <xf numFmtId="0" fontId="69" fillId="0" borderId="180" xfId="0" applyFont="1" applyBorder="1" applyAlignment="1">
      <alignment wrapText="1"/>
    </xf>
    <xf numFmtId="164" fontId="58" fillId="0" borderId="182" xfId="0" applyNumberFormat="1" applyFont="1" applyBorder="1"/>
    <xf numFmtId="0" fontId="58" fillId="0" borderId="211" xfId="0" applyFont="1" applyBorder="1"/>
    <xf numFmtId="0" fontId="64" fillId="0" borderId="180" xfId="0" applyFont="1" applyBorder="1" applyAlignment="1">
      <alignment wrapText="1"/>
    </xf>
    <xf numFmtId="0" fontId="58" fillId="0" borderId="28" xfId="0" applyFont="1" applyBorder="1"/>
    <xf numFmtId="0" fontId="58" fillId="0" borderId="102" xfId="0" applyFont="1" applyBorder="1"/>
    <xf numFmtId="0" fontId="64" fillId="0" borderId="180" xfId="0" applyFont="1" applyBorder="1"/>
    <xf numFmtId="164" fontId="58" fillId="0" borderId="0" xfId="0" applyNumberFormat="1" applyFont="1"/>
    <xf numFmtId="0" fontId="71" fillId="0" borderId="0" xfId="0" applyFont="1"/>
    <xf numFmtId="0" fontId="72" fillId="37" borderId="22" xfId="0" applyFont="1" applyFill="1" applyBorder="1" applyAlignment="1">
      <alignment horizontal="center"/>
    </xf>
    <xf numFmtId="0" fontId="72" fillId="37" borderId="21" xfId="0" applyFont="1" applyFill="1" applyBorder="1" applyAlignment="1">
      <alignment horizontal="center"/>
    </xf>
    <xf numFmtId="0" fontId="73" fillId="0" borderId="135" xfId="0" applyFont="1" applyBorder="1" applyAlignment="1">
      <alignment horizontal="left"/>
    </xf>
    <xf numFmtId="0" fontId="73" fillId="0" borderId="137" xfId="0" applyFont="1" applyBorder="1" applyAlignment="1">
      <alignment horizontal="left"/>
    </xf>
    <xf numFmtId="0" fontId="71" fillId="0" borderId="0" xfId="0" applyFont="1" applyAlignment="1">
      <alignment horizontal="left"/>
    </xf>
    <xf numFmtId="0" fontId="73" fillId="38" borderId="135" xfId="0" applyFont="1" applyFill="1" applyBorder="1" applyAlignment="1">
      <alignment horizontal="left"/>
    </xf>
    <xf numFmtId="0" fontId="71" fillId="0" borderId="137" xfId="0" applyFont="1" applyBorder="1"/>
    <xf numFmtId="0" fontId="75" fillId="0" borderId="0" xfId="0" applyFont="1"/>
    <xf numFmtId="0" fontId="76" fillId="40" borderId="103" xfId="0" applyFont="1" applyFill="1" applyBorder="1" applyAlignment="1">
      <alignment horizontal="center" vertical="center" wrapText="1"/>
    </xf>
    <xf numFmtId="0" fontId="75" fillId="0" borderId="0" xfId="0" applyFont="1" applyAlignment="1">
      <alignment vertical="center"/>
    </xf>
    <xf numFmtId="0" fontId="75" fillId="0" borderId="212" xfId="0" applyFont="1" applyBorder="1" applyAlignment="1">
      <alignment vertical="center" wrapText="1"/>
    </xf>
    <xf numFmtId="9" fontId="75" fillId="0" borderId="212" xfId="0" applyNumberFormat="1" applyFont="1" applyBorder="1" applyAlignment="1">
      <alignment horizontal="left" vertical="center" wrapText="1"/>
    </xf>
    <xf numFmtId="0" fontId="75" fillId="41" borderId="212" xfId="0" applyFont="1" applyFill="1" applyBorder="1" applyAlignment="1">
      <alignment vertical="center" wrapText="1"/>
    </xf>
    <xf numFmtId="9" fontId="75" fillId="41" borderId="212" xfId="0" applyNumberFormat="1" applyFont="1" applyFill="1" applyBorder="1" applyAlignment="1">
      <alignment horizontal="left" vertical="center" wrapText="1"/>
    </xf>
    <xf numFmtId="0" fontId="77" fillId="0" borderId="0" xfId="0" applyFont="1" applyAlignment="1">
      <alignment vertical="center"/>
    </xf>
    <xf numFmtId="0" fontId="76" fillId="40" borderId="103" xfId="0" applyFont="1" applyFill="1" applyBorder="1" applyAlignment="1">
      <alignment horizontal="center" vertical="center"/>
    </xf>
    <xf numFmtId="0" fontId="75" fillId="0" borderId="212" xfId="0" applyFont="1" applyBorder="1" applyAlignment="1">
      <alignment vertical="center"/>
    </xf>
    <xf numFmtId="3" fontId="75" fillId="0" borderId="212" xfId="0" applyNumberFormat="1" applyFont="1" applyBorder="1" applyAlignment="1">
      <alignment vertical="center"/>
    </xf>
    <xf numFmtId="0" fontId="75" fillId="41" borderId="212" xfId="0" applyFont="1" applyFill="1" applyBorder="1" applyAlignment="1">
      <alignment vertical="center"/>
    </xf>
    <xf numFmtId="3" fontId="75" fillId="41" borderId="212" xfId="0" applyNumberFormat="1" applyFont="1" applyFill="1" applyBorder="1" applyAlignment="1">
      <alignment vertical="center"/>
    </xf>
    <xf numFmtId="3" fontId="77" fillId="0" borderId="0" xfId="0" applyNumberFormat="1" applyFont="1" applyAlignment="1">
      <alignment vertical="center"/>
    </xf>
    <xf numFmtId="0" fontId="22" fillId="0" borderId="19" xfId="0" applyFont="1" applyBorder="1" applyAlignment="1">
      <alignment wrapText="1"/>
    </xf>
    <xf numFmtId="0" fontId="6" fillId="0" borderId="20" xfId="0" applyFont="1" applyBorder="1"/>
    <xf numFmtId="0" fontId="6" fillId="0" borderId="21" xfId="0" applyFont="1" applyBorder="1"/>
    <xf numFmtId="0" fontId="3" fillId="0" borderId="0" xfId="0" applyFont="1" applyAlignment="1">
      <alignment horizontal="center"/>
    </xf>
    <xf numFmtId="0" fontId="0" fillId="0" borderId="0" xfId="0"/>
    <xf numFmtId="0" fontId="5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21" fillId="14" borderId="19" xfId="0" applyFont="1" applyFill="1" applyBorder="1" applyAlignment="1">
      <alignment wrapText="1"/>
    </xf>
    <xf numFmtId="0" fontId="26" fillId="9" borderId="37" xfId="0" applyFont="1" applyFill="1" applyBorder="1" applyAlignment="1">
      <alignment horizontal="left" vertical="center"/>
    </xf>
    <xf numFmtId="0" fontId="6" fillId="0" borderId="38" xfId="0" applyFont="1" applyBorder="1"/>
    <xf numFmtId="0" fontId="26" fillId="9" borderId="43" xfId="0" applyFont="1" applyFill="1" applyBorder="1" applyAlignment="1">
      <alignment horizontal="left" vertical="center"/>
    </xf>
    <xf numFmtId="0" fontId="6" fillId="0" borderId="39" xfId="0" applyFont="1" applyBorder="1"/>
    <xf numFmtId="0" fontId="26" fillId="9" borderId="46" xfId="0" applyFont="1" applyFill="1" applyBorder="1" applyAlignment="1">
      <alignment horizontal="left" vertical="center"/>
    </xf>
    <xf numFmtId="0" fontId="6" fillId="0" borderId="47" xfId="0" applyFont="1" applyBorder="1"/>
    <xf numFmtId="0" fontId="25" fillId="3" borderId="30" xfId="0" applyFont="1" applyFill="1" applyBorder="1" applyAlignment="1">
      <alignment horizontal="center" vertical="center" wrapText="1"/>
    </xf>
    <xf numFmtId="0" fontId="6" fillId="0" borderId="31" xfId="0" applyFont="1" applyBorder="1"/>
    <xf numFmtId="0" fontId="6" fillId="0" borderId="54" xfId="0" applyFont="1" applyBorder="1"/>
    <xf numFmtId="0" fontId="26" fillId="0" borderId="55" xfId="0" applyFont="1" applyBorder="1" applyAlignment="1">
      <alignment vertical="center"/>
    </xf>
    <xf numFmtId="0" fontId="26" fillId="0" borderId="57" xfId="0" applyFont="1" applyBorder="1" applyAlignment="1">
      <alignment vertical="center"/>
    </xf>
    <xf numFmtId="0" fontId="6" fillId="0" borderId="58" xfId="0" applyFont="1" applyBorder="1"/>
    <xf numFmtId="0" fontId="33" fillId="3" borderId="60" xfId="0" applyFont="1" applyFill="1" applyBorder="1" applyAlignment="1">
      <alignment horizontal="center" vertical="center"/>
    </xf>
    <xf numFmtId="0" fontId="6" fillId="0" borderId="66" xfId="0" applyFont="1" applyBorder="1"/>
    <xf numFmtId="0" fontId="33" fillId="3" borderId="61" xfId="0" applyFont="1" applyFill="1" applyBorder="1" applyAlignment="1">
      <alignment horizontal="center" vertical="center" wrapText="1"/>
    </xf>
    <xf numFmtId="0" fontId="6" fillId="0" borderId="67" xfId="0" applyFont="1" applyBorder="1"/>
    <xf numFmtId="0" fontId="33" fillId="3" borderId="62" xfId="0" applyFont="1" applyFill="1" applyBorder="1" applyAlignment="1">
      <alignment horizontal="center" vertical="center"/>
    </xf>
    <xf numFmtId="0" fontId="6" fillId="0" borderId="32" xfId="0" applyFont="1" applyBorder="1"/>
    <xf numFmtId="0" fontId="6" fillId="0" borderId="68" xfId="0" applyFont="1" applyBorder="1"/>
    <xf numFmtId="0" fontId="6" fillId="0" borderId="69" xfId="0" applyFont="1" applyBorder="1"/>
    <xf numFmtId="0" fontId="33" fillId="3" borderId="61" xfId="0" applyFont="1" applyFill="1" applyBorder="1" applyAlignment="1">
      <alignment horizontal="center" vertical="center"/>
    </xf>
    <xf numFmtId="164" fontId="34" fillId="3" borderId="63" xfId="0" applyNumberFormat="1" applyFont="1" applyFill="1" applyBorder="1" applyAlignment="1">
      <alignment horizontal="center" vertical="center"/>
    </xf>
    <xf numFmtId="0" fontId="6" fillId="0" borderId="64" xfId="0" applyFont="1" applyBorder="1"/>
    <xf numFmtId="0" fontId="6" fillId="0" borderId="65" xfId="0" applyFont="1" applyBorder="1"/>
    <xf numFmtId="164" fontId="31" fillId="16" borderId="63" xfId="0" applyNumberFormat="1" applyFont="1" applyFill="1" applyBorder="1" applyAlignment="1">
      <alignment horizontal="center" vertical="center"/>
    </xf>
    <xf numFmtId="164" fontId="31" fillId="17" borderId="63" xfId="0" applyNumberFormat="1" applyFont="1" applyFill="1" applyBorder="1" applyAlignment="1">
      <alignment horizontal="center" vertical="center"/>
    </xf>
    <xf numFmtId="0" fontId="27" fillId="15" borderId="23" xfId="0" applyFont="1" applyFill="1" applyBorder="1" applyAlignment="1">
      <alignment horizontal="center" vertical="center"/>
    </xf>
    <xf numFmtId="0" fontId="6" fillId="0" borderId="24" xfId="0" applyFont="1" applyBorder="1"/>
    <xf numFmtId="0" fontId="6" fillId="0" borderId="25" xfId="0" applyFont="1" applyBorder="1"/>
    <xf numFmtId="0" fontId="6" fillId="0" borderId="26" xfId="0" applyFont="1" applyBorder="1"/>
    <xf numFmtId="0" fontId="6" fillId="0" borderId="27" xfId="0" applyFont="1" applyBorder="1"/>
    <xf numFmtId="0" fontId="6" fillId="0" borderId="28" xfId="0" applyFont="1" applyBorder="1"/>
    <xf numFmtId="0" fontId="6" fillId="0" borderId="36" xfId="0" applyFont="1" applyBorder="1"/>
    <xf numFmtId="0" fontId="6" fillId="0" borderId="37" xfId="0" applyFont="1" applyBorder="1"/>
    <xf numFmtId="0" fontId="30" fillId="3" borderId="32" xfId="0" applyFont="1" applyFill="1" applyBorder="1" applyAlignment="1">
      <alignment horizontal="center" vertical="center" wrapText="1"/>
    </xf>
    <xf numFmtId="0" fontId="30" fillId="3" borderId="33" xfId="0" applyFont="1" applyFill="1" applyBorder="1" applyAlignment="1">
      <alignment horizontal="center" vertical="center" wrapText="1"/>
    </xf>
    <xf numFmtId="0" fontId="6" fillId="0" borderId="34" xfId="0" applyFont="1" applyBorder="1"/>
    <xf numFmtId="0" fontId="6" fillId="0" borderId="35" xfId="0" applyFont="1" applyBorder="1"/>
    <xf numFmtId="0" fontId="31" fillId="16" borderId="33" xfId="0" applyFont="1" applyFill="1" applyBorder="1" applyAlignment="1">
      <alignment horizontal="center" vertical="center" wrapText="1"/>
    </xf>
    <xf numFmtId="0" fontId="31" fillId="17" borderId="33" xfId="0" applyFont="1" applyFill="1" applyBorder="1" applyAlignment="1">
      <alignment horizontal="center" vertical="center" wrapText="1"/>
    </xf>
    <xf numFmtId="0" fontId="25" fillId="3" borderId="40" xfId="0" applyFont="1" applyFill="1" applyBorder="1" applyAlignment="1">
      <alignment horizontal="center" vertical="center" wrapText="1"/>
    </xf>
    <xf numFmtId="0" fontId="6" fillId="0" borderId="41" xfId="0" applyFont="1" applyBorder="1"/>
    <xf numFmtId="0" fontId="6" fillId="0" borderId="42" xfId="0" applyFont="1" applyBorder="1"/>
    <xf numFmtId="0" fontId="26" fillId="2" borderId="43" xfId="0" applyFont="1" applyFill="1" applyBorder="1" applyAlignment="1">
      <alignment horizontal="left" vertical="center"/>
    </xf>
    <xf numFmtId="0" fontId="26" fillId="9" borderId="43" xfId="0" applyFont="1" applyFill="1" applyBorder="1" applyAlignment="1">
      <alignment horizontal="center" vertical="center"/>
    </xf>
    <xf numFmtId="0" fontId="26" fillId="2" borderId="43" xfId="0" applyFont="1" applyFill="1" applyBorder="1" applyAlignment="1">
      <alignment horizontal="center" vertical="center"/>
    </xf>
    <xf numFmtId="0" fontId="26" fillId="2" borderId="46" xfId="0" applyFont="1" applyFill="1" applyBorder="1" applyAlignment="1">
      <alignment horizontal="center" vertical="center"/>
    </xf>
    <xf numFmtId="0" fontId="26" fillId="9" borderId="51" xfId="0" applyFont="1" applyFill="1" applyBorder="1" applyAlignment="1">
      <alignment horizontal="center" vertical="center"/>
    </xf>
    <xf numFmtId="0" fontId="6" fillId="0" borderId="52" xfId="0" applyFont="1" applyBorder="1"/>
    <xf numFmtId="0" fontId="26" fillId="3" borderId="43" xfId="0" applyFont="1" applyFill="1" applyBorder="1" applyAlignment="1">
      <alignment horizontal="center" vertical="center"/>
    </xf>
    <xf numFmtId="0" fontId="26" fillId="0" borderId="74" xfId="0" applyFont="1" applyBorder="1" applyAlignment="1">
      <alignment vertical="center" wrapText="1"/>
    </xf>
    <xf numFmtId="0" fontId="6" fillId="0" borderId="75" xfId="0" applyFont="1" applyBorder="1"/>
    <xf numFmtId="0" fontId="26" fillId="19" borderId="79" xfId="0" applyFont="1" applyFill="1" applyBorder="1" applyAlignment="1">
      <alignment vertical="center" wrapText="1"/>
    </xf>
    <xf numFmtId="0" fontId="6" fillId="0" borderId="80" xfId="0" applyFont="1" applyBorder="1"/>
    <xf numFmtId="0" fontId="26" fillId="0" borderId="79" xfId="0" applyFont="1" applyBorder="1" applyAlignment="1">
      <alignment vertical="center" wrapText="1"/>
    </xf>
    <xf numFmtId="0" fontId="26" fillId="19" borderId="84" xfId="0" applyFont="1" applyFill="1" applyBorder="1" applyAlignment="1">
      <alignment vertical="center" wrapText="1"/>
    </xf>
    <xf numFmtId="0" fontId="6" fillId="0" borderId="85" xfId="0" applyFont="1" applyBorder="1"/>
    <xf numFmtId="0" fontId="6" fillId="0" borderId="87" xfId="0" applyFont="1" applyBorder="1"/>
    <xf numFmtId="0" fontId="28" fillId="9" borderId="23" xfId="0" applyFont="1" applyFill="1" applyBorder="1" applyAlignment="1">
      <alignment horizontal="left" vertical="center"/>
    </xf>
    <xf numFmtId="0" fontId="30" fillId="3" borderId="30" xfId="0" applyFont="1" applyFill="1" applyBorder="1" applyAlignment="1">
      <alignment horizontal="center" vertical="center"/>
    </xf>
    <xf numFmtId="0" fontId="6" fillId="0" borderId="55" xfId="0" applyFont="1" applyBorder="1"/>
    <xf numFmtId="0" fontId="6" fillId="0" borderId="88" xfId="0" applyFont="1" applyBorder="1"/>
    <xf numFmtId="0" fontId="30" fillId="3" borderId="62" xfId="0" applyFont="1" applyFill="1" applyBorder="1" applyAlignment="1">
      <alignment horizontal="center" vertical="center"/>
    </xf>
    <xf numFmtId="0" fontId="6" fillId="0" borderId="89" xfId="0" applyFont="1" applyBorder="1"/>
    <xf numFmtId="0" fontId="6" fillId="0" borderId="90" xfId="0" applyFont="1" applyBorder="1"/>
    <xf numFmtId="0" fontId="30" fillId="3" borderId="30" xfId="0" applyFont="1" applyFill="1" applyBorder="1" applyAlignment="1">
      <alignment horizontal="center" vertical="center" wrapText="1"/>
    </xf>
    <xf numFmtId="0" fontId="31" fillId="16" borderId="30" xfId="0" applyFont="1" applyFill="1" applyBorder="1" applyAlignment="1">
      <alignment horizontal="center" vertical="center" wrapText="1"/>
    </xf>
    <xf numFmtId="0" fontId="31" fillId="17" borderId="30" xfId="0" applyFont="1" applyFill="1" applyBorder="1" applyAlignment="1">
      <alignment horizontal="center" vertical="center" wrapText="1"/>
    </xf>
    <xf numFmtId="0" fontId="31" fillId="17" borderId="40" xfId="0" applyFont="1" applyFill="1" applyBorder="1" applyAlignment="1">
      <alignment horizontal="center" vertical="center" wrapText="1"/>
    </xf>
    <xf numFmtId="0" fontId="31" fillId="21" borderId="40" xfId="0" applyFont="1" applyFill="1" applyBorder="1" applyAlignment="1">
      <alignment horizontal="center" vertical="center"/>
    </xf>
    <xf numFmtId="0" fontId="31" fillId="22" borderId="41" xfId="0" applyFont="1" applyFill="1" applyBorder="1" applyAlignment="1">
      <alignment horizontal="center" vertical="center"/>
    </xf>
    <xf numFmtId="0" fontId="30" fillId="3" borderId="40" xfId="0" applyFont="1" applyFill="1" applyBorder="1" applyAlignment="1">
      <alignment horizontal="center" vertical="center" wrapText="1"/>
    </xf>
    <xf numFmtId="0" fontId="31" fillId="16" borderId="40" xfId="0" applyFont="1" applyFill="1" applyBorder="1" applyAlignment="1">
      <alignment horizontal="center" vertical="center" wrapText="1"/>
    </xf>
    <xf numFmtId="0" fontId="31" fillId="21" borderId="91" xfId="0" applyFont="1" applyFill="1" applyBorder="1" applyAlignment="1">
      <alignment horizontal="center" vertical="center" wrapText="1"/>
    </xf>
    <xf numFmtId="0" fontId="6" fillId="0" borderId="92" xfId="0" applyFont="1" applyBorder="1"/>
    <xf numFmtId="0" fontId="6" fillId="0" borderId="93" xfId="0" applyFont="1" applyBorder="1"/>
    <xf numFmtId="0" fontId="40" fillId="9" borderId="87" xfId="0" applyFont="1" applyFill="1" applyBorder="1" applyAlignment="1">
      <alignment horizontal="left" vertical="center" wrapText="1"/>
    </xf>
    <xf numFmtId="0" fontId="6" fillId="0" borderId="99" xfId="0" applyFont="1" applyBorder="1"/>
    <xf numFmtId="0" fontId="40" fillId="9" borderId="0" xfId="0" applyFont="1" applyFill="1" applyAlignment="1">
      <alignment horizontal="center" vertical="center" wrapText="1"/>
    </xf>
    <xf numFmtId="0" fontId="40" fillId="9" borderId="0" xfId="0" applyFont="1" applyFill="1" applyAlignment="1">
      <alignment horizontal="left" vertical="center" wrapText="1"/>
    </xf>
    <xf numFmtId="0" fontId="25" fillId="9" borderId="0" xfId="0" applyFont="1" applyFill="1" applyAlignment="1">
      <alignment horizontal="left" vertical="center" wrapText="1"/>
    </xf>
    <xf numFmtId="0" fontId="40" fillId="9" borderId="106" xfId="0" applyFont="1" applyFill="1" applyBorder="1" applyAlignment="1">
      <alignment horizontal="left" vertical="center" wrapText="1"/>
    </xf>
    <xf numFmtId="0" fontId="6" fillId="0" borderId="107" xfId="0" applyFont="1" applyBorder="1"/>
    <xf numFmtId="0" fontId="6" fillId="0" borderId="108" xfId="0" applyFont="1" applyBorder="1"/>
    <xf numFmtId="0" fontId="25" fillId="9" borderId="23" xfId="0" applyFont="1" applyFill="1" applyBorder="1" applyAlignment="1">
      <alignment horizontal="center" vertical="center"/>
    </xf>
    <xf numFmtId="0" fontId="28" fillId="9" borderId="100" xfId="0" applyFont="1" applyFill="1" applyBorder="1" applyAlignment="1">
      <alignment horizontal="left" vertical="center"/>
    </xf>
    <xf numFmtId="0" fontId="6" fillId="0" borderId="101" xfId="0" applyFont="1" applyBorder="1"/>
    <xf numFmtId="0" fontId="6" fillId="0" borderId="102" xfId="0" applyFont="1" applyBorder="1"/>
    <xf numFmtId="0" fontId="30" fillId="3" borderId="60" xfId="0" applyFont="1" applyFill="1" applyBorder="1" applyAlignment="1">
      <alignment horizontal="center" vertical="center"/>
    </xf>
    <xf numFmtId="0" fontId="6" fillId="0" borderId="53" xfId="0" applyFont="1" applyBorder="1"/>
    <xf numFmtId="0" fontId="30" fillId="3" borderId="61" xfId="0" applyFont="1" applyFill="1" applyBorder="1" applyAlignment="1">
      <alignment horizontal="center" vertical="center"/>
    </xf>
    <xf numFmtId="0" fontId="6" fillId="0" borderId="104" xfId="0" applyFont="1" applyBorder="1"/>
    <xf numFmtId="164" fontId="31" fillId="21" borderId="46" xfId="0" applyNumberFormat="1" applyFont="1" applyFill="1" applyBorder="1" applyAlignment="1">
      <alignment horizontal="right" vertical="center"/>
    </xf>
    <xf numFmtId="0" fontId="6" fillId="0" borderId="96" xfId="0" applyFont="1" applyBorder="1"/>
    <xf numFmtId="0" fontId="6" fillId="0" borderId="97" xfId="0" applyFont="1" applyBorder="1"/>
    <xf numFmtId="0" fontId="40" fillId="9" borderId="100" xfId="0" applyFont="1" applyFill="1" applyBorder="1" applyAlignment="1">
      <alignment horizontal="left" vertical="center" wrapText="1"/>
    </xf>
    <xf numFmtId="0" fontId="30" fillId="3" borderId="61" xfId="0" applyFont="1" applyFill="1" applyBorder="1" applyAlignment="1">
      <alignment horizontal="center" vertical="center" wrapText="1"/>
    </xf>
    <xf numFmtId="0" fontId="36" fillId="15" borderId="0" xfId="0" applyFont="1" applyFill="1" applyAlignment="1">
      <alignment horizontal="center" vertical="center" wrapText="1"/>
    </xf>
    <xf numFmtId="0" fontId="25" fillId="3" borderId="33" xfId="0" applyFont="1" applyFill="1" applyBorder="1" applyAlignment="1">
      <alignment horizontal="center" vertical="center"/>
    </xf>
    <xf numFmtId="0" fontId="31" fillId="21" borderId="95" xfId="0" applyFont="1" applyFill="1" applyBorder="1" applyAlignment="1">
      <alignment horizontal="left" vertical="center"/>
    </xf>
    <xf numFmtId="0" fontId="40" fillId="9" borderId="105" xfId="0" applyFont="1" applyFill="1" applyBorder="1" applyAlignment="1">
      <alignment horizontal="center" vertical="center" wrapText="1"/>
    </xf>
    <xf numFmtId="0" fontId="6" fillId="0" borderId="109" xfId="0" applyFont="1" applyBorder="1"/>
    <xf numFmtId="0" fontId="6" fillId="0" borderId="110" xfId="0" applyFont="1" applyBorder="1"/>
    <xf numFmtId="164" fontId="40" fillId="2" borderId="19" xfId="0" applyNumberFormat="1" applyFont="1" applyFill="1" applyBorder="1" applyAlignment="1">
      <alignment vertical="center" wrapText="1"/>
    </xf>
    <xf numFmtId="0" fontId="30" fillId="30" borderId="130" xfId="0" applyFont="1" applyFill="1" applyBorder="1" applyAlignment="1">
      <alignment horizontal="center" vertical="center"/>
    </xf>
    <xf numFmtId="0" fontId="6" fillId="0" borderId="131" xfId="0" applyFont="1" applyBorder="1"/>
    <xf numFmtId="0" fontId="6" fillId="0" borderId="132" xfId="0" applyFont="1" applyBorder="1"/>
    <xf numFmtId="0" fontId="46" fillId="3" borderId="19" xfId="0" applyFont="1" applyFill="1" applyBorder="1" applyAlignment="1">
      <alignment horizontal="center" vertical="center"/>
    </xf>
    <xf numFmtId="0" fontId="46" fillId="3" borderId="0" xfId="0" applyFont="1" applyFill="1" applyAlignment="1">
      <alignment vertical="center"/>
    </xf>
    <xf numFmtId="0" fontId="29" fillId="0" borderId="136" xfId="0" applyFont="1" applyBorder="1" applyAlignment="1">
      <alignment vertical="center"/>
    </xf>
    <xf numFmtId="0" fontId="6" fillId="0" borderId="136" xfId="0" applyFont="1" applyBorder="1"/>
    <xf numFmtId="0" fontId="6" fillId="0" borderId="137" xfId="0" applyFont="1" applyBorder="1"/>
    <xf numFmtId="0" fontId="39" fillId="2" borderId="133" xfId="0" applyFont="1" applyFill="1" applyBorder="1" applyAlignment="1">
      <alignment horizontal="right" vertical="center"/>
    </xf>
    <xf numFmtId="0" fontId="6" fillId="0" borderId="134" xfId="0" applyFont="1" applyBorder="1"/>
    <xf numFmtId="0" fontId="6" fillId="0" borderId="135" xfId="0" applyFont="1" applyBorder="1"/>
    <xf numFmtId="0" fontId="40" fillId="2" borderId="133" xfId="0" applyFont="1" applyFill="1" applyBorder="1" applyAlignment="1">
      <alignment horizontal="center" vertical="center" wrapText="1"/>
    </xf>
    <xf numFmtId="164" fontId="30" fillId="2" borderId="19" xfId="0" applyNumberFormat="1" applyFont="1" applyFill="1" applyBorder="1" applyAlignment="1">
      <alignment vertical="center" wrapText="1"/>
    </xf>
    <xf numFmtId="0" fontId="25" fillId="2" borderId="19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164" fontId="30" fillId="3" borderId="19" xfId="0" applyNumberFormat="1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42" fillId="27" borderId="0" xfId="0" applyFont="1" applyFill="1" applyAlignment="1">
      <alignment horizontal="center" vertical="center"/>
    </xf>
    <xf numFmtId="0" fontId="30" fillId="3" borderId="33" xfId="0" applyFont="1" applyFill="1" applyBorder="1" applyAlignment="1">
      <alignment horizontal="center" vertical="center"/>
    </xf>
    <xf numFmtId="0" fontId="6" fillId="0" borderId="112" xfId="0" applyFont="1" applyBorder="1"/>
    <xf numFmtId="0" fontId="30" fillId="3" borderId="113" xfId="0" applyFont="1" applyFill="1" applyBorder="1" applyAlignment="1">
      <alignment horizontal="center" vertical="center"/>
    </xf>
    <xf numFmtId="0" fontId="31" fillId="16" borderId="34" xfId="0" applyFont="1" applyFill="1" applyBorder="1" applyAlignment="1">
      <alignment horizontal="center" vertical="center"/>
    </xf>
    <xf numFmtId="0" fontId="31" fillId="17" borderId="33" xfId="0" applyFont="1" applyFill="1" applyBorder="1" applyAlignment="1">
      <alignment horizontal="center" vertical="center"/>
    </xf>
    <xf numFmtId="0" fontId="30" fillId="3" borderId="40" xfId="0" applyFont="1" applyFill="1" applyBorder="1" applyAlignment="1">
      <alignment horizontal="center" vertical="center"/>
    </xf>
    <xf numFmtId="0" fontId="45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0" fillId="3" borderId="119" xfId="0" applyFont="1" applyFill="1" applyBorder="1" applyAlignment="1">
      <alignment vertical="center" wrapText="1"/>
    </xf>
    <xf numFmtId="0" fontId="6" fillId="0" borderId="124" xfId="0" applyFont="1" applyBorder="1"/>
    <xf numFmtId="0" fontId="30" fillId="3" borderId="115" xfId="0" applyFont="1" applyFill="1" applyBorder="1" applyAlignment="1">
      <alignment horizontal="center" vertical="center"/>
    </xf>
    <xf numFmtId="0" fontId="6" fillId="0" borderId="116" xfId="0" applyFont="1" applyBorder="1"/>
    <xf numFmtId="0" fontId="6" fillId="0" borderId="117" xfId="0" applyFont="1" applyBorder="1"/>
    <xf numFmtId="0" fontId="30" fillId="3" borderId="120" xfId="0" applyFont="1" applyFill="1" applyBorder="1" applyAlignment="1">
      <alignment horizontal="center" vertical="center"/>
    </xf>
    <xf numFmtId="0" fontId="6" fillId="0" borderId="121" xfId="0" applyFont="1" applyBorder="1"/>
    <xf numFmtId="0" fontId="6" fillId="0" borderId="122" xfId="0" applyFont="1" applyBorder="1"/>
    <xf numFmtId="0" fontId="30" fillId="3" borderId="126" xfId="0" applyFont="1" applyFill="1" applyBorder="1" applyAlignment="1">
      <alignment horizontal="center" vertical="center"/>
    </xf>
    <xf numFmtId="3" fontId="25" fillId="3" borderId="61" xfId="0" applyNumberFormat="1" applyFont="1" applyFill="1" applyBorder="1" applyAlignment="1">
      <alignment horizontal="center" vertical="center"/>
    </xf>
    <xf numFmtId="0" fontId="27" fillId="15" borderId="0" xfId="0" applyFont="1" applyFill="1" applyAlignment="1">
      <alignment horizontal="center" vertical="center"/>
    </xf>
    <xf numFmtId="0" fontId="25" fillId="3" borderId="60" xfId="0" applyFont="1" applyFill="1" applyBorder="1" applyAlignment="1">
      <alignment horizontal="center" vertical="center"/>
    </xf>
    <xf numFmtId="0" fontId="25" fillId="3" borderId="61" xfId="0" applyFont="1" applyFill="1" applyBorder="1" applyAlignment="1">
      <alignment horizontal="center" vertical="center" wrapText="1"/>
    </xf>
    <xf numFmtId="3" fontId="25" fillId="3" borderId="62" xfId="0" applyNumberFormat="1" applyFont="1" applyFill="1" applyBorder="1" applyAlignment="1">
      <alignment horizontal="center" vertical="center"/>
    </xf>
    <xf numFmtId="0" fontId="25" fillId="3" borderId="61" xfId="0" applyFont="1" applyFill="1" applyBorder="1" applyAlignment="1">
      <alignment horizontal="center" vertical="center"/>
    </xf>
    <xf numFmtId="0" fontId="25" fillId="3" borderId="152" xfId="0" applyFont="1" applyFill="1" applyBorder="1" applyAlignment="1">
      <alignment horizontal="center" vertical="center"/>
    </xf>
    <xf numFmtId="0" fontId="6" fillId="0" borderId="163" xfId="0" applyFont="1" applyBorder="1"/>
    <xf numFmtId="0" fontId="49" fillId="3" borderId="153" xfId="0" applyFont="1" applyFill="1" applyBorder="1" applyAlignment="1">
      <alignment horizontal="center" vertical="center" wrapText="1"/>
    </xf>
    <xf numFmtId="0" fontId="6" fillId="0" borderId="154" xfId="0" applyFont="1" applyBorder="1"/>
    <xf numFmtId="0" fontId="6" fillId="0" borderId="164" xfId="0" applyFont="1" applyBorder="1"/>
    <xf numFmtId="0" fontId="6" fillId="0" borderId="165" xfId="0" applyFont="1" applyBorder="1"/>
    <xf numFmtId="0" fontId="25" fillId="3" borderId="155" xfId="0" applyFont="1" applyFill="1" applyBorder="1" applyAlignment="1">
      <alignment horizontal="center" vertical="center"/>
    </xf>
    <xf numFmtId="0" fontId="6" fillId="0" borderId="166" xfId="0" applyFont="1" applyBorder="1"/>
    <xf numFmtId="164" fontId="25" fillId="3" borderId="155" xfId="0" applyNumberFormat="1" applyFont="1" applyFill="1" applyBorder="1" applyAlignment="1">
      <alignment horizontal="center" vertical="center"/>
    </xf>
    <xf numFmtId="164" fontId="25" fillId="3" borderId="155" xfId="0" applyNumberFormat="1" applyFont="1" applyFill="1" applyBorder="1" applyAlignment="1">
      <alignment horizontal="center" vertical="center" wrapText="1"/>
    </xf>
    <xf numFmtId="4" fontId="25" fillId="3" borderId="156" xfId="0" applyNumberFormat="1" applyFont="1" applyFill="1" applyBorder="1" applyAlignment="1">
      <alignment horizontal="center" vertical="center" wrapText="1"/>
    </xf>
    <xf numFmtId="0" fontId="6" fillId="0" borderId="167" xfId="0" applyFont="1" applyBorder="1"/>
    <xf numFmtId="0" fontId="26" fillId="29" borderId="174" xfId="0" applyFont="1" applyFill="1" applyBorder="1" applyAlignment="1">
      <alignment vertical="center"/>
    </xf>
    <xf numFmtId="0" fontId="6" fillId="0" borderId="175" xfId="0" applyFont="1" applyBorder="1"/>
    <xf numFmtId="0" fontId="26" fillId="0" borderId="174" xfId="0" applyFont="1" applyBorder="1" applyAlignment="1">
      <alignment vertical="center"/>
    </xf>
    <xf numFmtId="0" fontId="26" fillId="0" borderId="185" xfId="0" applyFont="1" applyBorder="1" applyAlignment="1">
      <alignment horizontal="left" vertical="center"/>
    </xf>
    <xf numFmtId="0" fontId="6" fillId="0" borderId="186" xfId="0" applyFont="1" applyBorder="1"/>
    <xf numFmtId="164" fontId="25" fillId="33" borderId="100" xfId="0" applyNumberFormat="1" applyFont="1" applyFill="1" applyBorder="1" applyAlignment="1">
      <alignment horizontal="center" vertical="center"/>
    </xf>
    <xf numFmtId="164" fontId="25" fillId="3" borderId="61" xfId="0" applyNumberFormat="1" applyFont="1" applyFill="1" applyBorder="1" applyAlignment="1">
      <alignment horizontal="center" vertical="center" wrapText="1"/>
    </xf>
    <xf numFmtId="0" fontId="25" fillId="3" borderId="189" xfId="0" applyFont="1" applyFill="1" applyBorder="1" applyAlignment="1">
      <alignment horizontal="center" vertical="center"/>
    </xf>
    <xf numFmtId="0" fontId="6" fillId="0" borderId="190" xfId="0" applyFont="1" applyBorder="1"/>
    <xf numFmtId="0" fontId="31" fillId="16" borderId="40" xfId="0" applyFont="1" applyFill="1" applyBorder="1" applyAlignment="1">
      <alignment horizontal="center" vertical="center"/>
    </xf>
    <xf numFmtId="0" fontId="31" fillId="17" borderId="40" xfId="0" applyFont="1" applyFill="1" applyBorder="1" applyAlignment="1">
      <alignment horizontal="center" vertical="center"/>
    </xf>
    <xf numFmtId="0" fontId="25" fillId="3" borderId="40" xfId="0" applyFont="1" applyFill="1" applyBorder="1" applyAlignment="1">
      <alignment horizontal="center" vertical="center"/>
    </xf>
    <xf numFmtId="0" fontId="30" fillId="9" borderId="0" xfId="0" applyFont="1" applyFill="1" applyAlignment="1">
      <alignment horizontal="left" vertical="center" wrapText="1"/>
    </xf>
    <xf numFmtId="164" fontId="41" fillId="2" borderId="26" xfId="0" applyNumberFormat="1" applyFont="1" applyFill="1" applyBorder="1" applyAlignment="1">
      <alignment horizontal="center" vertical="center"/>
    </xf>
    <xf numFmtId="164" fontId="41" fillId="2" borderId="100" xfId="0" applyNumberFormat="1" applyFont="1" applyFill="1" applyBorder="1" applyAlignment="1">
      <alignment horizontal="center" vertical="center"/>
    </xf>
    <xf numFmtId="164" fontId="27" fillId="15" borderId="23" xfId="0" applyNumberFormat="1" applyFont="1" applyFill="1" applyBorder="1" applyAlignment="1">
      <alignment horizontal="center" vertical="center"/>
    </xf>
    <xf numFmtId="164" fontId="25" fillId="33" borderId="27" xfId="0" applyNumberFormat="1" applyFont="1" applyFill="1" applyBorder="1" applyAlignment="1">
      <alignment horizontal="center" vertical="center"/>
    </xf>
    <xf numFmtId="0" fontId="25" fillId="3" borderId="113" xfId="0" applyFont="1" applyFill="1" applyBorder="1" applyAlignment="1">
      <alignment horizontal="center" vertical="center" wrapText="1"/>
    </xf>
    <xf numFmtId="164" fontId="30" fillId="3" borderId="60" xfId="0" applyNumberFormat="1" applyFont="1" applyFill="1" applyBorder="1" applyAlignment="1">
      <alignment horizontal="center" vertical="center" wrapText="1"/>
    </xf>
    <xf numFmtId="164" fontId="31" fillId="16" borderId="60" xfId="0" applyNumberFormat="1" applyFont="1" applyFill="1" applyBorder="1" applyAlignment="1">
      <alignment horizontal="center" vertical="center" wrapText="1"/>
    </xf>
    <xf numFmtId="164" fontId="31" fillId="17" borderId="60" xfId="0" applyNumberFormat="1" applyFont="1" applyFill="1" applyBorder="1" applyAlignment="1">
      <alignment horizontal="center" vertical="center" wrapText="1"/>
    </xf>
    <xf numFmtId="164" fontId="25" fillId="3" borderId="54" xfId="0" applyNumberFormat="1" applyFont="1" applyFill="1" applyBorder="1" applyAlignment="1">
      <alignment horizontal="center" vertical="center" wrapText="1"/>
    </xf>
    <xf numFmtId="0" fontId="6" fillId="0" borderId="56" xfId="0" applyFont="1" applyBorder="1"/>
    <xf numFmtId="0" fontId="6" fillId="0" borderId="59" xfId="0" applyFont="1" applyBorder="1"/>
    <xf numFmtId="0" fontId="52" fillId="34" borderId="19" xfId="0" applyFont="1" applyFill="1" applyBorder="1" applyAlignment="1">
      <alignment horizontal="center"/>
    </xf>
    <xf numFmtId="0" fontId="52" fillId="34" borderId="19" xfId="0" applyFont="1" applyFill="1" applyBorder="1" applyAlignment="1">
      <alignment horizontal="center" vertical="center"/>
    </xf>
    <xf numFmtId="0" fontId="57" fillId="3" borderId="195" xfId="0" applyFont="1" applyFill="1" applyBorder="1" applyAlignment="1">
      <alignment horizontal="center" vertical="center"/>
    </xf>
    <xf numFmtId="0" fontId="6" fillId="0" borderId="196" xfId="0" applyFont="1" applyBorder="1"/>
    <xf numFmtId="0" fontId="57" fillId="3" borderId="195" xfId="0" applyFont="1" applyFill="1" applyBorder="1" applyAlignment="1">
      <alignment horizontal="right" vertical="center"/>
    </xf>
    <xf numFmtId="0" fontId="59" fillId="0" borderId="0" xfId="0" applyFont="1" applyAlignment="1">
      <alignment horizontal="right" vertical="center"/>
    </xf>
    <xf numFmtId="0" fontId="58" fillId="9" borderId="26" xfId="0" applyFont="1" applyFill="1" applyBorder="1" applyAlignment="1">
      <alignment horizontal="center" vertical="center"/>
    </xf>
    <xf numFmtId="0" fontId="66" fillId="9" borderId="24" xfId="0" applyFont="1" applyFill="1" applyBorder="1" applyAlignment="1">
      <alignment horizontal="left" vertical="center"/>
    </xf>
    <xf numFmtId="0" fontId="61" fillId="9" borderId="197" xfId="0" applyFont="1" applyFill="1" applyBorder="1" applyAlignment="1">
      <alignment horizontal="left" vertical="center"/>
    </xf>
    <xf numFmtId="0" fontId="6" fillId="0" borderId="197" xfId="0" applyFont="1" applyBorder="1"/>
    <xf numFmtId="0" fontId="6" fillId="0" borderId="198" xfId="0" applyFont="1" applyBorder="1"/>
    <xf numFmtId="0" fontId="6" fillId="0" borderId="200" xfId="0" applyFont="1" applyBorder="1"/>
    <xf numFmtId="0" fontId="61" fillId="9" borderId="201" xfId="0" applyFont="1" applyFill="1" applyBorder="1" applyAlignment="1">
      <alignment horizontal="left" vertical="center"/>
    </xf>
    <xf numFmtId="0" fontId="6" fillId="0" borderId="201" xfId="0" applyFont="1" applyBorder="1"/>
    <xf numFmtId="0" fontId="6" fillId="0" borderId="202" xfId="0" applyFont="1" applyBorder="1"/>
    <xf numFmtId="0" fontId="64" fillId="9" borderId="201" xfId="0" applyFont="1" applyFill="1" applyBorder="1" applyAlignment="1">
      <alignment horizontal="left" vertical="center"/>
    </xf>
    <xf numFmtId="0" fontId="6" fillId="0" borderId="204" xfId="0" applyFont="1" applyBorder="1"/>
    <xf numFmtId="0" fontId="61" fillId="9" borderId="205" xfId="0" applyFont="1" applyFill="1" applyBorder="1" applyAlignment="1">
      <alignment horizontal="left" vertical="center"/>
    </xf>
    <xf numFmtId="0" fontId="6" fillId="0" borderId="205" xfId="0" applyFont="1" applyBorder="1"/>
    <xf numFmtId="0" fontId="6" fillId="0" borderId="206" xfId="0" applyFont="1" applyBorder="1"/>
    <xf numFmtId="49" fontId="61" fillId="9" borderId="205" xfId="0" applyNumberFormat="1" applyFont="1" applyFill="1" applyBorder="1" applyAlignment="1">
      <alignment horizontal="left" vertical="center"/>
    </xf>
    <xf numFmtId="0" fontId="6" fillId="0" borderId="208" xfId="0" applyFont="1" applyBorder="1"/>
    <xf numFmtId="0" fontId="58" fillId="9" borderId="100" xfId="0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4" fillId="39" borderId="23" xfId="0" applyFont="1" applyFill="1" applyBorder="1" applyAlignment="1">
      <alignment horizontal="center" vertical="center"/>
    </xf>
    <xf numFmtId="0" fontId="78" fillId="39" borderId="23" xfId="0" applyFont="1" applyFill="1" applyBorder="1" applyAlignment="1">
      <alignment horizontal="center" vertical="center"/>
    </xf>
    <xf numFmtId="0" fontId="53" fillId="42" borderId="0" xfId="0" applyFont="1" applyFill="1" applyAlignment="1">
      <alignment vertical="center"/>
    </xf>
    <xf numFmtId="43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43" borderId="0" xfId="0" applyFill="1"/>
    <xf numFmtId="164" fontId="0" fillId="43" borderId="0" xfId="1" applyNumberFormat="1" applyFont="1" applyFill="1"/>
    <xf numFmtId="0" fontId="0" fillId="43" borderId="0" xfId="0" applyFill="1" applyAlignment="1">
      <alignment horizontal="center"/>
    </xf>
    <xf numFmtId="0" fontId="80" fillId="43" borderId="0" xfId="0" applyFont="1" applyFill="1" applyAlignment="1">
      <alignment horizontal="center"/>
    </xf>
    <xf numFmtId="0" fontId="0" fillId="43" borderId="0" xfId="0" applyFill="1" applyAlignment="1">
      <alignment horizontal="center"/>
    </xf>
    <xf numFmtId="0" fontId="81" fillId="42" borderId="0" xfId="0" applyFont="1" applyFill="1" applyAlignment="1">
      <alignment horizontal="center"/>
    </xf>
    <xf numFmtId="0" fontId="82" fillId="0" borderId="0" xfId="0" applyFont="1" applyAlignment="1">
      <alignment horizontal="center"/>
    </xf>
    <xf numFmtId="0" fontId="80" fillId="43" borderId="0" xfId="0" applyFont="1" applyFill="1"/>
    <xf numFmtId="164" fontId="0" fillId="0" borderId="0" xfId="1" applyNumberFormat="1" applyFont="1"/>
    <xf numFmtId="0" fontId="30" fillId="3" borderId="104" xfId="0" applyFont="1" applyFill="1" applyBorder="1" applyAlignment="1">
      <alignment horizontal="center" vertical="center"/>
    </xf>
    <xf numFmtId="0" fontId="81" fillId="42" borderId="58" xfId="0" applyFont="1" applyFill="1" applyBorder="1" applyAlignment="1">
      <alignment horizontal="center"/>
    </xf>
    <xf numFmtId="0" fontId="80" fillId="0" borderId="0" xfId="0" applyFont="1"/>
    <xf numFmtId="164" fontId="0" fillId="0" borderId="0" xfId="0" applyNumberFormat="1"/>
    <xf numFmtId="0" fontId="83" fillId="9" borderId="24" xfId="0" applyFont="1" applyFill="1" applyBorder="1" applyAlignment="1">
      <alignment horizontal="center" vertical="center"/>
    </xf>
    <xf numFmtId="0" fontId="83" fillId="9" borderId="27" xfId="0" applyFont="1" applyFill="1" applyBorder="1" applyAlignment="1">
      <alignment horizontal="center" vertical="center"/>
    </xf>
    <xf numFmtId="0" fontId="84" fillId="0" borderId="0" xfId="0" applyFont="1" applyAlignment="1">
      <alignment vertical="center"/>
    </xf>
    <xf numFmtId="0" fontId="82" fillId="0" borderId="0" xfId="0" applyFont="1"/>
    <xf numFmtId="0" fontId="84" fillId="9" borderId="12" xfId="0" applyFont="1" applyFill="1" applyBorder="1" applyAlignment="1">
      <alignment horizontal="center" vertical="center"/>
    </xf>
    <xf numFmtId="0" fontId="84" fillId="9" borderId="45" xfId="0" applyFont="1" applyFill="1" applyBorder="1" applyAlignment="1">
      <alignment horizontal="center" vertical="center"/>
    </xf>
    <xf numFmtId="0" fontId="84" fillId="0" borderId="12" xfId="0" applyFont="1" applyBorder="1" applyAlignment="1">
      <alignment horizontal="center" vertical="center"/>
    </xf>
    <xf numFmtId="0" fontId="84" fillId="0" borderId="50" xfId="0" applyFont="1" applyBorder="1" applyAlignment="1">
      <alignment horizontal="center" vertical="center"/>
    </xf>
    <xf numFmtId="0" fontId="85" fillId="21" borderId="96" xfId="0" applyFont="1" applyFill="1" applyBorder="1" applyAlignment="1">
      <alignment horizontal="left" vertical="center"/>
    </xf>
    <xf numFmtId="3" fontId="84" fillId="0" borderId="0" xfId="0" applyNumberFormat="1" applyFont="1" applyAlignment="1">
      <alignment vertical="center"/>
    </xf>
    <xf numFmtId="0" fontId="84" fillId="9" borderId="0" xfId="0" applyFont="1" applyFill="1" applyAlignment="1">
      <alignment vertical="center"/>
    </xf>
    <xf numFmtId="0" fontId="83" fillId="9" borderId="0" xfId="0" applyFont="1" applyFill="1" applyAlignment="1">
      <alignment horizontal="center" vertical="center"/>
    </xf>
    <xf numFmtId="0" fontId="83" fillId="20" borderId="0" xfId="0" applyFont="1" applyFill="1" applyAlignment="1">
      <alignment horizontal="center" vertical="center"/>
    </xf>
    <xf numFmtId="0" fontId="85" fillId="3" borderId="61" xfId="0" applyFont="1" applyFill="1" applyBorder="1" applyAlignment="1">
      <alignment horizontal="center" vertical="center"/>
    </xf>
    <xf numFmtId="0" fontId="84" fillId="3" borderId="12" xfId="0" applyFont="1" applyFill="1" applyBorder="1" applyAlignment="1">
      <alignment horizontal="center" vertical="center"/>
    </xf>
    <xf numFmtId="0" fontId="84" fillId="9" borderId="103" xfId="0" applyFont="1" applyFill="1" applyBorder="1" applyAlignment="1">
      <alignment vertical="center"/>
    </xf>
    <xf numFmtId="0" fontId="80" fillId="0" borderId="0" xfId="0" applyFont="1" applyAlignment="1"/>
    <xf numFmtId="0" fontId="26" fillId="0" borderId="0" xfId="0" applyFont="1" applyAlignment="1"/>
    <xf numFmtId="0" fontId="6" fillId="0" borderId="67" xfId="0" applyFont="1" applyBorder="1" applyAlignment="1"/>
    <xf numFmtId="0" fontId="26" fillId="0" borderId="73" xfId="0" applyFont="1" applyBorder="1" applyAlignment="1">
      <alignment vertical="center"/>
    </xf>
    <xf numFmtId="0" fontId="26" fillId="19" borderId="78" xfId="0" applyFont="1" applyFill="1" applyBorder="1" applyAlignment="1">
      <alignment vertical="center"/>
    </xf>
    <xf numFmtId="0" fontId="26" fillId="0" borderId="78" xfId="0" applyFont="1" applyBorder="1" applyAlignment="1">
      <alignment vertical="center"/>
    </xf>
    <xf numFmtId="0" fontId="26" fillId="19" borderId="83" xfId="0" applyFont="1" applyFill="1" applyBorder="1" applyAlignment="1">
      <alignment vertical="center"/>
    </xf>
    <xf numFmtId="0" fontId="82" fillId="0" borderId="0" xfId="0" applyFont="1" applyAlignment="1"/>
    <xf numFmtId="0" fontId="85" fillId="21" borderId="0" xfId="0" applyFont="1" applyFill="1" applyAlignment="1">
      <alignment horizontal="center" vertical="center"/>
    </xf>
    <xf numFmtId="0" fontId="84" fillId="0" borderId="12" xfId="0" applyFont="1" applyBorder="1" applyAlignment="1">
      <alignment vertical="center"/>
    </xf>
    <xf numFmtId="0" fontId="84" fillId="0" borderId="45" xfId="0" applyFont="1" applyBorder="1" applyAlignment="1">
      <alignment vertical="center"/>
    </xf>
    <xf numFmtId="9" fontId="88" fillId="0" borderId="28" xfId="0" applyNumberFormat="1" applyFont="1" applyBorder="1" applyAlignment="1">
      <alignment horizontal="center"/>
    </xf>
    <xf numFmtId="0" fontId="83" fillId="9" borderId="0" xfId="0" applyFont="1" applyFill="1" applyAlignment="1">
      <alignment vertical="center"/>
    </xf>
    <xf numFmtId="0" fontId="84" fillId="0" borderId="0" xfId="0" applyFont="1"/>
    <xf numFmtId="0" fontId="84" fillId="29" borderId="173" xfId="0" applyFont="1" applyFill="1" applyBorder="1" applyAlignment="1">
      <alignment vertical="center"/>
    </xf>
    <xf numFmtId="0" fontId="84" fillId="0" borderId="173" xfId="0" applyFont="1" applyBorder="1" applyAlignment="1">
      <alignment vertical="center"/>
    </xf>
    <xf numFmtId="0" fontId="84" fillId="0" borderId="184" xfId="0" applyFont="1" applyBorder="1" applyAlignment="1">
      <alignment vertical="center"/>
    </xf>
    <xf numFmtId="0" fontId="85" fillId="3" borderId="104" xfId="0" applyFont="1" applyFill="1" applyBorder="1" applyAlignment="1">
      <alignment horizontal="center" vertical="center"/>
    </xf>
    <xf numFmtId="0" fontId="83" fillId="3" borderId="152" xfId="0" applyFont="1" applyFill="1" applyBorder="1" applyAlignment="1">
      <alignment horizontal="center" vertical="center"/>
    </xf>
    <xf numFmtId="0" fontId="86" fillId="0" borderId="163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6746-398D-4D46-B053-BC78F390AA81}">
  <dimension ref="A1:S36"/>
  <sheetViews>
    <sheetView tabSelected="1" workbookViewId="0">
      <selection activeCell="D13" sqref="D13"/>
    </sheetView>
  </sheetViews>
  <sheetFormatPr defaultRowHeight="12.75"/>
  <cols>
    <col min="1" max="1" width="16.5703125" customWidth="1"/>
    <col min="2" max="2" width="14.7109375" style="889" bestFit="1" customWidth="1"/>
    <col min="9" max="11" width="11.28515625" bestFit="1" customWidth="1"/>
    <col min="12" max="14" width="9.28515625" bestFit="1" customWidth="1"/>
    <col min="15" max="15" width="11.28515625" bestFit="1" customWidth="1"/>
    <col min="18" max="18" width="11.28515625" bestFit="1" customWidth="1"/>
  </cols>
  <sheetData>
    <row r="1" spans="1:19">
      <c r="C1" s="895" t="s">
        <v>1684</v>
      </c>
      <c r="D1" s="895"/>
      <c r="E1" s="895"/>
      <c r="F1" s="895"/>
      <c r="G1" s="894" t="s">
        <v>11818</v>
      </c>
      <c r="H1" s="894"/>
      <c r="I1" s="894"/>
      <c r="J1" s="894"/>
      <c r="K1" s="894"/>
      <c r="L1" s="894"/>
      <c r="M1" s="894"/>
      <c r="N1" s="894"/>
      <c r="O1" s="894"/>
      <c r="P1" s="894"/>
      <c r="R1" t="s">
        <v>11813</v>
      </c>
    </row>
    <row r="2" spans="1:19">
      <c r="B2" s="891">
        <v>1</v>
      </c>
      <c r="C2" s="887">
        <v>2</v>
      </c>
      <c r="D2" s="887">
        <v>3</v>
      </c>
      <c r="E2" s="887">
        <v>4</v>
      </c>
      <c r="F2" s="887">
        <v>5</v>
      </c>
      <c r="G2" s="887">
        <v>3</v>
      </c>
      <c r="H2" s="887">
        <v>4</v>
      </c>
      <c r="I2" s="887">
        <v>5</v>
      </c>
      <c r="J2" s="887">
        <v>6</v>
      </c>
      <c r="K2" s="887">
        <v>7</v>
      </c>
      <c r="L2" s="887">
        <v>8</v>
      </c>
      <c r="M2" s="887">
        <v>9</v>
      </c>
      <c r="N2" s="887">
        <v>10</v>
      </c>
      <c r="O2" s="887">
        <v>11</v>
      </c>
      <c r="P2" s="887">
        <v>12</v>
      </c>
      <c r="Q2" s="887">
        <v>13</v>
      </c>
      <c r="R2" s="890">
        <v>253000</v>
      </c>
      <c r="S2" s="900" t="s">
        <v>11823</v>
      </c>
    </row>
    <row r="3" spans="1:19" ht="15.75">
      <c r="C3" s="2" t="str">
        <f ca="1">IFERROR(__xludf.DUMMYFUNCTION("""COMPUTED_VALUE"""),"HN")</f>
        <v>HN</v>
      </c>
      <c r="D3" s="2" t="str">
        <f ca="1">IFERROR(__xludf.DUMMYFUNCTION("""COMPUTED_VALUE"""),"ALL")</f>
        <v>ALL</v>
      </c>
      <c r="E3" s="2" t="str">
        <f ca="1">IFERROR(__xludf.DUMMYFUNCTION("""COMPUTED_VALUE"""),"&lt;&gt;HCM")</f>
        <v>&lt;&gt;HCM</v>
      </c>
      <c r="F3" s="2" t="str">
        <f ca="1">IFERROR(__xludf.DUMMYFUNCTION("""COMPUTED_VALUE"""),"HCM")</f>
        <v>HCM</v>
      </c>
      <c r="G3" s="579" t="str">
        <f ca="1">IFERROR(__xludf.DUMMYFUNCTION("""COMPUTED_VALUE"""),"  VAT  ")</f>
        <v xml:space="preserve">  VAT  </v>
      </c>
      <c r="H3" s="579" t="str">
        <f ca="1">IFERROR(__xludf.DUMMYFUNCTION("""COMPUTED_VALUE"""),"  ĐVT  ")</f>
        <v xml:space="preserve">  ĐVT  </v>
      </c>
      <c r="I3" s="580" t="str">
        <f ca="1">IFERROR(__xludf.DUMMYFUNCTION("""COMPUTED_VALUE"""),"  Quy cách  ")</f>
        <v xml:space="preserve">  Quy cách  </v>
      </c>
      <c r="J3" s="579" t="str">
        <f ca="1">IFERROR(__xludf.DUMMYFUNCTION("""COMPUTED_VALUE"""),"  Đóng gói  ")</f>
        <v xml:space="preserve">  Đóng gói  </v>
      </c>
      <c r="K3" s="579" t="str">
        <f ca="1">IFERROR(__xludf.DUMMYFUNCTION("""COMPUTED_VALUE"""),"  Kg  ")</f>
        <v xml:space="preserve">  Kg  </v>
      </c>
      <c r="L3" s="579" t="str">
        <f ca="1">IFERROR(__xludf.DUMMYFUNCTION("""COMPUTED_VALUE"""),"  ĐK  ")</f>
        <v xml:space="preserve">  ĐK  </v>
      </c>
      <c r="M3" s="579" t="str">
        <f ca="1">IFERROR(__xludf.DUMMYFUNCTION("""COMPUTED_VALUE"""),"  Dày  ")</f>
        <v xml:space="preserve">  Dày  </v>
      </c>
      <c r="N3" s="579" t="str">
        <f ca="1">IFERROR(__xludf.DUMMYFUNCTION("""COMPUTED_VALUE"""),"  Dài  ")</f>
        <v xml:space="preserve">  Dài  </v>
      </c>
      <c r="O3" s="579" t="str">
        <f ca="1">IFERROR(__xludf.DUMMYFUNCTION("""COMPUTED_VALUE"""),"  Đặc thù  ")</f>
        <v xml:space="preserve">  Đặc thù  </v>
      </c>
      <c r="P3" s="579" t="str">
        <f ca="1">IFERROR(__xludf.DUMMYFUNCTION("""COMPUTED_VALUE""")," Dị DA ")</f>
        <v xml:space="preserve"> Dị DA </v>
      </c>
      <c r="Q3" s="579" t="str">
        <f ca="1">IFERROR(__xludf.DUMMYFUNCTION("""COMPUTED_VALUE""")," Hệ số ")</f>
        <v xml:space="preserve"> Hệ số </v>
      </c>
      <c r="R3" t="s">
        <v>11816</v>
      </c>
    </row>
    <row r="4" spans="1:19" ht="15.75">
      <c r="A4" t="s">
        <v>11812</v>
      </c>
      <c r="B4" s="889" t="s">
        <v>4001</v>
      </c>
      <c r="C4">
        <f ca="1">INDEX(TỒN!$A:$F,MATCH($B4,TỒN!$A:$A,0),C$2)</f>
        <v>339</v>
      </c>
      <c r="D4">
        <f ca="1">INDEX(TỒN!$A:$F,MATCH($B4,TỒN!$A:$A,0),D$2)</f>
        <v>833</v>
      </c>
      <c r="E4">
        <f ca="1">INDEX(TỒN!$A:$F,MATCH($B4,TỒN!$A:$A,0),E$2)</f>
        <v>339</v>
      </c>
      <c r="F4">
        <f ca="1">INDEX(TỒN!$A:$F,MATCH($B4,TỒN!$A:$A,0),F$2)</f>
        <v>494</v>
      </c>
      <c r="G4" s="583">
        <f ca="1">INDEX(INDIRECT("'"&amp;VLOOKUP($B4,code!$A:$D,2,0)&amp;"'"&amp;"!"&amp;VLOOKUP($B4,code!$A:$D,4,0)),MATCH($B4,INDIRECT("'"&amp;VLOOKUP($B4,code!$A:$D,2,0)&amp;"'"&amp;"!"&amp;VLOOKUP($B4,code!$A:$D,3,0)),0),G$2)</f>
        <v>0.1</v>
      </c>
      <c r="H4" s="584" t="str">
        <f ca="1">INDEX(INDIRECT("'"&amp;VLOOKUP($B4,code!$A:$D,2,0)&amp;"'"&amp;"!"&amp;VLOOKUP($B4,code!$A:$D,4,0)),MATCH($B4,INDIRECT("'"&amp;VLOOKUP($B4,code!$A:$D,2,0)&amp;"'"&amp;"!"&amp;VLOOKUP($B4,code!$A:$D,3,0)),0),H$2)</f>
        <v>Cuộn</v>
      </c>
      <c r="I4" s="584" t="str">
        <f ca="1">INDEX(INDIRECT("'"&amp;VLOOKUP($B4,code!$A:$D,2,0)&amp;"'"&amp;"!"&amp;VLOOKUP($B4,code!$A:$D,4,0)),MATCH($B4,INDIRECT("'"&amp;VLOOKUP($B4,code!$A:$D,2,0)&amp;"'"&amp;"!"&amp;VLOOKUP($B4,code!$A:$D,3,0)),0),I$2)</f>
        <v>Cuộn 15m</v>
      </c>
      <c r="J4" s="582" t="str">
        <f ca="1">INDEX(INDIRECT("'"&amp;VLOOKUP($B4,code!$A:$D,2,0)&amp;"'"&amp;"!"&amp;VLOOKUP($B4,code!$A:$D,4,0)),MATCH($B4,INDIRECT("'"&amp;VLOOKUP($B4,code!$A:$D,2,0)&amp;"'"&amp;"!"&amp;VLOOKUP($B4,code!$A:$D,3,0)),0),J$2)</f>
        <v>12</v>
      </c>
      <c r="K4" s="585">
        <f ca="1">INDEX(INDIRECT("'"&amp;VLOOKUP($B4,code!$A:$D,2,0)&amp;"'"&amp;"!"&amp;VLOOKUP($B4,code!$A:$D,4,0)),MATCH($B4,INDIRECT("'"&amp;VLOOKUP($B4,code!$A:$D,2,0)&amp;"'"&amp;"!"&amp;VLOOKUP($B4,code!$A:$D,3,0)),0),K$2)</f>
        <v>1.9506727799999899</v>
      </c>
      <c r="L4" s="586" t="str">
        <f ca="1">INDEX(INDIRECT("'"&amp;VLOOKUP($B4,code!$A:$D,2,0)&amp;"'"&amp;"!"&amp;VLOOKUP($B4,code!$A:$D,4,0)),MATCH($B4,INDIRECT("'"&amp;VLOOKUP($B4,code!$A:$D,2,0)&amp;"'"&amp;"!"&amp;VLOOKUP($B4,code!$A:$D,3,0)),0),L$2)</f>
        <v xml:space="preserve"> 06.35 </v>
      </c>
      <c r="M4" s="584" t="str">
        <f ca="1">INDEX(INDIRECT("'"&amp;VLOOKUP($B4,code!$A:$D,2,0)&amp;"'"&amp;"!"&amp;VLOOKUP($B4,code!$A:$D,4,0)),MATCH($B4,INDIRECT("'"&amp;VLOOKUP($B4,code!$A:$D,2,0)&amp;"'"&amp;"!"&amp;VLOOKUP($B4,code!$A:$D,3,0)),0),M$2)</f>
        <v>0.81</v>
      </c>
      <c r="N4" s="584">
        <f ca="1">INDEX(INDIRECT("'"&amp;VLOOKUP($B4,code!$A:$D,2,0)&amp;"'"&amp;"!"&amp;VLOOKUP($B4,code!$A:$D,4,0)),MATCH($B4,INDIRECT("'"&amp;VLOOKUP($B4,code!$A:$D,2,0)&amp;"'"&amp;"!"&amp;VLOOKUP($B4,code!$A:$D,3,0)),0),N$2)</f>
        <v>15</v>
      </c>
      <c r="O4" s="584">
        <f ca="1">INDEX(INDIRECT("'"&amp;VLOOKUP($B4,code!$A:$D,2,0)&amp;"'"&amp;"!"&amp;VLOOKUP($B4,code!$A:$D,4,0)),MATCH($B4,INDIRECT("'"&amp;VLOOKUP($B4,code!$A:$D,2,0)&amp;"'"&amp;"!"&amp;VLOOKUP($B4,code!$A:$D,3,0)),0),O$2)</f>
        <v>0</v>
      </c>
      <c r="P4" s="584" t="str">
        <f ca="1">INDEX(INDIRECT("'"&amp;VLOOKUP($B4,code!$A:$D,2,0)&amp;"'"&amp;"!"&amp;VLOOKUP($B4,code!$A:$D,4,0)),MATCH($B4,INDIRECT("'"&amp;VLOOKUP($B4,code!$A:$D,2,0)&amp;"'"&amp;"!"&amp;VLOOKUP($B4,code!$A:$D,3,0)),0),P$2)</f>
        <v>Không</v>
      </c>
      <c r="Q4" s="583">
        <f ca="1">INDEX(INDIRECT("'"&amp;VLOOKUP($B4,code!$A:$D,2,0)&amp;"'"&amp;"!"&amp;VLOOKUP($B4,code!$A:$D,4,0)),MATCH($B4,INDIRECT("'"&amp;VLOOKUP($B4,code!$A:$D,2,0)&amp;"'"&amp;"!"&amp;VLOOKUP($B4,code!$A:$D,3,0)),0),Q$2)</f>
        <v>0</v>
      </c>
      <c r="R4" s="885">
        <f ca="1">+$R$2/1.1*K4</f>
        <v>448654.73939999763</v>
      </c>
    </row>
    <row r="5" spans="1:19" ht="15.75">
      <c r="B5" s="896" t="s">
        <v>4083</v>
      </c>
      <c r="C5">
        <f ca="1">INDEX(TỒN!$A:$F,MATCH($B5,TỒN!$A:$A,0),C$2)</f>
        <v>0</v>
      </c>
      <c r="D5">
        <f ca="1">INDEX(TỒN!$A:$F,MATCH($B5,TỒN!$A:$A,0),D$2)</f>
        <v>231</v>
      </c>
      <c r="E5">
        <f ca="1">INDEX(TỒN!$A:$F,MATCH($B5,TỒN!$A:$A,0),E$2)</f>
        <v>0</v>
      </c>
      <c r="F5">
        <f ca="1">INDEX(TỒN!$A:$F,MATCH($B5,TỒN!$A:$A,0),F$2)</f>
        <v>231</v>
      </c>
      <c r="G5" s="583">
        <f ca="1">INDEX(INDIRECT("'"&amp;VLOOKUP($B4,code!$A:$D,2,0)&amp;"'"&amp;"!"&amp;VLOOKUP($B4,code!$A:$D,4,0)),MATCH($B5,INDIRECT("'"&amp;VLOOKUP($B4,code!$A:$D,2,0)&amp;"'"&amp;"!"&amp;VLOOKUP($B4,code!$A:$D,3,0)),0),G$2)</f>
        <v>0.1</v>
      </c>
      <c r="H5" s="584" t="str">
        <f ca="1">INDEX(INDIRECT("'"&amp;VLOOKUP($B4,code!$A:$D,2,0)&amp;"'"&amp;"!"&amp;VLOOKUP($B4,code!$A:$D,4,0)),MATCH($B5,INDIRECT("'"&amp;VLOOKUP($B4,code!$A:$D,2,0)&amp;"'"&amp;"!"&amp;VLOOKUP($B4,code!$A:$D,3,0)),0),H$2)</f>
        <v>Cuộn</v>
      </c>
      <c r="I5" s="584" t="str">
        <f ca="1">INDEX(INDIRECT("'"&amp;VLOOKUP($B4,code!$A:$D,2,0)&amp;"'"&amp;"!"&amp;VLOOKUP($B4,code!$A:$D,4,0)),MATCH($B5,INDIRECT("'"&amp;VLOOKUP($B4,code!$A:$D,2,0)&amp;"'"&amp;"!"&amp;VLOOKUP($B4,code!$A:$D,3,0)),0),I$2)</f>
        <v>Cuộn 15m</v>
      </c>
      <c r="J5" s="582" t="str">
        <f ca="1">INDEX(INDIRECT("'"&amp;VLOOKUP($B4,code!$A:$D,2,0)&amp;"'"&amp;"!"&amp;VLOOKUP($B4,code!$A:$D,4,0)),MATCH($B5,INDIRECT("'"&amp;VLOOKUP($B4,code!$A:$D,2,0)&amp;"'"&amp;"!"&amp;VLOOKUP($B4,code!$A:$D,3,0)),0),J$2)</f>
        <v>9</v>
      </c>
      <c r="K5" s="585">
        <f ca="1">INDEX(INDIRECT("'"&amp;VLOOKUP($B4,code!$A:$D,2,0)&amp;"'"&amp;"!"&amp;VLOOKUP($B4,code!$A:$D,4,0)),MATCH($B5,INDIRECT("'"&amp;VLOOKUP($B4,code!$A:$D,2,0)&amp;"'"&amp;"!"&amp;VLOOKUP($B4,code!$A:$D,3,0)),0),K$2)</f>
        <v>3.0668519699999899</v>
      </c>
      <c r="L5" s="586" t="str">
        <f ca="1">INDEX(INDIRECT("'"&amp;VLOOKUP($B4,code!$A:$D,2,0)&amp;"'"&amp;"!"&amp;VLOOKUP($B4,code!$A:$D,4,0)),MATCH($B5,INDIRECT("'"&amp;VLOOKUP($B4,code!$A:$D,2,0)&amp;"'"&amp;"!"&amp;VLOOKUP($B4,code!$A:$D,3,0)),0),L$2)</f>
        <v xml:space="preserve"> 09.52 </v>
      </c>
      <c r="M5" s="584" t="str">
        <f ca="1">INDEX(INDIRECT("'"&amp;VLOOKUP($B4,code!$A:$D,2,0)&amp;"'"&amp;"!"&amp;VLOOKUP($B4,code!$A:$D,4,0)),MATCH($B5,INDIRECT("'"&amp;VLOOKUP($B4,code!$A:$D,2,0)&amp;"'"&amp;"!"&amp;VLOOKUP($B4,code!$A:$D,3,0)),0),M$2)</f>
        <v>0.81</v>
      </c>
      <c r="N5" s="584">
        <f ca="1">INDEX(INDIRECT("'"&amp;VLOOKUP($B4,code!$A:$D,2,0)&amp;"'"&amp;"!"&amp;VLOOKUP($B4,code!$A:$D,4,0)),MATCH($B5,INDIRECT("'"&amp;VLOOKUP($B4,code!$A:$D,2,0)&amp;"'"&amp;"!"&amp;VLOOKUP($B4,code!$A:$D,3,0)),0),N$2)</f>
        <v>15</v>
      </c>
      <c r="O5" s="584">
        <f ca="1">INDEX(INDIRECT("'"&amp;VLOOKUP($B4,code!$A:$D,2,0)&amp;"'"&amp;"!"&amp;VLOOKUP($B4,code!$A:$D,4,0)),MATCH($B5,INDIRECT("'"&amp;VLOOKUP($B4,code!$A:$D,2,0)&amp;"'"&amp;"!"&amp;VLOOKUP($B4,code!$A:$D,3,0)),0),O$2)</f>
        <v>0</v>
      </c>
      <c r="P5" s="584" t="str">
        <f ca="1">INDEX(INDIRECT("'"&amp;VLOOKUP($B4,code!$A:$D,2,0)&amp;"'"&amp;"!"&amp;VLOOKUP($B4,code!$A:$D,4,0)),MATCH($B5,INDIRECT("'"&amp;VLOOKUP($B4,code!$A:$D,2,0)&amp;"'"&amp;"!"&amp;VLOOKUP($B4,code!$A:$D,3,0)),0),P$2)</f>
        <v>Không</v>
      </c>
      <c r="Q5" s="583">
        <f ca="1">INDEX(INDIRECT("'"&amp;VLOOKUP($B4,code!$A:$D,2,0)&amp;"'"&amp;"!"&amp;VLOOKUP($B4,code!$A:$D,4,0)),MATCH($B5,INDIRECT("'"&amp;VLOOKUP($B4,code!$A:$D,2,0)&amp;"'"&amp;"!"&amp;VLOOKUP($B4,code!$A:$D,3,0)),0),Q$2)</f>
        <v>0</v>
      </c>
      <c r="R5" s="885">
        <f ca="1">+$R$2/1.1*K5</f>
        <v>705375.9530999976</v>
      </c>
    </row>
    <row r="9" spans="1:19" ht="15.75">
      <c r="A9" t="s">
        <v>11814</v>
      </c>
      <c r="B9" s="889" t="s">
        <v>5055</v>
      </c>
      <c r="C9">
        <f ca="1">INDEX(TỒN!$A:$F,MATCH($B9,TỒN!$A:$A,0),C$2)</f>
        <v>286</v>
      </c>
      <c r="D9">
        <f ca="1">INDEX(TỒN!$A:$F,MATCH($B9,TỒN!$A:$A,0),D$2)</f>
        <v>467</v>
      </c>
      <c r="E9">
        <f ca="1">INDEX(TỒN!$A:$F,MATCH($B9,TỒN!$A:$A,0),E$2)</f>
        <v>299</v>
      </c>
      <c r="F9">
        <f ca="1">INDEX(TỒN!$A:$F,MATCH($B9,TỒN!$A:$A,0),F$2)</f>
        <v>168</v>
      </c>
      <c r="G9" s="583">
        <f ca="1">INDEX(INDIRECT("'"&amp;VLOOKUP($B4,code!$A:$D,2,0)&amp;"'"&amp;"!"&amp;VLOOKUP($B4,code!$A:$D,4,0)),MATCH($B9,INDIRECT("'"&amp;VLOOKUP($B4,code!$A:$D,2,0)&amp;"'"&amp;"!"&amp;VLOOKUP($B4,code!$A:$D,3,0)),0),G$2)</f>
        <v>0.1</v>
      </c>
      <c r="H9" s="584" t="str">
        <f ca="1">INDEX(INDIRECT("'"&amp;VLOOKUP($B4,code!$A:$D,2,0)&amp;"'"&amp;"!"&amp;VLOOKUP($B4,code!$A:$D,4,0)),MATCH($B9,INDIRECT("'"&amp;VLOOKUP($B4,code!$A:$D,2,0)&amp;"'"&amp;"!"&amp;VLOOKUP($B4,code!$A:$D,3,0)),0),H$2)</f>
        <v>Cây</v>
      </c>
      <c r="I9" s="584" t="str">
        <f ca="1">INDEX(INDIRECT("'"&amp;VLOOKUP($B4,code!$A:$D,2,0)&amp;"'"&amp;"!"&amp;VLOOKUP($B4,code!$A:$D,4,0)),MATCH($B9,INDIRECT("'"&amp;VLOOKUP($B4,code!$A:$D,2,0)&amp;"'"&amp;"!"&amp;VLOOKUP($B4,code!$A:$D,3,0)),0),I$2)</f>
        <v>Cây 2.9m</v>
      </c>
      <c r="J9" s="582" t="str">
        <f ca="1">INDEX(INDIRECT("'"&amp;VLOOKUP($B4,code!$A:$D,2,0)&amp;"'"&amp;"!"&amp;VLOOKUP($B4,code!$A:$D,4,0)),MATCH($B9,INDIRECT("'"&amp;VLOOKUP($B4,code!$A:$D,2,0)&amp;"'"&amp;"!"&amp;VLOOKUP($B4,code!$A:$D,3,0)),0),J$2)</f>
        <v>20</v>
      </c>
      <c r="K9" s="585">
        <f ca="1">INDEX(INDIRECT("'"&amp;VLOOKUP($B4,code!$A:$D,2,0)&amp;"'"&amp;"!"&amp;VLOOKUP($B4,code!$A:$D,4,0)),MATCH($B9,INDIRECT("'"&amp;VLOOKUP($B4,code!$A:$D,2,0)&amp;"'"&amp;"!"&amp;VLOOKUP($B4,code!$A:$D,3,0)),0),K$2)</f>
        <v>1.7833712399999899</v>
      </c>
      <c r="L9" s="586" t="str">
        <f ca="1">INDEX(INDIRECT("'"&amp;VLOOKUP($B4,code!$A:$D,2,0)&amp;"'"&amp;"!"&amp;VLOOKUP($B4,code!$A:$D,4,0)),MATCH($B9,INDIRECT("'"&amp;VLOOKUP($B4,code!$A:$D,2,0)&amp;"'"&amp;"!"&amp;VLOOKUP($B4,code!$A:$D,3,0)),0),L$2)</f>
        <v xml:space="preserve"> 22.22 </v>
      </c>
      <c r="M9" s="584" t="str">
        <f ca="1">INDEX(INDIRECT("'"&amp;VLOOKUP($B4,code!$A:$D,2,0)&amp;"'"&amp;"!"&amp;VLOOKUP($B4,code!$A:$D,4,0)),MATCH($B9,INDIRECT("'"&amp;VLOOKUP($B4,code!$A:$D,2,0)&amp;"'"&amp;"!"&amp;VLOOKUP($B4,code!$A:$D,3,0)),0),M$2)</f>
        <v>1.00</v>
      </c>
      <c r="N9" s="584">
        <f ca="1">INDEX(INDIRECT("'"&amp;VLOOKUP($B4,code!$A:$D,2,0)&amp;"'"&amp;"!"&amp;VLOOKUP($B4,code!$A:$D,4,0)),MATCH($B9,INDIRECT("'"&amp;VLOOKUP($B4,code!$A:$D,2,0)&amp;"'"&amp;"!"&amp;VLOOKUP($B4,code!$A:$D,3,0)),0),N$2)</f>
        <v>2.9</v>
      </c>
      <c r="O9" s="584">
        <f ca="1">INDEX(INDIRECT("'"&amp;VLOOKUP($B4,code!$A:$D,2,0)&amp;"'"&amp;"!"&amp;VLOOKUP($B4,code!$A:$D,4,0)),MATCH($B9,INDIRECT("'"&amp;VLOOKUP($B4,code!$A:$D,2,0)&amp;"'"&amp;"!"&amp;VLOOKUP($B4,code!$A:$D,3,0)),0),O$2)</f>
        <v>0</v>
      </c>
      <c r="P9" s="584" t="str">
        <f ca="1">INDEX(INDIRECT("'"&amp;VLOOKUP($B4,code!$A:$D,2,0)&amp;"'"&amp;"!"&amp;VLOOKUP($B4,code!$A:$D,4,0)),MATCH($B9,INDIRECT("'"&amp;VLOOKUP($B4,code!$A:$D,2,0)&amp;"'"&amp;"!"&amp;VLOOKUP($B4,code!$A:$D,3,0)),0),P$2)</f>
        <v>Không</v>
      </c>
      <c r="Q9" s="583">
        <f ca="1">INDEX(INDIRECT("'"&amp;VLOOKUP($B4,code!$A:$D,2,0)&amp;"'"&amp;"!"&amp;VLOOKUP($B4,code!$A:$D,4,0)),MATCH($B9,INDIRECT("'"&amp;VLOOKUP($B4,code!$A:$D,2,0)&amp;"'"&amp;"!"&amp;VLOOKUP($B4,code!$A:$D,3,0)),0),Q$2)</f>
        <v>0</v>
      </c>
      <c r="R9" s="885">
        <f ca="1">+$R$2/1.1*K9</f>
        <v>410175.38519999763</v>
      </c>
    </row>
    <row r="10" spans="1:19" ht="15.75">
      <c r="B10" s="896" t="s">
        <v>5231</v>
      </c>
      <c r="C10">
        <f ca="1">INDEX(TỒN!$A:$F,MATCH($B10,TỒN!$A:$A,0),C$2)</f>
        <v>96</v>
      </c>
      <c r="D10">
        <f ca="1">INDEX(TỒN!$A:$F,MATCH($B10,TỒN!$A:$A,0),D$2)</f>
        <v>352</v>
      </c>
      <c r="E10">
        <f ca="1">INDEX(TỒN!$A:$F,MATCH($B10,TỒN!$A:$A,0),E$2)</f>
        <v>104</v>
      </c>
      <c r="F10">
        <f ca="1">INDEX(TỒN!$A:$F,MATCH($B10,TỒN!$A:$A,0),F$2)</f>
        <v>248</v>
      </c>
      <c r="G10" s="583">
        <f ca="1">INDEX(INDIRECT("'"&amp;VLOOKUP($B4,code!$A:$D,2,0)&amp;"'"&amp;"!"&amp;VLOOKUP($B4,code!$A:$D,4,0)),MATCH($B10,INDIRECT("'"&amp;VLOOKUP($B4,code!$A:$D,2,0)&amp;"'"&amp;"!"&amp;VLOOKUP($B4,code!$A:$D,3,0)),0),G$2)</f>
        <v>0.1</v>
      </c>
      <c r="H10" s="584" t="str">
        <f ca="1">INDEX(INDIRECT("'"&amp;VLOOKUP($B4,code!$A:$D,2,0)&amp;"'"&amp;"!"&amp;VLOOKUP($B4,code!$A:$D,4,0)),MATCH($B10,INDIRECT("'"&amp;VLOOKUP($B4,code!$A:$D,2,0)&amp;"'"&amp;"!"&amp;VLOOKUP($B4,code!$A:$D,3,0)),0),H$2)</f>
        <v>Cây</v>
      </c>
      <c r="I10" s="584" t="str">
        <f ca="1">INDEX(INDIRECT("'"&amp;VLOOKUP($B4,code!$A:$D,2,0)&amp;"'"&amp;"!"&amp;VLOOKUP($B4,code!$A:$D,4,0)),MATCH($B10,INDIRECT("'"&amp;VLOOKUP($B4,code!$A:$D,2,0)&amp;"'"&amp;"!"&amp;VLOOKUP($B4,code!$A:$D,3,0)),0),I$2)</f>
        <v>Cây 2.9m</v>
      </c>
      <c r="J10" s="582" t="str">
        <f ca="1">INDEX(INDIRECT("'"&amp;VLOOKUP($B4,code!$A:$D,2,0)&amp;"'"&amp;"!"&amp;VLOOKUP($B4,code!$A:$D,4,0)),MATCH($B10,INDIRECT("'"&amp;VLOOKUP($B4,code!$A:$D,2,0)&amp;"'"&amp;"!"&amp;VLOOKUP($B4,code!$A:$D,3,0)),0),J$2)</f>
        <v>12</v>
      </c>
      <c r="K10" s="585">
        <f ca="1">INDEX(INDIRECT("'"&amp;VLOOKUP($B4,code!$A:$D,2,0)&amp;"'"&amp;"!"&amp;VLOOKUP($B4,code!$A:$D,4,0)),MATCH($B10,INDIRECT("'"&amp;VLOOKUP($B4,code!$A:$D,2,0)&amp;"'"&amp;"!"&amp;VLOOKUP($B4,code!$A:$D,3,0)),0),K$2)</f>
        <v>2.3178783599999999</v>
      </c>
      <c r="L10" s="586" t="str">
        <f ca="1">INDEX(INDIRECT("'"&amp;VLOOKUP($B4,code!$A:$D,2,0)&amp;"'"&amp;"!"&amp;VLOOKUP($B4,code!$A:$D,4,0)),MATCH($B10,INDIRECT("'"&amp;VLOOKUP($B4,code!$A:$D,2,0)&amp;"'"&amp;"!"&amp;VLOOKUP($B4,code!$A:$D,3,0)),0),L$2)</f>
        <v xml:space="preserve"> 28.58 </v>
      </c>
      <c r="M10" s="584" t="str">
        <f ca="1">INDEX(INDIRECT("'"&amp;VLOOKUP($B4,code!$A:$D,2,0)&amp;"'"&amp;"!"&amp;VLOOKUP($B4,code!$A:$D,4,0)),MATCH($B10,INDIRECT("'"&amp;VLOOKUP($B4,code!$A:$D,2,0)&amp;"'"&amp;"!"&amp;VLOOKUP($B4,code!$A:$D,3,0)),0),M$2)</f>
        <v>1.00</v>
      </c>
      <c r="N10" s="584">
        <f ca="1">INDEX(INDIRECT("'"&amp;VLOOKUP($B4,code!$A:$D,2,0)&amp;"'"&amp;"!"&amp;VLOOKUP($B4,code!$A:$D,4,0)),MATCH($B10,INDIRECT("'"&amp;VLOOKUP($B4,code!$A:$D,2,0)&amp;"'"&amp;"!"&amp;VLOOKUP($B4,code!$A:$D,3,0)),0),N$2)</f>
        <v>2.9</v>
      </c>
      <c r="O10" s="584">
        <f ca="1">INDEX(INDIRECT("'"&amp;VLOOKUP($B4,code!$A:$D,2,0)&amp;"'"&amp;"!"&amp;VLOOKUP($B4,code!$A:$D,4,0)),MATCH($B10,INDIRECT("'"&amp;VLOOKUP($B4,code!$A:$D,2,0)&amp;"'"&amp;"!"&amp;VLOOKUP($B4,code!$A:$D,3,0)),0),O$2)</f>
        <v>0</v>
      </c>
      <c r="P10" s="584" t="str">
        <f ca="1">INDEX(INDIRECT("'"&amp;VLOOKUP($B4,code!$A:$D,2,0)&amp;"'"&amp;"!"&amp;VLOOKUP($B4,code!$A:$D,4,0)),MATCH($B10,INDIRECT("'"&amp;VLOOKUP($B4,code!$A:$D,2,0)&amp;"'"&amp;"!"&amp;VLOOKUP($B4,code!$A:$D,3,0)),0),P$2)</f>
        <v>Không</v>
      </c>
      <c r="Q10" s="583">
        <f ca="1">INDEX(INDIRECT("'"&amp;VLOOKUP($B4,code!$A:$D,2,0)&amp;"'"&amp;"!"&amp;VLOOKUP($B4,code!$A:$D,4,0)),MATCH($B10,INDIRECT("'"&amp;VLOOKUP($B4,code!$A:$D,2,0)&amp;"'"&amp;"!"&amp;VLOOKUP($B4,code!$A:$D,3,0)),0),Q$2)</f>
        <v>0</v>
      </c>
      <c r="R10" s="885">
        <f ca="1">+$R$2/1.1*K10</f>
        <v>533112.02279999992</v>
      </c>
    </row>
    <row r="12" spans="1:19">
      <c r="G12" s="900"/>
    </row>
    <row r="15" spans="1:19">
      <c r="G15" s="892" t="s">
        <v>11819</v>
      </c>
      <c r="H15" s="893"/>
      <c r="I15" s="893"/>
      <c r="J15" s="893"/>
    </row>
    <row r="16" spans="1:19">
      <c r="G16" s="887">
        <v>3</v>
      </c>
      <c r="H16" s="887">
        <v>4</v>
      </c>
      <c r="I16" s="887">
        <v>5</v>
      </c>
      <c r="J16" s="887">
        <v>6</v>
      </c>
    </row>
    <row r="17" spans="1:19" ht="16.5">
      <c r="G17" s="655" t="s">
        <v>3926</v>
      </c>
      <c r="H17" s="655" t="s">
        <v>3927</v>
      </c>
      <c r="I17" s="662" t="s">
        <v>80</v>
      </c>
      <c r="J17" s="662" t="s">
        <v>81</v>
      </c>
      <c r="R17" s="889">
        <v>-15</v>
      </c>
      <c r="S17" s="900" t="s">
        <v>11822</v>
      </c>
    </row>
    <row r="18" spans="1:19" ht="16.5">
      <c r="A18" t="s">
        <v>11815</v>
      </c>
      <c r="B18" s="889" t="s">
        <v>7742</v>
      </c>
      <c r="C18">
        <f ca="1">INDEX(TỒN!$A:$F,MATCH($B18,TỒN!$A:$A,0),C$2)</f>
        <v>3616</v>
      </c>
      <c r="D18">
        <f ca="1">INDEX(TỒN!$A:$F,MATCH($B18,TỒN!$A:$A,0),D$2)</f>
        <v>5362</v>
      </c>
      <c r="E18">
        <f ca="1">INDEX(TỒN!$A:$F,MATCH($B18,TỒN!$A:$A,0),E$2)</f>
        <v>3616</v>
      </c>
      <c r="F18">
        <f ca="1">INDEX(TỒN!$A:$F,MATCH($B18,TỒN!$A:$A,0),F$2)</f>
        <v>1746</v>
      </c>
      <c r="G18" s="583">
        <f>INDEX('XỐP ỐNG'!$D:$I,MATCH($B18,'XỐP ỐNG'!$D:$D,0),G$2)</f>
        <v>0.1</v>
      </c>
      <c r="H18" s="583">
        <f>INDEX('XỐP ỐNG'!$D:$I,MATCH($B18,'XỐP ỐNG'!$D:$D,0),H$2)</f>
        <v>0</v>
      </c>
      <c r="I18" s="664">
        <f>INDEX('XỐP ỐNG'!$D:$I,MATCH($B18,'XỐP ỐNG'!$D:$D,0),I$2)</f>
        <v>21230</v>
      </c>
      <c r="J18" s="664">
        <f>INDEX('XỐP ỐNG'!$D:$I,MATCH($B18,'XỐP ỐNG'!$D:$D,0),J$2)</f>
        <v>19300</v>
      </c>
      <c r="K18" s="585"/>
      <c r="L18" s="586"/>
      <c r="M18" s="584"/>
      <c r="N18" s="584"/>
      <c r="O18" s="584"/>
      <c r="P18" s="584"/>
      <c r="Q18" s="583"/>
      <c r="R18">
        <f>+J18*(100+$R$17)/100</f>
        <v>16405</v>
      </c>
    </row>
    <row r="20" spans="1:19" ht="13.5" thickBot="1">
      <c r="H20" s="899" t="s">
        <v>11820</v>
      </c>
      <c r="I20" s="899"/>
      <c r="J20" s="899"/>
      <c r="K20" s="899"/>
      <c r="L20" s="899"/>
      <c r="M20" s="899"/>
      <c r="N20" s="899"/>
      <c r="O20" s="899"/>
      <c r="R20" s="889">
        <v>-6.5</v>
      </c>
      <c r="S20" s="900" t="s">
        <v>11824</v>
      </c>
    </row>
    <row r="21" spans="1:19" ht="15.75" customHeight="1" thickTop="1">
      <c r="H21" s="767" t="s">
        <v>79</v>
      </c>
      <c r="I21" s="773" t="s">
        <v>268</v>
      </c>
      <c r="J21" s="775" t="s">
        <v>269</v>
      </c>
      <c r="K21" s="713"/>
      <c r="L21" s="713"/>
      <c r="M21" s="713"/>
      <c r="N21" s="713"/>
      <c r="O21" s="714"/>
      <c r="R21" s="889">
        <f>38+14</f>
        <v>52</v>
      </c>
    </row>
    <row r="22" spans="1:19" ht="15.75" customHeight="1">
      <c r="H22" s="898"/>
      <c r="I22" s="768"/>
      <c r="J22" s="250" t="s">
        <v>270</v>
      </c>
      <c r="K22" s="250" t="s">
        <v>271</v>
      </c>
      <c r="L22" s="251"/>
      <c r="M22" s="251"/>
      <c r="N22" s="251"/>
      <c r="O22" s="252" t="s">
        <v>272</v>
      </c>
    </row>
    <row r="23" spans="1:19">
      <c r="I23">
        <v>0</v>
      </c>
      <c r="J23">
        <v>10</v>
      </c>
      <c r="K23">
        <v>20</v>
      </c>
      <c r="O23">
        <v>50</v>
      </c>
      <c r="R23" s="889">
        <f>IF(R21&gt;=O23,7,IF(R21&gt;=K23,3,IF(R21&gt;J23,2,1)))</f>
        <v>7</v>
      </c>
    </row>
    <row r="24" spans="1:19">
      <c r="A24" t="s">
        <v>11817</v>
      </c>
      <c r="B24" s="896" t="s">
        <v>315</v>
      </c>
      <c r="C24">
        <f ca="1">INDEX(TỒN!$A:$F,MATCH($B24,TỒN!$A:$A,0),C$2)</f>
        <v>48</v>
      </c>
      <c r="D24">
        <f ca="1">INDEX(TỒN!$A:$F,MATCH($B24,TỒN!$A:$A,0),D$2)</f>
        <v>176</v>
      </c>
      <c r="E24">
        <f ca="1">INDEX(TỒN!$A:$F,MATCH($B24,TỒN!$A:$A,0),E$2)</f>
        <v>48</v>
      </c>
      <c r="F24">
        <f ca="1">INDEX(TỒN!$A:$F,MATCH($B24,TỒN!$A:$A,0),F$2)</f>
        <v>128</v>
      </c>
      <c r="H24" t="str">
        <f>INDEX('ỐG+BTT TAISEI(6)'!$B:$L,MATCH($B24,'ỐG+BTT TAISEI(6)'!$B:$B,0),H$2)</f>
        <v>C/8m</v>
      </c>
      <c r="I24" s="897">
        <f>INDEX('ỐG+BTT TAISEI(6)'!$B:$L,MATCH($B24,'ỐG+BTT TAISEI(6)'!$B:$B,0),I$2)</f>
        <v>258000</v>
      </c>
      <c r="J24" s="897">
        <f>INDEX('ỐG+BTT TAISEI(6)'!$B:$L,MATCH($B24,'ỐG+BTT TAISEI(6)'!$B:$B,0),J$2)</f>
        <v>230000</v>
      </c>
      <c r="K24" s="897">
        <f>INDEX('ỐG+BTT TAISEI(6)'!$B:$L,MATCH($B24,'ỐG+BTT TAISEI(6)'!$B:$B,0),K$2)</f>
        <v>225000</v>
      </c>
      <c r="L24" s="897">
        <f>INDEX('ỐG+BTT TAISEI(6)'!$B:$L,MATCH($B24,'ỐG+BTT TAISEI(6)'!$B:$B,0),L$2)</f>
        <v>0</v>
      </c>
      <c r="M24" s="897">
        <f>INDEX('ỐG+BTT TAISEI(6)'!$B:$L,MATCH($B24,'ỐG+BTT TAISEI(6)'!$B:$B,0),M$2)</f>
        <v>0</v>
      </c>
      <c r="N24" s="897">
        <f>INDEX('ỐG+BTT TAISEI(6)'!$B:$L,MATCH($B24,'ỐG+BTT TAISEI(6)'!$B:$B,0),N$2)</f>
        <v>0</v>
      </c>
      <c r="O24" s="897">
        <f>INDEX('ỐG+BTT TAISEI(6)'!$B:$L,MATCH($B24,'ỐG+BTT TAISEI(6)'!$B:$B,0),O$2)</f>
        <v>225000</v>
      </c>
      <c r="R24" s="901">
        <f>INDEX($I24:$O24,1,$R$23)*(100+$R$20)/100</f>
        <v>210375</v>
      </c>
    </row>
    <row r="25" spans="1:19">
      <c r="B25" s="896" t="s">
        <v>317</v>
      </c>
      <c r="C25">
        <f ca="1">INDEX(TỒN!$A:$F,MATCH($B25,TỒN!$A:$A,0),C$2)</f>
        <v>42</v>
      </c>
      <c r="D25">
        <f ca="1">INDEX(TỒN!$A:$F,MATCH($B25,TỒN!$A:$A,0),D$2)</f>
        <v>103</v>
      </c>
      <c r="E25">
        <f ca="1">INDEX(TỒN!$A:$F,MATCH($B25,TỒN!$A:$A,0),E$2)</f>
        <v>42</v>
      </c>
      <c r="F25">
        <f ca="1">INDEX(TỒN!$A:$F,MATCH($B25,TỒN!$A:$A,0),F$2)</f>
        <v>61</v>
      </c>
      <c r="H25" t="str">
        <f>INDEX('ỐG+BTT TAISEI(6)'!$B:$L,MATCH($B25,'ỐG+BTT TAISEI(6)'!$B:$B,0),H$2)</f>
        <v>C/8m</v>
      </c>
      <c r="I25" s="897">
        <f>INDEX('ỐG+BTT TAISEI(6)'!$B:$L,MATCH($B25,'ỐG+BTT TAISEI(6)'!$B:$B,0),I$2)</f>
        <v>332000</v>
      </c>
      <c r="J25" s="897">
        <f>INDEX('ỐG+BTT TAISEI(6)'!$B:$L,MATCH($B25,'ỐG+BTT TAISEI(6)'!$B:$B,0),J$2)</f>
        <v>310000</v>
      </c>
      <c r="K25" s="897">
        <f>INDEX('ỐG+BTT TAISEI(6)'!$B:$L,MATCH($B25,'ỐG+BTT TAISEI(6)'!$B:$B,0),K$2)</f>
        <v>300000</v>
      </c>
      <c r="L25" s="897">
        <f>INDEX('ỐG+BTT TAISEI(6)'!$B:$L,MATCH($B25,'ỐG+BTT TAISEI(6)'!$B:$B,0),L$2)</f>
        <v>0</v>
      </c>
      <c r="M25" s="897">
        <f>INDEX('ỐG+BTT TAISEI(6)'!$B:$L,MATCH($B25,'ỐG+BTT TAISEI(6)'!$B:$B,0),M$2)</f>
        <v>0</v>
      </c>
      <c r="N25" s="897">
        <f>INDEX('ỐG+BTT TAISEI(6)'!$B:$L,MATCH($B25,'ỐG+BTT TAISEI(6)'!$B:$B,0),N$2)</f>
        <v>0</v>
      </c>
      <c r="O25" s="897">
        <f>INDEX('ỐG+BTT TAISEI(6)'!$B:$L,MATCH($B25,'ỐG+BTT TAISEI(6)'!$B:$B,0),O$2)</f>
        <v>290000</v>
      </c>
      <c r="R25" s="901">
        <f>INDEX($I25:$O25,1,$R$23)*(100+$R$20)/100</f>
        <v>271150</v>
      </c>
    </row>
    <row r="26" spans="1:19">
      <c r="R26" s="889">
        <v>17</v>
      </c>
    </row>
    <row r="28" spans="1:19">
      <c r="I28">
        <v>0</v>
      </c>
      <c r="J28">
        <v>10</v>
      </c>
      <c r="K28">
        <v>20</v>
      </c>
      <c r="O28">
        <v>50</v>
      </c>
      <c r="R28" s="889">
        <f>IF(R26&gt;=O28,7,IF(R26&gt;=K28,3,IF(R26&gt;J28,2,1)))</f>
        <v>2</v>
      </c>
    </row>
    <row r="29" spans="1:19">
      <c r="A29" s="900" t="s">
        <v>11821</v>
      </c>
      <c r="B29" s="896" t="s">
        <v>294</v>
      </c>
      <c r="C29">
        <f ca="1">INDEX(TỒN!$A:$F,MATCH($B29,TỒN!$A:$A,0),C$2)</f>
        <v>111</v>
      </c>
      <c r="D29">
        <f ca="1">INDEX(TỒN!$A:$F,MATCH($B29,TỒN!$A:$A,0),D$2)</f>
        <v>237</v>
      </c>
      <c r="E29">
        <f ca="1">INDEX(TỒN!$A:$F,MATCH($B29,TỒN!$A:$A,0),E$2)</f>
        <v>111</v>
      </c>
      <c r="F29">
        <f ca="1">INDEX(TỒN!$A:$F,MATCH($B29,TỒN!$A:$A,0),F$2)</f>
        <v>126</v>
      </c>
      <c r="H29" t="str">
        <f>INDEX('ỐG+BTT TAISEI(6)'!$B:$L,MATCH($B29,'ỐG+BTT TAISEI(6)'!$B:$B,0),H$2)</f>
        <v>C/8m</v>
      </c>
      <c r="I29" s="897">
        <f>INDEX('ỐG+BTT TAISEI(6)'!$B:$L,MATCH($B29,'ỐG+BTT TAISEI(6)'!$B:$B,0),I$2)</f>
        <v>95000</v>
      </c>
      <c r="J29" s="897">
        <f>INDEX('ỐG+BTT TAISEI(6)'!$B:$L,MATCH($B29,'ỐG+BTT TAISEI(6)'!$B:$B,0),J$2)</f>
        <v>70000</v>
      </c>
      <c r="K29" s="897">
        <f>INDEX('ỐG+BTT TAISEI(6)'!$B:$L,MATCH($B29,'ỐG+BTT TAISEI(6)'!$B:$B,0),K$2)</f>
        <v>65000</v>
      </c>
      <c r="L29" s="897">
        <f>INDEX('ỐG+BTT TAISEI(6)'!$B:$L,MATCH($B29,'ỐG+BTT TAISEI(6)'!$B:$B,0),L$2)</f>
        <v>0</v>
      </c>
      <c r="M29" s="897">
        <f>INDEX('ỐG+BTT TAISEI(6)'!$B:$L,MATCH($B29,'ỐG+BTT TAISEI(6)'!$B:$B,0),M$2)</f>
        <v>0</v>
      </c>
      <c r="N29" s="897">
        <f>INDEX('ỐG+BTT TAISEI(6)'!$B:$L,MATCH($B29,'ỐG+BTT TAISEI(6)'!$B:$B,0),N$2)</f>
        <v>0</v>
      </c>
      <c r="O29" s="897">
        <f>INDEX('ỐG+BTT TAISEI(6)'!$B:$L,MATCH($B29,'ỐG+BTT TAISEI(6)'!$B:$B,0),O$2)</f>
        <v>60000</v>
      </c>
      <c r="R29" s="901">
        <f>INDEX($I29:$O29,1,$R$28)*(100+$R$20)/100</f>
        <v>65450</v>
      </c>
    </row>
    <row r="32" spans="1:19">
      <c r="H32" t="s">
        <v>11826</v>
      </c>
    </row>
    <row r="34" spans="1:18" ht="16.5">
      <c r="G34" s="655" t="s">
        <v>3926</v>
      </c>
      <c r="H34" s="655" t="s">
        <v>3927</v>
      </c>
      <c r="I34" s="662" t="s">
        <v>80</v>
      </c>
      <c r="J34" s="662" t="s">
        <v>81</v>
      </c>
      <c r="K34" s="662" t="s">
        <v>82</v>
      </c>
      <c r="R34" s="889">
        <v>2</v>
      </c>
    </row>
    <row r="35" spans="1:18" ht="16.5">
      <c r="A35" s="900" t="s">
        <v>11825</v>
      </c>
      <c r="B35" s="896" t="s">
        <v>10829</v>
      </c>
      <c r="C35">
        <f ca="1">INDEX(TỒN!$A:$F,MATCH($B35,TỒN!$A:$A,0),C$2)</f>
        <v>962</v>
      </c>
      <c r="D35">
        <f ca="1">INDEX(TỒN!$A:$F,MATCH($B35,TỒN!$A:$A,0),D$2)</f>
        <v>2054</v>
      </c>
      <c r="E35">
        <f ca="1">INDEX(TỒN!$A:$F,MATCH($B35,TỒN!$A:$A,0),E$2)</f>
        <v>962</v>
      </c>
      <c r="F35">
        <f ca="1">INDEX(TỒN!$A:$F,MATCH($B35,TỒN!$A:$A,0),F$2)</f>
        <v>1092</v>
      </c>
      <c r="G35" s="583">
        <f>INDEX('VẬT TƯ'!$D:$J,MATCH($B35,'VẬT TƯ'!$D:$D,0),G$2)</f>
        <v>0.1</v>
      </c>
      <c r="H35" s="583">
        <f>INDEX('VẬT TƯ'!$D:$J,MATCH($B35,'VẬT TƯ'!$D:$D,0),H$2)</f>
        <v>0</v>
      </c>
      <c r="I35" s="664">
        <f>INDEX('VẬT TƯ'!$D:$J,MATCH($B35,'VẬT TƯ'!$D:$D,0),I$2)</f>
        <v>32010</v>
      </c>
      <c r="J35" s="664">
        <f>INDEX('VẬT TƯ'!$D:$J,MATCH($B35,'VẬT TƯ'!$D:$D,0),J$2)</f>
        <v>29100</v>
      </c>
      <c r="K35" s="664">
        <f>INDEX('VẬT TƯ'!$D:$J,MATCH($B35,'VẬT TƯ'!$D:$D,0),K$2)</f>
        <v>32010</v>
      </c>
      <c r="R35" s="901">
        <f>INDEX($I35:$O35,1,$R$34)</f>
        <v>29100</v>
      </c>
    </row>
    <row r="36" spans="1:18" ht="16.5">
      <c r="B36" s="896" t="s">
        <v>10825</v>
      </c>
      <c r="C36">
        <f ca="1">INDEX(TỒN!$A:$F,MATCH($B36,TỒN!$A:$A,0),C$2)</f>
        <v>1592</v>
      </c>
      <c r="D36">
        <f ca="1">INDEX(TỒN!$A:$F,MATCH($B36,TỒN!$A:$A,0),D$2)</f>
        <v>2321</v>
      </c>
      <c r="E36">
        <f ca="1">INDEX(TỒN!$A:$F,MATCH($B36,TỒN!$A:$A,0),E$2)</f>
        <v>1592</v>
      </c>
      <c r="F36">
        <f ca="1">INDEX(TỒN!$A:$F,MATCH($B36,TỒN!$A:$A,0),F$2)</f>
        <v>729</v>
      </c>
      <c r="G36" s="583">
        <f>INDEX('VẬT TƯ'!$D:$J,MATCH($B36,'VẬT TƯ'!$D:$D,0),G$2)</f>
        <v>0.1</v>
      </c>
      <c r="H36" s="583">
        <f>INDEX('VẬT TƯ'!$D:$J,MATCH($B36,'VẬT TƯ'!$D:$D,0),H$2)</f>
        <v>0</v>
      </c>
      <c r="I36" s="664">
        <f>INDEX('VẬT TƯ'!$D:$J,MATCH($B36,'VẬT TƯ'!$D:$D,0),I$2)</f>
        <v>22000</v>
      </c>
      <c r="J36" s="664">
        <f>INDEX('VẬT TƯ'!$D:$J,MATCH($B36,'VẬT TƯ'!$D:$D,0),J$2)</f>
        <v>20000</v>
      </c>
      <c r="K36" s="664">
        <f>INDEX('VẬT TƯ'!$D:$J,MATCH($B36,'VẬT TƯ'!$D:$D,0),K$2)</f>
        <v>22000</v>
      </c>
      <c r="R36" s="901">
        <f>INDEX($I36:$O36,1,$R$34)</f>
        <v>20000</v>
      </c>
    </row>
  </sheetData>
  <mergeCells count="7">
    <mergeCell ref="H21:H22"/>
    <mergeCell ref="I21:I22"/>
    <mergeCell ref="J21:O21"/>
    <mergeCell ref="H20:O20"/>
    <mergeCell ref="C1:F1"/>
    <mergeCell ref="G1:P1"/>
    <mergeCell ref="G15:J15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D1BBD-40B9-4D49-9AFD-C53267C8795B}">
  <dimension ref="A1:D5466"/>
  <sheetViews>
    <sheetView topLeftCell="A559" workbookViewId="0">
      <selection activeCell="B571" sqref="B571"/>
    </sheetView>
  </sheetViews>
  <sheetFormatPr defaultRowHeight="12.75"/>
  <cols>
    <col min="1" max="1" width="15.5703125" style="888" customWidth="1"/>
    <col min="2" max="2" width="16.140625" bestFit="1" customWidth="1"/>
    <col min="3" max="3" width="21.7109375" customWidth="1"/>
    <col min="4" max="4" width="11.42578125" style="905" customWidth="1"/>
  </cols>
  <sheetData>
    <row r="1" spans="1:4" ht="15">
      <c r="A1" s="918" t="s">
        <v>674</v>
      </c>
      <c r="B1" s="900" t="s">
        <v>11827</v>
      </c>
      <c r="C1" s="913"/>
      <c r="D1" s="902"/>
    </row>
    <row r="2" spans="1:4" ht="15.75">
      <c r="A2" s="103" t="s">
        <v>88</v>
      </c>
      <c r="B2" t="s">
        <v>11828</v>
      </c>
      <c r="C2" s="929" t="s">
        <v>11841</v>
      </c>
      <c r="D2" s="903" t="s">
        <v>11850</v>
      </c>
    </row>
    <row r="3" spans="1:4" ht="15.75">
      <c r="A3" s="103" t="s">
        <v>90</v>
      </c>
      <c r="B3" t="s">
        <v>11828</v>
      </c>
      <c r="C3" s="929" t="s">
        <v>11841</v>
      </c>
      <c r="D3" s="903" t="s">
        <v>11850</v>
      </c>
    </row>
    <row r="4" spans="1:4" ht="15.75">
      <c r="A4" s="103" t="s">
        <v>92</v>
      </c>
      <c r="B4" t="s">
        <v>11828</v>
      </c>
      <c r="C4" s="929" t="s">
        <v>11841</v>
      </c>
      <c r="D4" s="903" t="s">
        <v>11850</v>
      </c>
    </row>
    <row r="5" spans="1:4" ht="15.75">
      <c r="A5" s="103" t="s">
        <v>94</v>
      </c>
      <c r="B5" t="s">
        <v>11828</v>
      </c>
      <c r="C5" s="929" t="s">
        <v>11841</v>
      </c>
      <c r="D5" s="903" t="s">
        <v>11850</v>
      </c>
    </row>
    <row r="6" spans="1:4" ht="15.75">
      <c r="A6" s="103" t="s">
        <v>96</v>
      </c>
      <c r="B6" t="s">
        <v>11828</v>
      </c>
      <c r="C6" s="929" t="s">
        <v>11841</v>
      </c>
      <c r="D6" s="903" t="s">
        <v>11850</v>
      </c>
    </row>
    <row r="7" spans="1:4" ht="13.5" customHeight="1">
      <c r="A7" s="103" t="s">
        <v>98</v>
      </c>
      <c r="B7" t="s">
        <v>11828</v>
      </c>
      <c r="C7" s="929" t="s">
        <v>11841</v>
      </c>
      <c r="D7" s="903" t="s">
        <v>11850</v>
      </c>
    </row>
    <row r="8" spans="1:4" ht="15.75">
      <c r="B8" t="s">
        <v>11828</v>
      </c>
      <c r="C8" s="929" t="s">
        <v>11841</v>
      </c>
      <c r="D8" s="903" t="s">
        <v>11850</v>
      </c>
    </row>
    <row r="9" spans="1:4" ht="15.75">
      <c r="A9" s="107" t="s">
        <v>101</v>
      </c>
      <c r="B9" t="s">
        <v>11828</v>
      </c>
      <c r="C9" s="929" t="s">
        <v>11841</v>
      </c>
      <c r="D9" s="903" t="s">
        <v>11850</v>
      </c>
    </row>
    <row r="10" spans="1:4" ht="15.75">
      <c r="A10" s="103" t="s">
        <v>103</v>
      </c>
      <c r="B10" t="s">
        <v>11828</v>
      </c>
      <c r="C10" s="929" t="s">
        <v>11841</v>
      </c>
      <c r="D10" s="903" t="s">
        <v>11850</v>
      </c>
    </row>
    <row r="11" spans="1:4" ht="15.75">
      <c r="A11" s="103" t="s">
        <v>105</v>
      </c>
      <c r="B11" t="s">
        <v>11828</v>
      </c>
      <c r="C11" s="929" t="s">
        <v>11841</v>
      </c>
      <c r="D11" s="903" t="s">
        <v>11850</v>
      </c>
    </row>
    <row r="12" spans="1:4" ht="16.5" thickBot="1">
      <c r="A12" s="112" t="s">
        <v>107</v>
      </c>
      <c r="B12" t="s">
        <v>11828</v>
      </c>
      <c r="C12" s="929" t="s">
        <v>11841</v>
      </c>
      <c r="D12" s="903" t="s">
        <v>11850</v>
      </c>
    </row>
    <row r="13" spans="1:4" ht="16.5" thickTop="1">
      <c r="A13" s="919"/>
      <c r="B13" t="s">
        <v>11828</v>
      </c>
      <c r="C13" s="929" t="s">
        <v>11841</v>
      </c>
      <c r="D13" s="903" t="s">
        <v>11850</v>
      </c>
    </row>
    <row r="14" spans="1:4" ht="15.75">
      <c r="B14" t="s">
        <v>11828</v>
      </c>
      <c r="C14" s="929" t="s">
        <v>11841</v>
      </c>
      <c r="D14" s="903" t="s">
        <v>11850</v>
      </c>
    </row>
    <row r="15" spans="1:4" ht="15.75">
      <c r="B15" t="s">
        <v>11828</v>
      </c>
      <c r="C15" s="929" t="s">
        <v>11841</v>
      </c>
      <c r="D15" s="903" t="s">
        <v>11850</v>
      </c>
    </row>
    <row r="16" spans="1:4" ht="15.75">
      <c r="A16" s="107" t="s">
        <v>112</v>
      </c>
      <c r="B16" t="s">
        <v>11828</v>
      </c>
      <c r="C16" s="929" t="s">
        <v>11841</v>
      </c>
      <c r="D16" s="903" t="s">
        <v>11850</v>
      </c>
    </row>
    <row r="17" spans="1:4" ht="15.75">
      <c r="A17" s="107" t="s">
        <v>114</v>
      </c>
      <c r="B17" t="s">
        <v>11828</v>
      </c>
      <c r="C17" s="929" t="s">
        <v>11841</v>
      </c>
      <c r="D17" s="903" t="s">
        <v>11850</v>
      </c>
    </row>
    <row r="18" spans="1:4" ht="15.75">
      <c r="A18" s="107" t="s">
        <v>116</v>
      </c>
      <c r="B18" t="s">
        <v>11828</v>
      </c>
      <c r="C18" s="929" t="s">
        <v>11841</v>
      </c>
      <c r="D18" s="903" t="s">
        <v>11850</v>
      </c>
    </row>
    <row r="19" spans="1:4" ht="15.75">
      <c r="A19" s="107" t="s">
        <v>118</v>
      </c>
      <c r="B19" t="s">
        <v>11828</v>
      </c>
      <c r="C19" s="929" t="s">
        <v>11841</v>
      </c>
      <c r="D19" s="903" t="s">
        <v>11850</v>
      </c>
    </row>
    <row r="20" spans="1:4" ht="15.75">
      <c r="A20" s="107" t="s">
        <v>120</v>
      </c>
      <c r="B20" t="s">
        <v>11828</v>
      </c>
      <c r="C20" s="929" t="s">
        <v>11841</v>
      </c>
      <c r="D20" s="903" t="s">
        <v>11850</v>
      </c>
    </row>
    <row r="21" spans="1:4" ht="15.75">
      <c r="A21" s="107" t="s">
        <v>123</v>
      </c>
      <c r="B21" t="s">
        <v>11828</v>
      </c>
      <c r="C21" s="929" t="s">
        <v>11841</v>
      </c>
      <c r="D21" s="903" t="s">
        <v>11850</v>
      </c>
    </row>
    <row r="22" spans="1:4" ht="15.75">
      <c r="A22" s="107" t="s">
        <v>125</v>
      </c>
      <c r="B22" t="s">
        <v>11828</v>
      </c>
      <c r="C22" s="929" t="s">
        <v>11841</v>
      </c>
      <c r="D22" s="903" t="s">
        <v>11850</v>
      </c>
    </row>
    <row r="23" spans="1:4" ht="15.75">
      <c r="A23" s="117" t="s">
        <v>127</v>
      </c>
      <c r="B23" t="s">
        <v>11828</v>
      </c>
      <c r="C23" s="929" t="s">
        <v>11841</v>
      </c>
      <c r="D23" s="903" t="s">
        <v>11850</v>
      </c>
    </row>
    <row r="24" spans="1:4" ht="15.75">
      <c r="B24" t="s">
        <v>11828</v>
      </c>
      <c r="C24" s="929" t="s">
        <v>11841</v>
      </c>
      <c r="D24" s="903" t="s">
        <v>11850</v>
      </c>
    </row>
    <row r="25" spans="1:4" ht="15.75">
      <c r="B25" t="s">
        <v>11828</v>
      </c>
      <c r="C25" s="929" t="s">
        <v>11841</v>
      </c>
      <c r="D25" s="903" t="s">
        <v>11850</v>
      </c>
    </row>
    <row r="26" spans="1:4" ht="15.75">
      <c r="A26" s="120" t="s">
        <v>132</v>
      </c>
      <c r="B26" t="s">
        <v>11828</v>
      </c>
      <c r="C26" s="929" t="s">
        <v>11841</v>
      </c>
      <c r="D26" s="903" t="s">
        <v>11850</v>
      </c>
    </row>
    <row r="27" spans="1:4" ht="15.75">
      <c r="A27" s="107" t="s">
        <v>134</v>
      </c>
      <c r="B27" t="s">
        <v>11828</v>
      </c>
      <c r="C27" s="929" t="s">
        <v>11841</v>
      </c>
      <c r="D27" s="903" t="s">
        <v>11850</v>
      </c>
    </row>
    <row r="28" spans="1:4" ht="16.5" thickBot="1">
      <c r="A28" s="125" t="s">
        <v>136</v>
      </c>
      <c r="B28" t="s">
        <v>11828</v>
      </c>
      <c r="C28" s="929" t="s">
        <v>11841</v>
      </c>
      <c r="D28" s="903" t="s">
        <v>11850</v>
      </c>
    </row>
    <row r="29" spans="1:4" ht="16.5" thickTop="1">
      <c r="A29" s="86"/>
      <c r="B29" t="s">
        <v>11828</v>
      </c>
      <c r="C29" s="929" t="s">
        <v>11841</v>
      </c>
      <c r="D29" s="903" t="s">
        <v>11850</v>
      </c>
    </row>
    <row r="30" spans="1:4" ht="15.75">
      <c r="B30" t="s">
        <v>11828</v>
      </c>
      <c r="C30" s="929" t="s">
        <v>11841</v>
      </c>
      <c r="D30" s="903" t="s">
        <v>11850</v>
      </c>
    </row>
    <row r="31" spans="1:4" ht="15.75">
      <c r="B31" t="s">
        <v>11828</v>
      </c>
      <c r="C31" s="929" t="s">
        <v>11841</v>
      </c>
      <c r="D31" s="903" t="s">
        <v>11850</v>
      </c>
    </row>
    <row r="32" spans="1:4" ht="15.75">
      <c r="B32" t="s">
        <v>11828</v>
      </c>
      <c r="C32" s="929" t="s">
        <v>11841</v>
      </c>
      <c r="D32" s="903" t="s">
        <v>11850</v>
      </c>
    </row>
    <row r="33" spans="1:4" ht="16.5" thickBot="1">
      <c r="B33" t="s">
        <v>11828</v>
      </c>
      <c r="C33" s="929" t="s">
        <v>11841</v>
      </c>
      <c r="D33" s="903" t="s">
        <v>11850</v>
      </c>
    </row>
    <row r="34" spans="1:4" ht="16.5" thickTop="1">
      <c r="A34" s="697" t="s">
        <v>143</v>
      </c>
      <c r="B34" t="s">
        <v>11828</v>
      </c>
      <c r="C34" s="929" t="s">
        <v>11841</v>
      </c>
      <c r="D34" s="903" t="s">
        <v>11850</v>
      </c>
    </row>
    <row r="35" spans="1:4" ht="16.5" thickBot="1">
      <c r="A35" s="920"/>
      <c r="B35" t="s">
        <v>11828</v>
      </c>
      <c r="C35" s="929" t="s">
        <v>11841</v>
      </c>
      <c r="D35" s="903" t="s">
        <v>11850</v>
      </c>
    </row>
    <row r="36" spans="1:4" ht="16.5" thickTop="1">
      <c r="A36" s="921" t="s">
        <v>145</v>
      </c>
      <c r="B36" t="s">
        <v>11828</v>
      </c>
      <c r="C36" s="929" t="s">
        <v>11841</v>
      </c>
      <c r="D36" s="903" t="s">
        <v>11850</v>
      </c>
    </row>
    <row r="37" spans="1:4" ht="15.75">
      <c r="A37" s="922" t="s">
        <v>148</v>
      </c>
      <c r="B37" t="s">
        <v>11828</v>
      </c>
      <c r="C37" s="929" t="s">
        <v>11841</v>
      </c>
      <c r="D37" s="903" t="s">
        <v>11850</v>
      </c>
    </row>
    <row r="38" spans="1:4" ht="15.75">
      <c r="A38" s="923" t="s">
        <v>150</v>
      </c>
      <c r="B38" t="s">
        <v>11828</v>
      </c>
      <c r="C38" s="929" t="s">
        <v>11841</v>
      </c>
      <c r="D38" s="903" t="s">
        <v>11850</v>
      </c>
    </row>
    <row r="39" spans="1:4" ht="15.75">
      <c r="A39" s="922" t="s">
        <v>152</v>
      </c>
      <c r="B39" t="s">
        <v>11828</v>
      </c>
      <c r="C39" s="929" t="s">
        <v>11841</v>
      </c>
      <c r="D39" s="903" t="s">
        <v>11850</v>
      </c>
    </row>
    <row r="40" spans="1:4" ht="15.75">
      <c r="A40" s="923" t="s">
        <v>154</v>
      </c>
      <c r="B40" t="s">
        <v>11828</v>
      </c>
      <c r="C40" s="929" t="s">
        <v>11841</v>
      </c>
      <c r="D40" s="903" t="s">
        <v>11850</v>
      </c>
    </row>
    <row r="41" spans="1:4" ht="16.5" thickBot="1">
      <c r="A41" s="924" t="s">
        <v>156</v>
      </c>
      <c r="B41" t="s">
        <v>11828</v>
      </c>
      <c r="C41" s="929" t="s">
        <v>11841</v>
      </c>
      <c r="D41" s="903" t="s">
        <v>11850</v>
      </c>
    </row>
    <row r="42" spans="1:4" ht="16.5" thickTop="1">
      <c r="A42" s="86"/>
      <c r="B42" t="s">
        <v>11828</v>
      </c>
      <c r="C42" s="929" t="s">
        <v>11841</v>
      </c>
      <c r="D42" s="903" t="s">
        <v>11850</v>
      </c>
    </row>
    <row r="43" spans="1:4" ht="15.75">
      <c r="A43" s="86"/>
      <c r="B43" t="s">
        <v>11828</v>
      </c>
      <c r="C43" s="929" t="s">
        <v>11841</v>
      </c>
      <c r="D43" s="903" t="s">
        <v>11850</v>
      </c>
    </row>
    <row r="44" spans="1:4" ht="15.75">
      <c r="A44" s="86"/>
      <c r="B44" t="s">
        <v>11828</v>
      </c>
      <c r="C44" s="929" t="s">
        <v>11841</v>
      </c>
      <c r="D44" s="903" t="s">
        <v>11850</v>
      </c>
    </row>
    <row r="45" spans="1:4" ht="15.75">
      <c r="A45" s="86"/>
      <c r="B45" t="s">
        <v>11828</v>
      </c>
      <c r="C45" s="929" t="s">
        <v>11841</v>
      </c>
      <c r="D45" s="903" t="s">
        <v>11850</v>
      </c>
    </row>
    <row r="46" spans="1:4" ht="15.75">
      <c r="A46" s="153"/>
      <c r="B46" t="s">
        <v>11828</v>
      </c>
      <c r="C46" s="929" t="s">
        <v>11841</v>
      </c>
      <c r="D46" s="903" t="s">
        <v>11850</v>
      </c>
    </row>
    <row r="47" spans="1:4" ht="15.75">
      <c r="A47" s="86"/>
      <c r="B47" t="s">
        <v>11828</v>
      </c>
      <c r="C47" s="929" t="s">
        <v>11841</v>
      </c>
      <c r="D47" s="903" t="s">
        <v>11850</v>
      </c>
    </row>
    <row r="48" spans="1:4" ht="15.75">
      <c r="A48" s="86"/>
      <c r="B48" t="s">
        <v>11828</v>
      </c>
      <c r="C48" s="929" t="s">
        <v>11841</v>
      </c>
      <c r="D48" s="903" t="s">
        <v>11850</v>
      </c>
    </row>
    <row r="49" spans="1:4" ht="15.75">
      <c r="A49" s="86"/>
      <c r="B49" t="s">
        <v>11828</v>
      </c>
      <c r="C49" s="929" t="s">
        <v>11841</v>
      </c>
      <c r="D49" s="903" t="s">
        <v>11850</v>
      </c>
    </row>
    <row r="50" spans="1:4" ht="15.75">
      <c r="A50" s="86"/>
      <c r="B50" t="s">
        <v>11828</v>
      </c>
      <c r="C50" s="929" t="s">
        <v>11841</v>
      </c>
      <c r="D50" s="903" t="s">
        <v>11850</v>
      </c>
    </row>
    <row r="51" spans="1:4" ht="15.75">
      <c r="A51" s="86"/>
      <c r="B51" t="s">
        <v>11828</v>
      </c>
      <c r="C51" s="929" t="s">
        <v>11841</v>
      </c>
      <c r="D51" s="903" t="s">
        <v>11850</v>
      </c>
    </row>
    <row r="52" spans="1:4" ht="15.75">
      <c r="A52" s="86"/>
      <c r="B52" t="s">
        <v>11828</v>
      </c>
      <c r="C52" s="929" t="s">
        <v>11841</v>
      </c>
      <c r="D52" s="903" t="s">
        <v>11850</v>
      </c>
    </row>
    <row r="53" spans="1:4" ht="15.75">
      <c r="A53" s="86"/>
      <c r="B53" t="s">
        <v>11828</v>
      </c>
      <c r="C53" s="929" t="s">
        <v>11841</v>
      </c>
      <c r="D53" s="903" t="s">
        <v>11850</v>
      </c>
    </row>
    <row r="54" spans="1:4" ht="15.75">
      <c r="A54" s="86"/>
      <c r="B54" t="s">
        <v>11828</v>
      </c>
      <c r="C54" s="929" t="s">
        <v>11841</v>
      </c>
      <c r="D54" s="903" t="s">
        <v>11850</v>
      </c>
    </row>
    <row r="55" spans="1:4" ht="15.75">
      <c r="A55" s="86"/>
      <c r="B55" t="s">
        <v>11828</v>
      </c>
      <c r="C55" s="929" t="s">
        <v>11841</v>
      </c>
      <c r="D55" s="903" t="s">
        <v>11850</v>
      </c>
    </row>
    <row r="56" spans="1:4" ht="15.75">
      <c r="A56" s="84"/>
      <c r="B56" t="s">
        <v>11828</v>
      </c>
      <c r="C56" s="929" t="s">
        <v>11841</v>
      </c>
      <c r="D56" s="903" t="s">
        <v>11850</v>
      </c>
    </row>
    <row r="57" spans="1:4" ht="15.75">
      <c r="A57" s="86"/>
      <c r="B57" t="s">
        <v>11828</v>
      </c>
      <c r="C57" s="929" t="s">
        <v>11841</v>
      </c>
      <c r="D57" s="903" t="s">
        <v>11850</v>
      </c>
    </row>
    <row r="58" spans="1:4" ht="15.75">
      <c r="A58" s="86"/>
      <c r="B58" t="s">
        <v>11828</v>
      </c>
      <c r="C58" s="929" t="s">
        <v>11841</v>
      </c>
      <c r="D58" s="903" t="s">
        <v>11850</v>
      </c>
    </row>
    <row r="59" spans="1:4" ht="15.75">
      <c r="A59" s="86"/>
      <c r="B59" t="s">
        <v>11828</v>
      </c>
      <c r="C59" s="929" t="s">
        <v>11841</v>
      </c>
      <c r="D59" s="903" t="s">
        <v>11850</v>
      </c>
    </row>
    <row r="60" spans="1:4" ht="15.75">
      <c r="B60" t="s">
        <v>11828</v>
      </c>
      <c r="C60" s="929" t="s">
        <v>11841</v>
      </c>
      <c r="D60" s="903" t="s">
        <v>11850</v>
      </c>
    </row>
    <row r="61" spans="1:4" ht="15.75">
      <c r="B61" t="s">
        <v>11828</v>
      </c>
      <c r="C61" s="929" t="s">
        <v>11841</v>
      </c>
      <c r="D61" s="903" t="s">
        <v>11850</v>
      </c>
    </row>
    <row r="62" spans="1:4" ht="15.75">
      <c r="B62" t="s">
        <v>11828</v>
      </c>
      <c r="C62" s="929" t="s">
        <v>11841</v>
      </c>
      <c r="D62" s="903" t="s">
        <v>11850</v>
      </c>
    </row>
    <row r="63" spans="1:4" ht="15.75">
      <c r="A63" s="103" t="s">
        <v>88</v>
      </c>
      <c r="B63" t="s">
        <v>11828</v>
      </c>
      <c r="C63" s="929" t="s">
        <v>11841</v>
      </c>
      <c r="D63" s="903" t="s">
        <v>11850</v>
      </c>
    </row>
    <row r="64" spans="1:4" ht="15.75">
      <c r="A64" s="103" t="s">
        <v>90</v>
      </c>
      <c r="B64" t="s">
        <v>11828</v>
      </c>
      <c r="C64" s="929" t="s">
        <v>11841</v>
      </c>
      <c r="D64" s="903" t="s">
        <v>11850</v>
      </c>
    </row>
    <row r="65" spans="1:4" ht="15.75">
      <c r="A65" s="103" t="s">
        <v>92</v>
      </c>
      <c r="B65" t="s">
        <v>11828</v>
      </c>
      <c r="C65" s="929" t="s">
        <v>11841</v>
      </c>
      <c r="D65" s="903" t="s">
        <v>11850</v>
      </c>
    </row>
    <row r="66" spans="1:4" ht="15.75">
      <c r="A66" s="103" t="s">
        <v>94</v>
      </c>
      <c r="B66" t="s">
        <v>11828</v>
      </c>
      <c r="C66" s="929" t="s">
        <v>11841</v>
      </c>
      <c r="D66" s="903" t="s">
        <v>11850</v>
      </c>
    </row>
    <row r="67" spans="1:4" ht="15.75">
      <c r="A67" s="103" t="s">
        <v>96</v>
      </c>
      <c r="B67" t="s">
        <v>11828</v>
      </c>
      <c r="C67" s="929" t="s">
        <v>11841</v>
      </c>
      <c r="D67" s="903" t="s">
        <v>11850</v>
      </c>
    </row>
    <row r="68" spans="1:4" ht="15.75">
      <c r="A68" s="103" t="s">
        <v>98</v>
      </c>
      <c r="B68" t="s">
        <v>11828</v>
      </c>
      <c r="C68" s="929" t="s">
        <v>11841</v>
      </c>
      <c r="D68" s="903" t="s">
        <v>11850</v>
      </c>
    </row>
    <row r="69" spans="1:4" ht="15.75">
      <c r="B69" t="s">
        <v>11828</v>
      </c>
      <c r="C69" s="929" t="s">
        <v>11841</v>
      </c>
      <c r="D69" s="903" t="s">
        <v>11850</v>
      </c>
    </row>
    <row r="70" spans="1:4" ht="15.75">
      <c r="A70" s="107" t="s">
        <v>101</v>
      </c>
      <c r="B70" t="s">
        <v>11828</v>
      </c>
      <c r="C70" s="929" t="s">
        <v>11841</v>
      </c>
      <c r="D70" s="903" t="s">
        <v>11850</v>
      </c>
    </row>
    <row r="71" spans="1:4" ht="15.75">
      <c r="A71" s="103" t="s">
        <v>103</v>
      </c>
      <c r="B71" t="s">
        <v>11828</v>
      </c>
      <c r="C71" s="929" t="s">
        <v>11841</v>
      </c>
      <c r="D71" s="903" t="s">
        <v>11850</v>
      </c>
    </row>
    <row r="72" spans="1:4" ht="15.75">
      <c r="A72" s="103" t="s">
        <v>105</v>
      </c>
      <c r="B72" t="s">
        <v>11828</v>
      </c>
      <c r="C72" s="929" t="s">
        <v>11841</v>
      </c>
      <c r="D72" s="903" t="s">
        <v>11850</v>
      </c>
    </row>
    <row r="73" spans="1:4" ht="16.5" thickBot="1">
      <c r="A73" s="112" t="s">
        <v>107</v>
      </c>
      <c r="B73" t="s">
        <v>11828</v>
      </c>
      <c r="C73" s="929" t="s">
        <v>11841</v>
      </c>
      <c r="D73" s="903" t="s">
        <v>11850</v>
      </c>
    </row>
    <row r="74" spans="1:4" ht="16.5" thickTop="1">
      <c r="A74" s="919"/>
      <c r="B74" t="s">
        <v>11828</v>
      </c>
      <c r="C74" s="929" t="s">
        <v>11841</v>
      </c>
      <c r="D74" s="903" t="s">
        <v>11850</v>
      </c>
    </row>
    <row r="75" spans="1:4" ht="15.75">
      <c r="B75" t="s">
        <v>11828</v>
      </c>
      <c r="C75" s="929" t="s">
        <v>11841</v>
      </c>
      <c r="D75" s="903" t="s">
        <v>11850</v>
      </c>
    </row>
    <row r="76" spans="1:4" ht="15.75">
      <c r="B76" t="s">
        <v>11828</v>
      </c>
      <c r="C76" s="929" t="s">
        <v>11841</v>
      </c>
      <c r="D76" s="903" t="s">
        <v>11850</v>
      </c>
    </row>
    <row r="77" spans="1:4" ht="15.75">
      <c r="A77" s="107" t="s">
        <v>112</v>
      </c>
      <c r="B77" t="s">
        <v>11828</v>
      </c>
      <c r="C77" s="929" t="s">
        <v>11841</v>
      </c>
      <c r="D77" s="903" t="s">
        <v>11850</v>
      </c>
    </row>
    <row r="78" spans="1:4" ht="15.75">
      <c r="A78" s="107" t="s">
        <v>114</v>
      </c>
      <c r="B78" t="s">
        <v>11828</v>
      </c>
      <c r="C78" s="929" t="s">
        <v>11841</v>
      </c>
      <c r="D78" s="903" t="s">
        <v>11850</v>
      </c>
    </row>
    <row r="79" spans="1:4" ht="15.75">
      <c r="A79" s="107" t="s">
        <v>116</v>
      </c>
      <c r="B79" t="s">
        <v>11828</v>
      </c>
      <c r="C79" s="929" t="s">
        <v>11841</v>
      </c>
      <c r="D79" s="903" t="s">
        <v>11850</v>
      </c>
    </row>
    <row r="80" spans="1:4" ht="15.75">
      <c r="A80" s="107" t="s">
        <v>118</v>
      </c>
      <c r="B80" t="s">
        <v>11828</v>
      </c>
      <c r="C80" s="929" t="s">
        <v>11841</v>
      </c>
      <c r="D80" s="903" t="s">
        <v>11850</v>
      </c>
    </row>
    <row r="81" spans="1:4" ht="15.75">
      <c r="A81" s="107" t="s">
        <v>120</v>
      </c>
      <c r="B81" t="s">
        <v>11828</v>
      </c>
      <c r="C81" s="929" t="s">
        <v>11841</v>
      </c>
      <c r="D81" s="903" t="s">
        <v>11850</v>
      </c>
    </row>
    <row r="82" spans="1:4" ht="15.75">
      <c r="A82" s="107" t="s">
        <v>123</v>
      </c>
      <c r="B82" t="s">
        <v>11828</v>
      </c>
      <c r="C82" s="929" t="s">
        <v>11841</v>
      </c>
      <c r="D82" s="903" t="s">
        <v>11850</v>
      </c>
    </row>
    <row r="83" spans="1:4" ht="15.75">
      <c r="A83" s="107" t="s">
        <v>125</v>
      </c>
      <c r="B83" t="s">
        <v>11828</v>
      </c>
      <c r="C83" s="929" t="s">
        <v>11841</v>
      </c>
      <c r="D83" s="903" t="s">
        <v>11850</v>
      </c>
    </row>
    <row r="84" spans="1:4" ht="15.75">
      <c r="A84" s="117" t="s">
        <v>127</v>
      </c>
      <c r="B84" t="s">
        <v>11828</v>
      </c>
      <c r="C84" s="929" t="s">
        <v>11841</v>
      </c>
      <c r="D84" s="903" t="s">
        <v>11850</v>
      </c>
    </row>
    <row r="85" spans="1:4" ht="15.75">
      <c r="B85" t="s">
        <v>11828</v>
      </c>
      <c r="C85" s="929" t="s">
        <v>11841</v>
      </c>
      <c r="D85" s="903" t="s">
        <v>11850</v>
      </c>
    </row>
    <row r="86" spans="1:4" ht="15.75">
      <c r="B86" t="s">
        <v>11828</v>
      </c>
      <c r="C86" s="929" t="s">
        <v>11841</v>
      </c>
      <c r="D86" s="903" t="s">
        <v>11850</v>
      </c>
    </row>
    <row r="87" spans="1:4" ht="15.75">
      <c r="A87" s="107" t="s">
        <v>134</v>
      </c>
      <c r="B87" t="s">
        <v>11828</v>
      </c>
      <c r="C87" s="929" t="s">
        <v>11841</v>
      </c>
      <c r="D87" s="903" t="s">
        <v>11850</v>
      </c>
    </row>
    <row r="88" spans="1:4" ht="16.5" thickBot="1">
      <c r="A88" s="125" t="s">
        <v>136</v>
      </c>
      <c r="B88" t="s">
        <v>11828</v>
      </c>
      <c r="C88" s="929" t="s">
        <v>11841</v>
      </c>
      <c r="D88" s="903" t="s">
        <v>11850</v>
      </c>
    </row>
    <row r="89" spans="1:4" ht="16.5" thickTop="1">
      <c r="A89" s="86"/>
      <c r="B89" t="s">
        <v>11828</v>
      </c>
      <c r="C89" s="929" t="s">
        <v>11841</v>
      </c>
      <c r="D89" s="903" t="s">
        <v>11850</v>
      </c>
    </row>
    <row r="90" spans="1:4" ht="15.75">
      <c r="B90" t="s">
        <v>11828</v>
      </c>
      <c r="C90" s="929" t="s">
        <v>11841</v>
      </c>
      <c r="D90" s="903" t="s">
        <v>11850</v>
      </c>
    </row>
    <row r="91" spans="1:4" ht="15.75">
      <c r="B91" t="s">
        <v>11828</v>
      </c>
      <c r="C91" s="929" t="s">
        <v>11841</v>
      </c>
      <c r="D91" s="903" t="s">
        <v>11850</v>
      </c>
    </row>
    <row r="92" spans="1:4" ht="15.75">
      <c r="B92" t="s">
        <v>11828</v>
      </c>
      <c r="C92" s="929" t="s">
        <v>11841</v>
      </c>
      <c r="D92" s="903" t="s">
        <v>11850</v>
      </c>
    </row>
    <row r="93" spans="1:4" ht="16.5" thickBot="1">
      <c r="B93" t="s">
        <v>11828</v>
      </c>
      <c r="C93" s="929" t="s">
        <v>11841</v>
      </c>
      <c r="D93" s="903" t="s">
        <v>11850</v>
      </c>
    </row>
    <row r="94" spans="1:4" ht="16.5" thickTop="1">
      <c r="A94" s="697" t="s">
        <v>143</v>
      </c>
      <c r="B94" t="s">
        <v>11828</v>
      </c>
      <c r="C94" s="929" t="s">
        <v>11841</v>
      </c>
      <c r="D94" s="903" t="s">
        <v>11850</v>
      </c>
    </row>
    <row r="95" spans="1:4" ht="16.5" thickBot="1">
      <c r="A95" s="920"/>
      <c r="B95" t="s">
        <v>11828</v>
      </c>
      <c r="C95" s="929" t="s">
        <v>11841</v>
      </c>
      <c r="D95" s="903" t="s">
        <v>11850</v>
      </c>
    </row>
    <row r="96" spans="1:4" ht="16.5" thickTop="1">
      <c r="A96" s="921" t="s">
        <v>145</v>
      </c>
      <c r="B96" t="s">
        <v>11828</v>
      </c>
      <c r="C96" s="929" t="s">
        <v>11841</v>
      </c>
      <c r="D96" s="903" t="s">
        <v>11850</v>
      </c>
    </row>
    <row r="97" spans="1:4" ht="15.75">
      <c r="A97" s="922" t="s">
        <v>148</v>
      </c>
      <c r="B97" t="s">
        <v>11828</v>
      </c>
      <c r="C97" s="929" t="s">
        <v>11841</v>
      </c>
      <c r="D97" s="903" t="s">
        <v>11850</v>
      </c>
    </row>
    <row r="98" spans="1:4" ht="15.75">
      <c r="A98" s="923" t="s">
        <v>150</v>
      </c>
      <c r="B98" t="s">
        <v>11828</v>
      </c>
      <c r="C98" s="929" t="s">
        <v>11841</v>
      </c>
      <c r="D98" s="903" t="s">
        <v>11850</v>
      </c>
    </row>
    <row r="99" spans="1:4" ht="15.75">
      <c r="A99" s="922" t="s">
        <v>152</v>
      </c>
      <c r="B99" t="s">
        <v>11828</v>
      </c>
      <c r="C99" s="929" t="s">
        <v>11841</v>
      </c>
      <c r="D99" s="903" t="s">
        <v>11850</v>
      </c>
    </row>
    <row r="100" spans="1:4" ht="15.75">
      <c r="A100" s="923" t="s">
        <v>154</v>
      </c>
      <c r="B100" t="s">
        <v>11828</v>
      </c>
      <c r="C100" s="929" t="s">
        <v>11841</v>
      </c>
      <c r="D100" s="903" t="s">
        <v>11850</v>
      </c>
    </row>
    <row r="101" spans="1:4" ht="16.5" thickBot="1">
      <c r="A101" s="924" t="s">
        <v>156</v>
      </c>
      <c r="B101" t="s">
        <v>11828</v>
      </c>
      <c r="C101" s="929" t="s">
        <v>11841</v>
      </c>
      <c r="D101" s="903" t="s">
        <v>11850</v>
      </c>
    </row>
    <row r="102" spans="1:4" ht="17.25" thickTop="1">
      <c r="C102" s="663"/>
    </row>
    <row r="103" spans="1:4" ht="16.5">
      <c r="A103" s="906" t="s">
        <v>166</v>
      </c>
      <c r="B103" t="s">
        <v>11820</v>
      </c>
      <c r="C103" s="663" t="s">
        <v>11841</v>
      </c>
      <c r="D103" s="905" t="s">
        <v>11849</v>
      </c>
    </row>
    <row r="104" spans="1:4" ht="16.5">
      <c r="A104" s="906" t="s">
        <v>169</v>
      </c>
      <c r="B104" t="s">
        <v>11820</v>
      </c>
      <c r="C104" s="663" t="s">
        <v>11841</v>
      </c>
      <c r="D104" s="905" t="s">
        <v>11849</v>
      </c>
    </row>
    <row r="105" spans="1:4" ht="16.5">
      <c r="A105" s="906" t="s">
        <v>171</v>
      </c>
      <c r="B105" t="s">
        <v>11820</v>
      </c>
      <c r="C105" s="663" t="s">
        <v>11841</v>
      </c>
      <c r="D105" s="905" t="s">
        <v>11849</v>
      </c>
    </row>
    <row r="106" spans="1:4" ht="16.5">
      <c r="A106" s="906" t="s">
        <v>173</v>
      </c>
      <c r="B106" t="s">
        <v>11820</v>
      </c>
      <c r="C106" s="663" t="s">
        <v>11841</v>
      </c>
      <c r="D106" s="905" t="s">
        <v>11849</v>
      </c>
    </row>
    <row r="107" spans="1:4" ht="16.5">
      <c r="A107" s="906" t="s">
        <v>175</v>
      </c>
      <c r="B107" t="s">
        <v>11820</v>
      </c>
      <c r="C107" s="663" t="s">
        <v>11841</v>
      </c>
      <c r="D107" s="905" t="s">
        <v>11849</v>
      </c>
    </row>
    <row r="108" spans="1:4" ht="16.5">
      <c r="A108" s="906" t="s">
        <v>177</v>
      </c>
      <c r="B108" t="s">
        <v>11820</v>
      </c>
      <c r="C108" s="663" t="s">
        <v>11841</v>
      </c>
      <c r="D108" s="905" t="s">
        <v>11849</v>
      </c>
    </row>
    <row r="109" spans="1:4" ht="16.5">
      <c r="A109" s="906" t="s">
        <v>179</v>
      </c>
      <c r="B109" t="s">
        <v>11820</v>
      </c>
      <c r="C109" s="663" t="s">
        <v>11841</v>
      </c>
      <c r="D109" s="905" t="s">
        <v>11849</v>
      </c>
    </row>
    <row r="110" spans="1:4" ht="16.5">
      <c r="A110" s="906" t="s">
        <v>181</v>
      </c>
      <c r="B110" t="s">
        <v>11820</v>
      </c>
      <c r="C110" s="663" t="s">
        <v>11841</v>
      </c>
      <c r="D110" s="905" t="s">
        <v>11849</v>
      </c>
    </row>
    <row r="111" spans="1:4" ht="16.5">
      <c r="A111" s="925"/>
      <c r="B111" t="s">
        <v>11820</v>
      </c>
      <c r="C111" s="663" t="s">
        <v>11841</v>
      </c>
      <c r="D111" s="905" t="s">
        <v>11849</v>
      </c>
    </row>
    <row r="112" spans="1:4" ht="16.5">
      <c r="A112" s="906" t="s">
        <v>184</v>
      </c>
      <c r="B112" t="s">
        <v>11820</v>
      </c>
      <c r="C112" s="663" t="s">
        <v>11841</v>
      </c>
      <c r="D112" s="905" t="s">
        <v>11849</v>
      </c>
    </row>
    <row r="113" spans="1:4" ht="16.5">
      <c r="A113" s="906" t="s">
        <v>186</v>
      </c>
      <c r="B113" t="s">
        <v>11820</v>
      </c>
      <c r="C113" s="663" t="s">
        <v>11841</v>
      </c>
      <c r="D113" s="905" t="s">
        <v>11849</v>
      </c>
    </row>
    <row r="114" spans="1:4" ht="16.5">
      <c r="A114" s="906" t="s">
        <v>188</v>
      </c>
      <c r="B114" t="s">
        <v>11820</v>
      </c>
      <c r="C114" s="663" t="s">
        <v>11841</v>
      </c>
      <c r="D114" s="905" t="s">
        <v>11849</v>
      </c>
    </row>
    <row r="115" spans="1:4" ht="16.5">
      <c r="A115" s="906" t="s">
        <v>190</v>
      </c>
      <c r="B115" t="s">
        <v>11820</v>
      </c>
      <c r="C115" s="663" t="s">
        <v>11841</v>
      </c>
      <c r="D115" s="905" t="s">
        <v>11849</v>
      </c>
    </row>
    <row r="116" spans="1:4" ht="16.5">
      <c r="A116" s="906" t="s">
        <v>192</v>
      </c>
      <c r="B116" t="s">
        <v>11820</v>
      </c>
      <c r="C116" s="663" t="s">
        <v>11841</v>
      </c>
      <c r="D116" s="905" t="s">
        <v>11849</v>
      </c>
    </row>
    <row r="117" spans="1:4" ht="16.5">
      <c r="A117" s="906" t="s">
        <v>194</v>
      </c>
      <c r="B117" t="s">
        <v>11820</v>
      </c>
      <c r="C117" s="663" t="s">
        <v>11841</v>
      </c>
      <c r="D117" s="905" t="s">
        <v>11849</v>
      </c>
    </row>
    <row r="118" spans="1:4" ht="16.5">
      <c r="A118" s="906" t="s">
        <v>196</v>
      </c>
      <c r="B118" t="s">
        <v>11820</v>
      </c>
      <c r="C118" s="663" t="s">
        <v>11841</v>
      </c>
      <c r="D118" s="905" t="s">
        <v>11849</v>
      </c>
    </row>
    <row r="119" spans="1:4" ht="16.5">
      <c r="A119" s="925"/>
      <c r="B119" t="s">
        <v>11820</v>
      </c>
      <c r="C119" s="663" t="s">
        <v>11841</v>
      </c>
      <c r="D119" s="905" t="s">
        <v>11849</v>
      </c>
    </row>
    <row r="120" spans="1:4" ht="16.5">
      <c r="A120" s="906" t="s">
        <v>199</v>
      </c>
      <c r="B120" t="s">
        <v>11820</v>
      </c>
      <c r="C120" s="663" t="s">
        <v>11841</v>
      </c>
      <c r="D120" s="905" t="s">
        <v>11849</v>
      </c>
    </row>
    <row r="121" spans="1:4" ht="16.5">
      <c r="A121" s="906" t="s">
        <v>201</v>
      </c>
      <c r="B121" t="s">
        <v>11820</v>
      </c>
      <c r="C121" s="663" t="s">
        <v>11841</v>
      </c>
      <c r="D121" s="905" t="s">
        <v>11849</v>
      </c>
    </row>
    <row r="122" spans="1:4" ht="16.5">
      <c r="A122" s="906" t="s">
        <v>203</v>
      </c>
      <c r="B122" t="s">
        <v>11820</v>
      </c>
      <c r="C122" s="663" t="s">
        <v>11841</v>
      </c>
      <c r="D122" s="905" t="s">
        <v>11849</v>
      </c>
    </row>
    <row r="123" spans="1:4" ht="16.5">
      <c r="A123" s="906" t="s">
        <v>205</v>
      </c>
      <c r="B123" t="s">
        <v>11820</v>
      </c>
      <c r="C123" s="663" t="s">
        <v>11841</v>
      </c>
      <c r="D123" s="905" t="s">
        <v>11849</v>
      </c>
    </row>
    <row r="124" spans="1:4" ht="16.5">
      <c r="A124" s="906" t="s">
        <v>207</v>
      </c>
      <c r="B124" t="s">
        <v>11820</v>
      </c>
      <c r="C124" s="663" t="s">
        <v>11841</v>
      </c>
      <c r="D124" s="905" t="s">
        <v>11849</v>
      </c>
    </row>
    <row r="125" spans="1:4" ht="16.5">
      <c r="A125" s="906" t="s">
        <v>209</v>
      </c>
      <c r="B125" t="s">
        <v>11820</v>
      </c>
      <c r="C125" s="663" t="s">
        <v>11841</v>
      </c>
      <c r="D125" s="905" t="s">
        <v>11849</v>
      </c>
    </row>
    <row r="126" spans="1:4" ht="16.5">
      <c r="A126" s="906" t="s">
        <v>211</v>
      </c>
      <c r="B126" t="s">
        <v>11820</v>
      </c>
      <c r="C126" s="663" t="s">
        <v>11841</v>
      </c>
      <c r="D126" s="905" t="s">
        <v>11849</v>
      </c>
    </row>
    <row r="127" spans="1:4" ht="16.5">
      <c r="A127" s="906" t="s">
        <v>213</v>
      </c>
      <c r="B127" t="s">
        <v>11820</v>
      </c>
      <c r="C127" s="663" t="s">
        <v>11841</v>
      </c>
      <c r="D127" s="905" t="s">
        <v>11849</v>
      </c>
    </row>
    <row r="128" spans="1:4" ht="16.5">
      <c r="A128" s="906" t="s">
        <v>215</v>
      </c>
      <c r="B128" t="s">
        <v>11820</v>
      </c>
      <c r="C128" s="663" t="s">
        <v>11841</v>
      </c>
      <c r="D128" s="905" t="s">
        <v>11849</v>
      </c>
    </row>
    <row r="129" spans="1:4" ht="16.5">
      <c r="A129" s="925"/>
      <c r="B129" t="s">
        <v>11820</v>
      </c>
      <c r="C129" s="663" t="s">
        <v>11841</v>
      </c>
      <c r="D129" s="905" t="s">
        <v>11849</v>
      </c>
    </row>
    <row r="130" spans="1:4" ht="16.5">
      <c r="A130" s="906" t="s">
        <v>218</v>
      </c>
      <c r="B130" t="s">
        <v>11820</v>
      </c>
      <c r="C130" s="663" t="s">
        <v>11841</v>
      </c>
      <c r="D130" s="905" t="s">
        <v>11849</v>
      </c>
    </row>
    <row r="131" spans="1:4" ht="16.5">
      <c r="A131" s="906" t="s">
        <v>219</v>
      </c>
      <c r="B131" t="s">
        <v>11820</v>
      </c>
      <c r="C131" s="663" t="s">
        <v>11841</v>
      </c>
      <c r="D131" s="905" t="s">
        <v>11849</v>
      </c>
    </row>
    <row r="132" spans="1:4" ht="16.5">
      <c r="A132" s="906" t="s">
        <v>220</v>
      </c>
      <c r="B132" t="s">
        <v>11820</v>
      </c>
      <c r="C132" s="663" t="s">
        <v>11841</v>
      </c>
      <c r="D132" s="905" t="s">
        <v>11849</v>
      </c>
    </row>
    <row r="133" spans="1:4" ht="16.5">
      <c r="A133" s="906" t="s">
        <v>221</v>
      </c>
      <c r="B133" t="s">
        <v>11820</v>
      </c>
      <c r="C133" s="663" t="s">
        <v>11841</v>
      </c>
      <c r="D133" s="905" t="s">
        <v>11849</v>
      </c>
    </row>
    <row r="134" spans="1:4" ht="16.5">
      <c r="A134" s="906" t="s">
        <v>222</v>
      </c>
      <c r="B134" t="s">
        <v>11820</v>
      </c>
      <c r="C134" s="663" t="s">
        <v>11841</v>
      </c>
      <c r="D134" s="905" t="s">
        <v>11849</v>
      </c>
    </row>
    <row r="135" spans="1:4" ht="16.5">
      <c r="A135" s="906" t="s">
        <v>223</v>
      </c>
      <c r="B135" t="s">
        <v>11820</v>
      </c>
      <c r="C135" s="663" t="s">
        <v>11841</v>
      </c>
      <c r="D135" s="905" t="s">
        <v>11849</v>
      </c>
    </row>
    <row r="136" spans="1:4" ht="16.5">
      <c r="A136" s="906" t="s">
        <v>224</v>
      </c>
      <c r="B136" t="s">
        <v>11820</v>
      </c>
      <c r="C136" s="663" t="s">
        <v>11841</v>
      </c>
      <c r="D136" s="905" t="s">
        <v>11849</v>
      </c>
    </row>
    <row r="137" spans="1:4" ht="16.5">
      <c r="A137" s="906" t="s">
        <v>225</v>
      </c>
      <c r="B137" t="s">
        <v>11820</v>
      </c>
      <c r="C137" s="663" t="s">
        <v>11841</v>
      </c>
      <c r="D137" s="905" t="s">
        <v>11849</v>
      </c>
    </row>
    <row r="138" spans="1:4" ht="16.5">
      <c r="A138" s="926"/>
      <c r="B138" t="s">
        <v>11820</v>
      </c>
      <c r="C138" s="663" t="s">
        <v>11841</v>
      </c>
      <c r="D138" s="905" t="s">
        <v>11849</v>
      </c>
    </row>
    <row r="139" spans="1:4" ht="16.5">
      <c r="A139" s="925"/>
      <c r="B139" t="s">
        <v>11820</v>
      </c>
      <c r="C139" s="663" t="s">
        <v>11841</v>
      </c>
      <c r="D139" s="905" t="s">
        <v>11849</v>
      </c>
    </row>
    <row r="140" spans="1:4" ht="16.5">
      <c r="A140" s="906" t="s">
        <v>230</v>
      </c>
      <c r="B140" t="s">
        <v>11820</v>
      </c>
      <c r="C140" s="663" t="s">
        <v>11841</v>
      </c>
      <c r="D140" s="905" t="s">
        <v>11849</v>
      </c>
    </row>
    <row r="141" spans="1:4" ht="16.5">
      <c r="A141" s="906" t="s">
        <v>234</v>
      </c>
      <c r="B141" t="s">
        <v>11820</v>
      </c>
      <c r="C141" s="663" t="s">
        <v>11841</v>
      </c>
      <c r="D141" s="905" t="s">
        <v>11849</v>
      </c>
    </row>
    <row r="142" spans="1:4" ht="16.5">
      <c r="A142" s="906" t="s">
        <v>238</v>
      </c>
      <c r="B142" t="s">
        <v>11820</v>
      </c>
      <c r="C142" s="663" t="s">
        <v>11841</v>
      </c>
      <c r="D142" s="905" t="s">
        <v>11849</v>
      </c>
    </row>
    <row r="143" spans="1:4" ht="16.5">
      <c r="A143" s="906" t="s">
        <v>242</v>
      </c>
      <c r="B143" t="s">
        <v>11820</v>
      </c>
      <c r="C143" s="663" t="s">
        <v>11841</v>
      </c>
      <c r="D143" s="905" t="s">
        <v>11849</v>
      </c>
    </row>
    <row r="144" spans="1:4" ht="17.25" thickBot="1">
      <c r="A144" s="907" t="s">
        <v>245</v>
      </c>
      <c r="B144" t="s">
        <v>11820</v>
      </c>
      <c r="C144" s="663" t="s">
        <v>11841</v>
      </c>
      <c r="D144" s="905" t="s">
        <v>11849</v>
      </c>
    </row>
    <row r="145" spans="1:4" ht="17.25" thickTop="1">
      <c r="A145" s="925"/>
      <c r="B145" t="s">
        <v>11820</v>
      </c>
      <c r="C145" s="663" t="s">
        <v>11841</v>
      </c>
      <c r="D145" s="905" t="s">
        <v>11849</v>
      </c>
    </row>
    <row r="146" spans="1:4" ht="16.5">
      <c r="A146" s="908" t="s">
        <v>249</v>
      </c>
      <c r="B146" t="s">
        <v>11820</v>
      </c>
      <c r="C146" s="663" t="s">
        <v>11841</v>
      </c>
      <c r="D146" s="905" t="s">
        <v>11849</v>
      </c>
    </row>
    <row r="147" spans="1:4" ht="16.5">
      <c r="A147" s="908" t="s">
        <v>251</v>
      </c>
      <c r="B147" t="s">
        <v>11820</v>
      </c>
      <c r="C147" s="663" t="s">
        <v>11841</v>
      </c>
      <c r="D147" s="905" t="s">
        <v>11849</v>
      </c>
    </row>
    <row r="148" spans="1:4" ht="16.5">
      <c r="A148" s="908" t="s">
        <v>253</v>
      </c>
      <c r="B148" t="s">
        <v>11820</v>
      </c>
      <c r="C148" s="663" t="s">
        <v>11841</v>
      </c>
      <c r="D148" s="905" t="s">
        <v>11849</v>
      </c>
    </row>
    <row r="149" spans="1:4" ht="16.5">
      <c r="A149" s="908" t="s">
        <v>255</v>
      </c>
      <c r="B149" t="s">
        <v>11820</v>
      </c>
      <c r="C149" s="663" t="s">
        <v>11841</v>
      </c>
      <c r="D149" s="905" t="s">
        <v>11849</v>
      </c>
    </row>
    <row r="150" spans="1:4" ht="16.5">
      <c r="A150" s="909" t="s">
        <v>257</v>
      </c>
      <c r="B150" t="s">
        <v>11820</v>
      </c>
      <c r="C150" s="663" t="s">
        <v>11841</v>
      </c>
      <c r="D150" s="905" t="s">
        <v>11849</v>
      </c>
    </row>
    <row r="151" spans="1:4" ht="17.25" thickBot="1">
      <c r="A151" s="910"/>
      <c r="B151" t="s">
        <v>11820</v>
      </c>
      <c r="C151" s="663" t="s">
        <v>11841</v>
      </c>
      <c r="D151" s="905" t="s">
        <v>11849</v>
      </c>
    </row>
    <row r="152" spans="1:4" ht="17.25" thickTop="1">
      <c r="A152" s="925"/>
      <c r="B152" t="s">
        <v>11820</v>
      </c>
      <c r="C152" s="663" t="s">
        <v>11841</v>
      </c>
      <c r="D152" s="905" t="s">
        <v>11849</v>
      </c>
    </row>
    <row r="153" spans="1:4" ht="16.5">
      <c r="A153" s="925"/>
      <c r="B153" t="s">
        <v>11820</v>
      </c>
      <c r="C153" s="663" t="s">
        <v>11841</v>
      </c>
      <c r="D153" s="905" t="s">
        <v>11849</v>
      </c>
    </row>
    <row r="154" spans="1:4" ht="16.5">
      <c r="A154" s="925"/>
      <c r="B154" t="s">
        <v>11820</v>
      </c>
      <c r="C154" s="663" t="s">
        <v>11841</v>
      </c>
      <c r="D154" s="905" t="s">
        <v>11849</v>
      </c>
    </row>
    <row r="155" spans="1:4" ht="16.5">
      <c r="A155" s="925"/>
      <c r="B155" t="s">
        <v>11820</v>
      </c>
      <c r="C155" s="663" t="s">
        <v>11841</v>
      </c>
      <c r="D155" s="905" t="s">
        <v>11849</v>
      </c>
    </row>
    <row r="156" spans="1:4" ht="16.5">
      <c r="A156" s="925"/>
      <c r="B156" t="s">
        <v>11820</v>
      </c>
      <c r="C156" s="663" t="s">
        <v>11841</v>
      </c>
      <c r="D156" s="905" t="s">
        <v>11849</v>
      </c>
    </row>
    <row r="157" spans="1:4" ht="16.5">
      <c r="A157" s="911" t="s">
        <v>262</v>
      </c>
      <c r="B157" t="s">
        <v>11820</v>
      </c>
      <c r="C157" s="663" t="s">
        <v>11841</v>
      </c>
      <c r="D157" s="905" t="s">
        <v>11849</v>
      </c>
    </row>
    <row r="158" spans="1:4" ht="16.5">
      <c r="A158" s="912"/>
      <c r="B158" t="s">
        <v>11820</v>
      </c>
      <c r="C158" s="663" t="s">
        <v>11841</v>
      </c>
      <c r="D158" s="905" t="s">
        <v>11849</v>
      </c>
    </row>
    <row r="159" spans="1:4" ht="16.5">
      <c r="A159" s="913"/>
      <c r="B159" t="s">
        <v>11820</v>
      </c>
      <c r="C159" s="663" t="s">
        <v>11841</v>
      </c>
      <c r="D159" s="905" t="s">
        <v>11849</v>
      </c>
    </row>
    <row r="160" spans="1:4" ht="16.5">
      <c r="A160" s="913"/>
      <c r="B160" t="s">
        <v>11820</v>
      </c>
      <c r="C160" s="663" t="s">
        <v>11841</v>
      </c>
      <c r="D160" s="905" t="s">
        <v>11849</v>
      </c>
    </row>
    <row r="161" spans="1:4" ht="16.5">
      <c r="A161" s="913"/>
      <c r="B161" t="s">
        <v>11820</v>
      </c>
      <c r="C161" s="663" t="s">
        <v>11841</v>
      </c>
      <c r="D161" s="905" t="s">
        <v>11849</v>
      </c>
    </row>
    <row r="162" spans="1:4" ht="16.5">
      <c r="A162" s="914"/>
      <c r="B162" t="s">
        <v>11820</v>
      </c>
      <c r="C162" s="663" t="s">
        <v>11841</v>
      </c>
      <c r="D162" s="905" t="s">
        <v>11849</v>
      </c>
    </row>
    <row r="163" spans="1:4" ht="16.5">
      <c r="A163" s="913"/>
      <c r="B163" t="s">
        <v>11820</v>
      </c>
      <c r="C163" s="663" t="s">
        <v>11841</v>
      </c>
      <c r="D163" s="905" t="s">
        <v>11849</v>
      </c>
    </row>
    <row r="164" spans="1:4" ht="16.5">
      <c r="A164" s="913"/>
      <c r="B164" t="s">
        <v>11820</v>
      </c>
      <c r="C164" s="663" t="s">
        <v>11841</v>
      </c>
      <c r="D164" s="905" t="s">
        <v>11849</v>
      </c>
    </row>
    <row r="165" spans="1:4" ht="16.5">
      <c r="A165" s="913"/>
      <c r="B165" t="s">
        <v>11820</v>
      </c>
      <c r="C165" s="663" t="s">
        <v>11841</v>
      </c>
      <c r="D165" s="905" t="s">
        <v>11849</v>
      </c>
    </row>
    <row r="166" spans="1:4" ht="16.5">
      <c r="A166" s="913"/>
      <c r="B166" t="s">
        <v>11820</v>
      </c>
      <c r="C166" s="663" t="s">
        <v>11841</v>
      </c>
      <c r="D166" s="905" t="s">
        <v>11849</v>
      </c>
    </row>
    <row r="167" spans="1:4" ht="16.5">
      <c r="A167" s="913"/>
      <c r="B167" t="s">
        <v>11820</v>
      </c>
      <c r="C167" s="663" t="s">
        <v>11841</v>
      </c>
      <c r="D167" s="905" t="s">
        <v>11849</v>
      </c>
    </row>
    <row r="168" spans="1:4" ht="16.5">
      <c r="A168" s="913"/>
      <c r="B168" t="s">
        <v>11820</v>
      </c>
      <c r="C168" s="663" t="s">
        <v>11841</v>
      </c>
      <c r="D168" s="905" t="s">
        <v>11849</v>
      </c>
    </row>
    <row r="169" spans="1:4" ht="16.5">
      <c r="A169" s="913"/>
      <c r="B169" t="s">
        <v>11820</v>
      </c>
      <c r="C169" s="663" t="s">
        <v>11841</v>
      </c>
      <c r="D169" s="905" t="s">
        <v>11849</v>
      </c>
    </row>
    <row r="170" spans="1:4" ht="16.5">
      <c r="A170" s="913"/>
      <c r="B170" t="s">
        <v>11820</v>
      </c>
      <c r="C170" s="663" t="s">
        <v>11841</v>
      </c>
      <c r="D170" s="905" t="s">
        <v>11849</v>
      </c>
    </row>
    <row r="171" spans="1:4" ht="16.5">
      <c r="A171" s="913"/>
      <c r="B171" t="s">
        <v>11820</v>
      </c>
      <c r="C171" s="663" t="s">
        <v>11841</v>
      </c>
      <c r="D171" s="905" t="s">
        <v>11849</v>
      </c>
    </row>
    <row r="172" spans="1:4" ht="16.5">
      <c r="A172" s="913"/>
      <c r="B172" t="s">
        <v>11820</v>
      </c>
      <c r="C172" s="663" t="s">
        <v>11841</v>
      </c>
      <c r="D172" s="905" t="s">
        <v>11849</v>
      </c>
    </row>
    <row r="173" spans="1:4" ht="16.5">
      <c r="A173" s="913"/>
      <c r="B173" t="s">
        <v>11820</v>
      </c>
      <c r="C173" s="663" t="s">
        <v>11841</v>
      </c>
      <c r="D173" s="905" t="s">
        <v>11849</v>
      </c>
    </row>
    <row r="174" spans="1:4" ht="16.5">
      <c r="A174" s="913"/>
      <c r="B174" t="s">
        <v>11820</v>
      </c>
      <c r="C174" s="663" t="s">
        <v>11841</v>
      </c>
      <c r="D174" s="905" t="s">
        <v>11849</v>
      </c>
    </row>
    <row r="175" spans="1:4" ht="16.5">
      <c r="A175" s="913"/>
      <c r="B175" t="s">
        <v>11820</v>
      </c>
      <c r="C175" s="663" t="s">
        <v>11841</v>
      </c>
      <c r="D175" s="905" t="s">
        <v>11849</v>
      </c>
    </row>
    <row r="176" spans="1:4" ht="16.5">
      <c r="A176" s="913"/>
      <c r="B176" t="s">
        <v>11820</v>
      </c>
      <c r="C176" s="663" t="s">
        <v>11841</v>
      </c>
      <c r="D176" s="905" t="s">
        <v>11849</v>
      </c>
    </row>
    <row r="177" spans="1:4" ht="16.5">
      <c r="A177" s="913"/>
      <c r="B177" t="s">
        <v>11820</v>
      </c>
      <c r="C177" s="663" t="s">
        <v>11841</v>
      </c>
      <c r="D177" s="905" t="s">
        <v>11849</v>
      </c>
    </row>
    <row r="178" spans="1:4" ht="16.5">
      <c r="A178" s="913"/>
      <c r="B178" t="s">
        <v>11820</v>
      </c>
      <c r="C178" s="663" t="s">
        <v>11841</v>
      </c>
      <c r="D178" s="905" t="s">
        <v>11849</v>
      </c>
    </row>
    <row r="179" spans="1:4" ht="16.5">
      <c r="A179" s="913"/>
      <c r="B179" t="s">
        <v>11820</v>
      </c>
      <c r="C179" s="663" t="s">
        <v>11841</v>
      </c>
      <c r="D179" s="905" t="s">
        <v>11849</v>
      </c>
    </row>
    <row r="180" spans="1:4" ht="16.5">
      <c r="A180" s="913"/>
      <c r="B180" t="s">
        <v>11820</v>
      </c>
      <c r="C180" s="663" t="s">
        <v>11841</v>
      </c>
      <c r="D180" s="905" t="s">
        <v>11849</v>
      </c>
    </row>
    <row r="181" spans="1:4" ht="16.5">
      <c r="A181" s="913"/>
      <c r="B181" t="s">
        <v>11820</v>
      </c>
      <c r="C181" s="663" t="s">
        <v>11841</v>
      </c>
      <c r="D181" s="905" t="s">
        <v>11849</v>
      </c>
    </row>
    <row r="182" spans="1:4" ht="16.5">
      <c r="A182" s="925"/>
      <c r="B182" t="s">
        <v>11820</v>
      </c>
      <c r="C182" s="663" t="s">
        <v>11841</v>
      </c>
      <c r="D182" s="905" t="s">
        <v>11849</v>
      </c>
    </row>
    <row r="183" spans="1:4" ht="16.5">
      <c r="A183" s="925"/>
      <c r="B183" t="s">
        <v>11820</v>
      </c>
      <c r="C183" s="663" t="s">
        <v>11841</v>
      </c>
      <c r="D183" s="905" t="s">
        <v>11849</v>
      </c>
    </row>
    <row r="184" spans="1:4" ht="16.5">
      <c r="A184" s="904"/>
      <c r="B184" t="s">
        <v>11820</v>
      </c>
      <c r="C184" s="663" t="s">
        <v>11841</v>
      </c>
      <c r="D184" s="905" t="s">
        <v>11849</v>
      </c>
    </row>
    <row r="185" spans="1:4" ht="17.25" thickBot="1">
      <c r="A185" s="925"/>
      <c r="B185" t="s">
        <v>11820</v>
      </c>
      <c r="C185" s="663" t="s">
        <v>11841</v>
      </c>
      <c r="D185" s="905" t="s">
        <v>11849</v>
      </c>
    </row>
    <row r="186" spans="1:4" ht="13.5" customHeight="1" thickTop="1">
      <c r="A186" s="915" t="s">
        <v>266</v>
      </c>
      <c r="B186" t="s">
        <v>11820</v>
      </c>
      <c r="C186" s="663" t="s">
        <v>11841</v>
      </c>
      <c r="D186" s="905" t="s">
        <v>11849</v>
      </c>
    </row>
    <row r="187" spans="1:4" ht="16.5">
      <c r="A187" s="935"/>
      <c r="B187" t="s">
        <v>11820</v>
      </c>
      <c r="C187" s="663" t="s">
        <v>11841</v>
      </c>
      <c r="D187" s="905" t="s">
        <v>11849</v>
      </c>
    </row>
    <row r="188" spans="1:4" ht="16.5">
      <c r="A188" s="925"/>
      <c r="B188" t="s">
        <v>11820</v>
      </c>
      <c r="C188" s="663" t="s">
        <v>11841</v>
      </c>
      <c r="D188" s="905" t="s">
        <v>11849</v>
      </c>
    </row>
    <row r="189" spans="1:4" ht="16.5">
      <c r="A189" s="906" t="s">
        <v>166</v>
      </c>
      <c r="B189" t="s">
        <v>11820</v>
      </c>
      <c r="C189" s="663" t="s">
        <v>11841</v>
      </c>
      <c r="D189" s="905" t="s">
        <v>11849</v>
      </c>
    </row>
    <row r="190" spans="1:4" ht="16.5">
      <c r="A190" s="906" t="s">
        <v>169</v>
      </c>
      <c r="B190" t="s">
        <v>11820</v>
      </c>
      <c r="C190" s="663" t="s">
        <v>11841</v>
      </c>
      <c r="D190" s="905" t="s">
        <v>11849</v>
      </c>
    </row>
    <row r="191" spans="1:4" ht="16.5">
      <c r="A191" s="906" t="s">
        <v>171</v>
      </c>
      <c r="B191" t="s">
        <v>11820</v>
      </c>
      <c r="C191" s="663" t="s">
        <v>11841</v>
      </c>
      <c r="D191" s="905" t="s">
        <v>11849</v>
      </c>
    </row>
    <row r="192" spans="1:4" ht="16.5">
      <c r="A192" s="906" t="s">
        <v>173</v>
      </c>
      <c r="B192" t="s">
        <v>11820</v>
      </c>
      <c r="C192" s="663" t="s">
        <v>11841</v>
      </c>
      <c r="D192" s="905" t="s">
        <v>11849</v>
      </c>
    </row>
    <row r="193" spans="1:4" ht="16.5">
      <c r="A193" s="906" t="s">
        <v>175</v>
      </c>
      <c r="B193" t="s">
        <v>11820</v>
      </c>
      <c r="C193" s="663" t="s">
        <v>11841</v>
      </c>
      <c r="D193" s="905" t="s">
        <v>11849</v>
      </c>
    </row>
    <row r="194" spans="1:4" ht="16.5">
      <c r="A194" s="906" t="s">
        <v>177</v>
      </c>
      <c r="B194" t="s">
        <v>11820</v>
      </c>
      <c r="C194" s="663" t="s">
        <v>11841</v>
      </c>
      <c r="D194" s="905" t="s">
        <v>11849</v>
      </c>
    </row>
    <row r="195" spans="1:4" ht="16.5">
      <c r="A195" s="906" t="s">
        <v>179</v>
      </c>
      <c r="B195" t="s">
        <v>11820</v>
      </c>
      <c r="C195" s="663" t="s">
        <v>11841</v>
      </c>
      <c r="D195" s="905" t="s">
        <v>11849</v>
      </c>
    </row>
    <row r="196" spans="1:4" ht="16.5">
      <c r="A196" s="906" t="s">
        <v>181</v>
      </c>
      <c r="B196" t="s">
        <v>11820</v>
      </c>
      <c r="C196" s="663" t="s">
        <v>11841</v>
      </c>
      <c r="D196" s="905" t="s">
        <v>11849</v>
      </c>
    </row>
    <row r="197" spans="1:4" ht="16.5">
      <c r="A197" s="925"/>
      <c r="B197" t="s">
        <v>11820</v>
      </c>
      <c r="C197" s="663" t="s">
        <v>11841</v>
      </c>
      <c r="D197" s="905" t="s">
        <v>11849</v>
      </c>
    </row>
    <row r="198" spans="1:4" ht="16.5">
      <c r="A198" s="906" t="s">
        <v>199</v>
      </c>
      <c r="B198" t="s">
        <v>11820</v>
      </c>
      <c r="C198" s="663" t="s">
        <v>11841</v>
      </c>
      <c r="D198" s="905" t="s">
        <v>11849</v>
      </c>
    </row>
    <row r="199" spans="1:4" ht="16.5">
      <c r="A199" s="906" t="s">
        <v>201</v>
      </c>
      <c r="B199" t="s">
        <v>11820</v>
      </c>
      <c r="C199" s="663" t="s">
        <v>11841</v>
      </c>
      <c r="D199" s="905" t="s">
        <v>11849</v>
      </c>
    </row>
    <row r="200" spans="1:4" ht="16.5">
      <c r="A200" s="906" t="s">
        <v>203</v>
      </c>
      <c r="B200" t="s">
        <v>11820</v>
      </c>
      <c r="C200" s="663" t="s">
        <v>11841</v>
      </c>
      <c r="D200" s="905" t="s">
        <v>11849</v>
      </c>
    </row>
    <row r="201" spans="1:4" ht="16.5">
      <c r="A201" s="906" t="s">
        <v>205</v>
      </c>
      <c r="B201" t="s">
        <v>11820</v>
      </c>
      <c r="C201" s="663" t="s">
        <v>11841</v>
      </c>
      <c r="D201" s="905" t="s">
        <v>11849</v>
      </c>
    </row>
    <row r="202" spans="1:4" ht="16.5">
      <c r="A202" s="906" t="s">
        <v>207</v>
      </c>
      <c r="B202" t="s">
        <v>11820</v>
      </c>
      <c r="C202" s="663" t="s">
        <v>11841</v>
      </c>
      <c r="D202" s="905" t="s">
        <v>11849</v>
      </c>
    </row>
    <row r="203" spans="1:4" ht="16.5">
      <c r="A203" s="906" t="s">
        <v>209</v>
      </c>
      <c r="B203" t="s">
        <v>11820</v>
      </c>
      <c r="C203" s="663" t="s">
        <v>11841</v>
      </c>
      <c r="D203" s="905" t="s">
        <v>11849</v>
      </c>
    </row>
    <row r="204" spans="1:4" ht="16.5">
      <c r="A204" s="906" t="s">
        <v>211</v>
      </c>
      <c r="B204" t="s">
        <v>11820</v>
      </c>
      <c r="C204" s="663" t="s">
        <v>11841</v>
      </c>
      <c r="D204" s="905" t="s">
        <v>11849</v>
      </c>
    </row>
    <row r="205" spans="1:4" ht="16.5">
      <c r="A205" s="906" t="s">
        <v>213</v>
      </c>
      <c r="B205" t="s">
        <v>11820</v>
      </c>
      <c r="C205" s="663" t="s">
        <v>11841</v>
      </c>
      <c r="D205" s="905" t="s">
        <v>11849</v>
      </c>
    </row>
    <row r="206" spans="1:4" ht="16.5">
      <c r="A206" s="906" t="s">
        <v>215</v>
      </c>
      <c r="B206" t="s">
        <v>11820</v>
      </c>
      <c r="C206" s="663" t="s">
        <v>11841</v>
      </c>
      <c r="D206" s="905" t="s">
        <v>11849</v>
      </c>
    </row>
    <row r="207" spans="1:4" ht="16.5">
      <c r="A207" s="925"/>
      <c r="B207" t="s">
        <v>11820</v>
      </c>
      <c r="C207" s="663" t="s">
        <v>11841</v>
      </c>
      <c r="D207" s="905" t="s">
        <v>11849</v>
      </c>
    </row>
    <row r="208" spans="1:4" ht="16.5">
      <c r="A208" s="916" t="s">
        <v>184</v>
      </c>
      <c r="B208" t="s">
        <v>11820</v>
      </c>
      <c r="C208" s="663" t="s">
        <v>11841</v>
      </c>
      <c r="D208" s="905" t="s">
        <v>11849</v>
      </c>
    </row>
    <row r="209" spans="1:4" ht="16.5">
      <c r="A209" s="906" t="s">
        <v>186</v>
      </c>
      <c r="B209" t="s">
        <v>11820</v>
      </c>
      <c r="C209" s="663" t="s">
        <v>11841</v>
      </c>
      <c r="D209" s="905" t="s">
        <v>11849</v>
      </c>
    </row>
    <row r="210" spans="1:4" ht="16.5">
      <c r="A210" s="906" t="s">
        <v>188</v>
      </c>
      <c r="B210" t="s">
        <v>11820</v>
      </c>
      <c r="C210" s="663" t="s">
        <v>11841</v>
      </c>
      <c r="D210" s="905" t="s">
        <v>11849</v>
      </c>
    </row>
    <row r="211" spans="1:4" ht="16.5">
      <c r="A211" s="906" t="s">
        <v>190</v>
      </c>
      <c r="B211" t="s">
        <v>11820</v>
      </c>
      <c r="C211" s="663" t="s">
        <v>11841</v>
      </c>
      <c r="D211" s="905" t="s">
        <v>11849</v>
      </c>
    </row>
    <row r="212" spans="1:4" ht="16.5">
      <c r="A212" s="906" t="s">
        <v>192</v>
      </c>
      <c r="B212" t="s">
        <v>11820</v>
      </c>
      <c r="C212" s="663" t="s">
        <v>11841</v>
      </c>
      <c r="D212" s="905" t="s">
        <v>11849</v>
      </c>
    </row>
    <row r="213" spans="1:4" ht="16.5">
      <c r="A213" s="916" t="s">
        <v>194</v>
      </c>
      <c r="B213" t="s">
        <v>11820</v>
      </c>
      <c r="C213" s="663" t="s">
        <v>11841</v>
      </c>
      <c r="D213" s="905" t="s">
        <v>11849</v>
      </c>
    </row>
    <row r="214" spans="1:4" ht="16.5">
      <c r="A214" s="916" t="s">
        <v>196</v>
      </c>
      <c r="B214" t="s">
        <v>11820</v>
      </c>
      <c r="C214" s="663" t="s">
        <v>11841</v>
      </c>
      <c r="D214" s="905" t="s">
        <v>11849</v>
      </c>
    </row>
    <row r="215" spans="1:4" ht="16.5">
      <c r="A215" s="925"/>
      <c r="B215" t="s">
        <v>11820</v>
      </c>
      <c r="C215" s="663" t="s">
        <v>11841</v>
      </c>
      <c r="D215" s="905" t="s">
        <v>11849</v>
      </c>
    </row>
    <row r="216" spans="1:4" ht="16.5">
      <c r="A216" s="906"/>
      <c r="B216" t="s">
        <v>11820</v>
      </c>
      <c r="C216" s="663" t="s">
        <v>11841</v>
      </c>
      <c r="D216" s="905" t="s">
        <v>11849</v>
      </c>
    </row>
    <row r="217" spans="1:4" ht="16.5">
      <c r="A217" s="906"/>
      <c r="B217" t="s">
        <v>11820</v>
      </c>
      <c r="C217" s="663" t="s">
        <v>11841</v>
      </c>
      <c r="D217" s="905" t="s">
        <v>11849</v>
      </c>
    </row>
    <row r="218" spans="1:4" ht="16.5">
      <c r="A218" s="906"/>
      <c r="B218" t="s">
        <v>11820</v>
      </c>
      <c r="C218" s="663" t="s">
        <v>11841</v>
      </c>
      <c r="D218" s="905" t="s">
        <v>11849</v>
      </c>
    </row>
    <row r="219" spans="1:4" ht="16.5">
      <c r="A219" s="925"/>
      <c r="B219" t="s">
        <v>11820</v>
      </c>
      <c r="C219" s="663" t="s">
        <v>11841</v>
      </c>
      <c r="D219" s="905" t="s">
        <v>11849</v>
      </c>
    </row>
    <row r="220" spans="1:4" ht="16.5">
      <c r="A220" s="906"/>
      <c r="B220" t="s">
        <v>11820</v>
      </c>
      <c r="C220" s="663" t="s">
        <v>11841</v>
      </c>
      <c r="D220" s="905" t="s">
        <v>11849</v>
      </c>
    </row>
    <row r="221" spans="1:4" ht="16.5">
      <c r="A221" s="906"/>
      <c r="B221" t="s">
        <v>11820</v>
      </c>
      <c r="C221" s="663" t="s">
        <v>11841</v>
      </c>
      <c r="D221" s="905" t="s">
        <v>11849</v>
      </c>
    </row>
    <row r="222" spans="1:4" ht="16.5">
      <c r="A222" s="906"/>
      <c r="B222" t="s">
        <v>11820</v>
      </c>
      <c r="C222" s="663" t="s">
        <v>11841</v>
      </c>
      <c r="D222" s="905" t="s">
        <v>11849</v>
      </c>
    </row>
    <row r="223" spans="1:4" ht="16.5">
      <c r="A223" s="925"/>
      <c r="B223" t="s">
        <v>11820</v>
      </c>
      <c r="C223" s="663" t="s">
        <v>11841</v>
      </c>
      <c r="D223" s="905" t="s">
        <v>11849</v>
      </c>
    </row>
    <row r="224" spans="1:4" ht="16.5">
      <c r="A224" s="925"/>
      <c r="B224" t="s">
        <v>11820</v>
      </c>
      <c r="C224" s="663" t="s">
        <v>11841</v>
      </c>
      <c r="D224" s="905" t="s">
        <v>11849</v>
      </c>
    </row>
    <row r="225" spans="1:4" ht="16.5">
      <c r="A225" s="925"/>
      <c r="B225" t="s">
        <v>11820</v>
      </c>
      <c r="C225" s="663" t="s">
        <v>11841</v>
      </c>
      <c r="D225" s="905" t="s">
        <v>11849</v>
      </c>
    </row>
    <row r="226" spans="1:4" ht="16.5">
      <c r="A226" s="925"/>
      <c r="B226" t="s">
        <v>11820</v>
      </c>
      <c r="C226" s="663" t="s">
        <v>11841</v>
      </c>
      <c r="D226" s="905" t="s">
        <v>11849</v>
      </c>
    </row>
    <row r="227" spans="1:4" ht="16.5">
      <c r="A227" s="925"/>
      <c r="B227" t="s">
        <v>11820</v>
      </c>
      <c r="C227" s="663" t="s">
        <v>11841</v>
      </c>
      <c r="D227" s="905" t="s">
        <v>11849</v>
      </c>
    </row>
    <row r="228" spans="1:4" ht="16.5">
      <c r="A228" s="925"/>
      <c r="B228" t="s">
        <v>11820</v>
      </c>
      <c r="C228" s="663" t="s">
        <v>11841</v>
      </c>
      <c r="D228" s="905" t="s">
        <v>11849</v>
      </c>
    </row>
    <row r="229" spans="1:4" ht="16.5">
      <c r="A229" s="925"/>
      <c r="B229" t="s">
        <v>11820</v>
      </c>
      <c r="C229" s="663" t="s">
        <v>11841</v>
      </c>
      <c r="D229" s="905" t="s">
        <v>11849</v>
      </c>
    </row>
    <row r="230" spans="1:4" ht="16.5">
      <c r="A230" s="917"/>
      <c r="B230" t="s">
        <v>11820</v>
      </c>
      <c r="C230" s="663" t="s">
        <v>11841</v>
      </c>
      <c r="D230" s="905" t="s">
        <v>11849</v>
      </c>
    </row>
    <row r="231" spans="1:4" ht="16.5">
      <c r="A231" s="913"/>
      <c r="B231" t="s">
        <v>11820</v>
      </c>
      <c r="C231" s="663" t="s">
        <v>11841</v>
      </c>
      <c r="D231" s="905" t="s">
        <v>11849</v>
      </c>
    </row>
    <row r="232" spans="1:4" ht="16.5">
      <c r="A232" s="913"/>
      <c r="B232" t="s">
        <v>11820</v>
      </c>
      <c r="C232" s="663" t="s">
        <v>11841</v>
      </c>
      <c r="D232" s="905" t="s">
        <v>11849</v>
      </c>
    </row>
    <row r="233" spans="1:4" ht="16.5">
      <c r="A233" s="913"/>
      <c r="B233" t="s">
        <v>11820</v>
      </c>
      <c r="C233" s="663" t="s">
        <v>11841</v>
      </c>
      <c r="D233" s="905" t="s">
        <v>11849</v>
      </c>
    </row>
    <row r="234" spans="1:4" ht="16.5">
      <c r="A234" s="925"/>
      <c r="B234" t="s">
        <v>11820</v>
      </c>
      <c r="C234" s="663" t="s">
        <v>11841</v>
      </c>
      <c r="D234" s="905" t="s">
        <v>11849</v>
      </c>
    </row>
    <row r="235" spans="1:4" ht="16.5">
      <c r="A235" s="925"/>
      <c r="B235" t="s">
        <v>11820</v>
      </c>
      <c r="C235" s="663" t="s">
        <v>11841</v>
      </c>
      <c r="D235" s="905" t="s">
        <v>11849</v>
      </c>
    </row>
    <row r="236" spans="1:4" ht="16.5">
      <c r="A236" s="904"/>
      <c r="B236" t="s">
        <v>11820</v>
      </c>
      <c r="C236" s="663" t="s">
        <v>11841</v>
      </c>
      <c r="D236" s="905" t="s">
        <v>11849</v>
      </c>
    </row>
    <row r="237" spans="1:4" ht="17.25" thickBot="1">
      <c r="A237" s="925"/>
      <c r="B237" t="s">
        <v>11820</v>
      </c>
      <c r="C237" s="663" t="s">
        <v>11841</v>
      </c>
      <c r="D237" s="905" t="s">
        <v>11849</v>
      </c>
    </row>
    <row r="238" spans="1:4" ht="13.5" customHeight="1" thickTop="1">
      <c r="A238" s="915" t="s">
        <v>266</v>
      </c>
      <c r="B238" t="s">
        <v>11820</v>
      </c>
      <c r="C238" s="663" t="s">
        <v>11841</v>
      </c>
      <c r="D238" s="905" t="s">
        <v>11849</v>
      </c>
    </row>
    <row r="239" spans="1:4" ht="16.5">
      <c r="A239" s="935"/>
      <c r="B239" t="s">
        <v>11820</v>
      </c>
      <c r="C239" s="663" t="s">
        <v>11841</v>
      </c>
      <c r="D239" s="905" t="s">
        <v>11849</v>
      </c>
    </row>
    <row r="240" spans="1:4" ht="16.5">
      <c r="A240" s="925"/>
      <c r="B240" t="s">
        <v>11820</v>
      </c>
      <c r="C240" s="663" t="s">
        <v>11841</v>
      </c>
      <c r="D240" s="905" t="s">
        <v>11849</v>
      </c>
    </row>
    <row r="241" spans="1:4" ht="16.5">
      <c r="A241" s="906" t="s">
        <v>290</v>
      </c>
      <c r="B241" t="s">
        <v>11820</v>
      </c>
      <c r="C241" s="663" t="s">
        <v>11841</v>
      </c>
      <c r="D241" s="905" t="s">
        <v>11849</v>
      </c>
    </row>
    <row r="242" spans="1:4" ht="16.5">
      <c r="A242" s="906" t="s">
        <v>292</v>
      </c>
      <c r="B242" t="s">
        <v>11820</v>
      </c>
      <c r="C242" s="663" t="s">
        <v>11841</v>
      </c>
      <c r="D242" s="905" t="s">
        <v>11849</v>
      </c>
    </row>
    <row r="243" spans="1:4" ht="16.5">
      <c r="A243" s="906" t="s">
        <v>294</v>
      </c>
      <c r="B243" t="s">
        <v>11820</v>
      </c>
      <c r="C243" s="663" t="s">
        <v>11841</v>
      </c>
      <c r="D243" s="905" t="s">
        <v>11849</v>
      </c>
    </row>
    <row r="244" spans="1:4" ht="16.5">
      <c r="A244" s="906" t="s">
        <v>296</v>
      </c>
      <c r="B244" t="s">
        <v>11820</v>
      </c>
      <c r="C244" s="663" t="s">
        <v>11841</v>
      </c>
      <c r="D244" s="905" t="s">
        <v>11849</v>
      </c>
    </row>
    <row r="245" spans="1:4" ht="16.5">
      <c r="A245" s="906" t="s">
        <v>298</v>
      </c>
      <c r="B245" t="s">
        <v>11820</v>
      </c>
      <c r="C245" s="663" t="s">
        <v>11841</v>
      </c>
      <c r="D245" s="905" t="s">
        <v>11849</v>
      </c>
    </row>
    <row r="246" spans="1:4" ht="16.5">
      <c r="A246" s="906" t="s">
        <v>300</v>
      </c>
      <c r="B246" t="s">
        <v>11820</v>
      </c>
      <c r="C246" s="663" t="s">
        <v>11841</v>
      </c>
      <c r="D246" s="905" t="s">
        <v>11849</v>
      </c>
    </row>
    <row r="247" spans="1:4" ht="16.5">
      <c r="A247" s="906" t="s">
        <v>302</v>
      </c>
      <c r="B247" t="s">
        <v>11820</v>
      </c>
      <c r="C247" s="663" t="s">
        <v>11841</v>
      </c>
      <c r="D247" s="905" t="s">
        <v>11849</v>
      </c>
    </row>
    <row r="248" spans="1:4" ht="16.5">
      <c r="A248" s="906" t="s">
        <v>304</v>
      </c>
      <c r="B248" t="s">
        <v>11820</v>
      </c>
      <c r="C248" s="663" t="s">
        <v>11841</v>
      </c>
      <c r="D248" s="905" t="s">
        <v>11849</v>
      </c>
    </row>
    <row r="249" spans="1:4" ht="16.5">
      <c r="A249" s="925"/>
      <c r="B249" t="s">
        <v>11820</v>
      </c>
      <c r="C249" s="663" t="s">
        <v>11841</v>
      </c>
      <c r="D249" s="905" t="s">
        <v>11849</v>
      </c>
    </row>
    <row r="250" spans="1:4" ht="16.5">
      <c r="A250" s="906" t="s">
        <v>307</v>
      </c>
      <c r="B250" t="s">
        <v>11820</v>
      </c>
      <c r="C250" s="663" t="s">
        <v>11841</v>
      </c>
      <c r="D250" s="905" t="s">
        <v>11849</v>
      </c>
    </row>
    <row r="251" spans="1:4" ht="16.5">
      <c r="A251" s="906" t="s">
        <v>309</v>
      </c>
      <c r="B251" t="s">
        <v>11820</v>
      </c>
      <c r="C251" s="663" t="s">
        <v>11841</v>
      </c>
      <c r="D251" s="905" t="s">
        <v>11849</v>
      </c>
    </row>
    <row r="252" spans="1:4" ht="16.5">
      <c r="A252" s="906" t="s">
        <v>311</v>
      </c>
      <c r="B252" t="s">
        <v>11820</v>
      </c>
      <c r="C252" s="663" t="s">
        <v>11841</v>
      </c>
      <c r="D252" s="905" t="s">
        <v>11849</v>
      </c>
    </row>
    <row r="253" spans="1:4" ht="16.5">
      <c r="A253" s="906" t="s">
        <v>313</v>
      </c>
      <c r="B253" t="s">
        <v>11820</v>
      </c>
      <c r="C253" s="663" t="s">
        <v>11841</v>
      </c>
      <c r="D253" s="905" t="s">
        <v>11849</v>
      </c>
    </row>
    <row r="254" spans="1:4" ht="16.5">
      <c r="A254" s="906" t="s">
        <v>315</v>
      </c>
      <c r="B254" t="s">
        <v>11820</v>
      </c>
      <c r="C254" s="663" t="s">
        <v>11841</v>
      </c>
      <c r="D254" s="905" t="s">
        <v>11849</v>
      </c>
    </row>
    <row r="255" spans="1:4" ht="16.5">
      <c r="A255" s="906" t="s">
        <v>317</v>
      </c>
      <c r="B255" t="s">
        <v>11820</v>
      </c>
      <c r="C255" s="663" t="s">
        <v>11841</v>
      </c>
      <c r="D255" s="905" t="s">
        <v>11849</v>
      </c>
    </row>
    <row r="256" spans="1:4" ht="16.5">
      <c r="A256" s="906" t="s">
        <v>319</v>
      </c>
      <c r="B256" t="s">
        <v>11820</v>
      </c>
      <c r="C256" s="663" t="s">
        <v>11841</v>
      </c>
      <c r="D256" s="905" t="s">
        <v>11849</v>
      </c>
    </row>
    <row r="257" spans="1:4" ht="16.5">
      <c r="A257" s="906" t="s">
        <v>321</v>
      </c>
      <c r="B257" t="s">
        <v>11820</v>
      </c>
      <c r="C257" s="663" t="s">
        <v>11841</v>
      </c>
      <c r="D257" s="905" t="s">
        <v>11849</v>
      </c>
    </row>
    <row r="258" spans="1:4" ht="16.5">
      <c r="A258" s="906" t="s">
        <v>323</v>
      </c>
      <c r="B258" t="s">
        <v>11820</v>
      </c>
      <c r="C258" s="663" t="s">
        <v>11841</v>
      </c>
      <c r="D258" s="905" t="s">
        <v>11849</v>
      </c>
    </row>
    <row r="259" spans="1:4" ht="16.5">
      <c r="A259" s="925"/>
      <c r="B259" t="s">
        <v>11820</v>
      </c>
      <c r="C259" s="663" t="s">
        <v>11841</v>
      </c>
      <c r="D259" s="905" t="s">
        <v>11849</v>
      </c>
    </row>
    <row r="260" spans="1:4" ht="16.5">
      <c r="A260" s="916" t="s">
        <v>184</v>
      </c>
      <c r="B260" t="s">
        <v>11820</v>
      </c>
      <c r="C260" s="663" t="s">
        <v>11841</v>
      </c>
      <c r="D260" s="905" t="s">
        <v>11849</v>
      </c>
    </row>
    <row r="261" spans="1:4" ht="16.5">
      <c r="A261" s="906" t="s">
        <v>186</v>
      </c>
      <c r="B261" t="s">
        <v>11820</v>
      </c>
      <c r="C261" s="663" t="s">
        <v>11841</v>
      </c>
      <c r="D261" s="905" t="s">
        <v>11849</v>
      </c>
    </row>
    <row r="262" spans="1:4" ht="16.5">
      <c r="A262" s="906" t="s">
        <v>188</v>
      </c>
      <c r="B262" t="s">
        <v>11820</v>
      </c>
      <c r="C262" s="663" t="s">
        <v>11841</v>
      </c>
      <c r="D262" s="905" t="s">
        <v>11849</v>
      </c>
    </row>
    <row r="263" spans="1:4" ht="16.5">
      <c r="A263" s="906" t="s">
        <v>190</v>
      </c>
      <c r="B263" t="s">
        <v>11820</v>
      </c>
      <c r="C263" s="663" t="s">
        <v>11841</v>
      </c>
      <c r="D263" s="905" t="s">
        <v>11849</v>
      </c>
    </row>
    <row r="264" spans="1:4" ht="16.5">
      <c r="A264" s="906" t="s">
        <v>192</v>
      </c>
      <c r="B264" t="s">
        <v>11820</v>
      </c>
      <c r="C264" s="663" t="s">
        <v>11841</v>
      </c>
      <c r="D264" s="905" t="s">
        <v>11849</v>
      </c>
    </row>
    <row r="265" spans="1:4" ht="16.5">
      <c r="A265" s="916" t="s">
        <v>194</v>
      </c>
      <c r="B265" t="s">
        <v>11820</v>
      </c>
      <c r="C265" s="663" t="s">
        <v>11841</v>
      </c>
      <c r="D265" s="905" t="s">
        <v>11849</v>
      </c>
    </row>
    <row r="266" spans="1:4" ht="16.5">
      <c r="A266" s="916" t="s">
        <v>196</v>
      </c>
      <c r="B266" t="s">
        <v>11820</v>
      </c>
      <c r="C266" s="663" t="s">
        <v>11841</v>
      </c>
      <c r="D266" s="905" t="s">
        <v>11849</v>
      </c>
    </row>
    <row r="267" spans="1:4" ht="16.5">
      <c r="C267" s="663"/>
    </row>
    <row r="268" spans="1:4" ht="16.5">
      <c r="A268" s="284" t="s">
        <v>334</v>
      </c>
      <c r="B268" t="s">
        <v>11829</v>
      </c>
      <c r="C268" s="663" t="s">
        <v>11841</v>
      </c>
      <c r="D268" s="905" t="s">
        <v>11848</v>
      </c>
    </row>
    <row r="269" spans="1:4" ht="16.5">
      <c r="A269" s="284" t="s">
        <v>340</v>
      </c>
      <c r="B269" t="s">
        <v>11829</v>
      </c>
      <c r="C269" s="663" t="s">
        <v>11841</v>
      </c>
      <c r="D269" s="905" t="s">
        <v>11848</v>
      </c>
    </row>
    <row r="270" spans="1:4" ht="16.5">
      <c r="A270" s="284" t="s">
        <v>342</v>
      </c>
      <c r="B270" t="s">
        <v>11829</v>
      </c>
      <c r="C270" s="663" t="s">
        <v>11841</v>
      </c>
      <c r="D270" s="905" t="s">
        <v>11848</v>
      </c>
    </row>
    <row r="271" spans="1:4" ht="16.5">
      <c r="A271" s="284" t="s">
        <v>344</v>
      </c>
      <c r="B271" t="s">
        <v>11829</v>
      </c>
      <c r="C271" s="663" t="s">
        <v>11841</v>
      </c>
      <c r="D271" s="905" t="s">
        <v>11848</v>
      </c>
    </row>
    <row r="272" spans="1:4" ht="16.5">
      <c r="A272" s="284" t="s">
        <v>346</v>
      </c>
      <c r="B272" t="s">
        <v>11829</v>
      </c>
      <c r="C272" s="663" t="s">
        <v>11841</v>
      </c>
      <c r="D272" s="905" t="s">
        <v>11848</v>
      </c>
    </row>
    <row r="273" spans="1:4" ht="16.5">
      <c r="A273" s="284" t="s">
        <v>348</v>
      </c>
      <c r="B273" t="s">
        <v>11829</v>
      </c>
      <c r="C273" s="663" t="s">
        <v>11841</v>
      </c>
      <c r="D273" s="905" t="s">
        <v>11848</v>
      </c>
    </row>
    <row r="274" spans="1:4" ht="16.5">
      <c r="A274" s="284" t="s">
        <v>350</v>
      </c>
      <c r="B274" t="s">
        <v>11829</v>
      </c>
      <c r="C274" s="663" t="s">
        <v>11841</v>
      </c>
      <c r="D274" s="905" t="s">
        <v>11848</v>
      </c>
    </row>
    <row r="275" spans="1:4" ht="16.5">
      <c r="A275" s="284" t="s">
        <v>352</v>
      </c>
      <c r="B275" t="s">
        <v>11829</v>
      </c>
      <c r="C275" s="663" t="s">
        <v>11841</v>
      </c>
      <c r="D275" s="905" t="s">
        <v>11848</v>
      </c>
    </row>
    <row r="276" spans="1:4" ht="16.5">
      <c r="A276" s="284" t="s">
        <v>353</v>
      </c>
      <c r="B276" t="s">
        <v>11829</v>
      </c>
      <c r="C276" s="663" t="s">
        <v>11841</v>
      </c>
      <c r="D276" s="905" t="s">
        <v>11848</v>
      </c>
    </row>
    <row r="277" spans="1:4" ht="16.5">
      <c r="A277" s="284" t="s">
        <v>356</v>
      </c>
      <c r="B277" t="s">
        <v>11829</v>
      </c>
      <c r="C277" s="663" t="s">
        <v>11841</v>
      </c>
      <c r="D277" s="905" t="s">
        <v>11848</v>
      </c>
    </row>
    <row r="278" spans="1:4" ht="16.5">
      <c r="A278" s="284" t="s">
        <v>358</v>
      </c>
      <c r="B278" t="s">
        <v>11829</v>
      </c>
      <c r="C278" s="663" t="s">
        <v>11841</v>
      </c>
      <c r="D278" s="905" t="s">
        <v>11848</v>
      </c>
    </row>
    <row r="279" spans="1:4" ht="16.5">
      <c r="A279" s="284" t="s">
        <v>361</v>
      </c>
      <c r="B279" t="s">
        <v>11829</v>
      </c>
      <c r="C279" s="663" t="s">
        <v>11841</v>
      </c>
      <c r="D279" s="905" t="s">
        <v>11848</v>
      </c>
    </row>
    <row r="280" spans="1:4" ht="16.5">
      <c r="A280" s="284" t="s">
        <v>363</v>
      </c>
      <c r="B280" t="s">
        <v>11829</v>
      </c>
      <c r="C280" s="663" t="s">
        <v>11841</v>
      </c>
      <c r="D280" s="905" t="s">
        <v>11848</v>
      </c>
    </row>
    <row r="281" spans="1:4" ht="16.5">
      <c r="A281" s="211" t="s">
        <v>365</v>
      </c>
      <c r="B281" t="s">
        <v>11829</v>
      </c>
      <c r="C281" s="663" t="s">
        <v>11841</v>
      </c>
      <c r="D281" s="905" t="s">
        <v>11848</v>
      </c>
    </row>
    <row r="282" spans="1:4" ht="16.5">
      <c r="A282" s="284" t="s">
        <v>367</v>
      </c>
      <c r="B282" t="s">
        <v>11829</v>
      </c>
      <c r="C282" s="663" t="s">
        <v>11841</v>
      </c>
      <c r="D282" s="905" t="s">
        <v>11848</v>
      </c>
    </row>
    <row r="283" spans="1:4" ht="16.5">
      <c r="A283"/>
      <c r="B283" t="s">
        <v>11829</v>
      </c>
      <c r="C283" s="663" t="s">
        <v>11841</v>
      </c>
      <c r="D283" s="905" t="s">
        <v>11848</v>
      </c>
    </row>
    <row r="284" spans="1:4" ht="16.5">
      <c r="A284" s="284" t="s">
        <v>370</v>
      </c>
      <c r="B284" t="s">
        <v>11829</v>
      </c>
      <c r="C284" s="663" t="s">
        <v>11841</v>
      </c>
      <c r="D284" s="905" t="s">
        <v>11848</v>
      </c>
    </row>
    <row r="285" spans="1:4" ht="16.5">
      <c r="A285" s="284" t="s">
        <v>373</v>
      </c>
      <c r="B285" t="s">
        <v>11829</v>
      </c>
      <c r="C285" s="663" t="s">
        <v>11841</v>
      </c>
      <c r="D285" s="905" t="s">
        <v>11848</v>
      </c>
    </row>
    <row r="286" spans="1:4" ht="16.5">
      <c r="A286" s="284" t="s">
        <v>375</v>
      </c>
      <c r="B286" t="s">
        <v>11829</v>
      </c>
      <c r="C286" s="663" t="s">
        <v>11841</v>
      </c>
      <c r="D286" s="905" t="s">
        <v>11848</v>
      </c>
    </row>
    <row r="287" spans="1:4" ht="16.5">
      <c r="A287" s="284" t="s">
        <v>377</v>
      </c>
      <c r="B287" t="s">
        <v>11829</v>
      </c>
      <c r="C287" s="663" t="s">
        <v>11841</v>
      </c>
      <c r="D287" s="905" t="s">
        <v>11848</v>
      </c>
    </row>
    <row r="288" spans="1:4" ht="16.5">
      <c r="A288" s="301" t="s">
        <v>378</v>
      </c>
      <c r="B288" t="s">
        <v>11829</v>
      </c>
      <c r="C288" s="663" t="s">
        <v>11841</v>
      </c>
      <c r="D288" s="905" t="s">
        <v>11848</v>
      </c>
    </row>
    <row r="289" spans="1:4" ht="16.5">
      <c r="A289" s="301" t="s">
        <v>379</v>
      </c>
      <c r="B289" t="s">
        <v>11829</v>
      </c>
      <c r="C289" s="663" t="s">
        <v>11841</v>
      </c>
      <c r="D289" s="905" t="s">
        <v>11848</v>
      </c>
    </row>
    <row r="290" spans="1:4" ht="16.5">
      <c r="A290" s="301" t="s">
        <v>380</v>
      </c>
      <c r="B290" t="s">
        <v>11829</v>
      </c>
      <c r="C290" s="663" t="s">
        <v>11841</v>
      </c>
      <c r="D290" s="905" t="s">
        <v>11848</v>
      </c>
    </row>
    <row r="291" spans="1:4" ht="16.5">
      <c r="A291"/>
      <c r="B291" t="s">
        <v>11829</v>
      </c>
      <c r="C291" s="663" t="s">
        <v>11841</v>
      </c>
      <c r="D291" s="905" t="s">
        <v>11848</v>
      </c>
    </row>
    <row r="292" spans="1:4" ht="16.5">
      <c r="A292" s="302" t="s">
        <v>385</v>
      </c>
      <c r="B292" t="s">
        <v>11829</v>
      </c>
      <c r="C292" s="663" t="s">
        <v>11841</v>
      </c>
      <c r="D292" s="905" t="s">
        <v>11848</v>
      </c>
    </row>
    <row r="293" spans="1:4" ht="16.5">
      <c r="A293" s="302" t="s">
        <v>388</v>
      </c>
      <c r="B293" t="s">
        <v>11829</v>
      </c>
      <c r="C293" s="663" t="s">
        <v>11841</v>
      </c>
      <c r="D293" s="905" t="s">
        <v>11848</v>
      </c>
    </row>
    <row r="294" spans="1:4" ht="16.5">
      <c r="A294" s="308" t="s">
        <v>389</v>
      </c>
      <c r="B294" t="s">
        <v>11829</v>
      </c>
      <c r="C294" s="663" t="s">
        <v>11841</v>
      </c>
      <c r="D294" s="905" t="s">
        <v>11848</v>
      </c>
    </row>
    <row r="295" spans="1:4" ht="16.5">
      <c r="A295" s="308" t="s">
        <v>391</v>
      </c>
      <c r="B295" t="s">
        <v>11829</v>
      </c>
      <c r="C295" s="663" t="s">
        <v>11841</v>
      </c>
      <c r="D295" s="905" t="s">
        <v>11848</v>
      </c>
    </row>
    <row r="296" spans="1:4" ht="16.5">
      <c r="A296" s="302" t="s">
        <v>393</v>
      </c>
      <c r="B296" t="s">
        <v>11829</v>
      </c>
      <c r="C296" s="663" t="s">
        <v>11841</v>
      </c>
      <c r="D296" s="905" t="s">
        <v>11848</v>
      </c>
    </row>
    <row r="297" spans="1:4" ht="16.5">
      <c r="A297"/>
      <c r="B297" t="s">
        <v>11829</v>
      </c>
      <c r="C297" s="663" t="s">
        <v>11841</v>
      </c>
      <c r="D297" s="905" t="s">
        <v>11848</v>
      </c>
    </row>
    <row r="298" spans="1:4" ht="16.5">
      <c r="A298" s="284" t="s">
        <v>395</v>
      </c>
      <c r="B298" t="s">
        <v>11829</v>
      </c>
      <c r="C298" s="663" t="s">
        <v>11841</v>
      </c>
      <c r="D298" s="905" t="s">
        <v>11848</v>
      </c>
    </row>
    <row r="299" spans="1:4" ht="16.5">
      <c r="A299" s="284" t="s">
        <v>397</v>
      </c>
      <c r="B299" t="s">
        <v>11829</v>
      </c>
      <c r="C299" s="663" t="s">
        <v>11841</v>
      </c>
      <c r="D299" s="905" t="s">
        <v>11848</v>
      </c>
    </row>
    <row r="300" spans="1:4" ht="16.5">
      <c r="A300" s="284" t="s">
        <v>399</v>
      </c>
      <c r="B300" t="s">
        <v>11829</v>
      </c>
      <c r="C300" s="663" t="s">
        <v>11841</v>
      </c>
      <c r="D300" s="905" t="s">
        <v>11848</v>
      </c>
    </row>
    <row r="301" spans="1:4" ht="17.25" thickBot="1">
      <c r="A301" s="315"/>
      <c r="B301" t="s">
        <v>11829</v>
      </c>
      <c r="C301" s="663" t="s">
        <v>11841</v>
      </c>
      <c r="D301" s="905" t="s">
        <v>11848</v>
      </c>
    </row>
    <row r="302" spans="1:4" ht="17.25" thickTop="1">
      <c r="A302"/>
      <c r="B302" t="s">
        <v>11829</v>
      </c>
      <c r="C302" s="663" t="s">
        <v>11841</v>
      </c>
      <c r="D302" s="905" t="s">
        <v>11848</v>
      </c>
    </row>
    <row r="303" spans="1:4" ht="16.5">
      <c r="A303" s="89"/>
      <c r="B303" t="s">
        <v>11829</v>
      </c>
      <c r="C303" s="663" t="s">
        <v>11841</v>
      </c>
      <c r="D303" s="905" t="s">
        <v>11848</v>
      </c>
    </row>
    <row r="304" spans="1:4" ht="16.5">
      <c r="A304" s="89"/>
      <c r="B304" t="s">
        <v>11829</v>
      </c>
      <c r="C304" s="663" t="s">
        <v>11841</v>
      </c>
      <c r="D304" s="905" t="s">
        <v>11848</v>
      </c>
    </row>
    <row r="305" spans="1:4" ht="16.5">
      <c r="A305" s="89"/>
      <c r="B305" t="s">
        <v>11829</v>
      </c>
      <c r="C305" s="663" t="s">
        <v>11841</v>
      </c>
      <c r="D305" s="905" t="s">
        <v>11848</v>
      </c>
    </row>
    <row r="306" spans="1:4" ht="16.5">
      <c r="A306" s="275"/>
      <c r="B306" t="s">
        <v>11829</v>
      </c>
      <c r="C306" s="663" t="s">
        <v>11841</v>
      </c>
      <c r="D306" s="905" t="s">
        <v>11848</v>
      </c>
    </row>
    <row r="307" spans="1:4" ht="16.5">
      <c r="A307" s="275"/>
      <c r="B307" t="s">
        <v>11829</v>
      </c>
      <c r="C307" s="663" t="s">
        <v>11841</v>
      </c>
      <c r="D307" s="905" t="s">
        <v>11848</v>
      </c>
    </row>
    <row r="308" spans="1:4" ht="16.5">
      <c r="A308" s="275"/>
      <c r="B308" t="s">
        <v>11829</v>
      </c>
      <c r="C308" s="663" t="s">
        <v>11841</v>
      </c>
      <c r="D308" s="905" t="s">
        <v>11848</v>
      </c>
    </row>
    <row r="309" spans="1:4" ht="16.5">
      <c r="A309" s="242"/>
      <c r="B309" t="s">
        <v>11829</v>
      </c>
      <c r="C309" s="663" t="s">
        <v>11841</v>
      </c>
      <c r="D309" s="905" t="s">
        <v>11848</v>
      </c>
    </row>
    <row r="310" spans="1:4" ht="16.5">
      <c r="A310" s="275"/>
      <c r="B310" t="s">
        <v>11829</v>
      </c>
      <c r="C310" s="663" t="s">
        <v>11841</v>
      </c>
      <c r="D310" s="905" t="s">
        <v>11848</v>
      </c>
    </row>
    <row r="311" spans="1:4" ht="16.5">
      <c r="A311" s="275"/>
      <c r="B311" t="s">
        <v>11829</v>
      </c>
      <c r="C311" s="663" t="s">
        <v>11841</v>
      </c>
      <c r="D311" s="905" t="s">
        <v>11848</v>
      </c>
    </row>
    <row r="312" spans="1:4" ht="16.5">
      <c r="A312" s="275"/>
      <c r="B312" t="s">
        <v>11829</v>
      </c>
      <c r="C312" s="663" t="s">
        <v>11841</v>
      </c>
      <c r="D312" s="905" t="s">
        <v>11848</v>
      </c>
    </row>
    <row r="313" spans="1:4" ht="16.5">
      <c r="A313" s="275"/>
      <c r="B313" t="s">
        <v>11829</v>
      </c>
      <c r="C313" s="663" t="s">
        <v>11841</v>
      </c>
      <c r="D313" s="905" t="s">
        <v>11848</v>
      </c>
    </row>
    <row r="314" spans="1:4" ht="16.5">
      <c r="A314" s="275"/>
      <c r="B314" t="s">
        <v>11829</v>
      </c>
      <c r="C314" s="663" t="s">
        <v>11841</v>
      </c>
      <c r="D314" s="905" t="s">
        <v>11848</v>
      </c>
    </row>
    <row r="315" spans="1:4" ht="16.5">
      <c r="A315" s="275"/>
      <c r="B315" t="s">
        <v>11829</v>
      </c>
      <c r="C315" s="663" t="s">
        <v>11841</v>
      </c>
      <c r="D315" s="905" t="s">
        <v>11848</v>
      </c>
    </row>
    <row r="316" spans="1:4" ht="16.5">
      <c r="A316" s="275"/>
      <c r="B316" t="s">
        <v>11829</v>
      </c>
      <c r="C316" s="663" t="s">
        <v>11841</v>
      </c>
      <c r="D316" s="905" t="s">
        <v>11848</v>
      </c>
    </row>
    <row r="317" spans="1:4" ht="16.5">
      <c r="A317" s="275"/>
      <c r="B317" t="s">
        <v>11829</v>
      </c>
      <c r="C317" s="663" t="s">
        <v>11841</v>
      </c>
      <c r="D317" s="905" t="s">
        <v>11848</v>
      </c>
    </row>
    <row r="318" spans="1:4" ht="16.5">
      <c r="A318" s="275"/>
      <c r="B318" t="s">
        <v>11829</v>
      </c>
      <c r="C318" s="663" t="s">
        <v>11841</v>
      </c>
      <c r="D318" s="905" t="s">
        <v>11848</v>
      </c>
    </row>
    <row r="319" spans="1:4" ht="16.5">
      <c r="A319" s="275"/>
      <c r="B319" t="s">
        <v>11829</v>
      </c>
      <c r="C319" s="663" t="s">
        <v>11841</v>
      </c>
      <c r="D319" s="905" t="s">
        <v>11848</v>
      </c>
    </row>
    <row r="320" spans="1:4" ht="16.5">
      <c r="A320" s="275"/>
      <c r="B320" t="s">
        <v>11829</v>
      </c>
      <c r="C320" s="663" t="s">
        <v>11841</v>
      </c>
      <c r="D320" s="905" t="s">
        <v>11848</v>
      </c>
    </row>
    <row r="321" spans="1:4" ht="16.5">
      <c r="A321"/>
      <c r="B321" t="s">
        <v>11829</v>
      </c>
      <c r="C321" s="663" t="s">
        <v>11841</v>
      </c>
      <c r="D321" s="905" t="s">
        <v>11848</v>
      </c>
    </row>
    <row r="322" spans="1:4" ht="16.5">
      <c r="A322"/>
      <c r="B322" t="s">
        <v>11829</v>
      </c>
      <c r="C322" s="663" t="s">
        <v>11841</v>
      </c>
      <c r="D322" s="905" t="s">
        <v>11848</v>
      </c>
    </row>
    <row r="323" spans="1:4" ht="16.5">
      <c r="A323"/>
      <c r="B323" t="s">
        <v>11829</v>
      </c>
      <c r="C323" s="663" t="s">
        <v>11841</v>
      </c>
      <c r="D323" s="905" t="s">
        <v>11848</v>
      </c>
    </row>
    <row r="324" spans="1:4" ht="16.5">
      <c r="A324" s="332" t="s">
        <v>342</v>
      </c>
      <c r="B324" t="s">
        <v>11829</v>
      </c>
      <c r="C324" s="663" t="s">
        <v>11841</v>
      </c>
      <c r="D324" s="905" t="s">
        <v>11848</v>
      </c>
    </row>
    <row r="325" spans="1:4" ht="16.5">
      <c r="A325" s="332" t="s">
        <v>344</v>
      </c>
      <c r="B325" t="s">
        <v>11829</v>
      </c>
      <c r="C325" s="663" t="s">
        <v>11841</v>
      </c>
      <c r="D325" s="905" t="s">
        <v>11848</v>
      </c>
    </row>
    <row r="326" spans="1:4" ht="16.5">
      <c r="A326" s="332" t="s">
        <v>348</v>
      </c>
      <c r="B326" t="s">
        <v>11829</v>
      </c>
      <c r="C326" s="663" t="s">
        <v>11841</v>
      </c>
      <c r="D326" s="905" t="s">
        <v>11848</v>
      </c>
    </row>
    <row r="327" spans="1:4" ht="16.5">
      <c r="A327" s="332" t="s">
        <v>350</v>
      </c>
      <c r="B327" t="s">
        <v>11829</v>
      </c>
      <c r="C327" s="663" t="s">
        <v>11841</v>
      </c>
      <c r="D327" s="905" t="s">
        <v>11848</v>
      </c>
    </row>
    <row r="328" spans="1:4" ht="16.5">
      <c r="A328" s="332" t="s">
        <v>352</v>
      </c>
      <c r="B328" t="s">
        <v>11829</v>
      </c>
      <c r="C328" s="663" t="s">
        <v>11841</v>
      </c>
      <c r="D328" s="905" t="s">
        <v>11848</v>
      </c>
    </row>
    <row r="329" spans="1:4" ht="16.5">
      <c r="A329" s="332" t="s">
        <v>353</v>
      </c>
      <c r="B329" t="s">
        <v>11829</v>
      </c>
      <c r="C329" s="663" t="s">
        <v>11841</v>
      </c>
      <c r="D329" s="905" t="s">
        <v>11848</v>
      </c>
    </row>
    <row r="330" spans="1:4" ht="16.5">
      <c r="A330" s="332" t="s">
        <v>356</v>
      </c>
      <c r="B330" t="s">
        <v>11829</v>
      </c>
      <c r="C330" s="663" t="s">
        <v>11841</v>
      </c>
      <c r="D330" s="905" t="s">
        <v>11848</v>
      </c>
    </row>
    <row r="331" spans="1:4" ht="16.5">
      <c r="A331" s="332" t="s">
        <v>358</v>
      </c>
      <c r="B331" t="s">
        <v>11829</v>
      </c>
      <c r="C331" s="663" t="s">
        <v>11841</v>
      </c>
      <c r="D331" s="905" t="s">
        <v>11848</v>
      </c>
    </row>
    <row r="332" spans="1:4" ht="16.5">
      <c r="A332" s="332" t="s">
        <v>363</v>
      </c>
      <c r="B332" t="s">
        <v>11829</v>
      </c>
      <c r="C332" s="663" t="s">
        <v>11841</v>
      </c>
      <c r="D332" s="905" t="s">
        <v>11848</v>
      </c>
    </row>
    <row r="333" spans="1:4" ht="16.5">
      <c r="A333" s="332" t="s">
        <v>367</v>
      </c>
      <c r="B333" t="s">
        <v>11829</v>
      </c>
      <c r="C333" s="663" t="s">
        <v>11841</v>
      </c>
      <c r="D333" s="905" t="s">
        <v>11848</v>
      </c>
    </row>
    <row r="334" spans="1:4" ht="16.5">
      <c r="A334"/>
      <c r="B334" t="s">
        <v>11829</v>
      </c>
      <c r="C334" s="663" t="s">
        <v>11841</v>
      </c>
      <c r="D334" s="905" t="s">
        <v>11848</v>
      </c>
    </row>
    <row r="335" spans="1:4" ht="16.5">
      <c r="A335" s="332" t="s">
        <v>410</v>
      </c>
      <c r="B335" t="s">
        <v>11829</v>
      </c>
      <c r="C335" s="663" t="s">
        <v>11841</v>
      </c>
      <c r="D335" s="905" t="s">
        <v>11848</v>
      </c>
    </row>
    <row r="336" spans="1:4" ht="16.5">
      <c r="A336" s="332" t="s">
        <v>373</v>
      </c>
      <c r="B336" t="s">
        <v>11829</v>
      </c>
      <c r="C336" s="663" t="s">
        <v>11841</v>
      </c>
      <c r="D336" s="905" t="s">
        <v>11848</v>
      </c>
    </row>
    <row r="337" spans="1:4" ht="16.5">
      <c r="A337" s="332" t="s">
        <v>375</v>
      </c>
      <c r="B337" t="s">
        <v>11829</v>
      </c>
      <c r="C337" s="663" t="s">
        <v>11841</v>
      </c>
      <c r="D337" s="905" t="s">
        <v>11848</v>
      </c>
    </row>
    <row r="338" spans="1:4" ht="16.5">
      <c r="A338" s="332" t="s">
        <v>414</v>
      </c>
      <c r="B338" t="s">
        <v>11829</v>
      </c>
      <c r="C338" s="663" t="s">
        <v>11841</v>
      </c>
      <c r="D338" s="905" t="s">
        <v>11848</v>
      </c>
    </row>
    <row r="339" spans="1:4" ht="16.5">
      <c r="A339" s="332" t="s">
        <v>415</v>
      </c>
      <c r="B339" t="s">
        <v>11829</v>
      </c>
      <c r="C339" s="663" t="s">
        <v>11841</v>
      </c>
      <c r="D339" s="905" t="s">
        <v>11848</v>
      </c>
    </row>
    <row r="340" spans="1:4" ht="16.5">
      <c r="A340" s="332" t="s">
        <v>370</v>
      </c>
      <c r="B340" t="s">
        <v>11829</v>
      </c>
      <c r="C340" s="663" t="s">
        <v>11841</v>
      </c>
      <c r="D340" s="905" t="s">
        <v>11848</v>
      </c>
    </row>
    <row r="341" spans="1:4" ht="16.5">
      <c r="A341"/>
      <c r="B341" t="s">
        <v>11829</v>
      </c>
      <c r="C341" s="663" t="s">
        <v>11841</v>
      </c>
      <c r="D341" s="905" t="s">
        <v>11848</v>
      </c>
    </row>
    <row r="342" spans="1:4" ht="16.5">
      <c r="A342" s="339" t="s">
        <v>385</v>
      </c>
      <c r="B342" t="s">
        <v>11829</v>
      </c>
      <c r="C342" s="663" t="s">
        <v>11841</v>
      </c>
      <c r="D342" s="905" t="s">
        <v>11848</v>
      </c>
    </row>
    <row r="343" spans="1:4" ht="16.5">
      <c r="A343" s="339" t="s">
        <v>388</v>
      </c>
      <c r="B343" t="s">
        <v>11829</v>
      </c>
      <c r="C343" s="663" t="s">
        <v>11841</v>
      </c>
      <c r="D343" s="905" t="s">
        <v>11848</v>
      </c>
    </row>
    <row r="344" spans="1:4" ht="16.5">
      <c r="A344" s="339" t="s">
        <v>418</v>
      </c>
      <c r="B344" t="s">
        <v>11829</v>
      </c>
      <c r="C344" s="663" t="s">
        <v>11841</v>
      </c>
      <c r="D344" s="905" t="s">
        <v>11848</v>
      </c>
    </row>
    <row r="345" spans="1:4" ht="16.5">
      <c r="A345" s="339" t="s">
        <v>393</v>
      </c>
      <c r="B345" t="s">
        <v>11829</v>
      </c>
      <c r="C345" s="663" t="s">
        <v>11841</v>
      </c>
      <c r="D345" s="905" t="s">
        <v>11848</v>
      </c>
    </row>
    <row r="346" spans="1:4" ht="16.5">
      <c r="A346"/>
      <c r="B346" t="s">
        <v>11829</v>
      </c>
      <c r="C346" s="663" t="s">
        <v>11841</v>
      </c>
      <c r="D346" s="905" t="s">
        <v>11848</v>
      </c>
    </row>
    <row r="347" spans="1:4" ht="16.5">
      <c r="A347" s="339" t="s">
        <v>395</v>
      </c>
      <c r="B347" t="s">
        <v>11829</v>
      </c>
      <c r="C347" s="663" t="s">
        <v>11841</v>
      </c>
      <c r="D347" s="905" t="s">
        <v>11848</v>
      </c>
    </row>
    <row r="348" spans="1:4" ht="16.5">
      <c r="A348" s="339" t="s">
        <v>378</v>
      </c>
      <c r="B348" t="s">
        <v>11829</v>
      </c>
      <c r="C348" s="663" t="s">
        <v>11841</v>
      </c>
      <c r="D348" s="905" t="s">
        <v>11848</v>
      </c>
    </row>
    <row r="349" spans="1:4" ht="16.5">
      <c r="A349" s="332" t="s">
        <v>420</v>
      </c>
      <c r="B349" t="s">
        <v>11829</v>
      </c>
      <c r="C349" s="663" t="s">
        <v>11841</v>
      </c>
      <c r="D349" s="905" t="s">
        <v>11848</v>
      </c>
    </row>
    <row r="350" spans="1:4" ht="16.5">
      <c r="A350" s="339" t="s">
        <v>397</v>
      </c>
      <c r="B350" t="s">
        <v>11829</v>
      </c>
      <c r="C350" s="663" t="s">
        <v>11841</v>
      </c>
      <c r="D350" s="905" t="s">
        <v>11848</v>
      </c>
    </row>
    <row r="351" spans="1:4" ht="16.5">
      <c r="A351" s="339" t="s">
        <v>421</v>
      </c>
      <c r="B351" t="s">
        <v>11829</v>
      </c>
      <c r="C351" s="663" t="s">
        <v>11841</v>
      </c>
      <c r="D351" s="905" t="s">
        <v>11848</v>
      </c>
    </row>
    <row r="352" spans="1:4" ht="16.5">
      <c r="A352" s="339" t="s">
        <v>424</v>
      </c>
      <c r="B352" t="s">
        <v>11829</v>
      </c>
      <c r="C352" s="663" t="s">
        <v>11841</v>
      </c>
      <c r="D352" s="905" t="s">
        <v>11848</v>
      </c>
    </row>
    <row r="353" spans="1:4" ht="17.25" thickBot="1">
      <c r="A353" s="343"/>
      <c r="B353" t="s">
        <v>11829</v>
      </c>
      <c r="C353" s="663" t="s">
        <v>11841</v>
      </c>
      <c r="D353" s="905" t="s">
        <v>11848</v>
      </c>
    </row>
    <row r="354" spans="1:4" ht="17.25" thickTop="1">
      <c r="A354"/>
      <c r="B354" t="s">
        <v>11829</v>
      </c>
      <c r="C354" s="663" t="s">
        <v>11841</v>
      </c>
      <c r="D354" s="905" t="s">
        <v>11848</v>
      </c>
    </row>
    <row r="355" spans="1:4" ht="16.5">
      <c r="A355" s="89"/>
      <c r="B355" t="s">
        <v>11829</v>
      </c>
      <c r="C355" s="663" t="s">
        <v>11841</v>
      </c>
      <c r="D355" s="905" t="s">
        <v>11848</v>
      </c>
    </row>
    <row r="356" spans="1:4" ht="16.5">
      <c r="A356" s="89"/>
      <c r="B356" t="s">
        <v>11829</v>
      </c>
      <c r="C356" s="663" t="s">
        <v>11841</v>
      </c>
      <c r="D356" s="905" t="s">
        <v>11848</v>
      </c>
    </row>
    <row r="357" spans="1:4" ht="16.5">
      <c r="A357" s="89"/>
      <c r="B357" t="s">
        <v>11829</v>
      </c>
      <c r="C357" s="663" t="s">
        <v>11841</v>
      </c>
      <c r="D357" s="905" t="s">
        <v>11848</v>
      </c>
    </row>
    <row r="358" spans="1:4" ht="16.5">
      <c r="A358" s="275"/>
      <c r="B358" t="s">
        <v>11829</v>
      </c>
      <c r="C358" s="663" t="s">
        <v>11841</v>
      </c>
      <c r="D358" s="905" t="s">
        <v>11848</v>
      </c>
    </row>
    <row r="359" spans="1:4" ht="16.5">
      <c r="A359" s="275"/>
      <c r="B359" t="s">
        <v>11829</v>
      </c>
      <c r="C359" s="663" t="s">
        <v>11841</v>
      </c>
      <c r="D359" s="905" t="s">
        <v>11848</v>
      </c>
    </row>
    <row r="360" spans="1:4" ht="16.5">
      <c r="A360" s="275"/>
      <c r="B360" t="s">
        <v>11829</v>
      </c>
      <c r="C360" s="663" t="s">
        <v>11841</v>
      </c>
      <c r="D360" s="905" t="s">
        <v>11848</v>
      </c>
    </row>
    <row r="361" spans="1:4" ht="16.5">
      <c r="A361" s="275"/>
      <c r="B361" t="s">
        <v>11829</v>
      </c>
      <c r="C361" s="663" t="s">
        <v>11841</v>
      </c>
      <c r="D361" s="905" t="s">
        <v>11848</v>
      </c>
    </row>
    <row r="362" spans="1:4" ht="16.5">
      <c r="A362" s="275"/>
      <c r="B362" t="s">
        <v>11829</v>
      </c>
      <c r="C362" s="663" t="s">
        <v>11841</v>
      </c>
      <c r="D362" s="905" t="s">
        <v>11848</v>
      </c>
    </row>
    <row r="363" spans="1:4" ht="16.5">
      <c r="A363" s="275"/>
      <c r="B363" t="s">
        <v>11829</v>
      </c>
      <c r="C363" s="663" t="s">
        <v>11841</v>
      </c>
      <c r="D363" s="905" t="s">
        <v>11848</v>
      </c>
    </row>
    <row r="364" spans="1:4" ht="16.5">
      <c r="A364" s="275"/>
      <c r="B364" t="s">
        <v>11829</v>
      </c>
      <c r="C364" s="663" t="s">
        <v>11841</v>
      </c>
      <c r="D364" s="905" t="s">
        <v>11848</v>
      </c>
    </row>
    <row r="365" spans="1:4" ht="16.5">
      <c r="A365" s="275"/>
      <c r="B365" t="s">
        <v>11829</v>
      </c>
      <c r="C365" s="663" t="s">
        <v>11841</v>
      </c>
      <c r="D365" s="905" t="s">
        <v>11848</v>
      </c>
    </row>
    <row r="366" spans="1:4" ht="16.5">
      <c r="A366"/>
      <c r="B366" t="s">
        <v>11829</v>
      </c>
      <c r="C366" s="663" t="s">
        <v>11841</v>
      </c>
      <c r="D366" s="905" t="s">
        <v>11848</v>
      </c>
    </row>
    <row r="367" spans="1:4" ht="16.5">
      <c r="A367" s="346" t="s">
        <v>426</v>
      </c>
      <c r="B367" t="s">
        <v>11829</v>
      </c>
      <c r="C367" s="663" t="s">
        <v>11841</v>
      </c>
      <c r="D367" s="905" t="s">
        <v>11848</v>
      </c>
    </row>
    <row r="368" spans="1:4" ht="16.5">
      <c r="A368" s="346"/>
      <c r="B368" t="s">
        <v>11829</v>
      </c>
      <c r="C368" s="663" t="s">
        <v>11841</v>
      </c>
      <c r="D368" s="905" t="s">
        <v>11848</v>
      </c>
    </row>
    <row r="369" spans="1:4" ht="16.5">
      <c r="A369" s="86"/>
      <c r="B369" t="s">
        <v>11829</v>
      </c>
      <c r="C369" s="663" t="s">
        <v>11841</v>
      </c>
      <c r="D369" s="905" t="s">
        <v>11848</v>
      </c>
    </row>
    <row r="370" spans="1:4" ht="16.5">
      <c r="A370" s="86"/>
      <c r="B370" t="s">
        <v>11829</v>
      </c>
      <c r="C370" s="663" t="s">
        <v>11841</v>
      </c>
      <c r="D370" s="905" t="s">
        <v>11848</v>
      </c>
    </row>
    <row r="371" spans="1:4" ht="16.5">
      <c r="A371" s="356" t="s">
        <v>342</v>
      </c>
      <c r="B371" t="s">
        <v>11829</v>
      </c>
      <c r="C371" s="663" t="s">
        <v>11841</v>
      </c>
      <c r="D371" s="905" t="s">
        <v>11848</v>
      </c>
    </row>
    <row r="372" spans="1:4" ht="16.5">
      <c r="A372" s="356" t="s">
        <v>344</v>
      </c>
      <c r="B372" t="s">
        <v>11829</v>
      </c>
      <c r="C372" s="663" t="s">
        <v>11841</v>
      </c>
      <c r="D372" s="905" t="s">
        <v>11848</v>
      </c>
    </row>
    <row r="373" spans="1:4" ht="16.5">
      <c r="A373" s="356" t="s">
        <v>348</v>
      </c>
      <c r="B373" t="s">
        <v>11829</v>
      </c>
      <c r="C373" s="663" t="s">
        <v>11841</v>
      </c>
      <c r="D373" s="905" t="s">
        <v>11848</v>
      </c>
    </row>
    <row r="374" spans="1:4" ht="16.5">
      <c r="A374" s="356" t="s">
        <v>350</v>
      </c>
      <c r="B374" t="s">
        <v>11829</v>
      </c>
      <c r="C374" s="663" t="s">
        <v>11841</v>
      </c>
      <c r="D374" s="905" t="s">
        <v>11848</v>
      </c>
    </row>
    <row r="375" spans="1:4" ht="16.5">
      <c r="A375" s="356" t="s">
        <v>352</v>
      </c>
      <c r="B375" t="s">
        <v>11829</v>
      </c>
      <c r="C375" s="663" t="s">
        <v>11841</v>
      </c>
      <c r="D375" s="905" t="s">
        <v>11848</v>
      </c>
    </row>
    <row r="376" spans="1:4" ht="16.5">
      <c r="A376" s="356" t="s">
        <v>353</v>
      </c>
      <c r="B376" t="s">
        <v>11829</v>
      </c>
      <c r="C376" s="663" t="s">
        <v>11841</v>
      </c>
      <c r="D376" s="905" t="s">
        <v>11848</v>
      </c>
    </row>
    <row r="377" spans="1:4" ht="16.5">
      <c r="A377" s="356" t="s">
        <v>356</v>
      </c>
      <c r="B377" t="s">
        <v>11829</v>
      </c>
      <c r="C377" s="663" t="s">
        <v>11841</v>
      </c>
      <c r="D377" s="905" t="s">
        <v>11848</v>
      </c>
    </row>
    <row r="378" spans="1:4" ht="16.5">
      <c r="A378" s="360" t="s">
        <v>358</v>
      </c>
      <c r="B378" t="s">
        <v>11829</v>
      </c>
      <c r="C378" s="663" t="s">
        <v>11841</v>
      </c>
      <c r="D378" s="905" t="s">
        <v>11848</v>
      </c>
    </row>
    <row r="379" spans="1:4" ht="16.5">
      <c r="A379" s="360" t="s">
        <v>363</v>
      </c>
      <c r="B379" t="s">
        <v>11829</v>
      </c>
      <c r="C379" s="663" t="s">
        <v>11841</v>
      </c>
      <c r="D379" s="905" t="s">
        <v>11848</v>
      </c>
    </row>
    <row r="380" spans="1:4" ht="16.5">
      <c r="A380" s="360" t="s">
        <v>367</v>
      </c>
      <c r="B380" t="s">
        <v>11829</v>
      </c>
      <c r="C380" s="663" t="s">
        <v>11841</v>
      </c>
      <c r="D380" s="905" t="s">
        <v>11848</v>
      </c>
    </row>
    <row r="381" spans="1:4" ht="16.5">
      <c r="A381"/>
      <c r="B381" t="s">
        <v>11829</v>
      </c>
      <c r="C381" s="663" t="s">
        <v>11841</v>
      </c>
      <c r="D381" s="905" t="s">
        <v>11848</v>
      </c>
    </row>
    <row r="382" spans="1:4" ht="16.5">
      <c r="A382" s="371" t="s">
        <v>410</v>
      </c>
      <c r="B382" t="s">
        <v>11829</v>
      </c>
      <c r="C382" s="663" t="s">
        <v>11841</v>
      </c>
      <c r="D382" s="905" t="s">
        <v>11848</v>
      </c>
    </row>
    <row r="383" spans="1:4" ht="16.5">
      <c r="A383" s="371" t="s">
        <v>373</v>
      </c>
      <c r="B383" t="s">
        <v>11829</v>
      </c>
      <c r="C383" s="663" t="s">
        <v>11841</v>
      </c>
      <c r="D383" s="905" t="s">
        <v>11848</v>
      </c>
    </row>
    <row r="384" spans="1:4" ht="16.5">
      <c r="A384" s="371" t="s">
        <v>375</v>
      </c>
      <c r="B384" t="s">
        <v>11829</v>
      </c>
      <c r="C384" s="663" t="s">
        <v>11841</v>
      </c>
      <c r="D384" s="905" t="s">
        <v>11848</v>
      </c>
    </row>
    <row r="385" spans="1:4" ht="16.5">
      <c r="A385" s="371" t="s">
        <v>414</v>
      </c>
      <c r="B385" t="s">
        <v>11829</v>
      </c>
      <c r="C385" s="663" t="s">
        <v>11841</v>
      </c>
      <c r="D385" s="905" t="s">
        <v>11848</v>
      </c>
    </row>
    <row r="386" spans="1:4" ht="16.5">
      <c r="A386" s="371" t="s">
        <v>415</v>
      </c>
      <c r="B386" t="s">
        <v>11829</v>
      </c>
      <c r="C386" s="663" t="s">
        <v>11841</v>
      </c>
      <c r="D386" s="905" t="s">
        <v>11848</v>
      </c>
    </row>
    <row r="387" spans="1:4" ht="16.5">
      <c r="A387" s="371" t="s">
        <v>370</v>
      </c>
      <c r="B387" t="s">
        <v>11829</v>
      </c>
      <c r="C387" s="663" t="s">
        <v>11841</v>
      </c>
      <c r="D387" s="905" t="s">
        <v>11848</v>
      </c>
    </row>
    <row r="388" spans="1:4" ht="16.5">
      <c r="A388" s="349"/>
      <c r="B388" t="s">
        <v>11829</v>
      </c>
      <c r="C388" s="663" t="s">
        <v>11841</v>
      </c>
      <c r="D388" s="905" t="s">
        <v>11848</v>
      </c>
    </row>
    <row r="389" spans="1:4" ht="16.5">
      <c r="A389"/>
      <c r="B389" t="s">
        <v>11829</v>
      </c>
      <c r="C389" s="663" t="s">
        <v>11841</v>
      </c>
      <c r="D389" s="905" t="s">
        <v>11848</v>
      </c>
    </row>
    <row r="390" spans="1:4" ht="16.5">
      <c r="A390" s="381" t="s">
        <v>385</v>
      </c>
      <c r="B390" t="s">
        <v>11829</v>
      </c>
      <c r="C390" s="663" t="s">
        <v>11841</v>
      </c>
      <c r="D390" s="905" t="s">
        <v>11848</v>
      </c>
    </row>
    <row r="391" spans="1:4" ht="16.5">
      <c r="A391" s="381" t="s">
        <v>388</v>
      </c>
      <c r="B391" t="s">
        <v>11829</v>
      </c>
      <c r="C391" s="663" t="s">
        <v>11841</v>
      </c>
      <c r="D391" s="905" t="s">
        <v>11848</v>
      </c>
    </row>
    <row r="392" spans="1:4" ht="16.5">
      <c r="A392" s="381" t="s">
        <v>418</v>
      </c>
      <c r="B392" t="s">
        <v>11829</v>
      </c>
      <c r="C392" s="663" t="s">
        <v>11841</v>
      </c>
      <c r="D392" s="905" t="s">
        <v>11848</v>
      </c>
    </row>
    <row r="393" spans="1:4" ht="16.5">
      <c r="A393" s="381" t="s">
        <v>393</v>
      </c>
      <c r="B393" t="s">
        <v>11829</v>
      </c>
      <c r="C393" s="663" t="s">
        <v>11841</v>
      </c>
      <c r="D393" s="905" t="s">
        <v>11848</v>
      </c>
    </row>
    <row r="394" spans="1:4" ht="16.5">
      <c r="A394"/>
      <c r="B394" t="s">
        <v>11829</v>
      </c>
      <c r="C394" s="663" t="s">
        <v>11841</v>
      </c>
      <c r="D394" s="905" t="s">
        <v>11848</v>
      </c>
    </row>
    <row r="395" spans="1:4" ht="16.5">
      <c r="A395" s="381" t="s">
        <v>433</v>
      </c>
      <c r="B395" t="s">
        <v>11829</v>
      </c>
      <c r="C395" s="663" t="s">
        <v>11841</v>
      </c>
      <c r="D395" s="905" t="s">
        <v>11848</v>
      </c>
    </row>
    <row r="396" spans="1:4" ht="16.5">
      <c r="A396" s="381" t="s">
        <v>395</v>
      </c>
      <c r="B396" t="s">
        <v>11829</v>
      </c>
      <c r="C396" s="663" t="s">
        <v>11841</v>
      </c>
      <c r="D396" s="905" t="s">
        <v>11848</v>
      </c>
    </row>
    <row r="397" spans="1:4" ht="16.5">
      <c r="A397" s="381" t="s">
        <v>434</v>
      </c>
      <c r="B397" t="s">
        <v>11829</v>
      </c>
      <c r="C397" s="663" t="s">
        <v>11841</v>
      </c>
      <c r="D397" s="905" t="s">
        <v>11848</v>
      </c>
    </row>
    <row r="398" spans="1:4" ht="16.5">
      <c r="A398" s="381" t="s">
        <v>378</v>
      </c>
      <c r="B398" t="s">
        <v>11829</v>
      </c>
      <c r="C398" s="663" t="s">
        <v>11841</v>
      </c>
      <c r="D398" s="905" t="s">
        <v>11848</v>
      </c>
    </row>
    <row r="399" spans="1:4" ht="16.5">
      <c r="A399" s="389" t="s">
        <v>420</v>
      </c>
      <c r="B399" t="s">
        <v>11829</v>
      </c>
      <c r="C399" s="663" t="s">
        <v>11841</v>
      </c>
      <c r="D399" s="905" t="s">
        <v>11848</v>
      </c>
    </row>
    <row r="400" spans="1:4" ht="16.5">
      <c r="A400" s="381" t="s">
        <v>397</v>
      </c>
      <c r="B400" t="s">
        <v>11829</v>
      </c>
      <c r="C400" s="663" t="s">
        <v>11841</v>
      </c>
      <c r="D400" s="905" t="s">
        <v>11848</v>
      </c>
    </row>
    <row r="401" spans="1:4" ht="16.5">
      <c r="A401" s="381" t="s">
        <v>435</v>
      </c>
      <c r="B401" t="s">
        <v>11829</v>
      </c>
      <c r="C401" s="663" t="s">
        <v>11841</v>
      </c>
      <c r="D401" s="905" t="s">
        <v>11848</v>
      </c>
    </row>
    <row r="402" spans="1:4" ht="16.5">
      <c r="A402" s="381" t="s">
        <v>421</v>
      </c>
      <c r="B402" t="s">
        <v>11829</v>
      </c>
      <c r="C402" s="663" t="s">
        <v>11841</v>
      </c>
      <c r="D402" s="905" t="s">
        <v>11848</v>
      </c>
    </row>
    <row r="403" spans="1:4" ht="16.5">
      <c r="A403" s="381" t="s">
        <v>424</v>
      </c>
      <c r="B403" t="s">
        <v>11829</v>
      </c>
      <c r="C403" s="663" t="s">
        <v>11841</v>
      </c>
      <c r="D403" s="905" t="s">
        <v>11848</v>
      </c>
    </row>
    <row r="404" spans="1:4" ht="16.5">
      <c r="A404" s="387"/>
      <c r="B404" t="s">
        <v>11829</v>
      </c>
      <c r="C404" s="663" t="s">
        <v>11841</v>
      </c>
      <c r="D404" s="905" t="s">
        <v>11848</v>
      </c>
    </row>
    <row r="405" spans="1:4" ht="16.5">
      <c r="A405" s="387"/>
      <c r="B405" t="s">
        <v>11829</v>
      </c>
      <c r="C405" s="663" t="s">
        <v>11841</v>
      </c>
      <c r="D405" s="905" t="s">
        <v>11848</v>
      </c>
    </row>
    <row r="406" spans="1:4" ht="16.5">
      <c r="A406" s="792">
        <v>1</v>
      </c>
      <c r="B406" t="s">
        <v>11829</v>
      </c>
      <c r="C406" s="663" t="s">
        <v>11841</v>
      </c>
      <c r="D406" s="905" t="s">
        <v>11848</v>
      </c>
    </row>
    <row r="407" spans="1:4" ht="16.5">
      <c r="A407" s="790"/>
      <c r="B407" t="s">
        <v>11829</v>
      </c>
      <c r="C407" s="663" t="s">
        <v>11841</v>
      </c>
      <c r="D407" s="905" t="s">
        <v>11848</v>
      </c>
    </row>
    <row r="408" spans="1:4" ht="16.5">
      <c r="A408" s="790"/>
      <c r="B408" t="s">
        <v>11829</v>
      </c>
      <c r="C408" s="663" t="s">
        <v>11841</v>
      </c>
      <c r="D408" s="905" t="s">
        <v>11848</v>
      </c>
    </row>
    <row r="409" spans="1:4" ht="16.5">
      <c r="A409" s="791"/>
      <c r="B409" t="s">
        <v>11829</v>
      </c>
      <c r="C409" s="663" t="s">
        <v>11841</v>
      </c>
      <c r="D409" s="905" t="s">
        <v>11848</v>
      </c>
    </row>
    <row r="410" spans="1:4" ht="16.5">
      <c r="A410" s="397">
        <v>2</v>
      </c>
      <c r="B410" t="s">
        <v>11829</v>
      </c>
      <c r="C410" s="663" t="s">
        <v>11841</v>
      </c>
      <c r="D410" s="905" t="s">
        <v>11848</v>
      </c>
    </row>
    <row r="411" spans="1:4" ht="16.5">
      <c r="A411" s="397">
        <v>3</v>
      </c>
      <c r="B411" t="s">
        <v>11829</v>
      </c>
      <c r="C411" s="663" t="s">
        <v>11841</v>
      </c>
      <c r="D411" s="905" t="s">
        <v>11848</v>
      </c>
    </row>
    <row r="412" spans="1:4" ht="16.5">
      <c r="A412" s="387"/>
      <c r="B412" t="s">
        <v>11829</v>
      </c>
      <c r="C412" s="663" t="s">
        <v>11841</v>
      </c>
      <c r="D412" s="905" t="s">
        <v>11848</v>
      </c>
    </row>
    <row r="413" spans="1:4" ht="16.5">
      <c r="A413" s="387"/>
      <c r="B413" t="s">
        <v>11829</v>
      </c>
      <c r="C413" s="663" t="s">
        <v>11841</v>
      </c>
      <c r="D413" s="905" t="s">
        <v>11848</v>
      </c>
    </row>
    <row r="414" spans="1:4" ht="16.5">
      <c r="A414"/>
      <c r="B414" t="s">
        <v>11829</v>
      </c>
      <c r="C414" s="663" t="s">
        <v>11841</v>
      </c>
      <c r="D414" s="905" t="s">
        <v>11848</v>
      </c>
    </row>
    <row r="415" spans="1:4" ht="16.5">
      <c r="A415" s="346" t="s">
        <v>426</v>
      </c>
      <c r="B415" t="s">
        <v>11829</v>
      </c>
      <c r="C415" s="663" t="s">
        <v>11841</v>
      </c>
      <c r="D415" s="905" t="s">
        <v>11848</v>
      </c>
    </row>
    <row r="416" spans="1:4" ht="16.5">
      <c r="A416" s="346"/>
      <c r="B416" t="s">
        <v>11829</v>
      </c>
      <c r="C416" s="663" t="s">
        <v>11841</v>
      </c>
      <c r="D416" s="905" t="s">
        <v>11848</v>
      </c>
    </row>
    <row r="417" spans="1:4" ht="16.5">
      <c r="A417"/>
      <c r="B417" t="s">
        <v>11829</v>
      </c>
      <c r="C417" s="663" t="s">
        <v>11841</v>
      </c>
      <c r="D417" s="905" t="s">
        <v>11848</v>
      </c>
    </row>
    <row r="418" spans="1:4" ht="16.5">
      <c r="A418"/>
      <c r="B418" t="s">
        <v>11829</v>
      </c>
      <c r="C418" s="663" t="s">
        <v>11841</v>
      </c>
      <c r="D418" s="905" t="s">
        <v>11848</v>
      </c>
    </row>
    <row r="419" spans="1:4" ht="16.5">
      <c r="A419" s="356" t="s">
        <v>342</v>
      </c>
      <c r="B419" t="s">
        <v>11829</v>
      </c>
      <c r="C419" s="663" t="s">
        <v>11841</v>
      </c>
      <c r="D419" s="905" t="s">
        <v>11848</v>
      </c>
    </row>
    <row r="420" spans="1:4" ht="16.5">
      <c r="A420" s="356" t="s">
        <v>344</v>
      </c>
      <c r="B420" t="s">
        <v>11829</v>
      </c>
      <c r="C420" s="663" t="s">
        <v>11841</v>
      </c>
      <c r="D420" s="905" t="s">
        <v>11848</v>
      </c>
    </row>
    <row r="421" spans="1:4" ht="16.5">
      <c r="A421" s="356" t="s">
        <v>348</v>
      </c>
      <c r="B421" t="s">
        <v>11829</v>
      </c>
      <c r="C421" s="663" t="s">
        <v>11841</v>
      </c>
      <c r="D421" s="905" t="s">
        <v>11848</v>
      </c>
    </row>
    <row r="422" spans="1:4" ht="16.5">
      <c r="A422" s="356" t="s">
        <v>350</v>
      </c>
      <c r="B422" t="s">
        <v>11829</v>
      </c>
      <c r="C422" s="663" t="s">
        <v>11841</v>
      </c>
      <c r="D422" s="905" t="s">
        <v>11848</v>
      </c>
    </row>
    <row r="423" spans="1:4" ht="16.5">
      <c r="A423" s="356" t="s">
        <v>352</v>
      </c>
      <c r="B423" t="s">
        <v>11829</v>
      </c>
      <c r="C423" s="663" t="s">
        <v>11841</v>
      </c>
      <c r="D423" s="905" t="s">
        <v>11848</v>
      </c>
    </row>
    <row r="424" spans="1:4" ht="16.5">
      <c r="A424" s="356" t="s">
        <v>353</v>
      </c>
      <c r="B424" t="s">
        <v>11829</v>
      </c>
      <c r="C424" s="663" t="s">
        <v>11841</v>
      </c>
      <c r="D424" s="905" t="s">
        <v>11848</v>
      </c>
    </row>
    <row r="425" spans="1:4" ht="16.5">
      <c r="A425" s="356" t="s">
        <v>356</v>
      </c>
      <c r="B425" t="s">
        <v>11829</v>
      </c>
      <c r="C425" s="663" t="s">
        <v>11841</v>
      </c>
      <c r="D425" s="905" t="s">
        <v>11848</v>
      </c>
    </row>
    <row r="426" spans="1:4" ht="16.5">
      <c r="A426" s="360" t="s">
        <v>358</v>
      </c>
      <c r="B426" t="s">
        <v>11829</v>
      </c>
      <c r="C426" s="663" t="s">
        <v>11841</v>
      </c>
      <c r="D426" s="905" t="s">
        <v>11848</v>
      </c>
    </row>
    <row r="427" spans="1:4" ht="16.5">
      <c r="A427" s="360" t="s">
        <v>363</v>
      </c>
      <c r="B427" t="s">
        <v>11829</v>
      </c>
      <c r="C427" s="663" t="s">
        <v>11841</v>
      </c>
      <c r="D427" s="905" t="s">
        <v>11848</v>
      </c>
    </row>
    <row r="428" spans="1:4" ht="16.5">
      <c r="A428" s="360" t="s">
        <v>367</v>
      </c>
      <c r="B428" t="s">
        <v>11829</v>
      </c>
      <c r="C428" s="663" t="s">
        <v>11841</v>
      </c>
      <c r="D428" s="905" t="s">
        <v>11848</v>
      </c>
    </row>
    <row r="429" spans="1:4" ht="16.5">
      <c r="A429"/>
      <c r="B429" t="s">
        <v>11829</v>
      </c>
      <c r="C429" s="663" t="s">
        <v>11841</v>
      </c>
      <c r="D429" s="905" t="s">
        <v>11848</v>
      </c>
    </row>
    <row r="430" spans="1:4" ht="16.5">
      <c r="A430" s="371" t="s">
        <v>410</v>
      </c>
      <c r="B430" t="s">
        <v>11829</v>
      </c>
      <c r="C430" s="663" t="s">
        <v>11841</v>
      </c>
      <c r="D430" s="905" t="s">
        <v>11848</v>
      </c>
    </row>
    <row r="431" spans="1:4" ht="16.5">
      <c r="A431" s="371" t="s">
        <v>373</v>
      </c>
      <c r="B431" t="s">
        <v>11829</v>
      </c>
      <c r="C431" s="663" t="s">
        <v>11841</v>
      </c>
      <c r="D431" s="905" t="s">
        <v>11848</v>
      </c>
    </row>
    <row r="432" spans="1:4" ht="16.5">
      <c r="A432" s="371" t="s">
        <v>375</v>
      </c>
      <c r="B432" t="s">
        <v>11829</v>
      </c>
      <c r="C432" s="663" t="s">
        <v>11841</v>
      </c>
      <c r="D432" s="905" t="s">
        <v>11848</v>
      </c>
    </row>
    <row r="433" spans="1:4" ht="16.5">
      <c r="A433" s="371" t="s">
        <v>414</v>
      </c>
      <c r="B433" t="s">
        <v>11829</v>
      </c>
      <c r="C433" s="663" t="s">
        <v>11841</v>
      </c>
      <c r="D433" s="905" t="s">
        <v>11848</v>
      </c>
    </row>
    <row r="434" spans="1:4" ht="16.5">
      <c r="A434" s="371" t="s">
        <v>415</v>
      </c>
      <c r="B434" t="s">
        <v>11829</v>
      </c>
      <c r="C434" s="663" t="s">
        <v>11841</v>
      </c>
      <c r="D434" s="905" t="s">
        <v>11848</v>
      </c>
    </row>
    <row r="435" spans="1:4" ht="16.5">
      <c r="A435" s="371" t="s">
        <v>370</v>
      </c>
      <c r="B435" t="s">
        <v>11829</v>
      </c>
      <c r="C435" s="663" t="s">
        <v>11841</v>
      </c>
      <c r="D435" s="905" t="s">
        <v>11848</v>
      </c>
    </row>
    <row r="436" spans="1:4" ht="16.5">
      <c r="A436" s="349"/>
      <c r="B436" t="s">
        <v>11829</v>
      </c>
      <c r="C436" s="663" t="s">
        <v>11841</v>
      </c>
      <c r="D436" s="905" t="s">
        <v>11848</v>
      </c>
    </row>
    <row r="437" spans="1:4" ht="16.5">
      <c r="A437"/>
      <c r="B437" t="s">
        <v>11829</v>
      </c>
      <c r="C437" s="663" t="s">
        <v>11841</v>
      </c>
      <c r="D437" s="905" t="s">
        <v>11848</v>
      </c>
    </row>
    <row r="438" spans="1:4" ht="16.5">
      <c r="A438" s="381" t="s">
        <v>385</v>
      </c>
      <c r="B438" t="s">
        <v>11829</v>
      </c>
      <c r="C438" s="663" t="s">
        <v>11841</v>
      </c>
      <c r="D438" s="905" t="s">
        <v>11848</v>
      </c>
    </row>
    <row r="439" spans="1:4" ht="16.5">
      <c r="A439" s="381" t="s">
        <v>388</v>
      </c>
      <c r="B439" t="s">
        <v>11829</v>
      </c>
      <c r="C439" s="663" t="s">
        <v>11841</v>
      </c>
      <c r="D439" s="905" t="s">
        <v>11848</v>
      </c>
    </row>
    <row r="440" spans="1:4" ht="16.5">
      <c r="A440" s="381" t="s">
        <v>418</v>
      </c>
      <c r="B440" t="s">
        <v>11829</v>
      </c>
      <c r="C440" s="663" t="s">
        <v>11841</v>
      </c>
      <c r="D440" s="905" t="s">
        <v>11848</v>
      </c>
    </row>
    <row r="441" spans="1:4" ht="16.5">
      <c r="A441" s="381" t="s">
        <v>393</v>
      </c>
      <c r="B441" t="s">
        <v>11829</v>
      </c>
      <c r="C441" s="663" t="s">
        <v>11841</v>
      </c>
      <c r="D441" s="905" t="s">
        <v>11848</v>
      </c>
    </row>
    <row r="442" spans="1:4" ht="16.5">
      <c r="A442"/>
      <c r="B442" t="s">
        <v>11829</v>
      </c>
      <c r="C442" s="663" t="s">
        <v>11841</v>
      </c>
      <c r="D442" s="905" t="s">
        <v>11848</v>
      </c>
    </row>
    <row r="443" spans="1:4" ht="16.5">
      <c r="A443" s="381" t="s">
        <v>433</v>
      </c>
      <c r="B443" t="s">
        <v>11829</v>
      </c>
      <c r="C443" s="663" t="s">
        <v>11841</v>
      </c>
      <c r="D443" s="905" t="s">
        <v>11848</v>
      </c>
    </row>
    <row r="444" spans="1:4" ht="16.5">
      <c r="A444" s="381" t="s">
        <v>395</v>
      </c>
      <c r="B444" t="s">
        <v>11829</v>
      </c>
      <c r="C444" s="663" t="s">
        <v>11841</v>
      </c>
      <c r="D444" s="905" t="s">
        <v>11848</v>
      </c>
    </row>
    <row r="445" spans="1:4" ht="16.5">
      <c r="A445" s="381" t="s">
        <v>434</v>
      </c>
      <c r="B445" t="s">
        <v>11829</v>
      </c>
      <c r="C445" s="663" t="s">
        <v>11841</v>
      </c>
      <c r="D445" s="905" t="s">
        <v>11848</v>
      </c>
    </row>
    <row r="446" spans="1:4" ht="16.5">
      <c r="A446" s="381" t="s">
        <v>378</v>
      </c>
      <c r="B446" t="s">
        <v>11829</v>
      </c>
      <c r="C446" s="663" t="s">
        <v>11841</v>
      </c>
      <c r="D446" s="905" t="s">
        <v>11848</v>
      </c>
    </row>
    <row r="447" spans="1:4" ht="16.5">
      <c r="A447" s="389" t="s">
        <v>420</v>
      </c>
      <c r="B447" t="s">
        <v>11829</v>
      </c>
      <c r="C447" s="663" t="s">
        <v>11841</v>
      </c>
      <c r="D447" s="905" t="s">
        <v>11848</v>
      </c>
    </row>
    <row r="448" spans="1:4" ht="16.5">
      <c r="A448" s="381" t="s">
        <v>397</v>
      </c>
      <c r="B448" t="s">
        <v>11829</v>
      </c>
      <c r="C448" s="663" t="s">
        <v>11841</v>
      </c>
      <c r="D448" s="905" t="s">
        <v>11848</v>
      </c>
    </row>
    <row r="449" spans="1:4" ht="16.5">
      <c r="A449" s="381" t="s">
        <v>435</v>
      </c>
      <c r="B449" t="s">
        <v>11829</v>
      </c>
      <c r="C449" s="663" t="s">
        <v>11841</v>
      </c>
      <c r="D449" s="905" t="s">
        <v>11848</v>
      </c>
    </row>
    <row r="450" spans="1:4" ht="16.5">
      <c r="A450" s="381" t="s">
        <v>421</v>
      </c>
      <c r="B450" t="s">
        <v>11829</v>
      </c>
      <c r="C450" s="663" t="s">
        <v>11841</v>
      </c>
      <c r="D450" s="905" t="s">
        <v>11848</v>
      </c>
    </row>
    <row r="451" spans="1:4" ht="16.5">
      <c r="A451" s="381" t="s">
        <v>446</v>
      </c>
      <c r="B451" t="s">
        <v>11829</v>
      </c>
      <c r="C451" s="663" t="s">
        <v>11841</v>
      </c>
      <c r="D451" s="905" t="s">
        <v>11848</v>
      </c>
    </row>
    <row r="452" spans="1:4" ht="16.5">
      <c r="A452" s="381" t="s">
        <v>424</v>
      </c>
      <c r="B452" t="s">
        <v>11829</v>
      </c>
      <c r="C452" s="663" t="s">
        <v>11841</v>
      </c>
      <c r="D452" s="905" t="s">
        <v>11848</v>
      </c>
    </row>
    <row r="453" spans="1:4" ht="16.5">
      <c r="A453" s="387"/>
      <c r="B453" t="s">
        <v>11829</v>
      </c>
      <c r="C453" s="663" t="s">
        <v>11841</v>
      </c>
      <c r="D453" s="905" t="s">
        <v>11848</v>
      </c>
    </row>
    <row r="454" spans="1:4" ht="16.5">
      <c r="A454"/>
      <c r="B454" t="s">
        <v>11829</v>
      </c>
      <c r="C454" s="663" t="s">
        <v>11841</v>
      </c>
      <c r="D454" s="905" t="s">
        <v>11848</v>
      </c>
    </row>
    <row r="455" spans="1:4" ht="16.5">
      <c r="A455" s="792">
        <v>1</v>
      </c>
      <c r="B455" t="s">
        <v>11829</v>
      </c>
      <c r="C455" s="663" t="s">
        <v>11841</v>
      </c>
      <c r="D455" s="905" t="s">
        <v>11848</v>
      </c>
    </row>
    <row r="456" spans="1:4" ht="16.5">
      <c r="A456" s="790"/>
      <c r="B456" t="s">
        <v>11829</v>
      </c>
      <c r="C456" s="663" t="s">
        <v>11841</v>
      </c>
      <c r="D456" s="905" t="s">
        <v>11848</v>
      </c>
    </row>
    <row r="457" spans="1:4" ht="16.5">
      <c r="A457" s="790"/>
      <c r="B457" t="s">
        <v>11829</v>
      </c>
      <c r="C457" s="663" t="s">
        <v>11841</v>
      </c>
      <c r="D457" s="905" t="s">
        <v>11848</v>
      </c>
    </row>
    <row r="458" spans="1:4" ht="16.5">
      <c r="A458" s="791"/>
      <c r="B458" t="s">
        <v>11829</v>
      </c>
      <c r="C458" s="663" t="s">
        <v>11841</v>
      </c>
      <c r="D458" s="905" t="s">
        <v>11848</v>
      </c>
    </row>
    <row r="459" spans="1:4" ht="16.5">
      <c r="A459" s="397">
        <v>2</v>
      </c>
      <c r="B459" t="s">
        <v>11829</v>
      </c>
      <c r="C459" s="663" t="s">
        <v>11841</v>
      </c>
      <c r="D459" s="905" t="s">
        <v>11848</v>
      </c>
    </row>
    <row r="460" spans="1:4" ht="16.5">
      <c r="A460" s="397">
        <v>3</v>
      </c>
      <c r="B460" t="s">
        <v>11829</v>
      </c>
      <c r="C460" s="663" t="s">
        <v>11841</v>
      </c>
      <c r="D460" s="905" t="s">
        <v>11848</v>
      </c>
    </row>
    <row r="461" spans="1:4" ht="16.5">
      <c r="A461" s="275"/>
      <c r="B461" t="s">
        <v>11829</v>
      </c>
      <c r="C461" s="663" t="s">
        <v>11841</v>
      </c>
      <c r="D461" s="905" t="s">
        <v>11848</v>
      </c>
    </row>
    <row r="462" spans="1:4" ht="16.5">
      <c r="A462" s="275"/>
      <c r="B462" t="s">
        <v>11829</v>
      </c>
      <c r="C462" s="663" t="s">
        <v>11841</v>
      </c>
      <c r="D462" s="905" t="s">
        <v>11848</v>
      </c>
    </row>
    <row r="463" spans="1:4" ht="16.5">
      <c r="A463" s="275"/>
      <c r="B463" t="s">
        <v>11829</v>
      </c>
      <c r="C463" s="663" t="s">
        <v>11841</v>
      </c>
      <c r="D463" s="905" t="s">
        <v>11848</v>
      </c>
    </row>
    <row r="464" spans="1:4" ht="16.5">
      <c r="A464" s="275"/>
      <c r="B464" t="s">
        <v>11829</v>
      </c>
      <c r="C464" s="663" t="s">
        <v>11841</v>
      </c>
      <c r="D464" s="905" t="s">
        <v>11848</v>
      </c>
    </row>
    <row r="465" spans="1:4" ht="16.5">
      <c r="A465" s="275"/>
      <c r="B465" t="s">
        <v>11829</v>
      </c>
      <c r="C465" s="663" t="s">
        <v>11841</v>
      </c>
      <c r="D465" s="905" t="s">
        <v>11848</v>
      </c>
    </row>
    <row r="466" spans="1:4" ht="16.5">
      <c r="A466"/>
      <c r="B466" t="s">
        <v>11829</v>
      </c>
      <c r="C466" s="663" t="s">
        <v>11841</v>
      </c>
      <c r="D466" s="905" t="s">
        <v>11848</v>
      </c>
    </row>
    <row r="467" spans="1:4" ht="16.5">
      <c r="A467" s="346" t="s">
        <v>426</v>
      </c>
      <c r="B467" t="s">
        <v>11829</v>
      </c>
      <c r="C467" s="663" t="s">
        <v>11841</v>
      </c>
      <c r="D467" s="905" t="s">
        <v>11848</v>
      </c>
    </row>
    <row r="468" spans="1:4" ht="16.5">
      <c r="A468" s="346"/>
      <c r="B468" t="s">
        <v>11829</v>
      </c>
      <c r="C468" s="663" t="s">
        <v>11841</v>
      </c>
      <c r="D468" s="905" t="s">
        <v>11848</v>
      </c>
    </row>
    <row r="469" spans="1:4" ht="16.5">
      <c r="A469"/>
      <c r="B469" t="s">
        <v>11829</v>
      </c>
      <c r="C469" s="663" t="s">
        <v>11841</v>
      </c>
      <c r="D469" s="905" t="s">
        <v>11848</v>
      </c>
    </row>
    <row r="470" spans="1:4" ht="16.5">
      <c r="A470"/>
      <c r="B470" t="s">
        <v>11829</v>
      </c>
      <c r="C470" s="663" t="s">
        <v>11841</v>
      </c>
      <c r="D470" s="905" t="s">
        <v>11848</v>
      </c>
    </row>
    <row r="471" spans="1:4" ht="16.5">
      <c r="A471" s="356" t="s">
        <v>342</v>
      </c>
      <c r="B471" t="s">
        <v>11829</v>
      </c>
      <c r="C471" s="663" t="s">
        <v>11841</v>
      </c>
      <c r="D471" s="905" t="s">
        <v>11848</v>
      </c>
    </row>
    <row r="472" spans="1:4" ht="16.5">
      <c r="A472" s="356" t="s">
        <v>344</v>
      </c>
      <c r="B472" t="s">
        <v>11829</v>
      </c>
      <c r="C472" s="663" t="s">
        <v>11841</v>
      </c>
      <c r="D472" s="905" t="s">
        <v>11848</v>
      </c>
    </row>
    <row r="473" spans="1:4" ht="16.5">
      <c r="A473" s="356" t="s">
        <v>348</v>
      </c>
      <c r="B473" t="s">
        <v>11829</v>
      </c>
      <c r="C473" s="663" t="s">
        <v>11841</v>
      </c>
      <c r="D473" s="905" t="s">
        <v>11848</v>
      </c>
    </row>
    <row r="474" spans="1:4" ht="16.5">
      <c r="A474" s="356" t="s">
        <v>350</v>
      </c>
      <c r="B474" t="s">
        <v>11829</v>
      </c>
      <c r="C474" s="663" t="s">
        <v>11841</v>
      </c>
      <c r="D474" s="905" t="s">
        <v>11848</v>
      </c>
    </row>
    <row r="475" spans="1:4" ht="16.5">
      <c r="A475" s="356" t="s">
        <v>352</v>
      </c>
      <c r="B475" t="s">
        <v>11829</v>
      </c>
      <c r="C475" s="663" t="s">
        <v>11841</v>
      </c>
      <c r="D475" s="905" t="s">
        <v>11848</v>
      </c>
    </row>
    <row r="476" spans="1:4" ht="16.5">
      <c r="A476" s="356" t="s">
        <v>353</v>
      </c>
      <c r="B476" t="s">
        <v>11829</v>
      </c>
      <c r="C476" s="663" t="s">
        <v>11841</v>
      </c>
      <c r="D476" s="905" t="s">
        <v>11848</v>
      </c>
    </row>
    <row r="477" spans="1:4" ht="16.5">
      <c r="A477" s="356" t="s">
        <v>356</v>
      </c>
      <c r="B477" t="s">
        <v>11829</v>
      </c>
      <c r="C477" s="663" t="s">
        <v>11841</v>
      </c>
      <c r="D477" s="905" t="s">
        <v>11848</v>
      </c>
    </row>
    <row r="478" spans="1:4" ht="16.5">
      <c r="A478" s="360" t="s">
        <v>358</v>
      </c>
      <c r="B478" t="s">
        <v>11829</v>
      </c>
      <c r="C478" s="663" t="s">
        <v>11841</v>
      </c>
      <c r="D478" s="905" t="s">
        <v>11848</v>
      </c>
    </row>
    <row r="479" spans="1:4" ht="16.5">
      <c r="A479" s="360" t="s">
        <v>363</v>
      </c>
      <c r="B479" t="s">
        <v>11829</v>
      </c>
      <c r="C479" s="663" t="s">
        <v>11841</v>
      </c>
      <c r="D479" s="905" t="s">
        <v>11848</v>
      </c>
    </row>
    <row r="480" spans="1:4" ht="16.5">
      <c r="A480" s="360" t="s">
        <v>367</v>
      </c>
      <c r="B480" t="s">
        <v>11829</v>
      </c>
      <c r="C480" s="663" t="s">
        <v>11841</v>
      </c>
      <c r="D480" s="905" t="s">
        <v>11848</v>
      </c>
    </row>
    <row r="481" spans="1:4" ht="16.5">
      <c r="A481"/>
      <c r="B481" t="s">
        <v>11829</v>
      </c>
      <c r="C481" s="663" t="s">
        <v>11841</v>
      </c>
      <c r="D481" s="905" t="s">
        <v>11848</v>
      </c>
    </row>
    <row r="482" spans="1:4" ht="16.5">
      <c r="A482" s="371" t="s">
        <v>410</v>
      </c>
      <c r="B482" t="s">
        <v>11829</v>
      </c>
      <c r="C482" s="663" t="s">
        <v>11841</v>
      </c>
      <c r="D482" s="905" t="s">
        <v>11848</v>
      </c>
    </row>
    <row r="483" spans="1:4" ht="16.5">
      <c r="A483" s="371" t="s">
        <v>373</v>
      </c>
      <c r="B483" t="s">
        <v>11829</v>
      </c>
      <c r="C483" s="663" t="s">
        <v>11841</v>
      </c>
      <c r="D483" s="905" t="s">
        <v>11848</v>
      </c>
    </row>
    <row r="484" spans="1:4" ht="16.5">
      <c r="A484" s="371" t="s">
        <v>375</v>
      </c>
      <c r="B484" t="s">
        <v>11829</v>
      </c>
      <c r="C484" s="663" t="s">
        <v>11841</v>
      </c>
      <c r="D484" s="905" t="s">
        <v>11848</v>
      </c>
    </row>
    <row r="485" spans="1:4" ht="16.5">
      <c r="A485" s="371" t="s">
        <v>414</v>
      </c>
      <c r="B485" t="s">
        <v>11829</v>
      </c>
      <c r="C485" s="663" t="s">
        <v>11841</v>
      </c>
      <c r="D485" s="905" t="s">
        <v>11848</v>
      </c>
    </row>
    <row r="486" spans="1:4" ht="16.5">
      <c r="A486" s="371" t="s">
        <v>415</v>
      </c>
      <c r="B486" t="s">
        <v>11829</v>
      </c>
      <c r="C486" s="663" t="s">
        <v>11841</v>
      </c>
      <c r="D486" s="905" t="s">
        <v>11848</v>
      </c>
    </row>
    <row r="487" spans="1:4" ht="16.5">
      <c r="A487" s="371" t="s">
        <v>370</v>
      </c>
      <c r="B487" t="s">
        <v>11829</v>
      </c>
      <c r="C487" s="663" t="s">
        <v>11841</v>
      </c>
      <c r="D487" s="905" t="s">
        <v>11848</v>
      </c>
    </row>
    <row r="488" spans="1:4" ht="16.5">
      <c r="A488" s="349"/>
      <c r="B488" t="s">
        <v>11829</v>
      </c>
      <c r="C488" s="663" t="s">
        <v>11841</v>
      </c>
      <c r="D488" s="905" t="s">
        <v>11848</v>
      </c>
    </row>
    <row r="489" spans="1:4" ht="16.5">
      <c r="A489"/>
      <c r="B489" t="s">
        <v>11829</v>
      </c>
      <c r="C489" s="663" t="s">
        <v>11841</v>
      </c>
      <c r="D489" s="905" t="s">
        <v>11848</v>
      </c>
    </row>
    <row r="490" spans="1:4" ht="16.5">
      <c r="A490" s="381" t="s">
        <v>385</v>
      </c>
      <c r="B490" t="s">
        <v>11829</v>
      </c>
      <c r="C490" s="663" t="s">
        <v>11841</v>
      </c>
      <c r="D490" s="905" t="s">
        <v>11848</v>
      </c>
    </row>
    <row r="491" spans="1:4" ht="16.5">
      <c r="A491" s="381" t="s">
        <v>388</v>
      </c>
      <c r="B491" t="s">
        <v>11829</v>
      </c>
      <c r="C491" s="663" t="s">
        <v>11841</v>
      </c>
      <c r="D491" s="905" t="s">
        <v>11848</v>
      </c>
    </row>
    <row r="492" spans="1:4" ht="16.5">
      <c r="A492" s="381" t="s">
        <v>418</v>
      </c>
      <c r="B492" t="s">
        <v>11829</v>
      </c>
      <c r="C492" s="663" t="s">
        <v>11841</v>
      </c>
      <c r="D492" s="905" t="s">
        <v>11848</v>
      </c>
    </row>
    <row r="493" spans="1:4" ht="16.5">
      <c r="A493" s="381" t="s">
        <v>393</v>
      </c>
      <c r="B493" t="s">
        <v>11829</v>
      </c>
      <c r="C493" s="663" t="s">
        <v>11841</v>
      </c>
      <c r="D493" s="905" t="s">
        <v>11848</v>
      </c>
    </row>
    <row r="494" spans="1:4" ht="16.5">
      <c r="A494"/>
      <c r="B494" t="s">
        <v>11829</v>
      </c>
      <c r="C494" s="663" t="s">
        <v>11841</v>
      </c>
      <c r="D494" s="905" t="s">
        <v>11848</v>
      </c>
    </row>
    <row r="495" spans="1:4" ht="16.5">
      <c r="A495" s="381" t="s">
        <v>433</v>
      </c>
      <c r="B495" t="s">
        <v>11829</v>
      </c>
      <c r="C495" s="663" t="s">
        <v>11841</v>
      </c>
      <c r="D495" s="905" t="s">
        <v>11848</v>
      </c>
    </row>
    <row r="496" spans="1:4" ht="16.5">
      <c r="A496" s="381" t="s">
        <v>395</v>
      </c>
      <c r="B496" t="s">
        <v>11829</v>
      </c>
      <c r="C496" s="663" t="s">
        <v>11841</v>
      </c>
      <c r="D496" s="905" t="s">
        <v>11848</v>
      </c>
    </row>
    <row r="497" spans="1:4" ht="16.5">
      <c r="A497" s="381" t="s">
        <v>434</v>
      </c>
      <c r="B497" t="s">
        <v>11829</v>
      </c>
      <c r="C497" s="663" t="s">
        <v>11841</v>
      </c>
      <c r="D497" s="905" t="s">
        <v>11848</v>
      </c>
    </row>
    <row r="498" spans="1:4" ht="16.5">
      <c r="A498" s="381" t="s">
        <v>378</v>
      </c>
      <c r="B498" t="s">
        <v>11829</v>
      </c>
      <c r="C498" s="663" t="s">
        <v>11841</v>
      </c>
      <c r="D498" s="905" t="s">
        <v>11848</v>
      </c>
    </row>
    <row r="499" spans="1:4" ht="16.5">
      <c r="A499" s="389" t="s">
        <v>420</v>
      </c>
      <c r="B499" t="s">
        <v>11829</v>
      </c>
      <c r="C499" s="663" t="s">
        <v>11841</v>
      </c>
      <c r="D499" s="905" t="s">
        <v>11848</v>
      </c>
    </row>
    <row r="500" spans="1:4" ht="16.5">
      <c r="A500" s="381" t="s">
        <v>397</v>
      </c>
      <c r="B500" t="s">
        <v>11829</v>
      </c>
      <c r="C500" s="663" t="s">
        <v>11841</v>
      </c>
      <c r="D500" s="905" t="s">
        <v>11848</v>
      </c>
    </row>
    <row r="501" spans="1:4" ht="16.5">
      <c r="A501" s="381" t="s">
        <v>435</v>
      </c>
      <c r="B501" t="s">
        <v>11829</v>
      </c>
      <c r="C501" s="663" t="s">
        <v>11841</v>
      </c>
      <c r="D501" s="905" t="s">
        <v>11848</v>
      </c>
    </row>
    <row r="502" spans="1:4" ht="16.5">
      <c r="A502" s="381" t="s">
        <v>421</v>
      </c>
      <c r="B502" t="s">
        <v>11829</v>
      </c>
      <c r="C502" s="663" t="s">
        <v>11841</v>
      </c>
      <c r="D502" s="905" t="s">
        <v>11848</v>
      </c>
    </row>
    <row r="503" spans="1:4" ht="16.5">
      <c r="A503" s="381" t="s">
        <v>446</v>
      </c>
      <c r="B503" t="s">
        <v>11829</v>
      </c>
      <c r="C503" s="663" t="s">
        <v>11841</v>
      </c>
      <c r="D503" s="905" t="s">
        <v>11848</v>
      </c>
    </row>
    <row r="504" spans="1:4" ht="16.5">
      <c r="A504" s="381" t="s">
        <v>424</v>
      </c>
      <c r="B504" t="s">
        <v>11829</v>
      </c>
      <c r="C504" s="663" t="s">
        <v>11841</v>
      </c>
      <c r="D504" s="905" t="s">
        <v>11848</v>
      </c>
    </row>
    <row r="505" spans="1:4" ht="16.5">
      <c r="A505" s="381" t="s">
        <v>453</v>
      </c>
      <c r="B505" t="s">
        <v>11829</v>
      </c>
      <c r="C505" s="663" t="s">
        <v>11841</v>
      </c>
      <c r="D505" s="905" t="s">
        <v>11848</v>
      </c>
    </row>
    <row r="506" spans="1:4" ht="16.5">
      <c r="A506" s="387"/>
      <c r="C506" s="663"/>
    </row>
    <row r="507" spans="1:4" ht="16.5">
      <c r="A507" s="107" t="s">
        <v>626</v>
      </c>
      <c r="B507" t="s">
        <v>11830</v>
      </c>
      <c r="C507" s="663" t="s">
        <v>11841</v>
      </c>
      <c r="D507" s="905" t="s">
        <v>11847</v>
      </c>
    </row>
    <row r="508" spans="1:4" ht="12.75" customHeight="1">
      <c r="A508" s="107" t="s">
        <v>629</v>
      </c>
      <c r="B508" t="s">
        <v>11830</v>
      </c>
      <c r="C508" s="663" t="s">
        <v>11841</v>
      </c>
      <c r="D508" s="905" t="s">
        <v>11847</v>
      </c>
    </row>
    <row r="509" spans="1:4" ht="16.5">
      <c r="A509" s="107" t="s">
        <v>631</v>
      </c>
      <c r="B509" t="s">
        <v>11830</v>
      </c>
      <c r="C509" s="663" t="s">
        <v>11841</v>
      </c>
      <c r="D509" s="905" t="s">
        <v>11847</v>
      </c>
    </row>
    <row r="510" spans="1:4" ht="16.5">
      <c r="A510" s="107" t="s">
        <v>633</v>
      </c>
      <c r="B510" t="s">
        <v>11830</v>
      </c>
      <c r="C510" s="663" t="s">
        <v>11841</v>
      </c>
      <c r="D510" s="905" t="s">
        <v>11847</v>
      </c>
    </row>
    <row r="511" spans="1:4" ht="16.5">
      <c r="A511" s="107"/>
      <c r="B511" t="s">
        <v>11830</v>
      </c>
      <c r="C511" s="663" t="s">
        <v>11841</v>
      </c>
      <c r="D511" s="905" t="s">
        <v>11847</v>
      </c>
    </row>
    <row r="512" spans="1:4" ht="16.5">
      <c r="A512"/>
      <c r="B512" t="s">
        <v>11830</v>
      </c>
      <c r="C512" s="663" t="s">
        <v>11841</v>
      </c>
      <c r="D512" s="905" t="s">
        <v>11847</v>
      </c>
    </row>
    <row r="513" spans="1:4" ht="16.5">
      <c r="A513" s="107" t="s">
        <v>638</v>
      </c>
      <c r="B513" t="s">
        <v>11830</v>
      </c>
      <c r="C513" s="663" t="s">
        <v>11841</v>
      </c>
      <c r="D513" s="905" t="s">
        <v>11847</v>
      </c>
    </row>
    <row r="514" spans="1:4" ht="16.5">
      <c r="A514" s="107" t="s">
        <v>640</v>
      </c>
      <c r="B514" t="s">
        <v>11830</v>
      </c>
      <c r="C514" s="663" t="s">
        <v>11841</v>
      </c>
      <c r="D514" s="905" t="s">
        <v>11847</v>
      </c>
    </row>
    <row r="515" spans="1:4" ht="16.5">
      <c r="A515" s="107" t="s">
        <v>642</v>
      </c>
      <c r="B515" t="s">
        <v>11830</v>
      </c>
      <c r="C515" s="663" t="s">
        <v>11841</v>
      </c>
      <c r="D515" s="905" t="s">
        <v>11847</v>
      </c>
    </row>
    <row r="516" spans="1:4" ht="16.5">
      <c r="A516" s="107" t="s">
        <v>644</v>
      </c>
      <c r="B516" t="s">
        <v>11830</v>
      </c>
      <c r="C516" s="663" t="s">
        <v>11841</v>
      </c>
      <c r="D516" s="905" t="s">
        <v>11847</v>
      </c>
    </row>
    <row r="517" spans="1:4" ht="16.5">
      <c r="A517" s="107"/>
      <c r="B517" t="s">
        <v>11830</v>
      </c>
      <c r="C517" s="663" t="s">
        <v>11841</v>
      </c>
      <c r="D517" s="905" t="s">
        <v>11847</v>
      </c>
    </row>
    <row r="518" spans="1:4" ht="16.5">
      <c r="A518"/>
      <c r="B518" t="s">
        <v>11830</v>
      </c>
      <c r="C518" s="663" t="s">
        <v>11841</v>
      </c>
      <c r="D518" s="905" t="s">
        <v>11847</v>
      </c>
    </row>
    <row r="519" spans="1:4" ht="16.5">
      <c r="A519" s="107" t="s">
        <v>648</v>
      </c>
      <c r="B519" t="s">
        <v>11830</v>
      </c>
      <c r="C519" s="663" t="s">
        <v>11841</v>
      </c>
      <c r="D519" s="905" t="s">
        <v>11847</v>
      </c>
    </row>
    <row r="520" spans="1:4" ht="16.5">
      <c r="A520" s="107" t="s">
        <v>650</v>
      </c>
      <c r="B520" t="s">
        <v>11830</v>
      </c>
      <c r="C520" s="663" t="s">
        <v>11841</v>
      </c>
      <c r="D520" s="905" t="s">
        <v>11847</v>
      </c>
    </row>
    <row r="521" spans="1:4" ht="16.5">
      <c r="A521" s="107" t="s">
        <v>652</v>
      </c>
      <c r="B521" t="s">
        <v>11830</v>
      </c>
      <c r="C521" s="663" t="s">
        <v>11841</v>
      </c>
      <c r="D521" s="905" t="s">
        <v>11847</v>
      </c>
    </row>
    <row r="522" spans="1:4" ht="16.5">
      <c r="A522" s="107" t="s">
        <v>654</v>
      </c>
      <c r="B522" t="s">
        <v>11830</v>
      </c>
      <c r="C522" s="663" t="s">
        <v>11841</v>
      </c>
      <c r="D522" s="905" t="s">
        <v>11847</v>
      </c>
    </row>
    <row r="523" spans="1:4" ht="16.5">
      <c r="A523" s="107" t="s">
        <v>656</v>
      </c>
      <c r="B523" t="s">
        <v>11830</v>
      </c>
      <c r="C523" s="663" t="s">
        <v>11841</v>
      </c>
      <c r="D523" s="905" t="s">
        <v>11847</v>
      </c>
    </row>
    <row r="524" spans="1:4" ht="16.5">
      <c r="A524" s="107" t="s">
        <v>658</v>
      </c>
      <c r="B524" t="s">
        <v>11830</v>
      </c>
      <c r="C524" s="663" t="s">
        <v>11841</v>
      </c>
      <c r="D524" s="905" t="s">
        <v>11847</v>
      </c>
    </row>
    <row r="525" spans="1:4" ht="16.5">
      <c r="A525" s="107" t="s">
        <v>660</v>
      </c>
      <c r="B525" t="s">
        <v>11830</v>
      </c>
      <c r="C525" s="663" t="s">
        <v>11841</v>
      </c>
      <c r="D525" s="905" t="s">
        <v>11847</v>
      </c>
    </row>
    <row r="526" spans="1:4" ht="16.5">
      <c r="A526"/>
      <c r="B526" t="s">
        <v>11830</v>
      </c>
      <c r="C526" s="663" t="s">
        <v>11841</v>
      </c>
      <c r="D526" s="905" t="s">
        <v>11847</v>
      </c>
    </row>
    <row r="527" spans="1:4" ht="16.5">
      <c r="A527" s="107" t="s">
        <v>663</v>
      </c>
      <c r="B527" t="s">
        <v>11830</v>
      </c>
      <c r="C527" s="663" t="s">
        <v>11841</v>
      </c>
      <c r="D527" s="905" t="s">
        <v>11847</v>
      </c>
    </row>
    <row r="528" spans="1:4" ht="16.5">
      <c r="A528" s="107" t="s">
        <v>664</v>
      </c>
      <c r="B528" t="s">
        <v>11830</v>
      </c>
      <c r="C528" s="663" t="s">
        <v>11841</v>
      </c>
      <c r="D528" s="905" t="s">
        <v>11847</v>
      </c>
    </row>
    <row r="529" spans="1:4" ht="16.5">
      <c r="A529" s="107" t="s">
        <v>665</v>
      </c>
      <c r="B529" t="s">
        <v>11830</v>
      </c>
      <c r="C529" s="663" t="s">
        <v>11841</v>
      </c>
      <c r="D529" s="905" t="s">
        <v>11847</v>
      </c>
    </row>
    <row r="530" spans="1:4" ht="16.5">
      <c r="A530" s="107" t="s">
        <v>666</v>
      </c>
      <c r="B530" t="s">
        <v>11830</v>
      </c>
      <c r="C530" s="663" t="s">
        <v>11841</v>
      </c>
      <c r="D530" s="905" t="s">
        <v>11847</v>
      </c>
    </row>
    <row r="531" spans="1:4" ht="16.5">
      <c r="A531" s="107" t="s">
        <v>667</v>
      </c>
      <c r="B531" t="s">
        <v>11830</v>
      </c>
      <c r="C531" s="663" t="s">
        <v>11841</v>
      </c>
      <c r="D531" s="905" t="s">
        <v>11847</v>
      </c>
    </row>
    <row r="532" spans="1:4" ht="16.5">
      <c r="A532" s="107" t="s">
        <v>668</v>
      </c>
      <c r="B532" t="s">
        <v>11830</v>
      </c>
      <c r="C532" s="663" t="s">
        <v>11841</v>
      </c>
      <c r="D532" s="905" t="s">
        <v>11847</v>
      </c>
    </row>
    <row r="533" spans="1:4" ht="16.5">
      <c r="A533" s="107" t="s">
        <v>669</v>
      </c>
      <c r="B533" t="s">
        <v>11830</v>
      </c>
      <c r="C533" s="663" t="s">
        <v>11841</v>
      </c>
      <c r="D533" s="905" t="s">
        <v>11847</v>
      </c>
    </row>
    <row r="534" spans="1:4" ht="17.25" thickBot="1">
      <c r="A534" s="521"/>
      <c r="C534" s="663"/>
    </row>
    <row r="535" spans="1:4" ht="17.25" thickTop="1">
      <c r="A535" s="581" t="str">
        <f ca="1">IFERROR(__xludf.DUMMYFUNCTION("""COMPUTED_VALUE"""),"DOC0476050")</f>
        <v>DOC0476050</v>
      </c>
      <c r="B535" t="s">
        <v>11818</v>
      </c>
      <c r="C535" s="663" t="s">
        <v>11843</v>
      </c>
      <c r="D535" s="905" t="s">
        <v>11846</v>
      </c>
    </row>
    <row r="536" spans="1:4" ht="16.5">
      <c r="A536" s="587" t="str">
        <f ca="1">IFERROR(__xludf.DUMMYFUNCTION("""COMPUTED_VALUE"""),"DOC0476051")</f>
        <v>DOC0476051</v>
      </c>
      <c r="B536" t="s">
        <v>11818</v>
      </c>
      <c r="C536" s="663" t="s">
        <v>11843</v>
      </c>
      <c r="D536" s="905" t="s">
        <v>11846</v>
      </c>
    </row>
    <row r="537" spans="1:4" ht="16.5">
      <c r="A537" s="581" t="str">
        <f ca="1">IFERROR(__xludf.DUMMYFUNCTION("""COMPUTED_VALUE"""),"DOC0476065")</f>
        <v>DOC0476065</v>
      </c>
      <c r="B537" t="s">
        <v>11818</v>
      </c>
      <c r="C537" s="663" t="s">
        <v>11843</v>
      </c>
      <c r="D537" s="905" t="s">
        <v>11846</v>
      </c>
    </row>
    <row r="538" spans="1:4" ht="16.5">
      <c r="A538" s="587" t="str">
        <f ca="1">IFERROR(__xludf.DUMMYFUNCTION("""COMPUTED_VALUE"""),"DOC0476070")</f>
        <v>DOC0476070</v>
      </c>
      <c r="B538" t="s">
        <v>11818</v>
      </c>
      <c r="C538" s="663" t="s">
        <v>11843</v>
      </c>
      <c r="D538" s="905" t="s">
        <v>11846</v>
      </c>
    </row>
    <row r="539" spans="1:4" ht="16.5">
      <c r="A539" s="581" t="str">
        <f ca="1">IFERROR(__xludf.DUMMYFUNCTION("""COMPUTED_VALUE"""),"DOC0476071")</f>
        <v>DOC0476071</v>
      </c>
      <c r="B539" t="s">
        <v>11818</v>
      </c>
      <c r="C539" s="663" t="s">
        <v>11843</v>
      </c>
      <c r="D539" s="905" t="s">
        <v>11846</v>
      </c>
    </row>
    <row r="540" spans="1:4" ht="16.5">
      <c r="A540" s="587" t="str">
        <f ca="1">IFERROR(__xludf.DUMMYFUNCTION("""COMPUTED_VALUE"""),"DOC0476080")</f>
        <v>DOC0476080</v>
      </c>
      <c r="B540" t="s">
        <v>11818</v>
      </c>
      <c r="C540" s="663" t="s">
        <v>11843</v>
      </c>
      <c r="D540" s="905" t="s">
        <v>11846</v>
      </c>
    </row>
    <row r="541" spans="1:4" ht="16.5">
      <c r="A541" s="581" t="str">
        <f ca="1">IFERROR(__xludf.DUMMYFUNCTION("""COMPUTED_VALUE"""),"DOC0500100")</f>
        <v>DOC0500100</v>
      </c>
      <c r="B541" t="s">
        <v>11818</v>
      </c>
      <c r="C541" s="663" t="s">
        <v>11843</v>
      </c>
      <c r="D541" s="905" t="s">
        <v>11846</v>
      </c>
    </row>
    <row r="542" spans="1:4" ht="16.5">
      <c r="A542" s="587" t="str">
        <f ca="1">IFERROR(__xludf.DUMMYFUNCTION("""COMPUTED_VALUE"""),"DOC0550061")</f>
        <v>DOC0550061</v>
      </c>
      <c r="B542" t="s">
        <v>11818</v>
      </c>
      <c r="C542" s="663" t="s">
        <v>11843</v>
      </c>
      <c r="D542" s="905" t="s">
        <v>11846</v>
      </c>
    </row>
    <row r="543" spans="1:4" ht="16.5">
      <c r="A543" s="581" t="str">
        <f ca="1">IFERROR(__xludf.DUMMYFUNCTION("""COMPUTED_VALUE"""),"DOC055005")</f>
        <v>DOC055005</v>
      </c>
      <c r="B543" t="s">
        <v>11818</v>
      </c>
      <c r="C543" s="663" t="s">
        <v>11843</v>
      </c>
      <c r="D543" s="905" t="s">
        <v>11846</v>
      </c>
    </row>
    <row r="544" spans="1:4" ht="16.5">
      <c r="A544" s="587" t="str">
        <f ca="1">IFERROR(__xludf.DUMMYFUNCTION("""COMPUTED_VALUE"""),"DOC0600035")</f>
        <v>DOC0600035</v>
      </c>
      <c r="B544" t="s">
        <v>11818</v>
      </c>
      <c r="C544" s="663" t="s">
        <v>11843</v>
      </c>
      <c r="D544" s="905" t="s">
        <v>11846</v>
      </c>
    </row>
    <row r="545" spans="1:4" ht="16.5">
      <c r="A545" s="581" t="str">
        <f ca="1">IFERROR(__xludf.DUMMYFUNCTION("""COMPUTED_VALUE"""),"DOC0600051")</f>
        <v>DOC0600051</v>
      </c>
      <c r="B545" t="s">
        <v>11818</v>
      </c>
      <c r="C545" s="663" t="s">
        <v>11843</v>
      </c>
      <c r="D545" s="905" t="s">
        <v>11846</v>
      </c>
    </row>
    <row r="546" spans="1:4" ht="16.5">
      <c r="A546" s="587" t="str">
        <f ca="1">IFERROR(__xludf.DUMMYFUNCTION("""COMPUTED_VALUE"""),"DOC0600100")</f>
        <v>DOC0600100</v>
      </c>
      <c r="B546" t="s">
        <v>11818</v>
      </c>
      <c r="C546" s="663" t="s">
        <v>11843</v>
      </c>
      <c r="D546" s="905" t="s">
        <v>11846</v>
      </c>
    </row>
    <row r="547" spans="1:4" ht="16.5">
      <c r="A547" s="581" t="str">
        <f ca="1">IFERROR(__xludf.DUMMYFUNCTION("""COMPUTED_VALUE"""),"DOC0635063")</f>
        <v>DOC0635063</v>
      </c>
      <c r="B547" t="s">
        <v>11818</v>
      </c>
      <c r="C547" s="663" t="s">
        <v>11843</v>
      </c>
      <c r="D547" s="905" t="s">
        <v>11846</v>
      </c>
    </row>
    <row r="548" spans="1:4" ht="16.5">
      <c r="A548" s="587" t="str">
        <f ca="1">IFERROR(__xludf.DUMMYFUNCTION("""COMPUTED_VALUE"""),"DOC0635089")</f>
        <v>DOC0635089</v>
      </c>
      <c r="B548" t="s">
        <v>11818</v>
      </c>
      <c r="C548" s="663" t="s">
        <v>11843</v>
      </c>
      <c r="D548" s="905" t="s">
        <v>11846</v>
      </c>
    </row>
    <row r="549" spans="1:4" ht="16.5">
      <c r="A549" s="581" t="str">
        <f ca="1">IFERROR(__xludf.DUMMYFUNCTION("""COMPUTED_VALUE"""),"DOC0635091")</f>
        <v>DOC0635091</v>
      </c>
      <c r="B549" t="s">
        <v>11818</v>
      </c>
      <c r="C549" s="663" t="s">
        <v>11843</v>
      </c>
      <c r="D549" s="905" t="s">
        <v>11846</v>
      </c>
    </row>
    <row r="550" spans="1:4" ht="16.5">
      <c r="A550" s="587" t="str">
        <f ca="1">IFERROR(__xludf.DUMMYFUNCTION("""COMPUTED_VALUE"""),"DOC0635040")</f>
        <v>DOC0635040</v>
      </c>
      <c r="B550" t="s">
        <v>11818</v>
      </c>
      <c r="C550" s="663" t="s">
        <v>11843</v>
      </c>
      <c r="D550" s="905" t="s">
        <v>11846</v>
      </c>
    </row>
    <row r="551" spans="1:4" ht="16.5">
      <c r="A551" s="581" t="str">
        <f ca="1">IFERROR(__xludf.DUMMYFUNCTION("""COMPUTED_VALUE"""),"DOC0635048")</f>
        <v>DOC0635048</v>
      </c>
      <c r="B551" t="s">
        <v>11818</v>
      </c>
      <c r="C551" s="663" t="s">
        <v>11843</v>
      </c>
      <c r="D551" s="905" t="s">
        <v>11846</v>
      </c>
    </row>
    <row r="552" spans="1:4" ht="16.5">
      <c r="A552" s="587" t="str">
        <f ca="1">IFERROR(__xludf.DUMMYFUNCTION("""COMPUTED_VALUE"""),"DOC0635050")</f>
        <v>DOC0635050</v>
      </c>
      <c r="B552" t="s">
        <v>11818</v>
      </c>
      <c r="C552" s="663" t="s">
        <v>11843</v>
      </c>
      <c r="D552" s="905" t="s">
        <v>11846</v>
      </c>
    </row>
    <row r="553" spans="1:4" ht="16.5">
      <c r="A553" s="581" t="str">
        <f ca="1">IFERROR(__xludf.DUMMYFUNCTION("""COMPUTED_VALUE"""),"DOC0635051")</f>
        <v>DOC0635051</v>
      </c>
      <c r="B553" t="s">
        <v>11818</v>
      </c>
      <c r="C553" s="663" t="s">
        <v>11843</v>
      </c>
      <c r="D553" s="905" t="s">
        <v>11846</v>
      </c>
    </row>
    <row r="554" spans="1:4" ht="16.5">
      <c r="A554" s="587" t="str">
        <f ca="1">IFERROR(__xludf.DUMMYFUNCTION("""COMPUTED_VALUE"""),"DOC0635055")</f>
        <v>DOC0635055</v>
      </c>
      <c r="B554" t="s">
        <v>11818</v>
      </c>
      <c r="C554" s="663" t="s">
        <v>11843</v>
      </c>
      <c r="D554" s="905" t="s">
        <v>11846</v>
      </c>
    </row>
    <row r="555" spans="1:4" ht="16.5">
      <c r="A555" s="581" t="str">
        <f ca="1">IFERROR(__xludf.DUMMYFUNCTION("""COMPUTED_VALUE"""),"DOC0635056")</f>
        <v>DOC0635056</v>
      </c>
      <c r="B555" t="s">
        <v>11818</v>
      </c>
      <c r="C555" s="663" t="s">
        <v>11843</v>
      </c>
      <c r="D555" s="905" t="s">
        <v>11846</v>
      </c>
    </row>
    <row r="556" spans="1:4" ht="16.5">
      <c r="A556" s="587" t="str">
        <f ca="1">IFERROR(__xludf.DUMMYFUNCTION("""COMPUTED_VALUE"""),"DOC0635060")</f>
        <v>DOC0635060</v>
      </c>
      <c r="B556" t="s">
        <v>11818</v>
      </c>
      <c r="C556" s="663" t="s">
        <v>11843</v>
      </c>
      <c r="D556" s="905" t="s">
        <v>11846</v>
      </c>
    </row>
    <row r="557" spans="1:4" ht="16.5">
      <c r="A557" s="581" t="str">
        <f ca="1">IFERROR(__xludf.DUMMYFUNCTION("""COMPUTED_VALUE"""),"DOC0635061")</f>
        <v>DOC0635061</v>
      </c>
      <c r="B557" t="s">
        <v>11818</v>
      </c>
      <c r="C557" s="663" t="s">
        <v>11843</v>
      </c>
      <c r="D557" s="905" t="s">
        <v>11846</v>
      </c>
    </row>
    <row r="558" spans="1:4" ht="16.5">
      <c r="A558" s="587" t="str">
        <f ca="1">IFERROR(__xludf.DUMMYFUNCTION("""COMPUTED_VALUE"""),"DOC063506150")</f>
        <v>DOC063506150</v>
      </c>
      <c r="B558" t="s">
        <v>11818</v>
      </c>
      <c r="C558" s="663" t="s">
        <v>11843</v>
      </c>
      <c r="D558" s="905" t="s">
        <v>11846</v>
      </c>
    </row>
    <row r="559" spans="1:4" ht="16.5">
      <c r="A559" s="581" t="str">
        <f ca="1">IFERROR(__xludf.DUMMYFUNCTION("""COMPUTED_VALUE"""),"DOC0635065")</f>
        <v>DOC0635065</v>
      </c>
      <c r="B559" t="s">
        <v>11818</v>
      </c>
      <c r="C559" s="663" t="s">
        <v>11843</v>
      </c>
      <c r="D559" s="905" t="s">
        <v>11846</v>
      </c>
    </row>
    <row r="560" spans="1:4" ht="16.5">
      <c r="A560" s="587" t="str">
        <f ca="1">IFERROR(__xludf.DUMMYFUNCTION("""COMPUTED_VALUE"""),"DOC0635065(KI)")</f>
        <v>DOC0635065(KI)</v>
      </c>
      <c r="B560" t="s">
        <v>11818</v>
      </c>
      <c r="C560" s="663" t="s">
        <v>11843</v>
      </c>
      <c r="D560" s="905" t="s">
        <v>11846</v>
      </c>
    </row>
    <row r="561" spans="1:4" ht="16.5">
      <c r="A561" s="581" t="str">
        <f ca="1">IFERROR(__xludf.DUMMYFUNCTION("""COMPUTED_VALUE"""),"DOC0635066")</f>
        <v>DOC0635066</v>
      </c>
      <c r="B561" t="s">
        <v>11818</v>
      </c>
      <c r="C561" s="663" t="s">
        <v>11843</v>
      </c>
      <c r="D561" s="905" t="s">
        <v>11846</v>
      </c>
    </row>
    <row r="562" spans="1:4" ht="16.5">
      <c r="A562" s="587" t="str">
        <f ca="1">IFERROR(__xludf.DUMMYFUNCTION("""COMPUTED_VALUE"""),"DOC0635070")</f>
        <v>DOC0635070</v>
      </c>
      <c r="B562" t="s">
        <v>11818</v>
      </c>
      <c r="C562" s="663" t="s">
        <v>11843</v>
      </c>
      <c r="D562" s="905" t="s">
        <v>11846</v>
      </c>
    </row>
    <row r="563" spans="1:4" ht="16.5">
      <c r="A563" s="581" t="str">
        <f ca="1">IFERROR(__xludf.DUMMYFUNCTION("""COMPUTED_VALUE"""),"DOC063507030")</f>
        <v>DOC063507030</v>
      </c>
      <c r="B563" t="s">
        <v>11818</v>
      </c>
      <c r="C563" s="663" t="s">
        <v>11843</v>
      </c>
      <c r="D563" s="905" t="s">
        <v>11846</v>
      </c>
    </row>
    <row r="564" spans="1:4" ht="16.5">
      <c r="A564" s="587" t="str">
        <f ca="1">IFERROR(__xludf.DUMMYFUNCTION("""COMPUTED_VALUE"""),"DOC0635071")</f>
        <v>DOC0635071</v>
      </c>
      <c r="B564" t="s">
        <v>11818</v>
      </c>
      <c r="C564" s="663" t="s">
        <v>11843</v>
      </c>
      <c r="D564" s="905" t="s">
        <v>11846</v>
      </c>
    </row>
    <row r="565" spans="1:4" ht="16.5">
      <c r="A565" s="581" t="str">
        <f ca="1">IFERROR(__xludf.DUMMYFUNCTION("""COMPUTED_VALUE"""),"DOC063507150")</f>
        <v>DOC063507150</v>
      </c>
      <c r="B565" t="s">
        <v>11818</v>
      </c>
      <c r="C565" s="663" t="s">
        <v>11843</v>
      </c>
      <c r="D565" s="905" t="s">
        <v>11846</v>
      </c>
    </row>
    <row r="566" spans="1:4" ht="16.5">
      <c r="A566" s="587" t="str">
        <f ca="1">IFERROR(__xludf.DUMMYFUNCTION("""COMPUTED_VALUE"""),"DOC0635076")</f>
        <v>DOC0635076</v>
      </c>
      <c r="B566" t="s">
        <v>11818</v>
      </c>
      <c r="C566" s="663" t="s">
        <v>11843</v>
      </c>
      <c r="D566" s="905" t="s">
        <v>11846</v>
      </c>
    </row>
    <row r="567" spans="1:4" ht="16.5">
      <c r="A567" s="581" t="str">
        <f ca="1">IFERROR(__xludf.DUMMYFUNCTION("""COMPUTED_VALUE"""),"DOC0635080")</f>
        <v>DOC0635080</v>
      </c>
      <c r="B567" t="s">
        <v>11818</v>
      </c>
      <c r="C567" s="663" t="s">
        <v>11843</v>
      </c>
      <c r="D567" s="905" t="s">
        <v>11846</v>
      </c>
    </row>
    <row r="568" spans="1:4" ht="16.5">
      <c r="A568" s="587" t="str">
        <f ca="1">IFERROR(__xludf.DUMMYFUNCTION("""COMPUTED_VALUE"""),"DOC063508030")</f>
        <v>DOC063508030</v>
      </c>
      <c r="B568" t="s">
        <v>11818</v>
      </c>
      <c r="C568" s="663" t="s">
        <v>11843</v>
      </c>
      <c r="D568" s="905" t="s">
        <v>11846</v>
      </c>
    </row>
    <row r="569" spans="1:4" ht="16.5">
      <c r="A569" s="581" t="str">
        <f ca="1">IFERROR(__xludf.DUMMYFUNCTION("""COMPUTED_VALUE"""),"DOC0635081")</f>
        <v>DOC0635081</v>
      </c>
      <c r="B569" t="s">
        <v>11818</v>
      </c>
      <c r="C569" s="663" t="s">
        <v>11843</v>
      </c>
      <c r="D569" s="905" t="s">
        <v>11846</v>
      </c>
    </row>
    <row r="570" spans="1:4" ht="16.5">
      <c r="A570" s="587" t="str">
        <f ca="1">IFERROR(__xludf.DUMMYFUNCTION("""COMPUTED_VALUE"""),"DOC063508145")</f>
        <v>DOC063508145</v>
      </c>
      <c r="B570" t="s">
        <v>11818</v>
      </c>
      <c r="C570" s="663" t="s">
        <v>11843</v>
      </c>
      <c r="D570" s="905" t="s">
        <v>11846</v>
      </c>
    </row>
    <row r="571" spans="1:4" ht="16.5">
      <c r="A571" s="581" t="str">
        <f ca="1">IFERROR(__xludf.DUMMYFUNCTION("""COMPUTED_VALUE"""),"DOC063508150")</f>
        <v>DOC063508150</v>
      </c>
      <c r="B571" t="s">
        <v>11818</v>
      </c>
      <c r="C571" s="663" t="s">
        <v>11843</v>
      </c>
      <c r="D571" s="905" t="s">
        <v>11846</v>
      </c>
    </row>
    <row r="572" spans="1:4" ht="16.5">
      <c r="A572" s="587" t="str">
        <f ca="1">IFERROR(__xludf.DUMMYFUNCTION("""COMPUTED_VALUE"""),"DOC0635090")</f>
        <v>DOC0635090</v>
      </c>
      <c r="B572" t="s">
        <v>11818</v>
      </c>
      <c r="C572" s="663" t="s">
        <v>11843</v>
      </c>
      <c r="D572" s="905" t="s">
        <v>11846</v>
      </c>
    </row>
    <row r="573" spans="1:4" ht="16.5">
      <c r="A573" s="581" t="str">
        <f ca="1">IFERROR(__xludf.DUMMYFUNCTION("""COMPUTED_VALUE"""),"DOC0635095")</f>
        <v>DOC0635095</v>
      </c>
      <c r="B573" t="s">
        <v>11818</v>
      </c>
      <c r="C573" s="663" t="s">
        <v>11843</v>
      </c>
      <c r="D573" s="905" t="s">
        <v>11846</v>
      </c>
    </row>
    <row r="574" spans="1:4" ht="16.5">
      <c r="A574" s="587" t="str">
        <f ca="1">IFERROR(__xludf.DUMMYFUNCTION("""COMPUTED_VALUE"""),"DOC0635097")</f>
        <v>DOC0635097</v>
      </c>
      <c r="B574" t="s">
        <v>11818</v>
      </c>
      <c r="C574" s="663" t="s">
        <v>11843</v>
      </c>
      <c r="D574" s="905" t="s">
        <v>11846</v>
      </c>
    </row>
    <row r="575" spans="1:4" ht="16.5">
      <c r="A575" s="581" t="str">
        <f ca="1">IFERROR(__xludf.DUMMYFUNCTION("""COMPUTED_VALUE"""),"DOC0635100")</f>
        <v>DOC0635100</v>
      </c>
      <c r="B575" t="s">
        <v>11818</v>
      </c>
      <c r="C575" s="663" t="s">
        <v>11843</v>
      </c>
      <c r="D575" s="905" t="s">
        <v>11846</v>
      </c>
    </row>
    <row r="576" spans="1:4" ht="16.5">
      <c r="A576" s="587" t="str">
        <f ca="1">IFERROR(__xludf.DUMMYFUNCTION("""COMPUTED_VALUE"""),"DOC0794051")</f>
        <v>DOC0794051</v>
      </c>
      <c r="B576" t="s">
        <v>11818</v>
      </c>
      <c r="C576" s="663" t="s">
        <v>11843</v>
      </c>
      <c r="D576" s="905" t="s">
        <v>11846</v>
      </c>
    </row>
    <row r="577" spans="1:4" ht="16.5">
      <c r="A577" s="581" t="str">
        <f ca="1">IFERROR(__xludf.DUMMYFUNCTION("""COMPUTED_VALUE"""),"DOC0794055")</f>
        <v>DOC0794055</v>
      </c>
      <c r="B577" t="s">
        <v>11818</v>
      </c>
      <c r="C577" s="663" t="s">
        <v>11843</v>
      </c>
      <c r="D577" s="905" t="s">
        <v>11846</v>
      </c>
    </row>
    <row r="578" spans="1:4" ht="16.5">
      <c r="A578" s="587" t="str">
        <f ca="1">IFERROR(__xludf.DUMMYFUNCTION("""COMPUTED_VALUE"""),"DOC0794060")</f>
        <v>DOC0794060</v>
      </c>
      <c r="B578" t="s">
        <v>11818</v>
      </c>
      <c r="C578" s="663" t="s">
        <v>11843</v>
      </c>
      <c r="D578" s="905" t="s">
        <v>11846</v>
      </c>
    </row>
    <row r="579" spans="1:4" ht="16.5">
      <c r="A579" s="581" t="str">
        <f ca="1">IFERROR(__xludf.DUMMYFUNCTION("""COMPUTED_VALUE"""),"DOC0794061")</f>
        <v>DOC0794061</v>
      </c>
      <c r="B579" t="s">
        <v>11818</v>
      </c>
      <c r="C579" s="663" t="s">
        <v>11843</v>
      </c>
      <c r="D579" s="905" t="s">
        <v>11846</v>
      </c>
    </row>
    <row r="580" spans="1:4" ht="16.5">
      <c r="A580" s="587" t="str">
        <f ca="1">IFERROR(__xludf.DUMMYFUNCTION("""COMPUTED_VALUE"""),"DOC0794065")</f>
        <v>DOC0794065</v>
      </c>
      <c r="B580" t="s">
        <v>11818</v>
      </c>
      <c r="C580" s="663" t="s">
        <v>11843</v>
      </c>
      <c r="D580" s="905" t="s">
        <v>11846</v>
      </c>
    </row>
    <row r="581" spans="1:4" ht="16.5">
      <c r="A581" s="581" t="str">
        <f ca="1">IFERROR(__xludf.DUMMYFUNCTION("""COMPUTED_VALUE"""),"DOC0794070")</f>
        <v>DOC0794070</v>
      </c>
      <c r="B581" t="s">
        <v>11818</v>
      </c>
      <c r="C581" s="663" t="s">
        <v>11843</v>
      </c>
      <c r="D581" s="905" t="s">
        <v>11846</v>
      </c>
    </row>
    <row r="582" spans="1:4" ht="16.5">
      <c r="A582" s="587" t="str">
        <f ca="1">IFERROR(__xludf.DUMMYFUNCTION("""COMPUTED_VALUE"""),"DOC0794071")</f>
        <v>DOC0794071</v>
      </c>
      <c r="B582" t="s">
        <v>11818</v>
      </c>
      <c r="C582" s="663" t="s">
        <v>11843</v>
      </c>
      <c r="D582" s="905" t="s">
        <v>11846</v>
      </c>
    </row>
    <row r="583" spans="1:4" ht="16.5">
      <c r="A583" s="581" t="str">
        <f ca="1">IFERROR(__xludf.DUMMYFUNCTION("""COMPUTED_VALUE"""),"DOC0794080")</f>
        <v>DOC0794080</v>
      </c>
      <c r="B583" t="s">
        <v>11818</v>
      </c>
      <c r="C583" s="663" t="s">
        <v>11843</v>
      </c>
      <c r="D583" s="905" t="s">
        <v>11846</v>
      </c>
    </row>
    <row r="584" spans="1:4" ht="16.5">
      <c r="A584" s="587" t="str">
        <f ca="1">IFERROR(__xludf.DUMMYFUNCTION("""COMPUTED_VALUE"""),"DOC0794095")</f>
        <v>DOC0794095</v>
      </c>
      <c r="B584" t="s">
        <v>11818</v>
      </c>
      <c r="C584" s="663" t="s">
        <v>11843</v>
      </c>
      <c r="D584" s="905" t="s">
        <v>11846</v>
      </c>
    </row>
    <row r="585" spans="1:4" ht="16.5">
      <c r="A585" s="581" t="str">
        <f ca="1">IFERROR(__xludf.DUMMYFUNCTION("""COMPUTED_VALUE"""),"DOC0794100")</f>
        <v>DOC0794100</v>
      </c>
      <c r="B585" t="s">
        <v>11818</v>
      </c>
      <c r="C585" s="663" t="s">
        <v>11843</v>
      </c>
      <c r="D585" s="905" t="s">
        <v>11846</v>
      </c>
    </row>
    <row r="586" spans="1:4" ht="16.5">
      <c r="A586" s="587" t="str">
        <f ca="1">IFERROR(__xludf.DUMMYFUNCTION("""COMPUTED_VALUE"""),"DOC07940120")</f>
        <v>DOC07940120</v>
      </c>
      <c r="B586" t="s">
        <v>11818</v>
      </c>
      <c r="C586" s="663" t="s">
        <v>11843</v>
      </c>
      <c r="D586" s="905" t="s">
        <v>11846</v>
      </c>
    </row>
    <row r="587" spans="1:4" ht="16.5">
      <c r="A587" s="581" t="str">
        <f ca="1">IFERROR(__xludf.DUMMYFUNCTION("""COMPUTED_VALUE"""),"DOC0794120")</f>
        <v>DOC0794120</v>
      </c>
      <c r="B587" t="s">
        <v>11818</v>
      </c>
      <c r="C587" s="663" t="s">
        <v>11843</v>
      </c>
      <c r="D587" s="905" t="s">
        <v>11846</v>
      </c>
    </row>
    <row r="588" spans="1:4" ht="16.5">
      <c r="A588" s="587" t="str">
        <f ca="1">IFERROR(__xludf.DUMMYFUNCTION("""COMPUTED_VALUE"""),"DOC0800081")</f>
        <v>DOC0800081</v>
      </c>
      <c r="B588" t="s">
        <v>11818</v>
      </c>
      <c r="C588" s="663" t="s">
        <v>11843</v>
      </c>
      <c r="D588" s="905" t="s">
        <v>11846</v>
      </c>
    </row>
    <row r="589" spans="1:4" ht="16.5">
      <c r="A589" s="581" t="str">
        <f ca="1">IFERROR(__xludf.DUMMYFUNCTION("""COMPUTED_VALUE"""),"DOC0800100")</f>
        <v>DOC0800100</v>
      </c>
      <c r="B589" t="s">
        <v>11818</v>
      </c>
      <c r="C589" s="663" t="s">
        <v>11843</v>
      </c>
      <c r="D589" s="905" t="s">
        <v>11846</v>
      </c>
    </row>
    <row r="590" spans="1:4" ht="16.5">
      <c r="A590" s="587" t="str">
        <f ca="1">IFERROR(__xludf.DUMMYFUNCTION("""COMPUTED_VALUE"""),"DOC0900090")</f>
        <v>DOC0900090</v>
      </c>
      <c r="B590" t="s">
        <v>11818</v>
      </c>
      <c r="C590" s="663" t="s">
        <v>11843</v>
      </c>
      <c r="D590" s="905" t="s">
        <v>11846</v>
      </c>
    </row>
    <row r="591" spans="1:4" ht="16.5">
      <c r="A591" s="581" t="str">
        <f ca="1">IFERROR(__xludf.DUMMYFUNCTION("""COMPUTED_VALUE"""),"DOC0952089")</f>
        <v>DOC0952089</v>
      </c>
      <c r="B591" t="s">
        <v>11818</v>
      </c>
      <c r="C591" s="663" t="s">
        <v>11843</v>
      </c>
      <c r="D591" s="905" t="s">
        <v>11846</v>
      </c>
    </row>
    <row r="592" spans="1:4" ht="16.5">
      <c r="A592" s="587" t="str">
        <f ca="1">IFERROR(__xludf.DUMMYFUNCTION("""COMPUTED_VALUE"""),"DOC0952050")</f>
        <v>DOC0952050</v>
      </c>
      <c r="B592" t="s">
        <v>11818</v>
      </c>
      <c r="C592" s="663" t="s">
        <v>11843</v>
      </c>
      <c r="D592" s="905" t="s">
        <v>11846</v>
      </c>
    </row>
    <row r="593" spans="1:4" ht="16.5">
      <c r="A593" s="581" t="str">
        <f ca="1">IFERROR(__xludf.DUMMYFUNCTION("""COMPUTED_VALUE"""),"DOC0952051")</f>
        <v>DOC0952051</v>
      </c>
      <c r="B593" t="s">
        <v>11818</v>
      </c>
      <c r="C593" s="663" t="s">
        <v>11843</v>
      </c>
      <c r="D593" s="905" t="s">
        <v>11846</v>
      </c>
    </row>
    <row r="594" spans="1:4" ht="16.5">
      <c r="A594" s="587" t="str">
        <f ca="1">IFERROR(__xludf.DUMMYFUNCTION("""COMPUTED_VALUE"""),"DOC0952055")</f>
        <v>DOC0952055</v>
      </c>
      <c r="B594" t="s">
        <v>11818</v>
      </c>
      <c r="C594" s="663" t="s">
        <v>11843</v>
      </c>
      <c r="D594" s="905" t="s">
        <v>11846</v>
      </c>
    </row>
    <row r="595" spans="1:4" ht="16.5">
      <c r="A595" s="581" t="str">
        <f ca="1">IFERROR(__xludf.DUMMYFUNCTION("""COMPUTED_VALUE"""),"DOC0952058")</f>
        <v>DOC0952058</v>
      </c>
      <c r="B595" t="s">
        <v>11818</v>
      </c>
      <c r="C595" s="663" t="s">
        <v>11843</v>
      </c>
      <c r="D595" s="905" t="s">
        <v>11846</v>
      </c>
    </row>
    <row r="596" spans="1:4" ht="16.5">
      <c r="A596" s="587" t="str">
        <f ca="1">IFERROR(__xludf.DUMMYFUNCTION("""COMPUTED_VALUE"""),"DOC0952060")</f>
        <v>DOC0952060</v>
      </c>
      <c r="B596" t="s">
        <v>11818</v>
      </c>
      <c r="C596" s="663" t="s">
        <v>11843</v>
      </c>
      <c r="D596" s="905" t="s">
        <v>11846</v>
      </c>
    </row>
    <row r="597" spans="1:4" ht="16.5">
      <c r="A597" s="581" t="str">
        <f ca="1">IFERROR(__xludf.DUMMYFUNCTION("""COMPUTED_VALUE"""),"DOC0952061")</f>
        <v>DOC0952061</v>
      </c>
      <c r="B597" t="s">
        <v>11818</v>
      </c>
      <c r="C597" s="663" t="s">
        <v>11843</v>
      </c>
      <c r="D597" s="905" t="s">
        <v>11846</v>
      </c>
    </row>
    <row r="598" spans="1:4" ht="16.5">
      <c r="A598" s="587" t="str">
        <f ca="1">IFERROR(__xludf.DUMMYFUNCTION("""COMPUTED_VALUE"""),"DOC0952061(KI)")</f>
        <v>DOC0952061(KI)</v>
      </c>
      <c r="B598" t="s">
        <v>11818</v>
      </c>
      <c r="C598" s="663" t="s">
        <v>11843</v>
      </c>
      <c r="D598" s="905" t="s">
        <v>11846</v>
      </c>
    </row>
    <row r="599" spans="1:4" ht="16.5">
      <c r="A599" s="581" t="str">
        <f ca="1">IFERROR(__xludf.DUMMYFUNCTION("""COMPUTED_VALUE"""),"DOC095206150")</f>
        <v>DOC095206150</v>
      </c>
      <c r="B599" t="s">
        <v>11818</v>
      </c>
      <c r="C599" s="663" t="s">
        <v>11843</v>
      </c>
      <c r="D599" s="905" t="s">
        <v>11846</v>
      </c>
    </row>
    <row r="600" spans="1:4" ht="16.5">
      <c r="A600" s="587" t="str">
        <f ca="1">IFERROR(__xludf.DUMMYFUNCTION("""COMPUTED_VALUE"""),"DOC0952065")</f>
        <v>DOC0952065</v>
      </c>
      <c r="B600" t="s">
        <v>11818</v>
      </c>
      <c r="C600" s="663" t="s">
        <v>11843</v>
      </c>
      <c r="D600" s="905" t="s">
        <v>11846</v>
      </c>
    </row>
    <row r="601" spans="1:4" ht="16.5">
      <c r="A601" s="581" t="str">
        <f ca="1">IFERROR(__xludf.DUMMYFUNCTION("""COMPUTED_VALUE"""),"DOC0952065(KI)")</f>
        <v>DOC0952065(KI)</v>
      </c>
      <c r="B601" t="s">
        <v>11818</v>
      </c>
      <c r="C601" s="663" t="s">
        <v>11843</v>
      </c>
      <c r="D601" s="905" t="s">
        <v>11846</v>
      </c>
    </row>
    <row r="602" spans="1:4" ht="16.5">
      <c r="A602" s="587" t="str">
        <f ca="1">IFERROR(__xludf.DUMMYFUNCTION("""COMPUTED_VALUE"""),"DOC0952066")</f>
        <v>DOC0952066</v>
      </c>
      <c r="B602" t="s">
        <v>11818</v>
      </c>
      <c r="C602" s="663" t="s">
        <v>11843</v>
      </c>
      <c r="D602" s="905" t="s">
        <v>11846</v>
      </c>
    </row>
    <row r="603" spans="1:4" ht="16.5">
      <c r="A603" s="581" t="str">
        <f ca="1">IFERROR(__xludf.DUMMYFUNCTION("""COMPUTED_VALUE"""),"DOC0952070")</f>
        <v>DOC0952070</v>
      </c>
      <c r="B603" t="s">
        <v>11818</v>
      </c>
      <c r="C603" s="663" t="s">
        <v>11843</v>
      </c>
      <c r="D603" s="905" t="s">
        <v>11846</v>
      </c>
    </row>
    <row r="604" spans="1:4" ht="16.5">
      <c r="A604" s="587" t="str">
        <f ca="1">IFERROR(__xludf.DUMMYFUNCTION("""COMPUTED_VALUE"""),"DOC0952071")</f>
        <v>DOC0952071</v>
      </c>
      <c r="B604" t="s">
        <v>11818</v>
      </c>
      <c r="C604" s="663" t="s">
        <v>11843</v>
      </c>
      <c r="D604" s="905" t="s">
        <v>11846</v>
      </c>
    </row>
    <row r="605" spans="1:4" ht="16.5">
      <c r="A605" s="581" t="str">
        <f ca="1">IFERROR(__xludf.DUMMYFUNCTION("""COMPUTED_VALUE"""),"DOC0952071(KI)")</f>
        <v>DOC0952071(KI)</v>
      </c>
      <c r="B605" t="s">
        <v>11818</v>
      </c>
      <c r="C605" s="663" t="s">
        <v>11843</v>
      </c>
      <c r="D605" s="905" t="s">
        <v>11846</v>
      </c>
    </row>
    <row r="606" spans="1:4" ht="16.5">
      <c r="A606" s="587" t="str">
        <f ca="1">IFERROR(__xludf.DUMMYFUNCTION("""COMPUTED_VALUE"""),"DOC095207150")</f>
        <v>DOC095207150</v>
      </c>
      <c r="B606" t="s">
        <v>11818</v>
      </c>
      <c r="C606" s="663" t="s">
        <v>11843</v>
      </c>
      <c r="D606" s="905" t="s">
        <v>11846</v>
      </c>
    </row>
    <row r="607" spans="1:4" ht="16.5">
      <c r="A607" s="581" t="str">
        <f ca="1">IFERROR(__xludf.DUMMYFUNCTION("""COMPUTED_VALUE"""),"DOC0952075")</f>
        <v>DOC0952075</v>
      </c>
      <c r="B607" t="s">
        <v>11818</v>
      </c>
      <c r="C607" s="663" t="s">
        <v>11843</v>
      </c>
      <c r="D607" s="905" t="s">
        <v>11846</v>
      </c>
    </row>
    <row r="608" spans="1:4" ht="16.5">
      <c r="A608" s="587" t="str">
        <f ca="1">IFERROR(__xludf.DUMMYFUNCTION("""COMPUTED_VALUE"""),"DOC0952080")</f>
        <v>DOC0952080</v>
      </c>
      <c r="B608" t="s">
        <v>11818</v>
      </c>
      <c r="C608" s="663" t="s">
        <v>11843</v>
      </c>
      <c r="D608" s="905" t="s">
        <v>11846</v>
      </c>
    </row>
    <row r="609" spans="1:4" ht="16.5">
      <c r="A609" s="581" t="str">
        <f ca="1">IFERROR(__xludf.DUMMYFUNCTION("""COMPUTED_VALUE"""),"DOC095208030")</f>
        <v>DOC095208030</v>
      </c>
      <c r="B609" t="s">
        <v>11818</v>
      </c>
      <c r="C609" s="663" t="s">
        <v>11843</v>
      </c>
      <c r="D609" s="905" t="s">
        <v>11846</v>
      </c>
    </row>
    <row r="610" spans="1:4" ht="16.5">
      <c r="A610" s="587" t="str">
        <f ca="1">IFERROR(__xludf.DUMMYFUNCTION("""COMPUTED_VALUE"""),"DOC0952081")</f>
        <v>DOC0952081</v>
      </c>
      <c r="B610" t="s">
        <v>11818</v>
      </c>
      <c r="C610" s="663" t="s">
        <v>11843</v>
      </c>
      <c r="D610" s="905" t="s">
        <v>11846</v>
      </c>
    </row>
    <row r="611" spans="1:4" ht="16.5">
      <c r="A611" s="581" t="str">
        <f ca="1">IFERROR(__xludf.DUMMYFUNCTION("""COMPUTED_VALUE"""),"DOC095208145")</f>
        <v>DOC095208145</v>
      </c>
      <c r="B611" t="s">
        <v>11818</v>
      </c>
      <c r="C611" s="663" t="s">
        <v>11843</v>
      </c>
      <c r="D611" s="905" t="s">
        <v>11846</v>
      </c>
    </row>
    <row r="612" spans="1:4" ht="16.5">
      <c r="A612" s="587" t="str">
        <f ca="1">IFERROR(__xludf.DUMMYFUNCTION("""COMPUTED_VALUE"""),"DOC095208150")</f>
        <v>DOC095208150</v>
      </c>
      <c r="B612" t="s">
        <v>11818</v>
      </c>
      <c r="C612" s="663" t="s">
        <v>11843</v>
      </c>
      <c r="D612" s="905" t="s">
        <v>11846</v>
      </c>
    </row>
    <row r="613" spans="1:4" ht="16.5">
      <c r="A613" s="581" t="str">
        <f ca="1">IFERROR(__xludf.DUMMYFUNCTION("""COMPUTED_VALUE"""),"DOC0952090")</f>
        <v>DOC0952090</v>
      </c>
      <c r="B613" t="s">
        <v>11818</v>
      </c>
      <c r="C613" s="663" t="s">
        <v>11843</v>
      </c>
      <c r="D613" s="905" t="s">
        <v>11846</v>
      </c>
    </row>
    <row r="614" spans="1:4" ht="16.5">
      <c r="A614" s="587" t="str">
        <f ca="1">IFERROR(__xludf.DUMMYFUNCTION("""COMPUTED_VALUE"""),"DOC0952095")</f>
        <v>DOC0952095</v>
      </c>
      <c r="B614" t="s">
        <v>11818</v>
      </c>
      <c r="C614" s="663" t="s">
        <v>11843</v>
      </c>
      <c r="D614" s="905" t="s">
        <v>11846</v>
      </c>
    </row>
    <row r="615" spans="1:4" ht="16.5">
      <c r="A615" s="581" t="str">
        <f ca="1">IFERROR(__xludf.DUMMYFUNCTION("""COMPUTED_VALUE"""),"DOC0952100")</f>
        <v>DOC0952100</v>
      </c>
      <c r="B615" t="s">
        <v>11818</v>
      </c>
      <c r="C615" s="663" t="s">
        <v>11843</v>
      </c>
      <c r="D615" s="905" t="s">
        <v>11846</v>
      </c>
    </row>
    <row r="616" spans="1:4" ht="16.5">
      <c r="A616" s="587" t="str">
        <f ca="1">IFERROR(__xludf.DUMMYFUNCTION("""COMPUTED_VALUE"""),"DOC0952150")</f>
        <v>DOC0952150</v>
      </c>
      <c r="B616" t="s">
        <v>11818</v>
      </c>
      <c r="C616" s="663" t="s">
        <v>11843</v>
      </c>
      <c r="D616" s="905" t="s">
        <v>11846</v>
      </c>
    </row>
    <row r="617" spans="1:4" ht="16.5">
      <c r="A617" s="581" t="str">
        <f ca="1">IFERROR(__xludf.DUMMYFUNCTION("""COMPUTED_VALUE"""),"DOC1000100")</f>
        <v>DOC1000100</v>
      </c>
      <c r="B617" t="s">
        <v>11818</v>
      </c>
      <c r="C617" s="663" t="s">
        <v>11843</v>
      </c>
      <c r="D617" s="905" t="s">
        <v>11846</v>
      </c>
    </row>
    <row r="618" spans="1:4" ht="16.5">
      <c r="A618" s="587" t="str">
        <f ca="1">IFERROR(__xludf.DUMMYFUNCTION("""COMPUTED_VALUE"""),"DOC1000150")</f>
        <v>DOC1000150</v>
      </c>
      <c r="B618" t="s">
        <v>11818</v>
      </c>
      <c r="C618" s="663" t="s">
        <v>11843</v>
      </c>
      <c r="D618" s="905" t="s">
        <v>11846</v>
      </c>
    </row>
    <row r="619" spans="1:4" ht="16.5">
      <c r="A619" s="581" t="str">
        <f ca="1">IFERROR(__xludf.DUMMYFUNCTION("""COMPUTED_VALUE"""),"DOC1200060")</f>
        <v>DOC1200060</v>
      </c>
      <c r="B619" t="s">
        <v>11818</v>
      </c>
      <c r="C619" s="663" t="s">
        <v>11843</v>
      </c>
      <c r="D619" s="905" t="s">
        <v>11846</v>
      </c>
    </row>
    <row r="620" spans="1:4" ht="16.5">
      <c r="A620" s="587" t="str">
        <f ca="1">IFERROR(__xludf.DUMMYFUNCTION("""COMPUTED_VALUE"""),"DOC1200070")</f>
        <v>DOC1200070</v>
      </c>
      <c r="B620" t="s">
        <v>11818</v>
      </c>
      <c r="C620" s="663" t="s">
        <v>11843</v>
      </c>
      <c r="D620" s="905" t="s">
        <v>11846</v>
      </c>
    </row>
    <row r="621" spans="1:4" ht="16.5">
      <c r="A621" s="581" t="str">
        <f ca="1">IFERROR(__xludf.DUMMYFUNCTION("""COMPUTED_VALUE"""),"DOC1200080")</f>
        <v>DOC1200080</v>
      </c>
      <c r="B621" t="s">
        <v>11818</v>
      </c>
      <c r="C621" s="663" t="s">
        <v>11843</v>
      </c>
      <c r="D621" s="905" t="s">
        <v>11846</v>
      </c>
    </row>
    <row r="622" spans="1:4" ht="16.5">
      <c r="A622" s="587" t="str">
        <f ca="1">IFERROR(__xludf.DUMMYFUNCTION("""COMPUTED_VALUE"""),"DOC1200095")</f>
        <v>DOC1200095</v>
      </c>
      <c r="B622" t="s">
        <v>11818</v>
      </c>
      <c r="C622" s="663" t="s">
        <v>11843</v>
      </c>
      <c r="D622" s="905" t="s">
        <v>11846</v>
      </c>
    </row>
    <row r="623" spans="1:4" ht="16.5">
      <c r="A623" s="581" t="str">
        <f ca="1">IFERROR(__xludf.DUMMYFUNCTION("""COMPUTED_VALUE"""),"DOC1200100")</f>
        <v>DOC1200100</v>
      </c>
      <c r="B623" t="s">
        <v>11818</v>
      </c>
      <c r="C623" s="663" t="s">
        <v>11843</v>
      </c>
      <c r="D623" s="905" t="s">
        <v>11846</v>
      </c>
    </row>
    <row r="624" spans="1:4" ht="16.5">
      <c r="A624" s="587" t="str">
        <f ca="1">IFERROR(__xludf.DUMMYFUNCTION("""COMPUTED_VALUE"""),"DOC1200120")</f>
        <v>DOC1200120</v>
      </c>
      <c r="B624" t="s">
        <v>11818</v>
      </c>
      <c r="C624" s="663" t="s">
        <v>11843</v>
      </c>
      <c r="D624" s="905" t="s">
        <v>11846</v>
      </c>
    </row>
    <row r="625" spans="1:4" ht="16.5">
      <c r="A625" s="581" t="str">
        <f ca="1">IFERROR(__xludf.DUMMYFUNCTION("""COMPUTED_VALUE"""),"DOC1200200")</f>
        <v>DOC1200200</v>
      </c>
      <c r="B625" t="s">
        <v>11818</v>
      </c>
      <c r="C625" s="663" t="s">
        <v>11843</v>
      </c>
      <c r="D625" s="905" t="s">
        <v>11846</v>
      </c>
    </row>
    <row r="626" spans="1:4" ht="16.5">
      <c r="A626" s="587" t="str">
        <f ca="1">IFERROR(__xludf.DUMMYFUNCTION("""COMPUTED_VALUE"""),"DOC1270050")</f>
        <v>DOC1270050</v>
      </c>
      <c r="B626" t="s">
        <v>11818</v>
      </c>
      <c r="C626" s="663" t="s">
        <v>11843</v>
      </c>
      <c r="D626" s="905" t="s">
        <v>11846</v>
      </c>
    </row>
    <row r="627" spans="1:4" ht="16.5">
      <c r="A627" s="581" t="str">
        <f ca="1">IFERROR(__xludf.DUMMYFUNCTION("""COMPUTED_VALUE"""),"DOC1270055")</f>
        <v>DOC1270055</v>
      </c>
      <c r="B627" t="s">
        <v>11818</v>
      </c>
      <c r="C627" s="663" t="s">
        <v>11843</v>
      </c>
      <c r="D627" s="905" t="s">
        <v>11846</v>
      </c>
    </row>
    <row r="628" spans="1:4" ht="16.5">
      <c r="A628" s="587" t="str">
        <f ca="1">IFERROR(__xludf.DUMMYFUNCTION("""COMPUTED_VALUE"""),"DOC1270058")</f>
        <v>DOC1270058</v>
      </c>
      <c r="B628" t="s">
        <v>11818</v>
      </c>
      <c r="C628" s="663" t="s">
        <v>11843</v>
      </c>
      <c r="D628" s="905" t="s">
        <v>11846</v>
      </c>
    </row>
    <row r="629" spans="1:4" ht="16.5">
      <c r="A629" s="581" t="str">
        <f ca="1">IFERROR(__xludf.DUMMYFUNCTION("""COMPUTED_VALUE"""),"DOC1270060")</f>
        <v>DOC1270060</v>
      </c>
      <c r="B629" t="s">
        <v>11818</v>
      </c>
      <c r="C629" s="663" t="s">
        <v>11843</v>
      </c>
      <c r="D629" s="905" t="s">
        <v>11846</v>
      </c>
    </row>
    <row r="630" spans="1:4" ht="16.5">
      <c r="A630" s="587" t="str">
        <f ca="1">IFERROR(__xludf.DUMMYFUNCTION("""COMPUTED_VALUE"""),"DOC1270061")</f>
        <v>DOC1270061</v>
      </c>
      <c r="B630" t="s">
        <v>11818</v>
      </c>
      <c r="C630" s="663" t="s">
        <v>11843</v>
      </c>
      <c r="D630" s="905" t="s">
        <v>11846</v>
      </c>
    </row>
    <row r="631" spans="1:4" ht="16.5">
      <c r="A631" s="581" t="str">
        <f ca="1">IFERROR(__xludf.DUMMYFUNCTION("""COMPUTED_VALUE"""),"DOC1270065")</f>
        <v>DOC1270065</v>
      </c>
      <c r="B631" t="s">
        <v>11818</v>
      </c>
      <c r="C631" s="663" t="s">
        <v>11843</v>
      </c>
      <c r="D631" s="905" t="s">
        <v>11846</v>
      </c>
    </row>
    <row r="632" spans="1:4" ht="16.5">
      <c r="A632" s="587" t="str">
        <f ca="1">IFERROR(__xludf.DUMMYFUNCTION("""COMPUTED_VALUE"""),"DOC1270066")</f>
        <v>DOC1270066</v>
      </c>
      <c r="B632" t="s">
        <v>11818</v>
      </c>
      <c r="C632" s="663" t="s">
        <v>11843</v>
      </c>
      <c r="D632" s="905" t="s">
        <v>11846</v>
      </c>
    </row>
    <row r="633" spans="1:4" ht="16.5">
      <c r="A633" s="581" t="str">
        <f ca="1">IFERROR(__xludf.DUMMYFUNCTION("""COMPUTED_VALUE"""),"DOC1270070")</f>
        <v>DOC1270070</v>
      </c>
      <c r="B633" t="s">
        <v>11818</v>
      </c>
      <c r="C633" s="663" t="s">
        <v>11843</v>
      </c>
      <c r="D633" s="905" t="s">
        <v>11846</v>
      </c>
    </row>
    <row r="634" spans="1:4" ht="16.5">
      <c r="A634" s="587" t="str">
        <f ca="1">IFERROR(__xludf.DUMMYFUNCTION("""COMPUTED_VALUE"""),"DOC1270071")</f>
        <v>DOC1270071</v>
      </c>
      <c r="B634" t="s">
        <v>11818</v>
      </c>
      <c r="C634" s="663" t="s">
        <v>11843</v>
      </c>
      <c r="D634" s="905" t="s">
        <v>11846</v>
      </c>
    </row>
    <row r="635" spans="1:4" ht="16.5">
      <c r="A635" s="581" t="str">
        <f ca="1">IFERROR(__xludf.DUMMYFUNCTION("""COMPUTED_VALUE"""),"DOC1270071(KI)")</f>
        <v>DOC1270071(KI)</v>
      </c>
      <c r="B635" t="s">
        <v>11818</v>
      </c>
      <c r="C635" s="663" t="s">
        <v>11843</v>
      </c>
      <c r="D635" s="905" t="s">
        <v>11846</v>
      </c>
    </row>
    <row r="636" spans="1:4" ht="16.5">
      <c r="A636" s="587" t="str">
        <f ca="1">IFERROR(__xludf.DUMMYFUNCTION("""COMPUTED_VALUE"""),"DOC127007150")</f>
        <v>DOC127007150</v>
      </c>
      <c r="B636" t="s">
        <v>11818</v>
      </c>
      <c r="C636" s="663" t="s">
        <v>11843</v>
      </c>
      <c r="D636" s="905" t="s">
        <v>11846</v>
      </c>
    </row>
    <row r="637" spans="1:4" ht="16.5">
      <c r="A637" s="581" t="str">
        <f ca="1">IFERROR(__xludf.DUMMYFUNCTION("""COMPUTED_VALUE"""),"DOC1270075")</f>
        <v>DOC1270075</v>
      </c>
      <c r="B637" t="s">
        <v>11818</v>
      </c>
      <c r="C637" s="663" t="s">
        <v>11843</v>
      </c>
      <c r="D637" s="905" t="s">
        <v>11846</v>
      </c>
    </row>
    <row r="638" spans="1:4" ht="16.5">
      <c r="A638" s="587" t="str">
        <f ca="1">IFERROR(__xludf.DUMMYFUNCTION("""COMPUTED_VALUE"""),"DOC1270080")</f>
        <v>DOC1270080</v>
      </c>
      <c r="B638" t="s">
        <v>11818</v>
      </c>
      <c r="C638" s="663" t="s">
        <v>11843</v>
      </c>
      <c r="D638" s="905" t="s">
        <v>11846</v>
      </c>
    </row>
    <row r="639" spans="1:4" ht="16.5">
      <c r="A639" s="581" t="str">
        <f ca="1">IFERROR(__xludf.DUMMYFUNCTION("""COMPUTED_VALUE"""),"DOC1270081")</f>
        <v>DOC1270081</v>
      </c>
      <c r="B639" t="s">
        <v>11818</v>
      </c>
      <c r="C639" s="663" t="s">
        <v>11843</v>
      </c>
      <c r="D639" s="905" t="s">
        <v>11846</v>
      </c>
    </row>
    <row r="640" spans="1:4" ht="16.5">
      <c r="A640" s="587" t="str">
        <f ca="1">IFERROR(__xludf.DUMMYFUNCTION("""COMPUTED_VALUE"""),"DOC127008150")</f>
        <v>DOC127008150</v>
      </c>
      <c r="B640" t="s">
        <v>11818</v>
      </c>
      <c r="C640" s="663" t="s">
        <v>11843</v>
      </c>
      <c r="D640" s="905" t="s">
        <v>11846</v>
      </c>
    </row>
    <row r="641" spans="1:4" ht="16.5">
      <c r="A641" s="581" t="str">
        <f ca="1">IFERROR(__xludf.DUMMYFUNCTION("""COMPUTED_VALUE"""),"DOC12708030")</f>
        <v>DOC12708030</v>
      </c>
      <c r="B641" t="s">
        <v>11818</v>
      </c>
      <c r="C641" s="663" t="s">
        <v>11843</v>
      </c>
      <c r="D641" s="905" t="s">
        <v>11846</v>
      </c>
    </row>
    <row r="642" spans="1:4" ht="16.5">
      <c r="A642" s="587" t="str">
        <f ca="1">IFERROR(__xludf.DUMMYFUNCTION("""COMPUTED_VALUE"""),"DOC12708145")</f>
        <v>DOC12708145</v>
      </c>
      <c r="B642" t="s">
        <v>11818</v>
      </c>
      <c r="C642" s="663" t="s">
        <v>11843</v>
      </c>
      <c r="D642" s="905" t="s">
        <v>11846</v>
      </c>
    </row>
    <row r="643" spans="1:4" ht="16.5">
      <c r="A643" s="581" t="str">
        <f ca="1">IFERROR(__xludf.DUMMYFUNCTION("""COMPUTED_VALUE"""),"DOC12708150")</f>
        <v>DOC12708150</v>
      </c>
      <c r="B643" t="s">
        <v>11818</v>
      </c>
      <c r="C643" s="663" t="s">
        <v>11843</v>
      </c>
      <c r="D643" s="905" t="s">
        <v>11846</v>
      </c>
    </row>
    <row r="644" spans="1:4" ht="16.5">
      <c r="A644" s="587" t="str">
        <f ca="1">IFERROR(__xludf.DUMMYFUNCTION("""COMPUTED_VALUE"""),"DOC1270089")</f>
        <v>DOC1270089</v>
      </c>
      <c r="B644" t="s">
        <v>11818</v>
      </c>
      <c r="C644" s="663" t="s">
        <v>11843</v>
      </c>
      <c r="D644" s="905" t="s">
        <v>11846</v>
      </c>
    </row>
    <row r="645" spans="1:4" ht="16.5">
      <c r="A645" s="581" t="str">
        <f ca="1">IFERROR(__xludf.DUMMYFUNCTION("""COMPUTED_VALUE"""),"DOC1270090")</f>
        <v>DOC1270090</v>
      </c>
      <c r="B645" t="s">
        <v>11818</v>
      </c>
      <c r="C645" s="663" t="s">
        <v>11843</v>
      </c>
      <c r="D645" s="905" t="s">
        <v>11846</v>
      </c>
    </row>
    <row r="646" spans="1:4" ht="16.5">
      <c r="A646" s="587" t="str">
        <f ca="1">IFERROR(__xludf.DUMMYFUNCTION("""COMPUTED_VALUE"""),"DOC1270091")</f>
        <v>DOC1270091</v>
      </c>
      <c r="B646" t="s">
        <v>11818</v>
      </c>
      <c r="C646" s="663" t="s">
        <v>11843</v>
      </c>
      <c r="D646" s="905" t="s">
        <v>11846</v>
      </c>
    </row>
    <row r="647" spans="1:4" ht="16.5">
      <c r="A647" s="581" t="str">
        <f ca="1">IFERROR(__xludf.DUMMYFUNCTION("""COMPUTED_VALUE"""),"DOC127009150")</f>
        <v>DOC127009150</v>
      </c>
      <c r="B647" t="s">
        <v>11818</v>
      </c>
      <c r="C647" s="663" t="s">
        <v>11843</v>
      </c>
      <c r="D647" s="905" t="s">
        <v>11846</v>
      </c>
    </row>
    <row r="648" spans="1:4" ht="16.5">
      <c r="A648" s="587" t="str">
        <f ca="1">IFERROR(__xludf.DUMMYFUNCTION("""COMPUTED_VALUE"""),"DOC1270095")</f>
        <v>DOC1270095</v>
      </c>
      <c r="B648" t="s">
        <v>11818</v>
      </c>
      <c r="C648" s="663" t="s">
        <v>11843</v>
      </c>
      <c r="D648" s="905" t="s">
        <v>11846</v>
      </c>
    </row>
    <row r="649" spans="1:4" ht="16.5">
      <c r="A649" s="581" t="str">
        <f ca="1">IFERROR(__xludf.DUMMYFUNCTION("""COMPUTED_VALUE"""),"DOC1270100")</f>
        <v>DOC1270100</v>
      </c>
      <c r="B649" t="s">
        <v>11818</v>
      </c>
      <c r="C649" s="663" t="s">
        <v>11843</v>
      </c>
      <c r="D649" s="905" t="s">
        <v>11846</v>
      </c>
    </row>
    <row r="650" spans="1:4" ht="16.5">
      <c r="A650" s="587" t="str">
        <f ca="1">IFERROR(__xludf.DUMMYFUNCTION("""COMPUTED_VALUE"""),"DOC1270107")</f>
        <v>DOC1270107</v>
      </c>
      <c r="B650" t="s">
        <v>11818</v>
      </c>
      <c r="C650" s="663" t="s">
        <v>11843</v>
      </c>
      <c r="D650" s="905" t="s">
        <v>11846</v>
      </c>
    </row>
    <row r="651" spans="1:4" ht="16.5">
      <c r="A651" s="581" t="str">
        <f ca="1">IFERROR(__xludf.DUMMYFUNCTION("""COMPUTED_VALUE"""),"DOC1400080")</f>
        <v>DOC1400080</v>
      </c>
      <c r="B651" t="s">
        <v>11818</v>
      </c>
      <c r="C651" s="663" t="s">
        <v>11843</v>
      </c>
      <c r="D651" s="905" t="s">
        <v>11846</v>
      </c>
    </row>
    <row r="652" spans="1:4" ht="16.5">
      <c r="A652" s="587" t="str">
        <f ca="1">IFERROR(__xludf.DUMMYFUNCTION("""COMPUTED_VALUE"""),"DOC1400095")</f>
        <v>DOC1400095</v>
      </c>
      <c r="B652" t="s">
        <v>11818</v>
      </c>
      <c r="C652" s="663" t="s">
        <v>11843</v>
      </c>
      <c r="D652" s="905" t="s">
        <v>11846</v>
      </c>
    </row>
    <row r="653" spans="1:4" ht="16.5">
      <c r="A653" s="581" t="str">
        <f ca="1">IFERROR(__xludf.DUMMYFUNCTION("""COMPUTED_VALUE"""),"DOC140010015")</f>
        <v>DOC140010015</v>
      </c>
      <c r="B653" t="s">
        <v>11818</v>
      </c>
      <c r="C653" s="663" t="s">
        <v>11843</v>
      </c>
      <c r="D653" s="905" t="s">
        <v>11846</v>
      </c>
    </row>
    <row r="654" spans="1:4" ht="16.5">
      <c r="A654" s="587" t="str">
        <f ca="1">IFERROR(__xludf.DUMMYFUNCTION("""COMPUTED_VALUE"""),"DOC1588050")</f>
        <v>DOC1588050</v>
      </c>
      <c r="B654" t="s">
        <v>11818</v>
      </c>
      <c r="C654" s="663" t="s">
        <v>11843</v>
      </c>
      <c r="D654" s="905" t="s">
        <v>11846</v>
      </c>
    </row>
    <row r="655" spans="1:4" ht="16.5">
      <c r="A655" s="581" t="str">
        <f ca="1">IFERROR(__xludf.DUMMYFUNCTION("""COMPUTED_VALUE"""),"DOC1588055")</f>
        <v>DOC1588055</v>
      </c>
      <c r="B655" t="s">
        <v>11818</v>
      </c>
      <c r="C655" s="663" t="s">
        <v>11843</v>
      </c>
      <c r="D655" s="905" t="s">
        <v>11846</v>
      </c>
    </row>
    <row r="656" spans="1:4" ht="16.5">
      <c r="A656" s="587" t="str">
        <f ca="1">IFERROR(__xludf.DUMMYFUNCTION("""COMPUTED_VALUE"""),"DOC1588060")</f>
        <v>DOC1588060</v>
      </c>
      <c r="B656" t="s">
        <v>11818</v>
      </c>
      <c r="C656" s="663" t="s">
        <v>11843</v>
      </c>
      <c r="D656" s="905" t="s">
        <v>11846</v>
      </c>
    </row>
    <row r="657" spans="1:4" ht="16.5">
      <c r="A657" s="581" t="str">
        <f ca="1">IFERROR(__xludf.DUMMYFUNCTION("""COMPUTED_VALUE"""),"DOC1588061")</f>
        <v>DOC1588061</v>
      </c>
      <c r="B657" t="s">
        <v>11818</v>
      </c>
      <c r="C657" s="663" t="s">
        <v>11843</v>
      </c>
      <c r="D657" s="905" t="s">
        <v>11846</v>
      </c>
    </row>
    <row r="658" spans="1:4" ht="16.5">
      <c r="A658" s="587" t="str">
        <f ca="1">IFERROR(__xludf.DUMMYFUNCTION("""COMPUTED_VALUE"""),"DOC1588065")</f>
        <v>DOC1588065</v>
      </c>
      <c r="B658" t="s">
        <v>11818</v>
      </c>
      <c r="C658" s="663" t="s">
        <v>11843</v>
      </c>
      <c r="D658" s="905" t="s">
        <v>11846</v>
      </c>
    </row>
    <row r="659" spans="1:4" ht="16.5">
      <c r="A659" s="581" t="str">
        <f ca="1">IFERROR(__xludf.DUMMYFUNCTION("""COMPUTED_VALUE"""),"DOC1588070")</f>
        <v>DOC1588070</v>
      </c>
      <c r="B659" t="s">
        <v>11818</v>
      </c>
      <c r="C659" s="663" t="s">
        <v>11843</v>
      </c>
      <c r="D659" s="905" t="s">
        <v>11846</v>
      </c>
    </row>
    <row r="660" spans="1:4" ht="16.5">
      <c r="A660" s="587" t="str">
        <f ca="1">IFERROR(__xludf.DUMMYFUNCTION("""COMPUTED_VALUE"""),"DOC1588071")</f>
        <v>DOC1588071</v>
      </c>
      <c r="B660" t="s">
        <v>11818</v>
      </c>
      <c r="C660" s="663" t="s">
        <v>11843</v>
      </c>
      <c r="D660" s="905" t="s">
        <v>11846</v>
      </c>
    </row>
    <row r="661" spans="1:4" ht="16.5">
      <c r="A661" s="581" t="str">
        <f ca="1">IFERROR(__xludf.DUMMYFUNCTION("""COMPUTED_VALUE"""),"DOC158807150")</f>
        <v>DOC158807150</v>
      </c>
      <c r="B661" t="s">
        <v>11818</v>
      </c>
      <c r="C661" s="663" t="s">
        <v>11843</v>
      </c>
      <c r="D661" s="905" t="s">
        <v>11846</v>
      </c>
    </row>
    <row r="662" spans="1:4" ht="16.5">
      <c r="A662" s="587" t="str">
        <f ca="1">IFERROR(__xludf.DUMMYFUNCTION("""COMPUTED_VALUE"""),"DOC1588072")</f>
        <v>DOC1588072</v>
      </c>
      <c r="B662" t="s">
        <v>11818</v>
      </c>
      <c r="C662" s="663" t="s">
        <v>11843</v>
      </c>
      <c r="D662" s="905" t="s">
        <v>11846</v>
      </c>
    </row>
    <row r="663" spans="1:4" ht="16.5">
      <c r="A663" s="581" t="str">
        <f ca="1">IFERROR(__xludf.DUMMYFUNCTION("""COMPUTED_VALUE"""),"DOC1588075")</f>
        <v>DOC1588075</v>
      </c>
      <c r="B663" t="s">
        <v>11818</v>
      </c>
      <c r="C663" s="663" t="s">
        <v>11843</v>
      </c>
      <c r="D663" s="905" t="s">
        <v>11846</v>
      </c>
    </row>
    <row r="664" spans="1:4" ht="16.5">
      <c r="A664" s="587" t="str">
        <f ca="1">IFERROR(__xludf.DUMMYFUNCTION("""COMPUTED_VALUE"""),"DOC1588080")</f>
        <v>DOC1588080</v>
      </c>
      <c r="B664" t="s">
        <v>11818</v>
      </c>
      <c r="C664" s="663" t="s">
        <v>11843</v>
      </c>
      <c r="D664" s="905" t="s">
        <v>11846</v>
      </c>
    </row>
    <row r="665" spans="1:4" ht="16.5">
      <c r="A665" s="581" t="str">
        <f ca="1">IFERROR(__xludf.DUMMYFUNCTION("""COMPUTED_VALUE"""),"DOC158808030")</f>
        <v>DOC158808030</v>
      </c>
      <c r="B665" t="s">
        <v>11818</v>
      </c>
      <c r="C665" s="663" t="s">
        <v>11843</v>
      </c>
      <c r="D665" s="905" t="s">
        <v>11846</v>
      </c>
    </row>
    <row r="666" spans="1:4" ht="16.5">
      <c r="A666" s="587" t="str">
        <f ca="1">IFERROR(__xludf.DUMMYFUNCTION("""COMPUTED_VALUE"""),"DOC1588081")</f>
        <v>DOC1588081</v>
      </c>
      <c r="B666" t="s">
        <v>11818</v>
      </c>
      <c r="C666" s="663" t="s">
        <v>11843</v>
      </c>
      <c r="D666" s="905" t="s">
        <v>11846</v>
      </c>
    </row>
    <row r="667" spans="1:4" ht="16.5">
      <c r="A667" s="581" t="str">
        <f ca="1">IFERROR(__xludf.DUMMYFUNCTION("""COMPUTED_VALUE"""),"DOC158808150")</f>
        <v>DOC158808150</v>
      </c>
      <c r="B667" t="s">
        <v>11818</v>
      </c>
      <c r="C667" s="663" t="s">
        <v>11843</v>
      </c>
      <c r="D667" s="905" t="s">
        <v>11846</v>
      </c>
    </row>
    <row r="668" spans="1:4" ht="16.5">
      <c r="A668" s="587" t="str">
        <f ca="1">IFERROR(__xludf.DUMMYFUNCTION("""COMPUTED_VALUE"""),"DOC1588085")</f>
        <v>DOC1588085</v>
      </c>
      <c r="B668" t="s">
        <v>11818</v>
      </c>
      <c r="C668" s="663" t="s">
        <v>11843</v>
      </c>
      <c r="D668" s="905" t="s">
        <v>11846</v>
      </c>
    </row>
    <row r="669" spans="1:4" ht="16.5">
      <c r="A669" s="581" t="str">
        <f ca="1">IFERROR(__xludf.DUMMYFUNCTION("""COMPUTED_VALUE"""),"DOC1588089")</f>
        <v>DOC1588089</v>
      </c>
      <c r="B669" t="s">
        <v>11818</v>
      </c>
      <c r="C669" s="663" t="s">
        <v>11843</v>
      </c>
      <c r="D669" s="905" t="s">
        <v>11846</v>
      </c>
    </row>
    <row r="670" spans="1:4" ht="16.5">
      <c r="A670" s="587" t="str">
        <f ca="1">IFERROR(__xludf.DUMMYFUNCTION("""COMPUTED_VALUE"""),"DOC158809")</f>
        <v>DOC158809</v>
      </c>
      <c r="B670" t="s">
        <v>11818</v>
      </c>
      <c r="C670" s="663" t="s">
        <v>11843</v>
      </c>
      <c r="D670" s="905" t="s">
        <v>11846</v>
      </c>
    </row>
    <row r="671" spans="1:4" ht="16.5">
      <c r="A671" s="581" t="str">
        <f ca="1">IFERROR(__xludf.DUMMYFUNCTION("""COMPUTED_VALUE"""),"DOC1588091")</f>
        <v>DOC1588091</v>
      </c>
      <c r="B671" t="s">
        <v>11818</v>
      </c>
      <c r="C671" s="663" t="s">
        <v>11843</v>
      </c>
      <c r="D671" s="905" t="s">
        <v>11846</v>
      </c>
    </row>
    <row r="672" spans="1:4" ht="16.5">
      <c r="A672" s="587" t="str">
        <f ca="1">IFERROR(__xludf.DUMMYFUNCTION("""COMPUTED_VALUE"""),"DOC158809150")</f>
        <v>DOC158809150</v>
      </c>
      <c r="B672" t="s">
        <v>11818</v>
      </c>
      <c r="C672" s="663" t="s">
        <v>11843</v>
      </c>
      <c r="D672" s="905" t="s">
        <v>11846</v>
      </c>
    </row>
    <row r="673" spans="1:4" ht="16.5">
      <c r="A673" s="581" t="str">
        <f ca="1">IFERROR(__xludf.DUMMYFUNCTION("""COMPUTED_VALUE"""),"DOC1588095")</f>
        <v>DOC1588095</v>
      </c>
      <c r="B673" t="s">
        <v>11818</v>
      </c>
      <c r="C673" s="663" t="s">
        <v>11843</v>
      </c>
      <c r="D673" s="905" t="s">
        <v>11846</v>
      </c>
    </row>
    <row r="674" spans="1:4" ht="16.5">
      <c r="A674" s="587" t="str">
        <f ca="1">IFERROR(__xludf.DUMMYFUNCTION("""COMPUTED_VALUE"""),"DOC1588100")</f>
        <v>DOC1588100</v>
      </c>
      <c r="B674" t="s">
        <v>11818</v>
      </c>
      <c r="C674" s="663" t="s">
        <v>11843</v>
      </c>
      <c r="D674" s="905" t="s">
        <v>11846</v>
      </c>
    </row>
    <row r="675" spans="1:4" ht="16.5">
      <c r="A675" s="581" t="str">
        <f ca="1">IFERROR(__xludf.DUMMYFUNCTION("""COMPUTED_VALUE"""),"DOC158810030")</f>
        <v>DOC158810030</v>
      </c>
      <c r="B675" t="s">
        <v>11818</v>
      </c>
      <c r="C675" s="663" t="s">
        <v>11843</v>
      </c>
      <c r="D675" s="905" t="s">
        <v>11846</v>
      </c>
    </row>
    <row r="676" spans="1:4" ht="16.5">
      <c r="A676" s="587" t="str">
        <f ca="1">IFERROR(__xludf.DUMMYFUNCTION("""COMPUTED_VALUE"""),"DOC158810045")</f>
        <v>DOC158810045</v>
      </c>
      <c r="B676" t="s">
        <v>11818</v>
      </c>
      <c r="C676" s="663" t="s">
        <v>11843</v>
      </c>
      <c r="D676" s="905" t="s">
        <v>11846</v>
      </c>
    </row>
    <row r="677" spans="1:4" ht="16.5">
      <c r="A677" s="581" t="str">
        <f ca="1">IFERROR(__xludf.DUMMYFUNCTION("""COMPUTED_VALUE"""),"DOC158810050")</f>
        <v>DOC158810050</v>
      </c>
      <c r="B677" t="s">
        <v>11818</v>
      </c>
      <c r="C677" s="663" t="s">
        <v>11843</v>
      </c>
      <c r="D677" s="905" t="s">
        <v>11846</v>
      </c>
    </row>
    <row r="678" spans="1:4" ht="16.5">
      <c r="A678" s="587" t="str">
        <f ca="1">IFERROR(__xludf.DUMMYFUNCTION("""COMPUTED_VALUE"""),"DOC1588102")</f>
        <v>DOC1588102</v>
      </c>
      <c r="B678" t="s">
        <v>11818</v>
      </c>
      <c r="C678" s="663" t="s">
        <v>11843</v>
      </c>
      <c r="D678" s="905" t="s">
        <v>11846</v>
      </c>
    </row>
    <row r="679" spans="1:4" ht="16.5">
      <c r="A679" s="581" t="str">
        <f ca="1">IFERROR(__xludf.DUMMYFUNCTION("""COMPUTED_VALUE"""),"DOC158810250")</f>
        <v>DOC158810250</v>
      </c>
      <c r="B679" t="s">
        <v>11818</v>
      </c>
      <c r="C679" s="663" t="s">
        <v>11843</v>
      </c>
      <c r="D679" s="905" t="s">
        <v>11846</v>
      </c>
    </row>
    <row r="680" spans="1:4" ht="16.5">
      <c r="A680" s="587" t="str">
        <f ca="1">IFERROR(__xludf.DUMMYFUNCTION("""COMPUTED_VALUE"""),"DOC1588107")</f>
        <v>DOC1588107</v>
      </c>
      <c r="B680" t="s">
        <v>11818</v>
      </c>
      <c r="C680" s="663" t="s">
        <v>11843</v>
      </c>
      <c r="D680" s="905" t="s">
        <v>11846</v>
      </c>
    </row>
    <row r="681" spans="1:4" ht="16.5">
      <c r="A681" s="581" t="str">
        <f ca="1">IFERROR(__xludf.DUMMYFUNCTION("""COMPUTED_VALUE"""),"DOC1588110")</f>
        <v>DOC1588110</v>
      </c>
      <c r="B681" t="s">
        <v>11818</v>
      </c>
      <c r="C681" s="663" t="s">
        <v>11843</v>
      </c>
      <c r="D681" s="905" t="s">
        <v>11846</v>
      </c>
    </row>
    <row r="682" spans="1:4" ht="16.5">
      <c r="A682" s="587" t="str">
        <f ca="1">IFERROR(__xludf.DUMMYFUNCTION("""COMPUTED_VALUE"""),"DOC1588120")</f>
        <v>DOC1588120</v>
      </c>
      <c r="B682" t="s">
        <v>11818</v>
      </c>
      <c r="C682" s="663" t="s">
        <v>11843</v>
      </c>
      <c r="D682" s="905" t="s">
        <v>11846</v>
      </c>
    </row>
    <row r="683" spans="1:4" ht="16.5">
      <c r="A683" s="581" t="str">
        <f ca="1">IFERROR(__xludf.DUMMYFUNCTION("""COMPUTED_VALUE"""),"DOC190510750")</f>
        <v>DOC190510750</v>
      </c>
      <c r="B683" t="s">
        <v>11818</v>
      </c>
      <c r="C683" s="663" t="s">
        <v>11843</v>
      </c>
      <c r="D683" s="905" t="s">
        <v>11846</v>
      </c>
    </row>
    <row r="684" spans="1:4" ht="16.5">
      <c r="A684" s="587" t="str">
        <f ca="1">IFERROR(__xludf.DUMMYFUNCTION("""COMPUTED_VALUE"""),"DOC1905107")</f>
        <v>DOC1905107</v>
      </c>
      <c r="B684" t="s">
        <v>11818</v>
      </c>
      <c r="C684" s="663" t="s">
        <v>11843</v>
      </c>
      <c r="D684" s="905" t="s">
        <v>11846</v>
      </c>
    </row>
    <row r="685" spans="1:4" ht="16.5">
      <c r="A685" s="581" t="str">
        <f ca="1">IFERROR(__xludf.DUMMYFUNCTION("""COMPUTED_VALUE"""),"DOC1905060")</f>
        <v>DOC1905060</v>
      </c>
      <c r="B685" t="s">
        <v>11818</v>
      </c>
      <c r="C685" s="663" t="s">
        <v>11843</v>
      </c>
      <c r="D685" s="905" t="s">
        <v>11846</v>
      </c>
    </row>
    <row r="686" spans="1:4" ht="16.5">
      <c r="A686" s="587" t="str">
        <f ca="1">IFERROR(__xludf.DUMMYFUNCTION("""COMPUTED_VALUE"""),"DOC1905061")</f>
        <v>DOC1905061</v>
      </c>
      <c r="B686" t="s">
        <v>11818</v>
      </c>
      <c r="C686" s="663" t="s">
        <v>11843</v>
      </c>
      <c r="D686" s="905" t="s">
        <v>11846</v>
      </c>
    </row>
    <row r="687" spans="1:4" ht="16.5">
      <c r="A687" s="581" t="str">
        <f ca="1">IFERROR(__xludf.DUMMYFUNCTION("""COMPUTED_VALUE"""),"DOC1905065")</f>
        <v>DOC1905065</v>
      </c>
      <c r="B687" t="s">
        <v>11818</v>
      </c>
      <c r="C687" s="663" t="s">
        <v>11843</v>
      </c>
      <c r="D687" s="905" t="s">
        <v>11846</v>
      </c>
    </row>
    <row r="688" spans="1:4" ht="16.5">
      <c r="A688" s="587" t="str">
        <f ca="1">IFERROR(__xludf.DUMMYFUNCTION("""COMPUTED_VALUE"""),"DOC1905070")</f>
        <v>DOC1905070</v>
      </c>
      <c r="B688" t="s">
        <v>11818</v>
      </c>
      <c r="C688" s="663" t="s">
        <v>11843</v>
      </c>
      <c r="D688" s="905" t="s">
        <v>11846</v>
      </c>
    </row>
    <row r="689" spans="1:4" ht="16.5">
      <c r="A689" s="581" t="str">
        <f ca="1">IFERROR(__xludf.DUMMYFUNCTION("""COMPUTED_VALUE"""),"DOC1905071")</f>
        <v>DOC1905071</v>
      </c>
      <c r="B689" t="s">
        <v>11818</v>
      </c>
      <c r="C689" s="663" t="s">
        <v>11843</v>
      </c>
      <c r="D689" s="905" t="s">
        <v>11846</v>
      </c>
    </row>
    <row r="690" spans="1:4" ht="16.5">
      <c r="A690" s="587" t="str">
        <f ca="1">IFERROR(__xludf.DUMMYFUNCTION("""COMPUTED_VALUE"""),"DOC190507150")</f>
        <v>DOC190507150</v>
      </c>
      <c r="B690" t="s">
        <v>11818</v>
      </c>
      <c r="C690" s="663" t="s">
        <v>11843</v>
      </c>
      <c r="D690" s="905" t="s">
        <v>11846</v>
      </c>
    </row>
    <row r="691" spans="1:4" ht="16.5">
      <c r="A691" s="581" t="str">
        <f ca="1">IFERROR(__xludf.DUMMYFUNCTION("""COMPUTED_VALUE"""),"DOC1905075")</f>
        <v>DOC1905075</v>
      </c>
      <c r="B691" t="s">
        <v>11818</v>
      </c>
      <c r="C691" s="663" t="s">
        <v>11843</v>
      </c>
      <c r="D691" s="905" t="s">
        <v>11846</v>
      </c>
    </row>
    <row r="692" spans="1:4" ht="16.5">
      <c r="A692" s="587" t="str">
        <f ca="1">IFERROR(__xludf.DUMMYFUNCTION("""COMPUTED_VALUE"""),"DOC1905080")</f>
        <v>DOC1905080</v>
      </c>
      <c r="B692" t="s">
        <v>11818</v>
      </c>
      <c r="C692" s="663" t="s">
        <v>11843</v>
      </c>
      <c r="D692" s="905" t="s">
        <v>11846</v>
      </c>
    </row>
    <row r="693" spans="1:4" ht="16.5">
      <c r="A693" s="581" t="str">
        <f ca="1">IFERROR(__xludf.DUMMYFUNCTION("""COMPUTED_VALUE"""),"DOC1905081")</f>
        <v>DOC1905081</v>
      </c>
      <c r="B693" t="s">
        <v>11818</v>
      </c>
      <c r="C693" s="663" t="s">
        <v>11843</v>
      </c>
      <c r="D693" s="905" t="s">
        <v>11846</v>
      </c>
    </row>
    <row r="694" spans="1:4" ht="16.5">
      <c r="A694" s="587" t="str">
        <f ca="1">IFERROR(__xludf.DUMMYFUNCTION("""COMPUTED_VALUE"""),"DOC190508150")</f>
        <v>DOC190508150</v>
      </c>
      <c r="B694" t="s">
        <v>11818</v>
      </c>
      <c r="C694" s="663" t="s">
        <v>11843</v>
      </c>
      <c r="D694" s="905" t="s">
        <v>11846</v>
      </c>
    </row>
    <row r="695" spans="1:4" ht="16.5">
      <c r="A695" s="581" t="str">
        <f ca="1">IFERROR(__xludf.DUMMYFUNCTION("""COMPUTED_VALUE"""),"DOC1905085")</f>
        <v>DOC1905085</v>
      </c>
      <c r="B695" t="s">
        <v>11818</v>
      </c>
      <c r="C695" s="663" t="s">
        <v>11843</v>
      </c>
      <c r="D695" s="905" t="s">
        <v>11846</v>
      </c>
    </row>
    <row r="696" spans="1:4" ht="16.5">
      <c r="A696" s="587" t="str">
        <f ca="1">IFERROR(__xludf.DUMMYFUNCTION("""COMPUTED_VALUE"""),"DOC1905089")</f>
        <v>DOC1905089</v>
      </c>
      <c r="B696" t="s">
        <v>11818</v>
      </c>
      <c r="C696" s="663" t="s">
        <v>11843</v>
      </c>
      <c r="D696" s="905" t="s">
        <v>11846</v>
      </c>
    </row>
    <row r="697" spans="1:4" ht="16.5">
      <c r="A697" s="581" t="str">
        <f ca="1">IFERROR(__xludf.DUMMYFUNCTION("""COMPUTED_VALUE"""),"DOC1905090")</f>
        <v>DOC1905090</v>
      </c>
      <c r="B697" t="s">
        <v>11818</v>
      </c>
      <c r="C697" s="663" t="s">
        <v>11843</v>
      </c>
      <c r="D697" s="905" t="s">
        <v>11846</v>
      </c>
    </row>
    <row r="698" spans="1:4" ht="16.5">
      <c r="A698" s="587" t="str">
        <f ca="1">IFERROR(__xludf.DUMMYFUNCTION("""COMPUTED_VALUE"""),"DOC1905091")</f>
        <v>DOC1905091</v>
      </c>
      <c r="B698" t="s">
        <v>11818</v>
      </c>
      <c r="C698" s="663" t="s">
        <v>11843</v>
      </c>
      <c r="D698" s="905" t="s">
        <v>11846</v>
      </c>
    </row>
    <row r="699" spans="1:4" ht="16.5">
      <c r="A699" s="581" t="str">
        <f ca="1">IFERROR(__xludf.DUMMYFUNCTION("""COMPUTED_VALUE"""),"DOC1905095")</f>
        <v>DOC1905095</v>
      </c>
      <c r="B699" t="s">
        <v>11818</v>
      </c>
      <c r="C699" s="663" t="s">
        <v>11843</v>
      </c>
      <c r="D699" s="905" t="s">
        <v>11846</v>
      </c>
    </row>
    <row r="700" spans="1:4" ht="16.5">
      <c r="A700" s="587" t="str">
        <f ca="1">IFERROR(__xludf.DUMMYFUNCTION("""COMPUTED_VALUE"""),"DOC1905100")</f>
        <v>DOC1905100</v>
      </c>
      <c r="B700" t="s">
        <v>11818</v>
      </c>
      <c r="C700" s="663" t="s">
        <v>11843</v>
      </c>
      <c r="D700" s="905" t="s">
        <v>11846</v>
      </c>
    </row>
    <row r="701" spans="1:4" ht="16.5">
      <c r="A701" s="581" t="str">
        <f ca="1">IFERROR(__xludf.DUMMYFUNCTION("""COMPUTED_VALUE"""),"DOC190510050")</f>
        <v>DOC190510050</v>
      </c>
      <c r="B701" t="s">
        <v>11818</v>
      </c>
      <c r="C701" s="663" t="s">
        <v>11843</v>
      </c>
      <c r="D701" s="905" t="s">
        <v>11846</v>
      </c>
    </row>
    <row r="702" spans="1:4" ht="16.5">
      <c r="A702" s="587" t="str">
        <f ca="1">IFERROR(__xludf.DUMMYFUNCTION("""COMPUTED_VALUE"""),"DOC1905110")</f>
        <v>DOC1905110</v>
      </c>
      <c r="B702" t="s">
        <v>11818</v>
      </c>
      <c r="C702" s="663" t="s">
        <v>11843</v>
      </c>
      <c r="D702" s="905" t="s">
        <v>11846</v>
      </c>
    </row>
    <row r="703" spans="1:4" ht="16.5">
      <c r="A703" s="581" t="str">
        <f ca="1">IFERROR(__xludf.DUMMYFUNCTION("""COMPUTED_VALUE"""),"DOC1905114")</f>
        <v>DOC1905114</v>
      </c>
      <c r="B703" t="s">
        <v>11818</v>
      </c>
      <c r="C703" s="663" t="s">
        <v>11843</v>
      </c>
      <c r="D703" s="905" t="s">
        <v>11846</v>
      </c>
    </row>
    <row r="704" spans="1:4" ht="16.5">
      <c r="A704" s="587" t="str">
        <f ca="1">IFERROR(__xludf.DUMMYFUNCTION("""COMPUTED_VALUE"""),"DOC1905115")</f>
        <v>DOC1905115</v>
      </c>
      <c r="B704" t="s">
        <v>11818</v>
      </c>
      <c r="C704" s="663" t="s">
        <v>11843</v>
      </c>
      <c r="D704" s="905" t="s">
        <v>11846</v>
      </c>
    </row>
    <row r="705" spans="1:4" ht="16.5">
      <c r="A705" s="581" t="str">
        <f ca="1">IFERROR(__xludf.DUMMYFUNCTION("""COMPUTED_VALUE"""),"DOC1905120")</f>
        <v>DOC1905120</v>
      </c>
      <c r="B705" t="s">
        <v>11818</v>
      </c>
      <c r="C705" s="663" t="s">
        <v>11843</v>
      </c>
      <c r="D705" s="905" t="s">
        <v>11846</v>
      </c>
    </row>
    <row r="706" spans="1:4" ht="16.5">
      <c r="A706" s="587" t="str">
        <f ca="1">IFERROR(__xludf.DUMMYFUNCTION("""COMPUTED_VALUE"""),"DOC190512050")</f>
        <v>DOC190512050</v>
      </c>
      <c r="B706" t="s">
        <v>11818</v>
      </c>
      <c r="C706" s="663" t="s">
        <v>11843</v>
      </c>
      <c r="D706" s="905" t="s">
        <v>11846</v>
      </c>
    </row>
    <row r="707" spans="1:4" ht="16.5">
      <c r="A707" s="581" t="str">
        <f ca="1">IFERROR(__xludf.DUMMYFUNCTION("""COMPUTED_VALUE"""),"DOC2222080")</f>
        <v>DOC2222080</v>
      </c>
      <c r="B707" t="s">
        <v>11818</v>
      </c>
      <c r="C707" s="663" t="s">
        <v>11843</v>
      </c>
      <c r="D707" s="905" t="s">
        <v>11846</v>
      </c>
    </row>
    <row r="708" spans="1:4" ht="16.5">
      <c r="A708" s="587" t="str">
        <f ca="1">IFERROR(__xludf.DUMMYFUNCTION("""COMPUTED_VALUE"""),"DOC2222120")</f>
        <v>DOC2222120</v>
      </c>
      <c r="B708" t="s">
        <v>11818</v>
      </c>
      <c r="C708" s="663" t="s">
        <v>11843</v>
      </c>
      <c r="D708" s="905" t="s">
        <v>11846</v>
      </c>
    </row>
    <row r="709" spans="1:4" ht="16.5">
      <c r="A709" s="581" t="str">
        <f ca="1">IFERROR(__xludf.DUMMYFUNCTION("""COMPUTED_VALUE"""),"DOC250010")</f>
        <v>DOC250010</v>
      </c>
      <c r="B709" t="s">
        <v>11818</v>
      </c>
      <c r="C709" s="663" t="s">
        <v>11843</v>
      </c>
      <c r="D709" s="905" t="s">
        <v>11846</v>
      </c>
    </row>
    <row r="710" spans="1:4" ht="16.5">
      <c r="A710" s="587" t="str">
        <f ca="1">IFERROR(__xludf.DUMMYFUNCTION("""COMPUTED_VALUE"""),"DOC2500150")</f>
        <v>DOC2500150</v>
      </c>
      <c r="B710" t="s">
        <v>11818</v>
      </c>
      <c r="C710" s="663" t="s">
        <v>11843</v>
      </c>
      <c r="D710" s="905" t="s">
        <v>11846</v>
      </c>
    </row>
    <row r="711" spans="1:4" ht="16.5">
      <c r="A711" s="581" t="str">
        <f ca="1">IFERROR(__xludf.DUMMYFUNCTION("""COMPUTED_VALUE"""),"DOC254080")</f>
        <v>DOC254080</v>
      </c>
      <c r="B711" t="s">
        <v>11818</v>
      </c>
      <c r="C711" s="663" t="s">
        <v>11843</v>
      </c>
      <c r="D711" s="905" t="s">
        <v>11846</v>
      </c>
    </row>
    <row r="712" spans="1:4" ht="16.5">
      <c r="A712" s="587" t="str">
        <f ca="1">IFERROR(__xludf.DUMMYFUNCTION("""COMPUTED_VALUE"""),"DOC254081")</f>
        <v>DOC254081</v>
      </c>
      <c r="B712" t="s">
        <v>11818</v>
      </c>
      <c r="C712" s="663" t="s">
        <v>11843</v>
      </c>
      <c r="D712" s="905" t="s">
        <v>11846</v>
      </c>
    </row>
    <row r="713" spans="1:4" ht="16.5">
      <c r="A713" s="581" t="str">
        <f ca="1">IFERROR(__xludf.DUMMYFUNCTION("""COMPUTED_VALUE"""),"DOC254100")</f>
        <v>DOC254100</v>
      </c>
      <c r="B713" t="s">
        <v>11818</v>
      </c>
      <c r="C713" s="663" t="s">
        <v>11843</v>
      </c>
      <c r="D713" s="905" t="s">
        <v>11846</v>
      </c>
    </row>
    <row r="714" spans="1:4" ht="16.5">
      <c r="A714" s="587" t="str">
        <f ca="1">IFERROR(__xludf.DUMMYFUNCTION("""COMPUTED_VALUE"""),"DOC2600100")</f>
        <v>DOC2600100</v>
      </c>
      <c r="B714" t="s">
        <v>11818</v>
      </c>
      <c r="C714" s="663" t="s">
        <v>11843</v>
      </c>
      <c r="D714" s="905" t="s">
        <v>11846</v>
      </c>
    </row>
    <row r="715" spans="1:4" ht="16.5">
      <c r="A715" s="581" t="str">
        <f ca="1">IFERROR(__xludf.DUMMYFUNCTION("""COMPUTED_VALUE"""),"DOC2700091")</f>
        <v>DOC2700091</v>
      </c>
      <c r="B715" t="s">
        <v>11818</v>
      </c>
      <c r="C715" s="663" t="s">
        <v>11843</v>
      </c>
      <c r="D715" s="905" t="s">
        <v>11846</v>
      </c>
    </row>
    <row r="716" spans="1:4" ht="16.5">
      <c r="A716" s="587" t="str">
        <f ca="1">IFERROR(__xludf.DUMMYFUNCTION("""COMPUTED_VALUE"""),"DOC2700100")</f>
        <v>DOC2700100</v>
      </c>
      <c r="B716" t="s">
        <v>11818</v>
      </c>
      <c r="C716" s="663" t="s">
        <v>11843</v>
      </c>
      <c r="D716" s="905" t="s">
        <v>11846</v>
      </c>
    </row>
    <row r="717" spans="1:4" ht="16.5">
      <c r="A717" s="581" t="str">
        <f ca="1">IFERROR(__xludf.DUMMYFUNCTION("""COMPUTED_VALUE"""),"DOC2800150")</f>
        <v>DOC2800150</v>
      </c>
      <c r="B717" t="s">
        <v>11818</v>
      </c>
      <c r="C717" s="663" t="s">
        <v>11843</v>
      </c>
      <c r="D717" s="905" t="s">
        <v>11846</v>
      </c>
    </row>
    <row r="718" spans="1:4" ht="16.5">
      <c r="A718" s="587" t="str">
        <f ca="1">IFERROR(__xludf.DUMMYFUNCTION("""COMPUTED_VALUE"""),"DOC2858080")</f>
        <v>DOC2858080</v>
      </c>
      <c r="B718" t="s">
        <v>11818</v>
      </c>
      <c r="C718" s="663" t="s">
        <v>11843</v>
      </c>
      <c r="D718" s="905" t="s">
        <v>11846</v>
      </c>
    </row>
    <row r="719" spans="1:4" ht="16.5">
      <c r="A719" s="581" t="str">
        <f ca="1">IFERROR(__xludf.DUMMYFUNCTION("""COMPUTED_VALUE"""),"DOC2858081")</f>
        <v>DOC2858081</v>
      </c>
      <c r="B719" t="s">
        <v>11818</v>
      </c>
      <c r="C719" s="663" t="s">
        <v>11843</v>
      </c>
      <c r="D719" s="905" t="s">
        <v>11846</v>
      </c>
    </row>
    <row r="720" spans="1:4" ht="16.5">
      <c r="A720" s="587" t="str">
        <f ca="1">IFERROR(__xludf.DUMMYFUNCTION("""COMPUTED_VALUE"""),"DOT047004030")</f>
        <v>DOT047004030</v>
      </c>
      <c r="B720" t="s">
        <v>11818</v>
      </c>
      <c r="C720" s="663" t="s">
        <v>11843</v>
      </c>
      <c r="D720" s="905" t="s">
        <v>11846</v>
      </c>
    </row>
    <row r="721" spans="1:4" ht="16.5">
      <c r="A721" s="581" t="str">
        <f ca="1">IFERROR(__xludf.DUMMYFUNCTION("""COMPUTED_VALUE"""),"DOT047004530")</f>
        <v>DOT047004530</v>
      </c>
      <c r="B721" t="s">
        <v>11818</v>
      </c>
      <c r="C721" s="663" t="s">
        <v>11843</v>
      </c>
      <c r="D721" s="905" t="s">
        <v>11846</v>
      </c>
    </row>
    <row r="722" spans="1:4" ht="16.5">
      <c r="A722" s="587" t="str">
        <f ca="1">IFERROR(__xludf.DUMMYFUNCTION("""COMPUTED_VALUE"""),"DOT04700530")</f>
        <v>DOT04700530</v>
      </c>
      <c r="B722" t="s">
        <v>11818</v>
      </c>
      <c r="C722" s="663" t="s">
        <v>11843</v>
      </c>
      <c r="D722" s="905" t="s">
        <v>11846</v>
      </c>
    </row>
    <row r="723" spans="1:4" ht="16.5">
      <c r="A723" s="581" t="str">
        <f ca="1">IFERROR(__xludf.DUMMYFUNCTION("""COMPUTED_VALUE"""),"DOT047605030")</f>
        <v>DOT047605030</v>
      </c>
      <c r="B723" t="s">
        <v>11818</v>
      </c>
      <c r="C723" s="663" t="s">
        <v>11843</v>
      </c>
      <c r="D723" s="905" t="s">
        <v>11846</v>
      </c>
    </row>
    <row r="724" spans="1:4" ht="16.5">
      <c r="A724" s="587" t="str">
        <f ca="1">IFERROR(__xludf.DUMMYFUNCTION("""COMPUTED_VALUE"""),"DOT050005130")</f>
        <v>DOT050005130</v>
      </c>
      <c r="B724" t="s">
        <v>11818</v>
      </c>
      <c r="C724" s="663" t="s">
        <v>11843</v>
      </c>
      <c r="D724" s="905" t="s">
        <v>11846</v>
      </c>
    </row>
    <row r="725" spans="1:4" ht="16.5">
      <c r="A725" s="581" t="str">
        <f ca="1">IFERROR(__xludf.DUMMYFUNCTION("""COMPUTED_VALUE"""),"DOT050005530")</f>
        <v>DOT050005530</v>
      </c>
      <c r="B725" t="s">
        <v>11818</v>
      </c>
      <c r="C725" s="663" t="s">
        <v>11843</v>
      </c>
      <c r="D725" s="905" t="s">
        <v>11846</v>
      </c>
    </row>
    <row r="726" spans="1:4" ht="16.5">
      <c r="A726" s="587" t="str">
        <f ca="1">IFERROR(__xludf.DUMMYFUNCTION("""COMPUTED_VALUE"""),"DOT050009130")</f>
        <v>DOT050009130</v>
      </c>
      <c r="B726" t="s">
        <v>11818</v>
      </c>
      <c r="C726" s="663" t="s">
        <v>11843</v>
      </c>
      <c r="D726" s="905" t="s">
        <v>11846</v>
      </c>
    </row>
    <row r="727" spans="1:4" ht="16.5">
      <c r="A727" s="581" t="str">
        <f ca="1">IFERROR(__xludf.DUMMYFUNCTION("""COMPUTED_VALUE"""),"DOT055004030")</f>
        <v>DOT055004030</v>
      </c>
      <c r="B727" t="s">
        <v>11818</v>
      </c>
      <c r="C727" s="663" t="s">
        <v>11843</v>
      </c>
      <c r="D727" s="905" t="s">
        <v>11846</v>
      </c>
    </row>
    <row r="728" spans="1:4" ht="16.5">
      <c r="A728" s="587" t="str">
        <f ca="1">IFERROR(__xludf.DUMMYFUNCTION("""COMPUTED_VALUE"""),"DOT055004530")</f>
        <v>DOT055004530</v>
      </c>
      <c r="B728" t="s">
        <v>11818</v>
      </c>
      <c r="C728" s="663" t="s">
        <v>11843</v>
      </c>
      <c r="D728" s="905" t="s">
        <v>11846</v>
      </c>
    </row>
    <row r="729" spans="1:4" ht="16.5">
      <c r="A729" s="581" t="str">
        <f ca="1">IFERROR(__xludf.DUMMYFUNCTION("""COMPUTED_VALUE"""),"DOT055005115")</f>
        <v>DOT055005115</v>
      </c>
      <c r="B729" t="s">
        <v>11818</v>
      </c>
      <c r="C729" s="663" t="s">
        <v>11843</v>
      </c>
      <c r="D729" s="905" t="s">
        <v>11846</v>
      </c>
    </row>
    <row r="730" spans="1:4" ht="16.5">
      <c r="A730" s="587" t="str">
        <f ca="1">IFERROR(__xludf.DUMMYFUNCTION("""COMPUTED_VALUE"""),"DOT055005130")</f>
        <v>DOT055005130</v>
      </c>
      <c r="B730" t="s">
        <v>11818</v>
      </c>
      <c r="C730" s="663" t="s">
        <v>11843</v>
      </c>
      <c r="D730" s="905" t="s">
        <v>11846</v>
      </c>
    </row>
    <row r="731" spans="1:4" ht="16.5">
      <c r="A731" s="581" t="str">
        <f ca="1">IFERROR(__xludf.DUMMYFUNCTION("""COMPUTED_VALUE"""),"DOT055005515")</f>
        <v>DOT055005515</v>
      </c>
      <c r="B731" t="s">
        <v>11818</v>
      </c>
      <c r="C731" s="663" t="s">
        <v>11843</v>
      </c>
      <c r="D731" s="905" t="s">
        <v>11846</v>
      </c>
    </row>
    <row r="732" spans="1:4" ht="16.5">
      <c r="A732" s="587" t="str">
        <f ca="1">IFERROR(__xludf.DUMMYFUNCTION("""COMPUTED_VALUE"""),"DOT055005529")</f>
        <v>DOT055005529</v>
      </c>
      <c r="B732" t="s">
        <v>11818</v>
      </c>
      <c r="C732" s="663" t="s">
        <v>11843</v>
      </c>
      <c r="D732" s="905" t="s">
        <v>11846</v>
      </c>
    </row>
    <row r="733" spans="1:4" ht="16.5">
      <c r="A733" s="581" t="str">
        <f ca="1">IFERROR(__xludf.DUMMYFUNCTION("""COMPUTED_VALUE"""),"DOT055005530")</f>
        <v>DOT055005530</v>
      </c>
      <c r="B733" t="s">
        <v>11818</v>
      </c>
      <c r="C733" s="663" t="s">
        <v>11843</v>
      </c>
      <c r="D733" s="905" t="s">
        <v>11846</v>
      </c>
    </row>
    <row r="734" spans="1:4" ht="16.5">
      <c r="A734" s="587" t="str">
        <f ca="1">IFERROR(__xludf.DUMMYFUNCTION("""COMPUTED_VALUE"""),"DOT055006130")</f>
        <v>DOT055006130</v>
      </c>
      <c r="B734" t="s">
        <v>11818</v>
      </c>
      <c r="C734" s="663" t="s">
        <v>11843</v>
      </c>
      <c r="D734" s="905" t="s">
        <v>11846</v>
      </c>
    </row>
    <row r="735" spans="1:4" ht="16.5">
      <c r="A735" s="581" t="str">
        <f ca="1">IFERROR(__xludf.DUMMYFUNCTION("""COMPUTED_VALUE"""),"DOT055006330")</f>
        <v>DOT055006330</v>
      </c>
      <c r="B735" t="s">
        <v>11818</v>
      </c>
      <c r="C735" s="663" t="s">
        <v>11843</v>
      </c>
      <c r="D735" s="905" t="s">
        <v>11846</v>
      </c>
    </row>
    <row r="736" spans="1:4" ht="16.5">
      <c r="A736" s="587" t="str">
        <f ca="1">IFERROR(__xludf.DUMMYFUNCTION("""COMPUTED_VALUE"""),"DOT055006530")</f>
        <v>DOT055006530</v>
      </c>
      <c r="B736" t="s">
        <v>11818</v>
      </c>
      <c r="C736" s="663" t="s">
        <v>11843</v>
      </c>
      <c r="D736" s="905" t="s">
        <v>11846</v>
      </c>
    </row>
    <row r="737" spans="1:4" ht="16.5">
      <c r="A737" s="581" t="str">
        <f ca="1">IFERROR(__xludf.DUMMYFUNCTION("""COMPUTED_VALUE"""),"DOT055007530")</f>
        <v>DOT055007530</v>
      </c>
      <c r="B737" t="s">
        <v>11818</v>
      </c>
      <c r="C737" s="663" t="s">
        <v>11843</v>
      </c>
      <c r="D737" s="905" t="s">
        <v>11846</v>
      </c>
    </row>
    <row r="738" spans="1:4" ht="16.5">
      <c r="A738" s="587" t="str">
        <f ca="1">IFERROR(__xludf.DUMMYFUNCTION("""COMPUTED_VALUE"""),"DOT055008130")</f>
        <v>DOT055008130</v>
      </c>
      <c r="B738" t="s">
        <v>11818</v>
      </c>
      <c r="C738" s="663" t="s">
        <v>11843</v>
      </c>
      <c r="D738" s="905" t="s">
        <v>11846</v>
      </c>
    </row>
    <row r="739" spans="1:4" ht="16.5">
      <c r="A739" s="581" t="str">
        <f ca="1">IFERROR(__xludf.DUMMYFUNCTION("""COMPUTED_VALUE"""),"DOT056006130")</f>
        <v>DOT056006130</v>
      </c>
      <c r="B739" t="s">
        <v>11818</v>
      </c>
      <c r="C739" s="663" t="s">
        <v>11843</v>
      </c>
      <c r="D739" s="905" t="s">
        <v>11846</v>
      </c>
    </row>
    <row r="740" spans="1:4" ht="16.5">
      <c r="A740" s="587" t="str">
        <f ca="1">IFERROR(__xludf.DUMMYFUNCTION("""COMPUTED_VALUE"""),"DOT060004022")</f>
        <v>DOT060004022</v>
      </c>
      <c r="B740" t="s">
        <v>11818</v>
      </c>
      <c r="C740" s="663" t="s">
        <v>11843</v>
      </c>
      <c r="D740" s="905" t="s">
        <v>11846</v>
      </c>
    </row>
    <row r="741" spans="1:4" ht="16.5">
      <c r="A741" s="581" t="str">
        <f ca="1">IFERROR(__xludf.DUMMYFUNCTION("""COMPUTED_VALUE"""),"DOT060009130")</f>
        <v>DOT060009130</v>
      </c>
      <c r="B741" t="s">
        <v>11818</v>
      </c>
      <c r="C741" s="663" t="s">
        <v>11843</v>
      </c>
      <c r="D741" s="905" t="s">
        <v>11846</v>
      </c>
    </row>
    <row r="742" spans="1:4" ht="16.5">
      <c r="A742" s="587" t="str">
        <f ca="1">IFERROR(__xludf.DUMMYFUNCTION("""COMPUTED_VALUE"""),"DOT060010030")</f>
        <v>DOT060010030</v>
      </c>
      <c r="B742" t="s">
        <v>11818</v>
      </c>
      <c r="C742" s="663" t="s">
        <v>11843</v>
      </c>
      <c r="D742" s="905" t="s">
        <v>11846</v>
      </c>
    </row>
    <row r="743" spans="1:4" ht="16.5">
      <c r="A743" s="581" t="str">
        <f ca="1">IFERROR(__xludf.DUMMYFUNCTION("""COMPUTED_VALUE"""),"DOT063505130")</f>
        <v>DOT063505130</v>
      </c>
      <c r="B743" t="s">
        <v>11818</v>
      </c>
      <c r="C743" s="663" t="s">
        <v>11843</v>
      </c>
      <c r="D743" s="905" t="s">
        <v>11846</v>
      </c>
    </row>
    <row r="744" spans="1:4" ht="16.5">
      <c r="A744" s="587" t="str">
        <f ca="1">IFERROR(__xludf.DUMMYFUNCTION("""COMPUTED_VALUE"""),"DOT063505615")</f>
        <v>DOT063505615</v>
      </c>
      <c r="B744" t="s">
        <v>11818</v>
      </c>
      <c r="C744" s="663" t="s">
        <v>11843</v>
      </c>
      <c r="D744" s="905" t="s">
        <v>11846</v>
      </c>
    </row>
    <row r="745" spans="1:4" ht="16.5">
      <c r="A745" s="581" t="str">
        <f ca="1">IFERROR(__xludf.DUMMYFUNCTION("""COMPUTED_VALUE"""),"DOT063505630")</f>
        <v>DOT063505630</v>
      </c>
      <c r="B745" t="s">
        <v>11818</v>
      </c>
      <c r="C745" s="663" t="s">
        <v>11843</v>
      </c>
      <c r="D745" s="905" t="s">
        <v>11846</v>
      </c>
    </row>
    <row r="746" spans="1:4" ht="16.5">
      <c r="A746" s="587" t="str">
        <f ca="1">IFERROR(__xludf.DUMMYFUNCTION("""COMPUTED_VALUE"""),"DOT063506130")</f>
        <v>DOT063506130</v>
      </c>
      <c r="B746" t="s">
        <v>11818</v>
      </c>
      <c r="C746" s="663" t="s">
        <v>11843</v>
      </c>
      <c r="D746" s="905" t="s">
        <v>11846</v>
      </c>
    </row>
    <row r="747" spans="1:4" ht="16.5">
      <c r="A747" s="581" t="str">
        <f ca="1">IFERROR(__xludf.DUMMYFUNCTION("""COMPUTED_VALUE"""),"DOT063507003")</f>
        <v>DOT063507003</v>
      </c>
      <c r="B747" t="s">
        <v>11818</v>
      </c>
      <c r="C747" s="663" t="s">
        <v>11843</v>
      </c>
      <c r="D747" s="905" t="s">
        <v>11846</v>
      </c>
    </row>
    <row r="748" spans="1:4" ht="16.5">
      <c r="A748" s="587" t="str">
        <f ca="1">IFERROR(__xludf.DUMMYFUNCTION("""COMPUTED_VALUE"""),"DOT064005030")</f>
        <v>DOT064005030</v>
      </c>
      <c r="B748" t="s">
        <v>11818</v>
      </c>
      <c r="C748" s="663" t="s">
        <v>11843</v>
      </c>
      <c r="D748" s="905" t="s">
        <v>11846</v>
      </c>
    </row>
    <row r="749" spans="1:4" ht="16.5">
      <c r="A749" s="581" t="str">
        <f ca="1">IFERROR(__xludf.DUMMYFUNCTION("""COMPUTED_VALUE"""),"DOT064005530")</f>
        <v>DOT064005530</v>
      </c>
      <c r="B749" t="s">
        <v>11818</v>
      </c>
      <c r="C749" s="663" t="s">
        <v>11843</v>
      </c>
      <c r="D749" s="905" t="s">
        <v>11846</v>
      </c>
    </row>
    <row r="750" spans="1:4" ht="16.5">
      <c r="A750" s="587" t="str">
        <f ca="1">IFERROR(__xludf.DUMMYFUNCTION("""COMPUTED_VALUE"""),"DOT064005630")</f>
        <v>DOT064005630</v>
      </c>
      <c r="B750" t="s">
        <v>11818</v>
      </c>
      <c r="C750" s="663" t="s">
        <v>11843</v>
      </c>
      <c r="D750" s="905" t="s">
        <v>11846</v>
      </c>
    </row>
    <row r="751" spans="1:4" ht="16.5">
      <c r="A751" s="581" t="str">
        <f ca="1">IFERROR(__xludf.DUMMYFUNCTION("""COMPUTED_VALUE"""),"DOT064006030")</f>
        <v>DOT064006030</v>
      </c>
      <c r="B751" t="s">
        <v>11818</v>
      </c>
      <c r="C751" s="663" t="s">
        <v>11843</v>
      </c>
      <c r="D751" s="905" t="s">
        <v>11846</v>
      </c>
    </row>
    <row r="752" spans="1:4" ht="16.5">
      <c r="A752" s="587" t="str">
        <f ca="1">IFERROR(__xludf.DUMMYFUNCTION("""COMPUTED_VALUE"""),"DOT064006530")</f>
        <v>DOT064006530</v>
      </c>
      <c r="B752" t="s">
        <v>11818</v>
      </c>
      <c r="C752" s="663" t="s">
        <v>11843</v>
      </c>
      <c r="D752" s="905" t="s">
        <v>11846</v>
      </c>
    </row>
    <row r="753" spans="1:4" ht="16.5">
      <c r="A753" s="581" t="str">
        <f ca="1">IFERROR(__xludf.DUMMYFUNCTION("""COMPUTED_VALUE"""),"DOT065005130")</f>
        <v>DOT065005130</v>
      </c>
      <c r="B753" t="s">
        <v>11818</v>
      </c>
      <c r="C753" s="663" t="s">
        <v>11843</v>
      </c>
      <c r="D753" s="905" t="s">
        <v>11846</v>
      </c>
    </row>
    <row r="754" spans="1:4" ht="16.5">
      <c r="A754" s="587" t="str">
        <f ca="1">IFERROR(__xludf.DUMMYFUNCTION("""COMPUTED_VALUE"""),"DOT065005515")</f>
        <v>DOT065005515</v>
      </c>
      <c r="B754" t="s">
        <v>11818</v>
      </c>
      <c r="C754" s="663" t="s">
        <v>11843</v>
      </c>
      <c r="D754" s="905" t="s">
        <v>11846</v>
      </c>
    </row>
    <row r="755" spans="1:4" ht="16.5">
      <c r="A755" s="581" t="str">
        <f ca="1">IFERROR(__xludf.DUMMYFUNCTION("""COMPUTED_VALUE"""),"DOT065005530")</f>
        <v>DOT065005530</v>
      </c>
      <c r="B755" t="s">
        <v>11818</v>
      </c>
      <c r="C755" s="663" t="s">
        <v>11843</v>
      </c>
      <c r="D755" s="905" t="s">
        <v>11846</v>
      </c>
    </row>
    <row r="756" spans="1:4" ht="16.5">
      <c r="A756" s="587" t="str">
        <f ca="1">IFERROR(__xludf.DUMMYFUNCTION("""COMPUTED_VALUE"""),"DOT065006029")</f>
        <v>DOT065006029</v>
      </c>
      <c r="B756" t="s">
        <v>11818</v>
      </c>
      <c r="C756" s="663" t="s">
        <v>11843</v>
      </c>
      <c r="D756" s="905" t="s">
        <v>11846</v>
      </c>
    </row>
    <row r="757" spans="1:4" ht="16.5">
      <c r="A757" s="581" t="str">
        <f ca="1">IFERROR(__xludf.DUMMYFUNCTION("""COMPUTED_VALUE"""),"DOT065006030")</f>
        <v>DOT065006030</v>
      </c>
      <c r="B757" t="s">
        <v>11818</v>
      </c>
      <c r="C757" s="663" t="s">
        <v>11843</v>
      </c>
      <c r="D757" s="905" t="s">
        <v>11846</v>
      </c>
    </row>
    <row r="758" spans="1:4" ht="16.5">
      <c r="A758" s="587" t="str">
        <f ca="1">IFERROR(__xludf.DUMMYFUNCTION("""COMPUTED_VALUE"""),"DOT065006130")</f>
        <v>DOT065006130</v>
      </c>
      <c r="B758" t="s">
        <v>11818</v>
      </c>
      <c r="C758" s="663" t="s">
        <v>11843</v>
      </c>
      <c r="D758" s="905" t="s">
        <v>11846</v>
      </c>
    </row>
    <row r="759" spans="1:4" ht="16.5">
      <c r="A759" s="581" t="str">
        <f ca="1">IFERROR(__xludf.DUMMYFUNCTION("""COMPUTED_VALUE"""),"DOT065006515")</f>
        <v>DOT065006515</v>
      </c>
      <c r="B759" t="s">
        <v>11818</v>
      </c>
      <c r="C759" s="663" t="s">
        <v>11843</v>
      </c>
      <c r="D759" s="905" t="s">
        <v>11846</v>
      </c>
    </row>
    <row r="760" spans="1:4" ht="16.5">
      <c r="A760" s="587" t="str">
        <f ca="1">IFERROR(__xludf.DUMMYFUNCTION("""COMPUTED_VALUE"""),"DOT065006530")</f>
        <v>DOT065006530</v>
      </c>
      <c r="B760" t="s">
        <v>11818</v>
      </c>
      <c r="C760" s="663" t="s">
        <v>11843</v>
      </c>
      <c r="D760" s="905" t="s">
        <v>11846</v>
      </c>
    </row>
    <row r="761" spans="1:4" ht="16.5">
      <c r="A761" s="581" t="str">
        <f ca="1">IFERROR(__xludf.DUMMYFUNCTION("""COMPUTED_VALUE"""),"DOT065007030")</f>
        <v>DOT065007030</v>
      </c>
      <c r="B761" t="s">
        <v>11818</v>
      </c>
      <c r="C761" s="663" t="s">
        <v>11843</v>
      </c>
      <c r="D761" s="905" t="s">
        <v>11846</v>
      </c>
    </row>
    <row r="762" spans="1:4" ht="16.5">
      <c r="A762" s="587" t="str">
        <f ca="1">IFERROR(__xludf.DUMMYFUNCTION("""COMPUTED_VALUE"""),"DOT067008530")</f>
        <v>DOT067008530</v>
      </c>
      <c r="B762" t="s">
        <v>11818</v>
      </c>
      <c r="C762" s="663" t="s">
        <v>11843</v>
      </c>
      <c r="D762" s="905" t="s">
        <v>11846</v>
      </c>
    </row>
    <row r="763" spans="1:4" ht="16.5">
      <c r="A763" s="581" t="str">
        <f ca="1">IFERROR(__xludf.DUMMYFUNCTION("""COMPUTED_VALUE"""),"DOT70005830")</f>
        <v>DOT70005830</v>
      </c>
      <c r="B763" t="s">
        <v>11818</v>
      </c>
      <c r="C763" s="663" t="s">
        <v>11843</v>
      </c>
      <c r="D763" s="905" t="s">
        <v>11846</v>
      </c>
    </row>
    <row r="764" spans="1:4" ht="16.5">
      <c r="A764" s="587" t="str">
        <f ca="1">IFERROR(__xludf.DUMMYFUNCTION("""COMPUTED_VALUE"""),"DOT070006130")</f>
        <v>DOT070006130</v>
      </c>
      <c r="B764" t="s">
        <v>11818</v>
      </c>
      <c r="C764" s="663" t="s">
        <v>11843</v>
      </c>
      <c r="D764" s="905" t="s">
        <v>11846</v>
      </c>
    </row>
    <row r="765" spans="1:4" ht="16.5">
      <c r="A765" s="581" t="str">
        <f ca="1">IFERROR(__xludf.DUMMYFUNCTION("""COMPUTED_VALUE"""),"DOT70006520")</f>
        <v>DOT70006520</v>
      </c>
      <c r="B765" t="s">
        <v>11818</v>
      </c>
      <c r="C765" s="663" t="s">
        <v>11843</v>
      </c>
      <c r="D765" s="905" t="s">
        <v>11846</v>
      </c>
    </row>
    <row r="766" spans="1:4" ht="16.5">
      <c r="A766" s="587" t="str">
        <f ca="1">IFERROR(__xludf.DUMMYFUNCTION("""COMPUTED_VALUE"""),"DOT70006530")</f>
        <v>DOT70006530</v>
      </c>
      <c r="B766" t="s">
        <v>11818</v>
      </c>
      <c r="C766" s="663" t="s">
        <v>11843</v>
      </c>
      <c r="D766" s="905" t="s">
        <v>11846</v>
      </c>
    </row>
    <row r="767" spans="1:4" ht="16.5">
      <c r="A767" s="581" t="str">
        <f ca="1">IFERROR(__xludf.DUMMYFUNCTION("""COMPUTED_VALUE"""),"DOT070007503")</f>
        <v>DOT070007503</v>
      </c>
      <c r="B767" t="s">
        <v>11818</v>
      </c>
      <c r="C767" s="663" t="s">
        <v>11843</v>
      </c>
      <c r="D767" s="905" t="s">
        <v>11846</v>
      </c>
    </row>
    <row r="768" spans="1:4" ht="16.5">
      <c r="A768" s="587" t="str">
        <f ca="1">IFERROR(__xludf.DUMMYFUNCTION("""COMPUTED_VALUE"""),"DOT070008130")</f>
        <v>DOT070008130</v>
      </c>
      <c r="B768" t="s">
        <v>11818</v>
      </c>
      <c r="C768" s="663" t="s">
        <v>11843</v>
      </c>
      <c r="D768" s="905" t="s">
        <v>11846</v>
      </c>
    </row>
    <row r="769" spans="1:4" ht="16.5">
      <c r="A769" s="581" t="str">
        <f ca="1">IFERROR(__xludf.DUMMYFUNCTION("""COMPUTED_VALUE"""),"DOT075008530")</f>
        <v>DOT075008530</v>
      </c>
      <c r="B769" t="s">
        <v>11818</v>
      </c>
      <c r="C769" s="663" t="s">
        <v>11843</v>
      </c>
      <c r="D769" s="905" t="s">
        <v>11846</v>
      </c>
    </row>
    <row r="770" spans="1:4" ht="16.5">
      <c r="A770" s="587" t="str">
        <f ca="1">IFERROR(__xludf.DUMMYFUNCTION("""COMPUTED_VALUE"""),"DOT072005830")</f>
        <v>DOT072005830</v>
      </c>
      <c r="B770" t="s">
        <v>11818</v>
      </c>
      <c r="C770" s="663" t="s">
        <v>11843</v>
      </c>
      <c r="D770" s="905" t="s">
        <v>11846</v>
      </c>
    </row>
    <row r="771" spans="1:4" ht="16.5">
      <c r="A771" s="581" t="str">
        <f ca="1">IFERROR(__xludf.DUMMYFUNCTION("""COMPUTED_VALUE"""),"DOT072006030")</f>
        <v>DOT072006030</v>
      </c>
      <c r="B771" t="s">
        <v>11818</v>
      </c>
      <c r="C771" s="663" t="s">
        <v>11843</v>
      </c>
      <c r="D771" s="905" t="s">
        <v>11846</v>
      </c>
    </row>
    <row r="772" spans="1:4" ht="16.5">
      <c r="A772" s="587" t="str">
        <f ca="1">IFERROR(__xludf.DUMMYFUNCTION("""COMPUTED_VALUE"""),"DOT072006130")</f>
        <v>DOT072006130</v>
      </c>
      <c r="B772" t="s">
        <v>11818</v>
      </c>
      <c r="C772" s="663" t="s">
        <v>11843</v>
      </c>
      <c r="D772" s="905" t="s">
        <v>11846</v>
      </c>
    </row>
    <row r="773" spans="1:4" ht="16.5">
      <c r="A773" s="581" t="str">
        <f ca="1">IFERROR(__xludf.DUMMYFUNCTION("""COMPUTED_VALUE"""),"DOT073006130")</f>
        <v>DOT073006130</v>
      </c>
      <c r="B773" t="s">
        <v>11818</v>
      </c>
      <c r="C773" s="663" t="s">
        <v>11843</v>
      </c>
      <c r="D773" s="905" t="s">
        <v>11846</v>
      </c>
    </row>
    <row r="774" spans="1:4" ht="16.5">
      <c r="A774" s="587" t="str">
        <f ca="1">IFERROR(__xludf.DUMMYFUNCTION("""COMPUTED_VALUE"""),"DOT073006330")</f>
        <v>DOT073006330</v>
      </c>
      <c r="B774" t="s">
        <v>11818</v>
      </c>
      <c r="C774" s="663" t="s">
        <v>11843</v>
      </c>
      <c r="D774" s="905" t="s">
        <v>11846</v>
      </c>
    </row>
    <row r="775" spans="1:4" ht="16.5">
      <c r="A775" s="581" t="str">
        <f ca="1">IFERROR(__xludf.DUMMYFUNCTION("""COMPUTED_VALUE"""),"DOT074006630")</f>
        <v>DOT074006630</v>
      </c>
      <c r="B775" t="s">
        <v>11818</v>
      </c>
      <c r="C775" s="663" t="s">
        <v>11843</v>
      </c>
      <c r="D775" s="905" t="s">
        <v>11846</v>
      </c>
    </row>
    <row r="776" spans="1:4" ht="16.5">
      <c r="A776" s="587" t="str">
        <f ca="1">IFERROR(__xludf.DUMMYFUNCTION("""COMPUTED_VALUE"""),"DOT075006030")</f>
        <v>DOT075006030</v>
      </c>
      <c r="B776" t="s">
        <v>11818</v>
      </c>
      <c r="C776" s="663" t="s">
        <v>11843</v>
      </c>
      <c r="D776" s="905" t="s">
        <v>11846</v>
      </c>
    </row>
    <row r="777" spans="1:4" ht="16.5">
      <c r="A777" s="581" t="str">
        <f ca="1">IFERROR(__xludf.DUMMYFUNCTION("""COMPUTED_VALUE"""),"DOT07506030")</f>
        <v>DOT07506030</v>
      </c>
      <c r="B777" t="s">
        <v>11818</v>
      </c>
      <c r="C777" s="663" t="s">
        <v>11843</v>
      </c>
      <c r="D777" s="905" t="s">
        <v>11846</v>
      </c>
    </row>
    <row r="778" spans="1:4" ht="16.5">
      <c r="A778" s="587" t="str">
        <f ca="1">IFERROR(__xludf.DUMMYFUNCTION("""COMPUTED_VALUE"""),"DOT075006115")</f>
        <v>DOT075006115</v>
      </c>
      <c r="B778" t="s">
        <v>11818</v>
      </c>
      <c r="C778" s="663" t="s">
        <v>11843</v>
      </c>
      <c r="D778" s="905" t="s">
        <v>11846</v>
      </c>
    </row>
    <row r="779" spans="1:4" ht="16.5">
      <c r="A779" s="581" t="str">
        <f ca="1">IFERROR(__xludf.DUMMYFUNCTION("""COMPUTED_VALUE"""),"DOT07506330")</f>
        <v>DOT07506330</v>
      </c>
      <c r="B779" t="s">
        <v>11818</v>
      </c>
      <c r="C779" s="663" t="s">
        <v>11843</v>
      </c>
      <c r="D779" s="905" t="s">
        <v>11846</v>
      </c>
    </row>
    <row r="780" spans="1:4" ht="16.5">
      <c r="A780" s="587" t="str">
        <f ca="1">IFERROR(__xludf.DUMMYFUNCTION("""COMPUTED_VALUE"""),"DOT0750065140")</f>
        <v>DOT0750065140</v>
      </c>
      <c r="B780" t="s">
        <v>11818</v>
      </c>
      <c r="C780" s="663" t="s">
        <v>11843</v>
      </c>
      <c r="D780" s="905" t="s">
        <v>11846</v>
      </c>
    </row>
    <row r="781" spans="1:4" ht="16.5">
      <c r="A781" s="581" t="str">
        <f ca="1">IFERROR(__xludf.DUMMYFUNCTION("""COMPUTED_VALUE"""),"DOT075006530")</f>
        <v>DOT075006530</v>
      </c>
      <c r="B781" t="s">
        <v>11818</v>
      </c>
      <c r="C781" s="663" t="s">
        <v>11843</v>
      </c>
      <c r="D781" s="905" t="s">
        <v>11846</v>
      </c>
    </row>
    <row r="782" spans="1:4" ht="16.5">
      <c r="A782" s="587" t="str">
        <f ca="1">IFERROR(__xludf.DUMMYFUNCTION("""COMPUTED_VALUE"""),"DOT7506514")</f>
        <v>DOT7506514</v>
      </c>
      <c r="B782" t="s">
        <v>11818</v>
      </c>
      <c r="C782" s="663" t="s">
        <v>11843</v>
      </c>
      <c r="D782" s="905" t="s">
        <v>11846</v>
      </c>
    </row>
    <row r="783" spans="1:4" ht="16.5">
      <c r="A783" s="581" t="str">
        <f ca="1">IFERROR(__xludf.DUMMYFUNCTION("""COMPUTED_VALUE"""),"DOT7506515")</f>
        <v>DOT7506515</v>
      </c>
      <c r="B783" t="s">
        <v>11818</v>
      </c>
      <c r="C783" s="663" t="s">
        <v>11843</v>
      </c>
      <c r="D783" s="905" t="s">
        <v>11846</v>
      </c>
    </row>
    <row r="784" spans="1:4" ht="16.5">
      <c r="A784" s="587" t="str">
        <f ca="1">IFERROR(__xludf.DUMMYFUNCTION("""COMPUTED_VALUE"""),"DOT750653")</f>
        <v>DOT750653</v>
      </c>
      <c r="B784" t="s">
        <v>11818</v>
      </c>
      <c r="C784" s="663" t="s">
        <v>11843</v>
      </c>
      <c r="D784" s="905" t="s">
        <v>11846</v>
      </c>
    </row>
    <row r="785" spans="1:4" ht="16.5">
      <c r="A785" s="581" t="str">
        <f ca="1">IFERROR(__xludf.DUMMYFUNCTION("""COMPUTED_VALUE"""),"DOT075006630")</f>
        <v>DOT075006630</v>
      </c>
      <c r="B785" t="s">
        <v>11818</v>
      </c>
      <c r="C785" s="663" t="s">
        <v>11843</v>
      </c>
      <c r="D785" s="905" t="s">
        <v>11846</v>
      </c>
    </row>
    <row r="786" spans="1:4" ht="16.5">
      <c r="A786" s="587" t="str">
        <f ca="1">IFERROR(__xludf.DUMMYFUNCTION("""COMPUTED_VALUE"""),"DOT075006830")</f>
        <v>DOT075006830</v>
      </c>
      <c r="B786" t="s">
        <v>11818</v>
      </c>
      <c r="C786" s="663" t="s">
        <v>11843</v>
      </c>
      <c r="D786" s="905" t="s">
        <v>11846</v>
      </c>
    </row>
    <row r="787" spans="1:4" ht="16.5">
      <c r="A787" s="581" t="str">
        <f ca="1">IFERROR(__xludf.DUMMYFUNCTION("""COMPUTED_VALUE"""),"DOT075007030")</f>
        <v>DOT075007030</v>
      </c>
      <c r="B787" t="s">
        <v>11818</v>
      </c>
      <c r="C787" s="663" t="s">
        <v>11843</v>
      </c>
      <c r="D787" s="905" t="s">
        <v>11846</v>
      </c>
    </row>
    <row r="788" spans="1:4" ht="16.5">
      <c r="A788" s="587" t="str">
        <f ca="1">IFERROR(__xludf.DUMMYFUNCTION("""COMPUTED_VALUE"""),"DOT07507130")</f>
        <v>DOT07507130</v>
      </c>
      <c r="B788" t="s">
        <v>11818</v>
      </c>
      <c r="C788" s="663" t="s">
        <v>11843</v>
      </c>
      <c r="D788" s="905" t="s">
        <v>11846</v>
      </c>
    </row>
    <row r="789" spans="1:4" ht="16.5">
      <c r="A789" s="581" t="str">
        <f ca="1">IFERROR(__xludf.DUMMYFUNCTION("""COMPUTED_VALUE"""),"DOT075007530")</f>
        <v>DOT075007530</v>
      </c>
      <c r="B789" t="s">
        <v>11818</v>
      </c>
      <c r="C789" s="663" t="s">
        <v>11843</v>
      </c>
      <c r="D789" s="905" t="s">
        <v>11846</v>
      </c>
    </row>
    <row r="790" spans="1:4" ht="16.5">
      <c r="A790" s="587" t="str">
        <f ca="1">IFERROR(__xludf.DUMMYFUNCTION("""COMPUTED_VALUE"""),"DOT075008030")</f>
        <v>DOT075008030</v>
      </c>
      <c r="B790" t="s">
        <v>11818</v>
      </c>
      <c r="C790" s="663" t="s">
        <v>11843</v>
      </c>
      <c r="D790" s="905" t="s">
        <v>11846</v>
      </c>
    </row>
    <row r="791" spans="1:4" ht="16.5">
      <c r="A791" s="581" t="str">
        <f ca="1">IFERROR(__xludf.DUMMYFUNCTION("""COMPUTED_VALUE"""),"DOT075008130")</f>
        <v>DOT075008130</v>
      </c>
      <c r="B791" t="s">
        <v>11818</v>
      </c>
      <c r="C791" s="663" t="s">
        <v>11843</v>
      </c>
      <c r="D791" s="905" t="s">
        <v>11846</v>
      </c>
    </row>
    <row r="792" spans="1:4" ht="16.5">
      <c r="A792" s="587" t="str">
        <f ca="1">IFERROR(__xludf.DUMMYFUNCTION("""COMPUTED_VALUE"""),"DOT075008529")</f>
        <v>DOT075008529</v>
      </c>
      <c r="B792" t="s">
        <v>11818</v>
      </c>
      <c r="C792" s="663" t="s">
        <v>11843</v>
      </c>
      <c r="D792" s="905" t="s">
        <v>11846</v>
      </c>
    </row>
    <row r="793" spans="1:4" ht="16.5">
      <c r="A793" s="581" t="str">
        <f ca="1">IFERROR(__xludf.DUMMYFUNCTION("""COMPUTED_VALUE"""),"DOT075009030")</f>
        <v>DOT075009030</v>
      </c>
      <c r="B793" t="s">
        <v>11818</v>
      </c>
      <c r="C793" s="663" t="s">
        <v>11843</v>
      </c>
      <c r="D793" s="905" t="s">
        <v>11846</v>
      </c>
    </row>
    <row r="794" spans="1:4" ht="16.5">
      <c r="A794" s="587" t="str">
        <f ca="1">IFERROR(__xludf.DUMMYFUNCTION("""COMPUTED_VALUE"""),"DOT076007530")</f>
        <v>DOT076007530</v>
      </c>
      <c r="B794" t="s">
        <v>11818</v>
      </c>
      <c r="C794" s="663" t="s">
        <v>11843</v>
      </c>
      <c r="D794" s="905" t="s">
        <v>11846</v>
      </c>
    </row>
    <row r="795" spans="1:4" ht="16.5">
      <c r="A795" s="581" t="str">
        <f ca="1">IFERROR(__xludf.DUMMYFUNCTION("""COMPUTED_VALUE"""),"DOT8000401883")</f>
        <v>DOT8000401883</v>
      </c>
      <c r="B795" t="s">
        <v>11818</v>
      </c>
      <c r="C795" s="663" t="s">
        <v>11843</v>
      </c>
      <c r="D795" s="905" t="s">
        <v>11846</v>
      </c>
    </row>
    <row r="796" spans="1:4" ht="16.5">
      <c r="A796" s="587" t="str">
        <f ca="1">IFERROR(__xludf.DUMMYFUNCTION("""COMPUTED_VALUE"""),"DOT800040189")</f>
        <v>DOT800040189</v>
      </c>
      <c r="B796" t="s">
        <v>11818</v>
      </c>
      <c r="C796" s="663" t="s">
        <v>11843</v>
      </c>
      <c r="D796" s="905" t="s">
        <v>11846</v>
      </c>
    </row>
    <row r="797" spans="1:4" ht="16.5">
      <c r="A797" s="581" t="str">
        <f ca="1">IFERROR(__xludf.DUMMYFUNCTION("""COMPUTED_VALUE"""),"DOT80006130")</f>
        <v>DOT80006130</v>
      </c>
      <c r="B797" t="s">
        <v>11818</v>
      </c>
      <c r="C797" s="663" t="s">
        <v>11843</v>
      </c>
      <c r="D797" s="905" t="s">
        <v>11846</v>
      </c>
    </row>
    <row r="798" spans="1:4" ht="16.5">
      <c r="A798" s="587" t="str">
        <f ca="1">IFERROR(__xludf.DUMMYFUNCTION("""COMPUTED_VALUE"""),"DOT80007130")</f>
        <v>DOT80007130</v>
      </c>
      <c r="B798" t="s">
        <v>11818</v>
      </c>
      <c r="C798" s="663" t="s">
        <v>11843</v>
      </c>
      <c r="D798" s="905" t="s">
        <v>11846</v>
      </c>
    </row>
    <row r="799" spans="1:4" ht="16.5">
      <c r="A799" s="581" t="str">
        <f ca="1">IFERROR(__xludf.DUMMYFUNCTION("""COMPUTED_VALUE"""),"DOT8000800745")</f>
        <v>DOT8000800745</v>
      </c>
      <c r="B799" t="s">
        <v>11818</v>
      </c>
      <c r="C799" s="663" t="s">
        <v>11843</v>
      </c>
      <c r="D799" s="905" t="s">
        <v>11846</v>
      </c>
    </row>
    <row r="800" spans="1:4" ht="16.5">
      <c r="A800" s="587" t="str">
        <f ca="1">IFERROR(__xludf.DUMMYFUNCTION("""COMPUTED_VALUE"""),"DOT800080075")</f>
        <v>DOT800080075</v>
      </c>
      <c r="B800" t="s">
        <v>11818</v>
      </c>
      <c r="C800" s="663" t="s">
        <v>11843</v>
      </c>
      <c r="D800" s="905" t="s">
        <v>11846</v>
      </c>
    </row>
    <row r="801" spans="1:4" ht="16.5">
      <c r="A801" s="581" t="str">
        <f ca="1">IFERROR(__xludf.DUMMYFUNCTION("""COMPUTED_VALUE"""),"DOT80010030")</f>
        <v>DOT80010030</v>
      </c>
      <c r="B801" t="s">
        <v>11818</v>
      </c>
      <c r="C801" s="663" t="s">
        <v>11843</v>
      </c>
      <c r="D801" s="905" t="s">
        <v>11846</v>
      </c>
    </row>
    <row r="802" spans="1:4" ht="16.5">
      <c r="A802" s="587" t="str">
        <f ca="1">IFERROR(__xludf.DUMMYFUNCTION("""COMPUTED_VALUE"""),"DOT80012030")</f>
        <v>DOT80012030</v>
      </c>
      <c r="B802" t="s">
        <v>11818</v>
      </c>
      <c r="C802" s="663" t="s">
        <v>11843</v>
      </c>
      <c r="D802" s="905" t="s">
        <v>11846</v>
      </c>
    </row>
    <row r="803" spans="1:4" ht="16.5">
      <c r="A803" s="581" t="str">
        <f ca="1">IFERROR(__xludf.DUMMYFUNCTION("""COMPUTED_VALUE"""),"DOT085006630")</f>
        <v>DOT085006630</v>
      </c>
      <c r="B803" t="s">
        <v>11818</v>
      </c>
      <c r="C803" s="663" t="s">
        <v>11843</v>
      </c>
      <c r="D803" s="905" t="s">
        <v>11846</v>
      </c>
    </row>
    <row r="804" spans="1:4" ht="16.5">
      <c r="A804" s="587" t="str">
        <f ca="1">IFERROR(__xludf.DUMMYFUNCTION("""COMPUTED_VALUE"""),"DOT085006830")</f>
        <v>DOT085006830</v>
      </c>
      <c r="B804" t="s">
        <v>11818</v>
      </c>
      <c r="C804" s="663" t="s">
        <v>11843</v>
      </c>
      <c r="D804" s="905" t="s">
        <v>11846</v>
      </c>
    </row>
    <row r="805" spans="1:4" ht="16.5">
      <c r="A805" s="581" t="str">
        <f ca="1">IFERROR(__xludf.DUMMYFUNCTION("""COMPUTED_VALUE"""),"DOT085007130")</f>
        <v>DOT085007130</v>
      </c>
      <c r="B805" t="s">
        <v>11818</v>
      </c>
      <c r="C805" s="663" t="s">
        <v>11843</v>
      </c>
      <c r="D805" s="905" t="s">
        <v>11846</v>
      </c>
    </row>
    <row r="806" spans="1:4" ht="16.5">
      <c r="A806" s="587" t="str">
        <f ca="1">IFERROR(__xludf.DUMMYFUNCTION("""COMPUTED_VALUE"""),"DOT08500733")</f>
        <v>DOT08500733</v>
      </c>
      <c r="B806" t="s">
        <v>11818</v>
      </c>
      <c r="C806" s="663" t="s">
        <v>11843</v>
      </c>
      <c r="D806" s="905" t="s">
        <v>11846</v>
      </c>
    </row>
    <row r="807" spans="1:4" ht="16.5">
      <c r="A807" s="581" t="str">
        <f ca="1">IFERROR(__xludf.DUMMYFUNCTION("""COMPUTED_VALUE"""),"DOT085007530")</f>
        <v>DOT085007530</v>
      </c>
      <c r="B807" t="s">
        <v>11818</v>
      </c>
      <c r="C807" s="663" t="s">
        <v>11843</v>
      </c>
      <c r="D807" s="905" t="s">
        <v>11846</v>
      </c>
    </row>
    <row r="808" spans="1:4" ht="16.5">
      <c r="A808" s="587" t="str">
        <f ca="1">IFERROR(__xludf.DUMMYFUNCTION("""COMPUTED_VALUE"""),"DOT085008030")</f>
        <v>DOT085008030</v>
      </c>
      <c r="B808" t="s">
        <v>11818</v>
      </c>
      <c r="C808" s="663" t="s">
        <v>11843</v>
      </c>
      <c r="D808" s="905" t="s">
        <v>11846</v>
      </c>
    </row>
    <row r="809" spans="1:4" ht="16.5">
      <c r="A809" s="581" t="str">
        <f ca="1">IFERROR(__xludf.DUMMYFUNCTION("""COMPUTED_VALUE"""),"DOT085008530")</f>
        <v>DOT085008530</v>
      </c>
      <c r="B809" t="s">
        <v>11818</v>
      </c>
      <c r="C809" s="663" t="s">
        <v>11843</v>
      </c>
      <c r="D809" s="905" t="s">
        <v>11846</v>
      </c>
    </row>
    <row r="810" spans="1:4" ht="16.5">
      <c r="A810" s="587" t="str">
        <f ca="1">IFERROR(__xludf.DUMMYFUNCTION("""COMPUTED_VALUE"""),"DOT08515030")</f>
        <v>DOT08515030</v>
      </c>
      <c r="B810" t="s">
        <v>11818</v>
      </c>
      <c r="C810" s="663" t="s">
        <v>11843</v>
      </c>
      <c r="D810" s="905" t="s">
        <v>11846</v>
      </c>
    </row>
    <row r="811" spans="1:4" ht="16.5">
      <c r="A811" s="581" t="str">
        <f ca="1">IFERROR(__xludf.DUMMYFUNCTION("""COMPUTED_VALUE"""),"DOT086006530")</f>
        <v>DOT086006530</v>
      </c>
      <c r="B811" t="s">
        <v>11818</v>
      </c>
      <c r="C811" s="663" t="s">
        <v>11843</v>
      </c>
      <c r="D811" s="905" t="s">
        <v>11846</v>
      </c>
    </row>
    <row r="812" spans="1:4" ht="16.5">
      <c r="A812" s="587" t="str">
        <f ca="1">IFERROR(__xludf.DUMMYFUNCTION("""COMPUTED_VALUE"""),"DOT086006630")</f>
        <v>DOT086006630</v>
      </c>
      <c r="B812" t="s">
        <v>11818</v>
      </c>
      <c r="C812" s="663" t="s">
        <v>11843</v>
      </c>
      <c r="D812" s="905" t="s">
        <v>11846</v>
      </c>
    </row>
    <row r="813" spans="1:4" ht="16.5">
      <c r="A813" s="581" t="str">
        <f ca="1">IFERROR(__xludf.DUMMYFUNCTION("""COMPUTED_VALUE"""),"DOT086007130")</f>
        <v>DOT086007130</v>
      </c>
      <c r="B813" t="s">
        <v>11818</v>
      </c>
      <c r="C813" s="663" t="s">
        <v>11843</v>
      </c>
      <c r="D813" s="905" t="s">
        <v>11846</v>
      </c>
    </row>
    <row r="814" spans="1:4" ht="16.5">
      <c r="A814" s="587" t="str">
        <f ca="1">IFERROR(__xludf.DUMMYFUNCTION("""COMPUTED_VALUE"""),"DOT088010030")</f>
        <v>DOT088010030</v>
      </c>
      <c r="B814" t="s">
        <v>11818</v>
      </c>
      <c r="C814" s="663" t="s">
        <v>11843</v>
      </c>
      <c r="D814" s="905" t="s">
        <v>11846</v>
      </c>
    </row>
    <row r="815" spans="1:4" ht="16.5">
      <c r="A815" s="581" t="str">
        <f ca="1">IFERROR(__xludf.DUMMYFUNCTION("""COMPUTED_VALUE"""),"DOT089007630")</f>
        <v>DOT089007630</v>
      </c>
      <c r="B815" t="s">
        <v>11818</v>
      </c>
      <c r="C815" s="663" t="s">
        <v>11843</v>
      </c>
      <c r="D815" s="905" t="s">
        <v>11846</v>
      </c>
    </row>
    <row r="816" spans="1:4" ht="16.5">
      <c r="A816" s="587" t="str">
        <f ca="1">IFERROR(__xludf.DUMMYFUNCTION("""COMPUTED_VALUE"""),"DOT089008030")</f>
        <v>DOT089008030</v>
      </c>
      <c r="B816" t="s">
        <v>11818</v>
      </c>
      <c r="C816" s="663" t="s">
        <v>11843</v>
      </c>
      <c r="D816" s="905" t="s">
        <v>11846</v>
      </c>
    </row>
    <row r="817" spans="1:4" ht="16.5">
      <c r="A817" s="581" t="str">
        <f ca="1">IFERROR(__xludf.DUMMYFUNCTION("""COMPUTED_VALUE"""),"DOT090006130")</f>
        <v>DOT090006130</v>
      </c>
      <c r="B817" t="s">
        <v>11818</v>
      </c>
      <c r="C817" s="663" t="s">
        <v>11843</v>
      </c>
      <c r="D817" s="905" t="s">
        <v>11846</v>
      </c>
    </row>
    <row r="818" spans="1:4" ht="16.5">
      <c r="A818" s="587" t="str">
        <f ca="1">IFERROR(__xludf.DUMMYFUNCTION("""COMPUTED_VALUE"""),"DOT090007030")</f>
        <v>DOT090007030</v>
      </c>
      <c r="B818" t="s">
        <v>11818</v>
      </c>
      <c r="C818" s="663" t="s">
        <v>11843</v>
      </c>
      <c r="D818" s="905" t="s">
        <v>11846</v>
      </c>
    </row>
    <row r="819" spans="1:4" ht="16.5">
      <c r="A819" s="581" t="str">
        <f ca="1">IFERROR(__xludf.DUMMYFUNCTION("""COMPUTED_VALUE"""),"DOT090007130")</f>
        <v>DOT090007130</v>
      </c>
      <c r="B819" t="s">
        <v>11818</v>
      </c>
      <c r="C819" s="663" t="s">
        <v>11843</v>
      </c>
      <c r="D819" s="905" t="s">
        <v>11846</v>
      </c>
    </row>
    <row r="820" spans="1:4" ht="16.5">
      <c r="A820" s="587" t="str">
        <f ca="1">IFERROR(__xludf.DUMMYFUNCTION("""COMPUTED_VALUE"""),"DOT090007530")</f>
        <v>DOT090007530</v>
      </c>
      <c r="B820" t="s">
        <v>11818</v>
      </c>
      <c r="C820" s="663" t="s">
        <v>11843</v>
      </c>
      <c r="D820" s="905" t="s">
        <v>11846</v>
      </c>
    </row>
    <row r="821" spans="1:4" ht="16.5">
      <c r="A821" s="581" t="str">
        <f ca="1">IFERROR(__xludf.DUMMYFUNCTION("""COMPUTED_VALUE"""),"DOT090007830")</f>
        <v>DOT090007830</v>
      </c>
      <c r="B821" t="s">
        <v>11818</v>
      </c>
      <c r="C821" s="663" t="s">
        <v>11843</v>
      </c>
      <c r="D821" s="905" t="s">
        <v>11846</v>
      </c>
    </row>
    <row r="822" spans="1:4" ht="16.5">
      <c r="A822" s="587" t="str">
        <f ca="1">IFERROR(__xludf.DUMMYFUNCTION("""COMPUTED_VALUE"""),"DOT090008030")</f>
        <v>DOT090008030</v>
      </c>
      <c r="B822" t="s">
        <v>11818</v>
      </c>
      <c r="C822" s="663" t="s">
        <v>11843</v>
      </c>
      <c r="D822" s="905" t="s">
        <v>11846</v>
      </c>
    </row>
    <row r="823" spans="1:4" ht="16.5">
      <c r="A823" s="581" t="str">
        <f ca="1">IFERROR(__xludf.DUMMYFUNCTION("""COMPUTED_VALUE"""),"DOT09000914")</f>
        <v>DOT09000914</v>
      </c>
      <c r="B823" t="s">
        <v>11818</v>
      </c>
      <c r="C823" s="663" t="s">
        <v>11843</v>
      </c>
      <c r="D823" s="905" t="s">
        <v>11846</v>
      </c>
    </row>
    <row r="824" spans="1:4" ht="16.5">
      <c r="A824" s="587" t="str">
        <f ca="1">IFERROR(__xludf.DUMMYFUNCTION("""COMPUTED_VALUE"""),"DOT09000915")</f>
        <v>DOT09000915</v>
      </c>
      <c r="B824" t="s">
        <v>11818</v>
      </c>
      <c r="C824" s="663" t="s">
        <v>11843</v>
      </c>
      <c r="D824" s="905" t="s">
        <v>11846</v>
      </c>
    </row>
    <row r="825" spans="1:4" ht="16.5">
      <c r="A825" s="581" t="str">
        <f ca="1">IFERROR(__xludf.DUMMYFUNCTION("""COMPUTED_VALUE"""),"DOT0900093")</f>
        <v>DOT0900093</v>
      </c>
      <c r="B825" t="s">
        <v>11818</v>
      </c>
      <c r="C825" s="663" t="s">
        <v>11843</v>
      </c>
      <c r="D825" s="905" t="s">
        <v>11846</v>
      </c>
    </row>
    <row r="826" spans="1:4" ht="16.5">
      <c r="A826" s="587" t="str">
        <f ca="1">IFERROR(__xludf.DUMMYFUNCTION("""COMPUTED_VALUE"""),"DOT090010030")</f>
        <v>DOT090010030</v>
      </c>
      <c r="B826" t="s">
        <v>11818</v>
      </c>
      <c r="C826" s="663" t="s">
        <v>11843</v>
      </c>
      <c r="D826" s="905" t="s">
        <v>11846</v>
      </c>
    </row>
    <row r="827" spans="1:4" ht="16.5">
      <c r="A827" s="581" t="str">
        <f ca="1">IFERROR(__xludf.DUMMYFUNCTION("""COMPUTED_VALUE"""),"DOT090011030")</f>
        <v>DOT090011030</v>
      </c>
      <c r="B827" t="s">
        <v>11818</v>
      </c>
      <c r="C827" s="663" t="s">
        <v>11843</v>
      </c>
      <c r="D827" s="905" t="s">
        <v>11846</v>
      </c>
    </row>
    <row r="828" spans="1:4" ht="16.5">
      <c r="A828" s="587" t="str">
        <f ca="1">IFERROR(__xludf.DUMMYFUNCTION("""COMPUTED_VALUE"""),"DOT090011530")</f>
        <v>DOT090011530</v>
      </c>
      <c r="B828" t="s">
        <v>11818</v>
      </c>
      <c r="C828" s="663" t="s">
        <v>11843</v>
      </c>
      <c r="D828" s="905" t="s">
        <v>11846</v>
      </c>
    </row>
    <row r="829" spans="1:4" ht="16.5">
      <c r="A829" s="581" t="str">
        <f ca="1">IFERROR(__xludf.DUMMYFUNCTION("""COMPUTED_VALUE"""),"DOT090012530")</f>
        <v>DOT090012530</v>
      </c>
      <c r="B829" t="s">
        <v>11818</v>
      </c>
      <c r="C829" s="663" t="s">
        <v>11843</v>
      </c>
      <c r="D829" s="905" t="s">
        <v>11846</v>
      </c>
    </row>
    <row r="830" spans="1:4" ht="16.5">
      <c r="A830" s="587" t="str">
        <f ca="1">IFERROR(__xludf.DUMMYFUNCTION("""COMPUTED_VALUE"""),"DOT095006630")</f>
        <v>DOT095006630</v>
      </c>
      <c r="B830" t="s">
        <v>11818</v>
      </c>
      <c r="C830" s="663" t="s">
        <v>11843</v>
      </c>
      <c r="D830" s="905" t="s">
        <v>11846</v>
      </c>
    </row>
    <row r="831" spans="1:4" ht="16.5">
      <c r="A831" s="581" t="str">
        <f ca="1">IFERROR(__xludf.DUMMYFUNCTION("""COMPUTED_VALUE"""),"DOT095007630")</f>
        <v>DOT095007630</v>
      </c>
      <c r="B831" t="s">
        <v>11818</v>
      </c>
      <c r="C831" s="663" t="s">
        <v>11843</v>
      </c>
      <c r="D831" s="905" t="s">
        <v>11846</v>
      </c>
    </row>
    <row r="832" spans="1:4" ht="16.5">
      <c r="A832" s="587" t="str">
        <f ca="1">IFERROR(__xludf.DUMMYFUNCTION("""COMPUTED_VALUE"""),"DOT0950078030")</f>
        <v>DOT0950078030</v>
      </c>
      <c r="B832" t="s">
        <v>11818</v>
      </c>
      <c r="C832" s="663" t="s">
        <v>11843</v>
      </c>
      <c r="D832" s="905" t="s">
        <v>11846</v>
      </c>
    </row>
    <row r="833" spans="1:4" ht="16.5">
      <c r="A833" s="581" t="str">
        <f ca="1">IFERROR(__xludf.DUMMYFUNCTION("""COMPUTED_VALUE"""),"DOT095008030")</f>
        <v>DOT095008030</v>
      </c>
      <c r="B833" t="s">
        <v>11818</v>
      </c>
      <c r="C833" s="663" t="s">
        <v>11843</v>
      </c>
      <c r="D833" s="905" t="s">
        <v>11846</v>
      </c>
    </row>
    <row r="834" spans="1:4" ht="16.5">
      <c r="A834" s="587" t="str">
        <f ca="1">IFERROR(__xludf.DUMMYFUNCTION("""COMPUTED_VALUE"""),"DOT095008330")</f>
        <v>DOT095008330</v>
      </c>
      <c r="B834" t="s">
        <v>11818</v>
      </c>
      <c r="C834" s="663" t="s">
        <v>11843</v>
      </c>
      <c r="D834" s="905" t="s">
        <v>11846</v>
      </c>
    </row>
    <row r="835" spans="1:4" ht="16.5">
      <c r="A835" s="581" t="str">
        <f ca="1">IFERROR(__xludf.DUMMYFUNCTION("""COMPUTED_VALUE"""),"DOT0952050114")</f>
        <v>DOT0952050114</v>
      </c>
      <c r="B835" t="s">
        <v>11818</v>
      </c>
      <c r="C835" s="663" t="s">
        <v>11843</v>
      </c>
      <c r="D835" s="905" t="s">
        <v>11846</v>
      </c>
    </row>
    <row r="836" spans="1:4" ht="16.5">
      <c r="A836" s="587" t="str">
        <f ca="1">IFERROR(__xludf.DUMMYFUNCTION("""COMPUTED_VALUE"""),"DOT09520511175")</f>
        <v>DOT09520511175</v>
      </c>
      <c r="B836" t="s">
        <v>11818</v>
      </c>
      <c r="C836" s="663" t="s">
        <v>11843</v>
      </c>
      <c r="D836" s="905" t="s">
        <v>11846</v>
      </c>
    </row>
    <row r="837" spans="1:4" ht="16.5">
      <c r="A837" s="581" t="str">
        <f ca="1">IFERROR(__xludf.DUMMYFUNCTION("""COMPUTED_VALUE"""),"DOT0952051122")</f>
        <v>DOT0952051122</v>
      </c>
      <c r="B837" t="s">
        <v>11818</v>
      </c>
      <c r="C837" s="663" t="s">
        <v>11843</v>
      </c>
      <c r="D837" s="905" t="s">
        <v>11846</v>
      </c>
    </row>
    <row r="838" spans="1:4" ht="16.5">
      <c r="A838" s="587" t="str">
        <f ca="1">IFERROR(__xludf.DUMMYFUNCTION("""COMPUTED_VALUE"""),"DOT0952051189")</f>
        <v>DOT0952051189</v>
      </c>
      <c r="B838" t="s">
        <v>11818</v>
      </c>
      <c r="C838" s="663" t="s">
        <v>11843</v>
      </c>
      <c r="D838" s="905" t="s">
        <v>11846</v>
      </c>
    </row>
    <row r="839" spans="1:4" ht="16.5">
      <c r="A839" s="581" t="str">
        <f ca="1">IFERROR(__xludf.DUMMYFUNCTION("""COMPUTED_VALUE"""),"DOT0952070")</f>
        <v>DOT0952070</v>
      </c>
      <c r="B839" t="s">
        <v>11818</v>
      </c>
      <c r="C839" s="663" t="s">
        <v>11843</v>
      </c>
      <c r="D839" s="905" t="s">
        <v>11846</v>
      </c>
    </row>
    <row r="840" spans="1:4" ht="16.5">
      <c r="A840" s="587" t="str">
        <f ca="1">IFERROR(__xludf.DUMMYFUNCTION("""COMPUTED_VALUE"""),"DOT0952080")</f>
        <v>DOT0952080</v>
      </c>
      <c r="B840" t="s">
        <v>11818</v>
      </c>
      <c r="C840" s="663" t="s">
        <v>11843</v>
      </c>
      <c r="D840" s="905" t="s">
        <v>11846</v>
      </c>
    </row>
    <row r="841" spans="1:4" ht="16.5">
      <c r="A841" s="581" t="str">
        <f ca="1">IFERROR(__xludf.DUMMYFUNCTION("""COMPUTED_VALUE"""),"DOT095208130")</f>
        <v>DOT095208130</v>
      </c>
      <c r="B841" t="s">
        <v>11818</v>
      </c>
      <c r="C841" s="663" t="s">
        <v>11843</v>
      </c>
      <c r="D841" s="905" t="s">
        <v>11846</v>
      </c>
    </row>
    <row r="842" spans="1:4" ht="16.5">
      <c r="A842" s="587" t="str">
        <f ca="1">IFERROR(__xludf.DUMMYFUNCTION("""COMPUTED_VALUE"""),"DOT09520853")</f>
        <v>DOT09520853</v>
      </c>
      <c r="B842" t="s">
        <v>11818</v>
      </c>
      <c r="C842" s="663" t="s">
        <v>11843</v>
      </c>
      <c r="D842" s="905" t="s">
        <v>11846</v>
      </c>
    </row>
    <row r="843" spans="1:4" ht="16.5">
      <c r="A843" s="581" t="str">
        <f ca="1">IFERROR(__xludf.DUMMYFUNCTION("""COMPUTED_VALUE"""),"DOT095210014")</f>
        <v>DOT095210014</v>
      </c>
      <c r="B843" t="s">
        <v>11818</v>
      </c>
      <c r="C843" s="663" t="s">
        <v>11843</v>
      </c>
      <c r="D843" s="905" t="s">
        <v>11846</v>
      </c>
    </row>
    <row r="844" spans="1:4" ht="16.5">
      <c r="A844" s="587" t="str">
        <f ca="1">IFERROR(__xludf.DUMMYFUNCTION("""COMPUTED_VALUE"""),"DOT095210025")</f>
        <v>DOT095210025</v>
      </c>
      <c r="B844" t="s">
        <v>11818</v>
      </c>
      <c r="C844" s="663" t="s">
        <v>11843</v>
      </c>
      <c r="D844" s="905" t="s">
        <v>11846</v>
      </c>
    </row>
    <row r="845" spans="1:4" ht="16.5">
      <c r="A845" s="581" t="str">
        <f ca="1">IFERROR(__xludf.DUMMYFUNCTION("""COMPUTED_VALUE"""),"DOT0952100285")</f>
        <v>DOT0952100285</v>
      </c>
      <c r="B845" t="s">
        <v>11818</v>
      </c>
      <c r="C845" s="663" t="s">
        <v>11843</v>
      </c>
      <c r="D845" s="905" t="s">
        <v>11846</v>
      </c>
    </row>
    <row r="846" spans="1:4" ht="16.5">
      <c r="A846" s="587" t="str">
        <f ca="1">IFERROR(__xludf.DUMMYFUNCTION("""COMPUTED_VALUE"""),"DOT096006530")</f>
        <v>DOT096006530</v>
      </c>
      <c r="B846" t="s">
        <v>11818</v>
      </c>
      <c r="C846" s="663" t="s">
        <v>11843</v>
      </c>
      <c r="D846" s="905" t="s">
        <v>11846</v>
      </c>
    </row>
    <row r="847" spans="1:4" ht="16.5">
      <c r="A847" s="581" t="str">
        <f ca="1">IFERROR(__xludf.DUMMYFUNCTION("""COMPUTED_VALUE"""),"DOT096007130")</f>
        <v>DOT096007130</v>
      </c>
      <c r="B847" t="s">
        <v>11818</v>
      </c>
      <c r="C847" s="663" t="s">
        <v>11843</v>
      </c>
      <c r="D847" s="905" t="s">
        <v>11846</v>
      </c>
    </row>
    <row r="848" spans="1:4" ht="16.5">
      <c r="A848" s="587" t="str">
        <f ca="1">IFERROR(__xludf.DUMMYFUNCTION("""COMPUTED_VALUE"""),"DOT096007230")</f>
        <v>DOT096007230</v>
      </c>
      <c r="B848" t="s">
        <v>11818</v>
      </c>
      <c r="C848" s="663" t="s">
        <v>11843</v>
      </c>
      <c r="D848" s="905" t="s">
        <v>11846</v>
      </c>
    </row>
    <row r="849" spans="1:4" ht="16.5">
      <c r="A849" s="581" t="str">
        <f ca="1">IFERROR(__xludf.DUMMYFUNCTION("""COMPUTED_VALUE"""),"DOT096008130")</f>
        <v>DOT096008130</v>
      </c>
      <c r="B849" t="s">
        <v>11818</v>
      </c>
      <c r="C849" s="663" t="s">
        <v>11843</v>
      </c>
      <c r="D849" s="905" t="s">
        <v>11846</v>
      </c>
    </row>
    <row r="850" spans="1:4" ht="16.5">
      <c r="A850" s="587" t="str">
        <f ca="1">IFERROR(__xludf.DUMMYFUNCTION("""COMPUTED_VALUE"""),"DOT10000501882")</f>
        <v>DOT10000501882</v>
      </c>
      <c r="B850" t="s">
        <v>11818</v>
      </c>
      <c r="C850" s="663" t="s">
        <v>11843</v>
      </c>
      <c r="D850" s="905" t="s">
        <v>11846</v>
      </c>
    </row>
    <row r="851" spans="1:4" ht="16.5">
      <c r="A851" s="581" t="str">
        <f ca="1">IFERROR(__xludf.DUMMYFUNCTION("""COMPUTED_VALUE"""),"DOT1000050189")</f>
        <v>DOT1000050189</v>
      </c>
      <c r="B851" t="s">
        <v>11818</v>
      </c>
      <c r="C851" s="663" t="s">
        <v>11843</v>
      </c>
      <c r="D851" s="905" t="s">
        <v>11846</v>
      </c>
    </row>
    <row r="852" spans="1:4" ht="16.5">
      <c r="A852" s="587" t="str">
        <f ca="1">IFERROR(__xludf.DUMMYFUNCTION("""COMPUTED_VALUE"""),"DOT10000501893")</f>
        <v>DOT10000501893</v>
      </c>
      <c r="B852" t="s">
        <v>11818</v>
      </c>
      <c r="C852" s="663" t="s">
        <v>11843</v>
      </c>
      <c r="D852" s="905" t="s">
        <v>11846</v>
      </c>
    </row>
    <row r="853" spans="1:4" ht="16.5">
      <c r="A853" s="581" t="str">
        <f ca="1">IFERROR(__xludf.DUMMYFUNCTION("""COMPUTED_VALUE"""),"DOT1000060597")</f>
        <v>DOT1000060597</v>
      </c>
      <c r="B853" t="s">
        <v>11818</v>
      </c>
      <c r="C853" s="663" t="s">
        <v>11843</v>
      </c>
      <c r="D853" s="905" t="s">
        <v>11846</v>
      </c>
    </row>
    <row r="854" spans="1:4" ht="16.5">
      <c r="A854" s="587" t="str">
        <f ca="1">IFERROR(__xludf.DUMMYFUNCTION("""COMPUTED_VALUE"""),"DOT100006130")</f>
        <v>DOT100006130</v>
      </c>
      <c r="B854" t="s">
        <v>11818</v>
      </c>
      <c r="C854" s="663" t="s">
        <v>11843</v>
      </c>
      <c r="D854" s="905" t="s">
        <v>11846</v>
      </c>
    </row>
    <row r="855" spans="1:4" ht="16.5">
      <c r="A855" s="581" t="str">
        <f ca="1">IFERROR(__xludf.DUMMYFUNCTION("""COMPUTED_VALUE"""),"DOT100008003")</f>
        <v>DOT100008003</v>
      </c>
      <c r="B855" t="s">
        <v>11818</v>
      </c>
      <c r="C855" s="663" t="s">
        <v>11843</v>
      </c>
      <c r="D855" s="905" t="s">
        <v>11846</v>
      </c>
    </row>
    <row r="856" spans="1:4" ht="16.5">
      <c r="A856" s="587" t="str">
        <f ca="1">IFERROR(__xludf.DUMMYFUNCTION("""COMPUTED_VALUE"""),"DOT100008019")</f>
        <v>DOT100008019</v>
      </c>
      <c r="B856" t="s">
        <v>11818</v>
      </c>
      <c r="C856" s="663" t="s">
        <v>11843</v>
      </c>
      <c r="D856" s="905" t="s">
        <v>11846</v>
      </c>
    </row>
    <row r="857" spans="1:4" ht="16.5">
      <c r="A857" s="581" t="str">
        <f ca="1">IFERROR(__xludf.DUMMYFUNCTION("""COMPUTED_VALUE"""),"DOT1000080211")</f>
        <v>DOT1000080211</v>
      </c>
      <c r="B857" t="s">
        <v>11818</v>
      </c>
      <c r="C857" s="663" t="s">
        <v>11843</v>
      </c>
      <c r="D857" s="905" t="s">
        <v>11846</v>
      </c>
    </row>
    <row r="858" spans="1:4" ht="16.5">
      <c r="A858" s="587" t="str">
        <f ca="1">IFERROR(__xludf.DUMMYFUNCTION("""COMPUTED_VALUE"""),"DOT100008130")</f>
        <v>DOT100008130</v>
      </c>
      <c r="B858" t="s">
        <v>11818</v>
      </c>
      <c r="C858" s="663" t="s">
        <v>11843</v>
      </c>
      <c r="D858" s="905" t="s">
        <v>11846</v>
      </c>
    </row>
    <row r="859" spans="1:4" ht="16.5">
      <c r="A859" s="581" t="str">
        <f ca="1">IFERROR(__xludf.DUMMYFUNCTION("""COMPUTED_VALUE"""),"DOT100008530")</f>
        <v>DOT100008530</v>
      </c>
      <c r="B859" t="s">
        <v>11818</v>
      </c>
      <c r="C859" s="663" t="s">
        <v>11843</v>
      </c>
      <c r="D859" s="905" t="s">
        <v>11846</v>
      </c>
    </row>
    <row r="860" spans="1:4" ht="16.5">
      <c r="A860" s="587" t="str">
        <f ca="1">IFERROR(__xludf.DUMMYFUNCTION("""COMPUTED_VALUE"""),"DOT100009030")</f>
        <v>DOT100009030</v>
      </c>
      <c r="B860" t="s">
        <v>11818</v>
      </c>
      <c r="C860" s="663" t="s">
        <v>11843</v>
      </c>
      <c r="D860" s="905" t="s">
        <v>11846</v>
      </c>
    </row>
    <row r="861" spans="1:4" ht="16.5">
      <c r="A861" s="581" t="str">
        <f ca="1">IFERROR(__xludf.DUMMYFUNCTION("""COMPUTED_VALUE"""),"DOT10001")</f>
        <v>DOT10001</v>
      </c>
      <c r="B861" t="s">
        <v>11818</v>
      </c>
      <c r="C861" s="663" t="s">
        <v>11843</v>
      </c>
      <c r="D861" s="905" t="s">
        <v>11846</v>
      </c>
    </row>
    <row r="862" spans="1:4" ht="16.5">
      <c r="A862" s="587" t="str">
        <f ca="1">IFERROR(__xludf.DUMMYFUNCTION("""COMPUTED_VALUE"""),"DOT100010012")</f>
        <v>DOT100010012</v>
      </c>
      <c r="B862" t="s">
        <v>11818</v>
      </c>
      <c r="C862" s="663" t="s">
        <v>11843</v>
      </c>
      <c r="D862" s="905" t="s">
        <v>11846</v>
      </c>
    </row>
    <row r="863" spans="1:4" ht="16.5">
      <c r="A863" s="581" t="str">
        <f ca="1">IFERROR(__xludf.DUMMYFUNCTION("""COMPUTED_VALUE"""),"DOT100010014")</f>
        <v>DOT100010014</v>
      </c>
      <c r="B863" t="s">
        <v>11818</v>
      </c>
      <c r="C863" s="663" t="s">
        <v>11843</v>
      </c>
      <c r="D863" s="905" t="s">
        <v>11846</v>
      </c>
    </row>
    <row r="864" spans="1:4" ht="16.5">
      <c r="A864" s="587" t="str">
        <f ca="1">IFERROR(__xludf.DUMMYFUNCTION("""COMPUTED_VALUE"""),"DOT100010015")</f>
        <v>DOT100010015</v>
      </c>
      <c r="B864" t="s">
        <v>11818</v>
      </c>
      <c r="C864" s="663" t="s">
        <v>11843</v>
      </c>
      <c r="D864" s="905" t="s">
        <v>11846</v>
      </c>
    </row>
    <row r="865" spans="1:4" ht="16.5">
      <c r="A865" s="581" t="str">
        <f ca="1">IFERROR(__xludf.DUMMYFUNCTION("""COMPUTED_VALUE"""),"DOT10001003")</f>
        <v>DOT10001003</v>
      </c>
      <c r="B865" t="s">
        <v>11818</v>
      </c>
      <c r="C865" s="663" t="s">
        <v>11843</v>
      </c>
      <c r="D865" s="905" t="s">
        <v>11846</v>
      </c>
    </row>
    <row r="866" spans="1:4" ht="16.5">
      <c r="A866" s="587" t="str">
        <f ca="1">IFERROR(__xludf.DUMMYFUNCTION("""COMPUTED_VALUE"""),"DOT1000100495")</f>
        <v>DOT1000100495</v>
      </c>
      <c r="B866" t="s">
        <v>11818</v>
      </c>
      <c r="C866" s="663" t="s">
        <v>11843</v>
      </c>
      <c r="D866" s="905" t="s">
        <v>11846</v>
      </c>
    </row>
    <row r="867" spans="1:4" ht="16.5">
      <c r="A867" s="581" t="str">
        <f ca="1">IFERROR(__xludf.DUMMYFUNCTION("""COMPUTED_VALUE"""),"DOT1000100496")</f>
        <v>DOT1000100496</v>
      </c>
      <c r="B867" t="s">
        <v>11818</v>
      </c>
      <c r="C867" s="663" t="s">
        <v>11843</v>
      </c>
      <c r="D867" s="905" t="s">
        <v>11846</v>
      </c>
    </row>
    <row r="868" spans="1:4" ht="16.5">
      <c r="A868" s="587" t="str">
        <f ca="1">IFERROR(__xludf.DUMMYFUNCTION("""COMPUTED_VALUE"""),"DOT10001103")</f>
        <v>DOT10001103</v>
      </c>
      <c r="B868" t="s">
        <v>11818</v>
      </c>
      <c r="C868" s="663" t="s">
        <v>11843</v>
      </c>
      <c r="D868" s="905" t="s">
        <v>11846</v>
      </c>
    </row>
    <row r="869" spans="1:4" ht="16.5">
      <c r="A869" s="581" t="str">
        <f ca="1">IFERROR(__xludf.DUMMYFUNCTION("""COMPUTED_VALUE"""),"DOT10001253")</f>
        <v>DOT10001253</v>
      </c>
      <c r="B869" t="s">
        <v>11818</v>
      </c>
      <c r="C869" s="663" t="s">
        <v>11843</v>
      </c>
      <c r="D869" s="905" t="s">
        <v>11846</v>
      </c>
    </row>
    <row r="870" spans="1:4" ht="16.5">
      <c r="A870" s="587" t="str">
        <f ca="1">IFERROR(__xludf.DUMMYFUNCTION("""COMPUTED_VALUE"""),"DOT10001530")</f>
        <v>DOT10001530</v>
      </c>
      <c r="B870" t="s">
        <v>11818</v>
      </c>
      <c r="C870" s="663" t="s">
        <v>11843</v>
      </c>
      <c r="D870" s="905" t="s">
        <v>11846</v>
      </c>
    </row>
    <row r="871" spans="1:4" ht="16.5">
      <c r="A871" s="581" t="str">
        <f ca="1">IFERROR(__xludf.DUMMYFUNCTION("""COMPUTED_VALUE"""),"DOT105011030")</f>
        <v>DOT105011030</v>
      </c>
      <c r="B871" t="s">
        <v>11818</v>
      </c>
      <c r="C871" s="663" t="s">
        <v>11843</v>
      </c>
      <c r="D871" s="905" t="s">
        <v>11846</v>
      </c>
    </row>
    <row r="872" spans="1:4" ht="16.5">
      <c r="A872" s="587" t="str">
        <f ca="1">IFERROR(__xludf.DUMMYFUNCTION("""COMPUTED_VALUE"""),"DOT105011530")</f>
        <v>DOT105011530</v>
      </c>
      <c r="B872" t="s">
        <v>11818</v>
      </c>
      <c r="C872" s="663" t="s">
        <v>11843</v>
      </c>
      <c r="D872" s="905" t="s">
        <v>11846</v>
      </c>
    </row>
    <row r="873" spans="1:4" ht="16.5">
      <c r="A873" s="581" t="str">
        <f ca="1">IFERROR(__xludf.DUMMYFUNCTION("""COMPUTED_VALUE"""),"DOT105012020")</f>
        <v>DOT105012020</v>
      </c>
      <c r="B873" t="s">
        <v>11818</v>
      </c>
      <c r="C873" s="663" t="s">
        <v>11843</v>
      </c>
      <c r="D873" s="905" t="s">
        <v>11846</v>
      </c>
    </row>
    <row r="874" spans="1:4" ht="16.5">
      <c r="A874" s="587" t="str">
        <f ca="1">IFERROR(__xludf.DUMMYFUNCTION("""COMPUTED_VALUE"""),"DOT105015030")</f>
        <v>DOT105015030</v>
      </c>
      <c r="B874" t="s">
        <v>11818</v>
      </c>
      <c r="C874" s="663" t="s">
        <v>11843</v>
      </c>
      <c r="D874" s="905" t="s">
        <v>11846</v>
      </c>
    </row>
    <row r="875" spans="1:4" ht="16.5">
      <c r="A875" s="581" t="str">
        <f ca="1">IFERROR(__xludf.DUMMYFUNCTION("""COMPUTED_VALUE"""),"DOT106012530")</f>
        <v>DOT106012530</v>
      </c>
      <c r="B875" t="s">
        <v>11818</v>
      </c>
      <c r="C875" s="663" t="s">
        <v>11843</v>
      </c>
      <c r="D875" s="905" t="s">
        <v>11846</v>
      </c>
    </row>
    <row r="876" spans="1:4" ht="16.5">
      <c r="A876" s="587" t="str">
        <f ca="1">IFERROR(__xludf.DUMMYFUNCTION("""COMPUTED_VALUE"""),"DOT110012530")</f>
        <v>DOT110012530</v>
      </c>
      <c r="B876" t="s">
        <v>11818</v>
      </c>
      <c r="C876" s="663" t="s">
        <v>11843</v>
      </c>
      <c r="D876" s="905" t="s">
        <v>11846</v>
      </c>
    </row>
    <row r="877" spans="1:4" ht="16.5">
      <c r="A877" s="581" t="str">
        <f ca="1">IFERROR(__xludf.DUMMYFUNCTION("""COMPUTED_VALUE"""),"DOT110015030")</f>
        <v>DOT110015030</v>
      </c>
      <c r="B877" t="s">
        <v>11818</v>
      </c>
      <c r="C877" s="663" t="s">
        <v>11843</v>
      </c>
      <c r="D877" s="905" t="s">
        <v>11846</v>
      </c>
    </row>
    <row r="878" spans="1:4" ht="16.5">
      <c r="A878" s="587" t="str">
        <f ca="1">IFERROR(__xludf.DUMMYFUNCTION("""COMPUTED_VALUE"""),"DOT114008530")</f>
        <v>DOT114008530</v>
      </c>
      <c r="B878" t="s">
        <v>11818</v>
      </c>
      <c r="C878" s="663" t="s">
        <v>11843</v>
      </c>
      <c r="D878" s="905" t="s">
        <v>11846</v>
      </c>
    </row>
    <row r="879" spans="1:4" ht="16.5">
      <c r="A879" s="581" t="str">
        <f ca="1">IFERROR(__xludf.DUMMYFUNCTION("""COMPUTED_VALUE"""),"DOT115008130")</f>
        <v>DOT115008130</v>
      </c>
      <c r="B879" t="s">
        <v>11818</v>
      </c>
      <c r="C879" s="663" t="s">
        <v>11843</v>
      </c>
      <c r="D879" s="905" t="s">
        <v>11846</v>
      </c>
    </row>
    <row r="880" spans="1:4" ht="16.5">
      <c r="A880" s="587" t="str">
        <f ca="1">IFERROR(__xludf.DUMMYFUNCTION("""COMPUTED_VALUE"""),"DOT115008530")</f>
        <v>DOT115008530</v>
      </c>
      <c r="B880" t="s">
        <v>11818</v>
      </c>
      <c r="C880" s="663" t="s">
        <v>11843</v>
      </c>
      <c r="D880" s="905" t="s">
        <v>11846</v>
      </c>
    </row>
    <row r="881" spans="1:4" ht="16.5">
      <c r="A881" s="581" t="str">
        <f ca="1">IFERROR(__xludf.DUMMYFUNCTION("""COMPUTED_VALUE"""),"DOT115009030")</f>
        <v>DOT115009030</v>
      </c>
      <c r="B881" t="s">
        <v>11818</v>
      </c>
      <c r="C881" s="663" t="s">
        <v>11843</v>
      </c>
      <c r="D881" s="905" t="s">
        <v>11846</v>
      </c>
    </row>
    <row r="882" spans="1:4" ht="16.5">
      <c r="A882" s="587" t="str">
        <f ca="1">IFERROR(__xludf.DUMMYFUNCTION("""COMPUTED_VALUE"""),"DOT115009530")</f>
        <v>DOT115009530</v>
      </c>
      <c r="B882" t="s">
        <v>11818</v>
      </c>
      <c r="C882" s="663" t="s">
        <v>11843</v>
      </c>
      <c r="D882" s="905" t="s">
        <v>11846</v>
      </c>
    </row>
    <row r="883" spans="1:4" ht="16.5">
      <c r="A883" s="581" t="str">
        <f ca="1">IFERROR(__xludf.DUMMYFUNCTION("""COMPUTED_VALUE"""),"DOT117008830")</f>
        <v>DOT117008830</v>
      </c>
      <c r="B883" t="s">
        <v>11818</v>
      </c>
      <c r="C883" s="663" t="s">
        <v>11843</v>
      </c>
      <c r="D883" s="905" t="s">
        <v>11846</v>
      </c>
    </row>
    <row r="884" spans="1:4" ht="16.5">
      <c r="A884" s="587" t="str">
        <f ca="1">IFERROR(__xludf.DUMMYFUNCTION("""COMPUTED_VALUE"""),"DOT117009130")</f>
        <v>DOT117009130</v>
      </c>
      <c r="B884" t="s">
        <v>11818</v>
      </c>
      <c r="C884" s="663" t="s">
        <v>11843</v>
      </c>
      <c r="D884" s="905" t="s">
        <v>11846</v>
      </c>
    </row>
    <row r="885" spans="1:4" ht="16.5">
      <c r="A885" s="581" t="str">
        <f ca="1">IFERROR(__xludf.DUMMYFUNCTION("""COMPUTED_VALUE"""),"DOT118008630")</f>
        <v>DOT118008630</v>
      </c>
      <c r="B885" t="s">
        <v>11818</v>
      </c>
      <c r="C885" s="663" t="s">
        <v>11843</v>
      </c>
      <c r="D885" s="905" t="s">
        <v>11846</v>
      </c>
    </row>
    <row r="886" spans="1:4" ht="16.5">
      <c r="A886" s="587" t="str">
        <f ca="1">IFERROR(__xludf.DUMMYFUNCTION("""COMPUTED_VALUE"""),"DOT118008830")</f>
        <v>DOT118008830</v>
      </c>
      <c r="B886" t="s">
        <v>11818</v>
      </c>
      <c r="C886" s="663" t="s">
        <v>11843</v>
      </c>
      <c r="D886" s="905" t="s">
        <v>11846</v>
      </c>
    </row>
    <row r="887" spans="1:4" ht="16.5">
      <c r="A887" s="581" t="str">
        <f ca="1">IFERROR(__xludf.DUMMYFUNCTION("""COMPUTED_VALUE"""),"DOT12000611235")</f>
        <v>DOT12000611235</v>
      </c>
      <c r="B887" t="s">
        <v>11818</v>
      </c>
      <c r="C887" s="663" t="s">
        <v>11843</v>
      </c>
      <c r="D887" s="905" t="s">
        <v>11846</v>
      </c>
    </row>
    <row r="888" spans="1:4" ht="16.5">
      <c r="A888" s="587" t="str">
        <f ca="1">IFERROR(__xludf.DUMMYFUNCTION("""COMPUTED_VALUE"""),"DOT120006130")</f>
        <v>DOT120006130</v>
      </c>
      <c r="B888" t="s">
        <v>11818</v>
      </c>
      <c r="C888" s="663" t="s">
        <v>11843</v>
      </c>
      <c r="D888" s="905" t="s">
        <v>11846</v>
      </c>
    </row>
    <row r="889" spans="1:4" ht="16.5">
      <c r="A889" s="581" t="str">
        <f ca="1">IFERROR(__xludf.DUMMYFUNCTION("""COMPUTED_VALUE"""),"DOT120008130")</f>
        <v>DOT120008130</v>
      </c>
      <c r="B889" t="s">
        <v>11818</v>
      </c>
      <c r="C889" s="663" t="s">
        <v>11843</v>
      </c>
      <c r="D889" s="905" t="s">
        <v>11846</v>
      </c>
    </row>
    <row r="890" spans="1:4" ht="16.5">
      <c r="A890" s="587" t="str">
        <f ca="1">IFERROR(__xludf.DUMMYFUNCTION("""COMPUTED_VALUE"""),"DOT120008630")</f>
        <v>DOT120008630</v>
      </c>
      <c r="B890" t="s">
        <v>11818</v>
      </c>
      <c r="C890" s="663" t="s">
        <v>11843</v>
      </c>
      <c r="D890" s="905" t="s">
        <v>11846</v>
      </c>
    </row>
    <row r="891" spans="1:4" ht="16.5">
      <c r="A891" s="581" t="str">
        <f ca="1">IFERROR(__xludf.DUMMYFUNCTION("""COMPUTED_VALUE"""),"DOT120008830")</f>
        <v>DOT120008830</v>
      </c>
      <c r="B891" t="s">
        <v>11818</v>
      </c>
      <c r="C891" s="663" t="s">
        <v>11843</v>
      </c>
      <c r="D891" s="905" t="s">
        <v>11846</v>
      </c>
    </row>
    <row r="892" spans="1:4" ht="16.5">
      <c r="A892" s="587" t="str">
        <f ca="1">IFERROR(__xludf.DUMMYFUNCTION("""COMPUTED_VALUE"""),"DOT120009130")</f>
        <v>DOT120009130</v>
      </c>
      <c r="B892" t="s">
        <v>11818</v>
      </c>
      <c r="C892" s="663" t="s">
        <v>11843</v>
      </c>
      <c r="D892" s="905" t="s">
        <v>11846</v>
      </c>
    </row>
    <row r="893" spans="1:4" ht="16.5">
      <c r="A893" s="581" t="str">
        <f ca="1">IFERROR(__xludf.DUMMYFUNCTION("""COMPUTED_VALUE"""),"DOT120009530")</f>
        <v>DOT120009530</v>
      </c>
      <c r="B893" t="s">
        <v>11818</v>
      </c>
      <c r="C893" s="663" t="s">
        <v>11843</v>
      </c>
      <c r="D893" s="905" t="s">
        <v>11846</v>
      </c>
    </row>
    <row r="894" spans="1:4" ht="16.5">
      <c r="A894" s="587" t="str">
        <f ca="1">IFERROR(__xludf.DUMMYFUNCTION("""COMPUTED_VALUE"""),"DOT12001024")</f>
        <v>DOT12001024</v>
      </c>
      <c r="B894" t="s">
        <v>11818</v>
      </c>
      <c r="C894" s="663" t="s">
        <v>11843</v>
      </c>
      <c r="D894" s="905" t="s">
        <v>11846</v>
      </c>
    </row>
    <row r="895" spans="1:4" ht="16.5">
      <c r="A895" s="581" t="str">
        <f ca="1">IFERROR(__xludf.DUMMYFUNCTION("""COMPUTED_VALUE"""),"DOT12001030")</f>
        <v>DOT12001030</v>
      </c>
      <c r="B895" t="s">
        <v>11818</v>
      </c>
      <c r="C895" s="663" t="s">
        <v>11843</v>
      </c>
      <c r="D895" s="905" t="s">
        <v>11846</v>
      </c>
    </row>
    <row r="896" spans="1:4" ht="16.5">
      <c r="A896" s="587" t="str">
        <f ca="1">IFERROR(__xludf.DUMMYFUNCTION("""COMPUTED_VALUE"""),"DOT120011030")</f>
        <v>DOT120011030</v>
      </c>
      <c r="B896" t="s">
        <v>11818</v>
      </c>
      <c r="C896" s="663" t="s">
        <v>11843</v>
      </c>
      <c r="D896" s="905" t="s">
        <v>11846</v>
      </c>
    </row>
    <row r="897" spans="1:4" ht="16.5">
      <c r="A897" s="581" t="str">
        <f ca="1">IFERROR(__xludf.DUMMYFUNCTION("""COMPUTED_VALUE"""),"DOT12011414")</f>
        <v>DOT12011414</v>
      </c>
      <c r="B897" t="s">
        <v>11818</v>
      </c>
      <c r="C897" s="663" t="s">
        <v>11843</v>
      </c>
      <c r="D897" s="905" t="s">
        <v>11846</v>
      </c>
    </row>
    <row r="898" spans="1:4" ht="16.5">
      <c r="A898" s="587" t="str">
        <f ca="1">IFERROR(__xludf.DUMMYFUNCTION("""COMPUTED_VALUE"""),"DOT120012030")</f>
        <v>DOT120012030</v>
      </c>
      <c r="B898" t="s">
        <v>11818</v>
      </c>
      <c r="C898" s="663" t="s">
        <v>11843</v>
      </c>
      <c r="D898" s="905" t="s">
        <v>11846</v>
      </c>
    </row>
    <row r="899" spans="1:4" ht="16.5">
      <c r="A899" s="581" t="str">
        <f ca="1">IFERROR(__xludf.DUMMYFUNCTION("""COMPUTED_VALUE"""),"DOT120012530")</f>
        <v>DOT120012530</v>
      </c>
      <c r="B899" t="s">
        <v>11818</v>
      </c>
      <c r="C899" s="663" t="s">
        <v>11843</v>
      </c>
      <c r="D899" s="905" t="s">
        <v>11846</v>
      </c>
    </row>
    <row r="900" spans="1:4" ht="16.5">
      <c r="A900" s="587" t="str">
        <f ca="1">IFERROR(__xludf.DUMMYFUNCTION("""COMPUTED_VALUE"""),"DOT120013230")</f>
        <v>DOT120013230</v>
      </c>
      <c r="B900" t="s">
        <v>11818</v>
      </c>
      <c r="C900" s="663" t="s">
        <v>11843</v>
      </c>
      <c r="D900" s="905" t="s">
        <v>11846</v>
      </c>
    </row>
    <row r="901" spans="1:4" ht="16.5">
      <c r="A901" s="581" t="str">
        <f ca="1">IFERROR(__xludf.DUMMYFUNCTION("""COMPUTED_VALUE"""),"DOT125013030")</f>
        <v>DOT125013030</v>
      </c>
      <c r="B901" t="s">
        <v>11818</v>
      </c>
      <c r="C901" s="663" t="s">
        <v>11843</v>
      </c>
      <c r="D901" s="905" t="s">
        <v>11846</v>
      </c>
    </row>
    <row r="902" spans="1:4" ht="16.5">
      <c r="A902" s="587" t="str">
        <f ca="1">IFERROR(__xludf.DUMMYFUNCTION("""COMPUTED_VALUE"""),"DOT125013530")</f>
        <v>DOT125013530</v>
      </c>
      <c r="B902" t="s">
        <v>11818</v>
      </c>
      <c r="C902" s="663" t="s">
        <v>11843</v>
      </c>
      <c r="D902" s="905" t="s">
        <v>11846</v>
      </c>
    </row>
    <row r="903" spans="1:4" ht="16.5">
      <c r="A903" s="581" t="str">
        <f ca="1">IFERROR(__xludf.DUMMYFUNCTION("""COMPUTED_VALUE"""),"DOT125015030")</f>
        <v>DOT125015030</v>
      </c>
      <c r="B903" t="s">
        <v>11818</v>
      </c>
      <c r="C903" s="663" t="s">
        <v>11843</v>
      </c>
      <c r="D903" s="905" t="s">
        <v>11846</v>
      </c>
    </row>
    <row r="904" spans="1:4" ht="16.5">
      <c r="A904" s="587" t="str">
        <f ca="1">IFERROR(__xludf.DUMMYFUNCTION("""COMPUTED_VALUE"""),"DOT1270050")</f>
        <v>DOT1270050</v>
      </c>
      <c r="B904" t="s">
        <v>11818</v>
      </c>
      <c r="C904" s="663" t="s">
        <v>11843</v>
      </c>
      <c r="D904" s="905" t="s">
        <v>11846</v>
      </c>
    </row>
    <row r="905" spans="1:4" ht="16.5">
      <c r="A905" s="581" t="str">
        <f ca="1">IFERROR(__xludf.DUMMYFUNCTION("""COMPUTED_VALUE"""),"DOT1270055")</f>
        <v>DOT1270055</v>
      </c>
      <c r="B905" t="s">
        <v>11818</v>
      </c>
      <c r="C905" s="663" t="s">
        <v>11843</v>
      </c>
      <c r="D905" s="905" t="s">
        <v>11846</v>
      </c>
    </row>
    <row r="906" spans="1:4" ht="16.5">
      <c r="A906" s="587" t="str">
        <f ca="1">IFERROR(__xludf.DUMMYFUNCTION("""COMPUTED_VALUE"""),"DOT1270060")</f>
        <v>DOT1270060</v>
      </c>
      <c r="B906" t="s">
        <v>11818</v>
      </c>
      <c r="C906" s="663" t="s">
        <v>11843</v>
      </c>
      <c r="D906" s="905" t="s">
        <v>11846</v>
      </c>
    </row>
    <row r="907" spans="1:4" ht="16.5">
      <c r="A907" s="581" t="str">
        <f ca="1">IFERROR(__xludf.DUMMYFUNCTION("""COMPUTED_VALUE"""),"DOT1270071")</f>
        <v>DOT1270071</v>
      </c>
      <c r="B907" t="s">
        <v>11818</v>
      </c>
      <c r="C907" s="663" t="s">
        <v>11843</v>
      </c>
      <c r="D907" s="905" t="s">
        <v>11846</v>
      </c>
    </row>
    <row r="908" spans="1:4" ht="16.5">
      <c r="A908" s="587" t="str">
        <f ca="1">IFERROR(__xludf.DUMMYFUNCTION("""COMPUTED_VALUE"""),"DOT1270075")</f>
        <v>DOT1270075</v>
      </c>
      <c r="B908" t="s">
        <v>11818</v>
      </c>
      <c r="C908" s="663" t="s">
        <v>11843</v>
      </c>
      <c r="D908" s="905" t="s">
        <v>11846</v>
      </c>
    </row>
    <row r="909" spans="1:4" ht="16.5">
      <c r="A909" s="581" t="str">
        <f ca="1">IFERROR(__xludf.DUMMYFUNCTION("""COMPUTED_VALUE"""),"DOT12707558")</f>
        <v>DOT12707558</v>
      </c>
      <c r="B909" t="s">
        <v>11818</v>
      </c>
      <c r="C909" s="663" t="s">
        <v>11843</v>
      </c>
      <c r="D909" s="905" t="s">
        <v>11846</v>
      </c>
    </row>
    <row r="910" spans="1:4" ht="16.5">
      <c r="A910" s="587" t="str">
        <f ca="1">IFERROR(__xludf.DUMMYFUNCTION("""COMPUTED_VALUE"""),"DOT1270080")</f>
        <v>DOT1270080</v>
      </c>
      <c r="B910" t="s">
        <v>11818</v>
      </c>
      <c r="C910" s="663" t="s">
        <v>11843</v>
      </c>
      <c r="D910" s="905" t="s">
        <v>11846</v>
      </c>
    </row>
    <row r="911" spans="1:4" ht="16.5">
      <c r="A911" s="581" t="str">
        <f ca="1">IFERROR(__xludf.DUMMYFUNCTION("""COMPUTED_VALUE"""),"DOT127080303")</f>
        <v>DOT127080303</v>
      </c>
      <c r="B911" t="s">
        <v>11818</v>
      </c>
      <c r="C911" s="663" t="s">
        <v>11843</v>
      </c>
      <c r="D911" s="905" t="s">
        <v>11846</v>
      </c>
    </row>
    <row r="912" spans="1:4" ht="16.5">
      <c r="A912" s="587" t="str">
        <f ca="1">IFERROR(__xludf.DUMMYFUNCTION("""COMPUTED_VALUE"""),"DOT1270828")</f>
        <v>DOT1270828</v>
      </c>
      <c r="B912" t="s">
        <v>11818</v>
      </c>
      <c r="C912" s="663" t="s">
        <v>11843</v>
      </c>
      <c r="D912" s="905" t="s">
        <v>11846</v>
      </c>
    </row>
    <row r="913" spans="1:4" ht="16.5">
      <c r="A913" s="581" t="str">
        <f ca="1">IFERROR(__xludf.DUMMYFUNCTION("""COMPUTED_VALUE"""),"DOT1270081")</f>
        <v>DOT1270081</v>
      </c>
      <c r="B913" t="s">
        <v>11818</v>
      </c>
      <c r="C913" s="663" t="s">
        <v>11843</v>
      </c>
      <c r="D913" s="905" t="s">
        <v>11846</v>
      </c>
    </row>
    <row r="914" spans="1:4" ht="16.5">
      <c r="A914" s="587" t="str">
        <f ca="1">IFERROR(__xludf.DUMMYFUNCTION("""COMPUTED_VALUE"""),"DOT1270081303")</f>
        <v>DOT1270081303</v>
      </c>
      <c r="B914" t="s">
        <v>11818</v>
      </c>
      <c r="C914" s="663" t="s">
        <v>11843</v>
      </c>
      <c r="D914" s="905" t="s">
        <v>11846</v>
      </c>
    </row>
    <row r="915" spans="1:4" ht="16.5">
      <c r="A915" s="581" t="str">
        <f ca="1">IFERROR(__xludf.DUMMYFUNCTION("""COMPUTED_VALUE"""),"DOT127008158")</f>
        <v>DOT127008158</v>
      </c>
      <c r="B915" t="s">
        <v>11818</v>
      </c>
      <c r="C915" s="663" t="s">
        <v>11843</v>
      </c>
      <c r="D915" s="905" t="s">
        <v>11846</v>
      </c>
    </row>
    <row r="916" spans="1:4" ht="16.5">
      <c r="A916" s="587" t="str">
        <f ca="1">IFERROR(__xludf.DUMMYFUNCTION("""COMPUTED_VALUE"""),"DOT1270089")</f>
        <v>DOT1270089</v>
      </c>
      <c r="B916" t="s">
        <v>11818</v>
      </c>
      <c r="C916" s="663" t="s">
        <v>11843</v>
      </c>
      <c r="D916" s="905" t="s">
        <v>11846</v>
      </c>
    </row>
    <row r="917" spans="1:4" ht="16.5">
      <c r="A917" s="581" t="str">
        <f ca="1">IFERROR(__xludf.DUMMYFUNCTION("""COMPUTED_VALUE"""),"DOT1270100")</f>
        <v>DOT1270100</v>
      </c>
      <c r="B917" t="s">
        <v>11818</v>
      </c>
      <c r="C917" s="663" t="s">
        <v>11843</v>
      </c>
      <c r="D917" s="905" t="s">
        <v>11846</v>
      </c>
    </row>
    <row r="918" spans="1:4" ht="16.5">
      <c r="A918" s="587" t="str">
        <f ca="1">IFERROR(__xludf.DUMMYFUNCTION("""COMPUTED_VALUE"""),"DOT1270124")</f>
        <v>DOT1270124</v>
      </c>
      <c r="B918" t="s">
        <v>11818</v>
      </c>
      <c r="C918" s="663" t="s">
        <v>11843</v>
      </c>
      <c r="D918" s="905" t="s">
        <v>11846</v>
      </c>
    </row>
    <row r="919" spans="1:4" ht="16.5">
      <c r="A919" s="581" t="str">
        <f ca="1">IFERROR(__xludf.DUMMYFUNCTION("""COMPUTED_VALUE"""),"DOT130015030")</f>
        <v>DOT130015030</v>
      </c>
      <c r="B919" t="s">
        <v>11818</v>
      </c>
      <c r="C919" s="663" t="s">
        <v>11843</v>
      </c>
      <c r="D919" s="905" t="s">
        <v>11846</v>
      </c>
    </row>
    <row r="920" spans="1:4" ht="16.5">
      <c r="A920" s="587" t="str">
        <f ca="1">IFERROR(__xludf.DUMMYFUNCTION("""COMPUTED_VALUE"""),"DOT135010530")</f>
        <v>DOT135010530</v>
      </c>
      <c r="B920" t="s">
        <v>11818</v>
      </c>
      <c r="C920" s="663" t="s">
        <v>11843</v>
      </c>
      <c r="D920" s="905" t="s">
        <v>11846</v>
      </c>
    </row>
    <row r="921" spans="1:4" ht="16.5">
      <c r="A921" s="581" t="str">
        <f ca="1">IFERROR(__xludf.DUMMYFUNCTION("""COMPUTED_VALUE"""),"DOT135011530")</f>
        <v>DOT135011530</v>
      </c>
      <c r="B921" t="s">
        <v>11818</v>
      </c>
      <c r="C921" s="663" t="s">
        <v>11843</v>
      </c>
      <c r="D921" s="905" t="s">
        <v>11846</v>
      </c>
    </row>
    <row r="922" spans="1:4" ht="16.5">
      <c r="A922" s="587" t="str">
        <f ca="1">IFERROR(__xludf.DUMMYFUNCTION("""COMPUTED_VALUE"""),"DOT135012030")</f>
        <v>DOT135012030</v>
      </c>
      <c r="B922" t="s">
        <v>11818</v>
      </c>
      <c r="C922" s="663" t="s">
        <v>11843</v>
      </c>
      <c r="D922" s="905" t="s">
        <v>11846</v>
      </c>
    </row>
    <row r="923" spans="1:4" ht="16.5">
      <c r="A923" s="581" t="str">
        <f ca="1">IFERROR(__xludf.DUMMYFUNCTION("""COMPUTED_VALUE"""),"DOT135013030")</f>
        <v>DOT135013030</v>
      </c>
      <c r="B923" t="s">
        <v>11818</v>
      </c>
      <c r="C923" s="663" t="s">
        <v>11843</v>
      </c>
      <c r="D923" s="905" t="s">
        <v>11846</v>
      </c>
    </row>
    <row r="924" spans="1:4" ht="16.5">
      <c r="A924" s="587" t="str">
        <f ca="1">IFERROR(__xludf.DUMMYFUNCTION("""COMPUTED_VALUE"""),"DOT136012030")</f>
        <v>DOT136012030</v>
      </c>
      <c r="B924" t="s">
        <v>11818</v>
      </c>
      <c r="C924" s="663" t="s">
        <v>11843</v>
      </c>
      <c r="D924" s="905" t="s">
        <v>11846</v>
      </c>
    </row>
    <row r="925" spans="1:4" ht="16.5">
      <c r="A925" s="581" t="str">
        <f ca="1">IFERROR(__xludf.DUMMYFUNCTION("""COMPUTED_VALUE"""),"DOT140010030")</f>
        <v>DOT140010030</v>
      </c>
      <c r="B925" t="s">
        <v>11818</v>
      </c>
      <c r="C925" s="663" t="s">
        <v>11843</v>
      </c>
      <c r="D925" s="905" t="s">
        <v>11846</v>
      </c>
    </row>
    <row r="926" spans="1:4" ht="16.5">
      <c r="A926" s="587" t="str">
        <f ca="1">IFERROR(__xludf.DUMMYFUNCTION("""COMPUTED_VALUE"""),"DOT140010530")</f>
        <v>DOT140010530</v>
      </c>
      <c r="B926" t="s">
        <v>11818</v>
      </c>
      <c r="C926" s="663" t="s">
        <v>11843</v>
      </c>
      <c r="D926" s="905" t="s">
        <v>11846</v>
      </c>
    </row>
    <row r="927" spans="1:4" ht="16.5">
      <c r="A927" s="581" t="str">
        <f ca="1">IFERROR(__xludf.DUMMYFUNCTION("""COMPUTED_VALUE"""),"DOT140011030")</f>
        <v>DOT140011030</v>
      </c>
      <c r="B927" t="s">
        <v>11818</v>
      </c>
      <c r="C927" s="663" t="s">
        <v>11843</v>
      </c>
      <c r="D927" s="905" t="s">
        <v>11846</v>
      </c>
    </row>
    <row r="928" spans="1:4" ht="16.5">
      <c r="A928" s="587" t="str">
        <f ca="1">IFERROR(__xludf.DUMMYFUNCTION("""COMPUTED_VALUE"""),"DOT140011530")</f>
        <v>DOT140011530</v>
      </c>
      <c r="B928" t="s">
        <v>11818</v>
      </c>
      <c r="C928" s="663" t="s">
        <v>11843</v>
      </c>
      <c r="D928" s="905" t="s">
        <v>11846</v>
      </c>
    </row>
    <row r="929" spans="1:4" ht="16.5">
      <c r="A929" s="581" t="str">
        <f ca="1">IFERROR(__xludf.DUMMYFUNCTION("""COMPUTED_VALUE"""),"DOT14001214")</f>
        <v>DOT14001214</v>
      </c>
      <c r="B929" t="s">
        <v>11818</v>
      </c>
      <c r="C929" s="663" t="s">
        <v>11843</v>
      </c>
      <c r="D929" s="905" t="s">
        <v>11846</v>
      </c>
    </row>
    <row r="930" spans="1:4" ht="16.5">
      <c r="A930" s="587" t="str">
        <f ca="1">IFERROR(__xludf.DUMMYFUNCTION("""COMPUTED_VALUE"""),"DOT1400123")</f>
        <v>DOT1400123</v>
      </c>
      <c r="B930" t="s">
        <v>11818</v>
      </c>
      <c r="C930" s="663" t="s">
        <v>11843</v>
      </c>
      <c r="D930" s="905" t="s">
        <v>11846</v>
      </c>
    </row>
    <row r="931" spans="1:4" ht="16.5">
      <c r="A931" s="581" t="str">
        <f ca="1">IFERROR(__xludf.DUMMYFUNCTION("""COMPUTED_VALUE"""),"DOT1412730")</f>
        <v>DOT1412730</v>
      </c>
      <c r="B931" t="s">
        <v>11818</v>
      </c>
      <c r="C931" s="663" t="s">
        <v>11843</v>
      </c>
      <c r="D931" s="905" t="s">
        <v>11846</v>
      </c>
    </row>
    <row r="932" spans="1:4" ht="16.5">
      <c r="A932" s="587" t="str">
        <f ca="1">IFERROR(__xludf.DUMMYFUNCTION("""COMPUTED_VALUE"""),"DOT140013030")</f>
        <v>DOT140013030</v>
      </c>
      <c r="B932" t="s">
        <v>11818</v>
      </c>
      <c r="C932" s="663" t="s">
        <v>11843</v>
      </c>
      <c r="D932" s="905" t="s">
        <v>11846</v>
      </c>
    </row>
    <row r="933" spans="1:4" ht="16.5">
      <c r="A933" s="581" t="str">
        <f ca="1">IFERROR(__xludf.DUMMYFUNCTION("""COMPUTED_VALUE"""),"DOT140014020")</f>
        <v>DOT140014020</v>
      </c>
      <c r="B933" t="s">
        <v>11818</v>
      </c>
      <c r="C933" s="663" t="s">
        <v>11843</v>
      </c>
      <c r="D933" s="905" t="s">
        <v>11846</v>
      </c>
    </row>
    <row r="934" spans="1:4" ht="16.5">
      <c r="A934" s="587" t="str">
        <f ca="1">IFERROR(__xludf.DUMMYFUNCTION("""COMPUTED_VALUE"""),"DOT140014030")</f>
        <v>DOT140014030</v>
      </c>
      <c r="B934" t="s">
        <v>11818</v>
      </c>
      <c r="C934" s="663" t="s">
        <v>11843</v>
      </c>
      <c r="D934" s="905" t="s">
        <v>11846</v>
      </c>
    </row>
    <row r="935" spans="1:4" ht="16.5">
      <c r="A935" s="581" t="str">
        <f ca="1">IFERROR(__xludf.DUMMYFUNCTION("""COMPUTED_VALUE"""),"DOT140014530")</f>
        <v>DOT140014530</v>
      </c>
      <c r="B935" t="s">
        <v>11818</v>
      </c>
      <c r="C935" s="663" t="s">
        <v>11843</v>
      </c>
      <c r="D935" s="905" t="s">
        <v>11846</v>
      </c>
    </row>
    <row r="936" spans="1:4" ht="16.5">
      <c r="A936" s="587" t="str">
        <f ca="1">IFERROR(__xludf.DUMMYFUNCTION("""COMPUTED_VALUE"""),"DOT140015030")</f>
        <v>DOT140015030</v>
      </c>
      <c r="B936" t="s">
        <v>11818</v>
      </c>
      <c r="C936" s="663" t="s">
        <v>11843</v>
      </c>
      <c r="D936" s="905" t="s">
        <v>11846</v>
      </c>
    </row>
    <row r="937" spans="1:4" ht="16.5">
      <c r="A937" s="581" t="str">
        <f ca="1">IFERROR(__xludf.DUMMYFUNCTION("""COMPUTED_VALUE"""),"DOT145013030")</f>
        <v>DOT145013030</v>
      </c>
      <c r="B937" t="s">
        <v>11818</v>
      </c>
      <c r="C937" s="663" t="s">
        <v>11843</v>
      </c>
      <c r="D937" s="905" t="s">
        <v>11846</v>
      </c>
    </row>
    <row r="938" spans="1:4" ht="16.5">
      <c r="A938" s="587" t="str">
        <f ca="1">IFERROR(__xludf.DUMMYFUNCTION("""COMPUTED_VALUE"""),"DOT145015030")</f>
        <v>DOT145015030</v>
      </c>
      <c r="B938" t="s">
        <v>11818</v>
      </c>
      <c r="C938" s="663" t="s">
        <v>11843</v>
      </c>
      <c r="D938" s="905" t="s">
        <v>11846</v>
      </c>
    </row>
    <row r="939" spans="1:4" ht="16.5">
      <c r="A939" s="581" t="str">
        <f ca="1">IFERROR(__xludf.DUMMYFUNCTION("""COMPUTED_VALUE"""),"DOT146016530")</f>
        <v>DOT146016530</v>
      </c>
      <c r="B939" t="s">
        <v>11818</v>
      </c>
      <c r="C939" s="663" t="s">
        <v>11843</v>
      </c>
      <c r="D939" s="905" t="s">
        <v>11846</v>
      </c>
    </row>
    <row r="940" spans="1:4" ht="16.5">
      <c r="A940" s="587" t="str">
        <f ca="1">IFERROR(__xludf.DUMMYFUNCTION("""COMPUTED_VALUE"""),"DOT147015030")</f>
        <v>DOT147015030</v>
      </c>
      <c r="B940" t="s">
        <v>11818</v>
      </c>
      <c r="C940" s="663" t="s">
        <v>11843</v>
      </c>
      <c r="D940" s="905" t="s">
        <v>11846</v>
      </c>
    </row>
    <row r="941" spans="1:4" ht="16.5">
      <c r="A941" s="581" t="str">
        <f ca="1">IFERROR(__xludf.DUMMYFUNCTION("""COMPUTED_VALUE"""),"DOT1500200120")</f>
        <v>DOT1500200120</v>
      </c>
      <c r="B941" t="s">
        <v>11818</v>
      </c>
      <c r="C941" s="663" t="s">
        <v>11843</v>
      </c>
      <c r="D941" s="905" t="s">
        <v>11846</v>
      </c>
    </row>
    <row r="942" spans="1:4" ht="16.5">
      <c r="A942" s="587" t="str">
        <f ca="1">IFERROR(__xludf.DUMMYFUNCTION("""COMPUTED_VALUE"""),"DOT150020030")</f>
        <v>DOT150020030</v>
      </c>
      <c r="B942" t="s">
        <v>11818</v>
      </c>
      <c r="C942" s="663" t="s">
        <v>11843</v>
      </c>
      <c r="D942" s="905" t="s">
        <v>11846</v>
      </c>
    </row>
    <row r="943" spans="1:4" ht="16.5">
      <c r="A943" s="581" t="str">
        <f ca="1">IFERROR(__xludf.DUMMYFUNCTION("""COMPUTED_VALUE"""),"DOT155012030")</f>
        <v>DOT155012030</v>
      </c>
      <c r="B943" t="s">
        <v>11818</v>
      </c>
      <c r="C943" s="663" t="s">
        <v>11843</v>
      </c>
      <c r="D943" s="905" t="s">
        <v>11846</v>
      </c>
    </row>
    <row r="944" spans="1:4" ht="16.5">
      <c r="A944" s="587" t="str">
        <f ca="1">IFERROR(__xludf.DUMMYFUNCTION("""COMPUTED_VALUE"""),"DOT1588050(NM)")</f>
        <v>DOT1588050(NM)</v>
      </c>
      <c r="B944" t="s">
        <v>11818</v>
      </c>
      <c r="C944" s="663" t="s">
        <v>11843</v>
      </c>
      <c r="D944" s="905" t="s">
        <v>11846</v>
      </c>
    </row>
    <row r="945" spans="1:4" ht="16.5">
      <c r="A945" s="581" t="str">
        <f ca="1">IFERROR(__xludf.DUMMYFUNCTION("""COMPUTED_VALUE"""),"DOT158805018")</f>
        <v>DOT158805018</v>
      </c>
      <c r="B945" t="s">
        <v>11818</v>
      </c>
      <c r="C945" s="663" t="s">
        <v>11843</v>
      </c>
      <c r="D945" s="905" t="s">
        <v>11846</v>
      </c>
    </row>
    <row r="946" spans="1:4" ht="16.5">
      <c r="A946" s="587" t="str">
        <f ca="1">IFERROR(__xludf.DUMMYFUNCTION("""COMPUTED_VALUE"""),"DOT1588050193")</f>
        <v>DOT1588050193</v>
      </c>
      <c r="B946" t="s">
        <v>11818</v>
      </c>
      <c r="C946" s="663" t="s">
        <v>11843</v>
      </c>
      <c r="D946" s="905" t="s">
        <v>11846</v>
      </c>
    </row>
    <row r="947" spans="1:4" ht="16.5">
      <c r="A947" s="581" t="str">
        <f ca="1">IFERROR(__xludf.DUMMYFUNCTION("""COMPUTED_VALUE"""),"DOT158805024")</f>
        <v>DOT158805024</v>
      </c>
      <c r="B947" t="s">
        <v>11818</v>
      </c>
      <c r="C947" s="663" t="s">
        <v>11843</v>
      </c>
      <c r="D947" s="905" t="s">
        <v>11846</v>
      </c>
    </row>
    <row r="948" spans="1:4" ht="16.5">
      <c r="A948" s="587" t="str">
        <f ca="1">IFERROR(__xludf.DUMMYFUNCTION("""COMPUTED_VALUE"""),"DOT158805025")</f>
        <v>DOT158805025</v>
      </c>
      <c r="B948" t="s">
        <v>11818</v>
      </c>
      <c r="C948" s="663" t="s">
        <v>11843</v>
      </c>
      <c r="D948" s="905" t="s">
        <v>11846</v>
      </c>
    </row>
    <row r="949" spans="1:4" ht="16.5">
      <c r="A949" s="581" t="str">
        <f ca="1">IFERROR(__xludf.DUMMYFUNCTION("""COMPUTED_VALUE"""),"DOT158805058")</f>
        <v>DOT158805058</v>
      </c>
      <c r="B949" t="s">
        <v>11818</v>
      </c>
      <c r="C949" s="663" t="s">
        <v>11843</v>
      </c>
      <c r="D949" s="905" t="s">
        <v>11846</v>
      </c>
    </row>
    <row r="950" spans="1:4" ht="16.5">
      <c r="A950" s="587" t="str">
        <f ca="1">IFERROR(__xludf.DUMMYFUNCTION("""COMPUTED_VALUE"""),"DOT158805140")</f>
        <v>DOT158805140</v>
      </c>
      <c r="B950" t="s">
        <v>11818</v>
      </c>
      <c r="C950" s="663" t="s">
        <v>11843</v>
      </c>
      <c r="D950" s="905" t="s">
        <v>11846</v>
      </c>
    </row>
    <row r="951" spans="1:4" ht="16.5">
      <c r="A951" s="581" t="str">
        <f ca="1">IFERROR(__xludf.DUMMYFUNCTION("""COMPUTED_VALUE"""),"DOT1588055")</f>
        <v>DOT1588055</v>
      </c>
      <c r="B951" t="s">
        <v>11818</v>
      </c>
      <c r="C951" s="663" t="s">
        <v>11843</v>
      </c>
      <c r="D951" s="905" t="s">
        <v>11846</v>
      </c>
    </row>
    <row r="952" spans="1:4" ht="16.5">
      <c r="A952" s="587" t="str">
        <f ca="1">IFERROR(__xludf.DUMMYFUNCTION("""COMPUTED_VALUE"""),"DOT158805619")</f>
        <v>DOT158805619</v>
      </c>
      <c r="B952" t="s">
        <v>11818</v>
      </c>
      <c r="C952" s="663" t="s">
        <v>11843</v>
      </c>
      <c r="D952" s="905" t="s">
        <v>11846</v>
      </c>
    </row>
    <row r="953" spans="1:4" ht="16.5">
      <c r="A953" s="581" t="str">
        <f ca="1">IFERROR(__xludf.DUMMYFUNCTION("""COMPUTED_VALUE"""),"DOT1588060")</f>
        <v>DOT1588060</v>
      </c>
      <c r="B953" t="s">
        <v>11818</v>
      </c>
      <c r="C953" s="663" t="s">
        <v>11843</v>
      </c>
      <c r="D953" s="905" t="s">
        <v>11846</v>
      </c>
    </row>
    <row r="954" spans="1:4" ht="16.5">
      <c r="A954" s="587" t="str">
        <f ca="1">IFERROR(__xludf.DUMMYFUNCTION("""COMPUTED_VALUE"""),"DOT158806016")</f>
        <v>DOT158806016</v>
      </c>
      <c r="B954" t="s">
        <v>11818</v>
      </c>
      <c r="C954" s="663" t="s">
        <v>11843</v>
      </c>
      <c r="D954" s="905" t="s">
        <v>11846</v>
      </c>
    </row>
    <row r="955" spans="1:4" ht="16.5">
      <c r="A955" s="581" t="str">
        <f ca="1">IFERROR(__xludf.DUMMYFUNCTION("""COMPUTED_VALUE"""),"DOT158806058")</f>
        <v>DOT158806058</v>
      </c>
      <c r="B955" t="s">
        <v>11818</v>
      </c>
      <c r="C955" s="663" t="s">
        <v>11843</v>
      </c>
      <c r="D955" s="905" t="s">
        <v>11846</v>
      </c>
    </row>
    <row r="956" spans="1:4" ht="16.5">
      <c r="A956" s="587" t="str">
        <f ca="1">IFERROR(__xludf.DUMMYFUNCTION("""COMPUTED_VALUE"""),"DOT1588061")</f>
        <v>DOT1588061</v>
      </c>
      <c r="B956" t="s">
        <v>11818</v>
      </c>
      <c r="C956" s="663" t="s">
        <v>11843</v>
      </c>
      <c r="D956" s="905" t="s">
        <v>11846</v>
      </c>
    </row>
    <row r="957" spans="1:4" ht="16.5">
      <c r="A957" s="581" t="str">
        <f ca="1">IFERROR(__xludf.DUMMYFUNCTION("""COMPUTED_VALUE"""),"DOT1588061193")</f>
        <v>DOT1588061193</v>
      </c>
      <c r="B957" t="s">
        <v>11818</v>
      </c>
      <c r="C957" s="663" t="s">
        <v>11843</v>
      </c>
      <c r="D957" s="905" t="s">
        <v>11846</v>
      </c>
    </row>
    <row r="958" spans="1:4" ht="16.5">
      <c r="A958" s="587" t="str">
        <f ca="1">IFERROR(__xludf.DUMMYFUNCTION("""COMPUTED_VALUE"""),"DOT158806132")</f>
        <v>DOT158806132</v>
      </c>
      <c r="B958" t="s">
        <v>11818</v>
      </c>
      <c r="C958" s="663" t="s">
        <v>11843</v>
      </c>
      <c r="D958" s="905" t="s">
        <v>11846</v>
      </c>
    </row>
    <row r="959" spans="1:4" ht="16.5">
      <c r="A959" s="581" t="str">
        <f ca="1">IFERROR(__xludf.DUMMYFUNCTION("""COMPUTED_VALUE"""),"DOT1588061387")</f>
        <v>DOT1588061387</v>
      </c>
      <c r="B959" t="s">
        <v>11818</v>
      </c>
      <c r="C959" s="663" t="s">
        <v>11843</v>
      </c>
      <c r="D959" s="905" t="s">
        <v>11846</v>
      </c>
    </row>
    <row r="960" spans="1:4" ht="16.5">
      <c r="A960" s="587" t="str">
        <f ca="1">IFERROR(__xludf.DUMMYFUNCTION("""COMPUTED_VALUE"""),"DOT158806141")</f>
        <v>DOT158806141</v>
      </c>
      <c r="B960" t="s">
        <v>11818</v>
      </c>
      <c r="C960" s="663" t="s">
        <v>11843</v>
      </c>
      <c r="D960" s="905" t="s">
        <v>11846</v>
      </c>
    </row>
    <row r="961" spans="1:4" ht="16.5">
      <c r="A961" s="581" t="str">
        <f ca="1">IFERROR(__xludf.DUMMYFUNCTION("""COMPUTED_VALUE"""),"DOT158806558")</f>
        <v>DOT158806558</v>
      </c>
      <c r="B961" t="s">
        <v>11818</v>
      </c>
      <c r="C961" s="663" t="s">
        <v>11843</v>
      </c>
      <c r="D961" s="905" t="s">
        <v>11846</v>
      </c>
    </row>
    <row r="962" spans="1:4" ht="16.5">
      <c r="A962" s="587" t="str">
        <f ca="1">IFERROR(__xludf.DUMMYFUNCTION("""COMPUTED_VALUE"""),"DOT1588070")</f>
        <v>DOT1588070</v>
      </c>
      <c r="B962" t="s">
        <v>11818</v>
      </c>
      <c r="C962" s="663" t="s">
        <v>11843</v>
      </c>
      <c r="D962" s="905" t="s">
        <v>11846</v>
      </c>
    </row>
    <row r="963" spans="1:4" ht="16.5">
      <c r="A963" s="581" t="str">
        <f ca="1">IFERROR(__xludf.DUMMYFUNCTION("""COMPUTED_VALUE"""),"DOT1588071")</f>
        <v>DOT1588071</v>
      </c>
      <c r="B963" t="s">
        <v>11818</v>
      </c>
      <c r="C963" s="663" t="s">
        <v>11843</v>
      </c>
      <c r="D963" s="905" t="s">
        <v>11846</v>
      </c>
    </row>
    <row r="964" spans="1:4" ht="16.5">
      <c r="A964" s="587" t="str">
        <f ca="1">IFERROR(__xludf.DUMMYFUNCTION("""COMPUTED_VALUE"""),"DOT1588071193")</f>
        <v>DOT1588071193</v>
      </c>
      <c r="B964" t="s">
        <v>11818</v>
      </c>
      <c r="C964" s="663" t="s">
        <v>11843</v>
      </c>
      <c r="D964" s="905" t="s">
        <v>11846</v>
      </c>
    </row>
    <row r="965" spans="1:4" ht="16.5">
      <c r="A965" s="581" t="str">
        <f ca="1">IFERROR(__xludf.DUMMYFUNCTION("""COMPUTED_VALUE"""),"DOT158807158")</f>
        <v>DOT158807158</v>
      </c>
      <c r="B965" t="s">
        <v>11818</v>
      </c>
      <c r="C965" s="663" t="s">
        <v>11843</v>
      </c>
      <c r="D965" s="905" t="s">
        <v>11846</v>
      </c>
    </row>
    <row r="966" spans="1:4" ht="16.5">
      <c r="A966" s="587" t="str">
        <f ca="1">IFERROR(__xludf.DUMMYFUNCTION("""COMPUTED_VALUE"""),"DOT1588080")</f>
        <v>DOT1588080</v>
      </c>
      <c r="B966" t="s">
        <v>11818</v>
      </c>
      <c r="C966" s="663" t="s">
        <v>11843</v>
      </c>
      <c r="D966" s="905" t="s">
        <v>11846</v>
      </c>
    </row>
    <row r="967" spans="1:4" ht="16.5">
      <c r="A967" s="581" t="str">
        <f ca="1">IFERROR(__xludf.DUMMYFUNCTION("""COMPUTED_VALUE"""),"DOT1588081387")</f>
        <v>DOT1588081387</v>
      </c>
      <c r="B967" t="s">
        <v>11818</v>
      </c>
      <c r="C967" s="663" t="s">
        <v>11843</v>
      </c>
      <c r="D967" s="905" t="s">
        <v>11846</v>
      </c>
    </row>
    <row r="968" spans="1:4" ht="16.5">
      <c r="A968" s="587" t="str">
        <f ca="1">IFERROR(__xludf.DUMMYFUNCTION("""COMPUTED_VALUE"""),"DOT1588081")</f>
        <v>DOT1588081</v>
      </c>
      <c r="B968" t="s">
        <v>11818</v>
      </c>
      <c r="C968" s="663" t="s">
        <v>11843</v>
      </c>
      <c r="D968" s="905" t="s">
        <v>11846</v>
      </c>
    </row>
    <row r="969" spans="1:4" ht="16.5">
      <c r="A969" s="581" t="str">
        <f ca="1">IFERROR(__xludf.DUMMYFUNCTION("""COMPUTED_VALUE"""),"DOT158808529")</f>
        <v>DOT158808529</v>
      </c>
      <c r="B969" t="s">
        <v>11818</v>
      </c>
      <c r="C969" s="663" t="s">
        <v>11843</v>
      </c>
      <c r="D969" s="905" t="s">
        <v>11846</v>
      </c>
    </row>
    <row r="970" spans="1:4" ht="16.5">
      <c r="A970" s="587" t="str">
        <f ca="1">IFERROR(__xludf.DUMMYFUNCTION("""COMPUTED_VALUE"""),"DOT158808558")</f>
        <v>DOT158808558</v>
      </c>
      <c r="B970" t="s">
        <v>11818</v>
      </c>
      <c r="C970" s="663" t="s">
        <v>11843</v>
      </c>
      <c r="D970" s="905" t="s">
        <v>11846</v>
      </c>
    </row>
    <row r="971" spans="1:4" ht="16.5">
      <c r="A971" s="581" t="str">
        <f ca="1">IFERROR(__xludf.DUMMYFUNCTION("""COMPUTED_VALUE"""),"DOT1588090")</f>
        <v>DOT1588090</v>
      </c>
      <c r="B971" t="s">
        <v>11818</v>
      </c>
      <c r="C971" s="663" t="s">
        <v>11843</v>
      </c>
      <c r="D971" s="905" t="s">
        <v>11846</v>
      </c>
    </row>
    <row r="972" spans="1:4" ht="16.5">
      <c r="A972" s="587" t="str">
        <f ca="1">IFERROR(__xludf.DUMMYFUNCTION("""COMPUTED_VALUE"""),"DOT158809158")</f>
        <v>DOT158809158</v>
      </c>
      <c r="B972" t="s">
        <v>11818</v>
      </c>
      <c r="C972" s="663" t="s">
        <v>11843</v>
      </c>
      <c r="D972" s="905" t="s">
        <v>11846</v>
      </c>
    </row>
    <row r="973" spans="1:4" ht="16.5">
      <c r="A973" s="581" t="str">
        <f ca="1">IFERROR(__xludf.DUMMYFUNCTION("""COMPUTED_VALUE"""),"DOT1588095")</f>
        <v>DOT1588095</v>
      </c>
      <c r="B973" t="s">
        <v>11818</v>
      </c>
      <c r="C973" s="663" t="s">
        <v>11843</v>
      </c>
      <c r="D973" s="905" t="s">
        <v>11846</v>
      </c>
    </row>
    <row r="974" spans="1:4" ht="16.5">
      <c r="A974" s="587" t="str">
        <f ca="1">IFERROR(__xludf.DUMMYFUNCTION("""COMPUTED_VALUE"""),"DOT158809558")</f>
        <v>DOT158809558</v>
      </c>
      <c r="B974" t="s">
        <v>11818</v>
      </c>
      <c r="C974" s="663" t="s">
        <v>11843</v>
      </c>
      <c r="D974" s="905" t="s">
        <v>11846</v>
      </c>
    </row>
    <row r="975" spans="1:4" ht="16.5">
      <c r="A975" s="581" t="str">
        <f ca="1">IFERROR(__xludf.DUMMYFUNCTION("""COMPUTED_VALUE"""),"DOT158809858")</f>
        <v>DOT158809858</v>
      </c>
      <c r="B975" t="s">
        <v>11818</v>
      </c>
      <c r="C975" s="663" t="s">
        <v>11843</v>
      </c>
      <c r="D975" s="905" t="s">
        <v>11846</v>
      </c>
    </row>
    <row r="976" spans="1:4" ht="16.5">
      <c r="A976" s="587" t="str">
        <f ca="1">IFERROR(__xludf.DUMMYFUNCTION("""COMPUTED_VALUE"""),"DOT158810030")</f>
        <v>DOT158810030</v>
      </c>
      <c r="B976" t="s">
        <v>11818</v>
      </c>
      <c r="C976" s="663" t="s">
        <v>11843</v>
      </c>
      <c r="D976" s="905" t="s">
        <v>11846</v>
      </c>
    </row>
    <row r="977" spans="1:4" ht="16.5">
      <c r="A977" s="581" t="str">
        <f ca="1">IFERROR(__xludf.DUMMYFUNCTION("""COMPUTED_VALUE"""),"DOT15881058")</f>
        <v>DOT15881058</v>
      </c>
      <c r="B977" t="s">
        <v>11818</v>
      </c>
      <c r="C977" s="663" t="s">
        <v>11843</v>
      </c>
      <c r="D977" s="905" t="s">
        <v>11846</v>
      </c>
    </row>
    <row r="978" spans="1:4" ht="16.5">
      <c r="A978" s="587" t="str">
        <f ca="1">IFERROR(__xludf.DUMMYFUNCTION("""COMPUTED_VALUE"""),"DOT1588100")</f>
        <v>DOT1588100</v>
      </c>
      <c r="B978" t="s">
        <v>11818</v>
      </c>
      <c r="C978" s="663" t="s">
        <v>11843</v>
      </c>
      <c r="D978" s="905" t="s">
        <v>11846</v>
      </c>
    </row>
    <row r="979" spans="1:4" ht="16.5">
      <c r="A979" s="581" t="str">
        <f ca="1">IFERROR(__xludf.DUMMYFUNCTION("""COMPUTED_VALUE"""),"DOT1588102")</f>
        <v>DOT1588102</v>
      </c>
      <c r="B979" t="s">
        <v>11818</v>
      </c>
      <c r="C979" s="663" t="s">
        <v>11843</v>
      </c>
      <c r="D979" s="905" t="s">
        <v>11846</v>
      </c>
    </row>
    <row r="980" spans="1:4" ht="16.5">
      <c r="A980" s="587" t="str">
        <f ca="1">IFERROR(__xludf.DUMMYFUNCTION("""COMPUTED_VALUE"""),"DOT158812016")</f>
        <v>DOT158812016</v>
      </c>
      <c r="B980" t="s">
        <v>11818</v>
      </c>
      <c r="C980" s="663" t="s">
        <v>11843</v>
      </c>
      <c r="D980" s="905" t="s">
        <v>11846</v>
      </c>
    </row>
    <row r="981" spans="1:4" ht="16.5">
      <c r="A981" s="581" t="str">
        <f ca="1">IFERROR(__xludf.DUMMYFUNCTION("""COMPUTED_VALUE"""),"DOT1588124")</f>
        <v>DOT1588124</v>
      </c>
      <c r="B981" t="s">
        <v>11818</v>
      </c>
      <c r="C981" s="663" t="s">
        <v>11843</v>
      </c>
      <c r="D981" s="905" t="s">
        <v>11846</v>
      </c>
    </row>
    <row r="982" spans="1:4" ht="16.5">
      <c r="A982" s="587" t="str">
        <f ca="1">IFERROR(__xludf.DUMMYFUNCTION("""COMPUTED_VALUE"""),"DOT158815030")</f>
        <v>DOT158815030</v>
      </c>
      <c r="B982" t="s">
        <v>11818</v>
      </c>
      <c r="C982" s="663" t="s">
        <v>11843</v>
      </c>
      <c r="D982" s="905" t="s">
        <v>11846</v>
      </c>
    </row>
    <row r="983" spans="1:4" ht="16.5">
      <c r="A983" s="581" t="str">
        <f ca="1">IFERROR(__xludf.DUMMYFUNCTION("""COMPUTED_VALUE"""),"DOT160006130")</f>
        <v>DOT160006130</v>
      </c>
      <c r="B983" t="s">
        <v>11818</v>
      </c>
      <c r="C983" s="663" t="s">
        <v>11843</v>
      </c>
      <c r="D983" s="905" t="s">
        <v>11846</v>
      </c>
    </row>
    <row r="984" spans="1:4" ht="16.5">
      <c r="A984" s="587" t="str">
        <f ca="1">IFERROR(__xludf.DUMMYFUNCTION("""COMPUTED_VALUE"""),"DOT160010030")</f>
        <v>DOT160010030</v>
      </c>
      <c r="B984" t="s">
        <v>11818</v>
      </c>
      <c r="C984" s="663" t="s">
        <v>11843</v>
      </c>
      <c r="D984" s="905" t="s">
        <v>11846</v>
      </c>
    </row>
    <row r="985" spans="1:4" ht="16.5">
      <c r="A985" s="581" t="str">
        <f ca="1">IFERROR(__xludf.DUMMYFUNCTION("""COMPUTED_VALUE"""),"DOT160012030")</f>
        <v>DOT160012030</v>
      </c>
      <c r="B985" t="s">
        <v>11818</v>
      </c>
      <c r="C985" s="663" t="s">
        <v>11843</v>
      </c>
      <c r="D985" s="905" t="s">
        <v>11846</v>
      </c>
    </row>
    <row r="986" spans="1:4" ht="16.5">
      <c r="A986" s="587" t="str">
        <f ca="1">IFERROR(__xludf.DUMMYFUNCTION("""COMPUTED_VALUE"""),"DOT160012530")</f>
        <v>DOT160012530</v>
      </c>
      <c r="B986" t="s">
        <v>11818</v>
      </c>
      <c r="C986" s="663" t="s">
        <v>11843</v>
      </c>
      <c r="D986" s="905" t="s">
        <v>11846</v>
      </c>
    </row>
    <row r="987" spans="1:4" ht="16.5">
      <c r="A987" s="581" t="str">
        <f ca="1">IFERROR(__xludf.DUMMYFUNCTION("""COMPUTED_VALUE"""),"DOT160013030")</f>
        <v>DOT160013030</v>
      </c>
      <c r="B987" t="s">
        <v>11818</v>
      </c>
      <c r="C987" s="663" t="s">
        <v>11843</v>
      </c>
      <c r="D987" s="905" t="s">
        <v>11846</v>
      </c>
    </row>
    <row r="988" spans="1:4" ht="16.5">
      <c r="A988" s="587" t="str">
        <f ca="1">IFERROR(__xludf.DUMMYFUNCTION("""COMPUTED_VALUE"""),"DOT1600130305")</f>
        <v>DOT1600130305</v>
      </c>
      <c r="B988" t="s">
        <v>11818</v>
      </c>
      <c r="C988" s="663" t="s">
        <v>11843</v>
      </c>
      <c r="D988" s="905" t="s">
        <v>11846</v>
      </c>
    </row>
    <row r="989" spans="1:4" ht="16.5">
      <c r="A989" s="581" t="str">
        <f ca="1">IFERROR(__xludf.DUMMYFUNCTION("""COMPUTED_VALUE"""),"DOT160013530")</f>
        <v>DOT160013530</v>
      </c>
      <c r="B989" t="s">
        <v>11818</v>
      </c>
      <c r="C989" s="663" t="s">
        <v>11843</v>
      </c>
      <c r="D989" s="905" t="s">
        <v>11846</v>
      </c>
    </row>
    <row r="990" spans="1:4" ht="16.5">
      <c r="A990" s="587" t="str">
        <f ca="1">IFERROR(__xludf.DUMMYFUNCTION("""COMPUTED_VALUE"""),"DOT1600143")</f>
        <v>DOT1600143</v>
      </c>
      <c r="B990" t="s">
        <v>11818</v>
      </c>
      <c r="C990" s="663" t="s">
        <v>11843</v>
      </c>
      <c r="D990" s="905" t="s">
        <v>11846</v>
      </c>
    </row>
    <row r="991" spans="1:4" ht="16.5">
      <c r="A991" s="581" t="str">
        <f ca="1">IFERROR(__xludf.DUMMYFUNCTION("""COMPUTED_VALUE"""),"DOT160015020")</f>
        <v>DOT160015020</v>
      </c>
      <c r="B991" t="s">
        <v>11818</v>
      </c>
      <c r="C991" s="663" t="s">
        <v>11843</v>
      </c>
      <c r="D991" s="905" t="s">
        <v>11846</v>
      </c>
    </row>
    <row r="992" spans="1:4" ht="16.5">
      <c r="A992" s="587" t="str">
        <f ca="1">IFERROR(__xludf.DUMMYFUNCTION("""COMPUTED_VALUE"""),"DOT1600153")</f>
        <v>DOT1600153</v>
      </c>
      <c r="B992" t="s">
        <v>11818</v>
      </c>
      <c r="C992" s="663" t="s">
        <v>11843</v>
      </c>
      <c r="D992" s="905" t="s">
        <v>11846</v>
      </c>
    </row>
    <row r="993" spans="1:4" ht="16.5">
      <c r="A993" s="581" t="str">
        <f ca="1">IFERROR(__xludf.DUMMYFUNCTION("""COMPUTED_VALUE"""),"DOT165009120")</f>
        <v>DOT165009120</v>
      </c>
      <c r="B993" t="s">
        <v>11818</v>
      </c>
      <c r="C993" s="663" t="s">
        <v>11843</v>
      </c>
      <c r="D993" s="905" t="s">
        <v>11846</v>
      </c>
    </row>
    <row r="994" spans="1:4" ht="16.5">
      <c r="A994" s="587" t="str">
        <f ca="1">IFERROR(__xludf.DUMMYFUNCTION("""COMPUTED_VALUE"""),"DOT165015030")</f>
        <v>DOT165015030</v>
      </c>
      <c r="B994" t="s">
        <v>11818</v>
      </c>
      <c r="C994" s="663" t="s">
        <v>11843</v>
      </c>
      <c r="D994" s="905" t="s">
        <v>11846</v>
      </c>
    </row>
    <row r="995" spans="1:4" ht="16.5">
      <c r="A995" s="581" t="str">
        <f ca="1">IFERROR(__xludf.DUMMYFUNCTION("""COMPUTED_VALUE"""),"DOT170013030")</f>
        <v>DOT170013030</v>
      </c>
      <c r="B995" t="s">
        <v>11818</v>
      </c>
      <c r="C995" s="663" t="s">
        <v>11843</v>
      </c>
      <c r="D995" s="905" t="s">
        <v>11846</v>
      </c>
    </row>
    <row r="996" spans="1:4" ht="16.5">
      <c r="A996" s="587" t="str">
        <f ca="1">IFERROR(__xludf.DUMMYFUNCTION("""COMPUTED_VALUE"""),"DOT170015030")</f>
        <v>DOT170015030</v>
      </c>
      <c r="B996" t="s">
        <v>11818</v>
      </c>
      <c r="C996" s="663" t="s">
        <v>11843</v>
      </c>
      <c r="D996" s="905" t="s">
        <v>11846</v>
      </c>
    </row>
    <row r="997" spans="1:4" ht="16.5">
      <c r="A997" s="581" t="str">
        <f ca="1">IFERROR(__xludf.DUMMYFUNCTION("""COMPUTED_VALUE"""),"DOT170015530")</f>
        <v>DOT170015530</v>
      </c>
      <c r="B997" t="s">
        <v>11818</v>
      </c>
      <c r="C997" s="663" t="s">
        <v>11843</v>
      </c>
      <c r="D997" s="905" t="s">
        <v>11846</v>
      </c>
    </row>
    <row r="998" spans="1:4" ht="16.5">
      <c r="A998" s="587" t="str">
        <f ca="1">IFERROR(__xludf.DUMMYFUNCTION("""COMPUTED_VALUE"""),"DOT170016030")</f>
        <v>DOT170016030</v>
      </c>
      <c r="B998" t="s">
        <v>11818</v>
      </c>
      <c r="C998" s="663" t="s">
        <v>11843</v>
      </c>
      <c r="D998" s="905" t="s">
        <v>11846</v>
      </c>
    </row>
    <row r="999" spans="1:4" ht="16.5">
      <c r="A999" s="581" t="str">
        <f ca="1">IFERROR(__xludf.DUMMYFUNCTION("""COMPUTED_VALUE"""),"DOT170017530")</f>
        <v>DOT170017530</v>
      </c>
      <c r="B999" t="s">
        <v>11818</v>
      </c>
      <c r="C999" s="663" t="s">
        <v>11843</v>
      </c>
      <c r="D999" s="905" t="s">
        <v>11846</v>
      </c>
    </row>
    <row r="1000" spans="1:4" ht="16.5">
      <c r="A1000" s="587" t="str">
        <f ca="1">IFERROR(__xludf.DUMMYFUNCTION("""COMPUTED_VALUE"""),"DOT174019030")</f>
        <v>DOT174019030</v>
      </c>
      <c r="B1000" t="s">
        <v>11818</v>
      </c>
      <c r="C1000" s="663" t="s">
        <v>11843</v>
      </c>
      <c r="D1000" s="905" t="s">
        <v>11846</v>
      </c>
    </row>
    <row r="1001" spans="1:4" ht="16.5">
      <c r="A1001" s="581" t="str">
        <f ca="1">IFERROR(__xludf.DUMMYFUNCTION("""COMPUTED_VALUE"""),"DOT174020020")</f>
        <v>DOT174020020</v>
      </c>
      <c r="B1001" t="s">
        <v>11818</v>
      </c>
      <c r="C1001" s="663" t="s">
        <v>11843</v>
      </c>
      <c r="D1001" s="905" t="s">
        <v>11846</v>
      </c>
    </row>
    <row r="1002" spans="1:4" ht="16.5">
      <c r="A1002" s="587" t="str">
        <f ca="1">IFERROR(__xludf.DUMMYFUNCTION("""COMPUTED_VALUE"""),"DOT175013030")</f>
        <v>DOT175013030</v>
      </c>
      <c r="B1002" t="s">
        <v>11818</v>
      </c>
      <c r="C1002" s="663" t="s">
        <v>11843</v>
      </c>
      <c r="D1002" s="905" t="s">
        <v>11846</v>
      </c>
    </row>
    <row r="1003" spans="1:4" ht="16.5">
      <c r="A1003" s="581" t="str">
        <f ca="1">IFERROR(__xludf.DUMMYFUNCTION("""COMPUTED_VALUE"""),"DOT175014530")</f>
        <v>DOT175014530</v>
      </c>
      <c r="B1003" t="s">
        <v>11818</v>
      </c>
      <c r="C1003" s="663" t="s">
        <v>11843</v>
      </c>
      <c r="D1003" s="905" t="s">
        <v>11846</v>
      </c>
    </row>
    <row r="1004" spans="1:4" ht="16.5">
      <c r="A1004" s="587" t="str">
        <f ca="1">IFERROR(__xludf.DUMMYFUNCTION("""COMPUTED_VALUE"""),"DOT175015030")</f>
        <v>DOT175015030</v>
      </c>
      <c r="B1004" t="s">
        <v>11818</v>
      </c>
      <c r="C1004" s="663" t="s">
        <v>11843</v>
      </c>
      <c r="D1004" s="905" t="s">
        <v>11846</v>
      </c>
    </row>
    <row r="1005" spans="1:4" ht="16.5">
      <c r="A1005" s="581" t="str">
        <f ca="1">IFERROR(__xludf.DUMMYFUNCTION("""COMPUTED_VALUE"""),"DOT175016030")</f>
        <v>DOT175016030</v>
      </c>
      <c r="B1005" t="s">
        <v>11818</v>
      </c>
      <c r="C1005" s="663" t="s">
        <v>11843</v>
      </c>
      <c r="D1005" s="905" t="s">
        <v>11846</v>
      </c>
    </row>
    <row r="1006" spans="1:4" ht="16.5">
      <c r="A1006" s="587" t="str">
        <f ca="1">IFERROR(__xludf.DUMMYFUNCTION("""COMPUTED_VALUE"""),"DOT175017030")</f>
        <v>DOT175017030</v>
      </c>
      <c r="B1006" t="s">
        <v>11818</v>
      </c>
      <c r="C1006" s="663" t="s">
        <v>11843</v>
      </c>
      <c r="D1006" s="905" t="s">
        <v>11846</v>
      </c>
    </row>
    <row r="1007" spans="1:4" ht="16.5">
      <c r="A1007" s="581" t="str">
        <f ca="1">IFERROR(__xludf.DUMMYFUNCTION("""COMPUTED_VALUE"""),"DOT180015030")</f>
        <v>DOT180015030</v>
      </c>
      <c r="B1007" t="s">
        <v>11818</v>
      </c>
      <c r="C1007" s="663" t="s">
        <v>11843</v>
      </c>
      <c r="D1007" s="905" t="s">
        <v>11846</v>
      </c>
    </row>
    <row r="1008" spans="1:4" ht="16.5">
      <c r="A1008" s="587" t="str">
        <f ca="1">IFERROR(__xludf.DUMMYFUNCTION("""COMPUTED_VALUE"""),"DOT180015530")</f>
        <v>DOT180015530</v>
      </c>
      <c r="B1008" t="s">
        <v>11818</v>
      </c>
      <c r="C1008" s="663" t="s">
        <v>11843</v>
      </c>
      <c r="D1008" s="905" t="s">
        <v>11846</v>
      </c>
    </row>
    <row r="1009" spans="1:4" ht="16.5">
      <c r="A1009" s="581" t="str">
        <f ca="1">IFERROR(__xludf.DUMMYFUNCTION("""COMPUTED_VALUE"""),"DOT180016030")</f>
        <v>DOT180016030</v>
      </c>
      <c r="B1009" t="s">
        <v>11818</v>
      </c>
      <c r="C1009" s="663" t="s">
        <v>11843</v>
      </c>
      <c r="D1009" s="905" t="s">
        <v>11846</v>
      </c>
    </row>
    <row r="1010" spans="1:4" ht="16.5">
      <c r="A1010" s="587" t="str">
        <f ca="1">IFERROR(__xludf.DUMMYFUNCTION("""COMPUTED_VALUE"""),"DOT180017530")</f>
        <v>DOT180017530</v>
      </c>
      <c r="B1010" t="s">
        <v>11818</v>
      </c>
      <c r="C1010" s="663" t="s">
        <v>11843</v>
      </c>
      <c r="D1010" s="905" t="s">
        <v>11846</v>
      </c>
    </row>
    <row r="1011" spans="1:4" ht="16.5">
      <c r="A1011" s="581" t="str">
        <f ca="1">IFERROR(__xludf.DUMMYFUNCTION("""COMPUTED_VALUE"""),"DOT182817020")</f>
        <v>DOT182817020</v>
      </c>
      <c r="B1011" t="s">
        <v>11818</v>
      </c>
      <c r="C1011" s="663" t="s">
        <v>11843</v>
      </c>
      <c r="D1011" s="905" t="s">
        <v>11846</v>
      </c>
    </row>
    <row r="1012" spans="1:4" ht="16.5">
      <c r="A1012" s="587" t="str">
        <f ca="1">IFERROR(__xludf.DUMMYFUNCTION("""COMPUTED_VALUE"""),"DOT190014030")</f>
        <v>DOT190014030</v>
      </c>
      <c r="B1012" t="s">
        <v>11818</v>
      </c>
      <c r="C1012" s="663" t="s">
        <v>11843</v>
      </c>
      <c r="D1012" s="905" t="s">
        <v>11846</v>
      </c>
    </row>
    <row r="1013" spans="1:4" ht="16.5">
      <c r="A1013" s="581" t="str">
        <f ca="1">IFERROR(__xludf.DUMMYFUNCTION("""COMPUTED_VALUE"""),"DOT190015030")</f>
        <v>DOT190015030</v>
      </c>
      <c r="B1013" t="s">
        <v>11818</v>
      </c>
      <c r="C1013" s="663" t="s">
        <v>11843</v>
      </c>
      <c r="D1013" s="905" t="s">
        <v>11846</v>
      </c>
    </row>
    <row r="1014" spans="1:4" ht="16.5">
      <c r="A1014" s="587" t="str">
        <f ca="1">IFERROR(__xludf.DUMMYFUNCTION("""COMPUTED_VALUE"""),"DOT190018030")</f>
        <v>DOT190018030</v>
      </c>
      <c r="B1014" t="s">
        <v>11818</v>
      </c>
      <c r="C1014" s="663" t="s">
        <v>11843</v>
      </c>
      <c r="D1014" s="905" t="s">
        <v>11846</v>
      </c>
    </row>
    <row r="1015" spans="1:4" ht="16.5">
      <c r="A1015" s="581" t="str">
        <f ca="1">IFERROR(__xludf.DUMMYFUNCTION("""COMPUTED_VALUE"""),"DOT190019030")</f>
        <v>DOT190019030</v>
      </c>
      <c r="B1015" t="s">
        <v>11818</v>
      </c>
      <c r="C1015" s="663" t="s">
        <v>11843</v>
      </c>
      <c r="D1015" s="905" t="s">
        <v>11846</v>
      </c>
    </row>
    <row r="1016" spans="1:4" ht="16.5">
      <c r="A1016" s="587" t="str">
        <f ca="1">IFERROR(__xludf.DUMMYFUNCTION("""COMPUTED_VALUE"""),"DOT190020030")</f>
        <v>DOT190020030</v>
      </c>
      <c r="B1016" t="s">
        <v>11818</v>
      </c>
      <c r="C1016" s="663" t="s">
        <v>11843</v>
      </c>
      <c r="D1016" s="905" t="s">
        <v>11846</v>
      </c>
    </row>
    <row r="1017" spans="1:4" ht="16.5">
      <c r="A1017" s="581" t="str">
        <f ca="1">IFERROR(__xludf.DUMMYFUNCTION("""COMPUTED_VALUE"""),"DOT190505524")</f>
        <v>DOT190505524</v>
      </c>
      <c r="B1017" t="s">
        <v>11818</v>
      </c>
      <c r="C1017" s="663" t="s">
        <v>11843</v>
      </c>
      <c r="D1017" s="905" t="s">
        <v>11846</v>
      </c>
    </row>
    <row r="1018" spans="1:4" ht="16.5">
      <c r="A1018" s="587" t="str">
        <f ca="1">IFERROR(__xludf.DUMMYFUNCTION("""COMPUTED_VALUE"""),"DOT1905060")</f>
        <v>DOT1905060</v>
      </c>
      <c r="B1018" t="s">
        <v>11818</v>
      </c>
      <c r="C1018" s="663" t="s">
        <v>11843</v>
      </c>
      <c r="D1018" s="905" t="s">
        <v>11846</v>
      </c>
    </row>
    <row r="1019" spans="1:4" ht="16.5">
      <c r="A1019" s="581" t="str">
        <f ca="1">IFERROR(__xludf.DUMMYFUNCTION("""COMPUTED_VALUE"""),"DOT1905065")</f>
        <v>DOT1905065</v>
      </c>
      <c r="B1019" t="s">
        <v>11818</v>
      </c>
      <c r="C1019" s="663" t="s">
        <v>11843</v>
      </c>
      <c r="D1019" s="905" t="s">
        <v>11846</v>
      </c>
    </row>
    <row r="1020" spans="1:4" ht="16.5">
      <c r="A1020" s="587" t="str">
        <f ca="1">IFERROR(__xludf.DUMMYFUNCTION("""COMPUTED_VALUE"""),"DOT1905071")</f>
        <v>DOT1905071</v>
      </c>
      <c r="B1020" t="s">
        <v>11818</v>
      </c>
      <c r="C1020" s="663" t="s">
        <v>11843</v>
      </c>
      <c r="D1020" s="905" t="s">
        <v>11846</v>
      </c>
    </row>
    <row r="1021" spans="1:4" ht="16.5">
      <c r="A1021" s="581" t="str">
        <f ca="1">IFERROR(__xludf.DUMMYFUNCTION("""COMPUTED_VALUE"""),"DOT190507130")</f>
        <v>DOT190507130</v>
      </c>
      <c r="B1021" t="s">
        <v>11818</v>
      </c>
      <c r="C1021" s="663" t="s">
        <v>11843</v>
      </c>
      <c r="D1021" s="905" t="s">
        <v>11846</v>
      </c>
    </row>
    <row r="1022" spans="1:4" ht="16.5">
      <c r="A1022" s="587" t="str">
        <f ca="1">IFERROR(__xludf.DUMMYFUNCTION("""COMPUTED_VALUE"""),"DOT1905075")</f>
        <v>DOT1905075</v>
      </c>
      <c r="B1022" t="s">
        <v>11818</v>
      </c>
      <c r="C1022" s="663" t="s">
        <v>11843</v>
      </c>
      <c r="D1022" s="905" t="s">
        <v>11846</v>
      </c>
    </row>
    <row r="1023" spans="1:4" ht="16.5">
      <c r="A1023" s="581" t="str">
        <f ca="1">IFERROR(__xludf.DUMMYFUNCTION("""COMPUTED_VALUE"""),"DOT190508058")</f>
        <v>DOT190508058</v>
      </c>
      <c r="B1023" t="s">
        <v>11818</v>
      </c>
      <c r="C1023" s="663" t="s">
        <v>11843</v>
      </c>
      <c r="D1023" s="905" t="s">
        <v>11846</v>
      </c>
    </row>
    <row r="1024" spans="1:4" ht="16.5">
      <c r="A1024" s="587" t="str">
        <f ca="1">IFERROR(__xludf.DUMMYFUNCTION("""COMPUTED_VALUE"""),"DOT1905081")</f>
        <v>DOT1905081</v>
      </c>
      <c r="B1024" t="s">
        <v>11818</v>
      </c>
      <c r="C1024" s="663" t="s">
        <v>11843</v>
      </c>
      <c r="D1024" s="905" t="s">
        <v>11846</v>
      </c>
    </row>
    <row r="1025" spans="1:4" ht="16.5">
      <c r="A1025" s="581" t="str">
        <f ca="1">IFERROR(__xludf.DUMMYFUNCTION("""COMPUTED_VALUE"""),"DOT190508558")</f>
        <v>DOT190508558</v>
      </c>
      <c r="B1025" t="s">
        <v>11818</v>
      </c>
      <c r="C1025" s="663" t="s">
        <v>11843</v>
      </c>
      <c r="D1025" s="905" t="s">
        <v>11846</v>
      </c>
    </row>
    <row r="1026" spans="1:4" ht="16.5">
      <c r="A1026" s="587" t="str">
        <f ca="1">IFERROR(__xludf.DUMMYFUNCTION("""COMPUTED_VALUE"""),"DOT1905090")</f>
        <v>DOT1905090</v>
      </c>
      <c r="B1026" t="s">
        <v>11818</v>
      </c>
      <c r="C1026" s="663" t="s">
        <v>11843</v>
      </c>
      <c r="D1026" s="905" t="s">
        <v>11846</v>
      </c>
    </row>
    <row r="1027" spans="1:4" ht="16.5">
      <c r="A1027" s="581" t="str">
        <f ca="1">IFERROR(__xludf.DUMMYFUNCTION("""COMPUTED_VALUE"""),"DOT190509058")</f>
        <v>DOT190509058</v>
      </c>
      <c r="B1027" t="s">
        <v>11818</v>
      </c>
      <c r="C1027" s="663" t="s">
        <v>11843</v>
      </c>
      <c r="D1027" s="905" t="s">
        <v>11846</v>
      </c>
    </row>
    <row r="1028" spans="1:4" ht="16.5">
      <c r="A1028" s="587" t="str">
        <f ca="1">IFERROR(__xludf.DUMMYFUNCTION("""COMPUTED_VALUE"""),"DOT1905095(NM)")</f>
        <v>DOT1905095(NM)</v>
      </c>
      <c r="B1028" t="s">
        <v>11818</v>
      </c>
      <c r="C1028" s="663" t="s">
        <v>11843</v>
      </c>
      <c r="D1028" s="905" t="s">
        <v>11846</v>
      </c>
    </row>
    <row r="1029" spans="1:4" ht="16.5">
      <c r="A1029" s="581" t="str">
        <f ca="1">IFERROR(__xludf.DUMMYFUNCTION("""COMPUTED_VALUE"""),"DOT190510058")</f>
        <v>DOT190510058</v>
      </c>
      <c r="B1029" t="s">
        <v>11818</v>
      </c>
      <c r="C1029" s="663" t="s">
        <v>11843</v>
      </c>
      <c r="D1029" s="905" t="s">
        <v>11846</v>
      </c>
    </row>
    <row r="1030" spans="1:4" ht="16.5">
      <c r="A1030" s="587" t="str">
        <f ca="1">IFERROR(__xludf.DUMMYFUNCTION("""COMPUTED_VALUE"""),"DOT1905100")</f>
        <v>DOT1905100</v>
      </c>
      <c r="B1030" t="s">
        <v>11818</v>
      </c>
      <c r="C1030" s="663" t="s">
        <v>11843</v>
      </c>
      <c r="D1030" s="905" t="s">
        <v>11846</v>
      </c>
    </row>
    <row r="1031" spans="1:4" ht="16.5">
      <c r="A1031" s="581" t="str">
        <f ca="1">IFERROR(__xludf.DUMMYFUNCTION("""COMPUTED_VALUE"""),"DOT1905107")</f>
        <v>DOT1905107</v>
      </c>
      <c r="B1031" t="s">
        <v>11818</v>
      </c>
      <c r="C1031" s="663" t="s">
        <v>11843</v>
      </c>
      <c r="D1031" s="905" t="s">
        <v>11846</v>
      </c>
    </row>
    <row r="1032" spans="1:4" ht="16.5">
      <c r="A1032" s="587" t="str">
        <f ca="1">IFERROR(__xludf.DUMMYFUNCTION("""COMPUTED_VALUE"""),"DOT1905110")</f>
        <v>DOT1905110</v>
      </c>
      <c r="B1032" t="s">
        <v>11818</v>
      </c>
      <c r="C1032" s="663" t="s">
        <v>11843</v>
      </c>
      <c r="D1032" s="905" t="s">
        <v>11846</v>
      </c>
    </row>
    <row r="1033" spans="1:4" ht="16.5">
      <c r="A1033" s="581" t="str">
        <f ca="1">IFERROR(__xludf.DUMMYFUNCTION("""COMPUTED_VALUE"""),"DOT1905120")</f>
        <v>DOT1905120</v>
      </c>
      <c r="B1033" t="s">
        <v>11818</v>
      </c>
      <c r="C1033" s="663" t="s">
        <v>11843</v>
      </c>
      <c r="D1033" s="905" t="s">
        <v>11846</v>
      </c>
    </row>
    <row r="1034" spans="1:4" ht="16.5">
      <c r="A1034" s="587" t="str">
        <f ca="1">IFERROR(__xludf.DUMMYFUNCTION("""COMPUTED_VALUE"""),"DOT1905124")</f>
        <v>DOT1905124</v>
      </c>
      <c r="B1034" t="s">
        <v>11818</v>
      </c>
      <c r="C1034" s="663" t="s">
        <v>11843</v>
      </c>
      <c r="D1034" s="905" t="s">
        <v>11846</v>
      </c>
    </row>
    <row r="1035" spans="1:4" ht="16.5">
      <c r="A1035" s="581" t="str">
        <f ca="1">IFERROR(__xludf.DUMMYFUNCTION("""COMPUTED_VALUE"""),"DOT1905140")</f>
        <v>DOT1905140</v>
      </c>
      <c r="B1035" t="s">
        <v>11818</v>
      </c>
      <c r="C1035" s="663" t="s">
        <v>11843</v>
      </c>
      <c r="D1035" s="905" t="s">
        <v>11846</v>
      </c>
    </row>
    <row r="1036" spans="1:4" ht="16.5">
      <c r="A1036" s="587" t="str">
        <f ca="1">IFERROR(__xludf.DUMMYFUNCTION("""COMPUTED_VALUE"""),"DOT190515030")</f>
        <v>DOT190515030</v>
      </c>
      <c r="B1036" t="s">
        <v>11818</v>
      </c>
      <c r="C1036" s="663" t="s">
        <v>11843</v>
      </c>
      <c r="D1036" s="905" t="s">
        <v>11846</v>
      </c>
    </row>
    <row r="1037" spans="1:4" ht="16.5">
      <c r="A1037" s="581" t="str">
        <f ca="1">IFERROR(__xludf.DUMMYFUNCTION("""COMPUTED_VALUE"""),"DOT190519530")</f>
        <v>DOT190519530</v>
      </c>
      <c r="B1037" t="s">
        <v>11818</v>
      </c>
      <c r="C1037" s="663" t="s">
        <v>11843</v>
      </c>
      <c r="D1037" s="905" t="s">
        <v>11846</v>
      </c>
    </row>
    <row r="1038" spans="1:4" ht="16.5">
      <c r="A1038" s="587" t="str">
        <f ca="1">IFERROR(__xludf.DUMMYFUNCTION("""COMPUTED_VALUE"""),"DOT195014030")</f>
        <v>DOT195014030</v>
      </c>
      <c r="B1038" t="s">
        <v>11818</v>
      </c>
      <c r="C1038" s="663" t="s">
        <v>11843</v>
      </c>
      <c r="D1038" s="905" t="s">
        <v>11846</v>
      </c>
    </row>
    <row r="1039" spans="1:4" ht="16.5">
      <c r="A1039" s="581" t="str">
        <f ca="1">IFERROR(__xludf.DUMMYFUNCTION("""COMPUTED_VALUE"""),"DOT195015530")</f>
        <v>DOT195015530</v>
      </c>
      <c r="B1039" t="s">
        <v>11818</v>
      </c>
      <c r="C1039" s="663" t="s">
        <v>11843</v>
      </c>
      <c r="D1039" s="905" t="s">
        <v>11846</v>
      </c>
    </row>
    <row r="1040" spans="1:4" ht="16.5">
      <c r="A1040" s="587" t="str">
        <f ca="1">IFERROR(__xludf.DUMMYFUNCTION("""COMPUTED_VALUE"""),"DOT195017030")</f>
        <v>DOT195017030</v>
      </c>
      <c r="B1040" t="s">
        <v>11818</v>
      </c>
      <c r="C1040" s="663" t="s">
        <v>11843</v>
      </c>
      <c r="D1040" s="905" t="s">
        <v>11846</v>
      </c>
    </row>
    <row r="1041" spans="1:4" ht="16.5">
      <c r="A1041" s="581" t="str">
        <f ca="1">IFERROR(__xludf.DUMMYFUNCTION("""COMPUTED_VALUE"""),"DOT195019530")</f>
        <v>DOT195019530</v>
      </c>
      <c r="B1041" t="s">
        <v>11818</v>
      </c>
      <c r="C1041" s="663" t="s">
        <v>11843</v>
      </c>
      <c r="D1041" s="905" t="s">
        <v>11846</v>
      </c>
    </row>
    <row r="1042" spans="1:4" ht="16.5">
      <c r="A1042" s="587" t="str">
        <f ca="1">IFERROR(__xludf.DUMMYFUNCTION("""COMPUTED_VALUE"""),"DOT195023020")</f>
        <v>DOT195023020</v>
      </c>
      <c r="B1042" t="s">
        <v>11818</v>
      </c>
      <c r="C1042" s="663" t="s">
        <v>11843</v>
      </c>
      <c r="D1042" s="905" t="s">
        <v>11846</v>
      </c>
    </row>
    <row r="1043" spans="1:4" ht="16.5">
      <c r="A1043" s="581" t="str">
        <f ca="1">IFERROR(__xludf.DUMMYFUNCTION("""COMPUTED_VALUE"""),"DOT200010029")</f>
        <v>DOT200010029</v>
      </c>
      <c r="B1043" t="s">
        <v>11818</v>
      </c>
      <c r="C1043" s="663" t="s">
        <v>11843</v>
      </c>
      <c r="D1043" s="905" t="s">
        <v>11846</v>
      </c>
    </row>
    <row r="1044" spans="1:4" ht="16.5">
      <c r="A1044" s="587" t="str">
        <f ca="1">IFERROR(__xludf.DUMMYFUNCTION("""COMPUTED_VALUE"""),"DOT20001530")</f>
        <v>DOT20001530</v>
      </c>
      <c r="B1044" t="s">
        <v>11818</v>
      </c>
      <c r="C1044" s="663" t="s">
        <v>11843</v>
      </c>
      <c r="D1044" s="905" t="s">
        <v>11846</v>
      </c>
    </row>
    <row r="1045" spans="1:4" ht="16.5">
      <c r="A1045" s="581" t="str">
        <f ca="1">IFERROR(__xludf.DUMMYFUNCTION("""COMPUTED_VALUE"""),"DOT20001630")</f>
        <v>DOT20001630</v>
      </c>
      <c r="B1045" t="s">
        <v>11818</v>
      </c>
      <c r="C1045" s="663" t="s">
        <v>11843</v>
      </c>
      <c r="D1045" s="905" t="s">
        <v>11846</v>
      </c>
    </row>
    <row r="1046" spans="1:4" ht="16.5">
      <c r="A1046" s="587" t="str">
        <f ca="1">IFERROR(__xludf.DUMMYFUNCTION("""COMPUTED_VALUE"""),"DOT20001730")</f>
        <v>DOT20001730</v>
      </c>
      <c r="B1046" t="s">
        <v>11818</v>
      </c>
      <c r="C1046" s="663" t="s">
        <v>11843</v>
      </c>
      <c r="D1046" s="905" t="s">
        <v>11846</v>
      </c>
    </row>
    <row r="1047" spans="1:4" ht="16.5">
      <c r="A1047" s="581" t="str">
        <f ca="1">IFERROR(__xludf.DUMMYFUNCTION("""COMPUTED_VALUE"""),"DOT20001930")</f>
        <v>DOT20001930</v>
      </c>
      <c r="B1047" t="s">
        <v>11818</v>
      </c>
      <c r="C1047" s="663" t="s">
        <v>11843</v>
      </c>
      <c r="D1047" s="905" t="s">
        <v>11846</v>
      </c>
    </row>
    <row r="1048" spans="1:4" ht="16.5">
      <c r="A1048" s="587" t="str">
        <f ca="1">IFERROR(__xludf.DUMMYFUNCTION("""COMPUTED_VALUE"""),"DOT20002030")</f>
        <v>DOT20002030</v>
      </c>
      <c r="B1048" t="s">
        <v>11818</v>
      </c>
      <c r="C1048" s="663" t="s">
        <v>11843</v>
      </c>
      <c r="D1048" s="905" t="s">
        <v>11846</v>
      </c>
    </row>
    <row r="1049" spans="1:4" ht="16.5">
      <c r="A1049" s="581" t="str">
        <f ca="1">IFERROR(__xludf.DUMMYFUNCTION("""COMPUTED_VALUE"""),"DOT200022030")</f>
        <v>DOT200022030</v>
      </c>
      <c r="B1049" t="s">
        <v>11818</v>
      </c>
      <c r="C1049" s="663" t="s">
        <v>11843</v>
      </c>
      <c r="D1049" s="905" t="s">
        <v>11846</v>
      </c>
    </row>
    <row r="1050" spans="1:4" ht="16.5">
      <c r="A1050" s="587" t="str">
        <f ca="1">IFERROR(__xludf.DUMMYFUNCTION("""COMPUTED_VALUE"""),"DOT2000225030")</f>
        <v>DOT2000225030</v>
      </c>
      <c r="B1050" t="s">
        <v>11818</v>
      </c>
      <c r="C1050" s="663" t="s">
        <v>11843</v>
      </c>
      <c r="D1050" s="905" t="s">
        <v>11846</v>
      </c>
    </row>
    <row r="1051" spans="1:4" ht="16.5">
      <c r="A1051" s="581" t="str">
        <f ca="1">IFERROR(__xludf.DUMMYFUNCTION("""COMPUTED_VALUE"""),"DOT210015030")</f>
        <v>DOT210015030</v>
      </c>
      <c r="B1051" t="s">
        <v>11818</v>
      </c>
      <c r="C1051" s="663" t="s">
        <v>11843</v>
      </c>
      <c r="D1051" s="905" t="s">
        <v>11846</v>
      </c>
    </row>
    <row r="1052" spans="1:4" ht="16.5">
      <c r="A1052" s="587" t="str">
        <f ca="1">IFERROR(__xludf.DUMMYFUNCTION("""COMPUTED_VALUE"""),"DOT210018030")</f>
        <v>DOT210018030</v>
      </c>
      <c r="B1052" t="s">
        <v>11818</v>
      </c>
      <c r="C1052" s="663" t="s">
        <v>11843</v>
      </c>
      <c r="D1052" s="905" t="s">
        <v>11846</v>
      </c>
    </row>
    <row r="1053" spans="1:4" ht="16.5">
      <c r="A1053" s="581" t="str">
        <f ca="1">IFERROR(__xludf.DUMMYFUNCTION("""COMPUTED_VALUE"""),"DOT210019030")</f>
        <v>DOT210019030</v>
      </c>
      <c r="B1053" t="s">
        <v>11818</v>
      </c>
      <c r="C1053" s="663" t="s">
        <v>11843</v>
      </c>
      <c r="D1053" s="905" t="s">
        <v>11846</v>
      </c>
    </row>
    <row r="1054" spans="1:4" ht="16.5">
      <c r="A1054" s="587" t="str">
        <f ca="1">IFERROR(__xludf.DUMMYFUNCTION("""COMPUTED_VALUE"""),"DOT210020030")</f>
        <v>DOT210020030</v>
      </c>
      <c r="B1054" t="s">
        <v>11818</v>
      </c>
      <c r="C1054" s="663" t="s">
        <v>11843</v>
      </c>
      <c r="D1054" s="905" t="s">
        <v>11846</v>
      </c>
    </row>
    <row r="1055" spans="1:4" ht="16.5">
      <c r="A1055" s="581" t="str">
        <f ca="1">IFERROR(__xludf.DUMMYFUNCTION("""COMPUTED_VALUE"""),"DOT210021030")</f>
        <v>DOT210021030</v>
      </c>
      <c r="B1055" t="s">
        <v>11818</v>
      </c>
      <c r="C1055" s="663" t="s">
        <v>11843</v>
      </c>
      <c r="D1055" s="905" t="s">
        <v>11846</v>
      </c>
    </row>
    <row r="1056" spans="1:4" ht="16.5">
      <c r="A1056" s="587" t="str">
        <f ca="1">IFERROR(__xludf.DUMMYFUNCTION("""COMPUTED_VALUE"""),"DOT210022030")</f>
        <v>DOT210022030</v>
      </c>
      <c r="B1056" t="s">
        <v>11818</v>
      </c>
      <c r="C1056" s="663" t="s">
        <v>11843</v>
      </c>
      <c r="D1056" s="905" t="s">
        <v>11846</v>
      </c>
    </row>
    <row r="1057" spans="1:4" ht="16.5">
      <c r="A1057" s="581" t="str">
        <f ca="1">IFERROR(__xludf.DUMMYFUNCTION("""COMPUTED_VALUE"""),"DOT215015020")</f>
        <v>DOT215015020</v>
      </c>
      <c r="B1057" t="s">
        <v>11818</v>
      </c>
      <c r="C1057" s="663" t="s">
        <v>11843</v>
      </c>
      <c r="D1057" s="905" t="s">
        <v>11846</v>
      </c>
    </row>
    <row r="1058" spans="1:4" ht="16.5">
      <c r="A1058" s="587" t="str">
        <f ca="1">IFERROR(__xludf.DUMMYFUNCTION("""COMPUTED_VALUE"""),"DOT215015030")</f>
        <v>DOT215015030</v>
      </c>
      <c r="B1058" t="s">
        <v>11818</v>
      </c>
      <c r="C1058" s="663" t="s">
        <v>11843</v>
      </c>
      <c r="D1058" s="905" t="s">
        <v>11846</v>
      </c>
    </row>
    <row r="1059" spans="1:4" ht="16.5">
      <c r="A1059" s="581" t="str">
        <f ca="1">IFERROR(__xludf.DUMMYFUNCTION("""COMPUTED_VALUE"""),"DOT215015530")</f>
        <v>DOT215015530</v>
      </c>
      <c r="B1059" t="s">
        <v>11818</v>
      </c>
      <c r="C1059" s="663" t="s">
        <v>11843</v>
      </c>
      <c r="D1059" s="905" t="s">
        <v>11846</v>
      </c>
    </row>
    <row r="1060" spans="1:4" ht="16.5">
      <c r="A1060" s="587" t="str">
        <f ca="1">IFERROR(__xludf.DUMMYFUNCTION("""COMPUTED_VALUE"""),"DOT220012030")</f>
        <v>DOT220012030</v>
      </c>
      <c r="B1060" t="s">
        <v>11818</v>
      </c>
      <c r="C1060" s="663" t="s">
        <v>11843</v>
      </c>
      <c r="D1060" s="905" t="s">
        <v>11846</v>
      </c>
    </row>
    <row r="1061" spans="1:4" ht="16.5">
      <c r="A1061" s="581" t="str">
        <f ca="1">IFERROR(__xludf.DUMMYFUNCTION("""COMPUTED_VALUE"""),"DOT220006011")</f>
        <v>DOT220006011</v>
      </c>
      <c r="B1061" t="s">
        <v>11818</v>
      </c>
      <c r="C1061" s="663" t="s">
        <v>11843</v>
      </c>
      <c r="D1061" s="905" t="s">
        <v>11846</v>
      </c>
    </row>
    <row r="1062" spans="1:4" ht="16.5">
      <c r="A1062" s="587" t="str">
        <f ca="1">IFERROR(__xludf.DUMMYFUNCTION("""COMPUTED_VALUE"""),"DOT220006013")</f>
        <v>DOT220006013</v>
      </c>
      <c r="B1062" t="s">
        <v>11818</v>
      </c>
      <c r="C1062" s="663" t="s">
        <v>11843</v>
      </c>
      <c r="D1062" s="905" t="s">
        <v>11846</v>
      </c>
    </row>
    <row r="1063" spans="1:4" ht="16.5">
      <c r="A1063" s="581" t="str">
        <f ca="1">IFERROR(__xludf.DUMMYFUNCTION("""COMPUTED_VALUE"""),"DOT2200060212")</f>
        <v>DOT2200060212</v>
      </c>
      <c r="B1063" t="s">
        <v>11818</v>
      </c>
      <c r="C1063" s="663" t="s">
        <v>11843</v>
      </c>
      <c r="D1063" s="905" t="s">
        <v>11846</v>
      </c>
    </row>
    <row r="1064" spans="1:4" ht="16.5">
      <c r="A1064" s="587" t="str">
        <f ca="1">IFERROR(__xludf.DUMMYFUNCTION("""COMPUTED_VALUE"""),"DOT2200060262")</f>
        <v>DOT2200060262</v>
      </c>
      <c r="B1064" t="s">
        <v>11818</v>
      </c>
      <c r="C1064" s="663" t="s">
        <v>11843</v>
      </c>
      <c r="D1064" s="905" t="s">
        <v>11846</v>
      </c>
    </row>
    <row r="1065" spans="1:4" ht="16.5">
      <c r="A1065" s="581" t="str">
        <f ca="1">IFERROR(__xludf.DUMMYFUNCTION("""COMPUTED_VALUE"""),"DOT220006032")</f>
        <v>DOT220006032</v>
      </c>
      <c r="B1065" t="s">
        <v>11818</v>
      </c>
      <c r="C1065" s="663" t="s">
        <v>11843</v>
      </c>
      <c r="D1065" s="905" t="s">
        <v>11846</v>
      </c>
    </row>
    <row r="1066" spans="1:4" ht="16.5">
      <c r="A1066" s="587" t="str">
        <f ca="1">IFERROR(__xludf.DUMMYFUNCTION("""COMPUTED_VALUE"""),"DOT220006041")</f>
        <v>DOT220006041</v>
      </c>
      <c r="B1066" t="s">
        <v>11818</v>
      </c>
      <c r="C1066" s="663" t="s">
        <v>11843</v>
      </c>
      <c r="D1066" s="905" t="s">
        <v>11846</v>
      </c>
    </row>
    <row r="1067" spans="1:4" ht="16.5">
      <c r="A1067" s="581" t="str">
        <f ca="1">IFERROR(__xludf.DUMMYFUNCTION("""COMPUTED_VALUE"""),"DOT220006113")</f>
        <v>DOT220006113</v>
      </c>
      <c r="B1067" t="s">
        <v>11818</v>
      </c>
      <c r="C1067" s="663" t="s">
        <v>11843</v>
      </c>
      <c r="D1067" s="905" t="s">
        <v>11846</v>
      </c>
    </row>
    <row r="1068" spans="1:4" ht="16.5">
      <c r="A1068" s="587" t="str">
        <f ca="1">IFERROR(__xludf.DUMMYFUNCTION("""COMPUTED_VALUE"""),"DOT2200071212")</f>
        <v>DOT2200071212</v>
      </c>
      <c r="B1068" t="s">
        <v>11818</v>
      </c>
      <c r="C1068" s="663" t="s">
        <v>11843</v>
      </c>
      <c r="D1068" s="905" t="s">
        <v>11846</v>
      </c>
    </row>
    <row r="1069" spans="1:4" ht="16.5">
      <c r="A1069" s="581" t="str">
        <f ca="1">IFERROR(__xludf.DUMMYFUNCTION("""COMPUTED_VALUE"""),"DOT2200071262")</f>
        <v>DOT2200071262</v>
      </c>
      <c r="B1069" t="s">
        <v>11818</v>
      </c>
      <c r="C1069" s="663" t="s">
        <v>11843</v>
      </c>
      <c r="D1069" s="905" t="s">
        <v>11846</v>
      </c>
    </row>
    <row r="1070" spans="1:4" ht="16.5">
      <c r="A1070" s="587" t="str">
        <f ca="1">IFERROR(__xludf.DUMMYFUNCTION("""COMPUTED_VALUE"""),"DOT220008126")</f>
        <v>DOT220008126</v>
      </c>
      <c r="B1070" t="s">
        <v>11818</v>
      </c>
      <c r="C1070" s="663" t="s">
        <v>11843</v>
      </c>
      <c r="D1070" s="905" t="s">
        <v>11846</v>
      </c>
    </row>
    <row r="1071" spans="1:4" ht="16.5">
      <c r="A1071" s="581" t="str">
        <f ca="1">IFERROR(__xludf.DUMMYFUNCTION("""COMPUTED_VALUE"""),"DOT220008132")</f>
        <v>DOT220008132</v>
      </c>
      <c r="B1071" t="s">
        <v>11818</v>
      </c>
      <c r="C1071" s="663" t="s">
        <v>11843</v>
      </c>
      <c r="D1071" s="905" t="s">
        <v>11846</v>
      </c>
    </row>
    <row r="1072" spans="1:4" ht="16.5">
      <c r="A1072" s="587" t="str">
        <f ca="1">IFERROR(__xludf.DUMMYFUNCTION("""COMPUTED_VALUE"""),"DOT220008141")</f>
        <v>DOT220008141</v>
      </c>
      <c r="B1072" t="s">
        <v>11818</v>
      </c>
      <c r="C1072" s="663" t="s">
        <v>11843</v>
      </c>
      <c r="D1072" s="905" t="s">
        <v>11846</v>
      </c>
    </row>
    <row r="1073" spans="1:4" ht="16.5">
      <c r="A1073" s="581" t="str">
        <f ca="1">IFERROR(__xludf.DUMMYFUNCTION("""COMPUTED_VALUE"""),"DOT220001630")</f>
        <v>DOT220001630</v>
      </c>
      <c r="B1073" t="s">
        <v>11818</v>
      </c>
      <c r="C1073" s="663" t="s">
        <v>11843</v>
      </c>
      <c r="D1073" s="905" t="s">
        <v>11846</v>
      </c>
    </row>
    <row r="1074" spans="1:4" ht="16.5">
      <c r="A1074" s="587" t="str">
        <f ca="1">IFERROR(__xludf.DUMMYFUNCTION("""COMPUTED_VALUE"""),"DOT220017030")</f>
        <v>DOT220017030</v>
      </c>
      <c r="B1074" t="s">
        <v>11818</v>
      </c>
      <c r="C1074" s="663" t="s">
        <v>11843</v>
      </c>
      <c r="D1074" s="905" t="s">
        <v>11846</v>
      </c>
    </row>
    <row r="1075" spans="1:4" ht="16.5">
      <c r="A1075" s="581" t="str">
        <f ca="1">IFERROR(__xludf.DUMMYFUNCTION("""COMPUTED_VALUE"""),"DOT220001830")</f>
        <v>DOT220001830</v>
      </c>
      <c r="B1075" t="s">
        <v>11818</v>
      </c>
      <c r="C1075" s="663" t="s">
        <v>11843</v>
      </c>
      <c r="D1075" s="905" t="s">
        <v>11846</v>
      </c>
    </row>
    <row r="1076" spans="1:4" ht="16.5">
      <c r="A1076" s="587" t="str">
        <f ca="1">IFERROR(__xludf.DUMMYFUNCTION("""COMPUTED_VALUE"""),"DOT220001930")</f>
        <v>DOT220001930</v>
      </c>
      <c r="B1076" t="s">
        <v>11818</v>
      </c>
      <c r="C1076" s="663" t="s">
        <v>11843</v>
      </c>
      <c r="D1076" s="905" t="s">
        <v>11846</v>
      </c>
    </row>
    <row r="1077" spans="1:4" ht="16.5">
      <c r="A1077" s="581" t="str">
        <f ca="1">IFERROR(__xludf.DUMMYFUNCTION("""COMPUTED_VALUE"""),"DOT2200225030")</f>
        <v>DOT2200225030</v>
      </c>
      <c r="B1077" t="s">
        <v>11818</v>
      </c>
      <c r="C1077" s="663" t="s">
        <v>11843</v>
      </c>
      <c r="D1077" s="905" t="s">
        <v>11846</v>
      </c>
    </row>
    <row r="1078" spans="1:4" ht="16.5">
      <c r="A1078" s="587" t="str">
        <f ca="1">IFERROR(__xludf.DUMMYFUNCTION("""COMPUTED_VALUE"""),"DOT2222095(NM)")</f>
        <v>DOT2222095(NM)</v>
      </c>
      <c r="B1078" t="s">
        <v>11818</v>
      </c>
      <c r="C1078" s="663" t="s">
        <v>11843</v>
      </c>
      <c r="D1078" s="905" t="s">
        <v>11846</v>
      </c>
    </row>
    <row r="1079" spans="1:4" ht="16.5">
      <c r="A1079" s="581" t="str">
        <f ca="1">IFERROR(__xludf.DUMMYFUNCTION("""COMPUTED_VALUE"""),"DOT2222060")</f>
        <v>DOT2222060</v>
      </c>
      <c r="B1079" t="s">
        <v>11818</v>
      </c>
      <c r="C1079" s="663" t="s">
        <v>11843</v>
      </c>
      <c r="D1079" s="905" t="s">
        <v>11846</v>
      </c>
    </row>
    <row r="1080" spans="1:4" ht="16.5">
      <c r="A1080" s="587" t="str">
        <f ca="1">IFERROR(__xludf.DUMMYFUNCTION("""COMPUTED_VALUE"""),"DOT2222065")</f>
        <v>DOT2222065</v>
      </c>
      <c r="B1080" t="s">
        <v>11818</v>
      </c>
      <c r="C1080" s="663" t="s">
        <v>11843</v>
      </c>
      <c r="D1080" s="905" t="s">
        <v>11846</v>
      </c>
    </row>
    <row r="1081" spans="1:4" ht="16.5">
      <c r="A1081" s="581" t="str">
        <f ca="1">IFERROR(__xludf.DUMMYFUNCTION("""COMPUTED_VALUE"""),"DOT2222070(NM)")</f>
        <v>DOT2222070(NM)</v>
      </c>
      <c r="B1081" t="s">
        <v>11818</v>
      </c>
      <c r="C1081" s="663" t="s">
        <v>11843</v>
      </c>
      <c r="D1081" s="905" t="s">
        <v>11846</v>
      </c>
    </row>
    <row r="1082" spans="1:4" ht="16.5">
      <c r="A1082" s="587" t="str">
        <f ca="1">IFERROR(__xludf.DUMMYFUNCTION("""COMPUTED_VALUE"""),"DOT2222071210")</f>
        <v>DOT2222071210</v>
      </c>
      <c r="B1082" t="s">
        <v>11818</v>
      </c>
      <c r="C1082" s="663" t="s">
        <v>11843</v>
      </c>
      <c r="D1082" s="905" t="s">
        <v>11846</v>
      </c>
    </row>
    <row r="1083" spans="1:4" ht="16.5">
      <c r="A1083" s="581" t="str">
        <f ca="1">IFERROR(__xludf.DUMMYFUNCTION("""COMPUTED_VALUE"""),"DOT2222071212")</f>
        <v>DOT2222071212</v>
      </c>
      <c r="B1083" t="s">
        <v>11818</v>
      </c>
      <c r="C1083" s="663" t="s">
        <v>11843</v>
      </c>
      <c r="D1083" s="905" t="s">
        <v>11846</v>
      </c>
    </row>
    <row r="1084" spans="1:4" ht="16.5">
      <c r="A1084" s="587" t="str">
        <f ca="1">IFERROR(__xludf.DUMMYFUNCTION("""COMPUTED_VALUE"""),"DOT222207158")</f>
        <v>DOT222207158</v>
      </c>
      <c r="B1084" t="s">
        <v>11818</v>
      </c>
      <c r="C1084" s="663" t="s">
        <v>11843</v>
      </c>
      <c r="D1084" s="905" t="s">
        <v>11846</v>
      </c>
    </row>
    <row r="1085" spans="1:4" ht="16.5">
      <c r="A1085" s="581" t="str">
        <f ca="1">IFERROR(__xludf.DUMMYFUNCTION("""COMPUTED_VALUE"""),"DOT2222071(NM)")</f>
        <v>DOT2222071(NM)</v>
      </c>
      <c r="B1085" t="s">
        <v>11818</v>
      </c>
      <c r="C1085" s="663" t="s">
        <v>11843</v>
      </c>
      <c r="D1085" s="905" t="s">
        <v>11846</v>
      </c>
    </row>
    <row r="1086" spans="1:4" ht="16.5">
      <c r="A1086" s="587" t="str">
        <f ca="1">IFERROR(__xludf.DUMMYFUNCTION("""COMPUTED_VALUE"""),"DOT2222075(NM)")</f>
        <v>DOT2222075(NM)</v>
      </c>
      <c r="B1086" t="s">
        <v>11818</v>
      </c>
      <c r="C1086" s="663" t="s">
        <v>11843</v>
      </c>
      <c r="D1086" s="905" t="s">
        <v>11846</v>
      </c>
    </row>
    <row r="1087" spans="1:4" ht="16.5">
      <c r="A1087" s="581" t="str">
        <f ca="1">IFERROR(__xludf.DUMMYFUNCTION("""COMPUTED_VALUE"""),"DOT2222080")</f>
        <v>DOT2222080</v>
      </c>
      <c r="B1087" t="s">
        <v>11818</v>
      </c>
      <c r="C1087" s="663" t="s">
        <v>11843</v>
      </c>
      <c r="D1087" s="905" t="s">
        <v>11846</v>
      </c>
    </row>
    <row r="1088" spans="1:4" ht="16.5">
      <c r="A1088" s="587" t="str">
        <f ca="1">IFERROR(__xludf.DUMMYFUNCTION("""COMPUTED_VALUE"""),"DOT222208058")</f>
        <v>DOT222208058</v>
      </c>
      <c r="B1088" t="s">
        <v>11818</v>
      </c>
      <c r="C1088" s="663" t="s">
        <v>11843</v>
      </c>
      <c r="D1088" s="905" t="s">
        <v>11846</v>
      </c>
    </row>
    <row r="1089" spans="1:4" ht="16.5">
      <c r="A1089" s="581" t="str">
        <f ca="1">IFERROR(__xludf.DUMMYFUNCTION("""COMPUTED_VALUE"""),"DOT222208158")</f>
        <v>DOT222208158</v>
      </c>
      <c r="B1089" t="s">
        <v>11818</v>
      </c>
      <c r="C1089" s="663" t="s">
        <v>11843</v>
      </c>
      <c r="D1089" s="905" t="s">
        <v>11846</v>
      </c>
    </row>
    <row r="1090" spans="1:4" ht="16.5">
      <c r="A1090" s="587" t="str">
        <f ca="1">IFERROR(__xludf.DUMMYFUNCTION("""COMPUTED_VALUE"""),"DOT2222081")</f>
        <v>DOT2222081</v>
      </c>
      <c r="B1090" t="s">
        <v>11818</v>
      </c>
      <c r="C1090" s="663" t="s">
        <v>11843</v>
      </c>
      <c r="D1090" s="905" t="s">
        <v>11846</v>
      </c>
    </row>
    <row r="1091" spans="1:4" ht="16.5">
      <c r="A1091" s="581" t="str">
        <f ca="1">IFERROR(__xludf.DUMMYFUNCTION("""COMPUTED_VALUE"""),"DOT2222085")</f>
        <v>DOT2222085</v>
      </c>
      <c r="B1091" t="s">
        <v>11818</v>
      </c>
      <c r="C1091" s="663" t="s">
        <v>11843</v>
      </c>
      <c r="D1091" s="905" t="s">
        <v>11846</v>
      </c>
    </row>
    <row r="1092" spans="1:4" ht="16.5">
      <c r="A1092" s="587" t="str">
        <f ca="1">IFERROR(__xludf.DUMMYFUNCTION("""COMPUTED_VALUE"""),"DOT222208558")</f>
        <v>DOT222208558</v>
      </c>
      <c r="B1092" t="s">
        <v>11818</v>
      </c>
      <c r="C1092" s="663" t="s">
        <v>11843</v>
      </c>
      <c r="D1092" s="905" t="s">
        <v>11846</v>
      </c>
    </row>
    <row r="1093" spans="1:4" ht="16.5">
      <c r="A1093" s="581" t="str">
        <f ca="1">IFERROR(__xludf.DUMMYFUNCTION("""COMPUTED_VALUE"""),"DOT2222091")</f>
        <v>DOT2222091</v>
      </c>
      <c r="B1093" t="s">
        <v>11818</v>
      </c>
      <c r="C1093" s="663" t="s">
        <v>11843</v>
      </c>
      <c r="D1093" s="905" t="s">
        <v>11846</v>
      </c>
    </row>
    <row r="1094" spans="1:4" ht="16.5">
      <c r="A1094" s="587" t="str">
        <f ca="1">IFERROR(__xludf.DUMMYFUNCTION("""COMPUTED_VALUE"""),"DOT222209158")</f>
        <v>DOT222209158</v>
      </c>
      <c r="B1094" t="s">
        <v>11818</v>
      </c>
      <c r="C1094" s="663" t="s">
        <v>11843</v>
      </c>
      <c r="D1094" s="905" t="s">
        <v>11846</v>
      </c>
    </row>
    <row r="1095" spans="1:4" ht="16.5">
      <c r="A1095" s="581" t="str">
        <f ca="1">IFERROR(__xludf.DUMMYFUNCTION("""COMPUTED_VALUE"""),"DOT2222100")</f>
        <v>DOT2222100</v>
      </c>
      <c r="B1095" t="s">
        <v>11818</v>
      </c>
      <c r="C1095" s="663" t="s">
        <v>11843</v>
      </c>
      <c r="D1095" s="905" t="s">
        <v>11846</v>
      </c>
    </row>
    <row r="1096" spans="1:4" ht="16.5">
      <c r="A1096" s="587" t="str">
        <f ca="1">IFERROR(__xludf.DUMMYFUNCTION("""COMPUTED_VALUE"""),"DOT22221058")</f>
        <v>DOT22221058</v>
      </c>
      <c r="B1096" t="s">
        <v>11818</v>
      </c>
      <c r="C1096" s="663" t="s">
        <v>11843</v>
      </c>
      <c r="D1096" s="905" t="s">
        <v>11846</v>
      </c>
    </row>
    <row r="1097" spans="1:4" ht="16.5">
      <c r="A1097" s="581" t="str">
        <f ca="1">IFERROR(__xludf.DUMMYFUNCTION("""COMPUTED_VALUE"""),"DOT2222102")</f>
        <v>DOT2222102</v>
      </c>
      <c r="B1097" t="s">
        <v>11818</v>
      </c>
      <c r="C1097" s="663" t="s">
        <v>11843</v>
      </c>
      <c r="D1097" s="905" t="s">
        <v>11846</v>
      </c>
    </row>
    <row r="1098" spans="1:4" ht="16.5">
      <c r="A1098" s="587" t="str">
        <f ca="1">IFERROR(__xludf.DUMMYFUNCTION("""COMPUTED_VALUE"""),"DOT2222107")</f>
        <v>DOT2222107</v>
      </c>
      <c r="B1098" t="s">
        <v>11818</v>
      </c>
      <c r="C1098" s="663" t="s">
        <v>11843</v>
      </c>
      <c r="D1098" s="905" t="s">
        <v>11846</v>
      </c>
    </row>
    <row r="1099" spans="1:4" ht="16.5">
      <c r="A1099" s="581" t="str">
        <f ca="1">IFERROR(__xludf.DUMMYFUNCTION("""COMPUTED_VALUE"""),"DOT222210729")</f>
        <v>DOT222210729</v>
      </c>
      <c r="B1099" t="s">
        <v>11818</v>
      </c>
      <c r="C1099" s="663" t="s">
        <v>11843</v>
      </c>
      <c r="D1099" s="905" t="s">
        <v>11846</v>
      </c>
    </row>
    <row r="1100" spans="1:4" ht="16.5">
      <c r="A1100" s="587" t="str">
        <f ca="1">IFERROR(__xludf.DUMMYFUNCTION("""COMPUTED_VALUE"""),"DOT222211")</f>
        <v>DOT222211</v>
      </c>
      <c r="B1100" t="s">
        <v>11818</v>
      </c>
      <c r="C1100" s="663" t="s">
        <v>11843</v>
      </c>
      <c r="D1100" s="905" t="s">
        <v>11846</v>
      </c>
    </row>
    <row r="1101" spans="1:4" ht="16.5">
      <c r="A1101" s="581" t="str">
        <f ca="1">IFERROR(__xludf.DUMMYFUNCTION("""COMPUTED_VALUE"""),"DOT2222114")</f>
        <v>DOT2222114</v>
      </c>
      <c r="B1101" t="s">
        <v>11818</v>
      </c>
      <c r="C1101" s="663" t="s">
        <v>11843</v>
      </c>
      <c r="D1101" s="905" t="s">
        <v>11846</v>
      </c>
    </row>
    <row r="1102" spans="1:4" ht="16.5">
      <c r="A1102" s="587" t="str">
        <f ca="1">IFERROR(__xludf.DUMMYFUNCTION("""COMPUTED_VALUE"""),"DOT2222115")</f>
        <v>DOT2222115</v>
      </c>
      <c r="B1102" t="s">
        <v>11818</v>
      </c>
      <c r="C1102" s="663" t="s">
        <v>11843</v>
      </c>
      <c r="D1102" s="905" t="s">
        <v>11846</v>
      </c>
    </row>
    <row r="1103" spans="1:4" ht="16.5">
      <c r="A1103" s="581" t="str">
        <f ca="1">IFERROR(__xludf.DUMMYFUNCTION("""COMPUTED_VALUE"""),"DOT222211558")</f>
        <v>DOT222211558</v>
      </c>
      <c r="B1103" t="s">
        <v>11818</v>
      </c>
      <c r="C1103" s="663" t="s">
        <v>11843</v>
      </c>
      <c r="D1103" s="905" t="s">
        <v>11846</v>
      </c>
    </row>
    <row r="1104" spans="1:4" ht="16.5">
      <c r="A1104" s="587" t="str">
        <f ca="1">IFERROR(__xludf.DUMMYFUNCTION("""COMPUTED_VALUE"""),"DOT2222120")</f>
        <v>DOT2222120</v>
      </c>
      <c r="B1104" t="s">
        <v>11818</v>
      </c>
      <c r="C1104" s="663" t="s">
        <v>11843</v>
      </c>
      <c r="D1104" s="905" t="s">
        <v>11846</v>
      </c>
    </row>
    <row r="1105" spans="1:4" ht="16.5">
      <c r="A1105" s="581" t="str">
        <f ca="1">IFERROR(__xludf.DUMMYFUNCTION("""COMPUTED_VALUE"""),"DOT222212058")</f>
        <v>DOT222212058</v>
      </c>
      <c r="B1105" t="s">
        <v>11818</v>
      </c>
      <c r="C1105" s="663" t="s">
        <v>11843</v>
      </c>
      <c r="D1105" s="905" t="s">
        <v>11846</v>
      </c>
    </row>
    <row r="1106" spans="1:4" ht="16.5">
      <c r="A1106" s="587" t="str">
        <f ca="1">IFERROR(__xludf.DUMMYFUNCTION("""COMPUTED_VALUE"""),"DOT2222121")</f>
        <v>DOT2222121</v>
      </c>
      <c r="B1106" t="s">
        <v>11818</v>
      </c>
      <c r="C1106" s="663" t="s">
        <v>11843</v>
      </c>
      <c r="D1106" s="905" t="s">
        <v>11846</v>
      </c>
    </row>
    <row r="1107" spans="1:4" ht="16.5">
      <c r="A1107" s="581" t="str">
        <f ca="1">IFERROR(__xludf.DUMMYFUNCTION("""COMPUTED_VALUE"""),"DOT2222122")</f>
        <v>DOT2222122</v>
      </c>
      <c r="B1107" t="s">
        <v>11818</v>
      </c>
      <c r="C1107" s="663" t="s">
        <v>11843</v>
      </c>
      <c r="D1107" s="905" t="s">
        <v>11846</v>
      </c>
    </row>
    <row r="1108" spans="1:4" ht="16.5">
      <c r="A1108" s="587" t="str">
        <f ca="1">IFERROR(__xludf.DUMMYFUNCTION("""COMPUTED_VALUE"""),"DOT2222130")</f>
        <v>DOT2222130</v>
      </c>
      <c r="B1108" t="s">
        <v>11818</v>
      </c>
      <c r="C1108" s="663" t="s">
        <v>11843</v>
      </c>
      <c r="D1108" s="905" t="s">
        <v>11846</v>
      </c>
    </row>
    <row r="1109" spans="1:4" ht="16.5">
      <c r="A1109" s="581" t="str">
        <f ca="1">IFERROR(__xludf.DUMMYFUNCTION("""COMPUTED_VALUE"""),"DOT2222140")</f>
        <v>DOT2222140</v>
      </c>
      <c r="B1109" t="s">
        <v>11818</v>
      </c>
      <c r="C1109" s="663" t="s">
        <v>11843</v>
      </c>
      <c r="D1109" s="905" t="s">
        <v>11846</v>
      </c>
    </row>
    <row r="1110" spans="1:4" ht="16.5">
      <c r="A1110" s="587" t="str">
        <f ca="1">IFERROR(__xludf.DUMMYFUNCTION("""COMPUTED_VALUE"""),"DOT2222165")</f>
        <v>DOT2222165</v>
      </c>
      <c r="B1110" t="s">
        <v>11818</v>
      </c>
      <c r="C1110" s="663" t="s">
        <v>11843</v>
      </c>
      <c r="D1110" s="905" t="s">
        <v>11846</v>
      </c>
    </row>
    <row r="1111" spans="1:4" ht="16.5">
      <c r="A1111" s="581" t="str">
        <f ca="1">IFERROR(__xludf.DUMMYFUNCTION("""COMPUTED_VALUE"""),"DOT230020030")</f>
        <v>DOT230020030</v>
      </c>
      <c r="B1111" t="s">
        <v>11818</v>
      </c>
      <c r="C1111" s="663" t="s">
        <v>11843</v>
      </c>
      <c r="D1111" s="905" t="s">
        <v>11846</v>
      </c>
    </row>
    <row r="1112" spans="1:4" ht="16.5">
      <c r="A1112" s="587" t="str">
        <f ca="1">IFERROR(__xludf.DUMMYFUNCTION("""COMPUTED_VALUE"""),"DOT230021030")</f>
        <v>DOT230021030</v>
      </c>
      <c r="B1112" t="s">
        <v>11818</v>
      </c>
      <c r="C1112" s="663" t="s">
        <v>11843</v>
      </c>
      <c r="D1112" s="905" t="s">
        <v>11846</v>
      </c>
    </row>
    <row r="1113" spans="1:4" ht="16.5">
      <c r="A1113" s="581" t="str">
        <f ca="1">IFERROR(__xludf.DUMMYFUNCTION("""COMPUTED_VALUE"""),"DOT230023030")</f>
        <v>DOT230023030</v>
      </c>
      <c r="B1113" t="s">
        <v>11818</v>
      </c>
      <c r="C1113" s="663" t="s">
        <v>11843</v>
      </c>
      <c r="D1113" s="905" t="s">
        <v>11846</v>
      </c>
    </row>
    <row r="1114" spans="1:4" ht="16.5">
      <c r="A1114" s="587" t="str">
        <f ca="1">IFERROR(__xludf.DUMMYFUNCTION("""COMPUTED_VALUE"""),"DOT230025030")</f>
        <v>DOT230025030</v>
      </c>
      <c r="B1114" t="s">
        <v>11818</v>
      </c>
      <c r="C1114" s="663" t="s">
        <v>11843</v>
      </c>
      <c r="D1114" s="905" t="s">
        <v>11846</v>
      </c>
    </row>
    <row r="1115" spans="1:4" ht="16.5">
      <c r="A1115" s="581" t="str">
        <f ca="1">IFERROR(__xludf.DUMMYFUNCTION("""COMPUTED_VALUE"""),"DOT235018030")</f>
        <v>DOT235018030</v>
      </c>
      <c r="B1115" t="s">
        <v>11818</v>
      </c>
      <c r="C1115" s="663" t="s">
        <v>11843</v>
      </c>
      <c r="D1115" s="905" t="s">
        <v>11846</v>
      </c>
    </row>
    <row r="1116" spans="1:4" ht="16.5">
      <c r="A1116" s="587" t="str">
        <f ca="1">IFERROR(__xludf.DUMMYFUNCTION("""COMPUTED_VALUE"""),"DOT235019030")</f>
        <v>DOT235019030</v>
      </c>
      <c r="B1116" t="s">
        <v>11818</v>
      </c>
      <c r="C1116" s="663" t="s">
        <v>11843</v>
      </c>
      <c r="D1116" s="905" t="s">
        <v>11846</v>
      </c>
    </row>
    <row r="1117" spans="1:4" ht="16.5">
      <c r="A1117" s="581" t="str">
        <f ca="1">IFERROR(__xludf.DUMMYFUNCTION("""COMPUTED_VALUE"""),"DOT235022530")</f>
        <v>DOT235022530</v>
      </c>
      <c r="B1117" t="s">
        <v>11818</v>
      </c>
      <c r="C1117" s="663" t="s">
        <v>11843</v>
      </c>
      <c r="D1117" s="905" t="s">
        <v>11846</v>
      </c>
    </row>
    <row r="1118" spans="1:4" ht="16.5">
      <c r="A1118" s="587" t="str">
        <f ca="1">IFERROR(__xludf.DUMMYFUNCTION("""COMPUTED_VALUE"""),"DOT235025030")</f>
        <v>DOT235025030</v>
      </c>
      <c r="B1118" t="s">
        <v>11818</v>
      </c>
      <c r="C1118" s="663" t="s">
        <v>11843</v>
      </c>
      <c r="D1118" s="905" t="s">
        <v>11846</v>
      </c>
    </row>
    <row r="1119" spans="1:4" ht="16.5">
      <c r="A1119" s="581" t="str">
        <f ca="1">IFERROR(__xludf.DUMMYFUNCTION("""COMPUTED_VALUE"""),"DOT240018030")</f>
        <v>DOT240018030</v>
      </c>
      <c r="B1119" t="s">
        <v>11818</v>
      </c>
      <c r="C1119" s="663" t="s">
        <v>11843</v>
      </c>
      <c r="D1119" s="905" t="s">
        <v>11846</v>
      </c>
    </row>
    <row r="1120" spans="1:4" ht="16.5">
      <c r="A1120" s="587" t="str">
        <f ca="1">IFERROR(__xludf.DUMMYFUNCTION("""COMPUTED_VALUE"""),"DOT245018030")</f>
        <v>DOT245018030</v>
      </c>
      <c r="B1120" t="s">
        <v>11818</v>
      </c>
      <c r="C1120" s="663" t="s">
        <v>11843</v>
      </c>
      <c r="D1120" s="905" t="s">
        <v>11846</v>
      </c>
    </row>
    <row r="1121" spans="1:4" ht="16.5">
      <c r="A1121" s="581" t="str">
        <f ca="1">IFERROR(__xludf.DUMMYFUNCTION("""COMPUTED_VALUE"""),"DOT245019530")</f>
        <v>DOT245019530</v>
      </c>
      <c r="B1121" t="s">
        <v>11818</v>
      </c>
      <c r="C1121" s="663" t="s">
        <v>11843</v>
      </c>
      <c r="D1121" s="905" t="s">
        <v>11846</v>
      </c>
    </row>
    <row r="1122" spans="1:4" ht="16.5">
      <c r="A1122" s="587" t="str">
        <f ca="1">IFERROR(__xludf.DUMMYFUNCTION("""COMPUTED_VALUE"""),"DOT2450275030")</f>
        <v>DOT2450275030</v>
      </c>
      <c r="B1122" t="s">
        <v>11818</v>
      </c>
      <c r="C1122" s="663" t="s">
        <v>11843</v>
      </c>
      <c r="D1122" s="905" t="s">
        <v>11846</v>
      </c>
    </row>
    <row r="1123" spans="1:4" ht="16.5">
      <c r="A1123" s="581" t="str">
        <f ca="1">IFERROR(__xludf.DUMMYFUNCTION("""COMPUTED_VALUE"""),"DOT250018030")</f>
        <v>DOT250018030</v>
      </c>
      <c r="B1123" t="s">
        <v>11818</v>
      </c>
      <c r="C1123" s="663" t="s">
        <v>11843</v>
      </c>
      <c r="D1123" s="905" t="s">
        <v>11846</v>
      </c>
    </row>
    <row r="1124" spans="1:4" ht="16.5">
      <c r="A1124" s="587" t="str">
        <f ca="1">IFERROR(__xludf.DUMMYFUNCTION("""COMPUTED_VALUE"""),"DOT250019030")</f>
        <v>DOT250019030</v>
      </c>
      <c r="B1124" t="s">
        <v>11818</v>
      </c>
      <c r="C1124" s="663" t="s">
        <v>11843</v>
      </c>
      <c r="D1124" s="905" t="s">
        <v>11846</v>
      </c>
    </row>
    <row r="1125" spans="1:4" ht="16.5">
      <c r="A1125" s="581" t="str">
        <f ca="1">IFERROR(__xludf.DUMMYFUNCTION("""COMPUTED_VALUE"""),"DOT250019530")</f>
        <v>DOT250019530</v>
      </c>
      <c r="B1125" t="s">
        <v>11818</v>
      </c>
      <c r="C1125" s="663" t="s">
        <v>11843</v>
      </c>
      <c r="D1125" s="905" t="s">
        <v>11846</v>
      </c>
    </row>
    <row r="1126" spans="1:4" ht="16.5">
      <c r="A1126" s="587" t="str">
        <f ca="1">IFERROR(__xludf.DUMMYFUNCTION("""COMPUTED_VALUE"""),"DOT250020020")</f>
        <v>DOT250020020</v>
      </c>
      <c r="B1126" t="s">
        <v>11818</v>
      </c>
      <c r="C1126" s="663" t="s">
        <v>11843</v>
      </c>
      <c r="D1126" s="905" t="s">
        <v>11846</v>
      </c>
    </row>
    <row r="1127" spans="1:4" ht="16.5">
      <c r="A1127" s="581" t="str">
        <f ca="1">IFERROR(__xludf.DUMMYFUNCTION("""COMPUTED_VALUE"""),"DOT250020030")</f>
        <v>DOT250020030</v>
      </c>
      <c r="B1127" t="s">
        <v>11818</v>
      </c>
      <c r="C1127" s="663" t="s">
        <v>11843</v>
      </c>
      <c r="D1127" s="905" t="s">
        <v>11846</v>
      </c>
    </row>
    <row r="1128" spans="1:4" ht="16.5">
      <c r="A1128" s="587" t="str">
        <f ca="1">IFERROR(__xludf.DUMMYFUNCTION("""COMPUTED_VALUE"""),"DOT250023030")</f>
        <v>DOT250023030</v>
      </c>
      <c r="B1128" t="s">
        <v>11818</v>
      </c>
      <c r="C1128" s="663" t="s">
        <v>11843</v>
      </c>
      <c r="D1128" s="905" t="s">
        <v>11846</v>
      </c>
    </row>
    <row r="1129" spans="1:4" ht="16.5">
      <c r="A1129" s="581" t="str">
        <f ca="1">IFERROR(__xludf.DUMMYFUNCTION("""COMPUTED_VALUE"""),"DOT250025030")</f>
        <v>DOT250025030</v>
      </c>
      <c r="B1129" t="s">
        <v>11818</v>
      </c>
      <c r="C1129" s="663" t="s">
        <v>11843</v>
      </c>
      <c r="D1129" s="905" t="s">
        <v>11846</v>
      </c>
    </row>
    <row r="1130" spans="1:4" ht="16.5">
      <c r="A1130" s="587" t="str">
        <f ca="1">IFERROR(__xludf.DUMMYFUNCTION("""COMPUTED_VALUE"""),"DOT250025040")</f>
        <v>DOT250025040</v>
      </c>
      <c r="B1130" t="s">
        <v>11818</v>
      </c>
      <c r="C1130" s="663" t="s">
        <v>11843</v>
      </c>
      <c r="D1130" s="905" t="s">
        <v>11846</v>
      </c>
    </row>
    <row r="1131" spans="1:4" ht="16.5">
      <c r="A1131" s="581" t="str">
        <f ca="1">IFERROR(__xludf.DUMMYFUNCTION("""COMPUTED_VALUE"""),"DOT250030030")</f>
        <v>DOT250030030</v>
      </c>
      <c r="B1131" t="s">
        <v>11818</v>
      </c>
      <c r="C1131" s="663" t="s">
        <v>11843</v>
      </c>
      <c r="D1131" s="905" t="s">
        <v>11846</v>
      </c>
    </row>
    <row r="1132" spans="1:4" ht="16.5">
      <c r="A1132" s="587" t="str">
        <f ca="1">IFERROR(__xludf.DUMMYFUNCTION("""COMPUTED_VALUE"""),"DOT2540102")</f>
        <v>DOT2540102</v>
      </c>
      <c r="B1132" t="s">
        <v>11818</v>
      </c>
      <c r="C1132" s="663" t="s">
        <v>11843</v>
      </c>
      <c r="D1132" s="905" t="s">
        <v>11846</v>
      </c>
    </row>
    <row r="1133" spans="1:4" ht="16.5">
      <c r="A1133" s="581" t="str">
        <f ca="1">IFERROR(__xludf.DUMMYFUNCTION("""COMPUTED_VALUE"""),"DOT2540070")</f>
        <v>DOT2540070</v>
      </c>
      <c r="B1133" t="s">
        <v>11818</v>
      </c>
      <c r="C1133" s="663" t="s">
        <v>11843</v>
      </c>
      <c r="D1133" s="905" t="s">
        <v>11846</v>
      </c>
    </row>
    <row r="1134" spans="1:4" ht="16.5">
      <c r="A1134" s="587" t="str">
        <f ca="1">IFERROR(__xludf.DUMMYFUNCTION("""COMPUTED_VALUE"""),"DOT2540071")</f>
        <v>DOT2540071</v>
      </c>
      <c r="B1134" t="s">
        <v>11818</v>
      </c>
      <c r="C1134" s="663" t="s">
        <v>11843</v>
      </c>
      <c r="D1134" s="905" t="s">
        <v>11846</v>
      </c>
    </row>
    <row r="1135" spans="1:4" ht="16.5">
      <c r="A1135" s="581" t="str">
        <f ca="1">IFERROR(__xludf.DUMMYFUNCTION("""COMPUTED_VALUE"""),"DOT2540075")</f>
        <v>DOT2540075</v>
      </c>
      <c r="B1135" t="s">
        <v>11818</v>
      </c>
      <c r="C1135" s="663" t="s">
        <v>11843</v>
      </c>
      <c r="D1135" s="905" t="s">
        <v>11846</v>
      </c>
    </row>
    <row r="1136" spans="1:4" ht="16.5">
      <c r="A1136" s="587" t="str">
        <f ca="1">IFERROR(__xludf.DUMMYFUNCTION("""COMPUTED_VALUE"""),"DOT2540080")</f>
        <v>DOT2540080</v>
      </c>
      <c r="B1136" t="s">
        <v>11818</v>
      </c>
      <c r="C1136" s="663" t="s">
        <v>11843</v>
      </c>
      <c r="D1136" s="905" t="s">
        <v>11846</v>
      </c>
    </row>
    <row r="1137" spans="1:4" ht="16.5">
      <c r="A1137" s="581" t="str">
        <f ca="1">IFERROR(__xludf.DUMMYFUNCTION("""COMPUTED_VALUE"""),"DOT2540081")</f>
        <v>DOT2540081</v>
      </c>
      <c r="B1137" t="s">
        <v>11818</v>
      </c>
      <c r="C1137" s="663" t="s">
        <v>11843</v>
      </c>
      <c r="D1137" s="905" t="s">
        <v>11846</v>
      </c>
    </row>
    <row r="1138" spans="1:4" ht="16.5">
      <c r="A1138" s="587" t="str">
        <f ca="1">IFERROR(__xludf.DUMMYFUNCTION("""COMPUTED_VALUE"""),"DOT2540085")</f>
        <v>DOT2540085</v>
      </c>
      <c r="B1138" t="s">
        <v>11818</v>
      </c>
      <c r="C1138" s="663" t="s">
        <v>11843</v>
      </c>
      <c r="D1138" s="905" t="s">
        <v>11846</v>
      </c>
    </row>
    <row r="1139" spans="1:4" ht="16.5">
      <c r="A1139" s="581" t="str">
        <f ca="1">IFERROR(__xludf.DUMMYFUNCTION("""COMPUTED_VALUE"""),"DOT2540090")</f>
        <v>DOT2540090</v>
      </c>
      <c r="B1139" t="s">
        <v>11818</v>
      </c>
      <c r="C1139" s="663" t="s">
        <v>11843</v>
      </c>
      <c r="D1139" s="905" t="s">
        <v>11846</v>
      </c>
    </row>
    <row r="1140" spans="1:4" ht="16.5">
      <c r="A1140" s="587" t="str">
        <f ca="1">IFERROR(__xludf.DUMMYFUNCTION("""COMPUTED_VALUE"""),"DOT2540095")</f>
        <v>DOT2540095</v>
      </c>
      <c r="B1140" t="s">
        <v>11818</v>
      </c>
      <c r="C1140" s="663" t="s">
        <v>11843</v>
      </c>
      <c r="D1140" s="905" t="s">
        <v>11846</v>
      </c>
    </row>
    <row r="1141" spans="1:4" ht="16.5">
      <c r="A1141" s="581" t="str">
        <f ca="1">IFERROR(__xludf.DUMMYFUNCTION("""COMPUTED_VALUE"""),"DOT254009558")</f>
        <v>DOT254009558</v>
      </c>
      <c r="B1141" t="s">
        <v>11818</v>
      </c>
      <c r="C1141" s="663" t="s">
        <v>11843</v>
      </c>
      <c r="D1141" s="905" t="s">
        <v>11846</v>
      </c>
    </row>
    <row r="1142" spans="1:4" ht="16.5">
      <c r="A1142" s="587" t="str">
        <f ca="1">IFERROR(__xludf.DUMMYFUNCTION("""COMPUTED_VALUE"""),"DOT25401058")</f>
        <v>DOT25401058</v>
      </c>
      <c r="B1142" t="s">
        <v>11818</v>
      </c>
      <c r="C1142" s="663" t="s">
        <v>11843</v>
      </c>
      <c r="D1142" s="905" t="s">
        <v>11846</v>
      </c>
    </row>
    <row r="1143" spans="1:4" ht="16.5">
      <c r="A1143" s="581" t="str">
        <f ca="1">IFERROR(__xludf.DUMMYFUNCTION("""COMPUTED_VALUE"""),"DOT2540100")</f>
        <v>DOT2540100</v>
      </c>
      <c r="B1143" t="s">
        <v>11818</v>
      </c>
      <c r="C1143" s="663" t="s">
        <v>11843</v>
      </c>
      <c r="D1143" s="905" t="s">
        <v>11846</v>
      </c>
    </row>
    <row r="1144" spans="1:4" ht="16.5">
      <c r="A1144" s="587" t="str">
        <f ca="1">IFERROR(__xludf.DUMMYFUNCTION("""COMPUTED_VALUE"""),"DOT2540110")</f>
        <v>DOT2540110</v>
      </c>
      <c r="B1144" t="s">
        <v>11818</v>
      </c>
      <c r="C1144" s="663" t="s">
        <v>11843</v>
      </c>
      <c r="D1144" s="905" t="s">
        <v>11846</v>
      </c>
    </row>
    <row r="1145" spans="1:4" ht="16.5">
      <c r="A1145" s="581" t="str">
        <f ca="1">IFERROR(__xludf.DUMMYFUNCTION("""COMPUTED_VALUE"""),"DOT2540114")</f>
        <v>DOT2540114</v>
      </c>
      <c r="B1145" t="s">
        <v>11818</v>
      </c>
      <c r="C1145" s="663" t="s">
        <v>11843</v>
      </c>
      <c r="D1145" s="905" t="s">
        <v>11846</v>
      </c>
    </row>
    <row r="1146" spans="1:4" ht="16.5">
      <c r="A1146" s="587" t="str">
        <f ca="1">IFERROR(__xludf.DUMMYFUNCTION("""COMPUTED_VALUE"""),"DOT2540120")</f>
        <v>DOT2540120</v>
      </c>
      <c r="B1146" t="s">
        <v>11818</v>
      </c>
      <c r="C1146" s="663" t="s">
        <v>11843</v>
      </c>
      <c r="D1146" s="905" t="s">
        <v>11846</v>
      </c>
    </row>
    <row r="1147" spans="1:4" ht="16.5">
      <c r="A1147" s="581" t="str">
        <f ca="1">IFERROR(__xludf.DUMMYFUNCTION("""COMPUTED_VALUE"""),"DOT2540165")</f>
        <v>DOT2540165</v>
      </c>
      <c r="B1147" t="s">
        <v>11818</v>
      </c>
      <c r="C1147" s="663" t="s">
        <v>11843</v>
      </c>
      <c r="D1147" s="905" t="s">
        <v>11846</v>
      </c>
    </row>
    <row r="1148" spans="1:4" ht="16.5">
      <c r="A1148" s="587" t="str">
        <f ca="1">IFERROR(__xludf.DUMMYFUNCTION("""COMPUTED_VALUE"""),"DOT285809558")</f>
        <v>DOT285809558</v>
      </c>
      <c r="B1148" t="s">
        <v>11818</v>
      </c>
      <c r="C1148" s="663" t="s">
        <v>11843</v>
      </c>
      <c r="D1148" s="905" t="s">
        <v>11846</v>
      </c>
    </row>
    <row r="1149" spans="1:4" ht="16.5">
      <c r="A1149" s="581" t="str">
        <f ca="1">IFERROR(__xludf.DUMMYFUNCTION("""COMPUTED_VALUE"""),"DOT28580122")</f>
        <v>DOT28580122</v>
      </c>
      <c r="B1149" t="s">
        <v>11818</v>
      </c>
      <c r="C1149" s="663" t="s">
        <v>11843</v>
      </c>
      <c r="D1149" s="905" t="s">
        <v>11846</v>
      </c>
    </row>
    <row r="1150" spans="1:4" ht="16.5">
      <c r="A1150" s="587" t="str">
        <f ca="1">IFERROR(__xludf.DUMMYFUNCTION("""COMPUTED_VALUE"""),"DOT25901058")</f>
        <v>DOT25901058</v>
      </c>
      <c r="B1150" t="s">
        <v>11818</v>
      </c>
      <c r="C1150" s="663" t="s">
        <v>11843</v>
      </c>
      <c r="D1150" s="905" t="s">
        <v>11846</v>
      </c>
    </row>
    <row r="1151" spans="1:4" ht="16.5">
      <c r="A1151" s="581" t="str">
        <f ca="1">IFERROR(__xludf.DUMMYFUNCTION("""COMPUTED_VALUE"""),"DOT25901059")</f>
        <v>DOT25901059</v>
      </c>
      <c r="B1151" t="s">
        <v>11818</v>
      </c>
      <c r="C1151" s="663" t="s">
        <v>11843</v>
      </c>
      <c r="D1151" s="905" t="s">
        <v>11846</v>
      </c>
    </row>
    <row r="1152" spans="1:4" ht="16.5">
      <c r="A1152" s="587" t="str">
        <f ca="1">IFERROR(__xludf.DUMMYFUNCTION("""COMPUTED_VALUE"""),"DOT260023030")</f>
        <v>DOT260023030</v>
      </c>
      <c r="B1152" t="s">
        <v>11818</v>
      </c>
      <c r="C1152" s="663" t="s">
        <v>11843</v>
      </c>
      <c r="D1152" s="905" t="s">
        <v>11846</v>
      </c>
    </row>
    <row r="1153" spans="1:4" ht="16.5">
      <c r="A1153" s="581" t="str">
        <f ca="1">IFERROR(__xludf.DUMMYFUNCTION("""COMPUTED_VALUE"""),"DOT260027030")</f>
        <v>DOT260027030</v>
      </c>
      <c r="B1153" t="s">
        <v>11818</v>
      </c>
      <c r="C1153" s="663" t="s">
        <v>11843</v>
      </c>
      <c r="D1153" s="905" t="s">
        <v>11846</v>
      </c>
    </row>
    <row r="1154" spans="1:4" ht="16.5">
      <c r="A1154" s="587" t="str">
        <f ca="1">IFERROR(__xludf.DUMMYFUNCTION("""COMPUTED_VALUE"""),"DOT265022030")</f>
        <v>DOT265022030</v>
      </c>
      <c r="B1154" t="s">
        <v>11818</v>
      </c>
      <c r="C1154" s="663" t="s">
        <v>11843</v>
      </c>
      <c r="D1154" s="905" t="s">
        <v>11846</v>
      </c>
    </row>
    <row r="1155" spans="1:4" ht="16.5">
      <c r="A1155" s="581" t="str">
        <f ca="1">IFERROR(__xludf.DUMMYFUNCTION("""COMPUTED_VALUE"""),"DOT265025030")</f>
        <v>DOT265025030</v>
      </c>
      <c r="B1155" t="s">
        <v>11818</v>
      </c>
      <c r="C1155" s="663" t="s">
        <v>11843</v>
      </c>
      <c r="D1155" s="905" t="s">
        <v>11846</v>
      </c>
    </row>
    <row r="1156" spans="1:4" ht="16.5">
      <c r="A1156" s="587" t="str">
        <f ca="1">IFERROR(__xludf.DUMMYFUNCTION("""COMPUTED_VALUE"""),"DOT265028030")</f>
        <v>DOT265028030</v>
      </c>
      <c r="B1156" t="s">
        <v>11818</v>
      </c>
      <c r="C1156" s="663" t="s">
        <v>11843</v>
      </c>
      <c r="D1156" s="905" t="s">
        <v>11846</v>
      </c>
    </row>
    <row r="1157" spans="1:4" ht="16.5">
      <c r="A1157" s="581" t="str">
        <f ca="1">IFERROR(__xludf.DUMMYFUNCTION("""COMPUTED_VALUE"""),"DOT270009060")</f>
        <v>DOT270009060</v>
      </c>
      <c r="B1157" t="s">
        <v>11818</v>
      </c>
      <c r="C1157" s="663" t="s">
        <v>11843</v>
      </c>
      <c r="D1157" s="905" t="s">
        <v>11846</v>
      </c>
    </row>
    <row r="1158" spans="1:4" ht="16.5">
      <c r="A1158" s="587" t="str">
        <f ca="1">IFERROR(__xludf.DUMMYFUNCTION("""COMPUTED_VALUE"""),"DOT270022030")</f>
        <v>DOT270022030</v>
      </c>
      <c r="B1158" t="s">
        <v>11818</v>
      </c>
      <c r="C1158" s="663" t="s">
        <v>11843</v>
      </c>
      <c r="D1158" s="905" t="s">
        <v>11846</v>
      </c>
    </row>
    <row r="1159" spans="1:4" ht="16.5">
      <c r="A1159" s="581" t="str">
        <f ca="1">IFERROR(__xludf.DUMMYFUNCTION("""COMPUTED_VALUE"""),"DOT270024030")</f>
        <v>DOT270024030</v>
      </c>
      <c r="B1159" t="s">
        <v>11818</v>
      </c>
      <c r="C1159" s="663" t="s">
        <v>11843</v>
      </c>
      <c r="D1159" s="905" t="s">
        <v>11846</v>
      </c>
    </row>
    <row r="1160" spans="1:4" ht="16.5">
      <c r="A1160" s="587" t="str">
        <f ca="1">IFERROR(__xludf.DUMMYFUNCTION("""COMPUTED_VALUE"""),"DOT270025030")</f>
        <v>DOT270025030</v>
      </c>
      <c r="B1160" t="s">
        <v>11818</v>
      </c>
      <c r="C1160" s="663" t="s">
        <v>11843</v>
      </c>
      <c r="D1160" s="905" t="s">
        <v>11846</v>
      </c>
    </row>
    <row r="1161" spans="1:4" ht="16.5">
      <c r="A1161" s="581" t="str">
        <f ca="1">IFERROR(__xludf.DUMMYFUNCTION("""COMPUTED_VALUE"""),"DOT270026030")</f>
        <v>DOT270026030</v>
      </c>
      <c r="B1161" t="s">
        <v>11818</v>
      </c>
      <c r="C1161" s="663" t="s">
        <v>11843</v>
      </c>
      <c r="D1161" s="905" t="s">
        <v>11846</v>
      </c>
    </row>
    <row r="1162" spans="1:4" ht="16.5">
      <c r="A1162" s="587" t="str">
        <f ca="1">IFERROR(__xludf.DUMMYFUNCTION("""COMPUTED_VALUE"""),"DOT270027030")</f>
        <v>DOT270027030</v>
      </c>
      <c r="B1162" t="s">
        <v>11818</v>
      </c>
      <c r="C1162" s="663" t="s">
        <v>11843</v>
      </c>
      <c r="D1162" s="905" t="s">
        <v>11846</v>
      </c>
    </row>
    <row r="1163" spans="1:4" ht="16.5">
      <c r="A1163" s="581" t="str">
        <f ca="1">IFERROR(__xludf.DUMMYFUNCTION("""COMPUTED_VALUE"""),"DOT280020030")</f>
        <v>DOT280020030</v>
      </c>
      <c r="B1163" t="s">
        <v>11818</v>
      </c>
      <c r="C1163" s="663" t="s">
        <v>11843</v>
      </c>
      <c r="D1163" s="905" t="s">
        <v>11846</v>
      </c>
    </row>
    <row r="1164" spans="1:4" ht="16.5">
      <c r="A1164" s="587" t="str">
        <f ca="1">IFERROR(__xludf.DUMMYFUNCTION("""COMPUTED_VALUE"""),"DOT280021030")</f>
        <v>DOT280021030</v>
      </c>
      <c r="B1164" t="s">
        <v>11818</v>
      </c>
      <c r="C1164" s="663" t="s">
        <v>11843</v>
      </c>
      <c r="D1164" s="905" t="s">
        <v>11846</v>
      </c>
    </row>
    <row r="1165" spans="1:4" ht="16.5">
      <c r="A1165" s="581" t="str">
        <f ca="1">IFERROR(__xludf.DUMMYFUNCTION("""COMPUTED_VALUE"""),"DOT280022020")</f>
        <v>DOT280022020</v>
      </c>
      <c r="B1165" t="s">
        <v>11818</v>
      </c>
      <c r="C1165" s="663" t="s">
        <v>11843</v>
      </c>
      <c r="D1165" s="905" t="s">
        <v>11846</v>
      </c>
    </row>
    <row r="1166" spans="1:4" ht="16.5">
      <c r="A1166" s="587" t="str">
        <f ca="1">IFERROR(__xludf.DUMMYFUNCTION("""COMPUTED_VALUE"""),"DOT280022030")</f>
        <v>DOT280022030</v>
      </c>
      <c r="B1166" t="s">
        <v>11818</v>
      </c>
      <c r="C1166" s="663" t="s">
        <v>11843</v>
      </c>
      <c r="D1166" s="905" t="s">
        <v>11846</v>
      </c>
    </row>
    <row r="1167" spans="1:4" ht="16.5">
      <c r="A1167" s="581" t="str">
        <f ca="1">IFERROR(__xludf.DUMMYFUNCTION("""COMPUTED_VALUE"""),"DOT280030030")</f>
        <v>DOT280030030</v>
      </c>
      <c r="B1167" t="s">
        <v>11818</v>
      </c>
      <c r="C1167" s="663" t="s">
        <v>11843</v>
      </c>
      <c r="D1167" s="905" t="s">
        <v>11846</v>
      </c>
    </row>
    <row r="1168" spans="1:4" ht="16.5">
      <c r="A1168" s="587" t="str">
        <f ca="1">IFERROR(__xludf.DUMMYFUNCTION("""COMPUTED_VALUE"""),"DOT285022030")</f>
        <v>DOT285022030</v>
      </c>
      <c r="B1168" t="s">
        <v>11818</v>
      </c>
      <c r="C1168" s="663" t="s">
        <v>11843</v>
      </c>
      <c r="D1168" s="905" t="s">
        <v>11846</v>
      </c>
    </row>
    <row r="1169" spans="1:4" ht="16.5">
      <c r="A1169" s="581" t="str">
        <f ca="1">IFERROR(__xludf.DUMMYFUNCTION("""COMPUTED_VALUE"""),"DOT2858122")</f>
        <v>DOT2858122</v>
      </c>
      <c r="B1169" t="s">
        <v>11818</v>
      </c>
      <c r="C1169" s="663" t="s">
        <v>11843</v>
      </c>
      <c r="D1169" s="905" t="s">
        <v>11846</v>
      </c>
    </row>
    <row r="1170" spans="1:4" ht="16.5">
      <c r="A1170" s="587" t="str">
        <f ca="1">IFERROR(__xludf.DUMMYFUNCTION("""COMPUTED_VALUE"""),"DOT2858125")</f>
        <v>DOT2858125</v>
      </c>
      <c r="B1170" t="s">
        <v>11818</v>
      </c>
      <c r="C1170" s="663" t="s">
        <v>11843</v>
      </c>
      <c r="D1170" s="905" t="s">
        <v>11846</v>
      </c>
    </row>
    <row r="1171" spans="1:4" ht="16.5">
      <c r="A1171" s="581" t="str">
        <f ca="1">IFERROR(__xludf.DUMMYFUNCTION("""COMPUTED_VALUE"""),"DOT2858070")</f>
        <v>DOT2858070</v>
      </c>
      <c r="B1171" t="s">
        <v>11818</v>
      </c>
      <c r="C1171" s="663" t="s">
        <v>11843</v>
      </c>
      <c r="D1171" s="905" t="s">
        <v>11846</v>
      </c>
    </row>
    <row r="1172" spans="1:4" ht="16.5">
      <c r="A1172" s="587" t="str">
        <f ca="1">IFERROR(__xludf.DUMMYFUNCTION("""COMPUTED_VALUE"""),"DOT2858071")</f>
        <v>DOT2858071</v>
      </c>
      <c r="B1172" t="s">
        <v>11818</v>
      </c>
      <c r="C1172" s="663" t="s">
        <v>11843</v>
      </c>
      <c r="D1172" s="905" t="s">
        <v>11846</v>
      </c>
    </row>
    <row r="1173" spans="1:4" ht="16.5">
      <c r="A1173" s="581" t="str">
        <f ca="1">IFERROR(__xludf.DUMMYFUNCTION("""COMPUTED_VALUE"""),"DOT285807158")</f>
        <v>DOT285807158</v>
      </c>
      <c r="B1173" t="s">
        <v>11818</v>
      </c>
      <c r="C1173" s="663" t="s">
        <v>11843</v>
      </c>
      <c r="D1173" s="905" t="s">
        <v>11846</v>
      </c>
    </row>
    <row r="1174" spans="1:4" ht="16.5">
      <c r="A1174" s="587" t="str">
        <f ca="1">IFERROR(__xludf.DUMMYFUNCTION("""COMPUTED_VALUE"""),"DOT2858075")</f>
        <v>DOT2858075</v>
      </c>
      <c r="B1174" t="s">
        <v>11818</v>
      </c>
      <c r="C1174" s="663" t="s">
        <v>11843</v>
      </c>
      <c r="D1174" s="905" t="s">
        <v>11846</v>
      </c>
    </row>
    <row r="1175" spans="1:4" ht="16.5">
      <c r="A1175" s="581" t="str">
        <f ca="1">IFERROR(__xludf.DUMMYFUNCTION("""COMPUTED_VALUE"""),"DOT2858080")</f>
        <v>DOT2858080</v>
      </c>
      <c r="B1175" t="s">
        <v>11818</v>
      </c>
      <c r="C1175" s="663" t="s">
        <v>11843</v>
      </c>
      <c r="D1175" s="905" t="s">
        <v>11846</v>
      </c>
    </row>
    <row r="1176" spans="1:4" ht="16.5">
      <c r="A1176" s="587" t="str">
        <f ca="1">IFERROR(__xludf.DUMMYFUNCTION("""COMPUTED_VALUE"""),"DOT285808158")</f>
        <v>DOT285808158</v>
      </c>
      <c r="B1176" t="s">
        <v>11818</v>
      </c>
      <c r="C1176" s="663" t="s">
        <v>11843</v>
      </c>
      <c r="D1176" s="905" t="s">
        <v>11846</v>
      </c>
    </row>
    <row r="1177" spans="1:4" ht="16.5">
      <c r="A1177" s="581" t="str">
        <f ca="1">IFERROR(__xludf.DUMMYFUNCTION("""COMPUTED_VALUE"""),"DOT2858081")</f>
        <v>DOT2858081</v>
      </c>
      <c r="B1177" t="s">
        <v>11818</v>
      </c>
      <c r="C1177" s="663" t="s">
        <v>11843</v>
      </c>
      <c r="D1177" s="905" t="s">
        <v>11846</v>
      </c>
    </row>
    <row r="1178" spans="1:4" ht="16.5">
      <c r="A1178" s="587" t="str">
        <f ca="1">IFERROR(__xludf.DUMMYFUNCTION("""COMPUTED_VALUE"""),"DOT2858085")</f>
        <v>DOT2858085</v>
      </c>
      <c r="B1178" t="s">
        <v>11818</v>
      </c>
      <c r="C1178" s="663" t="s">
        <v>11843</v>
      </c>
      <c r="D1178" s="905" t="s">
        <v>11846</v>
      </c>
    </row>
    <row r="1179" spans="1:4" ht="16.5">
      <c r="A1179" s="581" t="str">
        <f ca="1">IFERROR(__xludf.DUMMYFUNCTION("""COMPUTED_VALUE"""),"DOT285808558")</f>
        <v>DOT285808558</v>
      </c>
      <c r="B1179" t="s">
        <v>11818</v>
      </c>
      <c r="C1179" s="663" t="s">
        <v>11843</v>
      </c>
      <c r="D1179" s="905" t="s">
        <v>11846</v>
      </c>
    </row>
    <row r="1180" spans="1:4" ht="16.5">
      <c r="A1180" s="587" t="str">
        <f ca="1">IFERROR(__xludf.DUMMYFUNCTION("""COMPUTED_VALUE"""),"DOT2858090")</f>
        <v>DOT2858090</v>
      </c>
      <c r="B1180" t="s">
        <v>11818</v>
      </c>
      <c r="C1180" s="663" t="s">
        <v>11843</v>
      </c>
      <c r="D1180" s="905" t="s">
        <v>11846</v>
      </c>
    </row>
    <row r="1181" spans="1:4" ht="16.5">
      <c r="A1181" s="581" t="str">
        <f ca="1">IFERROR(__xludf.DUMMYFUNCTION("""COMPUTED_VALUE"""),"DOT285809158")</f>
        <v>DOT285809158</v>
      </c>
      <c r="B1181" t="s">
        <v>11818</v>
      </c>
      <c r="C1181" s="663" t="s">
        <v>11843</v>
      </c>
      <c r="D1181" s="905" t="s">
        <v>11846</v>
      </c>
    </row>
    <row r="1182" spans="1:4" ht="16.5">
      <c r="A1182" s="587" t="str">
        <f ca="1">IFERROR(__xludf.DUMMYFUNCTION("""COMPUTED_VALUE"""),"DOT2858095")</f>
        <v>DOT2858095</v>
      </c>
      <c r="B1182" t="s">
        <v>11818</v>
      </c>
      <c r="C1182" s="663" t="s">
        <v>11843</v>
      </c>
      <c r="D1182" s="905" t="s">
        <v>11846</v>
      </c>
    </row>
    <row r="1183" spans="1:4" ht="16.5">
      <c r="A1183" s="581" t="str">
        <f ca="1">IFERROR(__xludf.DUMMYFUNCTION("""COMPUTED_VALUE"""),"DOT28580955.8")</f>
        <v>DOT28580955.8</v>
      </c>
      <c r="B1183" t="s">
        <v>11818</v>
      </c>
      <c r="C1183" s="663" t="s">
        <v>11843</v>
      </c>
      <c r="D1183" s="905" t="s">
        <v>11846</v>
      </c>
    </row>
    <row r="1184" spans="1:4" ht="16.5">
      <c r="A1184" s="587" t="str">
        <f ca="1">IFERROR(__xludf.DUMMYFUNCTION("""COMPUTED_VALUE"""),"DOT2858100")</f>
        <v>DOT2858100</v>
      </c>
      <c r="B1184" t="s">
        <v>11818</v>
      </c>
      <c r="C1184" s="663" t="s">
        <v>11843</v>
      </c>
      <c r="D1184" s="905" t="s">
        <v>11846</v>
      </c>
    </row>
    <row r="1185" spans="1:4" ht="16.5">
      <c r="A1185" s="581" t="str">
        <f ca="1">IFERROR(__xludf.DUMMYFUNCTION("""COMPUTED_VALUE"""),"DOT285810058")</f>
        <v>DOT285810058</v>
      </c>
      <c r="B1185" t="s">
        <v>11818</v>
      </c>
      <c r="C1185" s="663" t="s">
        <v>11843</v>
      </c>
      <c r="D1185" s="905" t="s">
        <v>11846</v>
      </c>
    </row>
    <row r="1186" spans="1:4" ht="16.5">
      <c r="A1186" s="587" t="str">
        <f ca="1">IFERROR(__xludf.DUMMYFUNCTION("""COMPUTED_VALUE"""),"DOT2858103")</f>
        <v>DOT2858103</v>
      </c>
      <c r="B1186" t="s">
        <v>11818</v>
      </c>
      <c r="C1186" s="663" t="s">
        <v>11843</v>
      </c>
      <c r="D1186" s="905" t="s">
        <v>11846</v>
      </c>
    </row>
    <row r="1187" spans="1:4" ht="16.5">
      <c r="A1187" s="581" t="str">
        <f ca="1">IFERROR(__xludf.DUMMYFUNCTION("""COMPUTED_VALUE"""),"DOT2858107")</f>
        <v>DOT2858107</v>
      </c>
      <c r="B1187" t="s">
        <v>11818</v>
      </c>
      <c r="C1187" s="663" t="s">
        <v>11843</v>
      </c>
      <c r="D1187" s="905" t="s">
        <v>11846</v>
      </c>
    </row>
    <row r="1188" spans="1:4" ht="16.5">
      <c r="A1188" s="587" t="str">
        <f ca="1">IFERROR(__xludf.DUMMYFUNCTION("""COMPUTED_VALUE"""),"DOT285801158")</f>
        <v>DOT285801158</v>
      </c>
      <c r="B1188" t="s">
        <v>11818</v>
      </c>
      <c r="C1188" s="663" t="s">
        <v>11843</v>
      </c>
      <c r="D1188" s="905" t="s">
        <v>11846</v>
      </c>
    </row>
    <row r="1189" spans="1:4" ht="16.5">
      <c r="A1189" s="581" t="str">
        <f ca="1">IFERROR(__xludf.DUMMYFUNCTION("""COMPUTED_VALUE"""),"DOT2858110")</f>
        <v>DOT2858110</v>
      </c>
      <c r="B1189" t="s">
        <v>11818</v>
      </c>
      <c r="C1189" s="663" t="s">
        <v>11843</v>
      </c>
      <c r="D1189" s="905" t="s">
        <v>11846</v>
      </c>
    </row>
    <row r="1190" spans="1:4" ht="16.5">
      <c r="A1190" s="587" t="str">
        <f ca="1">IFERROR(__xludf.DUMMYFUNCTION("""COMPUTED_VALUE"""),"DOT285811058")</f>
        <v>DOT285811058</v>
      </c>
      <c r="B1190" t="s">
        <v>11818</v>
      </c>
      <c r="C1190" s="663" t="s">
        <v>11843</v>
      </c>
      <c r="D1190" s="905" t="s">
        <v>11846</v>
      </c>
    </row>
    <row r="1191" spans="1:4" ht="16.5">
      <c r="A1191" s="581" t="str">
        <f ca="1">IFERROR(__xludf.DUMMYFUNCTION("""COMPUTED_VALUE"""),"DOT2858115")</f>
        <v>DOT2858115</v>
      </c>
      <c r="B1191" t="s">
        <v>11818</v>
      </c>
      <c r="C1191" s="663" t="s">
        <v>11843</v>
      </c>
      <c r="D1191" s="905" t="s">
        <v>11846</v>
      </c>
    </row>
    <row r="1192" spans="1:4" ht="16.5">
      <c r="A1192" s="587" t="str">
        <f ca="1">IFERROR(__xludf.DUMMYFUNCTION("""COMPUTED_VALUE"""),"DOT285811558")</f>
        <v>DOT285811558</v>
      </c>
      <c r="B1192" t="s">
        <v>11818</v>
      </c>
      <c r="C1192" s="663" t="s">
        <v>11843</v>
      </c>
      <c r="D1192" s="905" t="s">
        <v>11846</v>
      </c>
    </row>
    <row r="1193" spans="1:4" ht="16.5">
      <c r="A1193" s="581" t="str">
        <f ca="1">IFERROR(__xludf.DUMMYFUNCTION("""COMPUTED_VALUE"""),"DOT2858120")</f>
        <v>DOT2858120</v>
      </c>
      <c r="B1193" t="s">
        <v>11818</v>
      </c>
      <c r="C1193" s="663" t="s">
        <v>11843</v>
      </c>
      <c r="D1193" s="905" t="s">
        <v>11846</v>
      </c>
    </row>
    <row r="1194" spans="1:4" ht="16.5">
      <c r="A1194" s="587" t="str">
        <f ca="1">IFERROR(__xludf.DUMMYFUNCTION("""COMPUTED_VALUE"""),"DOT285812058")</f>
        <v>DOT285812058</v>
      </c>
      <c r="B1194" t="s">
        <v>11818</v>
      </c>
      <c r="C1194" s="663" t="s">
        <v>11843</v>
      </c>
      <c r="D1194" s="905" t="s">
        <v>11846</v>
      </c>
    </row>
    <row r="1195" spans="1:4" ht="16.5">
      <c r="A1195" s="581" t="str">
        <f ca="1">IFERROR(__xludf.DUMMYFUNCTION("""COMPUTED_VALUE"""),"DOT28580125")</f>
        <v>DOT28580125</v>
      </c>
      <c r="B1195" t="s">
        <v>11818</v>
      </c>
      <c r="C1195" s="663" t="s">
        <v>11843</v>
      </c>
      <c r="D1195" s="905" t="s">
        <v>11846</v>
      </c>
    </row>
    <row r="1196" spans="1:4" ht="16.5">
      <c r="A1196" s="587" t="str">
        <f ca="1">IFERROR(__xludf.DUMMYFUNCTION("""COMPUTED_VALUE"""),"DOT285812729")</f>
        <v>DOT285812729</v>
      </c>
      <c r="B1196" t="s">
        <v>11818</v>
      </c>
      <c r="C1196" s="663" t="s">
        <v>11843</v>
      </c>
      <c r="D1196" s="905" t="s">
        <v>11846</v>
      </c>
    </row>
    <row r="1197" spans="1:4" ht="16.5">
      <c r="A1197" s="581" t="str">
        <f ca="1">IFERROR(__xludf.DUMMYFUNCTION("""COMPUTED_VALUE"""),"DOT285813")</f>
        <v>DOT285813</v>
      </c>
      <c r="B1197" t="s">
        <v>11818</v>
      </c>
      <c r="C1197" s="663" t="s">
        <v>11843</v>
      </c>
      <c r="D1197" s="905" t="s">
        <v>11846</v>
      </c>
    </row>
    <row r="1198" spans="1:4" ht="16.5">
      <c r="A1198" s="587" t="str">
        <f ca="1">IFERROR(__xludf.DUMMYFUNCTION("""COMPUTED_VALUE"""),"DOT2858135")</f>
        <v>DOT2858135</v>
      </c>
      <c r="B1198" t="s">
        <v>11818</v>
      </c>
      <c r="C1198" s="663" t="s">
        <v>11843</v>
      </c>
      <c r="D1198" s="905" t="s">
        <v>11846</v>
      </c>
    </row>
    <row r="1199" spans="1:4" ht="16.5">
      <c r="A1199" s="581" t="str">
        <f ca="1">IFERROR(__xludf.DUMMYFUNCTION("""COMPUTED_VALUE"""),"DOT2858140")</f>
        <v>DOT2858140</v>
      </c>
      <c r="B1199" t="s">
        <v>11818</v>
      </c>
      <c r="C1199" s="663" t="s">
        <v>11843</v>
      </c>
      <c r="D1199" s="905" t="s">
        <v>11846</v>
      </c>
    </row>
    <row r="1200" spans="1:4" ht="16.5">
      <c r="A1200" s="587" t="str">
        <f ca="1">IFERROR(__xludf.DUMMYFUNCTION("""COMPUTED_VALUE"""),"DOT285814058")</f>
        <v>DOT285814058</v>
      </c>
      <c r="B1200" t="s">
        <v>11818</v>
      </c>
      <c r="C1200" s="663" t="s">
        <v>11843</v>
      </c>
      <c r="D1200" s="905" t="s">
        <v>11846</v>
      </c>
    </row>
    <row r="1201" spans="1:4" ht="16.5">
      <c r="A1201" s="581" t="str">
        <f ca="1">IFERROR(__xludf.DUMMYFUNCTION("""COMPUTED_VALUE"""),"DOT285815")</f>
        <v>DOT285815</v>
      </c>
      <c r="B1201" t="s">
        <v>11818</v>
      </c>
      <c r="C1201" s="663" t="s">
        <v>11843</v>
      </c>
      <c r="D1201" s="905" t="s">
        <v>11846</v>
      </c>
    </row>
    <row r="1202" spans="1:4" ht="16.5">
      <c r="A1202" s="587" t="str">
        <f ca="1">IFERROR(__xludf.DUMMYFUNCTION("""COMPUTED_VALUE"""),"DOT2858165")</f>
        <v>DOT2858165</v>
      </c>
      <c r="B1202" t="s">
        <v>11818</v>
      </c>
      <c r="C1202" s="663" t="s">
        <v>11843</v>
      </c>
      <c r="D1202" s="905" t="s">
        <v>11846</v>
      </c>
    </row>
    <row r="1203" spans="1:4" ht="16.5">
      <c r="A1203" s="581" t="str">
        <f ca="1">IFERROR(__xludf.DUMMYFUNCTION("""COMPUTED_VALUE"""),"DOT285828020")</f>
        <v>DOT285828020</v>
      </c>
      <c r="B1203" t="s">
        <v>11818</v>
      </c>
      <c r="C1203" s="663" t="s">
        <v>11843</v>
      </c>
      <c r="D1203" s="905" t="s">
        <v>11846</v>
      </c>
    </row>
    <row r="1204" spans="1:4" ht="16.5">
      <c r="A1204" s="587" t="str">
        <f ca="1">IFERROR(__xludf.DUMMYFUNCTION("""COMPUTED_VALUE"""),"DOT290022030")</f>
        <v>DOT290022030</v>
      </c>
      <c r="B1204" t="s">
        <v>11818</v>
      </c>
      <c r="C1204" s="663" t="s">
        <v>11843</v>
      </c>
      <c r="D1204" s="905" t="s">
        <v>11846</v>
      </c>
    </row>
    <row r="1205" spans="1:4" ht="16.5">
      <c r="A1205" s="581" t="str">
        <f ca="1">IFERROR(__xludf.DUMMYFUNCTION("""COMPUTED_VALUE"""),"DOT290022530")</f>
        <v>DOT290022530</v>
      </c>
      <c r="B1205" t="s">
        <v>11818</v>
      </c>
      <c r="C1205" s="663" t="s">
        <v>11843</v>
      </c>
      <c r="D1205" s="905" t="s">
        <v>11846</v>
      </c>
    </row>
    <row r="1206" spans="1:4" ht="16.5">
      <c r="A1206" s="587" t="str">
        <f ca="1">IFERROR(__xludf.DUMMYFUNCTION("""COMPUTED_VALUE"""),"DOT290023030")</f>
        <v>DOT290023030</v>
      </c>
      <c r="B1206" t="s">
        <v>11818</v>
      </c>
      <c r="C1206" s="663" t="s">
        <v>11843</v>
      </c>
      <c r="D1206" s="905" t="s">
        <v>11846</v>
      </c>
    </row>
    <row r="1207" spans="1:4" ht="16.5">
      <c r="A1207" s="581" t="str">
        <f ca="1">IFERROR(__xludf.DUMMYFUNCTION("""COMPUTED_VALUE"""),"DOT290023530")</f>
        <v>DOT290023530</v>
      </c>
      <c r="B1207" t="s">
        <v>11818</v>
      </c>
      <c r="C1207" s="663" t="s">
        <v>11843</v>
      </c>
      <c r="D1207" s="905" t="s">
        <v>11846</v>
      </c>
    </row>
    <row r="1208" spans="1:4" ht="16.5">
      <c r="A1208" s="587" t="str">
        <f ca="1">IFERROR(__xludf.DUMMYFUNCTION("""COMPUTED_VALUE"""),"DOT290024030")</f>
        <v>DOT290024030</v>
      </c>
      <c r="B1208" t="s">
        <v>11818</v>
      </c>
      <c r="C1208" s="663" t="s">
        <v>11843</v>
      </c>
      <c r="D1208" s="905" t="s">
        <v>11846</v>
      </c>
    </row>
    <row r="1209" spans="1:4" ht="16.5">
      <c r="A1209" s="581" t="str">
        <f ca="1">IFERROR(__xludf.DUMMYFUNCTION("""COMPUTED_VALUE"""),"DOT2900243")</f>
        <v>DOT2900243</v>
      </c>
      <c r="B1209" t="s">
        <v>11818</v>
      </c>
      <c r="C1209" s="663" t="s">
        <v>11843</v>
      </c>
      <c r="D1209" s="905" t="s">
        <v>11846</v>
      </c>
    </row>
    <row r="1210" spans="1:4" ht="16.5">
      <c r="A1210" s="587" t="str">
        <f ca="1">IFERROR(__xludf.DUMMYFUNCTION("""COMPUTED_VALUE"""),"DOT29002453")</f>
        <v>DOT29002453</v>
      </c>
      <c r="B1210" t="s">
        <v>11818</v>
      </c>
      <c r="C1210" s="663" t="s">
        <v>11843</v>
      </c>
      <c r="D1210" s="905" t="s">
        <v>11846</v>
      </c>
    </row>
    <row r="1211" spans="1:4" ht="16.5">
      <c r="A1211" s="581" t="str">
        <f ca="1">IFERROR(__xludf.DUMMYFUNCTION("""COMPUTED_VALUE"""),"DOT290028030")</f>
        <v>DOT290028030</v>
      </c>
      <c r="B1211" t="s">
        <v>11818</v>
      </c>
      <c r="C1211" s="663" t="s">
        <v>11843</v>
      </c>
      <c r="D1211" s="905" t="s">
        <v>11846</v>
      </c>
    </row>
    <row r="1212" spans="1:4" ht="16.5">
      <c r="A1212" s="587" t="str">
        <f ca="1">IFERROR(__xludf.DUMMYFUNCTION("""COMPUTED_VALUE"""),"DOT290030030")</f>
        <v>DOT290030030</v>
      </c>
      <c r="B1212" t="s">
        <v>11818</v>
      </c>
      <c r="C1212" s="663" t="s">
        <v>11843</v>
      </c>
      <c r="D1212" s="905" t="s">
        <v>11846</v>
      </c>
    </row>
    <row r="1213" spans="1:4" ht="16.5">
      <c r="A1213" s="581" t="str">
        <f ca="1">IFERROR(__xludf.DUMMYFUNCTION("""COMPUTED_VALUE"""),"DOT290031030")</f>
        <v>DOT290031030</v>
      </c>
      <c r="B1213" t="s">
        <v>11818</v>
      </c>
      <c r="C1213" s="663" t="s">
        <v>11843</v>
      </c>
      <c r="D1213" s="905" t="s">
        <v>11846</v>
      </c>
    </row>
    <row r="1214" spans="1:4" ht="16.5">
      <c r="A1214" s="587" t="str">
        <f ca="1">IFERROR(__xludf.DUMMYFUNCTION("""COMPUTED_VALUE"""),"DOT295031030")</f>
        <v>DOT295031030</v>
      </c>
      <c r="B1214" t="s">
        <v>11818</v>
      </c>
      <c r="C1214" s="663" t="s">
        <v>11843</v>
      </c>
      <c r="D1214" s="905" t="s">
        <v>11846</v>
      </c>
    </row>
    <row r="1215" spans="1:4" ht="16.5">
      <c r="A1215" s="581" t="str">
        <f ca="1">IFERROR(__xludf.DUMMYFUNCTION("""COMPUTED_VALUE"""),"DOT300015030")</f>
        <v>DOT300015030</v>
      </c>
      <c r="B1215" t="s">
        <v>11818</v>
      </c>
      <c r="C1215" s="663" t="s">
        <v>11843</v>
      </c>
      <c r="D1215" s="905" t="s">
        <v>11846</v>
      </c>
    </row>
    <row r="1216" spans="1:4" ht="16.5">
      <c r="A1216" s="587" t="str">
        <f ca="1">IFERROR(__xludf.DUMMYFUNCTION("""COMPUTED_VALUE"""),"DOT300020030")</f>
        <v>DOT300020030</v>
      </c>
      <c r="B1216" t="s">
        <v>11818</v>
      </c>
      <c r="C1216" s="663" t="s">
        <v>11843</v>
      </c>
      <c r="D1216" s="905" t="s">
        <v>11846</v>
      </c>
    </row>
    <row r="1217" spans="1:4" ht="16.5">
      <c r="A1217" s="581" t="str">
        <f ca="1">IFERROR(__xludf.DUMMYFUNCTION("""COMPUTED_VALUE"""),"DOT300025030")</f>
        <v>DOT300025030</v>
      </c>
      <c r="B1217" t="s">
        <v>11818</v>
      </c>
      <c r="C1217" s="663" t="s">
        <v>11843</v>
      </c>
      <c r="D1217" s="905" t="s">
        <v>11846</v>
      </c>
    </row>
    <row r="1218" spans="1:4" ht="16.5">
      <c r="A1218" s="587" t="str">
        <f ca="1">IFERROR(__xludf.DUMMYFUNCTION("""COMPUTED_VALUE"""),"DOT300028030")</f>
        <v>DOT300028030</v>
      </c>
      <c r="B1218" t="s">
        <v>11818</v>
      </c>
      <c r="C1218" s="663" t="s">
        <v>11843</v>
      </c>
      <c r="D1218" s="905" t="s">
        <v>11846</v>
      </c>
    </row>
    <row r="1219" spans="1:4" ht="16.5">
      <c r="A1219" s="581" t="str">
        <f ca="1">IFERROR(__xludf.DUMMYFUNCTION("""COMPUTED_VALUE"""),"DOT300030030")</f>
        <v>DOT300030030</v>
      </c>
      <c r="B1219" t="s">
        <v>11818</v>
      </c>
      <c r="C1219" s="663" t="s">
        <v>11843</v>
      </c>
      <c r="D1219" s="905" t="s">
        <v>11846</v>
      </c>
    </row>
    <row r="1220" spans="1:4" ht="16.5">
      <c r="A1220" s="587" t="str">
        <f ca="1">IFERROR(__xludf.DUMMYFUNCTION("""COMPUTED_VALUE"""),"DOT300032030")</f>
        <v>DOT300032030</v>
      </c>
      <c r="B1220" t="s">
        <v>11818</v>
      </c>
      <c r="C1220" s="663" t="s">
        <v>11843</v>
      </c>
      <c r="D1220" s="905" t="s">
        <v>11846</v>
      </c>
    </row>
    <row r="1221" spans="1:4" ht="16.5">
      <c r="A1221" s="581" t="str">
        <f ca="1">IFERROR(__xludf.DUMMYFUNCTION("""COMPUTED_VALUE"""),"DOT300032530")</f>
        <v>DOT300032530</v>
      </c>
      <c r="B1221" t="s">
        <v>11818</v>
      </c>
      <c r="C1221" s="663" t="s">
        <v>11843</v>
      </c>
      <c r="D1221" s="905" t="s">
        <v>11846</v>
      </c>
    </row>
    <row r="1222" spans="1:4" ht="16.5">
      <c r="A1222" s="587" t="str">
        <f ca="1">IFERROR(__xludf.DUMMYFUNCTION("""COMPUTED_VALUE"""),"DOT300035020")</f>
        <v>DOT300035020</v>
      </c>
      <c r="B1222" t="s">
        <v>11818</v>
      </c>
      <c r="C1222" s="663" t="s">
        <v>11843</v>
      </c>
      <c r="D1222" s="905" t="s">
        <v>11846</v>
      </c>
    </row>
    <row r="1223" spans="1:4" ht="16.5">
      <c r="A1223" s="581" t="str">
        <f ca="1">IFERROR(__xludf.DUMMYFUNCTION("""COMPUTED_VALUE"""),"DOT305024030")</f>
        <v>DOT305024030</v>
      </c>
      <c r="B1223" t="s">
        <v>11818</v>
      </c>
      <c r="C1223" s="663" t="s">
        <v>11843</v>
      </c>
      <c r="D1223" s="905" t="s">
        <v>11846</v>
      </c>
    </row>
    <row r="1224" spans="1:4" ht="16.5">
      <c r="A1224" s="587" t="str">
        <f ca="1">IFERROR(__xludf.DUMMYFUNCTION("""COMPUTED_VALUE"""),"DOT305032530")</f>
        <v>DOT305032530</v>
      </c>
      <c r="B1224" t="s">
        <v>11818</v>
      </c>
      <c r="C1224" s="663" t="s">
        <v>11843</v>
      </c>
      <c r="D1224" s="905" t="s">
        <v>11846</v>
      </c>
    </row>
    <row r="1225" spans="1:4" ht="16.5">
      <c r="A1225" s="581" t="str">
        <f ca="1">IFERROR(__xludf.DUMMYFUNCTION("""COMPUTED_VALUE"""),"DOT3175070")</f>
        <v>DOT3175070</v>
      </c>
      <c r="B1225" t="s">
        <v>11818</v>
      </c>
      <c r="C1225" s="663" t="s">
        <v>11843</v>
      </c>
      <c r="D1225" s="905" t="s">
        <v>11846</v>
      </c>
    </row>
    <row r="1226" spans="1:4" ht="16.5">
      <c r="A1226" s="587" t="str">
        <f ca="1">IFERROR(__xludf.DUMMYFUNCTION("""COMPUTED_VALUE"""),"DOT158806142")</f>
        <v>DOT158806142</v>
      </c>
      <c r="B1226" t="s">
        <v>11818</v>
      </c>
      <c r="C1226" s="663" t="s">
        <v>11843</v>
      </c>
      <c r="D1226" s="905" t="s">
        <v>11846</v>
      </c>
    </row>
    <row r="1227" spans="1:4" ht="16.5">
      <c r="A1227" s="581" t="str">
        <f ca="1">IFERROR(__xludf.DUMMYFUNCTION("""COMPUTED_VALUE"""),"DOT317507128")</f>
        <v>DOT317507128</v>
      </c>
      <c r="B1227" t="s">
        <v>11818</v>
      </c>
      <c r="C1227" s="663" t="s">
        <v>11843</v>
      </c>
      <c r="D1227" s="905" t="s">
        <v>11846</v>
      </c>
    </row>
    <row r="1228" spans="1:4" ht="16.5">
      <c r="A1228" s="587" t="str">
        <f ca="1">IFERROR(__xludf.DUMMYFUNCTION("""COMPUTED_VALUE"""),"DOT3175075")</f>
        <v>DOT3175075</v>
      </c>
      <c r="B1228" t="s">
        <v>11818</v>
      </c>
      <c r="C1228" s="663" t="s">
        <v>11843</v>
      </c>
      <c r="D1228" s="905" t="s">
        <v>11846</v>
      </c>
    </row>
    <row r="1229" spans="1:4" ht="16.5">
      <c r="A1229" s="581" t="str">
        <f ca="1">IFERROR(__xludf.DUMMYFUNCTION("""COMPUTED_VALUE"""),"DOT3175080")</f>
        <v>DOT3175080</v>
      </c>
      <c r="B1229" t="s">
        <v>11818</v>
      </c>
      <c r="C1229" s="663" t="s">
        <v>11843</v>
      </c>
      <c r="D1229" s="905" t="s">
        <v>11846</v>
      </c>
    </row>
    <row r="1230" spans="1:4" ht="16.5">
      <c r="A1230" s="587" t="str">
        <f ca="1">IFERROR(__xludf.DUMMYFUNCTION("""COMPUTED_VALUE"""),"DOT3175085")</f>
        <v>DOT3175085</v>
      </c>
      <c r="B1230" t="s">
        <v>11818</v>
      </c>
      <c r="C1230" s="663" t="s">
        <v>11843</v>
      </c>
      <c r="D1230" s="905" t="s">
        <v>11846</v>
      </c>
    </row>
    <row r="1231" spans="1:4" ht="16.5">
      <c r="A1231" s="581" t="str">
        <f ca="1">IFERROR(__xludf.DUMMYFUNCTION("""COMPUTED_VALUE"""),"DOT3175090")</f>
        <v>DOT3175090</v>
      </c>
      <c r="B1231" t="s">
        <v>11818</v>
      </c>
      <c r="C1231" s="663" t="s">
        <v>11843</v>
      </c>
      <c r="D1231" s="905" t="s">
        <v>11846</v>
      </c>
    </row>
    <row r="1232" spans="1:4" ht="16.5">
      <c r="A1232" s="587" t="str">
        <f ca="1">IFERROR(__xludf.DUMMYFUNCTION("""COMPUTED_VALUE"""),"DOT3175095")</f>
        <v>DOT3175095</v>
      </c>
      <c r="B1232" t="s">
        <v>11818</v>
      </c>
      <c r="C1232" s="663" t="s">
        <v>11843</v>
      </c>
      <c r="D1232" s="905" t="s">
        <v>11846</v>
      </c>
    </row>
    <row r="1233" spans="1:4" ht="16.5">
      <c r="A1233" s="581" t="str">
        <f ca="1">IFERROR(__xludf.DUMMYFUNCTION("""COMPUTED_VALUE"""),"DOT317510058")</f>
        <v>DOT317510058</v>
      </c>
      <c r="B1233" t="s">
        <v>11818</v>
      </c>
      <c r="C1233" s="663" t="s">
        <v>11843</v>
      </c>
      <c r="D1233" s="905" t="s">
        <v>11846</v>
      </c>
    </row>
    <row r="1234" spans="1:4" ht="16.5">
      <c r="A1234" s="587" t="str">
        <f ca="1">IFERROR(__xludf.DUMMYFUNCTION("""COMPUTED_VALUE"""),"DOT3175100")</f>
        <v>DOT3175100</v>
      </c>
      <c r="B1234" t="s">
        <v>11818</v>
      </c>
      <c r="C1234" s="663" t="s">
        <v>11843</v>
      </c>
      <c r="D1234" s="905" t="s">
        <v>11846</v>
      </c>
    </row>
    <row r="1235" spans="1:4" ht="16.5">
      <c r="A1235" s="581" t="str">
        <f ca="1">IFERROR(__xludf.DUMMYFUNCTION("""COMPUTED_VALUE"""),"DOT3175110")</f>
        <v>DOT3175110</v>
      </c>
      <c r="B1235" t="s">
        <v>11818</v>
      </c>
      <c r="C1235" s="663" t="s">
        <v>11843</v>
      </c>
      <c r="D1235" s="905" t="s">
        <v>11846</v>
      </c>
    </row>
    <row r="1236" spans="1:4" ht="16.5">
      <c r="A1236" s="587" t="str">
        <f ca="1">IFERROR(__xludf.DUMMYFUNCTION("""COMPUTED_VALUE"""),"DOT31751158")</f>
        <v>DOT31751158</v>
      </c>
      <c r="B1236" t="s">
        <v>11818</v>
      </c>
      <c r="C1236" s="663" t="s">
        <v>11843</v>
      </c>
      <c r="D1236" s="905" t="s">
        <v>11846</v>
      </c>
    </row>
    <row r="1237" spans="1:4" ht="16.5">
      <c r="A1237" s="581" t="str">
        <f ca="1">IFERROR(__xludf.DUMMYFUNCTION("""COMPUTED_VALUE"""),"DOT3175115")</f>
        <v>DOT3175115</v>
      </c>
      <c r="B1237" t="s">
        <v>11818</v>
      </c>
      <c r="C1237" s="663" t="s">
        <v>11843</v>
      </c>
      <c r="D1237" s="905" t="s">
        <v>11846</v>
      </c>
    </row>
    <row r="1238" spans="1:4" ht="16.5">
      <c r="A1238" s="587" t="str">
        <f ca="1">IFERROR(__xludf.DUMMYFUNCTION("""COMPUTED_VALUE"""),"DOT317512058")</f>
        <v>DOT317512058</v>
      </c>
      <c r="B1238" t="s">
        <v>11818</v>
      </c>
      <c r="C1238" s="663" t="s">
        <v>11843</v>
      </c>
      <c r="D1238" s="905" t="s">
        <v>11846</v>
      </c>
    </row>
    <row r="1239" spans="1:4" ht="16.5">
      <c r="A1239" s="581" t="str">
        <f ca="1">IFERROR(__xludf.DUMMYFUNCTION("""COMPUTED_VALUE"""),"DOT3175120")</f>
        <v>DOT3175120</v>
      </c>
      <c r="B1239" t="s">
        <v>11818</v>
      </c>
      <c r="C1239" s="663" t="s">
        <v>11843</v>
      </c>
      <c r="D1239" s="905" t="s">
        <v>11846</v>
      </c>
    </row>
    <row r="1240" spans="1:4" ht="16.5">
      <c r="A1240" s="587" t="str">
        <f ca="1">IFERROR(__xludf.DUMMYFUNCTION("""COMPUTED_VALUE"""),"DOT3175122")</f>
        <v>DOT3175122</v>
      </c>
      <c r="B1240" t="s">
        <v>11818</v>
      </c>
      <c r="C1240" s="663" t="s">
        <v>11843</v>
      </c>
      <c r="D1240" s="905" t="s">
        <v>11846</v>
      </c>
    </row>
    <row r="1241" spans="1:4" ht="16.5">
      <c r="A1241" s="581" t="str">
        <f ca="1">IFERROR(__xludf.DUMMYFUNCTION("""COMPUTED_VALUE"""),"DOT3175127")</f>
        <v>DOT3175127</v>
      </c>
      <c r="B1241" t="s">
        <v>11818</v>
      </c>
      <c r="C1241" s="663" t="s">
        <v>11843</v>
      </c>
      <c r="D1241" s="905" t="s">
        <v>11846</v>
      </c>
    </row>
    <row r="1242" spans="1:4" ht="16.5">
      <c r="A1242" s="587" t="str">
        <f ca="1">IFERROR(__xludf.DUMMYFUNCTION("""COMPUTED_VALUE"""),"DOT3175113")</f>
        <v>DOT3175113</v>
      </c>
      <c r="B1242" t="s">
        <v>11818</v>
      </c>
      <c r="C1242" s="663" t="s">
        <v>11843</v>
      </c>
      <c r="D1242" s="905" t="s">
        <v>11846</v>
      </c>
    </row>
    <row r="1243" spans="1:4" ht="16.5">
      <c r="A1243" s="581" t="str">
        <f ca="1">IFERROR(__xludf.DUMMYFUNCTION("""COMPUTED_VALUE"""),"DOT3175135")</f>
        <v>DOT3175135</v>
      </c>
      <c r="B1243" t="s">
        <v>11818</v>
      </c>
      <c r="C1243" s="663" t="s">
        <v>11843</v>
      </c>
      <c r="D1243" s="905" t="s">
        <v>11846</v>
      </c>
    </row>
    <row r="1244" spans="1:4" ht="16.5">
      <c r="A1244" s="587" t="str">
        <f ca="1">IFERROR(__xludf.DUMMYFUNCTION("""COMPUTED_VALUE"""),"DOT3175140")</f>
        <v>DOT3175140</v>
      </c>
      <c r="B1244" t="s">
        <v>11818</v>
      </c>
      <c r="C1244" s="663" t="s">
        <v>11843</v>
      </c>
      <c r="D1244" s="905" t="s">
        <v>11846</v>
      </c>
    </row>
    <row r="1245" spans="1:4" ht="16.5">
      <c r="A1245" s="581" t="str">
        <f ca="1">IFERROR(__xludf.DUMMYFUNCTION("""COMPUTED_VALUE"""),"DOT3175165")</f>
        <v>DOT3175165</v>
      </c>
      <c r="B1245" t="s">
        <v>11818</v>
      </c>
      <c r="C1245" s="663" t="s">
        <v>11843</v>
      </c>
      <c r="D1245" s="905" t="s">
        <v>11846</v>
      </c>
    </row>
    <row r="1246" spans="1:4" ht="16.5">
      <c r="A1246" s="587" t="str">
        <f ca="1">IFERROR(__xludf.DUMMYFUNCTION("""COMPUTED_VALUE"""),"DOT318075")</f>
        <v>DOT318075</v>
      </c>
      <c r="B1246" t="s">
        <v>11818</v>
      </c>
      <c r="C1246" s="663" t="s">
        <v>11843</v>
      </c>
      <c r="D1246" s="905" t="s">
        <v>11846</v>
      </c>
    </row>
    <row r="1247" spans="1:4" ht="16.5">
      <c r="A1247" s="581" t="str">
        <f ca="1">IFERROR(__xludf.DUMMYFUNCTION("""COMPUTED_VALUE"""),"DOT32002430")</f>
        <v>DOT32002430</v>
      </c>
      <c r="B1247" t="s">
        <v>11818</v>
      </c>
      <c r="C1247" s="663" t="s">
        <v>11843</v>
      </c>
      <c r="D1247" s="905" t="s">
        <v>11846</v>
      </c>
    </row>
    <row r="1248" spans="1:4" ht="16.5">
      <c r="A1248" s="587" t="str">
        <f ca="1">IFERROR(__xludf.DUMMYFUNCTION("""COMPUTED_VALUE"""),"DOT33002230")</f>
        <v>DOT33002230</v>
      </c>
      <c r="B1248" t="s">
        <v>11818</v>
      </c>
      <c r="C1248" s="663" t="s">
        <v>11843</v>
      </c>
      <c r="D1248" s="905" t="s">
        <v>11846</v>
      </c>
    </row>
    <row r="1249" spans="1:4" ht="16.5">
      <c r="A1249" s="581" t="str">
        <f ca="1">IFERROR(__xludf.DUMMYFUNCTION("""COMPUTED_VALUE"""),"DOT330023030")</f>
        <v>DOT330023030</v>
      </c>
      <c r="B1249" t="s">
        <v>11818</v>
      </c>
      <c r="C1249" s="663" t="s">
        <v>11843</v>
      </c>
      <c r="D1249" s="905" t="s">
        <v>11846</v>
      </c>
    </row>
    <row r="1250" spans="1:4" ht="16.5">
      <c r="A1250" s="587" t="str">
        <f ca="1">IFERROR(__xludf.DUMMYFUNCTION("""COMPUTED_VALUE"""),"DOT33002530")</f>
        <v>DOT33002530</v>
      </c>
      <c r="B1250" t="s">
        <v>11818</v>
      </c>
      <c r="C1250" s="663" t="s">
        <v>11843</v>
      </c>
      <c r="D1250" s="905" t="s">
        <v>11846</v>
      </c>
    </row>
    <row r="1251" spans="1:4" ht="16.5">
      <c r="A1251" s="581" t="str">
        <f ca="1">IFERROR(__xludf.DUMMYFUNCTION("""COMPUTED_VALUE"""),"DOT330026030")</f>
        <v>DOT330026030</v>
      </c>
      <c r="B1251" t="s">
        <v>11818</v>
      </c>
      <c r="C1251" s="663" t="s">
        <v>11843</v>
      </c>
      <c r="D1251" s="905" t="s">
        <v>11846</v>
      </c>
    </row>
    <row r="1252" spans="1:4" ht="16.5">
      <c r="A1252" s="587" t="str">
        <f ca="1">IFERROR(__xludf.DUMMYFUNCTION("""COMPUTED_VALUE"""),"DOT330027030")</f>
        <v>DOT330027030</v>
      </c>
      <c r="B1252" t="s">
        <v>11818</v>
      </c>
      <c r="C1252" s="663" t="s">
        <v>11843</v>
      </c>
      <c r="D1252" s="905" t="s">
        <v>11846</v>
      </c>
    </row>
    <row r="1253" spans="1:4" ht="16.5">
      <c r="A1253" s="581" t="str">
        <f ca="1">IFERROR(__xludf.DUMMYFUNCTION("""COMPUTED_VALUE"""),"DOT33003030")</f>
        <v>DOT33003030</v>
      </c>
      <c r="B1253" t="s">
        <v>11818</v>
      </c>
      <c r="C1253" s="663" t="s">
        <v>11843</v>
      </c>
      <c r="D1253" s="905" t="s">
        <v>11846</v>
      </c>
    </row>
    <row r="1254" spans="1:4" ht="16.5">
      <c r="A1254" s="587" t="str">
        <f ca="1">IFERROR(__xludf.DUMMYFUNCTION("""COMPUTED_VALUE"""),"DOT340032030")</f>
        <v>DOT340032030</v>
      </c>
      <c r="B1254" t="s">
        <v>11818</v>
      </c>
      <c r="C1254" s="663" t="s">
        <v>11843</v>
      </c>
      <c r="D1254" s="905" t="s">
        <v>11846</v>
      </c>
    </row>
    <row r="1255" spans="1:4" ht="16.5">
      <c r="A1255" s="581" t="str">
        <f ca="1">IFERROR(__xludf.DUMMYFUNCTION("""COMPUTED_VALUE"""),"DOT34909558")</f>
        <v>DOT34909558</v>
      </c>
      <c r="B1255" t="s">
        <v>11818</v>
      </c>
      <c r="C1255" s="663" t="s">
        <v>11843</v>
      </c>
      <c r="D1255" s="905" t="s">
        <v>11846</v>
      </c>
    </row>
    <row r="1256" spans="1:4" ht="16.5">
      <c r="A1256" s="587" t="str">
        <f ca="1">IFERROR(__xludf.DUMMYFUNCTION("""COMPUTED_VALUE"""),"DOT349011558")</f>
        <v>DOT349011558</v>
      </c>
      <c r="B1256" t="s">
        <v>11818</v>
      </c>
      <c r="C1256" s="663" t="s">
        <v>11843</v>
      </c>
      <c r="D1256" s="905" t="s">
        <v>11846</v>
      </c>
    </row>
    <row r="1257" spans="1:4" ht="16.5">
      <c r="A1257" s="581" t="str">
        <f ca="1">IFERROR(__xludf.DUMMYFUNCTION("""COMPUTED_VALUE"""),"DOT349123")</f>
        <v>DOT349123</v>
      </c>
      <c r="B1257" t="s">
        <v>11818</v>
      </c>
      <c r="C1257" s="663" t="s">
        <v>11843</v>
      </c>
      <c r="D1257" s="905" t="s">
        <v>11846</v>
      </c>
    </row>
    <row r="1258" spans="1:4" ht="16.5">
      <c r="A1258" s="587" t="str">
        <f ca="1">IFERROR(__xludf.DUMMYFUNCTION("""COMPUTED_VALUE"""),"DOT34901358")</f>
        <v>DOT34901358</v>
      </c>
      <c r="B1258" t="s">
        <v>11818</v>
      </c>
      <c r="C1258" s="663" t="s">
        <v>11843</v>
      </c>
      <c r="D1258" s="905" t="s">
        <v>11846</v>
      </c>
    </row>
    <row r="1259" spans="1:4" ht="16.5">
      <c r="A1259" s="581" t="str">
        <f ca="1">IFERROR(__xludf.DUMMYFUNCTION("""COMPUTED_VALUE"""),"DOT349016")</f>
        <v>DOT349016</v>
      </c>
      <c r="B1259" t="s">
        <v>11818</v>
      </c>
      <c r="C1259" s="663" t="s">
        <v>11843</v>
      </c>
      <c r="D1259" s="905" t="s">
        <v>11846</v>
      </c>
    </row>
    <row r="1260" spans="1:4" ht="16.5">
      <c r="A1260" s="587" t="str">
        <f ca="1">IFERROR(__xludf.DUMMYFUNCTION("""COMPUTED_VALUE"""),"DOT3490142")</f>
        <v>DOT3490142</v>
      </c>
      <c r="B1260" t="s">
        <v>11818</v>
      </c>
      <c r="C1260" s="663" t="s">
        <v>11843</v>
      </c>
      <c r="D1260" s="905" t="s">
        <v>11846</v>
      </c>
    </row>
    <row r="1261" spans="1:4" ht="16.5">
      <c r="A1261" s="581" t="str">
        <f ca="1">IFERROR(__xludf.DUMMYFUNCTION("""COMPUTED_VALUE"""),"DOT3490070")</f>
        <v>DOT3490070</v>
      </c>
      <c r="B1261" t="s">
        <v>11818</v>
      </c>
      <c r="C1261" s="663" t="s">
        <v>11843</v>
      </c>
      <c r="D1261" s="905" t="s">
        <v>11846</v>
      </c>
    </row>
    <row r="1262" spans="1:4" ht="16.5">
      <c r="A1262" s="587" t="str">
        <f ca="1">IFERROR(__xludf.DUMMYFUNCTION("""COMPUTED_VALUE"""),"DOT3493071")</f>
        <v>DOT3493071</v>
      </c>
      <c r="B1262" t="s">
        <v>11818</v>
      </c>
      <c r="C1262" s="663" t="s">
        <v>11843</v>
      </c>
      <c r="D1262" s="905" t="s">
        <v>11846</v>
      </c>
    </row>
    <row r="1263" spans="1:4" ht="16.5">
      <c r="A1263" s="581" t="str">
        <f ca="1">IFERROR(__xludf.DUMMYFUNCTION("""COMPUTED_VALUE"""),"DOT3490075")</f>
        <v>DOT3490075</v>
      </c>
      <c r="B1263" t="s">
        <v>11818</v>
      </c>
      <c r="C1263" s="663" t="s">
        <v>11843</v>
      </c>
      <c r="D1263" s="905" t="s">
        <v>11846</v>
      </c>
    </row>
    <row r="1264" spans="1:4" ht="16.5">
      <c r="A1264" s="587" t="str">
        <f ca="1">IFERROR(__xludf.DUMMYFUNCTION("""COMPUTED_VALUE"""),"DOT3490080")</f>
        <v>DOT3490080</v>
      </c>
      <c r="B1264" t="s">
        <v>11818</v>
      </c>
      <c r="C1264" s="663" t="s">
        <v>11843</v>
      </c>
      <c r="D1264" s="905" t="s">
        <v>11846</v>
      </c>
    </row>
    <row r="1265" spans="1:4" ht="16.5">
      <c r="A1265" s="581" t="str">
        <f ca="1">IFERROR(__xludf.DUMMYFUNCTION("""COMPUTED_VALUE"""),"DOT3493081")</f>
        <v>DOT3493081</v>
      </c>
      <c r="B1265" t="s">
        <v>11818</v>
      </c>
      <c r="C1265" s="663" t="s">
        <v>11843</v>
      </c>
      <c r="D1265" s="905" t="s">
        <v>11846</v>
      </c>
    </row>
    <row r="1266" spans="1:4" ht="16.5">
      <c r="A1266" s="587" t="str">
        <f ca="1">IFERROR(__xludf.DUMMYFUNCTION("""COMPUTED_VALUE"""),"DOT3490090")</f>
        <v>DOT3490090</v>
      </c>
      <c r="B1266" t="s">
        <v>11818</v>
      </c>
      <c r="C1266" s="663" t="s">
        <v>11843</v>
      </c>
      <c r="D1266" s="905" t="s">
        <v>11846</v>
      </c>
    </row>
    <row r="1267" spans="1:4" ht="16.5">
      <c r="A1267" s="581" t="str">
        <f ca="1">IFERROR(__xludf.DUMMYFUNCTION("""COMPUTED_VALUE"""),"DOT3490095")</f>
        <v>DOT3490095</v>
      </c>
      <c r="B1267" t="s">
        <v>11818</v>
      </c>
      <c r="C1267" s="663" t="s">
        <v>11843</v>
      </c>
      <c r="D1267" s="905" t="s">
        <v>11846</v>
      </c>
    </row>
    <row r="1268" spans="1:4" ht="16.5">
      <c r="A1268" s="587" t="str">
        <f ca="1">IFERROR(__xludf.DUMMYFUNCTION("""COMPUTED_VALUE"""),"DOT3493100")</f>
        <v>DOT3493100</v>
      </c>
      <c r="B1268" t="s">
        <v>11818</v>
      </c>
      <c r="C1268" s="663" t="s">
        <v>11843</v>
      </c>
      <c r="D1268" s="905" t="s">
        <v>11846</v>
      </c>
    </row>
    <row r="1269" spans="1:4" ht="16.5">
      <c r="A1269" s="581" t="str">
        <f ca="1">IFERROR(__xludf.DUMMYFUNCTION("""COMPUTED_VALUE"""),"DOT3493103")</f>
        <v>DOT3493103</v>
      </c>
      <c r="B1269" t="s">
        <v>11818</v>
      </c>
      <c r="C1269" s="663" t="s">
        <v>11843</v>
      </c>
      <c r="D1269" s="905" t="s">
        <v>11846</v>
      </c>
    </row>
    <row r="1270" spans="1:4" ht="16.5">
      <c r="A1270" s="587" t="str">
        <f ca="1">IFERROR(__xludf.DUMMYFUNCTION("""COMPUTED_VALUE"""),"DOT349010058")</f>
        <v>DOT349010058</v>
      </c>
      <c r="B1270" t="s">
        <v>11818</v>
      </c>
      <c r="C1270" s="663" t="s">
        <v>11843</v>
      </c>
      <c r="D1270" s="905" t="s">
        <v>11846</v>
      </c>
    </row>
    <row r="1271" spans="1:4" ht="16.5">
      <c r="A1271" s="581" t="str">
        <f ca="1">IFERROR(__xludf.DUMMYFUNCTION("""COMPUTED_VALUE"""),"DOT3493107")</f>
        <v>DOT3493107</v>
      </c>
      <c r="B1271" t="s">
        <v>11818</v>
      </c>
      <c r="C1271" s="663" t="s">
        <v>11843</v>
      </c>
      <c r="D1271" s="905" t="s">
        <v>11846</v>
      </c>
    </row>
    <row r="1272" spans="1:4" ht="16.5">
      <c r="A1272" s="587" t="str">
        <f ca="1">IFERROR(__xludf.DUMMYFUNCTION("""COMPUTED_VALUE"""),"DOT3493110")</f>
        <v>DOT3493110</v>
      </c>
      <c r="B1272" t="s">
        <v>11818</v>
      </c>
      <c r="C1272" s="663" t="s">
        <v>11843</v>
      </c>
      <c r="D1272" s="905" t="s">
        <v>11846</v>
      </c>
    </row>
    <row r="1273" spans="1:4" ht="16.5">
      <c r="A1273" s="581" t="str">
        <f ca="1">IFERROR(__xludf.DUMMYFUNCTION("""COMPUTED_VALUE"""),"DOT349011058")</f>
        <v>DOT349011058</v>
      </c>
      <c r="B1273" t="s">
        <v>11818</v>
      </c>
      <c r="C1273" s="663" t="s">
        <v>11843</v>
      </c>
      <c r="D1273" s="905" t="s">
        <v>11846</v>
      </c>
    </row>
    <row r="1274" spans="1:4" ht="16.5">
      <c r="A1274" s="587" t="str">
        <f ca="1">IFERROR(__xludf.DUMMYFUNCTION("""COMPUTED_VALUE"""),"DOT3490115")</f>
        <v>DOT3490115</v>
      </c>
      <c r="B1274" t="s">
        <v>11818</v>
      </c>
      <c r="C1274" s="663" t="s">
        <v>11843</v>
      </c>
      <c r="D1274" s="905" t="s">
        <v>11846</v>
      </c>
    </row>
    <row r="1275" spans="1:4" ht="16.5">
      <c r="A1275" s="581" t="str">
        <f ca="1">IFERROR(__xludf.DUMMYFUNCTION("""COMPUTED_VALUE"""),"DOT3493115")</f>
        <v>DOT3493115</v>
      </c>
      <c r="B1275" t="s">
        <v>11818</v>
      </c>
      <c r="C1275" s="663" t="s">
        <v>11843</v>
      </c>
      <c r="D1275" s="905" t="s">
        <v>11846</v>
      </c>
    </row>
    <row r="1276" spans="1:4" ht="16.5">
      <c r="A1276" s="587" t="str">
        <f ca="1">IFERROR(__xludf.DUMMYFUNCTION("""COMPUTED_VALUE"""),"DOT3493120")</f>
        <v>DOT3493120</v>
      </c>
      <c r="B1276" t="s">
        <v>11818</v>
      </c>
      <c r="C1276" s="663" t="s">
        <v>11843</v>
      </c>
      <c r="D1276" s="905" t="s">
        <v>11846</v>
      </c>
    </row>
    <row r="1277" spans="1:4" ht="16.5">
      <c r="A1277" s="581" t="str">
        <f ca="1">IFERROR(__xludf.DUMMYFUNCTION("""COMPUTED_VALUE"""),"DOT349012058")</f>
        <v>DOT349012058</v>
      </c>
      <c r="B1277" t="s">
        <v>11818</v>
      </c>
      <c r="C1277" s="663" t="s">
        <v>11843</v>
      </c>
      <c r="D1277" s="905" t="s">
        <v>11846</v>
      </c>
    </row>
    <row r="1278" spans="1:4" ht="16.5">
      <c r="A1278" s="587" t="str">
        <f ca="1">IFERROR(__xludf.DUMMYFUNCTION("""COMPUTED_VALUE"""),"DOT3490122")</f>
        <v>DOT3490122</v>
      </c>
      <c r="B1278" t="s">
        <v>11818</v>
      </c>
      <c r="C1278" s="663" t="s">
        <v>11843</v>
      </c>
      <c r="D1278" s="905" t="s">
        <v>11846</v>
      </c>
    </row>
    <row r="1279" spans="1:4" ht="16.5">
      <c r="A1279" s="581" t="str">
        <f ca="1">IFERROR(__xludf.DUMMYFUNCTION("""COMPUTED_VALUE"""),"DOT3493127")</f>
        <v>DOT3493127</v>
      </c>
      <c r="B1279" t="s">
        <v>11818</v>
      </c>
      <c r="C1279" s="663" t="s">
        <v>11843</v>
      </c>
      <c r="D1279" s="905" t="s">
        <v>11846</v>
      </c>
    </row>
    <row r="1280" spans="1:4" ht="16.5">
      <c r="A1280" s="587" t="str">
        <f ca="1">IFERROR(__xludf.DUMMYFUNCTION("""COMPUTED_VALUE"""),"DOT3493130")</f>
        <v>DOT3493130</v>
      </c>
      <c r="B1280" t="s">
        <v>11818</v>
      </c>
      <c r="C1280" s="663" t="s">
        <v>11843</v>
      </c>
      <c r="D1280" s="905" t="s">
        <v>11846</v>
      </c>
    </row>
    <row r="1281" spans="1:4" ht="16.5">
      <c r="A1281" s="581" t="str">
        <f ca="1">IFERROR(__xludf.DUMMYFUNCTION("""COMPUTED_VALUE"""),"DOT3490135")</f>
        <v>DOT3490135</v>
      </c>
      <c r="B1281" t="s">
        <v>11818</v>
      </c>
      <c r="C1281" s="663" t="s">
        <v>11843</v>
      </c>
      <c r="D1281" s="905" t="s">
        <v>11846</v>
      </c>
    </row>
    <row r="1282" spans="1:4" ht="16.5">
      <c r="A1282" s="587" t="str">
        <f ca="1">IFERROR(__xludf.DUMMYFUNCTION("""COMPUTED_VALUE"""),"DOT349013558")</f>
        <v>DOT349013558</v>
      </c>
      <c r="B1282" t="s">
        <v>11818</v>
      </c>
      <c r="C1282" s="663" t="s">
        <v>11843</v>
      </c>
      <c r="D1282" s="905" t="s">
        <v>11846</v>
      </c>
    </row>
    <row r="1283" spans="1:4" ht="16.5">
      <c r="A1283" s="581" t="str">
        <f ca="1">IFERROR(__xludf.DUMMYFUNCTION("""COMPUTED_VALUE"""),"DOT349014058")</f>
        <v>DOT349014058</v>
      </c>
      <c r="B1283" t="s">
        <v>11818</v>
      </c>
      <c r="C1283" s="663" t="s">
        <v>11843</v>
      </c>
      <c r="D1283" s="905" t="s">
        <v>11846</v>
      </c>
    </row>
    <row r="1284" spans="1:4" ht="16.5">
      <c r="A1284" s="587" t="str">
        <f ca="1">IFERROR(__xludf.DUMMYFUNCTION("""COMPUTED_VALUE"""),"DOT3493140")</f>
        <v>DOT3493140</v>
      </c>
      <c r="B1284" t="s">
        <v>11818</v>
      </c>
      <c r="C1284" s="663" t="s">
        <v>11843</v>
      </c>
      <c r="D1284" s="905" t="s">
        <v>11846</v>
      </c>
    </row>
    <row r="1285" spans="1:4" ht="16.5">
      <c r="A1285" s="581" t="str">
        <f ca="1">IFERROR(__xludf.DUMMYFUNCTION("""COMPUTED_VALUE"""),"DOT3493143")</f>
        <v>DOT3493143</v>
      </c>
      <c r="B1285" t="s">
        <v>11818</v>
      </c>
      <c r="C1285" s="663" t="s">
        <v>11843</v>
      </c>
      <c r="D1285" s="905" t="s">
        <v>11846</v>
      </c>
    </row>
    <row r="1286" spans="1:4" ht="16.5">
      <c r="A1286" s="587" t="str">
        <f ca="1">IFERROR(__xludf.DUMMYFUNCTION("""COMPUTED_VALUE"""),"DOT3490150")</f>
        <v>DOT3490150</v>
      </c>
      <c r="B1286" t="s">
        <v>11818</v>
      </c>
      <c r="C1286" s="663" t="s">
        <v>11843</v>
      </c>
      <c r="D1286" s="905" t="s">
        <v>11846</v>
      </c>
    </row>
    <row r="1287" spans="1:4" ht="16.5">
      <c r="A1287" s="581" t="str">
        <f ca="1">IFERROR(__xludf.DUMMYFUNCTION("""COMPUTED_VALUE"""),"DOT34931503")</f>
        <v>DOT34931503</v>
      </c>
      <c r="B1287" t="s">
        <v>11818</v>
      </c>
      <c r="C1287" s="663" t="s">
        <v>11843</v>
      </c>
      <c r="D1287" s="905" t="s">
        <v>11846</v>
      </c>
    </row>
    <row r="1288" spans="1:4" ht="16.5">
      <c r="A1288" s="587" t="str">
        <f ca="1">IFERROR(__xludf.DUMMYFUNCTION("""COMPUTED_VALUE"""),"DOT3493160")</f>
        <v>DOT3493160</v>
      </c>
      <c r="B1288" t="s">
        <v>11818</v>
      </c>
      <c r="C1288" s="663" t="s">
        <v>11843</v>
      </c>
      <c r="D1288" s="905" t="s">
        <v>11846</v>
      </c>
    </row>
    <row r="1289" spans="1:4" ht="16.5">
      <c r="A1289" s="581" t="str">
        <f ca="1">IFERROR(__xludf.DUMMYFUNCTION("""COMPUTED_VALUE"""),"DOT3493165")</f>
        <v>DOT3493165</v>
      </c>
      <c r="B1289" t="s">
        <v>11818</v>
      </c>
      <c r="C1289" s="663" t="s">
        <v>11843</v>
      </c>
      <c r="D1289" s="905" t="s">
        <v>11846</v>
      </c>
    </row>
    <row r="1290" spans="1:4" ht="16.5">
      <c r="A1290" s="587" t="str">
        <f ca="1">IFERROR(__xludf.DUMMYFUNCTION("""COMPUTED_VALUE"""),"DOT350032030")</f>
        <v>DOT350032030</v>
      </c>
      <c r="B1290" t="s">
        <v>11818</v>
      </c>
      <c r="C1290" s="663" t="s">
        <v>11843</v>
      </c>
      <c r="D1290" s="905" t="s">
        <v>11846</v>
      </c>
    </row>
    <row r="1291" spans="1:4" ht="16.5">
      <c r="A1291" s="581" t="str">
        <f ca="1">IFERROR(__xludf.DUMMYFUNCTION("""COMPUTED_VALUE"""),"DOT380030030")</f>
        <v>DOT380030030</v>
      </c>
      <c r="B1291" t="s">
        <v>11818</v>
      </c>
      <c r="C1291" s="663" t="s">
        <v>11843</v>
      </c>
      <c r="D1291" s="905" t="s">
        <v>11846</v>
      </c>
    </row>
    <row r="1292" spans="1:4" ht="16.5">
      <c r="A1292" s="587" t="str">
        <f ca="1">IFERROR(__xludf.DUMMYFUNCTION("""COMPUTED_VALUE"""),"DOT3810070(NM)")</f>
        <v>DOT3810070(NM)</v>
      </c>
      <c r="B1292" t="s">
        <v>11818</v>
      </c>
      <c r="C1292" s="663" t="s">
        <v>11843</v>
      </c>
      <c r="D1292" s="905" t="s">
        <v>11846</v>
      </c>
    </row>
    <row r="1293" spans="1:4" ht="16.5">
      <c r="A1293" s="581" t="str">
        <f ca="1">IFERROR(__xludf.DUMMYFUNCTION("""COMPUTED_VALUE"""),"DOT3810081")</f>
        <v>DOT3810081</v>
      </c>
      <c r="B1293" t="s">
        <v>11818</v>
      </c>
      <c r="C1293" s="663" t="s">
        <v>11843</v>
      </c>
      <c r="D1293" s="905" t="s">
        <v>11846</v>
      </c>
    </row>
    <row r="1294" spans="1:4" ht="16.5">
      <c r="A1294" s="587" t="str">
        <f ca="1">IFERROR(__xludf.DUMMYFUNCTION("""COMPUTED_VALUE"""),"DOT3810095")</f>
        <v>DOT3810095</v>
      </c>
      <c r="B1294" t="s">
        <v>11818</v>
      </c>
      <c r="C1294" s="663" t="s">
        <v>11843</v>
      </c>
      <c r="D1294" s="905" t="s">
        <v>11846</v>
      </c>
    </row>
    <row r="1295" spans="1:4" ht="16.5">
      <c r="A1295" s="581" t="str">
        <f ca="1">IFERROR(__xludf.DUMMYFUNCTION("""COMPUTED_VALUE"""),"DOT3810100")</f>
        <v>DOT3810100</v>
      </c>
      <c r="B1295" t="s">
        <v>11818</v>
      </c>
      <c r="C1295" s="663" t="s">
        <v>11843</v>
      </c>
      <c r="D1295" s="905" t="s">
        <v>11846</v>
      </c>
    </row>
    <row r="1296" spans="1:4" ht="16.5">
      <c r="A1296" s="587" t="str">
        <f ca="1">IFERROR(__xludf.DUMMYFUNCTION("""COMPUTED_VALUE"""),"DOT381010058")</f>
        <v>DOT381010058</v>
      </c>
      <c r="B1296" t="s">
        <v>11818</v>
      </c>
      <c r="C1296" s="663" t="s">
        <v>11843</v>
      </c>
      <c r="D1296" s="905" t="s">
        <v>11846</v>
      </c>
    </row>
    <row r="1297" spans="1:4" ht="16.5">
      <c r="A1297" s="581" t="str">
        <f ca="1">IFERROR(__xludf.DUMMYFUNCTION("""COMPUTED_VALUE"""),"DOT3810110")</f>
        <v>DOT3810110</v>
      </c>
      <c r="B1297" t="s">
        <v>11818</v>
      </c>
      <c r="C1297" s="663" t="s">
        <v>11843</v>
      </c>
      <c r="D1297" s="905" t="s">
        <v>11846</v>
      </c>
    </row>
    <row r="1298" spans="1:4" ht="16.5">
      <c r="A1298" s="587" t="str">
        <f ca="1">IFERROR(__xludf.DUMMYFUNCTION("""COMPUTED_VALUE"""),"DOT3810115")</f>
        <v>DOT3810115</v>
      </c>
      <c r="B1298" t="s">
        <v>11818</v>
      </c>
      <c r="C1298" s="663" t="s">
        <v>11843</v>
      </c>
      <c r="D1298" s="905" t="s">
        <v>11846</v>
      </c>
    </row>
    <row r="1299" spans="1:4" ht="16.5">
      <c r="A1299" s="581" t="str">
        <f ca="1">IFERROR(__xludf.DUMMYFUNCTION("""COMPUTED_VALUE"""),"DOT3810120(NM)")</f>
        <v>DOT3810120(NM)</v>
      </c>
      <c r="B1299" t="s">
        <v>11818</v>
      </c>
      <c r="C1299" s="663" t="s">
        <v>11843</v>
      </c>
      <c r="D1299" s="905" t="s">
        <v>11846</v>
      </c>
    </row>
    <row r="1300" spans="1:4" ht="16.5">
      <c r="A1300" s="587" t="str">
        <f ca="1">IFERROR(__xludf.DUMMYFUNCTION("""COMPUTED_VALUE"""),"DOT3810130")</f>
        <v>DOT3810130</v>
      </c>
      <c r="B1300" t="s">
        <v>11818</v>
      </c>
      <c r="C1300" s="663" t="s">
        <v>11843</v>
      </c>
      <c r="D1300" s="905" t="s">
        <v>11846</v>
      </c>
    </row>
    <row r="1301" spans="1:4" ht="16.5">
      <c r="A1301" s="581" t="str">
        <f ca="1">IFERROR(__xludf.DUMMYFUNCTION("""COMPUTED_VALUE"""),"DOT381013058")</f>
        <v>DOT381013058</v>
      </c>
      <c r="B1301" t="s">
        <v>11818</v>
      </c>
      <c r="C1301" s="663" t="s">
        <v>11843</v>
      </c>
      <c r="D1301" s="905" t="s">
        <v>11846</v>
      </c>
    </row>
    <row r="1302" spans="1:4" ht="16.5">
      <c r="A1302" s="587" t="str">
        <f ca="1">IFERROR(__xludf.DUMMYFUNCTION("""COMPUTED_VALUE"""),"DOT3811358")</f>
        <v>DOT3811358</v>
      </c>
      <c r="B1302" t="s">
        <v>11818</v>
      </c>
      <c r="C1302" s="663" t="s">
        <v>11843</v>
      </c>
      <c r="D1302" s="905" t="s">
        <v>11846</v>
      </c>
    </row>
    <row r="1303" spans="1:4" ht="16.5">
      <c r="A1303" s="581" t="str">
        <f ca="1">IFERROR(__xludf.DUMMYFUNCTION("""COMPUTED_VALUE"""),"DOT3810135")</f>
        <v>DOT3810135</v>
      </c>
      <c r="B1303" t="s">
        <v>11818</v>
      </c>
      <c r="C1303" s="663" t="s">
        <v>11843</v>
      </c>
      <c r="D1303" s="905" t="s">
        <v>11846</v>
      </c>
    </row>
    <row r="1304" spans="1:4" ht="16.5">
      <c r="A1304" s="587" t="str">
        <f ca="1">IFERROR(__xludf.DUMMYFUNCTION("""COMPUTED_VALUE"""),"DOT381013558")</f>
        <v>DOT381013558</v>
      </c>
      <c r="B1304" t="s">
        <v>11818</v>
      </c>
      <c r="C1304" s="663" t="s">
        <v>11843</v>
      </c>
      <c r="D1304" s="905" t="s">
        <v>11846</v>
      </c>
    </row>
    <row r="1305" spans="1:4" ht="16.5">
      <c r="A1305" s="581" t="str">
        <f ca="1">IFERROR(__xludf.DUMMYFUNCTION("""COMPUTED_VALUE"""),"DOT381014058")</f>
        <v>DOT381014058</v>
      </c>
      <c r="B1305" t="s">
        <v>11818</v>
      </c>
      <c r="C1305" s="663" t="s">
        <v>11843</v>
      </c>
      <c r="D1305" s="905" t="s">
        <v>11846</v>
      </c>
    </row>
    <row r="1306" spans="1:4" ht="16.5">
      <c r="A1306" s="587" t="str">
        <f ca="1">IFERROR(__xludf.DUMMYFUNCTION("""COMPUTED_VALUE"""),"DOT3810140")</f>
        <v>DOT3810140</v>
      </c>
      <c r="B1306" t="s">
        <v>11818</v>
      </c>
      <c r="C1306" s="663" t="s">
        <v>11843</v>
      </c>
      <c r="D1306" s="905" t="s">
        <v>11846</v>
      </c>
    </row>
    <row r="1307" spans="1:4" ht="16.5">
      <c r="A1307" s="581" t="str">
        <f ca="1">IFERROR(__xludf.DUMMYFUNCTION("""COMPUTED_VALUE"""),"DOT3810150")</f>
        <v>DOT3810150</v>
      </c>
      <c r="B1307" t="s">
        <v>11818</v>
      </c>
      <c r="C1307" s="663" t="s">
        <v>11843</v>
      </c>
      <c r="D1307" s="905" t="s">
        <v>11846</v>
      </c>
    </row>
    <row r="1308" spans="1:4" ht="16.5">
      <c r="A1308" s="587" t="str">
        <f ca="1">IFERROR(__xludf.DUMMYFUNCTION("""COMPUTED_VALUE"""),"DOT4128080(NM)")</f>
        <v>DOT4128080(NM)</v>
      </c>
      <c r="B1308" t="s">
        <v>11818</v>
      </c>
      <c r="C1308" s="663" t="s">
        <v>11843</v>
      </c>
      <c r="D1308" s="905" t="s">
        <v>11846</v>
      </c>
    </row>
    <row r="1309" spans="1:4" ht="16.5">
      <c r="A1309" s="581" t="str">
        <f ca="1">IFERROR(__xludf.DUMMYFUNCTION("""COMPUTED_VALUE"""),"DOT4128081")</f>
        <v>DOT4128081</v>
      </c>
      <c r="B1309" t="s">
        <v>11818</v>
      </c>
      <c r="C1309" s="663" t="s">
        <v>11843</v>
      </c>
      <c r="D1309" s="905" t="s">
        <v>11846</v>
      </c>
    </row>
    <row r="1310" spans="1:4" ht="16.5">
      <c r="A1310" s="587" t="str">
        <f ca="1">IFERROR(__xludf.DUMMYFUNCTION("""COMPUTED_VALUE"""),"DOT412808158")</f>
        <v>DOT412808158</v>
      </c>
      <c r="B1310" t="s">
        <v>11818</v>
      </c>
      <c r="C1310" s="663" t="s">
        <v>11843</v>
      </c>
      <c r="D1310" s="905" t="s">
        <v>11846</v>
      </c>
    </row>
    <row r="1311" spans="1:4" ht="16.5">
      <c r="A1311" s="581" t="str">
        <f ca="1">IFERROR(__xludf.DUMMYFUNCTION("""COMPUTED_VALUE"""),"DOT4128085")</f>
        <v>DOT4128085</v>
      </c>
      <c r="B1311" t="s">
        <v>11818</v>
      </c>
      <c r="C1311" s="663" t="s">
        <v>11843</v>
      </c>
      <c r="D1311" s="905" t="s">
        <v>11846</v>
      </c>
    </row>
    <row r="1312" spans="1:4" ht="16.5">
      <c r="A1312" s="587" t="str">
        <f ca="1">IFERROR(__xludf.DUMMYFUNCTION("""COMPUTED_VALUE"""),"DOT4128095")</f>
        <v>DOT4128095</v>
      </c>
      <c r="B1312" t="s">
        <v>11818</v>
      </c>
      <c r="C1312" s="663" t="s">
        <v>11843</v>
      </c>
      <c r="D1312" s="905" t="s">
        <v>11846</v>
      </c>
    </row>
    <row r="1313" spans="1:4" ht="16.5">
      <c r="A1313" s="581" t="str">
        <f ca="1">IFERROR(__xludf.DUMMYFUNCTION("""COMPUTED_VALUE"""),"DOT41281058")</f>
        <v>DOT41281058</v>
      </c>
      <c r="B1313" t="s">
        <v>11818</v>
      </c>
      <c r="C1313" s="663" t="s">
        <v>11843</v>
      </c>
      <c r="D1313" s="905" t="s">
        <v>11846</v>
      </c>
    </row>
    <row r="1314" spans="1:4" ht="16.5">
      <c r="A1314" s="587" t="str">
        <f ca="1">IFERROR(__xludf.DUMMYFUNCTION("""COMPUTED_VALUE"""),"DOT4128100")</f>
        <v>DOT4128100</v>
      </c>
      <c r="B1314" t="s">
        <v>11818</v>
      </c>
      <c r="C1314" s="663" t="s">
        <v>11843</v>
      </c>
      <c r="D1314" s="905" t="s">
        <v>11846</v>
      </c>
    </row>
    <row r="1315" spans="1:4" ht="16.5">
      <c r="A1315" s="581" t="str">
        <f ca="1">IFERROR(__xludf.DUMMYFUNCTION("""COMPUTED_VALUE"""),"DOT4128107")</f>
        <v>DOT4128107</v>
      </c>
      <c r="B1315" t="s">
        <v>11818</v>
      </c>
      <c r="C1315" s="663" t="s">
        <v>11843</v>
      </c>
      <c r="D1315" s="905" t="s">
        <v>11846</v>
      </c>
    </row>
    <row r="1316" spans="1:4" ht="16.5">
      <c r="A1316" s="587" t="str">
        <f ca="1">IFERROR(__xludf.DUMMYFUNCTION("""COMPUTED_VALUE"""),"DOT4128110")</f>
        <v>DOT4128110</v>
      </c>
      <c r="B1316" t="s">
        <v>11818</v>
      </c>
      <c r="C1316" s="663" t="s">
        <v>11843</v>
      </c>
      <c r="D1316" s="905" t="s">
        <v>11846</v>
      </c>
    </row>
    <row r="1317" spans="1:4" ht="16.5">
      <c r="A1317" s="581" t="str">
        <f ca="1">IFERROR(__xludf.DUMMYFUNCTION("""COMPUTED_VALUE"""),"DOT4128115")</f>
        <v>DOT4128115</v>
      </c>
      <c r="B1317" t="s">
        <v>11818</v>
      </c>
      <c r="C1317" s="663" t="s">
        <v>11843</v>
      </c>
      <c r="D1317" s="905" t="s">
        <v>11846</v>
      </c>
    </row>
    <row r="1318" spans="1:4" ht="16.5">
      <c r="A1318" s="587" t="str">
        <f ca="1">IFERROR(__xludf.DUMMYFUNCTION("""COMPUTED_VALUE"""),"DOT4128120(NM)")</f>
        <v>DOT4128120(NM)</v>
      </c>
      <c r="B1318" t="s">
        <v>11818</v>
      </c>
      <c r="C1318" s="663" t="s">
        <v>11843</v>
      </c>
      <c r="D1318" s="905" t="s">
        <v>11846</v>
      </c>
    </row>
    <row r="1319" spans="1:4" ht="16.5">
      <c r="A1319" s="581" t="str">
        <f ca="1">IFERROR(__xludf.DUMMYFUNCTION("""COMPUTED_VALUE"""),"DOT412812058")</f>
        <v>DOT412812058</v>
      </c>
      <c r="B1319" t="s">
        <v>11818</v>
      </c>
      <c r="C1319" s="663" t="s">
        <v>11843</v>
      </c>
      <c r="D1319" s="905" t="s">
        <v>11846</v>
      </c>
    </row>
    <row r="1320" spans="1:4" ht="16.5">
      <c r="A1320" s="587" t="str">
        <f ca="1">IFERROR(__xludf.DUMMYFUNCTION("""COMPUTED_VALUE"""),"DOT412813")</f>
        <v>DOT412813</v>
      </c>
      <c r="B1320" t="s">
        <v>11818</v>
      </c>
      <c r="C1320" s="663" t="s">
        <v>11843</v>
      </c>
      <c r="D1320" s="905" t="s">
        <v>11846</v>
      </c>
    </row>
    <row r="1321" spans="1:4" ht="16.5">
      <c r="A1321" s="581" t="str">
        <f ca="1">IFERROR(__xludf.DUMMYFUNCTION("""COMPUTED_VALUE"""),"DOT4128135(NM)")</f>
        <v>DOT4128135(NM)</v>
      </c>
      <c r="B1321" t="s">
        <v>11818</v>
      </c>
      <c r="C1321" s="663" t="s">
        <v>11843</v>
      </c>
      <c r="D1321" s="905" t="s">
        <v>11846</v>
      </c>
    </row>
    <row r="1322" spans="1:4" ht="16.5">
      <c r="A1322" s="587" t="str">
        <f ca="1">IFERROR(__xludf.DUMMYFUNCTION("""COMPUTED_VALUE"""),"DOT4128140")</f>
        <v>DOT4128140</v>
      </c>
      <c r="B1322" t="s">
        <v>11818</v>
      </c>
      <c r="C1322" s="663" t="s">
        <v>11843</v>
      </c>
      <c r="D1322" s="905" t="s">
        <v>11846</v>
      </c>
    </row>
    <row r="1323" spans="1:4" ht="16.5">
      <c r="A1323" s="581" t="str">
        <f ca="1">IFERROR(__xludf.DUMMYFUNCTION("""COMPUTED_VALUE"""),"DOT412814058")</f>
        <v>DOT412814058</v>
      </c>
      <c r="B1323" t="s">
        <v>11818</v>
      </c>
      <c r="C1323" s="663" t="s">
        <v>11843</v>
      </c>
      <c r="D1323" s="905" t="s">
        <v>11846</v>
      </c>
    </row>
    <row r="1324" spans="1:4" ht="16.5">
      <c r="A1324" s="587" t="str">
        <f ca="1">IFERROR(__xludf.DUMMYFUNCTION("""COMPUTED_VALUE"""),"DOT4128142")</f>
        <v>DOT4128142</v>
      </c>
      <c r="B1324" t="s">
        <v>11818</v>
      </c>
      <c r="C1324" s="663" t="s">
        <v>11843</v>
      </c>
      <c r="D1324" s="905" t="s">
        <v>11846</v>
      </c>
    </row>
    <row r="1325" spans="1:4" ht="16.5">
      <c r="A1325" s="581" t="str">
        <f ca="1">IFERROR(__xludf.DUMMYFUNCTION("""COMPUTED_VALUE"""),"DOT4128143")</f>
        <v>DOT4128143</v>
      </c>
      <c r="B1325" t="s">
        <v>11818</v>
      </c>
      <c r="C1325" s="663" t="s">
        <v>11843</v>
      </c>
      <c r="D1325" s="905" t="s">
        <v>11846</v>
      </c>
    </row>
    <row r="1326" spans="1:4" ht="16.5">
      <c r="A1326" s="587" t="str">
        <f ca="1">IFERROR(__xludf.DUMMYFUNCTION("""COMPUTED_VALUE"""),"DOT4128145")</f>
        <v>DOT4128145</v>
      </c>
      <c r="B1326" t="s">
        <v>11818</v>
      </c>
      <c r="C1326" s="663" t="s">
        <v>11843</v>
      </c>
      <c r="D1326" s="905" t="s">
        <v>11846</v>
      </c>
    </row>
    <row r="1327" spans="1:4" ht="16.5">
      <c r="A1327" s="581" t="str">
        <f ca="1">IFERROR(__xludf.DUMMYFUNCTION("""COMPUTED_VALUE"""),"DOT412814558")</f>
        <v>DOT412814558</v>
      </c>
      <c r="B1327" t="s">
        <v>11818</v>
      </c>
      <c r="C1327" s="663" t="s">
        <v>11843</v>
      </c>
      <c r="D1327" s="905" t="s">
        <v>11846</v>
      </c>
    </row>
    <row r="1328" spans="1:4" ht="16.5">
      <c r="A1328" s="587" t="str">
        <f ca="1">IFERROR(__xludf.DUMMYFUNCTION("""COMPUTED_VALUE"""),"DOT4128150")</f>
        <v>DOT4128150</v>
      </c>
      <c r="B1328" t="s">
        <v>11818</v>
      </c>
      <c r="C1328" s="663" t="s">
        <v>11843</v>
      </c>
      <c r="D1328" s="905" t="s">
        <v>11846</v>
      </c>
    </row>
    <row r="1329" spans="1:4" ht="16.5">
      <c r="A1329" s="581" t="str">
        <f ca="1">IFERROR(__xludf.DUMMYFUNCTION("""COMPUTED_VALUE"""),"DOT41281558")</f>
        <v>DOT41281558</v>
      </c>
      <c r="B1329" t="s">
        <v>11818</v>
      </c>
      <c r="C1329" s="663" t="s">
        <v>11843</v>
      </c>
      <c r="D1329" s="905" t="s">
        <v>11846</v>
      </c>
    </row>
    <row r="1330" spans="1:4" ht="16.5">
      <c r="A1330" s="587" t="str">
        <f ca="1">IFERROR(__xludf.DUMMYFUNCTION("""COMPUTED_VALUE"""),"DOT4128152")</f>
        <v>DOT4128152</v>
      </c>
      <c r="B1330" t="s">
        <v>11818</v>
      </c>
      <c r="C1330" s="663" t="s">
        <v>11843</v>
      </c>
      <c r="D1330" s="905" t="s">
        <v>11846</v>
      </c>
    </row>
    <row r="1331" spans="1:4" ht="16.5">
      <c r="A1331" s="581" t="str">
        <f ca="1">IFERROR(__xludf.DUMMYFUNCTION("""COMPUTED_VALUE"""),"DOT4128153")</f>
        <v>DOT4128153</v>
      </c>
      <c r="B1331" t="s">
        <v>11818</v>
      </c>
      <c r="C1331" s="663" t="s">
        <v>11843</v>
      </c>
      <c r="D1331" s="905" t="s">
        <v>11846</v>
      </c>
    </row>
    <row r="1332" spans="1:4" ht="16.5">
      <c r="A1332" s="587" t="str">
        <f ca="1">IFERROR(__xludf.DUMMYFUNCTION("""COMPUTED_VALUE"""),"DOT4128155")</f>
        <v>DOT4128155</v>
      </c>
      <c r="B1332" t="s">
        <v>11818</v>
      </c>
      <c r="C1332" s="663" t="s">
        <v>11843</v>
      </c>
      <c r="D1332" s="905" t="s">
        <v>11846</v>
      </c>
    </row>
    <row r="1333" spans="1:4" ht="16.5">
      <c r="A1333" s="581" t="str">
        <f ca="1">IFERROR(__xludf.DUMMYFUNCTION("""COMPUTED_VALUE"""),"DOT4128160")</f>
        <v>DOT4128160</v>
      </c>
      <c r="B1333" t="s">
        <v>11818</v>
      </c>
      <c r="C1333" s="663" t="s">
        <v>11843</v>
      </c>
      <c r="D1333" s="905" t="s">
        <v>11846</v>
      </c>
    </row>
    <row r="1334" spans="1:4" ht="16.5">
      <c r="A1334" s="587" t="str">
        <f ca="1">IFERROR(__xludf.DUMMYFUNCTION("""COMPUTED_VALUE"""),"DOT4128180")</f>
        <v>DOT4128180</v>
      </c>
      <c r="B1334" t="s">
        <v>11818</v>
      </c>
      <c r="C1334" s="663" t="s">
        <v>11843</v>
      </c>
      <c r="D1334" s="905" t="s">
        <v>11846</v>
      </c>
    </row>
    <row r="1335" spans="1:4" ht="16.5">
      <c r="A1335" s="581" t="str">
        <f ca="1">IFERROR(__xludf.DUMMYFUNCTION("""COMPUTED_VALUE"""),"DOT412818030")</f>
        <v>DOT412818030</v>
      </c>
      <c r="B1335" t="s">
        <v>11818</v>
      </c>
      <c r="C1335" s="663" t="s">
        <v>11843</v>
      </c>
      <c r="D1335" s="905" t="s">
        <v>11846</v>
      </c>
    </row>
    <row r="1336" spans="1:4" ht="16.5">
      <c r="A1336" s="587" t="str">
        <f ca="1">IFERROR(__xludf.DUMMYFUNCTION("""COMPUTED_VALUE"""),"DOT4128183")</f>
        <v>DOT4128183</v>
      </c>
      <c r="B1336" t="s">
        <v>11818</v>
      </c>
      <c r="C1336" s="663" t="s">
        <v>11843</v>
      </c>
      <c r="D1336" s="905" t="s">
        <v>11846</v>
      </c>
    </row>
    <row r="1337" spans="1:4" ht="16.5">
      <c r="A1337" s="581" t="str">
        <f ca="1">IFERROR(__xludf.DUMMYFUNCTION("""COMPUTED_VALUE"""),"DOT412820029")</f>
        <v>DOT412820029</v>
      </c>
      <c r="B1337" t="s">
        <v>11818</v>
      </c>
      <c r="C1337" s="663" t="s">
        <v>11843</v>
      </c>
      <c r="D1337" s="905" t="s">
        <v>11846</v>
      </c>
    </row>
    <row r="1338" spans="1:4" ht="16.5">
      <c r="A1338" s="587" t="str">
        <f ca="1">IFERROR(__xludf.DUMMYFUNCTION("""COMPUTED_VALUE"""),"DOT42001829")</f>
        <v>DOT42001829</v>
      </c>
      <c r="B1338" t="s">
        <v>11818</v>
      </c>
      <c r="C1338" s="663" t="s">
        <v>11843</v>
      </c>
      <c r="D1338" s="905" t="s">
        <v>11846</v>
      </c>
    </row>
    <row r="1339" spans="1:4" ht="16.5">
      <c r="A1339" s="581" t="str">
        <f ca="1">IFERROR(__xludf.DUMMYFUNCTION("""COMPUTED_VALUE"""),"DOT42001830")</f>
        <v>DOT42001830</v>
      </c>
      <c r="B1339" t="s">
        <v>11818</v>
      </c>
      <c r="C1339" s="663" t="s">
        <v>11843</v>
      </c>
      <c r="D1339" s="905" t="s">
        <v>11846</v>
      </c>
    </row>
    <row r="1340" spans="1:4" ht="16.5">
      <c r="A1340" s="587" t="str">
        <f ca="1">IFERROR(__xludf.DUMMYFUNCTION("""COMPUTED_VALUE"""),"DOT420020030")</f>
        <v>DOT420020030</v>
      </c>
      <c r="B1340" t="s">
        <v>11818</v>
      </c>
      <c r="C1340" s="663" t="s">
        <v>11843</v>
      </c>
      <c r="D1340" s="905" t="s">
        <v>11846</v>
      </c>
    </row>
    <row r="1341" spans="1:4" ht="16.5">
      <c r="A1341" s="581" t="str">
        <f ca="1">IFERROR(__xludf.DUMMYFUNCTION("""COMPUTED_VALUE"""),"DOT420025029")</f>
        <v>DOT420025029</v>
      </c>
      <c r="B1341" t="s">
        <v>11818</v>
      </c>
      <c r="C1341" s="663" t="s">
        <v>11843</v>
      </c>
      <c r="D1341" s="905" t="s">
        <v>11846</v>
      </c>
    </row>
    <row r="1342" spans="1:4" ht="16.5">
      <c r="A1342" s="587" t="str">
        <f ca="1">IFERROR(__xludf.DUMMYFUNCTION("""COMPUTED_VALUE"""),"DOT442813529")</f>
        <v>DOT442813529</v>
      </c>
      <c r="B1342" t="s">
        <v>11818</v>
      </c>
      <c r="C1342" s="663" t="s">
        <v>11843</v>
      </c>
      <c r="D1342" s="905" t="s">
        <v>11846</v>
      </c>
    </row>
    <row r="1343" spans="1:4" ht="16.5">
      <c r="A1343" s="581" t="str">
        <f ca="1">IFERROR(__xludf.DUMMYFUNCTION("""COMPUTED_VALUE"""),"DOT4428115(2.9)")</f>
        <v>DOT4428115(2.9)</v>
      </c>
      <c r="B1343" t="s">
        <v>11818</v>
      </c>
      <c r="C1343" s="663" t="s">
        <v>11843</v>
      </c>
      <c r="D1343" s="905" t="s">
        <v>11846</v>
      </c>
    </row>
    <row r="1344" spans="1:4" ht="16.5">
      <c r="A1344" s="587" t="str">
        <f ca="1">IFERROR(__xludf.DUMMYFUNCTION("""COMPUTED_VALUE"""),"DOT44451558")</f>
        <v>DOT44451558</v>
      </c>
      <c r="B1344" t="s">
        <v>11818</v>
      </c>
      <c r="C1344" s="663" t="s">
        <v>11843</v>
      </c>
      <c r="D1344" s="905" t="s">
        <v>11846</v>
      </c>
    </row>
    <row r="1345" spans="1:4" ht="16.5">
      <c r="A1345" s="581" t="str">
        <f ca="1">IFERROR(__xludf.DUMMYFUNCTION("""COMPUTED_VALUE"""),"DOT445115")</f>
        <v>DOT445115</v>
      </c>
      <c r="B1345" t="s">
        <v>11818</v>
      </c>
      <c r="C1345" s="663" t="s">
        <v>11843</v>
      </c>
      <c r="D1345" s="905" t="s">
        <v>11846</v>
      </c>
    </row>
    <row r="1346" spans="1:4" ht="16.5">
      <c r="A1346" s="587" t="str">
        <f ca="1">IFERROR(__xludf.DUMMYFUNCTION("""COMPUTED_VALUE"""),"DOT4450120")</f>
        <v>DOT4450120</v>
      </c>
      <c r="B1346" t="s">
        <v>11818</v>
      </c>
      <c r="C1346" s="663" t="s">
        <v>11843</v>
      </c>
      <c r="D1346" s="905" t="s">
        <v>11846</v>
      </c>
    </row>
    <row r="1347" spans="1:4" ht="16.5">
      <c r="A1347" s="581" t="str">
        <f ca="1">IFERROR(__xludf.DUMMYFUNCTION("""COMPUTED_VALUE"""),"DOT445014058")</f>
        <v>DOT445014058</v>
      </c>
      <c r="B1347" t="s">
        <v>11818</v>
      </c>
      <c r="C1347" s="663" t="s">
        <v>11843</v>
      </c>
      <c r="D1347" s="905" t="s">
        <v>11846</v>
      </c>
    </row>
    <row r="1348" spans="1:4" ht="16.5">
      <c r="A1348" s="587" t="str">
        <f ca="1">IFERROR(__xludf.DUMMYFUNCTION("""COMPUTED_VALUE"""),"DOT4451403")</f>
        <v>DOT4451403</v>
      </c>
      <c r="B1348" t="s">
        <v>11818</v>
      </c>
      <c r="C1348" s="663" t="s">
        <v>11843</v>
      </c>
      <c r="D1348" s="905" t="s">
        <v>11846</v>
      </c>
    </row>
    <row r="1349" spans="1:4" ht="16.5">
      <c r="A1349" s="581" t="str">
        <f ca="1">IFERROR(__xludf.DUMMYFUNCTION("""COMPUTED_VALUE"""),"DOT4450140")</f>
        <v>DOT4450140</v>
      </c>
      <c r="B1349" t="s">
        <v>11818</v>
      </c>
      <c r="C1349" s="663" t="s">
        <v>11843</v>
      </c>
      <c r="D1349" s="905" t="s">
        <v>11846</v>
      </c>
    </row>
    <row r="1350" spans="1:4" ht="16.5">
      <c r="A1350" s="587" t="str">
        <f ca="1">IFERROR(__xludf.DUMMYFUNCTION("""COMPUTED_VALUE"""),"DOT44514029")</f>
        <v>DOT44514029</v>
      </c>
      <c r="B1350" t="s">
        <v>11818</v>
      </c>
      <c r="C1350" s="663" t="s">
        <v>11843</v>
      </c>
      <c r="D1350" s="905" t="s">
        <v>11846</v>
      </c>
    </row>
    <row r="1351" spans="1:4" ht="16.5">
      <c r="A1351" s="581" t="str">
        <f ca="1">IFERROR(__xludf.DUMMYFUNCTION("""COMPUTED_VALUE"""),"DOT4450143")</f>
        <v>DOT4450143</v>
      </c>
      <c r="B1351" t="s">
        <v>11818</v>
      </c>
      <c r="C1351" s="663" t="s">
        <v>11843</v>
      </c>
      <c r="D1351" s="905" t="s">
        <v>11846</v>
      </c>
    </row>
    <row r="1352" spans="1:4" ht="16.5">
      <c r="A1352" s="587" t="str">
        <f ca="1">IFERROR(__xludf.DUMMYFUNCTION("""COMPUTED_VALUE"""),"DOT445150")</f>
        <v>DOT445150</v>
      </c>
      <c r="B1352" t="s">
        <v>11818</v>
      </c>
      <c r="C1352" s="663" t="s">
        <v>11843</v>
      </c>
      <c r="D1352" s="905" t="s">
        <v>11846</v>
      </c>
    </row>
    <row r="1353" spans="1:4" ht="16.5">
      <c r="A1353" s="581" t="str">
        <f ca="1">IFERROR(__xludf.DUMMYFUNCTION("""COMPUTED_VALUE"""),"DOT44515058")</f>
        <v>DOT44515058</v>
      </c>
      <c r="B1353" t="s">
        <v>11818</v>
      </c>
      <c r="C1353" s="663" t="s">
        <v>11843</v>
      </c>
      <c r="D1353" s="905" t="s">
        <v>11846</v>
      </c>
    </row>
    <row r="1354" spans="1:4" ht="16.5">
      <c r="A1354" s="587" t="str">
        <f ca="1">IFERROR(__xludf.DUMMYFUNCTION("""COMPUTED_VALUE"""),"DOT4450250")</f>
        <v>DOT4450250</v>
      </c>
      <c r="B1354" t="s">
        <v>11818</v>
      </c>
      <c r="C1354" s="663" t="s">
        <v>11843</v>
      </c>
      <c r="D1354" s="905" t="s">
        <v>11846</v>
      </c>
    </row>
    <row r="1355" spans="1:4" ht="16.5">
      <c r="A1355" s="581" t="str">
        <f ca="1">IFERROR(__xludf.DUMMYFUNCTION("""COMPUTED_VALUE"""),"DOT4515558")</f>
        <v>DOT4515558</v>
      </c>
      <c r="B1355" t="s">
        <v>11818</v>
      </c>
      <c r="C1355" s="663" t="s">
        <v>11843</v>
      </c>
      <c r="D1355" s="905" t="s">
        <v>11846</v>
      </c>
    </row>
    <row r="1356" spans="1:4" ht="16.5">
      <c r="A1356" s="587" t="str">
        <f ca="1">IFERROR(__xludf.DUMMYFUNCTION("""COMPUTED_VALUE"""),"DOT5080211")</f>
        <v>DOT5080211</v>
      </c>
      <c r="B1356" t="s">
        <v>11818</v>
      </c>
      <c r="C1356" s="663" t="s">
        <v>11843</v>
      </c>
      <c r="D1356" s="905" t="s">
        <v>11846</v>
      </c>
    </row>
    <row r="1357" spans="1:4" ht="16.5">
      <c r="A1357" s="581" t="str">
        <f ca="1">IFERROR(__xludf.DUMMYFUNCTION("""COMPUTED_VALUE"""),"DOT5393095")</f>
        <v>DOT5393095</v>
      </c>
      <c r="B1357" t="s">
        <v>11818</v>
      </c>
      <c r="C1357" s="663" t="s">
        <v>11843</v>
      </c>
      <c r="D1357" s="905" t="s">
        <v>11846</v>
      </c>
    </row>
    <row r="1358" spans="1:4" ht="16.5">
      <c r="A1358" s="587" t="str">
        <f ca="1">IFERROR(__xludf.DUMMYFUNCTION("""COMPUTED_VALUE"""),"DOT5393115")</f>
        <v>DOT5393115</v>
      </c>
      <c r="B1358" t="s">
        <v>11818</v>
      </c>
      <c r="C1358" s="663" t="s">
        <v>11843</v>
      </c>
      <c r="D1358" s="905" t="s">
        <v>11846</v>
      </c>
    </row>
    <row r="1359" spans="1:4" ht="16.5">
      <c r="A1359" s="581" t="str">
        <f ca="1">IFERROR(__xludf.DUMMYFUNCTION("""COMPUTED_VALUE"""),"DOT5398211")</f>
        <v>DOT5398211</v>
      </c>
      <c r="B1359" t="s">
        <v>11818</v>
      </c>
      <c r="C1359" s="663" t="s">
        <v>11843</v>
      </c>
      <c r="D1359" s="905" t="s">
        <v>11846</v>
      </c>
    </row>
    <row r="1360" spans="1:4" ht="16.5">
      <c r="A1360" s="587" t="str">
        <f ca="1">IFERROR(__xludf.DUMMYFUNCTION("""COMPUTED_VALUE"""),"DOT5398090")</f>
        <v>DOT5398090</v>
      </c>
      <c r="B1360" t="s">
        <v>11818</v>
      </c>
      <c r="C1360" s="663" t="s">
        <v>11843</v>
      </c>
      <c r="D1360" s="905" t="s">
        <v>11846</v>
      </c>
    </row>
    <row r="1361" spans="1:4" ht="16.5">
      <c r="A1361" s="581" t="str">
        <f ca="1">IFERROR(__xludf.DUMMYFUNCTION("""COMPUTED_VALUE"""),"DOT5398095")</f>
        <v>DOT5398095</v>
      </c>
      <c r="B1361" t="s">
        <v>11818</v>
      </c>
      <c r="C1361" s="663" t="s">
        <v>11843</v>
      </c>
      <c r="D1361" s="905" t="s">
        <v>11846</v>
      </c>
    </row>
    <row r="1362" spans="1:4" ht="16.5">
      <c r="A1362" s="587" t="str">
        <f ca="1">IFERROR(__xludf.DUMMYFUNCTION("""COMPUTED_VALUE"""),"DOT5398100")</f>
        <v>DOT5398100</v>
      </c>
      <c r="B1362" t="s">
        <v>11818</v>
      </c>
      <c r="C1362" s="663" t="s">
        <v>11843</v>
      </c>
      <c r="D1362" s="905" t="s">
        <v>11846</v>
      </c>
    </row>
    <row r="1363" spans="1:4" ht="16.5">
      <c r="A1363" s="581" t="str">
        <f ca="1">IFERROR(__xludf.DUMMYFUNCTION("""COMPUTED_VALUE"""),"DOT5398115")</f>
        <v>DOT5398115</v>
      </c>
      <c r="B1363" t="s">
        <v>11818</v>
      </c>
      <c r="C1363" s="663" t="s">
        <v>11843</v>
      </c>
      <c r="D1363" s="905" t="s">
        <v>11846</v>
      </c>
    </row>
    <row r="1364" spans="1:4" ht="16.5">
      <c r="A1364" s="587" t="str">
        <f ca="1">IFERROR(__xludf.DUMMYFUNCTION("""COMPUTED_VALUE"""),"DOT5398120")</f>
        <v>DOT5398120</v>
      </c>
      <c r="B1364" t="s">
        <v>11818</v>
      </c>
      <c r="C1364" s="663" t="s">
        <v>11843</v>
      </c>
      <c r="D1364" s="905" t="s">
        <v>11846</v>
      </c>
    </row>
    <row r="1365" spans="1:4" ht="16.5">
      <c r="A1365" s="581" t="str">
        <f ca="1">IFERROR(__xludf.DUMMYFUNCTION("""COMPUTED_VALUE"""),"DOT5398125")</f>
        <v>DOT5398125</v>
      </c>
      <c r="B1365" t="s">
        <v>11818</v>
      </c>
      <c r="C1365" s="663" t="s">
        <v>11843</v>
      </c>
      <c r="D1365" s="905" t="s">
        <v>11846</v>
      </c>
    </row>
    <row r="1366" spans="1:4" ht="16.5">
      <c r="A1366" s="587" t="str">
        <f ca="1">IFERROR(__xludf.DUMMYFUNCTION("""COMPUTED_VALUE"""),"DOT5398130")</f>
        <v>DOT5398130</v>
      </c>
      <c r="B1366" t="s">
        <v>11818</v>
      </c>
      <c r="C1366" s="663" t="s">
        <v>11843</v>
      </c>
      <c r="D1366" s="905" t="s">
        <v>11846</v>
      </c>
    </row>
    <row r="1367" spans="1:4" ht="16.5">
      <c r="A1367" s="581" t="str">
        <f ca="1">IFERROR(__xludf.DUMMYFUNCTION("""COMPUTED_VALUE"""),"DOT5398135")</f>
        <v>DOT5398135</v>
      </c>
      <c r="B1367" t="s">
        <v>11818</v>
      </c>
      <c r="C1367" s="663" t="s">
        <v>11843</v>
      </c>
      <c r="D1367" s="905" t="s">
        <v>11846</v>
      </c>
    </row>
    <row r="1368" spans="1:4" ht="16.5">
      <c r="A1368" s="587" t="str">
        <f ca="1">IFERROR(__xludf.DUMMYFUNCTION("""COMPUTED_VALUE"""),"DOT5398140")</f>
        <v>DOT5398140</v>
      </c>
      <c r="B1368" t="s">
        <v>11818</v>
      </c>
      <c r="C1368" s="663" t="s">
        <v>11843</v>
      </c>
      <c r="D1368" s="905" t="s">
        <v>11846</v>
      </c>
    </row>
    <row r="1369" spans="1:4" ht="16.5">
      <c r="A1369" s="581" t="str">
        <f ca="1">IFERROR(__xludf.DUMMYFUNCTION("""COMPUTED_VALUE"""),"DOT5398145")</f>
        <v>DOT5398145</v>
      </c>
      <c r="B1369" t="s">
        <v>11818</v>
      </c>
      <c r="C1369" s="663" t="s">
        <v>11843</v>
      </c>
      <c r="D1369" s="905" t="s">
        <v>11846</v>
      </c>
    </row>
    <row r="1370" spans="1:4" ht="16.5">
      <c r="A1370" s="587" t="str">
        <f ca="1">IFERROR(__xludf.DUMMYFUNCTION("""COMPUTED_VALUE"""),"DOT5398150")</f>
        <v>DOT5398150</v>
      </c>
      <c r="B1370" t="s">
        <v>11818</v>
      </c>
      <c r="C1370" s="663" t="s">
        <v>11843</v>
      </c>
      <c r="D1370" s="905" t="s">
        <v>11846</v>
      </c>
    </row>
    <row r="1371" spans="1:4" ht="16.5">
      <c r="A1371" s="581" t="str">
        <f ca="1">IFERROR(__xludf.DUMMYFUNCTION("""COMPUTED_VALUE"""),"DOT5398160")</f>
        <v>DOT5398160</v>
      </c>
      <c r="B1371" t="s">
        <v>11818</v>
      </c>
      <c r="C1371" s="663" t="s">
        <v>11843</v>
      </c>
      <c r="D1371" s="905" t="s">
        <v>11846</v>
      </c>
    </row>
    <row r="1372" spans="1:4" ht="16.5">
      <c r="A1372" s="587" t="str">
        <f ca="1">IFERROR(__xludf.DUMMYFUNCTION("""COMPUTED_VALUE"""),"DOT5398165")</f>
        <v>DOT5398165</v>
      </c>
      <c r="B1372" t="s">
        <v>11818</v>
      </c>
      <c r="C1372" s="663" t="s">
        <v>11843</v>
      </c>
      <c r="D1372" s="905" t="s">
        <v>11846</v>
      </c>
    </row>
    <row r="1373" spans="1:4" ht="16.5">
      <c r="A1373" s="581" t="str">
        <f ca="1">IFERROR(__xludf.DUMMYFUNCTION("""COMPUTED_VALUE"""),"DOT5398165TP")</f>
        <v>DOT5398165TP</v>
      </c>
      <c r="B1373" t="s">
        <v>11818</v>
      </c>
      <c r="C1373" s="663" t="s">
        <v>11843</v>
      </c>
      <c r="D1373" s="905" t="s">
        <v>11846</v>
      </c>
    </row>
    <row r="1374" spans="1:4" ht="16.5">
      <c r="A1374" s="587" t="str">
        <f ca="1">IFERROR(__xludf.DUMMYFUNCTION("""COMPUTED_VALUE"""),"DOT5398170")</f>
        <v>DOT5398170</v>
      </c>
      <c r="B1374" t="s">
        <v>11818</v>
      </c>
      <c r="C1374" s="663" t="s">
        <v>11843</v>
      </c>
      <c r="D1374" s="905" t="s">
        <v>11846</v>
      </c>
    </row>
    <row r="1375" spans="1:4" ht="16.5">
      <c r="A1375" s="581" t="str">
        <f ca="1">IFERROR(__xludf.DUMMYFUNCTION("""COMPUTED_VALUE"""),"DOT539818")</f>
        <v>DOT539818</v>
      </c>
      <c r="B1375" t="s">
        <v>11818</v>
      </c>
      <c r="C1375" s="663" t="s">
        <v>11843</v>
      </c>
      <c r="D1375" s="905" t="s">
        <v>11846</v>
      </c>
    </row>
    <row r="1376" spans="1:4" ht="16.5">
      <c r="A1376" s="587" t="str">
        <f ca="1">IFERROR(__xludf.DUMMYFUNCTION("""COMPUTED_VALUE"""),"DOT5398185")</f>
        <v>DOT5398185</v>
      </c>
      <c r="B1376" t="s">
        <v>11818</v>
      </c>
      <c r="C1376" s="663" t="s">
        <v>11843</v>
      </c>
      <c r="D1376" s="905" t="s">
        <v>11846</v>
      </c>
    </row>
    <row r="1377" spans="1:4" ht="16.5">
      <c r="A1377" s="581" t="str">
        <f ca="1">IFERROR(__xludf.DUMMYFUNCTION("""COMPUTED_VALUE"""),"DOT540012")</f>
        <v>DOT540012</v>
      </c>
      <c r="B1377" t="s">
        <v>11818</v>
      </c>
      <c r="C1377" s="663" t="s">
        <v>11843</v>
      </c>
      <c r="D1377" s="905" t="s">
        <v>11846</v>
      </c>
    </row>
    <row r="1378" spans="1:4" ht="16.5">
      <c r="A1378" s="587" t="str">
        <f ca="1">IFERROR(__xludf.DUMMYFUNCTION("""COMPUTED_VALUE"""),"DOT631429")</f>
        <v>DOT631429</v>
      </c>
      <c r="B1378" t="s">
        <v>11818</v>
      </c>
      <c r="C1378" s="663" t="s">
        <v>11843</v>
      </c>
      <c r="D1378" s="905" t="s">
        <v>11846</v>
      </c>
    </row>
    <row r="1379" spans="1:4" ht="16.5">
      <c r="A1379" s="581" t="str">
        <f ca="1">IFERROR(__xludf.DUMMYFUNCTION("""COMPUTED_VALUE"""),"DOT666724129")</f>
        <v>DOT666724129</v>
      </c>
      <c r="B1379" t="s">
        <v>11818</v>
      </c>
      <c r="C1379" s="663" t="s">
        <v>11843</v>
      </c>
      <c r="D1379" s="905" t="s">
        <v>11846</v>
      </c>
    </row>
    <row r="1380" spans="1:4" ht="16.5">
      <c r="A1380" s="587" t="str">
        <f ca="1">IFERROR(__xludf.DUMMYFUNCTION("""COMPUTED_VALUE"""),"DOT666718029")</f>
        <v>DOT666718029</v>
      </c>
      <c r="B1380" t="s">
        <v>11818</v>
      </c>
      <c r="C1380" s="663" t="s">
        <v>11843</v>
      </c>
      <c r="D1380" s="905" t="s">
        <v>11846</v>
      </c>
    </row>
    <row r="1381" spans="1:4" ht="16.5">
      <c r="A1381" s="581" t="str">
        <f ca="1">IFERROR(__xludf.DUMMYFUNCTION("""COMPUTED_VALUE"""),"DOT66681829")</f>
        <v>DOT66681829</v>
      </c>
      <c r="B1381" t="s">
        <v>11818</v>
      </c>
      <c r="C1381" s="663" t="s">
        <v>11843</v>
      </c>
      <c r="D1381" s="905" t="s">
        <v>11846</v>
      </c>
    </row>
    <row r="1382" spans="1:4" ht="16.5">
      <c r="A1382" s="587" t="str">
        <f ca="1">IFERROR(__xludf.DUMMYFUNCTION("""COMPUTED_VALUE"""),"DOT67140")</f>
        <v>DOT67140</v>
      </c>
      <c r="B1382" t="s">
        <v>11818</v>
      </c>
      <c r="C1382" s="663" t="s">
        <v>11843</v>
      </c>
      <c r="D1382" s="905" t="s">
        <v>11846</v>
      </c>
    </row>
    <row r="1383" spans="1:4" ht="16.5">
      <c r="A1383" s="581" t="str">
        <f ca="1">IFERROR(__xludf.DUMMYFUNCTION("""COMPUTED_VALUE"""),"DOT6716")</f>
        <v>DOT6716</v>
      </c>
      <c r="B1383" t="s">
        <v>11818</v>
      </c>
      <c r="C1383" s="663" t="s">
        <v>11843</v>
      </c>
      <c r="D1383" s="905" t="s">
        <v>11846</v>
      </c>
    </row>
    <row r="1384" spans="1:4" ht="16.5">
      <c r="A1384" s="587" t="str">
        <f ca="1">IFERROR(__xludf.DUMMYFUNCTION("""COMPUTED_VALUE"""),"DOT6718")</f>
        <v>DOT6718</v>
      </c>
      <c r="B1384" t="s">
        <v>11818</v>
      </c>
      <c r="C1384" s="663" t="s">
        <v>11843</v>
      </c>
      <c r="D1384" s="905" t="s">
        <v>11846</v>
      </c>
    </row>
    <row r="1385" spans="1:4" ht="16.5">
      <c r="A1385" s="581" t="str">
        <f ca="1">IFERROR(__xludf.DUMMYFUNCTION("""COMPUTED_VALUE"""),"DOT6720")</f>
        <v>DOT6720</v>
      </c>
      <c r="B1385" t="s">
        <v>11818</v>
      </c>
      <c r="C1385" s="663" t="s">
        <v>11843</v>
      </c>
      <c r="D1385" s="905" t="s">
        <v>11846</v>
      </c>
    </row>
    <row r="1386" spans="1:4" ht="16.5">
      <c r="A1386" s="587" t="str">
        <f ca="1">IFERROR(__xludf.DUMMYFUNCTION("""COMPUTED_VALUE"""),"DOT76130")</f>
        <v>DOT76130</v>
      </c>
      <c r="B1386" t="s">
        <v>11818</v>
      </c>
      <c r="C1386" s="663" t="s">
        <v>11843</v>
      </c>
      <c r="D1386" s="905" t="s">
        <v>11846</v>
      </c>
    </row>
    <row r="1387" spans="1:4" ht="16.5">
      <c r="A1387" s="581" t="str">
        <f ca="1">IFERROR(__xludf.DUMMYFUNCTION("""COMPUTED_VALUE"""),"DOT76160")</f>
        <v>DOT76160</v>
      </c>
      <c r="B1387" t="s">
        <v>11818</v>
      </c>
      <c r="C1387" s="663" t="s">
        <v>11843</v>
      </c>
      <c r="D1387" s="905" t="s">
        <v>11846</v>
      </c>
    </row>
    <row r="1388" spans="1:4" ht="16.5">
      <c r="A1388" s="587" t="str">
        <f ca="1">IFERROR(__xludf.DUMMYFUNCTION("""COMPUTED_VALUE"""),"DOT7618")</f>
        <v>DOT7618</v>
      </c>
      <c r="B1388" t="s">
        <v>11818</v>
      </c>
      <c r="C1388" s="663" t="s">
        <v>11843</v>
      </c>
      <c r="D1388" s="905" t="s">
        <v>11846</v>
      </c>
    </row>
    <row r="1389" spans="1:4" ht="16.5">
      <c r="A1389" s="581" t="str">
        <f ca="1">IFERROR(__xludf.DUMMYFUNCTION("""COMPUTED_VALUE"""),"DOT7922")</f>
        <v>DOT7922</v>
      </c>
      <c r="B1389" t="s">
        <v>11818</v>
      </c>
      <c r="C1389" s="663" t="s">
        <v>11843</v>
      </c>
      <c r="D1389" s="905" t="s">
        <v>11846</v>
      </c>
    </row>
    <row r="1390" spans="1:4" ht="16.5">
      <c r="A1390" s="587" t="str">
        <f ca="1">IFERROR(__xludf.DUMMYFUNCTION("""COMPUTED_VALUE"""),"DOT7938160")</f>
        <v>DOT7938160</v>
      </c>
      <c r="B1390" t="s">
        <v>11818</v>
      </c>
      <c r="C1390" s="663" t="s">
        <v>11843</v>
      </c>
      <c r="D1390" s="905" t="s">
        <v>11846</v>
      </c>
    </row>
    <row r="1391" spans="1:4" ht="16.5">
      <c r="A1391" s="581" t="str">
        <f ca="1">IFERROR(__xludf.DUMMYFUNCTION("""COMPUTED_VALUE"""),"DOT7938277")</f>
        <v>DOT7938277</v>
      </c>
      <c r="B1391" t="s">
        <v>11818</v>
      </c>
      <c r="C1391" s="663" t="s">
        <v>11843</v>
      </c>
      <c r="D1391" s="905" t="s">
        <v>11846</v>
      </c>
    </row>
    <row r="1392" spans="1:4" ht="16.5">
      <c r="A1392" s="587" t="str">
        <f ca="1">IFERROR(__xludf.DUMMYFUNCTION("""COMPUTED_VALUE"""),"DOLWC0160050")</f>
        <v>DOLWC0160050</v>
      </c>
      <c r="B1392" t="s">
        <v>11818</v>
      </c>
      <c r="C1392" s="663" t="s">
        <v>11843</v>
      </c>
      <c r="D1392" s="905" t="s">
        <v>11846</v>
      </c>
    </row>
    <row r="1393" spans="1:4" ht="16.5">
      <c r="A1393" s="581" t="str">
        <f ca="1">IFERROR(__xludf.DUMMYFUNCTION("""COMPUTED_VALUE"""),"DOLWC0194061")</f>
        <v>DOLWC0194061</v>
      </c>
      <c r="B1393" t="s">
        <v>11818</v>
      </c>
      <c r="C1393" s="663" t="s">
        <v>11843</v>
      </c>
      <c r="D1393" s="905" t="s">
        <v>11846</v>
      </c>
    </row>
    <row r="1394" spans="1:4" ht="16.5">
      <c r="A1394" s="587" t="str">
        <f ca="1">IFERROR(__xludf.DUMMYFUNCTION("""COMPUTED_VALUE"""),"DOLWC0250050")</f>
        <v>DOLWC0250050</v>
      </c>
      <c r="B1394" t="s">
        <v>11818</v>
      </c>
      <c r="C1394" s="663" t="s">
        <v>11843</v>
      </c>
      <c r="D1394" s="905" t="s">
        <v>11846</v>
      </c>
    </row>
    <row r="1395" spans="1:4" ht="16.5">
      <c r="A1395" s="581" t="str">
        <f ca="1">IFERROR(__xludf.DUMMYFUNCTION("""COMPUTED_VALUE"""),"DOLWC0300040")</f>
        <v>DOLWC0300040</v>
      </c>
      <c r="B1395" t="s">
        <v>11818</v>
      </c>
      <c r="C1395" s="663" t="s">
        <v>11843</v>
      </c>
      <c r="D1395" s="905" t="s">
        <v>11846</v>
      </c>
    </row>
    <row r="1396" spans="1:4" ht="16.5">
      <c r="A1396" s="587" t="str">
        <f ca="1">IFERROR(__xludf.DUMMYFUNCTION("""COMPUTED_VALUE"""),"DOLWC0350040")</f>
        <v>DOLWC0350040</v>
      </c>
      <c r="B1396" t="s">
        <v>11818</v>
      </c>
      <c r="C1396" s="663" t="s">
        <v>11843</v>
      </c>
      <c r="D1396" s="905" t="s">
        <v>11846</v>
      </c>
    </row>
    <row r="1397" spans="1:4" ht="16.5">
      <c r="A1397" s="581" t="str">
        <f ca="1">IFERROR(__xludf.DUMMYFUNCTION("""COMPUTED_VALUE"""),"DOLWC0350045")</f>
        <v>DOLWC0350045</v>
      </c>
      <c r="B1397" t="s">
        <v>11818</v>
      </c>
      <c r="C1397" s="663" t="s">
        <v>11843</v>
      </c>
      <c r="D1397" s="905" t="s">
        <v>11846</v>
      </c>
    </row>
    <row r="1398" spans="1:4" ht="16.5">
      <c r="A1398" s="587" t="str">
        <f ca="1">IFERROR(__xludf.DUMMYFUNCTION("""COMPUTED_VALUE"""),"DOLWC0400050")</f>
        <v>DOLWC0400050</v>
      </c>
      <c r="B1398" t="s">
        <v>11818</v>
      </c>
      <c r="C1398" s="663" t="s">
        <v>11843</v>
      </c>
      <c r="D1398" s="905" t="s">
        <v>11846</v>
      </c>
    </row>
    <row r="1399" spans="1:4" ht="16.5">
      <c r="A1399" s="581" t="str">
        <f ca="1">IFERROR(__xludf.DUMMYFUNCTION("""COMPUTED_VALUE"""),"DOLWC0400100")</f>
        <v>DOLWC0400100</v>
      </c>
      <c r="B1399" t="s">
        <v>11818</v>
      </c>
      <c r="C1399" s="663" t="s">
        <v>11843</v>
      </c>
      <c r="D1399" s="905" t="s">
        <v>11846</v>
      </c>
    </row>
    <row r="1400" spans="1:4" ht="16.5">
      <c r="A1400" s="587" t="str">
        <f ca="1">IFERROR(__xludf.DUMMYFUNCTION("""COMPUTED_VALUE"""),"DOLWC0476051")</f>
        <v>DOLWC0476051</v>
      </c>
      <c r="B1400" t="s">
        <v>11818</v>
      </c>
      <c r="C1400" s="663" t="s">
        <v>11843</v>
      </c>
      <c r="D1400" s="905" t="s">
        <v>11846</v>
      </c>
    </row>
    <row r="1401" spans="1:4" ht="16.5">
      <c r="A1401" s="581" t="str">
        <f ca="1">IFERROR(__xludf.DUMMYFUNCTION("""COMPUTED_VALUE"""),"DOLWC0500041")</f>
        <v>DOLWC0500041</v>
      </c>
      <c r="B1401" t="s">
        <v>11818</v>
      </c>
      <c r="C1401" s="663" t="s">
        <v>11843</v>
      </c>
      <c r="D1401" s="905" t="s">
        <v>11846</v>
      </c>
    </row>
    <row r="1402" spans="1:4" ht="16.5">
      <c r="A1402" s="587" t="str">
        <f ca="1">IFERROR(__xludf.DUMMYFUNCTION("""COMPUTED_VALUE"""),"DOLWC0500051")</f>
        <v>DOLWC0500051</v>
      </c>
      <c r="B1402" t="s">
        <v>11818</v>
      </c>
      <c r="C1402" s="663" t="s">
        <v>11843</v>
      </c>
      <c r="D1402" s="905" t="s">
        <v>11846</v>
      </c>
    </row>
    <row r="1403" spans="1:4" ht="16.5">
      <c r="A1403" s="581" t="str">
        <f ca="1">IFERROR(__xludf.DUMMYFUNCTION("""COMPUTED_VALUE"""),"DOLWC0550051")</f>
        <v>DOLWC0550051</v>
      </c>
      <c r="B1403" t="s">
        <v>11818</v>
      </c>
      <c r="C1403" s="663" t="s">
        <v>11843</v>
      </c>
      <c r="D1403" s="905" t="s">
        <v>11846</v>
      </c>
    </row>
    <row r="1404" spans="1:4" ht="16.5">
      <c r="A1404" s="587" t="str">
        <f ca="1">IFERROR(__xludf.DUMMYFUNCTION("""COMPUTED_VALUE"""),"DOLWC0600041")</f>
        <v>DOLWC0600041</v>
      </c>
      <c r="B1404" t="s">
        <v>11818</v>
      </c>
      <c r="C1404" s="663" t="s">
        <v>11843</v>
      </c>
      <c r="D1404" s="905" t="s">
        <v>11846</v>
      </c>
    </row>
    <row r="1405" spans="1:4" ht="16.5">
      <c r="A1405" s="581" t="str">
        <f ca="1">IFERROR(__xludf.DUMMYFUNCTION("""COMPUTED_VALUE"""),"DOLWC0600061")</f>
        <v>DOLWC0600061</v>
      </c>
      <c r="B1405" t="s">
        <v>11818</v>
      </c>
      <c r="C1405" s="663" t="s">
        <v>11843</v>
      </c>
      <c r="D1405" s="905" t="s">
        <v>11846</v>
      </c>
    </row>
    <row r="1406" spans="1:4" ht="16.5">
      <c r="A1406" s="587" t="str">
        <f ca="1">IFERROR(__xludf.DUMMYFUNCTION("""COMPUTED_VALUE"""),"DOLWC060010")</f>
        <v>DOLWC060010</v>
      </c>
      <c r="B1406" t="s">
        <v>11818</v>
      </c>
      <c r="C1406" s="663" t="s">
        <v>11843</v>
      </c>
      <c r="D1406" s="905" t="s">
        <v>11846</v>
      </c>
    </row>
    <row r="1407" spans="1:4" ht="16.5">
      <c r="A1407" s="581" t="str">
        <f ca="1">IFERROR(__xludf.DUMMYFUNCTION("""COMPUTED_VALUE"""),"DOLWC0635035")</f>
        <v>DOLWC0635035</v>
      </c>
      <c r="B1407" t="s">
        <v>11818</v>
      </c>
      <c r="C1407" s="663" t="s">
        <v>11843</v>
      </c>
      <c r="D1407" s="905" t="s">
        <v>11846</v>
      </c>
    </row>
    <row r="1408" spans="1:4" ht="16.5">
      <c r="A1408" s="587" t="str">
        <f ca="1">IFERROR(__xludf.DUMMYFUNCTION("""COMPUTED_VALUE"""),"DOLWC063504")</f>
        <v>DOLWC063504</v>
      </c>
      <c r="B1408" t="s">
        <v>11818</v>
      </c>
      <c r="C1408" s="663" t="s">
        <v>11843</v>
      </c>
      <c r="D1408" s="905" t="s">
        <v>11846</v>
      </c>
    </row>
    <row r="1409" spans="1:4" ht="16.5">
      <c r="A1409" s="581" t="str">
        <f ca="1">IFERROR(__xludf.DUMMYFUNCTION("""COMPUTED_VALUE"""),"DOLWC0635046")</f>
        <v>DOLWC0635046</v>
      </c>
      <c r="B1409" t="s">
        <v>11818</v>
      </c>
      <c r="C1409" s="663" t="s">
        <v>11843</v>
      </c>
      <c r="D1409" s="905" t="s">
        <v>11846</v>
      </c>
    </row>
    <row r="1410" spans="1:4" ht="16.5">
      <c r="A1410" s="587" t="str">
        <f ca="1">IFERROR(__xludf.DUMMYFUNCTION("""COMPUTED_VALUE"""),"DOLWC0635050")</f>
        <v>DOLWC0635050</v>
      </c>
      <c r="B1410" t="s">
        <v>11818</v>
      </c>
      <c r="C1410" s="663" t="s">
        <v>11843</v>
      </c>
      <c r="D1410" s="905" t="s">
        <v>11846</v>
      </c>
    </row>
    <row r="1411" spans="1:4" ht="16.5">
      <c r="A1411" s="581" t="str">
        <f ca="1">IFERROR(__xludf.DUMMYFUNCTION("""COMPUTED_VALUE"""),"DOBKILWC0635055")</f>
        <v>DOBKILWC0635055</v>
      </c>
      <c r="B1411" t="s">
        <v>11818</v>
      </c>
      <c r="C1411" s="663" t="s">
        <v>11843</v>
      </c>
      <c r="D1411" s="905" t="s">
        <v>11846</v>
      </c>
    </row>
    <row r="1412" spans="1:4" ht="16.5">
      <c r="A1412" s="587" t="str">
        <f ca="1">IFERROR(__xludf.DUMMYFUNCTION("""COMPUTED_VALUE"""),"DOLWC650055")</f>
        <v>DOLWC650055</v>
      </c>
      <c r="B1412" t="s">
        <v>11818</v>
      </c>
      <c r="C1412" s="663" t="s">
        <v>11843</v>
      </c>
      <c r="D1412" s="905" t="s">
        <v>11846</v>
      </c>
    </row>
    <row r="1413" spans="1:4" ht="16.5">
      <c r="A1413" s="581" t="str">
        <f ca="1">IFERROR(__xludf.DUMMYFUNCTION("""COMPUTED_VALUE"""),"LWC0635055")</f>
        <v>LWC0635055</v>
      </c>
      <c r="B1413" t="s">
        <v>11818</v>
      </c>
      <c r="C1413" s="663" t="s">
        <v>11843</v>
      </c>
      <c r="D1413" s="905" t="s">
        <v>11846</v>
      </c>
    </row>
    <row r="1414" spans="1:4" ht="16.5">
      <c r="A1414" s="587" t="str">
        <f ca="1">IFERROR(__xludf.DUMMYFUNCTION("""COMPUTED_VALUE"""),"LWC0635056")</f>
        <v>LWC0635056</v>
      </c>
      <c r="B1414" t="s">
        <v>11818</v>
      </c>
      <c r="C1414" s="663" t="s">
        <v>11843</v>
      </c>
      <c r="D1414" s="905" t="s">
        <v>11846</v>
      </c>
    </row>
    <row r="1415" spans="1:4" ht="16.5">
      <c r="A1415" s="581" t="str">
        <f ca="1">IFERROR(__xludf.DUMMYFUNCTION("""COMPUTED_VALUE"""),"DOLWC063506")</f>
        <v>DOLWC063506</v>
      </c>
      <c r="B1415" t="s">
        <v>11818</v>
      </c>
      <c r="C1415" s="663" t="s">
        <v>11843</v>
      </c>
      <c r="D1415" s="905" t="s">
        <v>11846</v>
      </c>
    </row>
    <row r="1416" spans="1:4" ht="16.5">
      <c r="A1416" s="587" t="str">
        <f ca="1">IFERROR(__xludf.DUMMYFUNCTION("""COMPUTED_VALUE"""),"DOBKILWC0635061")</f>
        <v>DOBKILWC0635061</v>
      </c>
      <c r="B1416" t="s">
        <v>11818</v>
      </c>
      <c r="C1416" s="663" t="s">
        <v>11843</v>
      </c>
      <c r="D1416" s="905" t="s">
        <v>11846</v>
      </c>
    </row>
    <row r="1417" spans="1:4" ht="16.5">
      <c r="A1417" s="581" t="str">
        <f ca="1">IFERROR(__xludf.DUMMYFUNCTION("""COMPUTED_VALUE"""),"DOLWC0635061")</f>
        <v>DOLWC0635061</v>
      </c>
      <c r="B1417" t="s">
        <v>11818</v>
      </c>
      <c r="C1417" s="663" t="s">
        <v>11843</v>
      </c>
      <c r="D1417" s="905" t="s">
        <v>11846</v>
      </c>
    </row>
    <row r="1418" spans="1:4" ht="16.5">
      <c r="A1418" s="587" t="str">
        <f ca="1">IFERROR(__xludf.DUMMYFUNCTION("""COMPUTED_VALUE"""),"DOBKILWC0635065")</f>
        <v>DOBKILWC0635065</v>
      </c>
      <c r="B1418" t="s">
        <v>11818</v>
      </c>
      <c r="C1418" s="663" t="s">
        <v>11843</v>
      </c>
      <c r="D1418" s="905" t="s">
        <v>11846</v>
      </c>
    </row>
    <row r="1419" spans="1:4" ht="16.5">
      <c r="A1419" s="581" t="str">
        <f ca="1">IFERROR(__xludf.DUMMYFUNCTION("""COMPUTED_VALUE"""),"DOLWC0635065")</f>
        <v>DOLWC0635065</v>
      </c>
      <c r="B1419" t="s">
        <v>11818</v>
      </c>
      <c r="C1419" s="663" t="s">
        <v>11843</v>
      </c>
      <c r="D1419" s="905" t="s">
        <v>11846</v>
      </c>
    </row>
    <row r="1420" spans="1:4" ht="16.5">
      <c r="A1420" s="587" t="str">
        <f ca="1">IFERROR(__xludf.DUMMYFUNCTION("""COMPUTED_VALUE"""),"DOBKILWC635071")</f>
        <v>DOBKILWC635071</v>
      </c>
      <c r="B1420" t="s">
        <v>11818</v>
      </c>
      <c r="C1420" s="663" t="s">
        <v>11843</v>
      </c>
      <c r="D1420" s="905" t="s">
        <v>11846</v>
      </c>
    </row>
    <row r="1421" spans="1:4" ht="16.5">
      <c r="A1421" s="581" t="str">
        <f ca="1">IFERROR(__xludf.DUMMYFUNCTION("""COMPUTED_VALUE"""),"DOLWC0635071")</f>
        <v>DOLWC0635071</v>
      </c>
      <c r="B1421" t="s">
        <v>11818</v>
      </c>
      <c r="C1421" s="663" t="s">
        <v>11843</v>
      </c>
      <c r="D1421" s="905" t="s">
        <v>11846</v>
      </c>
    </row>
    <row r="1422" spans="1:4" ht="16.5">
      <c r="A1422" s="587" t="str">
        <f ca="1">IFERROR(__xludf.DUMMYFUNCTION("""COMPUTED_VALUE"""),"DOBKILWC635075")</f>
        <v>DOBKILWC635075</v>
      </c>
      <c r="B1422" t="s">
        <v>11818</v>
      </c>
      <c r="C1422" s="663" t="s">
        <v>11843</v>
      </c>
      <c r="D1422" s="905" t="s">
        <v>11846</v>
      </c>
    </row>
    <row r="1423" spans="1:4" ht="16.5">
      <c r="A1423" s="581" t="str">
        <f ca="1">IFERROR(__xludf.DUMMYFUNCTION("""COMPUTED_VALUE"""),"DOLWC0635076")</f>
        <v>DOLWC0635076</v>
      </c>
      <c r="B1423" t="s">
        <v>11818</v>
      </c>
      <c r="C1423" s="663" t="s">
        <v>11843</v>
      </c>
      <c r="D1423" s="905" t="s">
        <v>11846</v>
      </c>
    </row>
    <row r="1424" spans="1:4" ht="16.5">
      <c r="A1424" s="587" t="str">
        <f ca="1">IFERROR(__xludf.DUMMYFUNCTION("""COMPUTED_VALUE"""),"DOLWC635081")</f>
        <v>DOLWC635081</v>
      </c>
      <c r="B1424" t="s">
        <v>11818</v>
      </c>
      <c r="C1424" s="663" t="s">
        <v>11843</v>
      </c>
      <c r="D1424" s="905" t="s">
        <v>11846</v>
      </c>
    </row>
    <row r="1425" spans="1:4" ht="16.5">
      <c r="A1425" s="581" t="str">
        <f ca="1">IFERROR(__xludf.DUMMYFUNCTION("""COMPUTED_VALUE"""),"DOLWC06506")</f>
        <v>DOLWC06506</v>
      </c>
      <c r="B1425" t="s">
        <v>11818</v>
      </c>
      <c r="C1425" s="663" t="s">
        <v>11843</v>
      </c>
      <c r="D1425" s="905" t="s">
        <v>11846</v>
      </c>
    </row>
    <row r="1426" spans="1:4" ht="16.5">
      <c r="A1426" s="587" t="str">
        <f ca="1">IFERROR(__xludf.DUMMYFUNCTION("""COMPUTED_VALUE"""),"DOLWC0794061")</f>
        <v>DOLWC0794061</v>
      </c>
      <c r="B1426" t="s">
        <v>11818</v>
      </c>
      <c r="C1426" s="663" t="s">
        <v>11843</v>
      </c>
      <c r="D1426" s="905" t="s">
        <v>11846</v>
      </c>
    </row>
    <row r="1427" spans="1:4" ht="16.5">
      <c r="A1427" s="581" t="str">
        <f ca="1">IFERROR(__xludf.DUMMYFUNCTION("""COMPUTED_VALUE"""),"DOLWC080010")</f>
        <v>DOLWC080010</v>
      </c>
      <c r="B1427" t="s">
        <v>11818</v>
      </c>
      <c r="C1427" s="663" t="s">
        <v>11843</v>
      </c>
      <c r="D1427" s="905" t="s">
        <v>11846</v>
      </c>
    </row>
    <row r="1428" spans="1:4" ht="16.5">
      <c r="A1428" s="587" t="str">
        <f ca="1">IFERROR(__xludf.DUMMYFUNCTION("""COMPUTED_VALUE"""),"DOLWC0952035")</f>
        <v>DOLWC0952035</v>
      </c>
      <c r="B1428" t="s">
        <v>11818</v>
      </c>
      <c r="C1428" s="663" t="s">
        <v>11843</v>
      </c>
      <c r="D1428" s="905" t="s">
        <v>11846</v>
      </c>
    </row>
    <row r="1429" spans="1:4" ht="16.5">
      <c r="A1429" s="581" t="str">
        <f ca="1">IFERROR(__xludf.DUMMYFUNCTION("""COMPUTED_VALUE"""),"DOLWC952035")</f>
        <v>DOLWC952035</v>
      </c>
      <c r="B1429" t="s">
        <v>11818</v>
      </c>
      <c r="C1429" s="663" t="s">
        <v>11843</v>
      </c>
      <c r="D1429" s="905" t="s">
        <v>11846</v>
      </c>
    </row>
    <row r="1430" spans="1:4" ht="16.5">
      <c r="A1430" s="587" t="str">
        <f ca="1">IFERROR(__xludf.DUMMYFUNCTION("""COMPUTED_VALUE"""),"DOLWC0952041")</f>
        <v>DOLWC0952041</v>
      </c>
      <c r="B1430" t="s">
        <v>11818</v>
      </c>
      <c r="C1430" s="663" t="s">
        <v>11843</v>
      </c>
      <c r="D1430" s="905" t="s">
        <v>11846</v>
      </c>
    </row>
    <row r="1431" spans="1:4" ht="16.5">
      <c r="A1431" s="581" t="str">
        <f ca="1">IFERROR(__xludf.DUMMYFUNCTION("""COMPUTED_VALUE"""),"DOLWC0952050")</f>
        <v>DOLWC0952050</v>
      </c>
      <c r="B1431" t="s">
        <v>11818</v>
      </c>
      <c r="C1431" s="663" t="s">
        <v>11843</v>
      </c>
      <c r="D1431" s="905" t="s">
        <v>11846</v>
      </c>
    </row>
    <row r="1432" spans="1:4" ht="16.5">
      <c r="A1432" s="587" t="str">
        <f ca="1">IFERROR(__xludf.DUMMYFUNCTION("""COMPUTED_VALUE"""),"DOLWC0952051")</f>
        <v>DOLWC0952051</v>
      </c>
      <c r="B1432" t="s">
        <v>11818</v>
      </c>
      <c r="C1432" s="663" t="s">
        <v>11843</v>
      </c>
      <c r="D1432" s="905" t="s">
        <v>11846</v>
      </c>
    </row>
    <row r="1433" spans="1:4" ht="16.5">
      <c r="A1433" s="581" t="str">
        <f ca="1">IFERROR(__xludf.DUMMYFUNCTION("""COMPUTED_VALUE"""),"DOBKILWC0952055")</f>
        <v>DOBKILWC0952055</v>
      </c>
      <c r="B1433" t="s">
        <v>11818</v>
      </c>
      <c r="C1433" s="663" t="s">
        <v>11843</v>
      </c>
      <c r="D1433" s="905" t="s">
        <v>11846</v>
      </c>
    </row>
    <row r="1434" spans="1:4" ht="16.5">
      <c r="A1434" s="587" t="str">
        <f ca="1">IFERROR(__xludf.DUMMYFUNCTION("""COMPUTED_VALUE"""),"LWC0952055")</f>
        <v>LWC0952055</v>
      </c>
      <c r="B1434" t="s">
        <v>11818</v>
      </c>
      <c r="C1434" s="663" t="s">
        <v>11843</v>
      </c>
      <c r="D1434" s="905" t="s">
        <v>11846</v>
      </c>
    </row>
    <row r="1435" spans="1:4" ht="16.5">
      <c r="A1435" s="581" t="str">
        <f ca="1">IFERROR(__xludf.DUMMYFUNCTION("""COMPUTED_VALUE"""),"LWC0952056")</f>
        <v>LWC0952056</v>
      </c>
      <c r="B1435" t="s">
        <v>11818</v>
      </c>
      <c r="C1435" s="663" t="s">
        <v>11843</v>
      </c>
      <c r="D1435" s="905" t="s">
        <v>11846</v>
      </c>
    </row>
    <row r="1436" spans="1:4" ht="16.5">
      <c r="A1436" s="587" t="str">
        <f ca="1">IFERROR(__xludf.DUMMYFUNCTION("""COMPUTED_VALUE"""),"DOLWC0952060")</f>
        <v>DOLWC0952060</v>
      </c>
      <c r="B1436" t="s">
        <v>11818</v>
      </c>
      <c r="C1436" s="663" t="s">
        <v>11843</v>
      </c>
      <c r="D1436" s="905" t="s">
        <v>11846</v>
      </c>
    </row>
    <row r="1437" spans="1:4" ht="16.5">
      <c r="A1437" s="581" t="str">
        <f ca="1">IFERROR(__xludf.DUMMYFUNCTION("""COMPUTED_VALUE"""),"LWC0952060")</f>
        <v>LWC0952060</v>
      </c>
      <c r="B1437" t="s">
        <v>11818</v>
      </c>
      <c r="C1437" s="663" t="s">
        <v>11843</v>
      </c>
      <c r="D1437" s="905" t="s">
        <v>11846</v>
      </c>
    </row>
    <row r="1438" spans="1:4" ht="16.5">
      <c r="A1438" s="587" t="str">
        <f ca="1">IFERROR(__xludf.DUMMYFUNCTION("""COMPUTED_VALUE"""),"DOBKILWC0952061")</f>
        <v>DOBKILWC0952061</v>
      </c>
      <c r="B1438" t="s">
        <v>11818</v>
      </c>
      <c r="C1438" s="663" t="s">
        <v>11843</v>
      </c>
      <c r="D1438" s="905" t="s">
        <v>11846</v>
      </c>
    </row>
    <row r="1439" spans="1:4" ht="16.5">
      <c r="A1439" s="581" t="str">
        <f ca="1">IFERROR(__xludf.DUMMYFUNCTION("""COMPUTED_VALUE"""),"LWC0952061")</f>
        <v>LWC0952061</v>
      </c>
      <c r="B1439" t="s">
        <v>11818</v>
      </c>
      <c r="C1439" s="663" t="s">
        <v>11843</v>
      </c>
      <c r="D1439" s="905" t="s">
        <v>11846</v>
      </c>
    </row>
    <row r="1440" spans="1:4" ht="16.5">
      <c r="A1440" s="587" t="str">
        <f ca="1">IFERROR(__xludf.DUMMYFUNCTION("""COMPUTED_VALUE"""),"DOBKILWC0952065")</f>
        <v>DOBKILWC0952065</v>
      </c>
      <c r="B1440" t="s">
        <v>11818</v>
      </c>
      <c r="C1440" s="663" t="s">
        <v>11843</v>
      </c>
      <c r="D1440" s="905" t="s">
        <v>11846</v>
      </c>
    </row>
    <row r="1441" spans="1:4" ht="16.5">
      <c r="A1441" s="581" t="str">
        <f ca="1">IFERROR(__xludf.DUMMYFUNCTION("""COMPUTED_VALUE"""),"DOLWC0952065")</f>
        <v>DOLWC0952065</v>
      </c>
      <c r="B1441" t="s">
        <v>11818</v>
      </c>
      <c r="C1441" s="663" t="s">
        <v>11843</v>
      </c>
      <c r="D1441" s="905" t="s">
        <v>11846</v>
      </c>
    </row>
    <row r="1442" spans="1:4" ht="16.5">
      <c r="A1442" s="587" t="str">
        <f ca="1">IFERROR(__xludf.DUMMYFUNCTION("""COMPUTED_VALUE"""),"DOLWC952070")</f>
        <v>DOLWC952070</v>
      </c>
      <c r="B1442" t="s">
        <v>11818</v>
      </c>
      <c r="C1442" s="663" t="s">
        <v>11843</v>
      </c>
      <c r="D1442" s="905" t="s">
        <v>11846</v>
      </c>
    </row>
    <row r="1443" spans="1:4" ht="16.5">
      <c r="A1443" s="581" t="str">
        <f ca="1">IFERROR(__xludf.DUMMYFUNCTION("""COMPUTED_VALUE"""),"DOBKILWC952071")</f>
        <v>DOBKILWC952071</v>
      </c>
      <c r="B1443" t="s">
        <v>11818</v>
      </c>
      <c r="C1443" s="663" t="s">
        <v>11843</v>
      </c>
      <c r="D1443" s="905" t="s">
        <v>11846</v>
      </c>
    </row>
    <row r="1444" spans="1:4" ht="16.5">
      <c r="A1444" s="587" t="str">
        <f ca="1">IFERROR(__xludf.DUMMYFUNCTION("""COMPUTED_VALUE"""),"DOLWC0952071")</f>
        <v>DOLWC0952071</v>
      </c>
      <c r="B1444" t="s">
        <v>11818</v>
      </c>
      <c r="C1444" s="663" t="s">
        <v>11843</v>
      </c>
      <c r="D1444" s="905" t="s">
        <v>11846</v>
      </c>
    </row>
    <row r="1445" spans="1:4" ht="16.5">
      <c r="A1445" s="581" t="str">
        <f ca="1">IFERROR(__xludf.DUMMYFUNCTION("""COMPUTED_VALUE"""),"DOBKILWC952075")</f>
        <v>DOBKILWC952075</v>
      </c>
      <c r="B1445" t="s">
        <v>11818</v>
      </c>
      <c r="C1445" s="663" t="s">
        <v>11843</v>
      </c>
      <c r="D1445" s="905" t="s">
        <v>11846</v>
      </c>
    </row>
    <row r="1446" spans="1:4" ht="16.5">
      <c r="A1446" s="587" t="str">
        <f ca="1">IFERROR(__xludf.DUMMYFUNCTION("""COMPUTED_VALUE"""),"DOLWC952080")</f>
        <v>DOLWC952080</v>
      </c>
      <c r="B1446" t="s">
        <v>11818</v>
      </c>
      <c r="C1446" s="663" t="s">
        <v>11843</v>
      </c>
      <c r="D1446" s="905" t="s">
        <v>11846</v>
      </c>
    </row>
    <row r="1447" spans="1:4" ht="16.5">
      <c r="A1447" s="581" t="str">
        <f ca="1">IFERROR(__xludf.DUMMYFUNCTION("""COMPUTED_VALUE"""),"DOBKILWC952081")</f>
        <v>DOBKILWC952081</v>
      </c>
      <c r="B1447" t="s">
        <v>11818</v>
      </c>
      <c r="C1447" s="663" t="s">
        <v>11843</v>
      </c>
      <c r="D1447" s="905" t="s">
        <v>11846</v>
      </c>
    </row>
    <row r="1448" spans="1:4" ht="16.5">
      <c r="A1448" s="587" t="str">
        <f ca="1">IFERROR(__xludf.DUMMYFUNCTION("""COMPUTED_VALUE"""),"DOLWC952081")</f>
        <v>DOLWC952081</v>
      </c>
      <c r="B1448" t="s">
        <v>11818</v>
      </c>
      <c r="C1448" s="663" t="s">
        <v>11843</v>
      </c>
      <c r="D1448" s="905" t="s">
        <v>11846</v>
      </c>
    </row>
    <row r="1449" spans="1:4" ht="16.5">
      <c r="A1449" s="581" t="str">
        <f ca="1">IFERROR(__xludf.DUMMYFUNCTION("""COMPUTED_VALUE"""),"LWC0952091")</f>
        <v>LWC0952091</v>
      </c>
      <c r="B1449" t="s">
        <v>11818</v>
      </c>
      <c r="C1449" s="663" t="s">
        <v>11843</v>
      </c>
      <c r="D1449" s="905" t="s">
        <v>11846</v>
      </c>
    </row>
    <row r="1450" spans="1:4" ht="16.5">
      <c r="A1450" s="587" t="str">
        <f ca="1">IFERROR(__xludf.DUMMYFUNCTION("""COMPUTED_VALUE"""),"LWC1000100")</f>
        <v>LWC1000100</v>
      </c>
      <c r="B1450" t="s">
        <v>11818</v>
      </c>
      <c r="C1450" s="663" t="s">
        <v>11843</v>
      </c>
      <c r="D1450" s="905" t="s">
        <v>11846</v>
      </c>
    </row>
    <row r="1451" spans="1:4" ht="16.5">
      <c r="A1451" s="581" t="str">
        <f ca="1">IFERROR(__xludf.DUMMYFUNCTION("""COMPUTED_VALUE"""),"DOLWC1000150")</f>
        <v>DOLWC1000150</v>
      </c>
      <c r="B1451" t="s">
        <v>11818</v>
      </c>
      <c r="C1451" s="663" t="s">
        <v>11843</v>
      </c>
      <c r="D1451" s="905" t="s">
        <v>11846</v>
      </c>
    </row>
    <row r="1452" spans="1:4" ht="16.5">
      <c r="A1452" s="587" t="str">
        <f ca="1">IFERROR(__xludf.DUMMYFUNCTION("""COMPUTED_VALUE"""),"DOLWC12.7055")</f>
        <v>DOLWC12.7055</v>
      </c>
      <c r="B1452" t="s">
        <v>11818</v>
      </c>
      <c r="C1452" s="663" t="s">
        <v>11843</v>
      </c>
      <c r="D1452" s="905" t="s">
        <v>11846</v>
      </c>
    </row>
    <row r="1453" spans="1:4" ht="16.5">
      <c r="A1453" s="581" t="str">
        <f ca="1">IFERROR(__xludf.DUMMYFUNCTION("""COMPUTED_VALUE"""),"DOLWC12.7060")</f>
        <v>DOLWC12.7060</v>
      </c>
      <c r="B1453" t="s">
        <v>11818</v>
      </c>
      <c r="C1453" s="663" t="s">
        <v>11843</v>
      </c>
      <c r="D1453" s="905" t="s">
        <v>11846</v>
      </c>
    </row>
    <row r="1454" spans="1:4" ht="16.5">
      <c r="A1454" s="587" t="str">
        <f ca="1">IFERROR(__xludf.DUMMYFUNCTION("""COMPUTED_VALUE"""),"DOLWC127050")</f>
        <v>DOLWC127050</v>
      </c>
      <c r="B1454" t="s">
        <v>11818</v>
      </c>
      <c r="C1454" s="663" t="s">
        <v>11843</v>
      </c>
      <c r="D1454" s="905" t="s">
        <v>11846</v>
      </c>
    </row>
    <row r="1455" spans="1:4" ht="16.5">
      <c r="A1455" s="581" t="str">
        <f ca="1">IFERROR(__xludf.DUMMYFUNCTION("""COMPUTED_VALUE"""),"DOLWC1270061")</f>
        <v>DOLWC1270061</v>
      </c>
      <c r="B1455" t="s">
        <v>11818</v>
      </c>
      <c r="C1455" s="663" t="s">
        <v>11843</v>
      </c>
      <c r="D1455" s="905" t="s">
        <v>11846</v>
      </c>
    </row>
    <row r="1456" spans="1:4" ht="16.5">
      <c r="A1456" s="587" t="str">
        <f ca="1">IFERROR(__xludf.DUMMYFUNCTION("""COMPUTED_VALUE"""),"DOBKILWC1270061")</f>
        <v>DOBKILWC1270061</v>
      </c>
      <c r="B1456" t="s">
        <v>11818</v>
      </c>
      <c r="C1456" s="663" t="s">
        <v>11843</v>
      </c>
      <c r="D1456" s="905" t="s">
        <v>11846</v>
      </c>
    </row>
    <row r="1457" spans="1:4" ht="16.5">
      <c r="A1457" s="581" t="str">
        <f ca="1">IFERROR(__xludf.DUMMYFUNCTION("""COMPUTED_VALUE"""),"DOBKILWC1270065")</f>
        <v>DOBKILWC1270065</v>
      </c>
      <c r="B1457" t="s">
        <v>11818</v>
      </c>
      <c r="C1457" s="663" t="s">
        <v>11843</v>
      </c>
      <c r="D1457" s="905" t="s">
        <v>11846</v>
      </c>
    </row>
    <row r="1458" spans="1:4" ht="16.5">
      <c r="A1458" s="587" t="str">
        <f ca="1">IFERROR(__xludf.DUMMYFUNCTION("""COMPUTED_VALUE"""),"DOLWC1270065")</f>
        <v>DOLWC1270065</v>
      </c>
      <c r="B1458" t="s">
        <v>11818</v>
      </c>
      <c r="C1458" s="663" t="s">
        <v>11843</v>
      </c>
      <c r="D1458" s="905" t="s">
        <v>11846</v>
      </c>
    </row>
    <row r="1459" spans="1:4" ht="16.5">
      <c r="A1459" s="581" t="str">
        <f ca="1">IFERROR(__xludf.DUMMYFUNCTION("""COMPUTED_VALUE"""),"DOLWC1270066")</f>
        <v>DOLWC1270066</v>
      </c>
      <c r="B1459" t="s">
        <v>11818</v>
      </c>
      <c r="C1459" s="663" t="s">
        <v>11843</v>
      </c>
      <c r="D1459" s="905" t="s">
        <v>11846</v>
      </c>
    </row>
    <row r="1460" spans="1:4" ht="16.5">
      <c r="A1460" s="587" t="str">
        <f ca="1">IFERROR(__xludf.DUMMYFUNCTION("""COMPUTED_VALUE"""),"DOLWC127070")</f>
        <v>DOLWC127070</v>
      </c>
      <c r="B1460" t="s">
        <v>11818</v>
      </c>
      <c r="C1460" s="663" t="s">
        <v>11843</v>
      </c>
      <c r="D1460" s="905" t="s">
        <v>11846</v>
      </c>
    </row>
    <row r="1461" spans="1:4" ht="16.5">
      <c r="A1461" s="581" t="str">
        <f ca="1">IFERROR(__xludf.DUMMYFUNCTION("""COMPUTED_VALUE"""),"DOBKILWC1270071")</f>
        <v>DOBKILWC1270071</v>
      </c>
      <c r="B1461" t="s">
        <v>11818</v>
      </c>
      <c r="C1461" s="663" t="s">
        <v>11843</v>
      </c>
      <c r="D1461" s="905" t="s">
        <v>11846</v>
      </c>
    </row>
    <row r="1462" spans="1:4" ht="16.5">
      <c r="A1462" s="587" t="str">
        <f ca="1">IFERROR(__xludf.DUMMYFUNCTION("""COMPUTED_VALUE"""),"DOLWC127071")</f>
        <v>DOLWC127071</v>
      </c>
      <c r="B1462" t="s">
        <v>11818</v>
      </c>
      <c r="C1462" s="663" t="s">
        <v>11843</v>
      </c>
      <c r="D1462" s="905" t="s">
        <v>11846</v>
      </c>
    </row>
    <row r="1463" spans="1:4" ht="16.5">
      <c r="A1463" s="581" t="str">
        <f ca="1">IFERROR(__xludf.DUMMYFUNCTION("""COMPUTED_VALUE"""),"DOBKILWC1270081")</f>
        <v>DOBKILWC1270081</v>
      </c>
      <c r="B1463" t="s">
        <v>11818</v>
      </c>
      <c r="C1463" s="663" t="s">
        <v>11843</v>
      </c>
      <c r="D1463" s="905" t="s">
        <v>11846</v>
      </c>
    </row>
    <row r="1464" spans="1:4" ht="16.5">
      <c r="A1464" s="587" t="str">
        <f ca="1">IFERROR(__xludf.DUMMYFUNCTION("""COMPUTED_VALUE"""),"DOLWC127081")</f>
        <v>DOLWC127081</v>
      </c>
      <c r="B1464" t="s">
        <v>11818</v>
      </c>
      <c r="C1464" s="663" t="s">
        <v>11843</v>
      </c>
      <c r="D1464" s="905" t="s">
        <v>11846</v>
      </c>
    </row>
    <row r="1465" spans="1:4" ht="16.5">
      <c r="A1465" s="581" t="str">
        <f ca="1">IFERROR(__xludf.DUMMYFUNCTION("""COMPUTED_VALUE"""),"DOLWC1588050")</f>
        <v>DOLWC1588050</v>
      </c>
      <c r="B1465" t="s">
        <v>11818</v>
      </c>
      <c r="C1465" s="663" t="s">
        <v>11843</v>
      </c>
      <c r="D1465" s="905" t="s">
        <v>11846</v>
      </c>
    </row>
    <row r="1466" spans="1:4" ht="16.5">
      <c r="A1466" s="587" t="str">
        <f ca="1">IFERROR(__xludf.DUMMYFUNCTION("""COMPUTED_VALUE"""),"DOLWC1588051")</f>
        <v>DOLWC1588051</v>
      </c>
      <c r="B1466" t="s">
        <v>11818</v>
      </c>
      <c r="C1466" s="663" t="s">
        <v>11843</v>
      </c>
      <c r="D1466" s="905" t="s">
        <v>11846</v>
      </c>
    </row>
    <row r="1467" spans="1:4" ht="16.5">
      <c r="A1467" s="581" t="str">
        <f ca="1">IFERROR(__xludf.DUMMYFUNCTION("""COMPUTED_VALUE"""),"DOLWC1588070")</f>
        <v>DOLWC1588070</v>
      </c>
      <c r="B1467" t="s">
        <v>11818</v>
      </c>
      <c r="C1467" s="663" t="s">
        <v>11843</v>
      </c>
      <c r="D1467" s="905" t="s">
        <v>11846</v>
      </c>
    </row>
    <row r="1468" spans="1:4" ht="16.5">
      <c r="A1468" s="587" t="str">
        <f ca="1">IFERROR(__xludf.DUMMYFUNCTION("""COMPUTED_VALUE"""),"DOBKILWC1588075")</f>
        <v>DOBKILWC1588075</v>
      </c>
      <c r="B1468" t="s">
        <v>11818</v>
      </c>
      <c r="C1468" s="663" t="s">
        <v>11843</v>
      </c>
      <c r="D1468" s="905" t="s">
        <v>11846</v>
      </c>
    </row>
    <row r="1469" spans="1:4" ht="16.5">
      <c r="A1469" s="581" t="str">
        <f ca="1">IFERROR(__xludf.DUMMYFUNCTION("""COMPUTED_VALUE"""),"DOBKILWC1588081")</f>
        <v>DOBKILWC1588081</v>
      </c>
      <c r="B1469" t="s">
        <v>11818</v>
      </c>
      <c r="C1469" s="663" t="s">
        <v>11843</v>
      </c>
      <c r="D1469" s="905" t="s">
        <v>11846</v>
      </c>
    </row>
    <row r="1470" spans="1:4" ht="16.5">
      <c r="A1470" s="587" t="str">
        <f ca="1">IFERROR(__xludf.DUMMYFUNCTION("""COMPUTED_VALUE"""),"LWC1588081")</f>
        <v>LWC1588081</v>
      </c>
      <c r="B1470" t="s">
        <v>11818</v>
      </c>
      <c r="C1470" s="663" t="s">
        <v>11843</v>
      </c>
      <c r="D1470" s="905" t="s">
        <v>11846</v>
      </c>
    </row>
    <row r="1471" spans="1:4" ht="16.5">
      <c r="A1471" s="581" t="str">
        <f ca="1">IFERROR(__xludf.DUMMYFUNCTION("""COMPUTED_VALUE"""),"LWC1588089")</f>
        <v>LWC1588089</v>
      </c>
      <c r="B1471" t="s">
        <v>11818</v>
      </c>
      <c r="C1471" s="663" t="s">
        <v>11843</v>
      </c>
      <c r="D1471" s="905" t="s">
        <v>11846</v>
      </c>
    </row>
    <row r="1472" spans="1:4" ht="16.5">
      <c r="A1472" s="587" t="str">
        <f ca="1">IFERROR(__xludf.DUMMYFUNCTION("""COMPUTED_VALUE"""),"LWC1588091")</f>
        <v>LWC1588091</v>
      </c>
      <c r="B1472" t="s">
        <v>11818</v>
      </c>
      <c r="C1472" s="663" t="s">
        <v>11843</v>
      </c>
      <c r="D1472" s="905" t="s">
        <v>11846</v>
      </c>
    </row>
    <row r="1473" spans="1:4" ht="16.5">
      <c r="A1473" s="581" t="str">
        <f ca="1">IFERROR(__xludf.DUMMYFUNCTION("""COMPUTED_VALUE"""),"LWC158810")</f>
        <v>LWC158810</v>
      </c>
      <c r="B1473" t="s">
        <v>11818</v>
      </c>
      <c r="C1473" s="663" t="s">
        <v>11843</v>
      </c>
      <c r="D1473" s="905" t="s">
        <v>11846</v>
      </c>
    </row>
    <row r="1474" spans="1:4" ht="16.5">
      <c r="A1474" s="587" t="str">
        <f ca="1">IFERROR(__xludf.DUMMYFUNCTION("""COMPUTED_VALUE"""),"LWC1588102")</f>
        <v>LWC1588102</v>
      </c>
      <c r="B1474" t="s">
        <v>11818</v>
      </c>
      <c r="C1474" s="663" t="s">
        <v>11843</v>
      </c>
      <c r="D1474" s="905" t="s">
        <v>11846</v>
      </c>
    </row>
    <row r="1475" spans="1:4" ht="16.5">
      <c r="A1475" s="581" t="str">
        <f ca="1">IFERROR(__xludf.DUMMYFUNCTION("""COMPUTED_VALUE"""),"DOLWC1905070")</f>
        <v>DOLWC1905070</v>
      </c>
      <c r="B1475" t="s">
        <v>11818</v>
      </c>
      <c r="C1475" s="663" t="s">
        <v>11843</v>
      </c>
      <c r="D1475" s="905" t="s">
        <v>11846</v>
      </c>
    </row>
    <row r="1476" spans="1:4" ht="16.5">
      <c r="A1476" s="587" t="str">
        <f ca="1">IFERROR(__xludf.DUMMYFUNCTION("""COMPUTED_VALUE"""),"DOLWC1905x08")</f>
        <v>DOLWC1905x08</v>
      </c>
      <c r="B1476" t="s">
        <v>11818</v>
      </c>
      <c r="C1476" s="663" t="s">
        <v>11843</v>
      </c>
      <c r="D1476" s="905" t="s">
        <v>11846</v>
      </c>
    </row>
    <row r="1477" spans="1:4" ht="16.5">
      <c r="A1477" s="581" t="str">
        <f ca="1">IFERROR(__xludf.DUMMYFUNCTION("""COMPUTED_VALUE"""),"DOBKILWC1905081")</f>
        <v>DOBKILWC1905081</v>
      </c>
      <c r="B1477" t="s">
        <v>11818</v>
      </c>
      <c r="C1477" s="663" t="s">
        <v>11843</v>
      </c>
      <c r="D1477" s="905" t="s">
        <v>11846</v>
      </c>
    </row>
    <row r="1478" spans="1:4" ht="16.5">
      <c r="A1478" s="587" t="str">
        <f ca="1">IFERROR(__xludf.DUMMYFUNCTION("""COMPUTED_VALUE"""),"DOLWC1905100")</f>
        <v>DOLWC1905100</v>
      </c>
      <c r="B1478" t="s">
        <v>11818</v>
      </c>
      <c r="C1478" s="663" t="s">
        <v>11843</v>
      </c>
      <c r="D1478" s="905" t="s">
        <v>11846</v>
      </c>
    </row>
    <row r="1479" spans="1:4" ht="16.5">
      <c r="A1479" s="581" t="str">
        <f ca="1">IFERROR(__xludf.DUMMYFUNCTION("""COMPUTED_VALUE"""),"DOLWC1905102")</f>
        <v>DOLWC1905102</v>
      </c>
      <c r="B1479" t="s">
        <v>11818</v>
      </c>
      <c r="C1479" s="663" t="s">
        <v>11843</v>
      </c>
      <c r="D1479" s="905" t="s">
        <v>11846</v>
      </c>
    </row>
    <row r="1480" spans="1:4" ht="16.5">
      <c r="A1480" s="587" t="str">
        <f ca="1">IFERROR(__xludf.DUMMYFUNCTION("""COMPUTED_VALUE"""),"DOCRB0635056")</f>
        <v>DOCRB0635056</v>
      </c>
      <c r="B1480" t="s">
        <v>11818</v>
      </c>
      <c r="C1480" s="663" t="s">
        <v>11843</v>
      </c>
      <c r="D1480" s="905" t="s">
        <v>11846</v>
      </c>
    </row>
    <row r="1481" spans="1:4" ht="16.5">
      <c r="A1481" s="581" t="str">
        <f ca="1">IFERROR(__xludf.DUMMYFUNCTION("""COMPUTED_VALUE"""),"DOCRB0635061")</f>
        <v>DOCRB0635061</v>
      </c>
      <c r="B1481" t="s">
        <v>11818</v>
      </c>
      <c r="C1481" s="663" t="s">
        <v>11843</v>
      </c>
      <c r="D1481" s="905" t="s">
        <v>11846</v>
      </c>
    </row>
    <row r="1482" spans="1:4" ht="16.5">
      <c r="A1482" s="587" t="str">
        <f ca="1">IFERROR(__xludf.DUMMYFUNCTION("""COMPUTED_VALUE"""),"DOCRB0635071")</f>
        <v>DOCRB0635071</v>
      </c>
      <c r="B1482" t="s">
        <v>11818</v>
      </c>
      <c r="C1482" s="663" t="s">
        <v>11843</v>
      </c>
      <c r="D1482" s="905" t="s">
        <v>11846</v>
      </c>
    </row>
    <row r="1483" spans="1:4" ht="16.5">
      <c r="A1483" s="581" t="str">
        <f ca="1">IFERROR(__xludf.DUMMYFUNCTION("""COMPUTED_VALUE"""),"DOCRB063507150")</f>
        <v>DOCRB063507150</v>
      </c>
      <c r="B1483" t="s">
        <v>11818</v>
      </c>
      <c r="C1483" s="663" t="s">
        <v>11843</v>
      </c>
      <c r="D1483" s="905" t="s">
        <v>11846</v>
      </c>
    </row>
    <row r="1484" spans="1:4" ht="16.5">
      <c r="A1484" s="587" t="str">
        <f ca="1">IFERROR(__xludf.DUMMYFUNCTION("""COMPUTED_VALUE"""),"DOCRB0635072")</f>
        <v>DOCRB0635072</v>
      </c>
      <c r="B1484" t="s">
        <v>11818</v>
      </c>
      <c r="C1484" s="663" t="s">
        <v>11843</v>
      </c>
      <c r="D1484" s="905" t="s">
        <v>11846</v>
      </c>
    </row>
    <row r="1485" spans="1:4" ht="16.5">
      <c r="A1485" s="581" t="str">
        <f ca="1">IFERROR(__xludf.DUMMYFUNCTION("""COMPUTED_VALUE"""),"DOCRB0635081")</f>
        <v>DOCRB0635081</v>
      </c>
      <c r="B1485" t="s">
        <v>11818</v>
      </c>
      <c r="C1485" s="663" t="s">
        <v>11843</v>
      </c>
      <c r="D1485" s="905" t="s">
        <v>11846</v>
      </c>
    </row>
    <row r="1486" spans="1:4" ht="16.5">
      <c r="A1486" s="587" t="str">
        <f ca="1">IFERROR(__xludf.DUMMYFUNCTION("""COMPUTED_VALUE"""),"DOCRB063508150")</f>
        <v>DOCRB063508150</v>
      </c>
      <c r="B1486" t="s">
        <v>11818</v>
      </c>
      <c r="C1486" s="663" t="s">
        <v>11843</v>
      </c>
      <c r="D1486" s="905" t="s">
        <v>11846</v>
      </c>
    </row>
    <row r="1487" spans="1:4" ht="16.5">
      <c r="A1487" s="581" t="str">
        <f ca="1">IFERROR(__xludf.DUMMYFUNCTION("""COMPUTED_VALUE"""),"DOCRB0952061")</f>
        <v>DOCRB0952061</v>
      </c>
      <c r="B1487" t="s">
        <v>11818</v>
      </c>
      <c r="C1487" s="663" t="s">
        <v>11843</v>
      </c>
      <c r="D1487" s="905" t="s">
        <v>11846</v>
      </c>
    </row>
    <row r="1488" spans="1:4" ht="16.5">
      <c r="A1488" s="587" t="str">
        <f ca="1">IFERROR(__xludf.DUMMYFUNCTION("""COMPUTED_VALUE"""),"DOCRB0952071")</f>
        <v>DOCRB0952071</v>
      </c>
      <c r="B1488" t="s">
        <v>11818</v>
      </c>
      <c r="C1488" s="663" t="s">
        <v>11843</v>
      </c>
      <c r="D1488" s="905" t="s">
        <v>11846</v>
      </c>
    </row>
    <row r="1489" spans="1:4" ht="16.5">
      <c r="A1489" s="581" t="str">
        <f ca="1">IFERROR(__xludf.DUMMYFUNCTION("""COMPUTED_VALUE"""),"DOCRB095207150")</f>
        <v>DOCRB095207150</v>
      </c>
      <c r="B1489" t="s">
        <v>11818</v>
      </c>
      <c r="C1489" s="663" t="s">
        <v>11843</v>
      </c>
      <c r="D1489" s="905" t="s">
        <v>11846</v>
      </c>
    </row>
    <row r="1490" spans="1:4" ht="16.5">
      <c r="A1490" s="587" t="str">
        <f ca="1">IFERROR(__xludf.DUMMYFUNCTION("""COMPUTED_VALUE"""),"DOCRB0952072")</f>
        <v>DOCRB0952072</v>
      </c>
      <c r="B1490" t="s">
        <v>11818</v>
      </c>
      <c r="C1490" s="663" t="s">
        <v>11843</v>
      </c>
      <c r="D1490" s="905" t="s">
        <v>11846</v>
      </c>
    </row>
    <row r="1491" spans="1:4" ht="16.5">
      <c r="A1491" s="581" t="str">
        <f ca="1">IFERROR(__xludf.DUMMYFUNCTION("""COMPUTED_VALUE"""),"DOCRB0952081")</f>
        <v>DOCRB0952081</v>
      </c>
      <c r="B1491" t="s">
        <v>11818</v>
      </c>
      <c r="C1491" s="663" t="s">
        <v>11843</v>
      </c>
      <c r="D1491" s="905" t="s">
        <v>11846</v>
      </c>
    </row>
    <row r="1492" spans="1:4" ht="16.5">
      <c r="A1492" s="587" t="str">
        <f ca="1">IFERROR(__xludf.DUMMYFUNCTION("""COMPUTED_VALUE"""),"DOCRB095208150")</f>
        <v>DOCRB095208150</v>
      </c>
      <c r="B1492" t="s">
        <v>11818</v>
      </c>
      <c r="C1492" s="663" t="s">
        <v>11843</v>
      </c>
      <c r="D1492" s="905" t="s">
        <v>11846</v>
      </c>
    </row>
    <row r="1493" spans="1:4" ht="16.5">
      <c r="A1493" s="581" t="str">
        <f ca="1">IFERROR(__xludf.DUMMYFUNCTION("""COMPUTED_VALUE"""),"DOCRB1270055")</f>
        <v>DOCRB1270055</v>
      </c>
      <c r="B1493" t="s">
        <v>11818</v>
      </c>
      <c r="C1493" s="663" t="s">
        <v>11843</v>
      </c>
      <c r="D1493" s="905" t="s">
        <v>11846</v>
      </c>
    </row>
    <row r="1494" spans="1:4" ht="16.5">
      <c r="A1494" s="587" t="str">
        <f ca="1">IFERROR(__xludf.DUMMYFUNCTION("""COMPUTED_VALUE"""),"DOCRB1270061")</f>
        <v>DOCRB1270061</v>
      </c>
      <c r="B1494" t="s">
        <v>11818</v>
      </c>
      <c r="C1494" s="663" t="s">
        <v>11843</v>
      </c>
      <c r="D1494" s="905" t="s">
        <v>11846</v>
      </c>
    </row>
    <row r="1495" spans="1:4" ht="16.5">
      <c r="A1495" s="581" t="str">
        <f ca="1">IFERROR(__xludf.DUMMYFUNCTION("""COMPUTED_VALUE"""),"DOCRB1270071")</f>
        <v>DOCRB1270071</v>
      </c>
      <c r="B1495" t="s">
        <v>11818</v>
      </c>
      <c r="C1495" s="663" t="s">
        <v>11843</v>
      </c>
      <c r="D1495" s="905" t="s">
        <v>11846</v>
      </c>
    </row>
    <row r="1496" spans="1:4" ht="16.5">
      <c r="A1496" s="587" t="str">
        <f ca="1">IFERROR(__xludf.DUMMYFUNCTION("""COMPUTED_VALUE"""),"DOCRB1270072")</f>
        <v>DOCRB1270072</v>
      </c>
      <c r="B1496" t="s">
        <v>11818</v>
      </c>
      <c r="C1496" s="663" t="s">
        <v>11843</v>
      </c>
      <c r="D1496" s="905" t="s">
        <v>11846</v>
      </c>
    </row>
    <row r="1497" spans="1:4" ht="16.5">
      <c r="A1497" s="581" t="str">
        <f ca="1">IFERROR(__xludf.DUMMYFUNCTION("""COMPUTED_VALUE"""),"DOCRB1270081")</f>
        <v>DOCRB1270081</v>
      </c>
      <c r="B1497" t="s">
        <v>11818</v>
      </c>
      <c r="C1497" s="663" t="s">
        <v>11843</v>
      </c>
      <c r="D1497" s="905" t="s">
        <v>11846</v>
      </c>
    </row>
    <row r="1498" spans="1:4" ht="16.5">
      <c r="A1498" s="587" t="str">
        <f ca="1">IFERROR(__xludf.DUMMYFUNCTION("""COMPUTED_VALUE"""),"DOCRB127008150")</f>
        <v>DOCRB127008150</v>
      </c>
      <c r="B1498" t="s">
        <v>11818</v>
      </c>
      <c r="C1498" s="663" t="s">
        <v>11843</v>
      </c>
      <c r="D1498" s="905" t="s">
        <v>11846</v>
      </c>
    </row>
    <row r="1499" spans="1:4" ht="16.5">
      <c r="A1499" s="581" t="str">
        <f ca="1">IFERROR(__xludf.DUMMYFUNCTION("""COMPUTED_VALUE"""),"DOCRB1588071")</f>
        <v>DOCRB1588071</v>
      </c>
      <c r="B1499" t="s">
        <v>11818</v>
      </c>
      <c r="C1499" s="663" t="s">
        <v>11843</v>
      </c>
      <c r="D1499" s="905" t="s">
        <v>11846</v>
      </c>
    </row>
    <row r="1500" spans="1:4" ht="16.5">
      <c r="A1500" s="587" t="str">
        <f ca="1">IFERROR(__xludf.DUMMYFUNCTION("""COMPUTED_VALUE"""),"DOCRB1588072")</f>
        <v>DOCRB1588072</v>
      </c>
      <c r="B1500" t="s">
        <v>11818</v>
      </c>
      <c r="C1500" s="663" t="s">
        <v>11843</v>
      </c>
      <c r="D1500" s="905" t="s">
        <v>11846</v>
      </c>
    </row>
    <row r="1501" spans="1:4" ht="16.5">
      <c r="A1501" s="581" t="str">
        <f ca="1">IFERROR(__xludf.DUMMYFUNCTION("""COMPUTED_VALUE"""),"DOCRB1588081")</f>
        <v>DOCRB1588081</v>
      </c>
      <c r="B1501" t="s">
        <v>11818</v>
      </c>
      <c r="C1501" s="663" t="s">
        <v>11843</v>
      </c>
      <c r="D1501" s="905" t="s">
        <v>11846</v>
      </c>
    </row>
    <row r="1502" spans="1:4" ht="16.5">
      <c r="A1502" s="587" t="str">
        <f ca="1">IFERROR(__xludf.DUMMYFUNCTION("""COMPUTED_VALUE"""),"DOCRB1588089")</f>
        <v>DOCRB1588089</v>
      </c>
      <c r="B1502" t="s">
        <v>11818</v>
      </c>
      <c r="C1502" s="663" t="s">
        <v>11843</v>
      </c>
      <c r="D1502" s="905" t="s">
        <v>11846</v>
      </c>
    </row>
    <row r="1503" spans="1:4" ht="16.5">
      <c r="A1503" s="581" t="str">
        <f ca="1">IFERROR(__xludf.DUMMYFUNCTION("""COMPUTED_VALUE"""),"DOCRB158809150")</f>
        <v>DOCRB158809150</v>
      </c>
      <c r="B1503" t="s">
        <v>11818</v>
      </c>
      <c r="C1503" s="663" t="s">
        <v>11843</v>
      </c>
      <c r="D1503" s="905" t="s">
        <v>11846</v>
      </c>
    </row>
    <row r="1504" spans="1:4" ht="16.5">
      <c r="A1504" s="587" t="str">
        <f ca="1">IFERROR(__xludf.DUMMYFUNCTION("""COMPUTED_VALUE"""),"DOCRB1588100")</f>
        <v>DOCRB1588100</v>
      </c>
      <c r="B1504" t="s">
        <v>11818</v>
      </c>
      <c r="C1504" s="663" t="s">
        <v>11843</v>
      </c>
      <c r="D1504" s="905" t="s">
        <v>11846</v>
      </c>
    </row>
    <row r="1505" spans="1:4" ht="16.5">
      <c r="A1505" s="581" t="str">
        <f ca="1">IFERROR(__xludf.DUMMYFUNCTION("""COMPUTED_VALUE"""),"DOCRB1588102")</f>
        <v>DOCRB1588102</v>
      </c>
      <c r="B1505" t="s">
        <v>11818</v>
      </c>
      <c r="C1505" s="663" t="s">
        <v>11843</v>
      </c>
      <c r="D1505" s="905" t="s">
        <v>11846</v>
      </c>
    </row>
    <row r="1506" spans="1:4" ht="16.5">
      <c r="A1506" s="587" t="str">
        <f ca="1">IFERROR(__xludf.DUMMYFUNCTION("""COMPUTED_VALUE"""),"DOCRB158810250")</f>
        <v>DOCRB158810250</v>
      </c>
      <c r="B1506" t="s">
        <v>11818</v>
      </c>
      <c r="C1506" s="663" t="s">
        <v>11843</v>
      </c>
      <c r="D1506" s="905" t="s">
        <v>11846</v>
      </c>
    </row>
    <row r="1507" spans="1:4" ht="16.5">
      <c r="A1507" s="581" t="str">
        <f ca="1">IFERROR(__xludf.DUMMYFUNCTION("""COMPUTED_VALUE"""),"DOCRB1905071")</f>
        <v>DOCRB1905071</v>
      </c>
      <c r="B1507" t="s">
        <v>11818</v>
      </c>
      <c r="C1507" s="663" t="s">
        <v>11843</v>
      </c>
      <c r="D1507" s="905" t="s">
        <v>11846</v>
      </c>
    </row>
    <row r="1508" spans="1:4" ht="16.5">
      <c r="A1508" s="587" t="str">
        <f ca="1">IFERROR(__xludf.DUMMYFUNCTION("""COMPUTED_VALUE"""),"DOCRB1905072")</f>
        <v>DOCRB1905072</v>
      </c>
      <c r="B1508" t="s">
        <v>11818</v>
      </c>
      <c r="C1508" s="663" t="s">
        <v>11843</v>
      </c>
      <c r="D1508" s="905" t="s">
        <v>11846</v>
      </c>
    </row>
    <row r="1509" spans="1:4" ht="16.5">
      <c r="A1509" s="581" t="str">
        <f ca="1">IFERROR(__xludf.DUMMYFUNCTION("""COMPUTED_VALUE"""),"DOCRB1905081")</f>
        <v>DOCRB1905081</v>
      </c>
      <c r="B1509" t="s">
        <v>11818</v>
      </c>
      <c r="C1509" s="663" t="s">
        <v>11843</v>
      </c>
      <c r="D1509" s="905" t="s">
        <v>11846</v>
      </c>
    </row>
    <row r="1510" spans="1:4" ht="16.5">
      <c r="A1510" s="587" t="str">
        <f ca="1">IFERROR(__xludf.DUMMYFUNCTION("""COMPUTED_VALUE"""),"DODOCRB1905089")</f>
        <v>DODOCRB1905089</v>
      </c>
      <c r="B1510" t="s">
        <v>11818</v>
      </c>
      <c r="C1510" s="663" t="s">
        <v>11843</v>
      </c>
      <c r="D1510" s="905" t="s">
        <v>11846</v>
      </c>
    </row>
    <row r="1511" spans="1:4" ht="16.5">
      <c r="A1511" s="581" t="str">
        <f ca="1">IFERROR(__xludf.DUMMYFUNCTION("""COMPUTED_VALUE"""),"DOCRB1905100")</f>
        <v>DOCRB1905100</v>
      </c>
      <c r="B1511" t="s">
        <v>11818</v>
      </c>
      <c r="C1511" s="663" t="s">
        <v>11843</v>
      </c>
      <c r="D1511" s="905" t="s">
        <v>11846</v>
      </c>
    </row>
    <row r="1512" spans="1:4" ht="16.5">
      <c r="A1512" s="587" t="str">
        <f ca="1">IFERROR(__xludf.DUMMYFUNCTION("""COMPUTED_VALUE"""),"DOCRB1905102")</f>
        <v>DOCRB1905102</v>
      </c>
      <c r="B1512" t="s">
        <v>11818</v>
      </c>
      <c r="C1512" s="663" t="s">
        <v>11843</v>
      </c>
      <c r="D1512" s="905" t="s">
        <v>11846</v>
      </c>
    </row>
    <row r="1513" spans="1:4" ht="16.5">
      <c r="A1513" s="581" t="str">
        <f ca="1">IFERROR(__xludf.DUMMYFUNCTION("""COMPUTED_VALUE"""),"DOCRB1588091")</f>
        <v>DOCRB1588091</v>
      </c>
      <c r="B1513" t="s">
        <v>11818</v>
      </c>
      <c r="C1513" s="663" t="s">
        <v>11843</v>
      </c>
      <c r="D1513" s="905" t="s">
        <v>11846</v>
      </c>
    </row>
    <row r="1514" spans="1:4" ht="16.5">
      <c r="A1514" s="587" t="str">
        <f ca="1">IFERROR(__xludf.DUMMYFUNCTION("""COMPUTED_VALUE"""),"DOTRB063507158")</f>
        <v>DOTRB063507158</v>
      </c>
      <c r="B1514" t="s">
        <v>11818</v>
      </c>
      <c r="C1514" s="663" t="s">
        <v>11843</v>
      </c>
      <c r="D1514" s="905" t="s">
        <v>11846</v>
      </c>
    </row>
    <row r="1515" spans="1:4" ht="16.5">
      <c r="A1515" s="581" t="str">
        <f ca="1">IFERROR(__xludf.DUMMYFUNCTION("""COMPUTED_VALUE"""),"DOTRB158810058")</f>
        <v>DOTRB158810058</v>
      </c>
      <c r="B1515" t="s">
        <v>11818</v>
      </c>
      <c r="C1515" s="663" t="s">
        <v>11843</v>
      </c>
      <c r="D1515" s="905" t="s">
        <v>11846</v>
      </c>
    </row>
    <row r="1516" spans="1:4" ht="16.5">
      <c r="A1516" s="587" t="str">
        <f ca="1">IFERROR(__xludf.DUMMYFUNCTION("""COMPUTED_VALUE"""),"DOTRB1905100")</f>
        <v>DOTRB1905100</v>
      </c>
      <c r="B1516" t="s">
        <v>11818</v>
      </c>
      <c r="C1516" s="663" t="s">
        <v>11843</v>
      </c>
      <c r="D1516" s="905" t="s">
        <v>11846</v>
      </c>
    </row>
    <row r="1517" spans="1:4" ht="16.5">
      <c r="A1517" s="581" t="str">
        <f ca="1">IFERROR(__xludf.DUMMYFUNCTION("""COMPUTED_VALUE"""),"DOTRB127008158")</f>
        <v>DOTRB127008158</v>
      </c>
      <c r="B1517" t="s">
        <v>11818</v>
      </c>
      <c r="C1517" s="663" t="s">
        <v>11843</v>
      </c>
      <c r="D1517" s="905" t="s">
        <v>11846</v>
      </c>
    </row>
    <row r="1518" spans="1:4" ht="16.5">
      <c r="A1518" s="587" t="str">
        <f ca="1">IFERROR(__xludf.DUMMYFUNCTION("""COMPUTED_VALUE"""),"DOTRB095208158")</f>
        <v>DOTRB095208158</v>
      </c>
      <c r="B1518" t="s">
        <v>11818</v>
      </c>
      <c r="C1518" s="663" t="s">
        <v>11843</v>
      </c>
      <c r="D1518" s="905" t="s">
        <v>11846</v>
      </c>
    </row>
    <row r="1519" spans="1:4" ht="16.5">
      <c r="A1519" s="581" t="str">
        <f ca="1">IFERROR(__xludf.DUMMYFUNCTION("""COMPUTED_VALUE"""),"DOTRB222207158")</f>
        <v>DOTRB222207158</v>
      </c>
      <c r="B1519" t="s">
        <v>11818</v>
      </c>
      <c r="C1519" s="663" t="s">
        <v>11843</v>
      </c>
      <c r="D1519" s="905" t="s">
        <v>11846</v>
      </c>
    </row>
    <row r="1520" spans="1:4" ht="16.5">
      <c r="A1520" s="587" t="str">
        <f ca="1">IFERROR(__xludf.DUMMYFUNCTION("""COMPUTED_VALUE"""),"DOTRB2222081")</f>
        <v>DOTRB2222081</v>
      </c>
      <c r="B1520" t="s">
        <v>11818</v>
      </c>
      <c r="C1520" s="663" t="s">
        <v>11843</v>
      </c>
      <c r="D1520" s="905" t="s">
        <v>11846</v>
      </c>
    </row>
    <row r="1521" spans="1:4" ht="16.5">
      <c r="A1521" s="581" t="str">
        <f ca="1">IFERROR(__xludf.DUMMYFUNCTION("""COMPUTED_VALUE"""),"DOTRB222209158")</f>
        <v>DOTRB222209158</v>
      </c>
      <c r="B1521" t="s">
        <v>11818</v>
      </c>
      <c r="C1521" s="663" t="s">
        <v>11843</v>
      </c>
      <c r="D1521" s="905" t="s">
        <v>11846</v>
      </c>
    </row>
    <row r="1522" spans="1:4" ht="16.5">
      <c r="A1522" s="587" t="str">
        <f ca="1">IFERROR(__xludf.DUMMYFUNCTION("""COMPUTED_VALUE"""),"DOTRB2222100")</f>
        <v>DOTRB2222100</v>
      </c>
      <c r="B1522" t="s">
        <v>11818</v>
      </c>
      <c r="C1522" s="663" t="s">
        <v>11843</v>
      </c>
      <c r="D1522" s="905" t="s">
        <v>11846</v>
      </c>
    </row>
    <row r="1523" spans="1:4" ht="16.5">
      <c r="A1523" s="581" t="str">
        <f ca="1">IFERROR(__xludf.DUMMYFUNCTION("""COMPUTED_VALUE"""),"DOTRB222210058")</f>
        <v>DOTRB222210058</v>
      </c>
      <c r="B1523" t="s">
        <v>11818</v>
      </c>
      <c r="C1523" s="663" t="s">
        <v>11843</v>
      </c>
      <c r="D1523" s="905" t="s">
        <v>11846</v>
      </c>
    </row>
    <row r="1524" spans="1:4" ht="16.5">
      <c r="A1524" s="587" t="str">
        <f ca="1">IFERROR(__xludf.DUMMYFUNCTION("""COMPUTED_VALUE"""),"DOTRB2222114")</f>
        <v>DOTRB2222114</v>
      </c>
      <c r="B1524" t="s">
        <v>11818</v>
      </c>
      <c r="C1524" s="663" t="s">
        <v>11843</v>
      </c>
      <c r="D1524" s="905" t="s">
        <v>11846</v>
      </c>
    </row>
    <row r="1525" spans="1:4" ht="16.5">
      <c r="A1525" s="581" t="str">
        <f ca="1">IFERROR(__xludf.DUMMYFUNCTION("""COMPUTED_VALUE"""),"DOTRB2222120")</f>
        <v>DOTRB2222120</v>
      </c>
      <c r="B1525" t="s">
        <v>11818</v>
      </c>
      <c r="C1525" s="663" t="s">
        <v>11843</v>
      </c>
      <c r="D1525" s="905" t="s">
        <v>11846</v>
      </c>
    </row>
    <row r="1526" spans="1:4" ht="16.5">
      <c r="A1526" s="587" t="str">
        <f ca="1">IFERROR(__xludf.DUMMYFUNCTION("""COMPUTED_VALUE"""),"DOTRB2540081")</f>
        <v>DOTRB2540081</v>
      </c>
      <c r="B1526" t="s">
        <v>11818</v>
      </c>
      <c r="C1526" s="663" t="s">
        <v>11843</v>
      </c>
      <c r="D1526" s="905" t="s">
        <v>11846</v>
      </c>
    </row>
    <row r="1527" spans="1:4" ht="16.5">
      <c r="A1527" s="581" t="str">
        <f ca="1">IFERROR(__xludf.DUMMYFUNCTION("""COMPUTED_VALUE"""),"DOTRB2540100")</f>
        <v>DOTRB2540100</v>
      </c>
      <c r="B1527" t="s">
        <v>11818</v>
      </c>
      <c r="C1527" s="663" t="s">
        <v>11843</v>
      </c>
      <c r="D1527" s="905" t="s">
        <v>11846</v>
      </c>
    </row>
    <row r="1528" spans="1:4" ht="16.5">
      <c r="A1528" s="587" t="str">
        <f ca="1">IFERROR(__xludf.DUMMYFUNCTION("""COMPUTED_VALUE"""),"DOTRB25401058")</f>
        <v>DOTRB25401058</v>
      </c>
      <c r="B1528" t="s">
        <v>11818</v>
      </c>
      <c r="C1528" s="663" t="s">
        <v>11843</v>
      </c>
      <c r="D1528" s="905" t="s">
        <v>11846</v>
      </c>
    </row>
    <row r="1529" spans="1:4" ht="16.5">
      <c r="A1529" s="581" t="str">
        <f ca="1">IFERROR(__xludf.DUMMYFUNCTION("""COMPUTED_VALUE"""),"DOTRB2540120")</f>
        <v>DOTRB2540120</v>
      </c>
      <c r="B1529" t="s">
        <v>11818</v>
      </c>
      <c r="C1529" s="663" t="s">
        <v>11843</v>
      </c>
      <c r="D1529" s="905" t="s">
        <v>11846</v>
      </c>
    </row>
    <row r="1530" spans="1:4" ht="16.5">
      <c r="A1530" s="587" t="str">
        <f ca="1">IFERROR(__xludf.DUMMYFUNCTION("""COMPUTED_VALUE"""),"DOTRB2858100")</f>
        <v>DOTRB2858100</v>
      </c>
      <c r="B1530" t="s">
        <v>11818</v>
      </c>
      <c r="C1530" s="663" t="s">
        <v>11843</v>
      </c>
      <c r="D1530" s="905" t="s">
        <v>11846</v>
      </c>
    </row>
    <row r="1531" spans="1:4" ht="16.5">
      <c r="A1531" s="581" t="str">
        <f ca="1">IFERROR(__xludf.DUMMYFUNCTION("""COMPUTED_VALUE"""),"DOTRB28581058")</f>
        <v>DOTRB28581058</v>
      </c>
      <c r="B1531" t="s">
        <v>11818</v>
      </c>
      <c r="C1531" s="663" t="s">
        <v>11843</v>
      </c>
      <c r="D1531" s="905" t="s">
        <v>11846</v>
      </c>
    </row>
    <row r="1532" spans="1:4" ht="16.5">
      <c r="A1532" s="587" t="str">
        <f ca="1">IFERROR(__xludf.DUMMYFUNCTION("""COMPUTED_VALUE"""),"DOTRB2858120")</f>
        <v>DOTRB2858120</v>
      </c>
      <c r="B1532" t="s">
        <v>11818</v>
      </c>
      <c r="C1532" s="663" t="s">
        <v>11843</v>
      </c>
      <c r="D1532" s="905" t="s">
        <v>11846</v>
      </c>
    </row>
    <row r="1533" spans="1:4" ht="16.5">
      <c r="A1533" s="581" t="str">
        <f ca="1">IFERROR(__xludf.DUMMYFUNCTION("""COMPUTED_VALUE"""),"DOTRB2858140")</f>
        <v>DOTRB2858140</v>
      </c>
      <c r="B1533" t="s">
        <v>11818</v>
      </c>
      <c r="C1533" s="663" t="s">
        <v>11843</v>
      </c>
      <c r="D1533" s="905" t="s">
        <v>11846</v>
      </c>
    </row>
    <row r="1534" spans="1:4" ht="16.5">
      <c r="A1534" s="587" t="str">
        <f ca="1">IFERROR(__xludf.DUMMYFUNCTION("""COMPUTED_VALUE"""),"DOTRB3175100")</f>
        <v>DOTRB3175100</v>
      </c>
      <c r="B1534" t="s">
        <v>11818</v>
      </c>
      <c r="C1534" s="663" t="s">
        <v>11843</v>
      </c>
      <c r="D1534" s="905" t="s">
        <v>11846</v>
      </c>
    </row>
    <row r="1535" spans="1:4" ht="16.5">
      <c r="A1535" s="581" t="str">
        <f ca="1">IFERROR(__xludf.DUMMYFUNCTION("""COMPUTED_VALUE"""),"DOTRB3175120")</f>
        <v>DOTRB3175120</v>
      </c>
      <c r="B1535" t="s">
        <v>11818</v>
      </c>
      <c r="C1535" s="663" t="s">
        <v>11843</v>
      </c>
      <c r="D1535" s="905" t="s">
        <v>11846</v>
      </c>
    </row>
    <row r="1536" spans="1:4" ht="16.5">
      <c r="A1536" s="587" t="str">
        <f ca="1">IFERROR(__xludf.DUMMYFUNCTION("""COMPUTED_VALUE"""),"DOTRB317512058")</f>
        <v>DOTRB317512058</v>
      </c>
      <c r="B1536" t="s">
        <v>11818</v>
      </c>
      <c r="C1536" s="663" t="s">
        <v>11843</v>
      </c>
      <c r="D1536" s="905" t="s">
        <v>11846</v>
      </c>
    </row>
    <row r="1537" spans="1:4" ht="16.5">
      <c r="A1537" s="581" t="str">
        <f ca="1">IFERROR(__xludf.DUMMYFUNCTION("""COMPUTED_VALUE"""),"DOTRB3175140")</f>
        <v>DOTRB3175140</v>
      </c>
      <c r="B1537" t="s">
        <v>11818</v>
      </c>
      <c r="C1537" s="663" t="s">
        <v>11843</v>
      </c>
      <c r="D1537" s="905" t="s">
        <v>11846</v>
      </c>
    </row>
    <row r="1538" spans="1:4" ht="16.5">
      <c r="A1538" s="587" t="str">
        <f ca="1">IFERROR(__xludf.DUMMYFUNCTION("""COMPUTED_VALUE"""),"DOTRB317514058")</f>
        <v>DOTRB317514058</v>
      </c>
      <c r="B1538" t="s">
        <v>11818</v>
      </c>
      <c r="C1538" s="663" t="s">
        <v>11843</v>
      </c>
      <c r="D1538" s="905" t="s">
        <v>11846</v>
      </c>
    </row>
    <row r="1539" spans="1:4" ht="16.5">
      <c r="A1539" s="581" t="str">
        <f ca="1">IFERROR(__xludf.DUMMYFUNCTION("""COMPUTED_VALUE"""),"DOTRB3493120")</f>
        <v>DOTRB3493120</v>
      </c>
      <c r="B1539" t="s">
        <v>11818</v>
      </c>
      <c r="C1539" s="663" t="s">
        <v>11843</v>
      </c>
      <c r="D1539" s="905" t="s">
        <v>11846</v>
      </c>
    </row>
    <row r="1540" spans="1:4" ht="16.5">
      <c r="A1540" s="587" t="str">
        <f ca="1">IFERROR(__xludf.DUMMYFUNCTION("""COMPUTED_VALUE"""),"DOTRB349312058")</f>
        <v>DOTRB349312058</v>
      </c>
      <c r="B1540" t="s">
        <v>11818</v>
      </c>
      <c r="C1540" s="663" t="s">
        <v>11843</v>
      </c>
      <c r="D1540" s="905" t="s">
        <v>11846</v>
      </c>
    </row>
    <row r="1541" spans="1:4" ht="16.5">
      <c r="A1541" s="581" t="str">
        <f ca="1">IFERROR(__xludf.DUMMYFUNCTION("""COMPUTED_VALUE"""),"DOTRB3493140")</f>
        <v>DOTRB3493140</v>
      </c>
      <c r="B1541" t="s">
        <v>11818</v>
      </c>
      <c r="C1541" s="663" t="s">
        <v>11843</v>
      </c>
      <c r="D1541" s="905" t="s">
        <v>11846</v>
      </c>
    </row>
    <row r="1542" spans="1:4" ht="16.5">
      <c r="A1542" s="587" t="str">
        <f ca="1">IFERROR(__xludf.DUMMYFUNCTION("""COMPUTED_VALUE"""),"DOTRB3810120(NM)")</f>
        <v>DOTRB3810120(NM)</v>
      </c>
      <c r="B1542" t="s">
        <v>11818</v>
      </c>
      <c r="C1542" s="663" t="s">
        <v>11843</v>
      </c>
      <c r="D1542" s="905" t="s">
        <v>11846</v>
      </c>
    </row>
    <row r="1543" spans="1:4" ht="16.5">
      <c r="A1543" s="581" t="str">
        <f ca="1">IFERROR(__xludf.DUMMYFUNCTION("""COMPUTED_VALUE"""),"DOTRB3810140")</f>
        <v>DOTRB3810140</v>
      </c>
      <c r="B1543" t="s">
        <v>11818</v>
      </c>
      <c r="C1543" s="663" t="s">
        <v>11843</v>
      </c>
      <c r="D1543" s="905" t="s">
        <v>11846</v>
      </c>
    </row>
    <row r="1544" spans="1:4" ht="16.5">
      <c r="A1544" s="587" t="str">
        <f ca="1">IFERROR(__xludf.DUMMYFUNCTION("""COMPUTED_VALUE"""),"DOTRB3810143")</f>
        <v>DOTRB3810143</v>
      </c>
      <c r="B1544" t="s">
        <v>11818</v>
      </c>
      <c r="C1544" s="663" t="s">
        <v>11843</v>
      </c>
      <c r="D1544" s="905" t="s">
        <v>11846</v>
      </c>
    </row>
    <row r="1545" spans="1:4" ht="16.5">
      <c r="A1545" s="581" t="str">
        <f ca="1">IFERROR(__xludf.DUMMYFUNCTION("""COMPUTED_VALUE"""),"DOTRB381014058")</f>
        <v>DOTRB381014058</v>
      </c>
      <c r="B1545" t="s">
        <v>11818</v>
      </c>
      <c r="C1545" s="663" t="s">
        <v>11843</v>
      </c>
      <c r="D1545" s="905" t="s">
        <v>11846</v>
      </c>
    </row>
    <row r="1546" spans="1:4" ht="16.5">
      <c r="A1546" s="587" t="str">
        <f ca="1">IFERROR(__xludf.DUMMYFUNCTION("""COMPUTED_VALUE"""),"DOTRB4128120")</f>
        <v>DOTRB4128120</v>
      </c>
      <c r="B1546" t="s">
        <v>11818</v>
      </c>
      <c r="C1546" s="663" t="s">
        <v>11843</v>
      </c>
      <c r="D1546" s="905" t="s">
        <v>11846</v>
      </c>
    </row>
    <row r="1547" spans="1:4" ht="16.5">
      <c r="A1547" s="581" t="str">
        <f ca="1">IFERROR(__xludf.DUMMYFUNCTION("""COMPUTED_VALUE"""),"DOTRB4128140")</f>
        <v>DOTRB4128140</v>
      </c>
      <c r="B1547" t="s">
        <v>11818</v>
      </c>
      <c r="C1547" s="663" t="s">
        <v>11843</v>
      </c>
      <c r="D1547" s="905" t="s">
        <v>11846</v>
      </c>
    </row>
    <row r="1548" spans="1:4" ht="16.5">
      <c r="A1548" s="587" t="str">
        <f ca="1">IFERROR(__xludf.DUMMYFUNCTION("""COMPUTED_VALUE"""),"DOTRB412814058")</f>
        <v>DOTRB412814058</v>
      </c>
      <c r="B1548" t="s">
        <v>11818</v>
      </c>
      <c r="C1548" s="663" t="s">
        <v>11843</v>
      </c>
      <c r="D1548" s="905" t="s">
        <v>11846</v>
      </c>
    </row>
    <row r="1549" spans="1:4" ht="16.5">
      <c r="A1549" s="581" t="str">
        <f ca="1">IFERROR(__xludf.DUMMYFUNCTION("""COMPUTED_VALUE"""),"DOTRB412814358")</f>
        <v>DOTRB412814358</v>
      </c>
      <c r="B1549" t="s">
        <v>11818</v>
      </c>
      <c r="C1549" s="663" t="s">
        <v>11843</v>
      </c>
      <c r="D1549" s="905" t="s">
        <v>11846</v>
      </c>
    </row>
    <row r="1550" spans="1:4" ht="16.5">
      <c r="A1550" s="587" t="str">
        <f ca="1">IFERROR(__xludf.DUMMYFUNCTION("""COMPUTED_VALUE"""),"DOTRB4128150")</f>
        <v>DOTRB4128150</v>
      </c>
      <c r="B1550" t="s">
        <v>11818</v>
      </c>
      <c r="C1550" s="663" t="s">
        <v>11843</v>
      </c>
      <c r="D1550" s="905" t="s">
        <v>11846</v>
      </c>
    </row>
    <row r="1551" spans="1:4" ht="16.5">
      <c r="A1551" s="581" t="str">
        <f ca="1">IFERROR(__xludf.DUMMYFUNCTION("""COMPUTED_VALUE"""),"DOTRB4128152")</f>
        <v>DOTRB4128152</v>
      </c>
      <c r="B1551" t="s">
        <v>11818</v>
      </c>
      <c r="C1551" s="663" t="s">
        <v>11843</v>
      </c>
      <c r="D1551" s="905" t="s">
        <v>11846</v>
      </c>
    </row>
    <row r="1552" spans="1:4" ht="16.5">
      <c r="A1552" s="587" t="str">
        <f ca="1">IFERROR(__xludf.DUMMYFUNCTION("""COMPUTED_VALUE"""),"DOTRUBY412815258")</f>
        <v>DOTRUBY412815258</v>
      </c>
      <c r="B1552" t="s">
        <v>11818</v>
      </c>
      <c r="C1552" s="663" t="s">
        <v>11843</v>
      </c>
      <c r="D1552" s="905" t="s">
        <v>11846</v>
      </c>
    </row>
    <row r="1553" spans="1:4" ht="16.5">
      <c r="A1553" s="581" t="str">
        <f ca="1">IFERROR(__xludf.DUMMYFUNCTION("""COMPUTED_VALUE"""),"DOTRB445014029")</f>
        <v>DOTRB445014029</v>
      </c>
      <c r="B1553" t="s">
        <v>11818</v>
      </c>
      <c r="C1553" s="663" t="s">
        <v>11843</v>
      </c>
      <c r="D1553" s="905" t="s">
        <v>11846</v>
      </c>
    </row>
    <row r="1554" spans="1:4" ht="16.5">
      <c r="A1554" s="587" t="str">
        <f ca="1">IFERROR(__xludf.DUMMYFUNCTION("""COMPUTED_VALUE"""),"DOTRB445014058")</f>
        <v>DOTRB445014058</v>
      </c>
      <c r="B1554" t="s">
        <v>11818</v>
      </c>
      <c r="C1554" s="663" t="s">
        <v>11843</v>
      </c>
      <c r="D1554" s="905" t="s">
        <v>11846</v>
      </c>
    </row>
    <row r="1555" spans="1:4" ht="16.5">
      <c r="A1555" s="581" t="str">
        <f ca="1">IFERROR(__xludf.DUMMYFUNCTION("""COMPUTED_VALUE"""),"DOCHL063505015")</f>
        <v>DOCHL063505015</v>
      </c>
      <c r="B1555" t="s">
        <v>11818</v>
      </c>
      <c r="C1555" s="663" t="s">
        <v>11843</v>
      </c>
      <c r="D1555" s="905" t="s">
        <v>11846</v>
      </c>
    </row>
    <row r="1556" spans="1:4" ht="16.5">
      <c r="A1556" s="587" t="str">
        <f ca="1">IFERROR(__xludf.DUMMYFUNCTION("""COMPUTED_VALUE"""),"DOCHL063505115")</f>
        <v>DOCHL063505115</v>
      </c>
      <c r="B1556" t="s">
        <v>11818</v>
      </c>
      <c r="C1556" s="663" t="s">
        <v>11843</v>
      </c>
      <c r="D1556" s="905" t="s">
        <v>11846</v>
      </c>
    </row>
    <row r="1557" spans="1:4" ht="16.5">
      <c r="A1557" s="581" t="str">
        <f ca="1">IFERROR(__xludf.DUMMYFUNCTION("""COMPUTED_VALUE"""),"DOCHL063505515")</f>
        <v>DOCHL063505515</v>
      </c>
      <c r="B1557" t="s">
        <v>11818</v>
      </c>
      <c r="C1557" s="663" t="s">
        <v>11843</v>
      </c>
      <c r="D1557" s="905" t="s">
        <v>11846</v>
      </c>
    </row>
    <row r="1558" spans="1:4" ht="16.5">
      <c r="A1558" s="587" t="str">
        <f ca="1">IFERROR(__xludf.DUMMYFUNCTION("""COMPUTED_VALUE"""),"DOCHL063505615")</f>
        <v>DOCHL063505615</v>
      </c>
      <c r="B1558" t="s">
        <v>11818</v>
      </c>
      <c r="C1558" s="663" t="s">
        <v>11843</v>
      </c>
      <c r="D1558" s="905" t="s">
        <v>11846</v>
      </c>
    </row>
    <row r="1559" spans="1:4" ht="16.5">
      <c r="A1559" s="581" t="str">
        <f ca="1">IFERROR(__xludf.DUMMYFUNCTION("""COMPUTED_VALUE"""),"DOCHL063506015")</f>
        <v>DOCHL063506015</v>
      </c>
      <c r="B1559" t="s">
        <v>11818</v>
      </c>
      <c r="C1559" s="663" t="s">
        <v>11843</v>
      </c>
      <c r="D1559" s="905" t="s">
        <v>11846</v>
      </c>
    </row>
    <row r="1560" spans="1:4" ht="16.5">
      <c r="A1560" s="587" t="str">
        <f ca="1">IFERROR(__xludf.DUMMYFUNCTION("""COMPUTED_VALUE"""),"DOCHL063506150")</f>
        <v>DOCHL063506150</v>
      </c>
      <c r="B1560" t="s">
        <v>11818</v>
      </c>
      <c r="C1560" s="663" t="s">
        <v>11843</v>
      </c>
      <c r="D1560" s="905" t="s">
        <v>11846</v>
      </c>
    </row>
    <row r="1561" spans="1:4" ht="16.5">
      <c r="A1561" s="581" t="str">
        <f ca="1">IFERROR(__xludf.DUMMYFUNCTION("""COMPUTED_VALUE"""),"DOCHL063506115")</f>
        <v>DOCHL063506115</v>
      </c>
      <c r="B1561" t="s">
        <v>11818</v>
      </c>
      <c r="C1561" s="663" t="s">
        <v>11843</v>
      </c>
      <c r="D1561" s="905" t="s">
        <v>11846</v>
      </c>
    </row>
    <row r="1562" spans="1:4" ht="16.5">
      <c r="A1562" s="587" t="str">
        <f ca="1">IFERROR(__xludf.DUMMYFUNCTION("""COMPUTED_VALUE"""),"DOCHL063506515")</f>
        <v>DOCHL063506515</v>
      </c>
      <c r="B1562" t="s">
        <v>11818</v>
      </c>
      <c r="C1562" s="663" t="s">
        <v>11843</v>
      </c>
      <c r="D1562" s="905" t="s">
        <v>11846</v>
      </c>
    </row>
    <row r="1563" spans="1:4" ht="16.5">
      <c r="A1563" s="581" t="str">
        <f ca="1">IFERROR(__xludf.DUMMYFUNCTION("""COMPUTED_VALUE"""),"DOCHL063506615")</f>
        <v>DOCHL063506615</v>
      </c>
      <c r="B1563" t="s">
        <v>11818</v>
      </c>
      <c r="C1563" s="663" t="s">
        <v>11843</v>
      </c>
      <c r="D1563" s="905" t="s">
        <v>11846</v>
      </c>
    </row>
    <row r="1564" spans="1:4" ht="16.5">
      <c r="A1564" s="587" t="str">
        <f ca="1">IFERROR(__xludf.DUMMYFUNCTION("""COMPUTED_VALUE"""),"DOCHL063507015")</f>
        <v>DOCHL063507015</v>
      </c>
      <c r="B1564" t="s">
        <v>11818</v>
      </c>
      <c r="C1564" s="663" t="s">
        <v>11843</v>
      </c>
      <c r="D1564" s="905" t="s">
        <v>11846</v>
      </c>
    </row>
    <row r="1565" spans="1:4" ht="16.5">
      <c r="A1565" s="581" t="str">
        <f ca="1">IFERROR(__xludf.DUMMYFUNCTION("""COMPUTED_VALUE"""),"DOCHL063507130")</f>
        <v>DOCHL063507130</v>
      </c>
      <c r="B1565" t="s">
        <v>11818</v>
      </c>
      <c r="C1565" s="663" t="s">
        <v>11843</v>
      </c>
      <c r="D1565" s="905" t="s">
        <v>11846</v>
      </c>
    </row>
    <row r="1566" spans="1:4" ht="16.5">
      <c r="A1566" s="587" t="str">
        <f ca="1">IFERROR(__xludf.DUMMYFUNCTION("""COMPUTED_VALUE"""),"DOCHL063507150")</f>
        <v>DOCHL063507150</v>
      </c>
      <c r="B1566" t="s">
        <v>11818</v>
      </c>
      <c r="C1566" s="663" t="s">
        <v>11843</v>
      </c>
      <c r="D1566" s="905" t="s">
        <v>11846</v>
      </c>
    </row>
    <row r="1567" spans="1:4" ht="16.5">
      <c r="A1567" s="581" t="str">
        <f ca="1">IFERROR(__xludf.DUMMYFUNCTION("""COMPUTED_VALUE"""),"DOCHL063507115")</f>
        <v>DOCHL063507115</v>
      </c>
      <c r="B1567" t="s">
        <v>11818</v>
      </c>
      <c r="C1567" s="663" t="s">
        <v>11843</v>
      </c>
      <c r="D1567" s="905" t="s">
        <v>11846</v>
      </c>
    </row>
    <row r="1568" spans="1:4" ht="16.5">
      <c r="A1568" s="587" t="str">
        <f ca="1">IFERROR(__xludf.DUMMYFUNCTION("""COMPUTED_VALUE"""),"DOCHL063507615")</f>
        <v>DOCHL063507615</v>
      </c>
      <c r="B1568" t="s">
        <v>11818</v>
      </c>
      <c r="C1568" s="663" t="s">
        <v>11843</v>
      </c>
      <c r="D1568" s="905" t="s">
        <v>11846</v>
      </c>
    </row>
    <row r="1569" spans="1:4" ht="16.5">
      <c r="A1569" s="581" t="str">
        <f ca="1">IFERROR(__xludf.DUMMYFUNCTION("""COMPUTED_VALUE"""),"DOCHL063507650")</f>
        <v>DOCHL063507650</v>
      </c>
      <c r="B1569" t="s">
        <v>11818</v>
      </c>
      <c r="C1569" s="663" t="s">
        <v>11843</v>
      </c>
      <c r="D1569" s="905" t="s">
        <v>11846</v>
      </c>
    </row>
    <row r="1570" spans="1:4" ht="16.5">
      <c r="A1570" s="587" t="str">
        <f ca="1">IFERROR(__xludf.DUMMYFUNCTION("""COMPUTED_VALUE"""),"DOCHL063508015")</f>
        <v>DOCHL063508015</v>
      </c>
      <c r="B1570" t="s">
        <v>11818</v>
      </c>
      <c r="C1570" s="663" t="s">
        <v>11843</v>
      </c>
      <c r="D1570" s="905" t="s">
        <v>11846</v>
      </c>
    </row>
    <row r="1571" spans="1:4" ht="16.5">
      <c r="A1571" s="581" t="str">
        <f ca="1">IFERROR(__xludf.DUMMYFUNCTION("""COMPUTED_VALUE"""),"DOCHL063508150")</f>
        <v>DOCHL063508150</v>
      </c>
      <c r="B1571" t="s">
        <v>11818</v>
      </c>
      <c r="C1571" s="663" t="s">
        <v>11843</v>
      </c>
      <c r="D1571" s="905" t="s">
        <v>11846</v>
      </c>
    </row>
    <row r="1572" spans="1:4" ht="16.5">
      <c r="A1572" s="587" t="str">
        <f ca="1">IFERROR(__xludf.DUMMYFUNCTION("""COMPUTED_VALUE"""),"DOCHL063508115")</f>
        <v>DOCHL063508115</v>
      </c>
      <c r="B1572" t="s">
        <v>11818</v>
      </c>
      <c r="C1572" s="663" t="s">
        <v>11843</v>
      </c>
      <c r="D1572" s="905" t="s">
        <v>11846</v>
      </c>
    </row>
    <row r="1573" spans="1:4" ht="16.5">
      <c r="A1573" s="581" t="str">
        <f ca="1">IFERROR(__xludf.DUMMYFUNCTION("""COMPUTED_VALUE"""),"DOCHL095205015")</f>
        <v>DOCHL095205015</v>
      </c>
      <c r="B1573" t="s">
        <v>11818</v>
      </c>
      <c r="C1573" s="663" t="s">
        <v>11843</v>
      </c>
      <c r="D1573" s="905" t="s">
        <v>11846</v>
      </c>
    </row>
    <row r="1574" spans="1:4" ht="16.5">
      <c r="A1574" s="587" t="str">
        <f ca="1">IFERROR(__xludf.DUMMYFUNCTION("""COMPUTED_VALUE"""),"DOCHL095205115")</f>
        <v>DOCHL095205115</v>
      </c>
      <c r="B1574" t="s">
        <v>11818</v>
      </c>
      <c r="C1574" s="663" t="s">
        <v>11843</v>
      </c>
      <c r="D1574" s="905" t="s">
        <v>11846</v>
      </c>
    </row>
    <row r="1575" spans="1:4" ht="16.5">
      <c r="A1575" s="581" t="str">
        <f ca="1">IFERROR(__xludf.DUMMYFUNCTION("""COMPUTED_VALUE"""),"DOCHL095205515")</f>
        <v>DOCHL095205515</v>
      </c>
      <c r="B1575" t="s">
        <v>11818</v>
      </c>
      <c r="C1575" s="663" t="s">
        <v>11843</v>
      </c>
      <c r="D1575" s="905" t="s">
        <v>11846</v>
      </c>
    </row>
    <row r="1576" spans="1:4" ht="16.5">
      <c r="A1576" s="587" t="str">
        <f ca="1">IFERROR(__xludf.DUMMYFUNCTION("""COMPUTED_VALUE"""),"DOCHL095205615")</f>
        <v>DOCHL095205615</v>
      </c>
      <c r="B1576" t="s">
        <v>11818</v>
      </c>
      <c r="C1576" s="663" t="s">
        <v>11843</v>
      </c>
      <c r="D1576" s="905" t="s">
        <v>11846</v>
      </c>
    </row>
    <row r="1577" spans="1:4" ht="16.5">
      <c r="A1577" s="581" t="str">
        <f ca="1">IFERROR(__xludf.DUMMYFUNCTION("""COMPUTED_VALUE"""),"DOCHL095206015")</f>
        <v>DOCHL095206015</v>
      </c>
      <c r="B1577" t="s">
        <v>11818</v>
      </c>
      <c r="C1577" s="663" t="s">
        <v>11843</v>
      </c>
      <c r="D1577" s="905" t="s">
        <v>11846</v>
      </c>
    </row>
    <row r="1578" spans="1:4" ht="16.5">
      <c r="A1578" s="587" t="str">
        <f ca="1">IFERROR(__xludf.DUMMYFUNCTION("""COMPUTED_VALUE"""),"DOCHL095206115")</f>
        <v>DOCHL095206115</v>
      </c>
      <c r="B1578" t="s">
        <v>11818</v>
      </c>
      <c r="C1578" s="663" t="s">
        <v>11843</v>
      </c>
      <c r="D1578" s="905" t="s">
        <v>11846</v>
      </c>
    </row>
    <row r="1579" spans="1:4" ht="16.5">
      <c r="A1579" s="581" t="str">
        <f ca="1">IFERROR(__xludf.DUMMYFUNCTION("""COMPUTED_VALUE"""),"DOCHL095206515")</f>
        <v>DOCHL095206515</v>
      </c>
      <c r="B1579" t="s">
        <v>11818</v>
      </c>
      <c r="C1579" s="663" t="s">
        <v>11843</v>
      </c>
      <c r="D1579" s="905" t="s">
        <v>11846</v>
      </c>
    </row>
    <row r="1580" spans="1:4" ht="16.5">
      <c r="A1580" s="587" t="str">
        <f ca="1">IFERROR(__xludf.DUMMYFUNCTION("""COMPUTED_VALUE"""),"DOCHL095206615")</f>
        <v>DOCHL095206615</v>
      </c>
      <c r="B1580" t="s">
        <v>11818</v>
      </c>
      <c r="C1580" s="663" t="s">
        <v>11843</v>
      </c>
      <c r="D1580" s="905" t="s">
        <v>11846</v>
      </c>
    </row>
    <row r="1581" spans="1:4" ht="16.5">
      <c r="A1581" s="581" t="str">
        <f ca="1">IFERROR(__xludf.DUMMYFUNCTION("""COMPUTED_VALUE"""),"DOCHL095207015")</f>
        <v>DOCHL095207015</v>
      </c>
      <c r="B1581" t="s">
        <v>11818</v>
      </c>
      <c r="C1581" s="663" t="s">
        <v>11843</v>
      </c>
      <c r="D1581" s="905" t="s">
        <v>11846</v>
      </c>
    </row>
    <row r="1582" spans="1:4" ht="16.5">
      <c r="A1582" s="587" t="str">
        <f ca="1">IFERROR(__xludf.DUMMYFUNCTION("""COMPUTED_VALUE"""),"DOCHL095207150")</f>
        <v>DOCHL095207150</v>
      </c>
      <c r="B1582" t="s">
        <v>11818</v>
      </c>
      <c r="C1582" s="663" t="s">
        <v>11843</v>
      </c>
      <c r="D1582" s="905" t="s">
        <v>11846</v>
      </c>
    </row>
    <row r="1583" spans="1:4" ht="16.5">
      <c r="A1583" s="581" t="str">
        <f ca="1">IFERROR(__xludf.DUMMYFUNCTION("""COMPUTED_VALUE"""),"DOCHL095207115")</f>
        <v>DOCHL095207115</v>
      </c>
      <c r="B1583" t="s">
        <v>11818</v>
      </c>
      <c r="C1583" s="663" t="s">
        <v>11843</v>
      </c>
      <c r="D1583" s="905" t="s">
        <v>11846</v>
      </c>
    </row>
    <row r="1584" spans="1:4" ht="16.5">
      <c r="A1584" s="587" t="str">
        <f ca="1">IFERROR(__xludf.DUMMYFUNCTION("""COMPUTED_VALUE"""),"DOCHL095207615")</f>
        <v>DOCHL095207615</v>
      </c>
      <c r="B1584" t="s">
        <v>11818</v>
      </c>
      <c r="C1584" s="663" t="s">
        <v>11843</v>
      </c>
      <c r="D1584" s="905" t="s">
        <v>11846</v>
      </c>
    </row>
    <row r="1585" spans="1:4" ht="16.5">
      <c r="A1585" s="581" t="str">
        <f ca="1">IFERROR(__xludf.DUMMYFUNCTION("""COMPUTED_VALUE"""),"DOCHL095207650")</f>
        <v>DOCHL095207650</v>
      </c>
      <c r="B1585" t="s">
        <v>11818</v>
      </c>
      <c r="C1585" s="663" t="s">
        <v>11843</v>
      </c>
      <c r="D1585" s="905" t="s">
        <v>11846</v>
      </c>
    </row>
    <row r="1586" spans="1:4" ht="16.5">
      <c r="A1586" s="587" t="str">
        <f ca="1">IFERROR(__xludf.DUMMYFUNCTION("""COMPUTED_VALUE"""),"DOCHL095208015")</f>
        <v>DOCHL095208015</v>
      </c>
      <c r="B1586" t="s">
        <v>11818</v>
      </c>
      <c r="C1586" s="663" t="s">
        <v>11843</v>
      </c>
      <c r="D1586" s="905" t="s">
        <v>11846</v>
      </c>
    </row>
    <row r="1587" spans="1:4" ht="16.5">
      <c r="A1587" s="581" t="str">
        <f ca="1">IFERROR(__xludf.DUMMYFUNCTION("""COMPUTED_VALUE"""),"DOCHL095208130")</f>
        <v>DOCHL095208130</v>
      </c>
      <c r="B1587" t="s">
        <v>11818</v>
      </c>
      <c r="C1587" s="663" t="s">
        <v>11843</v>
      </c>
      <c r="D1587" s="905" t="s">
        <v>11846</v>
      </c>
    </row>
    <row r="1588" spans="1:4" ht="16.5">
      <c r="A1588" s="587" t="str">
        <f ca="1">IFERROR(__xludf.DUMMYFUNCTION("""COMPUTED_VALUE"""),"DOCHL095208150")</f>
        <v>DOCHL095208150</v>
      </c>
      <c r="B1588" t="s">
        <v>11818</v>
      </c>
      <c r="C1588" s="663" t="s">
        <v>11843</v>
      </c>
      <c r="D1588" s="905" t="s">
        <v>11846</v>
      </c>
    </row>
    <row r="1589" spans="1:4" ht="16.5">
      <c r="A1589" s="581" t="str">
        <f ca="1">IFERROR(__xludf.DUMMYFUNCTION("""COMPUTED_VALUE"""),"DOCHL095208115")</f>
        <v>DOCHL095208115</v>
      </c>
      <c r="B1589" t="s">
        <v>11818</v>
      </c>
      <c r="C1589" s="663" t="s">
        <v>11843</v>
      </c>
      <c r="D1589" s="905" t="s">
        <v>11846</v>
      </c>
    </row>
    <row r="1590" spans="1:4" ht="16.5">
      <c r="A1590" s="587" t="str">
        <f ca="1">IFERROR(__xludf.DUMMYFUNCTION("""COMPUTED_VALUE"""),"DOCHL095209115")</f>
        <v>DOCHL095209115</v>
      </c>
      <c r="B1590" t="s">
        <v>11818</v>
      </c>
      <c r="C1590" s="663" t="s">
        <v>11843</v>
      </c>
      <c r="D1590" s="905" t="s">
        <v>11846</v>
      </c>
    </row>
    <row r="1591" spans="1:4" ht="16.5">
      <c r="A1591" s="581" t="str">
        <f ca="1">IFERROR(__xludf.DUMMYFUNCTION("""COMPUTED_VALUE"""),"DOCHL1200070")</f>
        <v>DOCHL1200070</v>
      </c>
      <c r="B1591" t="s">
        <v>11818</v>
      </c>
      <c r="C1591" s="663" t="s">
        <v>11843</v>
      </c>
      <c r="D1591" s="905" t="s">
        <v>11846</v>
      </c>
    </row>
    <row r="1592" spans="1:4" ht="16.5">
      <c r="A1592" s="587" t="str">
        <f ca="1">IFERROR(__xludf.DUMMYFUNCTION("""COMPUTED_VALUE"""),"DOCHL12706115")</f>
        <v>DOCHL12706115</v>
      </c>
      <c r="B1592" t="s">
        <v>11818</v>
      </c>
      <c r="C1592" s="663" t="s">
        <v>11843</v>
      </c>
      <c r="D1592" s="905" t="s">
        <v>11846</v>
      </c>
    </row>
    <row r="1593" spans="1:4" ht="16.5">
      <c r="A1593" s="581" t="str">
        <f ca="1">IFERROR(__xludf.DUMMYFUNCTION("""COMPUTED_VALUE"""),"DOCHL127008915")</f>
        <v>DOCHL127008915</v>
      </c>
      <c r="B1593" t="s">
        <v>11818</v>
      </c>
      <c r="C1593" s="663" t="s">
        <v>11843</v>
      </c>
      <c r="D1593" s="905" t="s">
        <v>11846</v>
      </c>
    </row>
    <row r="1594" spans="1:4" ht="16.5">
      <c r="A1594" s="587" t="str">
        <f ca="1">IFERROR(__xludf.DUMMYFUNCTION("""COMPUTED_VALUE"""),"DOCHL127010215")</f>
        <v>DOCHL127010215</v>
      </c>
      <c r="B1594" t="s">
        <v>11818</v>
      </c>
      <c r="C1594" s="663" t="s">
        <v>11843</v>
      </c>
      <c r="D1594" s="905" t="s">
        <v>11846</v>
      </c>
    </row>
    <row r="1595" spans="1:4" ht="16.5">
      <c r="A1595" s="581" t="str">
        <f ca="1">IFERROR(__xludf.DUMMYFUNCTION("""COMPUTED_VALUE"""),"DOCHL127007115")</f>
        <v>DOCHL127007115</v>
      </c>
      <c r="B1595" t="s">
        <v>11818</v>
      </c>
      <c r="C1595" s="663" t="s">
        <v>11843</v>
      </c>
      <c r="D1595" s="905" t="s">
        <v>11846</v>
      </c>
    </row>
    <row r="1596" spans="1:4" ht="16.5">
      <c r="A1596" s="587" t="str">
        <f ca="1">IFERROR(__xludf.DUMMYFUNCTION("""COMPUTED_VALUE"""),"DOCHL127008015")</f>
        <v>DOCHL127008015</v>
      </c>
      <c r="B1596" t="s">
        <v>11818</v>
      </c>
      <c r="C1596" s="663" t="s">
        <v>11843</v>
      </c>
      <c r="D1596" s="905" t="s">
        <v>11846</v>
      </c>
    </row>
    <row r="1597" spans="1:4" ht="16.5">
      <c r="A1597" s="581" t="str">
        <f ca="1">IFERROR(__xludf.DUMMYFUNCTION("""COMPUTED_VALUE"""),"DOCHL127008115")</f>
        <v>DOCHL127008115</v>
      </c>
      <c r="B1597" t="s">
        <v>11818</v>
      </c>
      <c r="C1597" s="663" t="s">
        <v>11843</v>
      </c>
      <c r="D1597" s="905" t="s">
        <v>11846</v>
      </c>
    </row>
    <row r="1598" spans="1:4" ht="16.5">
      <c r="A1598" s="587" t="str">
        <f ca="1">IFERROR(__xludf.DUMMYFUNCTION("""COMPUTED_VALUE"""),"DOCHL12705015")</f>
        <v>DOCHL12705015</v>
      </c>
      <c r="B1598" t="s">
        <v>11818</v>
      </c>
      <c r="C1598" s="663" t="s">
        <v>11843</v>
      </c>
      <c r="D1598" s="905" t="s">
        <v>11846</v>
      </c>
    </row>
    <row r="1599" spans="1:4" ht="16.5">
      <c r="A1599" s="581" t="str">
        <f ca="1">IFERROR(__xludf.DUMMYFUNCTION("""COMPUTED_VALUE"""),"DOCHL12705115")</f>
        <v>DOCHL12705115</v>
      </c>
      <c r="B1599" t="s">
        <v>11818</v>
      </c>
      <c r="C1599" s="663" t="s">
        <v>11843</v>
      </c>
      <c r="D1599" s="905" t="s">
        <v>11846</v>
      </c>
    </row>
    <row r="1600" spans="1:4" ht="16.5">
      <c r="A1600" s="587" t="str">
        <f ca="1">IFERROR(__xludf.DUMMYFUNCTION("""COMPUTED_VALUE"""),"DOCHL12705515")</f>
        <v>DOCHL12705515</v>
      </c>
      <c r="B1600" t="s">
        <v>11818</v>
      </c>
      <c r="C1600" s="663" t="s">
        <v>11843</v>
      </c>
      <c r="D1600" s="905" t="s">
        <v>11846</v>
      </c>
    </row>
    <row r="1601" spans="1:4" ht="16.5">
      <c r="A1601" s="581" t="str">
        <f ca="1">IFERROR(__xludf.DUMMYFUNCTION("""COMPUTED_VALUE"""),"DOCHL12705615")</f>
        <v>DOCHL12705615</v>
      </c>
      <c r="B1601" t="s">
        <v>11818</v>
      </c>
      <c r="C1601" s="663" t="s">
        <v>11843</v>
      </c>
      <c r="D1601" s="905" t="s">
        <v>11846</v>
      </c>
    </row>
    <row r="1602" spans="1:4" ht="16.5">
      <c r="A1602" s="587" t="str">
        <f ca="1">IFERROR(__xludf.DUMMYFUNCTION("""COMPUTED_VALUE"""),"DOCHL12706015")</f>
        <v>DOCHL12706015</v>
      </c>
      <c r="B1602" t="s">
        <v>11818</v>
      </c>
      <c r="C1602" s="663" t="s">
        <v>11843</v>
      </c>
      <c r="D1602" s="905" t="s">
        <v>11846</v>
      </c>
    </row>
    <row r="1603" spans="1:4" ht="16.5">
      <c r="A1603" s="581" t="str">
        <f ca="1">IFERROR(__xludf.DUMMYFUNCTION("""COMPUTED_VALUE"""),"DOCHL12706515")</f>
        <v>DOCHL12706515</v>
      </c>
      <c r="B1603" t="s">
        <v>11818</v>
      </c>
      <c r="C1603" s="663" t="s">
        <v>11843</v>
      </c>
      <c r="D1603" s="905" t="s">
        <v>11846</v>
      </c>
    </row>
    <row r="1604" spans="1:4" ht="16.5">
      <c r="A1604" s="587" t="str">
        <f ca="1">IFERROR(__xludf.DUMMYFUNCTION("""COMPUTED_VALUE"""),"DOCHL12706615")</f>
        <v>DOCHL12706615</v>
      </c>
      <c r="B1604" t="s">
        <v>11818</v>
      </c>
      <c r="C1604" s="663" t="s">
        <v>11843</v>
      </c>
      <c r="D1604" s="905" t="s">
        <v>11846</v>
      </c>
    </row>
    <row r="1605" spans="1:4" ht="16.5">
      <c r="A1605" s="581" t="str">
        <f ca="1">IFERROR(__xludf.DUMMYFUNCTION("""COMPUTED_VALUE"""),"DOCHL12707015")</f>
        <v>DOCHL12707015</v>
      </c>
      <c r="B1605" t="s">
        <v>11818</v>
      </c>
      <c r="C1605" s="663" t="s">
        <v>11843</v>
      </c>
      <c r="D1605" s="905" t="s">
        <v>11846</v>
      </c>
    </row>
    <row r="1606" spans="1:4" ht="16.5">
      <c r="A1606" s="587" t="str">
        <f ca="1">IFERROR(__xludf.DUMMYFUNCTION("""COMPUTED_VALUE"""),"DOCHL12707515")</f>
        <v>DOCHL12707515</v>
      </c>
      <c r="B1606" t="s">
        <v>11818</v>
      </c>
      <c r="C1606" s="663" t="s">
        <v>11843</v>
      </c>
      <c r="D1606" s="905" t="s">
        <v>11846</v>
      </c>
    </row>
    <row r="1607" spans="1:4" ht="16.5">
      <c r="A1607" s="581" t="str">
        <f ca="1">IFERROR(__xludf.DUMMYFUNCTION("""COMPUTED_VALUE"""),"DOCHL12708015")</f>
        <v>DOCHL12708015</v>
      </c>
      <c r="B1607" t="s">
        <v>11818</v>
      </c>
      <c r="C1607" s="663" t="s">
        <v>11843</v>
      </c>
      <c r="D1607" s="905" t="s">
        <v>11846</v>
      </c>
    </row>
    <row r="1608" spans="1:4" ht="16.5">
      <c r="A1608" s="587" t="str">
        <f ca="1">IFERROR(__xludf.DUMMYFUNCTION("""COMPUTED_VALUE"""),"DOCHL127008150")</f>
        <v>DOCHL127008150</v>
      </c>
      <c r="B1608" t="s">
        <v>11818</v>
      </c>
      <c r="C1608" s="663" t="s">
        <v>11843</v>
      </c>
      <c r="D1608" s="905" t="s">
        <v>11846</v>
      </c>
    </row>
    <row r="1609" spans="1:4" ht="16.5">
      <c r="A1609" s="581" t="str">
        <f ca="1">IFERROR(__xludf.DUMMYFUNCTION("""COMPUTED_VALUE"""),"DOCHL12708130")</f>
        <v>DOCHL12708130</v>
      </c>
      <c r="B1609" t="s">
        <v>11818</v>
      </c>
      <c r="C1609" s="663" t="s">
        <v>11843</v>
      </c>
      <c r="D1609" s="905" t="s">
        <v>11846</v>
      </c>
    </row>
    <row r="1610" spans="1:4" ht="16.5">
      <c r="A1610" s="587" t="str">
        <f ca="1">IFERROR(__xludf.DUMMYFUNCTION("""COMPUTED_VALUE"""),"DOCHL12708150")</f>
        <v>DOCHL12708150</v>
      </c>
      <c r="B1610" t="s">
        <v>11818</v>
      </c>
      <c r="C1610" s="663" t="s">
        <v>11843</v>
      </c>
      <c r="D1610" s="905" t="s">
        <v>11846</v>
      </c>
    </row>
    <row r="1611" spans="1:4" ht="16.5">
      <c r="A1611" s="581" t="str">
        <f ca="1">IFERROR(__xludf.DUMMYFUNCTION("""COMPUTED_VALUE"""),"DOCHL12708915")</f>
        <v>DOCHL12708915</v>
      </c>
      <c r="B1611" t="s">
        <v>11818</v>
      </c>
      <c r="C1611" s="663" t="s">
        <v>11843</v>
      </c>
      <c r="D1611" s="905" t="s">
        <v>11846</v>
      </c>
    </row>
    <row r="1612" spans="1:4" ht="16.5">
      <c r="A1612" s="587" t="str">
        <f ca="1">IFERROR(__xludf.DUMMYFUNCTION("""COMPUTED_VALUE"""),"DOCHL12709115")</f>
        <v>DOCHL12709115</v>
      </c>
      <c r="B1612" t="s">
        <v>11818</v>
      </c>
      <c r="C1612" s="663" t="s">
        <v>11843</v>
      </c>
      <c r="D1612" s="905" t="s">
        <v>11846</v>
      </c>
    </row>
    <row r="1613" spans="1:4" ht="16.5">
      <c r="A1613" s="581" t="str">
        <f ca="1">IFERROR(__xludf.DUMMYFUNCTION("""COMPUTED_VALUE"""),"DOCHL158806115")</f>
        <v>DOCHL158806115</v>
      </c>
      <c r="B1613" t="s">
        <v>11818</v>
      </c>
      <c r="C1613" s="663" t="s">
        <v>11843</v>
      </c>
      <c r="D1613" s="905" t="s">
        <v>11846</v>
      </c>
    </row>
    <row r="1614" spans="1:4" ht="16.5">
      <c r="A1614" s="587" t="str">
        <f ca="1">IFERROR(__xludf.DUMMYFUNCTION("""COMPUTED_VALUE"""),"DOCHL158806515")</f>
        <v>DOCHL158806515</v>
      </c>
      <c r="B1614" t="s">
        <v>11818</v>
      </c>
      <c r="C1614" s="663" t="s">
        <v>11843</v>
      </c>
      <c r="D1614" s="905" t="s">
        <v>11846</v>
      </c>
    </row>
    <row r="1615" spans="1:4" ht="16.5">
      <c r="A1615" s="581" t="str">
        <f ca="1">IFERROR(__xludf.DUMMYFUNCTION("""COMPUTED_VALUE"""),"DOCHL158807015")</f>
        <v>DOCHL158807015</v>
      </c>
      <c r="B1615" t="s">
        <v>11818</v>
      </c>
      <c r="C1615" s="663" t="s">
        <v>11843</v>
      </c>
      <c r="D1615" s="905" t="s">
        <v>11846</v>
      </c>
    </row>
    <row r="1616" spans="1:4" ht="16.5">
      <c r="A1616" s="587" t="str">
        <f ca="1">IFERROR(__xludf.DUMMYFUNCTION("""COMPUTED_VALUE"""),"DOCHL158807115")</f>
        <v>DOCHL158807115</v>
      </c>
      <c r="B1616" t="s">
        <v>11818</v>
      </c>
      <c r="C1616" s="663" t="s">
        <v>11843</v>
      </c>
      <c r="D1616" s="905" t="s">
        <v>11846</v>
      </c>
    </row>
    <row r="1617" spans="1:4" ht="16.5">
      <c r="A1617" s="581" t="str">
        <f ca="1">IFERROR(__xludf.DUMMYFUNCTION("""COMPUTED_VALUE"""),"DOCHL158807515")</f>
        <v>DOCHL158807515</v>
      </c>
      <c r="B1617" t="s">
        <v>11818</v>
      </c>
      <c r="C1617" s="663" t="s">
        <v>11843</v>
      </c>
      <c r="D1617" s="905" t="s">
        <v>11846</v>
      </c>
    </row>
    <row r="1618" spans="1:4" ht="16.5">
      <c r="A1618" s="587" t="str">
        <f ca="1">IFERROR(__xludf.DUMMYFUNCTION("""COMPUTED_VALUE"""),"DOCHL158808015")</f>
        <v>DOCHL158808015</v>
      </c>
      <c r="B1618" t="s">
        <v>11818</v>
      </c>
      <c r="C1618" s="663" t="s">
        <v>11843</v>
      </c>
      <c r="D1618" s="905" t="s">
        <v>11846</v>
      </c>
    </row>
    <row r="1619" spans="1:4" ht="16.5">
      <c r="A1619" s="581" t="str">
        <f ca="1">IFERROR(__xludf.DUMMYFUNCTION("""COMPUTED_VALUE"""),"DOCHL158808150")</f>
        <v>DOCHL158808150</v>
      </c>
      <c r="B1619" t="s">
        <v>11818</v>
      </c>
      <c r="C1619" s="663" t="s">
        <v>11843</v>
      </c>
      <c r="D1619" s="905" t="s">
        <v>11846</v>
      </c>
    </row>
    <row r="1620" spans="1:4" ht="16.5">
      <c r="A1620" s="587" t="str">
        <f ca="1">IFERROR(__xludf.DUMMYFUNCTION("""COMPUTED_VALUE"""),"DOCHL158808115")</f>
        <v>DOCHL158808115</v>
      </c>
      <c r="B1620" t="s">
        <v>11818</v>
      </c>
      <c r="C1620" s="663" t="s">
        <v>11843</v>
      </c>
      <c r="D1620" s="905" t="s">
        <v>11846</v>
      </c>
    </row>
    <row r="1621" spans="1:4" ht="16.5">
      <c r="A1621" s="581" t="str">
        <f ca="1">IFERROR(__xludf.DUMMYFUNCTION("""COMPUTED_VALUE"""),"DOCHL158808915")</f>
        <v>DOCHL158808915</v>
      </c>
      <c r="B1621" t="s">
        <v>11818</v>
      </c>
      <c r="C1621" s="663" t="s">
        <v>11843</v>
      </c>
      <c r="D1621" s="905" t="s">
        <v>11846</v>
      </c>
    </row>
    <row r="1622" spans="1:4" ht="16.5">
      <c r="A1622" s="587" t="str">
        <f ca="1">IFERROR(__xludf.DUMMYFUNCTION("""COMPUTED_VALUE"""),"DOCHL158808950")</f>
        <v>DOCHL158808950</v>
      </c>
      <c r="B1622" t="s">
        <v>11818</v>
      </c>
      <c r="C1622" s="663" t="s">
        <v>11843</v>
      </c>
      <c r="D1622" s="905" t="s">
        <v>11846</v>
      </c>
    </row>
    <row r="1623" spans="1:4" ht="16.5">
      <c r="A1623" s="581" t="str">
        <f ca="1">IFERROR(__xludf.DUMMYFUNCTION("""COMPUTED_VALUE"""),"DOCHL158809115")</f>
        <v>DOCHL158809115</v>
      </c>
      <c r="B1623" t="s">
        <v>11818</v>
      </c>
      <c r="C1623" s="663" t="s">
        <v>11843</v>
      </c>
      <c r="D1623" s="905" t="s">
        <v>11846</v>
      </c>
    </row>
    <row r="1624" spans="1:4" ht="16.5">
      <c r="A1624" s="587" t="str">
        <f ca="1">IFERROR(__xludf.DUMMYFUNCTION("""COMPUTED_VALUE"""),"DOCHL158809115.")</f>
        <v>DOCHL158809115.</v>
      </c>
      <c r="B1624" t="s">
        <v>11818</v>
      </c>
      <c r="C1624" s="663" t="s">
        <v>11843</v>
      </c>
      <c r="D1624" s="905" t="s">
        <v>11846</v>
      </c>
    </row>
    <row r="1625" spans="1:4" ht="16.5">
      <c r="A1625" s="581" t="str">
        <f ca="1">IFERROR(__xludf.DUMMYFUNCTION("""COMPUTED_VALUE"""),"DOCHL15881015")</f>
        <v>DOCHL15881015</v>
      </c>
      <c r="B1625" t="s">
        <v>11818</v>
      </c>
      <c r="C1625" s="663" t="s">
        <v>11843</v>
      </c>
      <c r="D1625" s="905" t="s">
        <v>11846</v>
      </c>
    </row>
    <row r="1626" spans="1:4" ht="16.5">
      <c r="A1626" s="587" t="str">
        <f ca="1">IFERROR(__xludf.DUMMYFUNCTION("""COMPUTED_VALUE"""),"DOCHL158810250")</f>
        <v>DOCHL158810250</v>
      </c>
      <c r="B1626" t="s">
        <v>11818</v>
      </c>
      <c r="C1626" s="663" t="s">
        <v>11843</v>
      </c>
      <c r="D1626" s="905" t="s">
        <v>11846</v>
      </c>
    </row>
    <row r="1627" spans="1:4" ht="16.5">
      <c r="A1627" s="581" t="str">
        <f ca="1">IFERROR(__xludf.DUMMYFUNCTION("""COMPUTED_VALUE"""),"DOCHL158810215")</f>
        <v>DOCHL158810215</v>
      </c>
      <c r="B1627" t="s">
        <v>11818</v>
      </c>
      <c r="C1627" s="663" t="s">
        <v>11843</v>
      </c>
      <c r="D1627" s="905" t="s">
        <v>11846</v>
      </c>
    </row>
    <row r="1628" spans="1:4" ht="16.5">
      <c r="A1628" s="587" t="str">
        <f ca="1">IFERROR(__xludf.DUMMYFUNCTION("""COMPUTED_VALUE"""),"DOCHL160008015")</f>
        <v>DOCHL160008015</v>
      </c>
      <c r="B1628" t="s">
        <v>11818</v>
      </c>
      <c r="C1628" s="663" t="s">
        <v>11843</v>
      </c>
      <c r="D1628" s="905" t="s">
        <v>11846</v>
      </c>
    </row>
    <row r="1629" spans="1:4" ht="16.5">
      <c r="A1629" s="581" t="str">
        <f ca="1">IFERROR(__xludf.DUMMYFUNCTION("""COMPUTED_VALUE"""),"DOCHL190512215")</f>
        <v>DOCHL190512215</v>
      </c>
      <c r="B1629" t="s">
        <v>11818</v>
      </c>
      <c r="C1629" s="663" t="s">
        <v>11843</v>
      </c>
      <c r="D1629" s="905" t="s">
        <v>11846</v>
      </c>
    </row>
    <row r="1630" spans="1:4" ht="16.5">
      <c r="A1630" s="587" t="str">
        <f ca="1">IFERROR(__xludf.DUMMYFUNCTION("""COMPUTED_VALUE"""),"DOCHL190506115")</f>
        <v>DOCHL190506115</v>
      </c>
      <c r="B1630" t="s">
        <v>11818</v>
      </c>
      <c r="C1630" s="663" t="s">
        <v>11843</v>
      </c>
      <c r="D1630" s="905" t="s">
        <v>11846</v>
      </c>
    </row>
    <row r="1631" spans="1:4" ht="16.5">
      <c r="A1631" s="581" t="str">
        <f ca="1">IFERROR(__xludf.DUMMYFUNCTION("""COMPUTED_VALUE"""),"DOCHL190506515")</f>
        <v>DOCHL190506515</v>
      </c>
      <c r="B1631" t="s">
        <v>11818</v>
      </c>
      <c r="C1631" s="663" t="s">
        <v>11843</v>
      </c>
      <c r="D1631" s="905" t="s">
        <v>11846</v>
      </c>
    </row>
    <row r="1632" spans="1:4" ht="16.5">
      <c r="A1632" s="587" t="str">
        <f ca="1">IFERROR(__xludf.DUMMYFUNCTION("""COMPUTED_VALUE"""),"DOCHL190507015")</f>
        <v>DOCHL190507015</v>
      </c>
      <c r="B1632" t="s">
        <v>11818</v>
      </c>
      <c r="C1632" s="663" t="s">
        <v>11843</v>
      </c>
      <c r="D1632" s="905" t="s">
        <v>11846</v>
      </c>
    </row>
    <row r="1633" spans="1:4" ht="16.5">
      <c r="A1633" s="581" t="str">
        <f ca="1">IFERROR(__xludf.DUMMYFUNCTION("""COMPUTED_VALUE"""),"DOCHL190507115")</f>
        <v>DOCHL190507115</v>
      </c>
      <c r="B1633" t="s">
        <v>11818</v>
      </c>
      <c r="C1633" s="663" t="s">
        <v>11843</v>
      </c>
      <c r="D1633" s="905" t="s">
        <v>11846</v>
      </c>
    </row>
    <row r="1634" spans="1:4" ht="16.5">
      <c r="A1634" s="587" t="str">
        <f ca="1">IFERROR(__xludf.DUMMYFUNCTION("""COMPUTED_VALUE"""),"DOCHL190507515")</f>
        <v>DOCHL190507515</v>
      </c>
      <c r="B1634" t="s">
        <v>11818</v>
      </c>
      <c r="C1634" s="663" t="s">
        <v>11843</v>
      </c>
      <c r="D1634" s="905" t="s">
        <v>11846</v>
      </c>
    </row>
    <row r="1635" spans="1:4" ht="16.5">
      <c r="A1635" s="581" t="str">
        <f ca="1">IFERROR(__xludf.DUMMYFUNCTION("""COMPUTED_VALUE"""),"DOCHL190508015")</f>
        <v>DOCHL190508015</v>
      </c>
      <c r="B1635" t="s">
        <v>11818</v>
      </c>
      <c r="C1635" s="663" t="s">
        <v>11843</v>
      </c>
      <c r="D1635" s="905" t="s">
        <v>11846</v>
      </c>
    </row>
    <row r="1636" spans="1:4" ht="16.5">
      <c r="A1636" s="587" t="str">
        <f ca="1">IFERROR(__xludf.DUMMYFUNCTION("""COMPUTED_VALUE"""),"DOCHL190508115")</f>
        <v>DOCHL190508115</v>
      </c>
      <c r="B1636" t="s">
        <v>11818</v>
      </c>
      <c r="C1636" s="663" t="s">
        <v>11843</v>
      </c>
      <c r="D1636" s="905" t="s">
        <v>11846</v>
      </c>
    </row>
    <row r="1637" spans="1:4" ht="16.5">
      <c r="A1637" s="581" t="str">
        <f ca="1">IFERROR(__xludf.DUMMYFUNCTION("""COMPUTED_VALUE"""),"DOCHL190509115")</f>
        <v>DOCHL190509115</v>
      </c>
      <c r="B1637" t="s">
        <v>11818</v>
      </c>
      <c r="C1637" s="663" t="s">
        <v>11843</v>
      </c>
      <c r="D1637" s="905" t="s">
        <v>11846</v>
      </c>
    </row>
    <row r="1638" spans="1:4" ht="16.5">
      <c r="A1638" s="587" t="str">
        <f ca="1">IFERROR(__xludf.DUMMYFUNCTION("""COMPUTED_VALUE"""),"DOCHL19051015")</f>
        <v>DOCHL19051015</v>
      </c>
      <c r="B1638" t="s">
        <v>11818</v>
      </c>
      <c r="C1638" s="663" t="s">
        <v>11843</v>
      </c>
      <c r="D1638" s="905" t="s">
        <v>11846</v>
      </c>
    </row>
    <row r="1639" spans="1:4" ht="16.5">
      <c r="A1639" s="581" t="str">
        <f ca="1">IFERROR(__xludf.DUMMYFUNCTION("""COMPUTED_VALUE"""),"DOCHL190510215")</f>
        <v>DOCHL190510215</v>
      </c>
      <c r="B1639" t="s">
        <v>11818</v>
      </c>
      <c r="C1639" s="663" t="s">
        <v>11843</v>
      </c>
      <c r="D1639" s="905" t="s">
        <v>11846</v>
      </c>
    </row>
    <row r="1640" spans="1:4" ht="16.5">
      <c r="A1640" s="587" t="str">
        <f ca="1">IFERROR(__xludf.DUMMYFUNCTION("""COMPUTED_VALUE"""),"DOCHL190510715")</f>
        <v>DOCHL190510715</v>
      </c>
      <c r="B1640" t="s">
        <v>11818</v>
      </c>
      <c r="C1640" s="663" t="s">
        <v>11843</v>
      </c>
      <c r="D1640" s="905" t="s">
        <v>11846</v>
      </c>
    </row>
    <row r="1641" spans="1:4" ht="16.5">
      <c r="A1641" s="581" t="str">
        <f ca="1">IFERROR(__xludf.DUMMYFUNCTION("""COMPUTED_VALUE"""),"DOCHL190511015")</f>
        <v>DOCHL190511015</v>
      </c>
      <c r="B1641" t="s">
        <v>11818</v>
      </c>
      <c r="C1641" s="663" t="s">
        <v>11843</v>
      </c>
      <c r="D1641" s="905" t="s">
        <v>11846</v>
      </c>
    </row>
    <row r="1642" spans="1:4" ht="16.5">
      <c r="A1642" s="587" t="str">
        <f ca="1">IFERROR(__xludf.DUMMYFUNCTION("""COMPUTED_VALUE"""),"DOCHL222208115")</f>
        <v>DOCHL222208115</v>
      </c>
      <c r="B1642" t="s">
        <v>11818</v>
      </c>
      <c r="C1642" s="663" t="s">
        <v>11843</v>
      </c>
      <c r="D1642" s="905" t="s">
        <v>11846</v>
      </c>
    </row>
    <row r="1643" spans="1:4" ht="16.5">
      <c r="A1643" s="581" t="str">
        <f ca="1">IFERROR(__xludf.DUMMYFUNCTION("""COMPUTED_VALUE"""),"DOTHL127007129")</f>
        <v>DOTHL127007129</v>
      </c>
      <c r="B1643" t="s">
        <v>11818</v>
      </c>
      <c r="C1643" s="663" t="s">
        <v>11843</v>
      </c>
      <c r="D1643" s="905" t="s">
        <v>11846</v>
      </c>
    </row>
    <row r="1644" spans="1:4" ht="16.5">
      <c r="A1644" s="587" t="str">
        <f ca="1">IFERROR(__xludf.DUMMYFUNCTION("""COMPUTED_VALUE"""),"DOTHL127008129")</f>
        <v>DOTHL127008129</v>
      </c>
      <c r="B1644" t="s">
        <v>11818</v>
      </c>
      <c r="C1644" s="663" t="s">
        <v>11843</v>
      </c>
      <c r="D1644" s="905" t="s">
        <v>11846</v>
      </c>
    </row>
    <row r="1645" spans="1:4" ht="16.5">
      <c r="A1645" s="581" t="str">
        <f ca="1">IFERROR(__xludf.DUMMYFUNCTION("""COMPUTED_VALUE"""),"DOTHL158806129")</f>
        <v>DOTHL158806129</v>
      </c>
      <c r="B1645" t="s">
        <v>11818</v>
      </c>
      <c r="C1645" s="663" t="s">
        <v>11843</v>
      </c>
      <c r="D1645" s="905" t="s">
        <v>11846</v>
      </c>
    </row>
    <row r="1646" spans="1:4" ht="16.5">
      <c r="A1646" s="587" t="str">
        <f ca="1">IFERROR(__xludf.DUMMYFUNCTION("""COMPUTED_VALUE"""),"DOTHL158807129")</f>
        <v>DOTHL158807129</v>
      </c>
      <c r="B1646" t="s">
        <v>11818</v>
      </c>
      <c r="C1646" s="663" t="s">
        <v>11843</v>
      </c>
      <c r="D1646" s="905" t="s">
        <v>11846</v>
      </c>
    </row>
    <row r="1647" spans="1:4" ht="16.5">
      <c r="A1647" s="581" t="str">
        <f ca="1">IFERROR(__xludf.DUMMYFUNCTION("""COMPUTED_VALUE"""),"DOTHL158808129")</f>
        <v>DOTHL158808129</v>
      </c>
      <c r="B1647" t="s">
        <v>11818</v>
      </c>
      <c r="C1647" s="663" t="s">
        <v>11843</v>
      </c>
      <c r="D1647" s="905" t="s">
        <v>11846</v>
      </c>
    </row>
    <row r="1648" spans="1:4" ht="16.5">
      <c r="A1648" s="587" t="str">
        <f ca="1">IFERROR(__xludf.DUMMYFUNCTION("""COMPUTED_VALUE"""),"DOTHL158809129")</f>
        <v>DOTHL158809129</v>
      </c>
      <c r="B1648" t="s">
        <v>11818</v>
      </c>
      <c r="C1648" s="663" t="s">
        <v>11843</v>
      </c>
      <c r="D1648" s="905" t="s">
        <v>11846</v>
      </c>
    </row>
    <row r="1649" spans="1:4" ht="16.5">
      <c r="A1649" s="581" t="str">
        <f ca="1">IFERROR(__xludf.DUMMYFUNCTION("""COMPUTED_VALUE"""),"DOTHL158810229")</f>
        <v>DOTHL158810229</v>
      </c>
      <c r="B1649" t="s">
        <v>11818</v>
      </c>
      <c r="C1649" s="663" t="s">
        <v>11843</v>
      </c>
      <c r="D1649" s="905" t="s">
        <v>11846</v>
      </c>
    </row>
    <row r="1650" spans="1:4" ht="16.5">
      <c r="A1650" s="587" t="str">
        <f ca="1">IFERROR(__xludf.DUMMYFUNCTION("""COMPUTED_VALUE"""),"DOTHL190512215")</f>
        <v>DOTHL190512215</v>
      </c>
      <c r="B1650" t="s">
        <v>11818</v>
      </c>
      <c r="C1650" s="663" t="s">
        <v>11843</v>
      </c>
      <c r="D1650" s="905" t="s">
        <v>11846</v>
      </c>
    </row>
    <row r="1651" spans="1:4" ht="16.5">
      <c r="A1651" s="581" t="str">
        <f ca="1">IFERROR(__xludf.DUMMYFUNCTION("""COMPUTED_VALUE"""),"DOTHL190507129")</f>
        <v>DOTHL190507129</v>
      </c>
      <c r="B1651" t="s">
        <v>11818</v>
      </c>
      <c r="C1651" s="663" t="s">
        <v>11843</v>
      </c>
      <c r="D1651" s="905" t="s">
        <v>11846</v>
      </c>
    </row>
    <row r="1652" spans="1:4" ht="16.5">
      <c r="A1652" s="587" t="str">
        <f ca="1">IFERROR(__xludf.DUMMYFUNCTION("""COMPUTED_VALUE"""),"DOTHL190508129")</f>
        <v>DOTHL190508129</v>
      </c>
      <c r="B1652" t="s">
        <v>11818</v>
      </c>
      <c r="C1652" s="663" t="s">
        <v>11843</v>
      </c>
      <c r="D1652" s="905" t="s">
        <v>11846</v>
      </c>
    </row>
    <row r="1653" spans="1:4" ht="16.5">
      <c r="A1653" s="581" t="str">
        <f ca="1">IFERROR(__xludf.DUMMYFUNCTION("""COMPUTED_VALUE"""),"DOTHL190510029")</f>
        <v>DOTHL190510029</v>
      </c>
      <c r="B1653" t="s">
        <v>11818</v>
      </c>
      <c r="C1653" s="663" t="s">
        <v>11843</v>
      </c>
      <c r="D1653" s="905" t="s">
        <v>11846</v>
      </c>
    </row>
    <row r="1654" spans="1:4" ht="16.5">
      <c r="A1654" s="587" t="str">
        <f ca="1">IFERROR(__xludf.DUMMYFUNCTION("""COMPUTED_VALUE"""),"DOTHL190510229")</f>
        <v>DOTHL190510229</v>
      </c>
      <c r="B1654" t="s">
        <v>11818</v>
      </c>
      <c r="C1654" s="663" t="s">
        <v>11843</v>
      </c>
      <c r="D1654" s="905" t="s">
        <v>11846</v>
      </c>
    </row>
    <row r="1655" spans="1:4" ht="16.5">
      <c r="A1655" s="581" t="str">
        <f ca="1">IFERROR(__xludf.DUMMYFUNCTION("""COMPUTED_VALUE"""),"DOTHL1905107")</f>
        <v>DOTHL1905107</v>
      </c>
      <c r="B1655" t="s">
        <v>11818</v>
      </c>
      <c r="C1655" s="663" t="s">
        <v>11843</v>
      </c>
      <c r="D1655" s="905" t="s">
        <v>11846</v>
      </c>
    </row>
    <row r="1656" spans="1:4" ht="16.5">
      <c r="A1656" s="587" t="str">
        <f ca="1">IFERROR(__xludf.DUMMYFUNCTION("""COMPUTED_VALUE"""),"DOTHL190512029")</f>
        <v>DOTHL190512029</v>
      </c>
      <c r="B1656" t="s">
        <v>11818</v>
      </c>
      <c r="C1656" s="663" t="s">
        <v>11843</v>
      </c>
      <c r="D1656" s="905" t="s">
        <v>11846</v>
      </c>
    </row>
    <row r="1657" spans="1:4" ht="16.5">
      <c r="A1657" s="581" t="str">
        <f ca="1">IFERROR(__xludf.DUMMYFUNCTION("""COMPUTED_VALUE"""),"DOTHL22220829")</f>
        <v>DOTHL22220829</v>
      </c>
      <c r="B1657" t="s">
        <v>11818</v>
      </c>
      <c r="C1657" s="663" t="s">
        <v>11843</v>
      </c>
      <c r="D1657" s="905" t="s">
        <v>11846</v>
      </c>
    </row>
    <row r="1658" spans="1:4" ht="16.5">
      <c r="A1658" s="587" t="str">
        <f ca="1">IFERROR(__xludf.DUMMYFUNCTION("""COMPUTED_VALUE"""),"DOTHL222208129")</f>
        <v>DOTHL222208129</v>
      </c>
      <c r="B1658" t="s">
        <v>11818</v>
      </c>
      <c r="C1658" s="663" t="s">
        <v>11843</v>
      </c>
      <c r="D1658" s="905" t="s">
        <v>11846</v>
      </c>
    </row>
    <row r="1659" spans="1:4" ht="16.5">
      <c r="A1659" s="581" t="str">
        <f ca="1">IFERROR(__xludf.DUMMYFUNCTION("""COMPUTED_VALUE"""),"DOTHL222208158")</f>
        <v>DOTHL222208158</v>
      </c>
      <c r="B1659" t="s">
        <v>11818</v>
      </c>
      <c r="C1659" s="663" t="s">
        <v>11843</v>
      </c>
      <c r="D1659" s="905" t="s">
        <v>11846</v>
      </c>
    </row>
    <row r="1660" spans="1:4" ht="16.5">
      <c r="A1660" s="587" t="str">
        <f ca="1">IFERROR(__xludf.DUMMYFUNCTION("""COMPUTED_VALUE"""),"DOTHL222209129")</f>
        <v>DOTHL222209129</v>
      </c>
      <c r="B1660" t="s">
        <v>11818</v>
      </c>
      <c r="C1660" s="663" t="s">
        <v>11843</v>
      </c>
      <c r="D1660" s="905" t="s">
        <v>11846</v>
      </c>
    </row>
    <row r="1661" spans="1:4" ht="16.5">
      <c r="A1661" s="581" t="str">
        <f ca="1">IFERROR(__xludf.DUMMYFUNCTION("""COMPUTED_VALUE"""),"DOTHL22221029")</f>
        <v>DOTHL22221029</v>
      </c>
      <c r="B1661" t="s">
        <v>11818</v>
      </c>
      <c r="C1661" s="663" t="s">
        <v>11843</v>
      </c>
      <c r="D1661" s="905" t="s">
        <v>11846</v>
      </c>
    </row>
    <row r="1662" spans="1:4" ht="16.5">
      <c r="A1662" s="587" t="str">
        <f ca="1">IFERROR(__xludf.DUMMYFUNCTION("""COMPUTED_VALUE"""),"DOTHL22221058")</f>
        <v>DOTHL22221058</v>
      </c>
      <c r="B1662" t="s">
        <v>11818</v>
      </c>
      <c r="C1662" s="663" t="s">
        <v>11843</v>
      </c>
      <c r="D1662" s="905" t="s">
        <v>11846</v>
      </c>
    </row>
    <row r="1663" spans="1:4" ht="16.5">
      <c r="A1663" s="581" t="str">
        <f ca="1">IFERROR(__xludf.DUMMYFUNCTION("""COMPUTED_VALUE"""),"DOTHL222210258")</f>
        <v>DOTHL222210258</v>
      </c>
      <c r="B1663" t="s">
        <v>11818</v>
      </c>
      <c r="C1663" s="663" t="s">
        <v>11843</v>
      </c>
      <c r="D1663" s="905" t="s">
        <v>11846</v>
      </c>
    </row>
    <row r="1664" spans="1:4" ht="16.5">
      <c r="A1664" s="587" t="str">
        <f ca="1">IFERROR(__xludf.DUMMYFUNCTION("""COMPUTED_VALUE"""),"DOTHL222210229")</f>
        <v>DOTHL222210229</v>
      </c>
      <c r="B1664" t="s">
        <v>11818</v>
      </c>
      <c r="C1664" s="663" t="s">
        <v>11843</v>
      </c>
      <c r="D1664" s="905" t="s">
        <v>11846</v>
      </c>
    </row>
    <row r="1665" spans="1:4" ht="16.5">
      <c r="A1665" s="581" t="str">
        <f ca="1">IFERROR(__xludf.DUMMYFUNCTION("""COMPUTED_VALUE"""),"DOTHL22221129")</f>
        <v>DOTHL22221129</v>
      </c>
      <c r="B1665" t="s">
        <v>11818</v>
      </c>
      <c r="C1665" s="663" t="s">
        <v>11843</v>
      </c>
      <c r="D1665" s="905" t="s">
        <v>11846</v>
      </c>
    </row>
    <row r="1666" spans="1:4" ht="16.5">
      <c r="A1666" s="587" t="str">
        <f ca="1">IFERROR(__xludf.DUMMYFUNCTION("""COMPUTED_VALUE"""),"DOTHL222211429")</f>
        <v>DOTHL222211429</v>
      </c>
      <c r="B1666" t="s">
        <v>11818</v>
      </c>
      <c r="C1666" s="663" t="s">
        <v>11843</v>
      </c>
      <c r="D1666" s="905" t="s">
        <v>11846</v>
      </c>
    </row>
    <row r="1667" spans="1:4" ht="16.5">
      <c r="A1667" s="581" t="str">
        <f ca="1">IFERROR(__xludf.DUMMYFUNCTION("""COMPUTED_VALUE"""),"DOTHL22221258")</f>
        <v>DOTHL22221258</v>
      </c>
      <c r="B1667" t="s">
        <v>11818</v>
      </c>
      <c r="C1667" s="663" t="s">
        <v>11843</v>
      </c>
      <c r="D1667" s="905" t="s">
        <v>11846</v>
      </c>
    </row>
    <row r="1668" spans="1:4" ht="16.5">
      <c r="A1668" s="587" t="str">
        <f ca="1">IFERROR(__xludf.DUMMYFUNCTION("""COMPUTED_VALUE"""),"DOTHL22221229")</f>
        <v>DOTHL22221229</v>
      </c>
      <c r="B1668" t="s">
        <v>11818</v>
      </c>
      <c r="C1668" s="663" t="s">
        <v>11843</v>
      </c>
      <c r="D1668" s="905" t="s">
        <v>11846</v>
      </c>
    </row>
    <row r="1669" spans="1:4" ht="16.5">
      <c r="A1669" s="581" t="str">
        <f ca="1">IFERROR(__xludf.DUMMYFUNCTION("""COMPUTED_VALUE"""),"DOTHL222212258")</f>
        <v>DOTHL222212258</v>
      </c>
      <c r="B1669" t="s">
        <v>11818</v>
      </c>
      <c r="C1669" s="663" t="s">
        <v>11843</v>
      </c>
      <c r="D1669" s="905" t="s">
        <v>11846</v>
      </c>
    </row>
    <row r="1670" spans="1:4" ht="16.5">
      <c r="A1670" s="587"/>
      <c r="B1670" t="s">
        <v>11818</v>
      </c>
      <c r="C1670" s="663" t="s">
        <v>11843</v>
      </c>
      <c r="D1670" s="905" t="s">
        <v>11846</v>
      </c>
    </row>
    <row r="1671" spans="1:4" ht="16.5">
      <c r="A1671" s="581" t="str">
        <f ca="1">IFERROR(__xludf.DUMMYFUNCTION("""COMPUTED_VALUE"""),"DOTHL2540081")</f>
        <v>DOTHL2540081</v>
      </c>
      <c r="B1671" t="s">
        <v>11818</v>
      </c>
      <c r="C1671" s="663" t="s">
        <v>11843</v>
      </c>
      <c r="D1671" s="905" t="s">
        <v>11846</v>
      </c>
    </row>
    <row r="1672" spans="1:4" ht="16.5">
      <c r="A1672" s="587" t="str">
        <f ca="1">IFERROR(__xludf.DUMMYFUNCTION("""COMPUTED_VALUE"""),"DOTHL25401058")</f>
        <v>DOTHL25401058</v>
      </c>
      <c r="B1672" t="s">
        <v>11818</v>
      </c>
      <c r="C1672" s="663" t="s">
        <v>11843</v>
      </c>
      <c r="D1672" s="905" t="s">
        <v>11846</v>
      </c>
    </row>
    <row r="1673" spans="1:4" ht="16.5">
      <c r="A1673" s="581" t="str">
        <f ca="1">IFERROR(__xludf.DUMMYFUNCTION("""COMPUTED_VALUE"""),"DOTHL254010229")</f>
        <v>DOTHL254010229</v>
      </c>
      <c r="B1673" t="s">
        <v>11818</v>
      </c>
      <c r="C1673" s="663" t="s">
        <v>11843</v>
      </c>
      <c r="D1673" s="905" t="s">
        <v>11846</v>
      </c>
    </row>
    <row r="1674" spans="1:4" ht="16.5">
      <c r="A1674" s="587" t="str">
        <f ca="1">IFERROR(__xludf.DUMMYFUNCTION("""COMPUTED_VALUE"""),"DOTHL254011429")</f>
        <v>DOTHL254011429</v>
      </c>
      <c r="B1674" t="s">
        <v>11818</v>
      </c>
      <c r="C1674" s="663" t="s">
        <v>11843</v>
      </c>
      <c r="D1674" s="905" t="s">
        <v>11846</v>
      </c>
    </row>
    <row r="1675" spans="1:4" ht="16.5">
      <c r="A1675" s="581" t="str">
        <f ca="1">IFERROR(__xludf.DUMMYFUNCTION("""COMPUTED_VALUE"""),"DOTHL25401229")</f>
        <v>DOTHL25401229</v>
      </c>
      <c r="B1675" t="s">
        <v>11818</v>
      </c>
      <c r="C1675" s="663" t="s">
        <v>11843</v>
      </c>
      <c r="D1675" s="905" t="s">
        <v>11846</v>
      </c>
    </row>
    <row r="1676" spans="1:4" ht="16.5">
      <c r="A1676" s="587" t="str">
        <f ca="1">IFERROR(__xludf.DUMMYFUNCTION("""COMPUTED_VALUE"""),"DOTHL25401258")</f>
        <v>DOTHL25401258</v>
      </c>
      <c r="B1676" t="s">
        <v>11818</v>
      </c>
      <c r="C1676" s="663" t="s">
        <v>11843</v>
      </c>
      <c r="D1676" s="905" t="s">
        <v>11846</v>
      </c>
    </row>
    <row r="1677" spans="1:4" ht="16.5">
      <c r="A1677" s="581" t="str">
        <f ca="1">IFERROR(__xludf.DUMMYFUNCTION("""COMPUTED_VALUE"""),"DOTHL254012229")</f>
        <v>DOTHL254012229</v>
      </c>
      <c r="B1677" t="s">
        <v>11818</v>
      </c>
      <c r="C1677" s="663" t="s">
        <v>11843</v>
      </c>
      <c r="D1677" s="905" t="s">
        <v>11846</v>
      </c>
    </row>
    <row r="1678" spans="1:4" ht="16.5">
      <c r="A1678" s="587" t="str">
        <f ca="1">IFERROR(__xludf.DUMMYFUNCTION("""COMPUTED_VALUE"""),"DOTHL285808129")</f>
        <v>DOTHL285808129</v>
      </c>
      <c r="B1678" t="s">
        <v>11818</v>
      </c>
      <c r="C1678" s="663" t="s">
        <v>11843</v>
      </c>
      <c r="D1678" s="905" t="s">
        <v>11846</v>
      </c>
    </row>
    <row r="1679" spans="1:4" ht="16.5">
      <c r="A1679" s="581" t="str">
        <f ca="1">IFERROR(__xludf.DUMMYFUNCTION("""COMPUTED_VALUE"""),"DOTHL285808158")</f>
        <v>DOTHL285808158</v>
      </c>
      <c r="B1679" t="s">
        <v>11818</v>
      </c>
      <c r="C1679" s="663" t="s">
        <v>11843</v>
      </c>
      <c r="D1679" s="905" t="s">
        <v>11846</v>
      </c>
    </row>
    <row r="1680" spans="1:4" ht="16.5">
      <c r="A1680" s="587" t="str">
        <f ca="1">IFERROR(__xludf.DUMMYFUNCTION("""COMPUTED_VALUE"""),"DOTHL285809129")</f>
        <v>DOTHL285809129</v>
      </c>
      <c r="B1680" t="s">
        <v>11818</v>
      </c>
      <c r="C1680" s="663" t="s">
        <v>11843</v>
      </c>
      <c r="D1680" s="905" t="s">
        <v>11846</v>
      </c>
    </row>
    <row r="1681" spans="1:4" ht="16.5">
      <c r="A1681" s="581" t="str">
        <f ca="1">IFERROR(__xludf.DUMMYFUNCTION("""COMPUTED_VALUE"""),"DOTHL285810058")</f>
        <v>DOTHL285810058</v>
      </c>
      <c r="B1681" t="s">
        <v>11818</v>
      </c>
      <c r="C1681" s="663" t="s">
        <v>11843</v>
      </c>
      <c r="D1681" s="905" t="s">
        <v>11846</v>
      </c>
    </row>
    <row r="1682" spans="1:4" ht="16.5">
      <c r="A1682" s="587" t="str">
        <f ca="1">IFERROR(__xludf.DUMMYFUNCTION("""COMPUTED_VALUE"""),"DOTHL285810258")</f>
        <v>DOTHL285810258</v>
      </c>
      <c r="B1682" t="s">
        <v>11818</v>
      </c>
      <c r="C1682" s="663" t="s">
        <v>11843</v>
      </c>
      <c r="D1682" s="905" t="s">
        <v>11846</v>
      </c>
    </row>
    <row r="1683" spans="1:4" ht="16.5">
      <c r="A1683" s="581" t="str">
        <f ca="1">IFERROR(__xludf.DUMMYFUNCTION("""COMPUTED_VALUE"""),"DOTHL285810229")</f>
        <v>DOTHL285810229</v>
      </c>
      <c r="B1683" t="s">
        <v>11818</v>
      </c>
      <c r="C1683" s="663" t="s">
        <v>11843</v>
      </c>
      <c r="D1683" s="905" t="s">
        <v>11846</v>
      </c>
    </row>
    <row r="1684" spans="1:4" ht="16.5">
      <c r="A1684" s="587" t="str">
        <f ca="1">IFERROR(__xludf.DUMMYFUNCTION("""COMPUTED_VALUE"""),"DOTHL285811029")</f>
        <v>DOTHL285811029</v>
      </c>
      <c r="B1684" t="s">
        <v>11818</v>
      </c>
      <c r="C1684" s="663" t="s">
        <v>11843</v>
      </c>
      <c r="D1684" s="905" t="s">
        <v>11846</v>
      </c>
    </row>
    <row r="1685" spans="1:4" ht="16.5">
      <c r="A1685" s="581" t="str">
        <f ca="1">IFERROR(__xludf.DUMMYFUNCTION("""COMPUTED_VALUE"""),"DOTHL28581258")</f>
        <v>DOTHL28581258</v>
      </c>
      <c r="B1685" t="s">
        <v>11818</v>
      </c>
      <c r="C1685" s="663" t="s">
        <v>11843</v>
      </c>
      <c r="D1685" s="905" t="s">
        <v>11846</v>
      </c>
    </row>
    <row r="1686" spans="1:4" ht="16.5">
      <c r="A1686" s="587" t="str">
        <f ca="1">IFERROR(__xludf.DUMMYFUNCTION("""COMPUTED_VALUE"""),"DOTHL28581229")</f>
        <v>DOTHL28581229</v>
      </c>
      <c r="B1686" t="s">
        <v>11818</v>
      </c>
      <c r="C1686" s="663" t="s">
        <v>11843</v>
      </c>
      <c r="D1686" s="905" t="s">
        <v>11846</v>
      </c>
    </row>
    <row r="1687" spans="1:4" ht="16.5">
      <c r="A1687" s="581" t="str">
        <f ca="1">IFERROR(__xludf.DUMMYFUNCTION("""COMPUTED_VALUE"""),"DOTHL285812229")</f>
        <v>DOTHL285812229</v>
      </c>
      <c r="B1687" t="s">
        <v>11818</v>
      </c>
      <c r="C1687" s="663" t="s">
        <v>11843</v>
      </c>
      <c r="D1687" s="905" t="s">
        <v>11846</v>
      </c>
    </row>
    <row r="1688" spans="1:4" ht="16.5">
      <c r="A1688" s="587" t="str">
        <f ca="1">IFERROR(__xludf.DUMMYFUNCTION("""COMPUTED_VALUE"""),"DOTHL285812715")</f>
        <v>DOTHL285812715</v>
      </c>
      <c r="B1688" t="s">
        <v>11818</v>
      </c>
      <c r="C1688" s="663" t="s">
        <v>11843</v>
      </c>
      <c r="D1688" s="905" t="s">
        <v>11846</v>
      </c>
    </row>
    <row r="1689" spans="1:4" ht="16.5">
      <c r="A1689" s="581" t="str">
        <f ca="1">IFERROR(__xludf.DUMMYFUNCTION("""COMPUTED_VALUE"""),"DOTHL285812729")</f>
        <v>DOTHL285812729</v>
      </c>
      <c r="B1689" t="s">
        <v>11818</v>
      </c>
      <c r="C1689" s="663" t="s">
        <v>11843</v>
      </c>
      <c r="D1689" s="905" t="s">
        <v>11846</v>
      </c>
    </row>
    <row r="1690" spans="1:4" ht="16.5">
      <c r="A1690" s="587" t="str">
        <f ca="1">IFERROR(__xludf.DUMMYFUNCTION("""COMPUTED_VALUE"""),"DOTHL285814029")</f>
        <v>DOTHL285814029</v>
      </c>
      <c r="B1690" t="s">
        <v>11818</v>
      </c>
      <c r="C1690" s="663" t="s">
        <v>11843</v>
      </c>
      <c r="D1690" s="905" t="s">
        <v>11846</v>
      </c>
    </row>
    <row r="1691" spans="1:4" ht="16.5">
      <c r="A1691" s="581" t="str">
        <f ca="1">IFERROR(__xludf.DUMMYFUNCTION("""COMPUTED_VALUE"""),"DOTHL28581458")</f>
        <v>DOTHL28581458</v>
      </c>
      <c r="B1691" t="s">
        <v>11818</v>
      </c>
      <c r="C1691" s="663" t="s">
        <v>11843</v>
      </c>
      <c r="D1691" s="905" t="s">
        <v>11846</v>
      </c>
    </row>
    <row r="1692" spans="1:4" ht="16.5">
      <c r="A1692" s="587" t="str">
        <f ca="1">IFERROR(__xludf.DUMMYFUNCTION("""COMPUTED_VALUE"""),"DOTHL285814329")</f>
        <v>DOTHL285814329</v>
      </c>
      <c r="B1692" t="s">
        <v>11818</v>
      </c>
      <c r="C1692" s="663" t="s">
        <v>11843</v>
      </c>
      <c r="D1692" s="905" t="s">
        <v>11846</v>
      </c>
    </row>
    <row r="1693" spans="1:4" ht="16.5">
      <c r="A1693" s="581" t="str">
        <f ca="1">IFERROR(__xludf.DUMMYFUNCTION("""COMPUTED_VALUE"""),"DOTHL285815029")</f>
        <v>DOTHL285815029</v>
      </c>
      <c r="B1693" t="s">
        <v>11818</v>
      </c>
      <c r="C1693" s="663" t="s">
        <v>11843</v>
      </c>
      <c r="D1693" s="905" t="s">
        <v>11846</v>
      </c>
    </row>
    <row r="1694" spans="1:4" ht="16.5">
      <c r="A1694" s="587" t="str">
        <f ca="1">IFERROR(__xludf.DUMMYFUNCTION("""COMPUTED_VALUE"""),"DOTHL31751029")</f>
        <v>DOTHL31751029</v>
      </c>
      <c r="B1694" t="s">
        <v>11818</v>
      </c>
      <c r="C1694" s="663" t="s">
        <v>11843</v>
      </c>
      <c r="D1694" s="905" t="s">
        <v>11846</v>
      </c>
    </row>
    <row r="1695" spans="1:4" ht="16.5">
      <c r="A1695" s="581" t="str">
        <f ca="1">IFERROR(__xludf.DUMMYFUNCTION("""COMPUTED_VALUE"""),"DOTHL31751058")</f>
        <v>DOTHL31751058</v>
      </c>
      <c r="B1695" t="s">
        <v>11818</v>
      </c>
      <c r="C1695" s="663" t="s">
        <v>11843</v>
      </c>
      <c r="D1695" s="905" t="s">
        <v>11846</v>
      </c>
    </row>
    <row r="1696" spans="1:4" ht="16.5">
      <c r="A1696" s="587" t="str">
        <f ca="1">IFERROR(__xludf.DUMMYFUNCTION("""COMPUTED_VALUE"""),"DOTHL317510229")</f>
        <v>DOTHL317510229</v>
      </c>
      <c r="B1696" t="s">
        <v>11818</v>
      </c>
      <c r="C1696" s="663" t="s">
        <v>11843</v>
      </c>
      <c r="D1696" s="905" t="s">
        <v>11846</v>
      </c>
    </row>
    <row r="1697" spans="1:4" ht="16.5">
      <c r="A1697" s="581" t="str">
        <f ca="1">IFERROR(__xludf.DUMMYFUNCTION("""COMPUTED_VALUE"""),"DOTHL317512229")</f>
        <v>DOTHL317512229</v>
      </c>
      <c r="B1697" t="s">
        <v>11818</v>
      </c>
      <c r="C1697" s="663" t="s">
        <v>11843</v>
      </c>
      <c r="D1697" s="905" t="s">
        <v>11846</v>
      </c>
    </row>
    <row r="1698" spans="1:4" ht="16.5">
      <c r="A1698" s="587" t="str">
        <f ca="1">IFERROR(__xludf.DUMMYFUNCTION("""COMPUTED_VALUE"""),"DOTHL317513029")</f>
        <v>DOTHL317513029</v>
      </c>
      <c r="B1698" t="s">
        <v>11818</v>
      </c>
      <c r="C1698" s="663" t="s">
        <v>11843</v>
      </c>
      <c r="D1698" s="905" t="s">
        <v>11846</v>
      </c>
    </row>
    <row r="1699" spans="1:4" ht="16.5">
      <c r="A1699" s="581" t="str">
        <f ca="1">IFERROR(__xludf.DUMMYFUNCTION("""COMPUTED_VALUE"""),"DOTHL317514329")</f>
        <v>DOTHL317514329</v>
      </c>
      <c r="B1699" t="s">
        <v>11818</v>
      </c>
      <c r="C1699" s="663" t="s">
        <v>11843</v>
      </c>
      <c r="D1699" s="905" t="s">
        <v>11846</v>
      </c>
    </row>
    <row r="1700" spans="1:4" ht="16.5">
      <c r="A1700" s="587" t="str">
        <f ca="1">IFERROR(__xludf.DUMMYFUNCTION("""COMPUTED_VALUE"""),"DOTHL317515029")</f>
        <v>DOTHL317515029</v>
      </c>
      <c r="B1700" t="s">
        <v>11818</v>
      </c>
      <c r="C1700" s="663" t="s">
        <v>11843</v>
      </c>
      <c r="D1700" s="905" t="s">
        <v>11846</v>
      </c>
    </row>
    <row r="1701" spans="1:4" ht="16.5">
      <c r="A1701" s="581" t="str">
        <f ca="1">IFERROR(__xludf.DUMMYFUNCTION("""COMPUTED_VALUE"""),"DOTHL349311029")</f>
        <v>DOTHL349311029</v>
      </c>
      <c r="B1701" t="s">
        <v>11818</v>
      </c>
      <c r="C1701" s="663" t="s">
        <v>11843</v>
      </c>
      <c r="D1701" s="905" t="s">
        <v>11846</v>
      </c>
    </row>
    <row r="1702" spans="1:4" ht="16.5">
      <c r="A1702" s="587" t="str">
        <f ca="1">IFERROR(__xludf.DUMMYFUNCTION("""COMPUTED_VALUE"""),"DOTHL349312258")</f>
        <v>DOTHL349312258</v>
      </c>
      <c r="B1702" t="s">
        <v>11818</v>
      </c>
      <c r="C1702" s="663" t="s">
        <v>11843</v>
      </c>
      <c r="D1702" s="905" t="s">
        <v>11846</v>
      </c>
    </row>
    <row r="1703" spans="1:4" ht="16.5">
      <c r="A1703" s="581" t="str">
        <f ca="1">IFERROR(__xludf.DUMMYFUNCTION("""COMPUTED_VALUE"""),"DOTHL34931029")</f>
        <v>DOTHL34931029</v>
      </c>
      <c r="B1703" t="s">
        <v>11818</v>
      </c>
      <c r="C1703" s="663" t="s">
        <v>11843</v>
      </c>
      <c r="D1703" s="905" t="s">
        <v>11846</v>
      </c>
    </row>
    <row r="1704" spans="1:4" ht="16.5">
      <c r="A1704" s="587" t="str">
        <f ca="1">IFERROR(__xludf.DUMMYFUNCTION("""COMPUTED_VALUE"""),"DOTHL34931058")</f>
        <v>DOTHL34931058</v>
      </c>
      <c r="B1704" t="s">
        <v>11818</v>
      </c>
      <c r="C1704" s="663" t="s">
        <v>11843</v>
      </c>
      <c r="D1704" s="905" t="s">
        <v>11846</v>
      </c>
    </row>
    <row r="1705" spans="1:4" ht="16.5">
      <c r="A1705" s="581" t="str">
        <f ca="1">IFERROR(__xludf.DUMMYFUNCTION("""COMPUTED_VALUE"""),"DOTHL349310258")</f>
        <v>DOTHL349310258</v>
      </c>
      <c r="B1705" t="s">
        <v>11818</v>
      </c>
      <c r="C1705" s="663" t="s">
        <v>11843</v>
      </c>
      <c r="D1705" s="905" t="s">
        <v>11846</v>
      </c>
    </row>
    <row r="1706" spans="1:4" ht="16.5">
      <c r="A1706" s="587" t="str">
        <f ca="1">IFERROR(__xludf.DUMMYFUNCTION("""COMPUTED_VALUE"""),"DOTHL349310229")</f>
        <v>DOTHL349310229</v>
      </c>
      <c r="B1706" t="s">
        <v>11818</v>
      </c>
      <c r="C1706" s="663" t="s">
        <v>11843</v>
      </c>
      <c r="D1706" s="905" t="s">
        <v>11846</v>
      </c>
    </row>
    <row r="1707" spans="1:4" ht="16.5">
      <c r="A1707" s="581" t="str">
        <f ca="1">IFERROR(__xludf.DUMMYFUNCTION("""COMPUTED_VALUE"""),"DOTHL34931229")</f>
        <v>DOTHL34931229</v>
      </c>
      <c r="B1707" t="s">
        <v>11818</v>
      </c>
      <c r="C1707" s="663" t="s">
        <v>11843</v>
      </c>
      <c r="D1707" s="905" t="s">
        <v>11846</v>
      </c>
    </row>
    <row r="1708" spans="1:4" ht="16.5">
      <c r="A1708" s="587" t="str">
        <f ca="1">IFERROR(__xludf.DUMMYFUNCTION("""COMPUTED_VALUE"""),"DOTHL34931258")</f>
        <v>DOTHL34931258</v>
      </c>
      <c r="B1708" t="s">
        <v>11818</v>
      </c>
      <c r="C1708" s="663" t="s">
        <v>11843</v>
      </c>
      <c r="D1708" s="905" t="s">
        <v>11846</v>
      </c>
    </row>
    <row r="1709" spans="1:4" ht="16.5">
      <c r="A1709" s="581" t="str">
        <f ca="1">IFERROR(__xludf.DUMMYFUNCTION("""COMPUTED_VALUE"""),"DOTHL349312229")</f>
        <v>DOTHL349312229</v>
      </c>
      <c r="B1709" t="s">
        <v>11818</v>
      </c>
      <c r="C1709" s="663" t="s">
        <v>11843</v>
      </c>
      <c r="D1709" s="905" t="s">
        <v>11846</v>
      </c>
    </row>
    <row r="1710" spans="1:4" ht="16.5">
      <c r="A1710" s="587" t="str">
        <f ca="1">IFERROR(__xludf.DUMMYFUNCTION("""COMPUTED_VALUE"""),"DOTHL349313029")</f>
        <v>DOTHL349313029</v>
      </c>
      <c r="B1710" t="s">
        <v>11818</v>
      </c>
      <c r="C1710" s="663" t="s">
        <v>11843</v>
      </c>
      <c r="D1710" s="905" t="s">
        <v>11846</v>
      </c>
    </row>
    <row r="1711" spans="1:4" ht="16.5">
      <c r="A1711" s="581" t="str">
        <f ca="1">IFERROR(__xludf.DUMMYFUNCTION("""COMPUTED_VALUE"""),"DOTHL34931429")</f>
        <v>DOTHL34931429</v>
      </c>
      <c r="B1711" t="s">
        <v>11818</v>
      </c>
      <c r="C1711" s="663" t="s">
        <v>11843</v>
      </c>
      <c r="D1711" s="905" t="s">
        <v>11846</v>
      </c>
    </row>
    <row r="1712" spans="1:4" ht="16.5">
      <c r="A1712" s="587" t="str">
        <f ca="1">IFERROR(__xludf.DUMMYFUNCTION("""COMPUTED_VALUE"""),"DOTHL34931458")</f>
        <v>DOTHL34931458</v>
      </c>
      <c r="B1712" t="s">
        <v>11818</v>
      </c>
      <c r="C1712" s="663" t="s">
        <v>11843</v>
      </c>
      <c r="D1712" s="905" t="s">
        <v>11846</v>
      </c>
    </row>
    <row r="1713" spans="1:4" ht="16.5">
      <c r="A1713" s="581" t="str">
        <f ca="1">IFERROR(__xludf.DUMMYFUNCTION("""COMPUTED_VALUE"""),"DOTHL349314329")</f>
        <v>DOTHL349314329</v>
      </c>
      <c r="B1713" t="s">
        <v>11818</v>
      </c>
      <c r="C1713" s="663" t="s">
        <v>11843</v>
      </c>
      <c r="D1713" s="905" t="s">
        <v>11846</v>
      </c>
    </row>
    <row r="1714" spans="1:4" ht="16.5">
      <c r="A1714" s="587" t="str">
        <f ca="1">IFERROR(__xludf.DUMMYFUNCTION("""COMPUTED_VALUE"""),"DOTHL349315029")</f>
        <v>DOTHL349315029</v>
      </c>
      <c r="B1714" t="s">
        <v>11818</v>
      </c>
      <c r="C1714" s="663" t="s">
        <v>11843</v>
      </c>
      <c r="D1714" s="905" t="s">
        <v>11846</v>
      </c>
    </row>
    <row r="1715" spans="1:4" ht="16.5">
      <c r="A1715" s="581" t="str">
        <f ca="1">IFERROR(__xludf.DUMMYFUNCTION("""COMPUTED_VALUE"""),"DOTHL381010229")</f>
        <v>DOTHL381010229</v>
      </c>
      <c r="B1715" t="s">
        <v>11818</v>
      </c>
      <c r="C1715" s="663" t="s">
        <v>11843</v>
      </c>
      <c r="D1715" s="905" t="s">
        <v>11846</v>
      </c>
    </row>
    <row r="1716" spans="1:4" ht="16.5">
      <c r="A1716" s="587" t="str">
        <f ca="1">IFERROR(__xludf.DUMMYFUNCTION("""COMPUTED_VALUE"""),"DOTHL381012229")</f>
        <v>DOTHL381012229</v>
      </c>
      <c r="B1716" t="s">
        <v>11818</v>
      </c>
      <c r="C1716" s="663" t="s">
        <v>11843</v>
      </c>
      <c r="D1716" s="905" t="s">
        <v>11846</v>
      </c>
    </row>
    <row r="1717" spans="1:4" ht="16.5">
      <c r="A1717" s="581" t="str">
        <f ca="1">IFERROR(__xludf.DUMMYFUNCTION("""COMPUTED_VALUE"""),"DOTHL381013229")</f>
        <v>DOTHL381013229</v>
      </c>
      <c r="B1717" t="s">
        <v>11818</v>
      </c>
      <c r="C1717" s="663" t="s">
        <v>11843</v>
      </c>
      <c r="D1717" s="905" t="s">
        <v>11846</v>
      </c>
    </row>
    <row r="1718" spans="1:4" ht="16.5">
      <c r="A1718" s="587" t="str">
        <f ca="1">IFERROR(__xludf.DUMMYFUNCTION("""COMPUTED_VALUE"""),"DOTHL381014329")</f>
        <v>DOTHL381014329</v>
      </c>
      <c r="B1718" t="s">
        <v>11818</v>
      </c>
      <c r="C1718" s="663" t="s">
        <v>11843</v>
      </c>
      <c r="D1718" s="905" t="s">
        <v>11846</v>
      </c>
    </row>
    <row r="1719" spans="1:4" ht="16.5">
      <c r="A1719" s="581" t="str">
        <f ca="1">IFERROR(__xludf.DUMMYFUNCTION("""COMPUTED_VALUE"""),"DOTHL381015029")</f>
        <v>DOTHL381015029</v>
      </c>
      <c r="B1719" t="s">
        <v>11818</v>
      </c>
      <c r="C1719" s="663" t="s">
        <v>11843</v>
      </c>
      <c r="D1719" s="905" t="s">
        <v>11846</v>
      </c>
    </row>
    <row r="1720" spans="1:4" ht="16.5">
      <c r="A1720" s="587" t="str">
        <f ca="1">IFERROR(__xludf.DUMMYFUNCTION("""COMPUTED_VALUE"""),"DOTHL41281029")</f>
        <v>DOTHL41281029</v>
      </c>
      <c r="B1720" t="s">
        <v>11818</v>
      </c>
      <c r="C1720" s="663" t="s">
        <v>11843</v>
      </c>
      <c r="D1720" s="905" t="s">
        <v>11846</v>
      </c>
    </row>
    <row r="1721" spans="1:4" ht="16.5">
      <c r="A1721" s="581" t="str">
        <f ca="1">IFERROR(__xludf.DUMMYFUNCTION("""COMPUTED_VALUE"""),"DOTHL41281058")</f>
        <v>DOTHL41281058</v>
      </c>
      <c r="B1721" t="s">
        <v>11818</v>
      </c>
      <c r="C1721" s="663" t="s">
        <v>11843</v>
      </c>
      <c r="D1721" s="905" t="s">
        <v>11846</v>
      </c>
    </row>
    <row r="1722" spans="1:4" ht="16.5">
      <c r="A1722" s="587" t="str">
        <f ca="1">IFERROR(__xludf.DUMMYFUNCTION("""COMPUTED_VALUE"""),"DOTHL412810229")</f>
        <v>DOTHL412810229</v>
      </c>
      <c r="B1722" t="s">
        <v>11818</v>
      </c>
      <c r="C1722" s="663" t="s">
        <v>11843</v>
      </c>
      <c r="D1722" s="905" t="s">
        <v>11846</v>
      </c>
    </row>
    <row r="1723" spans="1:4" ht="16.5">
      <c r="A1723" s="581" t="str">
        <f ca="1">IFERROR(__xludf.DUMMYFUNCTION("""COMPUTED_VALUE"""),"DOTHL412810258")</f>
        <v>DOTHL412810258</v>
      </c>
      <c r="B1723" t="s">
        <v>11818</v>
      </c>
      <c r="C1723" s="663" t="s">
        <v>11843</v>
      </c>
      <c r="D1723" s="905" t="s">
        <v>11846</v>
      </c>
    </row>
    <row r="1724" spans="1:4" ht="16.5">
      <c r="A1724" s="587" t="str">
        <f ca="1">IFERROR(__xludf.DUMMYFUNCTION("""COMPUTED_VALUE"""),"DOTHL41281258")</f>
        <v>DOTHL41281258</v>
      </c>
      <c r="B1724" t="s">
        <v>11818</v>
      </c>
      <c r="C1724" s="663" t="s">
        <v>11843</v>
      </c>
      <c r="D1724" s="905" t="s">
        <v>11846</v>
      </c>
    </row>
    <row r="1725" spans="1:4" ht="16.5">
      <c r="A1725" s="581" t="str">
        <f ca="1">IFERROR(__xludf.DUMMYFUNCTION("""COMPUTED_VALUE"""),"DOTHL412812029")</f>
        <v>DOTHL412812029</v>
      </c>
      <c r="B1725" t="s">
        <v>11818</v>
      </c>
      <c r="C1725" s="663" t="s">
        <v>11843</v>
      </c>
      <c r="D1725" s="905" t="s">
        <v>11846</v>
      </c>
    </row>
    <row r="1726" spans="1:4" ht="16.5">
      <c r="A1726" s="587" t="str">
        <f ca="1">IFERROR(__xludf.DUMMYFUNCTION("""COMPUTED_VALUE"""),"DOTHL412812258")</f>
        <v>DOTHL412812258</v>
      </c>
      <c r="B1726" t="s">
        <v>11818</v>
      </c>
      <c r="C1726" s="663" t="s">
        <v>11843</v>
      </c>
      <c r="D1726" s="905" t="s">
        <v>11846</v>
      </c>
    </row>
    <row r="1727" spans="1:4" ht="16.5">
      <c r="A1727" s="581" t="str">
        <f ca="1">IFERROR(__xludf.DUMMYFUNCTION("""COMPUTED_VALUE"""),"DOTHL412812229")</f>
        <v>DOTHL412812229</v>
      </c>
      <c r="B1727" t="s">
        <v>11818</v>
      </c>
      <c r="C1727" s="663" t="s">
        <v>11843</v>
      </c>
      <c r="D1727" s="905" t="s">
        <v>11846</v>
      </c>
    </row>
    <row r="1728" spans="1:4" ht="16.5">
      <c r="A1728" s="587" t="str">
        <f ca="1">IFERROR(__xludf.DUMMYFUNCTION("""COMPUTED_VALUE"""),"DOTHL412813029")</f>
        <v>DOTHL412813029</v>
      </c>
      <c r="B1728" t="s">
        <v>11818</v>
      </c>
      <c r="C1728" s="663" t="s">
        <v>11843</v>
      </c>
      <c r="D1728" s="905" t="s">
        <v>11846</v>
      </c>
    </row>
    <row r="1729" spans="1:4" ht="16.5">
      <c r="A1729" s="581" t="str">
        <f ca="1">IFERROR(__xludf.DUMMYFUNCTION("""COMPUTED_VALUE"""),"DOTHL41281458")</f>
        <v>DOTHL41281458</v>
      </c>
      <c r="B1729" t="s">
        <v>11818</v>
      </c>
      <c r="C1729" s="663" t="s">
        <v>11843</v>
      </c>
      <c r="D1729" s="905" t="s">
        <v>11846</v>
      </c>
    </row>
    <row r="1730" spans="1:4" ht="16.5">
      <c r="A1730" s="587" t="str">
        <f ca="1">IFERROR(__xludf.DUMMYFUNCTION("""COMPUTED_VALUE"""),"DOTHL412814358")</f>
        <v>DOTHL412814358</v>
      </c>
      <c r="B1730" t="s">
        <v>11818</v>
      </c>
      <c r="C1730" s="663" t="s">
        <v>11843</v>
      </c>
      <c r="D1730" s="905" t="s">
        <v>11846</v>
      </c>
    </row>
    <row r="1731" spans="1:4" ht="16.5">
      <c r="A1731" s="581" t="str">
        <f ca="1">IFERROR(__xludf.DUMMYFUNCTION("""COMPUTED_VALUE"""),"DOTHL412814329")</f>
        <v>DOTHL412814329</v>
      </c>
      <c r="B1731" t="s">
        <v>11818</v>
      </c>
      <c r="C1731" s="663" t="s">
        <v>11843</v>
      </c>
      <c r="D1731" s="905" t="s">
        <v>11846</v>
      </c>
    </row>
    <row r="1732" spans="1:4" ht="16.5">
      <c r="A1732" s="587" t="str">
        <f ca="1">IFERROR(__xludf.DUMMYFUNCTION("""COMPUTED_VALUE"""),"DOTHL412815029")</f>
        <v>DOTHL412815029</v>
      </c>
      <c r="B1732" t="s">
        <v>11818</v>
      </c>
      <c r="C1732" s="663" t="s">
        <v>11843</v>
      </c>
      <c r="D1732" s="905" t="s">
        <v>11846</v>
      </c>
    </row>
    <row r="1733" spans="1:4" ht="16.5">
      <c r="A1733" s="581" t="str">
        <f ca="1">IFERROR(__xludf.DUMMYFUNCTION("""COMPUTED_VALUE"""),"DOTHL412815229")</f>
        <v>DOTHL412815229</v>
      </c>
      <c r="B1733" t="s">
        <v>11818</v>
      </c>
      <c r="C1733" s="663" t="s">
        <v>11843</v>
      </c>
      <c r="D1733" s="905" t="s">
        <v>11846</v>
      </c>
    </row>
    <row r="1734" spans="1:4" ht="16.5">
      <c r="A1734" s="587" t="str">
        <f ca="1">IFERROR(__xludf.DUMMYFUNCTION("""COMPUTED_VALUE"""),"DOTHL412815329")</f>
        <v>DOTHL412815329</v>
      </c>
      <c r="B1734" t="s">
        <v>11818</v>
      </c>
      <c r="C1734" s="663" t="s">
        <v>11843</v>
      </c>
      <c r="D1734" s="905" t="s">
        <v>11846</v>
      </c>
    </row>
    <row r="1735" spans="1:4" ht="16.5">
      <c r="A1735" s="581" t="str">
        <f ca="1">IFERROR(__xludf.DUMMYFUNCTION("""COMPUTED_VALUE"""),"DOTHL412816029")</f>
        <v>DOTHL412816029</v>
      </c>
      <c r="B1735" t="s">
        <v>11818</v>
      </c>
      <c r="C1735" s="663" t="s">
        <v>11843</v>
      </c>
      <c r="D1735" s="905" t="s">
        <v>11846</v>
      </c>
    </row>
    <row r="1736" spans="1:4" ht="16.5">
      <c r="A1736" s="587" t="str">
        <f ca="1">IFERROR(__xludf.DUMMYFUNCTION("""COMPUTED_VALUE"""),"DOTHL412817029")</f>
        <v>DOTHL412817029</v>
      </c>
      <c r="B1736" t="s">
        <v>11818</v>
      </c>
      <c r="C1736" s="663" t="s">
        <v>11843</v>
      </c>
      <c r="D1736" s="905" t="s">
        <v>11846</v>
      </c>
    </row>
    <row r="1737" spans="1:4" ht="16.5">
      <c r="A1737" s="581" t="str">
        <f ca="1">IFERROR(__xludf.DUMMYFUNCTION("""COMPUTED_VALUE"""),"DOTHL412817829")</f>
        <v>DOTHL412817829</v>
      </c>
      <c r="B1737" t="s">
        <v>11818</v>
      </c>
      <c r="C1737" s="663" t="s">
        <v>11843</v>
      </c>
      <c r="D1737" s="905" t="s">
        <v>11846</v>
      </c>
    </row>
    <row r="1738" spans="1:4" ht="16.5">
      <c r="A1738" s="587" t="str">
        <f ca="1">IFERROR(__xludf.DUMMYFUNCTION("""COMPUTED_VALUE"""),"DOTHL44512229")</f>
        <v>DOTHL44512229</v>
      </c>
      <c r="B1738" t="s">
        <v>11818</v>
      </c>
      <c r="C1738" s="663" t="s">
        <v>11843</v>
      </c>
      <c r="D1738" s="905" t="s">
        <v>11846</v>
      </c>
    </row>
    <row r="1739" spans="1:4" ht="16.5">
      <c r="A1739" s="581" t="str">
        <f ca="1">IFERROR(__xludf.DUMMYFUNCTION("""COMPUTED_VALUE"""),"DOTHL44514329")</f>
        <v>DOTHL44514329</v>
      </c>
      <c r="B1739" t="s">
        <v>11818</v>
      </c>
      <c r="C1739" s="663" t="s">
        <v>11843</v>
      </c>
      <c r="D1739" s="905" t="s">
        <v>11846</v>
      </c>
    </row>
    <row r="1740" spans="1:4" ht="16.5">
      <c r="A1740" s="587" t="str">
        <f ca="1">IFERROR(__xludf.DUMMYFUNCTION("""COMPUTED_VALUE"""),"DOTHL44515029")</f>
        <v>DOTHL44515029</v>
      </c>
      <c r="B1740" t="s">
        <v>11818</v>
      </c>
      <c r="C1740" s="663" t="s">
        <v>11843</v>
      </c>
      <c r="D1740" s="905" t="s">
        <v>11846</v>
      </c>
    </row>
    <row r="1741" spans="1:4" ht="16.5">
      <c r="A1741" s="581" t="str">
        <f ca="1">IFERROR(__xludf.DUMMYFUNCTION("""COMPUTED_VALUE"""),"DOTHL508014029")</f>
        <v>DOTHL508014029</v>
      </c>
      <c r="B1741" t="s">
        <v>11818</v>
      </c>
      <c r="C1741" s="663" t="s">
        <v>11843</v>
      </c>
      <c r="D1741" s="905" t="s">
        <v>11846</v>
      </c>
    </row>
    <row r="1742" spans="1:4" ht="16.5">
      <c r="A1742" s="587" t="str">
        <f ca="1">IFERROR(__xludf.DUMMYFUNCTION("""COMPUTED_VALUE"""),"DOTHL508015029")</f>
        <v>DOTHL508015029</v>
      </c>
      <c r="B1742" t="s">
        <v>11818</v>
      </c>
      <c r="C1742" s="663" t="s">
        <v>11843</v>
      </c>
      <c r="D1742" s="905" t="s">
        <v>11846</v>
      </c>
    </row>
    <row r="1743" spans="1:4" ht="16.5">
      <c r="A1743" s="581" t="str">
        <f ca="1">IFERROR(__xludf.DUMMYFUNCTION("""COMPUTED_VALUE"""),"DOTHL539410229")</f>
        <v>DOTHL539410229</v>
      </c>
      <c r="B1743" t="s">
        <v>11818</v>
      </c>
      <c r="C1743" s="663" t="s">
        <v>11843</v>
      </c>
      <c r="D1743" s="905" t="s">
        <v>11846</v>
      </c>
    </row>
    <row r="1744" spans="1:4" ht="16.5">
      <c r="A1744" s="587" t="str">
        <f ca="1">IFERROR(__xludf.DUMMYFUNCTION("""COMPUTED_VALUE"""),"DOTHL539412229")</f>
        <v>DOTHL539412229</v>
      </c>
      <c r="B1744" t="s">
        <v>11818</v>
      </c>
      <c r="C1744" s="663" t="s">
        <v>11843</v>
      </c>
      <c r="D1744" s="905" t="s">
        <v>11846</v>
      </c>
    </row>
    <row r="1745" spans="1:4" ht="16.5">
      <c r="A1745" s="581" t="str">
        <f ca="1">IFERROR(__xludf.DUMMYFUNCTION("""COMPUTED_VALUE"""),"DOTHL53941429")</f>
        <v>DOTHL53941429</v>
      </c>
      <c r="B1745" t="s">
        <v>11818</v>
      </c>
      <c r="C1745" s="663" t="s">
        <v>11843</v>
      </c>
      <c r="D1745" s="905" t="s">
        <v>11846</v>
      </c>
    </row>
    <row r="1746" spans="1:4" ht="16.5">
      <c r="A1746" s="587" t="str">
        <f ca="1">IFERROR(__xludf.DUMMYFUNCTION("""COMPUTED_VALUE"""),"DOTHL539810229")</f>
        <v>DOTHL539810229</v>
      </c>
      <c r="B1746" t="s">
        <v>11818</v>
      </c>
      <c r="C1746" s="663" t="s">
        <v>11843</v>
      </c>
      <c r="D1746" s="905" t="s">
        <v>11846</v>
      </c>
    </row>
    <row r="1747" spans="1:4" ht="16.5">
      <c r="A1747" s="581" t="str">
        <f ca="1">IFERROR(__xludf.DUMMYFUNCTION("""COMPUTED_VALUE"""),"DOTHL539814329")</f>
        <v>DOTHL539814329</v>
      </c>
      <c r="B1747" t="s">
        <v>11818</v>
      </c>
      <c r="C1747" s="663" t="s">
        <v>11843</v>
      </c>
      <c r="D1747" s="905" t="s">
        <v>11846</v>
      </c>
    </row>
    <row r="1748" spans="1:4" ht="16.5">
      <c r="A1748" s="587" t="str">
        <f ca="1">IFERROR(__xludf.DUMMYFUNCTION("""COMPUTED_VALUE"""),"DOTHL53981146")</f>
        <v>DOTHL53981146</v>
      </c>
      <c r="B1748" t="s">
        <v>11818</v>
      </c>
      <c r="C1748" s="663" t="s">
        <v>11843</v>
      </c>
      <c r="D1748" s="905" t="s">
        <v>11846</v>
      </c>
    </row>
    <row r="1749" spans="1:4" ht="16.5">
      <c r="A1749" s="581" t="str">
        <f ca="1">IFERROR(__xludf.DUMMYFUNCTION("""COMPUTED_VALUE"""),"DOTHL539812029")</f>
        <v>DOTHL539812029</v>
      </c>
      <c r="B1749" t="s">
        <v>11818</v>
      </c>
      <c r="C1749" s="663" t="s">
        <v>11843</v>
      </c>
      <c r="D1749" s="905" t="s">
        <v>11846</v>
      </c>
    </row>
    <row r="1750" spans="1:4" ht="16.5">
      <c r="A1750" s="587" t="str">
        <f ca="1">IFERROR(__xludf.DUMMYFUNCTION("""COMPUTED_VALUE"""),"DOTHL53981203")</f>
        <v>DOTHL53981203</v>
      </c>
      <c r="B1750" t="s">
        <v>11818</v>
      </c>
      <c r="C1750" s="663" t="s">
        <v>11843</v>
      </c>
      <c r="D1750" s="905" t="s">
        <v>11846</v>
      </c>
    </row>
    <row r="1751" spans="1:4" ht="16.5">
      <c r="A1751" s="581" t="str">
        <f ca="1">IFERROR(__xludf.DUMMYFUNCTION("""COMPUTED_VALUE"""),"DOTHL539812229")</f>
        <v>DOTHL539812229</v>
      </c>
      <c r="B1751" t="s">
        <v>11818</v>
      </c>
      <c r="C1751" s="663" t="s">
        <v>11843</v>
      </c>
      <c r="D1751" s="905" t="s">
        <v>11846</v>
      </c>
    </row>
    <row r="1752" spans="1:4" ht="16.5">
      <c r="A1752" s="587" t="str">
        <f ca="1">IFERROR(__xludf.DUMMYFUNCTION("""COMPUTED_VALUE"""),"DOTHL539812758")</f>
        <v>DOTHL539812758</v>
      </c>
      <c r="B1752" t="s">
        <v>11818</v>
      </c>
      <c r="C1752" s="663" t="s">
        <v>11843</v>
      </c>
      <c r="D1752" s="905" t="s">
        <v>11846</v>
      </c>
    </row>
    <row r="1753" spans="1:4" ht="16.5">
      <c r="A1753" s="581" t="str">
        <f ca="1">IFERROR(__xludf.DUMMYFUNCTION("""COMPUTED_VALUE"""),"DOTHL539813529")</f>
        <v>DOTHL539813529</v>
      </c>
      <c r="B1753" t="s">
        <v>11818</v>
      </c>
      <c r="C1753" s="663" t="s">
        <v>11843</v>
      </c>
      <c r="D1753" s="905" t="s">
        <v>11846</v>
      </c>
    </row>
    <row r="1754" spans="1:4" ht="16.5">
      <c r="A1754" s="587" t="str">
        <f ca="1">IFERROR(__xludf.DUMMYFUNCTION("""COMPUTED_VALUE"""),"DOTHL539814058")</f>
        <v>DOTHL539814058</v>
      </c>
      <c r="B1754" t="s">
        <v>11818</v>
      </c>
      <c r="C1754" s="663" t="s">
        <v>11843</v>
      </c>
      <c r="D1754" s="905" t="s">
        <v>11846</v>
      </c>
    </row>
    <row r="1755" spans="1:4" ht="16.5">
      <c r="A1755" s="581" t="str">
        <f ca="1">IFERROR(__xludf.DUMMYFUNCTION("""COMPUTED_VALUE"""),"DOTHL539814029")</f>
        <v>DOTHL539814029</v>
      </c>
      <c r="B1755" t="s">
        <v>11818</v>
      </c>
      <c r="C1755" s="663" t="s">
        <v>11843</v>
      </c>
      <c r="D1755" s="905" t="s">
        <v>11846</v>
      </c>
    </row>
    <row r="1756" spans="1:4" ht="16.5">
      <c r="A1756" s="587" t="str">
        <f ca="1">IFERROR(__xludf.DUMMYFUNCTION("""COMPUTED_VALUE"""),"DOTHL539814529")</f>
        <v>DOTHL539814529</v>
      </c>
      <c r="B1756" t="s">
        <v>11818</v>
      </c>
      <c r="C1756" s="663" t="s">
        <v>11843</v>
      </c>
      <c r="D1756" s="905" t="s">
        <v>11846</v>
      </c>
    </row>
    <row r="1757" spans="1:4" ht="16.5">
      <c r="A1757" s="581" t="str">
        <f ca="1">IFERROR(__xludf.DUMMYFUNCTION("""COMPUTED_VALUE"""),"DOTHL539815029")</f>
        <v>DOTHL539815029</v>
      </c>
      <c r="B1757" t="s">
        <v>11818</v>
      </c>
      <c r="C1757" s="663" t="s">
        <v>11843</v>
      </c>
      <c r="D1757" s="905" t="s">
        <v>11846</v>
      </c>
    </row>
    <row r="1758" spans="1:4" ht="16.5">
      <c r="A1758" s="587" t="str">
        <f ca="1">IFERROR(__xludf.DUMMYFUNCTION("""COMPUTED_VALUE"""),"DOTHL539815129")</f>
        <v>DOTHL539815129</v>
      </c>
      <c r="B1758" t="s">
        <v>11818</v>
      </c>
      <c r="C1758" s="663" t="s">
        <v>11843</v>
      </c>
      <c r="D1758" s="905" t="s">
        <v>11846</v>
      </c>
    </row>
    <row r="1759" spans="1:4" ht="16.5">
      <c r="A1759" s="581" t="str">
        <f ca="1">IFERROR(__xludf.DUMMYFUNCTION("""COMPUTED_VALUE"""),"DOTHL539815529")</f>
        <v>DOTHL539815529</v>
      </c>
      <c r="B1759" t="s">
        <v>11818</v>
      </c>
      <c r="C1759" s="663" t="s">
        <v>11843</v>
      </c>
      <c r="D1759" s="905" t="s">
        <v>11846</v>
      </c>
    </row>
    <row r="1760" spans="1:4" ht="16.5">
      <c r="A1760" s="587" t="str">
        <f ca="1">IFERROR(__xludf.DUMMYFUNCTION("""COMPUTED_VALUE"""),"DOTHL539816029")</f>
        <v>DOTHL539816029</v>
      </c>
      <c r="B1760" t="s">
        <v>11818</v>
      </c>
      <c r="C1760" s="663" t="s">
        <v>11843</v>
      </c>
      <c r="D1760" s="905" t="s">
        <v>11846</v>
      </c>
    </row>
    <row r="1761" spans="1:4" ht="16.5">
      <c r="A1761" s="581" t="str">
        <f ca="1">IFERROR(__xludf.DUMMYFUNCTION("""COMPUTED_VALUE"""),"DOTHL53981603")</f>
        <v>DOTHL53981603</v>
      </c>
      <c r="B1761" t="s">
        <v>11818</v>
      </c>
      <c r="C1761" s="663" t="s">
        <v>11843</v>
      </c>
      <c r="D1761" s="905" t="s">
        <v>11846</v>
      </c>
    </row>
    <row r="1762" spans="1:4" ht="16.5">
      <c r="A1762" s="587" t="str">
        <f ca="1">IFERROR(__xludf.DUMMYFUNCTION("""COMPUTED_VALUE"""),"DOTHL539816529")</f>
        <v>DOTHL539816529</v>
      </c>
      <c r="B1762" t="s">
        <v>11818</v>
      </c>
      <c r="C1762" s="663" t="s">
        <v>11843</v>
      </c>
      <c r="D1762" s="905" t="s">
        <v>11846</v>
      </c>
    </row>
    <row r="1763" spans="1:4" ht="16.5">
      <c r="A1763" s="581" t="str">
        <f ca="1">IFERROR(__xludf.DUMMYFUNCTION("""COMPUTED_VALUE"""),"DOTHL539817029")</f>
        <v>DOTHL539817029</v>
      </c>
      <c r="B1763" t="s">
        <v>11818</v>
      </c>
      <c r="C1763" s="663" t="s">
        <v>11843</v>
      </c>
      <c r="D1763" s="905" t="s">
        <v>11846</v>
      </c>
    </row>
    <row r="1764" spans="1:4" ht="16.5">
      <c r="A1764" s="587" t="str">
        <f ca="1">IFERROR(__xludf.DUMMYFUNCTION("""COMPUTED_VALUE"""),"DOTHL539817829")</f>
        <v>DOTHL539817829</v>
      </c>
      <c r="B1764" t="s">
        <v>11818</v>
      </c>
      <c r="C1764" s="663" t="s">
        <v>11843</v>
      </c>
      <c r="D1764" s="905" t="s">
        <v>11846</v>
      </c>
    </row>
    <row r="1765" spans="1:4" ht="16.5">
      <c r="A1765" s="581" t="str">
        <f ca="1">IFERROR(__xludf.DUMMYFUNCTION("""COMPUTED_VALUE"""),"DOTHL539817858")</f>
        <v>DOTHL539817858</v>
      </c>
      <c r="B1765" t="s">
        <v>11818</v>
      </c>
      <c r="C1765" s="663" t="s">
        <v>11843</v>
      </c>
      <c r="D1765" s="905" t="s">
        <v>11846</v>
      </c>
    </row>
    <row r="1766" spans="1:4" ht="16.5">
      <c r="A1766" s="587" t="str">
        <f ca="1">IFERROR(__xludf.DUMMYFUNCTION("""COMPUTED_VALUE"""),"DOTHL539818029")</f>
        <v>DOTHL539818029</v>
      </c>
      <c r="B1766" t="s">
        <v>11818</v>
      </c>
      <c r="C1766" s="663" t="s">
        <v>11843</v>
      </c>
      <c r="D1766" s="905" t="s">
        <v>11846</v>
      </c>
    </row>
    <row r="1767" spans="1:4" ht="16.5">
      <c r="A1767" s="581" t="str">
        <f ca="1">IFERROR(__xludf.DUMMYFUNCTION("""COMPUTED_VALUE"""),"DOTHL539818058")</f>
        <v>DOTHL539818058</v>
      </c>
      <c r="B1767" t="s">
        <v>11818</v>
      </c>
      <c r="C1767" s="663" t="s">
        <v>11843</v>
      </c>
      <c r="D1767" s="905" t="s">
        <v>11846</v>
      </c>
    </row>
    <row r="1768" spans="1:4" ht="16.5">
      <c r="A1768" s="587" t="str">
        <f ca="1">IFERROR(__xludf.DUMMYFUNCTION("""COMPUTED_VALUE"""),"DOTHL539820029")</f>
        <v>DOTHL539820029</v>
      </c>
      <c r="B1768" t="s">
        <v>11818</v>
      </c>
      <c r="C1768" s="663" t="s">
        <v>11843</v>
      </c>
      <c r="D1768" s="905" t="s">
        <v>11846</v>
      </c>
    </row>
    <row r="1769" spans="1:4" ht="16.5">
      <c r="A1769" s="581" t="str">
        <f ca="1">IFERROR(__xludf.DUMMYFUNCTION("""COMPUTED_VALUE"""),"DOTHL539825029")</f>
        <v>DOTHL539825029</v>
      </c>
      <c r="B1769" t="s">
        <v>11818</v>
      </c>
      <c r="C1769" s="663" t="s">
        <v>11843</v>
      </c>
      <c r="D1769" s="905" t="s">
        <v>11846</v>
      </c>
    </row>
    <row r="1770" spans="1:4" ht="16.5">
      <c r="A1770" s="587" t="str">
        <f ca="1">IFERROR(__xludf.DUMMYFUNCTION("""COMPUTED_VALUE"""),"DOTHL666712229")</f>
        <v>DOTHL666712229</v>
      </c>
      <c r="B1770" t="s">
        <v>11818</v>
      </c>
      <c r="C1770" s="663" t="s">
        <v>11843</v>
      </c>
      <c r="D1770" s="905" t="s">
        <v>11846</v>
      </c>
    </row>
    <row r="1771" spans="1:4" ht="16.5">
      <c r="A1771" s="581" t="str">
        <f ca="1">IFERROR(__xludf.DUMMYFUNCTION("""COMPUTED_VALUE"""),"DOTHL666714029")</f>
        <v>DOTHL666714029</v>
      </c>
      <c r="B1771" t="s">
        <v>11818</v>
      </c>
      <c r="C1771" s="663" t="s">
        <v>11843</v>
      </c>
      <c r="D1771" s="905" t="s">
        <v>11846</v>
      </c>
    </row>
    <row r="1772" spans="1:4" ht="16.5">
      <c r="A1772" s="587" t="str">
        <f ca="1">IFERROR(__xludf.DUMMYFUNCTION("""COMPUTED_VALUE"""),"DOTHL666716029")</f>
        <v>DOTHL666716029</v>
      </c>
      <c r="B1772" t="s">
        <v>11818</v>
      </c>
      <c r="C1772" s="663" t="s">
        <v>11843</v>
      </c>
      <c r="D1772" s="905" t="s">
        <v>11846</v>
      </c>
    </row>
    <row r="1773" spans="1:4" ht="16.5">
      <c r="A1773" s="581" t="str">
        <f ca="1">IFERROR(__xludf.DUMMYFUNCTION("""COMPUTED_VALUE"""),"DOTHL666717029")</f>
        <v>DOTHL666717029</v>
      </c>
      <c r="B1773" t="s">
        <v>11818</v>
      </c>
      <c r="C1773" s="663" t="s">
        <v>11843</v>
      </c>
      <c r="D1773" s="905" t="s">
        <v>11846</v>
      </c>
    </row>
    <row r="1774" spans="1:4" ht="16.5">
      <c r="A1774" s="587" t="str">
        <f ca="1">IFERROR(__xludf.DUMMYFUNCTION("""COMPUTED_VALUE"""),"DOTHL666718029")</f>
        <v>DOTHL666718029</v>
      </c>
      <c r="B1774" t="s">
        <v>11818</v>
      </c>
      <c r="C1774" s="663" t="s">
        <v>11843</v>
      </c>
      <c r="D1774" s="905" t="s">
        <v>11846</v>
      </c>
    </row>
    <row r="1775" spans="1:4" ht="16.5">
      <c r="A1775" s="581" t="str">
        <f ca="1">IFERROR(__xludf.DUMMYFUNCTION("""COMPUTED_VALUE"""),"DOTHL66672029")</f>
        <v>DOTHL66672029</v>
      </c>
      <c r="B1775" t="s">
        <v>11818</v>
      </c>
      <c r="C1775" s="663" t="s">
        <v>11843</v>
      </c>
      <c r="D1775" s="905" t="s">
        <v>11846</v>
      </c>
    </row>
    <row r="1776" spans="1:4" ht="16.5">
      <c r="A1776" s="587" t="str">
        <f ca="1">IFERROR(__xludf.DUMMYFUNCTION("""COMPUTED_VALUE"""),"DOTHL666720329")</f>
        <v>DOTHL666720329</v>
      </c>
      <c r="B1776" t="s">
        <v>11818</v>
      </c>
      <c r="C1776" s="663" t="s">
        <v>11843</v>
      </c>
      <c r="D1776" s="905" t="s">
        <v>11846</v>
      </c>
    </row>
    <row r="1777" spans="1:4" ht="16.5">
      <c r="A1777" s="581" t="str">
        <f ca="1">IFERROR(__xludf.DUMMYFUNCTION("""COMPUTED_VALUE"""),"DOTHL760017829")</f>
        <v>DOTHL760017829</v>
      </c>
      <c r="B1777" t="s">
        <v>11818</v>
      </c>
      <c r="C1777" s="663" t="s">
        <v>11843</v>
      </c>
      <c r="D1777" s="905" t="s">
        <v>11846</v>
      </c>
    </row>
    <row r="1778" spans="1:4" ht="16.5">
      <c r="A1778" s="587" t="str">
        <f ca="1">IFERROR(__xludf.DUMMYFUNCTION("""COMPUTED_VALUE"""),"DOTHL760015029")</f>
        <v>DOTHL760015029</v>
      </c>
      <c r="B1778" t="s">
        <v>11818</v>
      </c>
      <c r="C1778" s="663" t="s">
        <v>11843</v>
      </c>
      <c r="D1778" s="905" t="s">
        <v>11846</v>
      </c>
    </row>
    <row r="1779" spans="1:4" ht="16.5">
      <c r="A1779" s="581" t="str">
        <f ca="1">IFERROR(__xludf.DUMMYFUNCTION("""COMPUTED_VALUE"""),"DOTHL760018029")</f>
        <v>DOTHL760018029</v>
      </c>
      <c r="B1779" t="s">
        <v>11818</v>
      </c>
      <c r="C1779" s="663" t="s">
        <v>11843</v>
      </c>
      <c r="D1779" s="905" t="s">
        <v>11846</v>
      </c>
    </row>
    <row r="1780" spans="1:4" ht="16.5">
      <c r="A1780" s="587" t="str">
        <f ca="1">IFERROR(__xludf.DUMMYFUNCTION("""COMPUTED_VALUE"""),"DOTHL762014029")</f>
        <v>DOTHL762014029</v>
      </c>
      <c r="B1780" t="s">
        <v>11818</v>
      </c>
      <c r="C1780" s="663" t="s">
        <v>11843</v>
      </c>
      <c r="D1780" s="905" t="s">
        <v>11846</v>
      </c>
    </row>
    <row r="1781" spans="1:4" ht="16.5">
      <c r="A1781" s="581" t="str">
        <f ca="1">IFERROR(__xludf.DUMMYFUNCTION("""COMPUTED_VALUE"""),"DOTHL762014030")</f>
        <v>DOTHL762014030</v>
      </c>
      <c r="B1781" t="s">
        <v>11818</v>
      </c>
      <c r="C1781" s="663" t="s">
        <v>11843</v>
      </c>
      <c r="D1781" s="905" t="s">
        <v>11846</v>
      </c>
    </row>
    <row r="1782" spans="1:4" ht="16.5">
      <c r="A1782" s="587" t="str">
        <f ca="1">IFERROR(__xludf.DUMMYFUNCTION("""COMPUTED_VALUE"""),"DOTHL762015029")</f>
        <v>DOTHL762015029</v>
      </c>
      <c r="B1782" t="s">
        <v>11818</v>
      </c>
      <c r="C1782" s="663" t="s">
        <v>11843</v>
      </c>
      <c r="D1782" s="905" t="s">
        <v>11846</v>
      </c>
    </row>
    <row r="1783" spans="1:4" ht="16.5">
      <c r="A1783" s="581" t="str">
        <f ca="1">IFERROR(__xludf.DUMMYFUNCTION("""COMPUTED_VALUE"""),"DOTHL762016029")</f>
        <v>DOTHL762016029</v>
      </c>
      <c r="B1783" t="s">
        <v>11818</v>
      </c>
      <c r="C1783" s="663" t="s">
        <v>11843</v>
      </c>
      <c r="D1783" s="905" t="s">
        <v>11846</v>
      </c>
    </row>
    <row r="1784" spans="1:4" ht="16.5">
      <c r="A1784" s="587" t="str">
        <f ca="1">IFERROR(__xludf.DUMMYFUNCTION("""COMPUTED_VALUE"""),"DOTHL762017029")</f>
        <v>DOTHL762017029</v>
      </c>
      <c r="B1784" t="s">
        <v>11818</v>
      </c>
      <c r="C1784" s="663" t="s">
        <v>11843</v>
      </c>
      <c r="D1784" s="905" t="s">
        <v>11846</v>
      </c>
    </row>
    <row r="1785" spans="1:4" ht="16.5">
      <c r="A1785" s="581" t="str">
        <f ca="1">IFERROR(__xludf.DUMMYFUNCTION("""COMPUTED_VALUE"""),"DOTHL762023029")</f>
        <v>DOTHL762023029</v>
      </c>
      <c r="B1785" t="s">
        <v>11818</v>
      </c>
      <c r="C1785" s="663" t="s">
        <v>11843</v>
      </c>
      <c r="D1785" s="905" t="s">
        <v>11846</v>
      </c>
    </row>
    <row r="1786" spans="1:4" ht="16.5">
      <c r="A1786" s="587" t="str">
        <f ca="1">IFERROR(__xludf.DUMMYFUNCTION("""COMPUTED_VALUE"""),"DOTHL762025029")</f>
        <v>DOTHL762025029</v>
      </c>
      <c r="B1786" t="s">
        <v>11818</v>
      </c>
      <c r="C1786" s="663" t="s">
        <v>11843</v>
      </c>
      <c r="D1786" s="905" t="s">
        <v>11846</v>
      </c>
    </row>
    <row r="1787" spans="1:4" ht="16.5">
      <c r="A1787" s="581" t="str">
        <f ca="1">IFERROR(__xludf.DUMMYFUNCTION("""COMPUTED_VALUE"""),"DOTHL7937518029")</f>
        <v>DOTHL7937518029</v>
      </c>
      <c r="B1787" t="s">
        <v>11818</v>
      </c>
      <c r="C1787" s="663" t="s">
        <v>11843</v>
      </c>
      <c r="D1787" s="905" t="s">
        <v>11846</v>
      </c>
    </row>
    <row r="1788" spans="1:4" ht="16.5">
      <c r="A1788" s="587" t="str">
        <f ca="1">IFERROR(__xludf.DUMMYFUNCTION("""COMPUTED_VALUE"""),"DOTHL793822958")</f>
        <v>DOTHL793822958</v>
      </c>
      <c r="B1788" t="s">
        <v>11818</v>
      </c>
      <c r="C1788" s="663" t="s">
        <v>11843</v>
      </c>
      <c r="D1788" s="905" t="s">
        <v>11846</v>
      </c>
    </row>
    <row r="1789" spans="1:4" ht="16.5">
      <c r="A1789" s="581" t="str">
        <f ca="1">IFERROR(__xludf.DUMMYFUNCTION("""COMPUTED_VALUE"""),"DOTHL88902329")</f>
        <v>DOTHL88902329</v>
      </c>
      <c r="B1789" t="s">
        <v>11818</v>
      </c>
      <c r="C1789" s="663" t="s">
        <v>11843</v>
      </c>
      <c r="D1789" s="905" t="s">
        <v>11846</v>
      </c>
    </row>
    <row r="1790" spans="1:4" ht="16.5">
      <c r="A1790" s="587" t="str">
        <f ca="1">IFERROR(__xludf.DUMMYFUNCTION("""COMPUTED_VALUE"""),"DOTHL1047825029")</f>
        <v>DOTHL1047825029</v>
      </c>
      <c r="B1790" t="s">
        <v>11818</v>
      </c>
      <c r="C1790" s="663" t="s">
        <v>11843</v>
      </c>
      <c r="D1790" s="905" t="s">
        <v>11846</v>
      </c>
    </row>
    <row r="1791" spans="1:4" ht="16.5">
      <c r="A1791" s="581" t="str">
        <f ca="1">IFERROR(__xludf.DUMMYFUNCTION("""COMPUTED_VALUE"""),"DOTHL10478277958")</f>
        <v>DOTHL10478277958</v>
      </c>
      <c r="B1791" t="s">
        <v>11818</v>
      </c>
      <c r="C1791" s="663" t="s">
        <v>11843</v>
      </c>
      <c r="D1791" s="905" t="s">
        <v>11846</v>
      </c>
    </row>
    <row r="1792" spans="1:4" ht="16.5">
      <c r="A1792" s="587" t="str">
        <f ca="1">IFERROR(__xludf.DUMMYFUNCTION("""COMPUTED_VALUE"""),"DOHLLWC0635061")</f>
        <v>DOHLLWC0635061</v>
      </c>
      <c r="B1792" t="s">
        <v>11818</v>
      </c>
      <c r="C1792" s="663" t="s">
        <v>11843</v>
      </c>
      <c r="D1792" s="905" t="s">
        <v>11846</v>
      </c>
    </row>
    <row r="1793" spans="1:4" ht="16.5">
      <c r="A1793" s="581" t="str">
        <f ca="1">IFERROR(__xludf.DUMMYFUNCTION("""COMPUTED_VALUE"""),"DOHLLWC0635071")</f>
        <v>DOHLLWC0635071</v>
      </c>
      <c r="B1793" t="s">
        <v>11818</v>
      </c>
      <c r="C1793" s="663" t="s">
        <v>11843</v>
      </c>
      <c r="D1793" s="905" t="s">
        <v>11846</v>
      </c>
    </row>
    <row r="1794" spans="1:4" ht="16.5">
      <c r="A1794" s="587" t="str">
        <f ca="1">IFERROR(__xludf.DUMMYFUNCTION("""COMPUTED_VALUE"""),"DOHLLWC0635081")</f>
        <v>DOHLLWC0635081</v>
      </c>
      <c r="B1794" t="s">
        <v>11818</v>
      </c>
      <c r="C1794" s="663" t="s">
        <v>11843</v>
      </c>
      <c r="D1794" s="905" t="s">
        <v>11846</v>
      </c>
    </row>
    <row r="1795" spans="1:4" ht="16.5">
      <c r="A1795" s="581" t="str">
        <f ca="1">IFERROR(__xludf.DUMMYFUNCTION("""COMPUTED_VALUE"""),"DOHLLWC0952061")</f>
        <v>DOHLLWC0952061</v>
      </c>
      <c r="B1795" t="s">
        <v>11818</v>
      </c>
      <c r="C1795" s="663" t="s">
        <v>11843</v>
      </c>
      <c r="D1795" s="905" t="s">
        <v>11846</v>
      </c>
    </row>
    <row r="1796" spans="1:4" ht="16.5">
      <c r="A1796" s="587" t="str">
        <f ca="1">IFERROR(__xludf.DUMMYFUNCTION("""COMPUTED_VALUE"""),"DOHLLWC0952071")</f>
        <v>DOHLLWC0952071</v>
      </c>
      <c r="B1796" t="s">
        <v>11818</v>
      </c>
      <c r="C1796" s="663" t="s">
        <v>11843</v>
      </c>
      <c r="D1796" s="905" t="s">
        <v>11846</v>
      </c>
    </row>
    <row r="1797" spans="1:4" ht="16.5">
      <c r="A1797" s="581" t="str">
        <f ca="1">IFERROR(__xludf.DUMMYFUNCTION("""COMPUTED_VALUE"""),"DOHLLWC0952081")</f>
        <v>DOHLLWC0952081</v>
      </c>
      <c r="B1797" t="s">
        <v>11818</v>
      </c>
      <c r="C1797" s="663" t="s">
        <v>11843</v>
      </c>
      <c r="D1797" s="905" t="s">
        <v>11846</v>
      </c>
    </row>
    <row r="1798" spans="1:4" ht="16.5">
      <c r="A1798" s="587" t="str">
        <f ca="1">IFERROR(__xludf.DUMMYFUNCTION("""COMPUTED_VALUE"""),"DOHLLWC1270071")</f>
        <v>DOHLLWC1270071</v>
      </c>
      <c r="B1798" t="s">
        <v>11818</v>
      </c>
      <c r="C1798" s="663" t="s">
        <v>11843</v>
      </c>
      <c r="D1798" s="905" t="s">
        <v>11846</v>
      </c>
    </row>
    <row r="1799" spans="1:4" ht="16.5">
      <c r="A1799" s="581" t="str">
        <f ca="1">IFERROR(__xludf.DUMMYFUNCTION("""COMPUTED_VALUE"""),"DOHLLWC1270081")</f>
        <v>DOHLLWC1270081</v>
      </c>
      <c r="B1799" t="s">
        <v>11818</v>
      </c>
      <c r="C1799" s="663" t="s">
        <v>11843</v>
      </c>
      <c r="D1799" s="905" t="s">
        <v>11846</v>
      </c>
    </row>
    <row r="1800" spans="1:4" ht="16.5">
      <c r="A1800" s="587" t="str">
        <f ca="1">IFERROR(__xludf.DUMMYFUNCTION("""COMPUTED_VALUE"""),"DOHLLWC1588102")</f>
        <v>DOHLLWC1588102</v>
      </c>
      <c r="B1800" t="s">
        <v>11818</v>
      </c>
      <c r="C1800" s="663" t="s">
        <v>11843</v>
      </c>
      <c r="D1800" s="905" t="s">
        <v>11846</v>
      </c>
    </row>
    <row r="1801" spans="1:4" ht="16.5">
      <c r="A1801" s="581" t="str">
        <f ca="1">IFERROR(__xludf.DUMMYFUNCTION("""COMPUTED_VALUE"""),"DOHLLWC1905102")</f>
        <v>DOHLLWC1905102</v>
      </c>
      <c r="B1801" t="s">
        <v>11818</v>
      </c>
      <c r="C1801" s="663" t="s">
        <v>11843</v>
      </c>
      <c r="D1801" s="905" t="s">
        <v>11846</v>
      </c>
    </row>
    <row r="1802" spans="1:4" ht="16.5">
      <c r="A1802" s="587" t="str">
        <f ca="1">IFERROR(__xludf.DUMMYFUNCTION("""COMPUTED_VALUE"""),"DOCHLTS0635061")</f>
        <v>DOCHLTS0635061</v>
      </c>
      <c r="B1802" t="s">
        <v>11818</v>
      </c>
      <c r="C1802" s="663" t="s">
        <v>11843</v>
      </c>
      <c r="D1802" s="905" t="s">
        <v>11846</v>
      </c>
    </row>
    <row r="1803" spans="1:4" ht="16.5">
      <c r="A1803" s="581" t="str">
        <f ca="1">IFERROR(__xludf.DUMMYFUNCTION("""COMPUTED_VALUE"""),"DOCHLTS0635071")</f>
        <v>DOCHLTS0635071</v>
      </c>
      <c r="B1803" t="s">
        <v>11818</v>
      </c>
      <c r="C1803" s="663" t="s">
        <v>11843</v>
      </c>
      <c r="D1803" s="905" t="s">
        <v>11846</v>
      </c>
    </row>
    <row r="1804" spans="1:4" ht="16.5">
      <c r="A1804" s="587" t="str">
        <f ca="1">IFERROR(__xludf.DUMMYFUNCTION("""COMPUTED_VALUE"""),"DOCHLTS0635081")</f>
        <v>DOCHLTS0635081</v>
      </c>
      <c r="B1804" t="s">
        <v>11818</v>
      </c>
      <c r="C1804" s="663" t="s">
        <v>11843</v>
      </c>
      <c r="D1804" s="905" t="s">
        <v>11846</v>
      </c>
    </row>
    <row r="1805" spans="1:4" ht="16.5">
      <c r="A1805" s="581" t="str">
        <f ca="1">IFERROR(__xludf.DUMMYFUNCTION("""COMPUTED_VALUE"""),"DOCHLTS0952061")</f>
        <v>DOCHLTS0952061</v>
      </c>
      <c r="B1805" t="s">
        <v>11818</v>
      </c>
      <c r="C1805" s="663" t="s">
        <v>11843</v>
      </c>
      <c r="D1805" s="905" t="s">
        <v>11846</v>
      </c>
    </row>
    <row r="1806" spans="1:4" ht="16.5">
      <c r="A1806" s="587" t="str">
        <f ca="1">IFERROR(__xludf.DUMMYFUNCTION("""COMPUTED_VALUE"""),"DOCHLTS0952071")</f>
        <v>DOCHLTS0952071</v>
      </c>
      <c r="B1806" t="s">
        <v>11818</v>
      </c>
      <c r="C1806" s="663" t="s">
        <v>11843</v>
      </c>
      <c r="D1806" s="905" t="s">
        <v>11846</v>
      </c>
    </row>
    <row r="1807" spans="1:4" ht="16.5">
      <c r="A1807" s="581" t="str">
        <f ca="1">IFERROR(__xludf.DUMMYFUNCTION("""COMPUTED_VALUE"""),"DOCHLTS0952081")</f>
        <v>DOCHLTS0952081</v>
      </c>
      <c r="B1807" t="s">
        <v>11818</v>
      </c>
      <c r="C1807" s="663" t="s">
        <v>11843</v>
      </c>
      <c r="D1807" s="905" t="s">
        <v>11846</v>
      </c>
    </row>
    <row r="1808" spans="1:4" ht="16.5">
      <c r="A1808" s="587" t="str">
        <f ca="1">IFERROR(__xludf.DUMMYFUNCTION("""COMPUTED_VALUE"""),"DOCHLTS1270061")</f>
        <v>DOCHLTS1270061</v>
      </c>
      <c r="B1808" t="s">
        <v>11818</v>
      </c>
      <c r="C1808" s="663" t="s">
        <v>11843</v>
      </c>
      <c r="D1808" s="905" t="s">
        <v>11846</v>
      </c>
    </row>
    <row r="1809" spans="1:4" ht="16.5">
      <c r="A1809" s="581" t="str">
        <f ca="1">IFERROR(__xludf.DUMMYFUNCTION("""COMPUTED_VALUE"""),"DOCHLTS1270071")</f>
        <v>DOCHLTS1270071</v>
      </c>
      <c r="B1809" t="s">
        <v>11818</v>
      </c>
      <c r="C1809" s="663" t="s">
        <v>11843</v>
      </c>
      <c r="D1809" s="905" t="s">
        <v>11846</v>
      </c>
    </row>
    <row r="1810" spans="1:4" ht="16.5">
      <c r="A1810" s="587" t="str">
        <f ca="1">IFERROR(__xludf.DUMMYFUNCTION("""COMPUTED_VALUE"""),"DOCHLTS1270081")</f>
        <v>DOCHLTS1270081</v>
      </c>
      <c r="B1810" t="s">
        <v>11818</v>
      </c>
      <c r="C1810" s="663" t="s">
        <v>11843</v>
      </c>
      <c r="D1810" s="905" t="s">
        <v>11846</v>
      </c>
    </row>
    <row r="1811" spans="1:4" ht="16.5">
      <c r="A1811" s="581" t="str">
        <f ca="1">IFERROR(__xludf.DUMMYFUNCTION("""COMPUTED_VALUE"""),"DOCHLTS1588071")</f>
        <v>DOCHLTS1588071</v>
      </c>
      <c r="B1811" t="s">
        <v>11818</v>
      </c>
      <c r="C1811" s="663" t="s">
        <v>11843</v>
      </c>
      <c r="D1811" s="905" t="s">
        <v>11846</v>
      </c>
    </row>
    <row r="1812" spans="1:4" ht="16.5">
      <c r="A1812" s="587" t="str">
        <f ca="1">IFERROR(__xludf.DUMMYFUNCTION("""COMPUTED_VALUE"""),"DOCHLTS1588081")</f>
        <v>DOCHLTS1588081</v>
      </c>
      <c r="B1812" t="s">
        <v>11818</v>
      </c>
      <c r="C1812" s="663" t="s">
        <v>11843</v>
      </c>
      <c r="D1812" s="905" t="s">
        <v>11846</v>
      </c>
    </row>
    <row r="1813" spans="1:4" ht="16.5">
      <c r="A1813" s="581" t="str">
        <f ca="1">IFERROR(__xludf.DUMMYFUNCTION("""COMPUTED_VALUE"""),"DOCHLTS1588100")</f>
        <v>DOCHLTS1588100</v>
      </c>
      <c r="B1813" t="s">
        <v>11818</v>
      </c>
      <c r="C1813" s="663" t="s">
        <v>11843</v>
      </c>
      <c r="D1813" s="905" t="s">
        <v>11846</v>
      </c>
    </row>
    <row r="1814" spans="1:4" ht="16.5">
      <c r="A1814" s="587" t="str">
        <f ca="1">IFERROR(__xludf.DUMMYFUNCTION("""COMPUTED_VALUE"""),"DOCHLTS1905071")</f>
        <v>DOCHLTS1905071</v>
      </c>
      <c r="B1814" t="s">
        <v>11818</v>
      </c>
      <c r="C1814" s="663" t="s">
        <v>11843</v>
      </c>
      <c r="D1814" s="905" t="s">
        <v>11846</v>
      </c>
    </row>
    <row r="1815" spans="1:4" ht="16.5">
      <c r="A1815" s="581" t="str">
        <f ca="1">IFERROR(__xludf.DUMMYFUNCTION("""COMPUTED_VALUE"""),"DOCHLTS1905081")</f>
        <v>DOCHLTS1905081</v>
      </c>
      <c r="B1815" t="s">
        <v>11818</v>
      </c>
      <c r="C1815" s="663" t="s">
        <v>11843</v>
      </c>
      <c r="D1815" s="905" t="s">
        <v>11846</v>
      </c>
    </row>
    <row r="1816" spans="1:4" ht="16.5">
      <c r="A1816" s="587" t="str">
        <f ca="1">IFERROR(__xludf.DUMMYFUNCTION("""COMPUTED_VALUE"""),"DOCHLTS1905100")</f>
        <v>DOCHLTS1905100</v>
      </c>
      <c r="B1816" t="s">
        <v>11818</v>
      </c>
      <c r="C1816" s="663" t="s">
        <v>11843</v>
      </c>
      <c r="D1816" s="905" t="s">
        <v>11846</v>
      </c>
    </row>
    <row r="1817" spans="1:4" ht="16.5">
      <c r="A1817" s="581" t="str">
        <f ca="1">IFERROR(__xludf.DUMMYFUNCTION("""COMPUTED_VALUE"""),"DOCTAISEI0635061")</f>
        <v>DOCTAISEI0635061</v>
      </c>
      <c r="B1817" t="s">
        <v>11818</v>
      </c>
      <c r="C1817" s="663" t="s">
        <v>11843</v>
      </c>
      <c r="D1817" s="905" t="s">
        <v>11846</v>
      </c>
    </row>
    <row r="1818" spans="1:4" ht="16.5">
      <c r="A1818" s="587" t="str">
        <f ca="1">IFERROR(__xludf.DUMMYFUNCTION("""COMPUTED_VALUE"""),"DOCTAISEI0635071")</f>
        <v>DOCTAISEI0635071</v>
      </c>
      <c r="B1818" t="s">
        <v>11818</v>
      </c>
      <c r="C1818" s="663" t="s">
        <v>11843</v>
      </c>
      <c r="D1818" s="905" t="s">
        <v>11846</v>
      </c>
    </row>
    <row r="1819" spans="1:4" ht="16.5">
      <c r="A1819" s="581" t="str">
        <f ca="1">IFERROR(__xludf.DUMMYFUNCTION("""COMPUTED_VALUE"""),"DOCTAISEI0635076")</f>
        <v>DOCTAISEI0635076</v>
      </c>
      <c r="B1819" t="s">
        <v>11818</v>
      </c>
      <c r="C1819" s="663" t="s">
        <v>11843</v>
      </c>
      <c r="D1819" s="905" t="s">
        <v>11846</v>
      </c>
    </row>
    <row r="1820" spans="1:4" ht="16.5">
      <c r="A1820" s="587" t="str">
        <f ca="1">IFERROR(__xludf.DUMMYFUNCTION("""COMPUTED_VALUE"""),"DOCTAISEI0635081")</f>
        <v>DOCTAISEI0635081</v>
      </c>
      <c r="B1820" t="s">
        <v>11818</v>
      </c>
      <c r="C1820" s="663" t="s">
        <v>11843</v>
      </c>
      <c r="D1820" s="905" t="s">
        <v>11846</v>
      </c>
    </row>
    <row r="1821" spans="1:4" ht="16.5">
      <c r="A1821" s="581" t="str">
        <f ca="1">IFERROR(__xludf.DUMMYFUNCTION("""COMPUTED_VALUE"""),"DOCTAISEI0794071")</f>
        <v>DOCTAISEI0794071</v>
      </c>
      <c r="B1821" t="s">
        <v>11818</v>
      </c>
      <c r="C1821" s="663" t="s">
        <v>11843</v>
      </c>
      <c r="D1821" s="905" t="s">
        <v>11846</v>
      </c>
    </row>
    <row r="1822" spans="1:4" ht="16.5">
      <c r="A1822" s="587" t="str">
        <f ca="1">IFERROR(__xludf.DUMMYFUNCTION("""COMPUTED_VALUE"""),"DOCTAISEI0952061")</f>
        <v>DOCTAISEI0952061</v>
      </c>
      <c r="B1822" t="s">
        <v>11818</v>
      </c>
      <c r="C1822" s="663" t="s">
        <v>11843</v>
      </c>
      <c r="D1822" s="905" t="s">
        <v>11846</v>
      </c>
    </row>
    <row r="1823" spans="1:4" ht="16.5">
      <c r="A1823" s="581" t="str">
        <f ca="1">IFERROR(__xludf.DUMMYFUNCTION("""COMPUTED_VALUE"""),"DOCTS0952051")</f>
        <v>DOCTS0952051</v>
      </c>
      <c r="B1823" t="s">
        <v>11818</v>
      </c>
      <c r="C1823" s="663" t="s">
        <v>11843</v>
      </c>
      <c r="D1823" s="905" t="s">
        <v>11846</v>
      </c>
    </row>
    <row r="1824" spans="1:4" ht="16.5">
      <c r="A1824" s="587" t="str">
        <f ca="1">IFERROR(__xludf.DUMMYFUNCTION("""COMPUTED_VALUE"""),"DOCTAISEI095207115")</f>
        <v>DOCTAISEI095207115</v>
      </c>
      <c r="B1824" t="s">
        <v>11818</v>
      </c>
      <c r="C1824" s="663" t="s">
        <v>11843</v>
      </c>
      <c r="D1824" s="905" t="s">
        <v>11846</v>
      </c>
    </row>
    <row r="1825" spans="1:4" ht="16.5">
      <c r="A1825" s="581" t="str">
        <f ca="1">IFERROR(__xludf.DUMMYFUNCTION("""COMPUTED_VALUE"""),"DOCTAISEI0952081")</f>
        <v>DOCTAISEI0952081</v>
      </c>
      <c r="B1825" t="s">
        <v>11818</v>
      </c>
      <c r="C1825" s="663" t="s">
        <v>11843</v>
      </c>
      <c r="D1825" s="905" t="s">
        <v>11846</v>
      </c>
    </row>
    <row r="1826" spans="1:4" ht="16.5">
      <c r="A1826" s="587" t="str">
        <f ca="1">IFERROR(__xludf.DUMMYFUNCTION("""COMPUTED_VALUE"""),"DOCTS1200100")</f>
        <v>DOCTS1200100</v>
      </c>
      <c r="B1826" t="s">
        <v>11818</v>
      </c>
      <c r="C1826" s="663" t="s">
        <v>11843</v>
      </c>
      <c r="D1826" s="905" t="s">
        <v>11846</v>
      </c>
    </row>
    <row r="1827" spans="1:4" ht="16.5">
      <c r="A1827" s="581" t="str">
        <f ca="1">IFERROR(__xludf.DUMMYFUNCTION("""COMPUTED_VALUE"""),"DOCTAISEI1270061")</f>
        <v>DOCTAISEI1270061</v>
      </c>
      <c r="B1827" t="s">
        <v>11818</v>
      </c>
      <c r="C1827" s="663" t="s">
        <v>11843</v>
      </c>
      <c r="D1827" s="905" t="s">
        <v>11846</v>
      </c>
    </row>
    <row r="1828" spans="1:4" ht="16.5">
      <c r="A1828" s="587" t="str">
        <f ca="1">IFERROR(__xludf.DUMMYFUNCTION("""COMPUTED_VALUE"""),"DOCTAISEI1270071")</f>
        <v>DOCTAISEI1270071</v>
      </c>
      <c r="B1828" t="s">
        <v>11818</v>
      </c>
      <c r="C1828" s="663" t="s">
        <v>11843</v>
      </c>
      <c r="D1828" s="905" t="s">
        <v>11846</v>
      </c>
    </row>
    <row r="1829" spans="1:4" ht="16.5">
      <c r="A1829" s="581" t="str">
        <f ca="1">IFERROR(__xludf.DUMMYFUNCTION("""COMPUTED_VALUE"""),"DOCTAISEI1270081")</f>
        <v>DOCTAISEI1270081</v>
      </c>
      <c r="B1829" t="s">
        <v>11818</v>
      </c>
      <c r="C1829" s="663" t="s">
        <v>11843</v>
      </c>
      <c r="D1829" s="905" t="s">
        <v>11846</v>
      </c>
    </row>
    <row r="1830" spans="1:4" ht="16.5">
      <c r="A1830" s="587" t="str">
        <f ca="1">IFERROR(__xludf.DUMMYFUNCTION("""COMPUTED_VALUE"""),"DOCTAISEI1588102")</f>
        <v>DOCTAISEI1588102</v>
      </c>
      <c r="B1830" t="s">
        <v>11818</v>
      </c>
      <c r="C1830" s="663" t="s">
        <v>11843</v>
      </c>
      <c r="D1830" s="905" t="s">
        <v>11846</v>
      </c>
    </row>
    <row r="1831" spans="1:4" ht="16.5">
      <c r="A1831" s="581" t="str">
        <f ca="1">IFERROR(__xludf.DUMMYFUNCTION("""COMPUTED_VALUE"""),"DOCTAISEI1588071")</f>
        <v>DOCTAISEI1588071</v>
      </c>
      <c r="B1831" t="s">
        <v>11818</v>
      </c>
      <c r="C1831" s="663" t="s">
        <v>11843</v>
      </c>
      <c r="D1831" s="905" t="s">
        <v>11846</v>
      </c>
    </row>
    <row r="1832" spans="1:4" ht="16.5">
      <c r="A1832" s="587" t="str">
        <f ca="1">IFERROR(__xludf.DUMMYFUNCTION("""COMPUTED_VALUE"""),"DOCTAISEI1588081")</f>
        <v>DOCTAISEI1588081</v>
      </c>
      <c r="B1832" t="s">
        <v>11818</v>
      </c>
      <c r="C1832" s="663" t="s">
        <v>11843</v>
      </c>
      <c r="D1832" s="905" t="s">
        <v>11846</v>
      </c>
    </row>
    <row r="1833" spans="1:4" ht="16.5">
      <c r="A1833" s="581" t="str">
        <f ca="1">IFERROR(__xludf.DUMMYFUNCTION("""COMPUTED_VALUE"""),"DOCTAISEI1588089")</f>
        <v>DOCTAISEI1588089</v>
      </c>
      <c r="B1833" t="s">
        <v>11818</v>
      </c>
      <c r="C1833" s="663" t="s">
        <v>11843</v>
      </c>
      <c r="D1833" s="905" t="s">
        <v>11846</v>
      </c>
    </row>
    <row r="1834" spans="1:4" ht="16.5">
      <c r="A1834" s="587" t="str">
        <f ca="1">IFERROR(__xludf.DUMMYFUNCTION("""COMPUTED_VALUE"""),"DOCTAISEI1588100")</f>
        <v>DOCTAISEI1588100</v>
      </c>
      <c r="B1834" t="s">
        <v>11818</v>
      </c>
      <c r="C1834" s="663" t="s">
        <v>11843</v>
      </c>
      <c r="D1834" s="905" t="s">
        <v>11846</v>
      </c>
    </row>
    <row r="1835" spans="1:4" ht="16.5">
      <c r="A1835" s="581" t="str">
        <f ca="1">IFERROR(__xludf.DUMMYFUNCTION("""COMPUTED_VALUE"""),"DOCTAISEI1905102")</f>
        <v>DOCTAISEI1905102</v>
      </c>
      <c r="B1835" t="s">
        <v>11818</v>
      </c>
      <c r="C1835" s="663" t="s">
        <v>11843</v>
      </c>
      <c r="D1835" s="905" t="s">
        <v>11846</v>
      </c>
    </row>
    <row r="1836" spans="1:4" ht="16.5">
      <c r="A1836" s="587" t="str">
        <f ca="1">IFERROR(__xludf.DUMMYFUNCTION("""COMPUTED_VALUE"""),"DOCTAISEI1905107")</f>
        <v>DOCTAISEI1905107</v>
      </c>
      <c r="B1836" t="s">
        <v>11818</v>
      </c>
      <c r="C1836" s="663" t="s">
        <v>11843</v>
      </c>
      <c r="D1836" s="905" t="s">
        <v>11846</v>
      </c>
    </row>
    <row r="1837" spans="1:4" ht="16.5">
      <c r="A1837" s="581" t="str">
        <f ca="1">IFERROR(__xludf.DUMMYFUNCTION("""COMPUTED_VALUE"""),"DOCTAISEI1905081")</f>
        <v>DOCTAISEI1905081</v>
      </c>
      <c r="B1837" t="s">
        <v>11818</v>
      </c>
      <c r="C1837" s="663" t="s">
        <v>11843</v>
      </c>
      <c r="D1837" s="905" t="s">
        <v>11846</v>
      </c>
    </row>
    <row r="1838" spans="1:4" ht="16.5">
      <c r="A1838" s="587" t="str">
        <f ca="1">IFERROR(__xludf.DUMMYFUNCTION("""COMPUTED_VALUE"""),"DOCTAISEI1905089")</f>
        <v>DOCTAISEI1905089</v>
      </c>
      <c r="B1838" t="s">
        <v>11818</v>
      </c>
      <c r="C1838" s="663" t="s">
        <v>11843</v>
      </c>
      <c r="D1838" s="905" t="s">
        <v>11846</v>
      </c>
    </row>
    <row r="1839" spans="1:4" ht="16.5">
      <c r="A1839" s="581" t="str">
        <f ca="1">IFERROR(__xludf.DUMMYFUNCTION("""COMPUTED_VALUE"""),"DOCTAISEI1905100")</f>
        <v>DOCTAISEI1905100</v>
      </c>
      <c r="B1839" t="s">
        <v>11818</v>
      </c>
      <c r="C1839" s="663" t="s">
        <v>11843</v>
      </c>
      <c r="D1839" s="905" t="s">
        <v>11846</v>
      </c>
    </row>
    <row r="1840" spans="1:4" ht="16.5">
      <c r="A1840" s="587" t="str">
        <f ca="1">IFERROR(__xludf.DUMMYFUNCTION("""COMPUTED_VALUE"""),"DOTVNTS158807129")</f>
        <v>DOTVNTS158807129</v>
      </c>
      <c r="B1840" t="s">
        <v>11818</v>
      </c>
      <c r="C1840" s="663" t="s">
        <v>11843</v>
      </c>
      <c r="D1840" s="905" t="s">
        <v>11846</v>
      </c>
    </row>
    <row r="1841" spans="1:4" ht="16.5">
      <c r="A1841" s="581" t="str">
        <f ca="1">IFERROR(__xludf.DUMMYFUNCTION("""COMPUTED_VALUE"""),"DOTVNTS190509129")</f>
        <v>DOTVNTS190509129</v>
      </c>
      <c r="B1841" t="s">
        <v>11818</v>
      </c>
      <c r="C1841" s="663" t="s">
        <v>11843</v>
      </c>
      <c r="D1841" s="905" t="s">
        <v>11846</v>
      </c>
    </row>
    <row r="1842" spans="1:4" ht="16.5">
      <c r="A1842" s="587" t="str">
        <f ca="1">IFERROR(__xludf.DUMMYFUNCTION("""COMPUTED_VALUE"""),"DOTVNTS1905100")</f>
        <v>DOTVNTS1905100</v>
      </c>
      <c r="B1842" t="s">
        <v>11818</v>
      </c>
      <c r="C1842" s="663" t="s">
        <v>11843</v>
      </c>
      <c r="D1842" s="905" t="s">
        <v>11846</v>
      </c>
    </row>
    <row r="1843" spans="1:4" ht="16.5">
      <c r="A1843" s="581" t="str">
        <f ca="1">IFERROR(__xludf.DUMMYFUNCTION("""COMPUTED_VALUE"""),"DOTVNTS127007129")</f>
        <v>DOTVNTS127007129</v>
      </c>
      <c r="B1843" t="s">
        <v>11818</v>
      </c>
      <c r="C1843" s="663" t="s">
        <v>11843</v>
      </c>
      <c r="D1843" s="905" t="s">
        <v>11846</v>
      </c>
    </row>
    <row r="1844" spans="1:4" ht="16.5">
      <c r="A1844" s="587" t="str">
        <f ca="1">IFERROR(__xludf.DUMMYFUNCTION("""COMPUTED_VALUE"""),"DOTVNTS127008129")</f>
        <v>DOTVNTS127008129</v>
      </c>
      <c r="B1844" t="s">
        <v>11818</v>
      </c>
      <c r="C1844" s="663" t="s">
        <v>11843</v>
      </c>
      <c r="D1844" s="905" t="s">
        <v>11846</v>
      </c>
    </row>
    <row r="1845" spans="1:4" ht="16.5">
      <c r="A1845" s="581" t="str">
        <f ca="1">IFERROR(__xludf.DUMMYFUNCTION("""COMPUTED_VALUE"""),"DOTVNTS28581129")</f>
        <v>DOTVNTS28581129</v>
      </c>
      <c r="B1845" t="s">
        <v>11818</v>
      </c>
      <c r="C1845" s="663" t="s">
        <v>11843</v>
      </c>
      <c r="D1845" s="905" t="s">
        <v>11846</v>
      </c>
    </row>
    <row r="1846" spans="1:4" ht="16.5">
      <c r="A1846" s="587" t="str">
        <f ca="1">IFERROR(__xludf.DUMMYFUNCTION("""COMPUTED_VALUE"""),"DOTVNTS158810029")</f>
        <v>DOTVNTS158810029</v>
      </c>
      <c r="B1846" t="s">
        <v>11818</v>
      </c>
      <c r="C1846" s="663" t="s">
        <v>11843</v>
      </c>
      <c r="D1846" s="905" t="s">
        <v>11846</v>
      </c>
    </row>
    <row r="1847" spans="1:4" ht="16.5">
      <c r="A1847" s="581" t="str">
        <f ca="1">IFERROR(__xludf.DUMMYFUNCTION("""COMPUTED_VALUE"""),"DOTVNTS222208129")</f>
        <v>DOTVNTS222208129</v>
      </c>
      <c r="B1847" t="s">
        <v>11818</v>
      </c>
      <c r="C1847" s="663" t="s">
        <v>11843</v>
      </c>
      <c r="D1847" s="905" t="s">
        <v>11846</v>
      </c>
    </row>
    <row r="1848" spans="1:4" ht="16.5">
      <c r="A1848" s="587" t="str">
        <f ca="1">IFERROR(__xludf.DUMMYFUNCTION("""COMPUTED_VALUE"""),"DOTVNTS222209129")</f>
        <v>DOTVNTS222209129</v>
      </c>
      <c r="B1848" t="s">
        <v>11818</v>
      </c>
      <c r="C1848" s="663" t="s">
        <v>11843</v>
      </c>
      <c r="D1848" s="905" t="s">
        <v>11846</v>
      </c>
    </row>
    <row r="1849" spans="1:4" ht="16.5">
      <c r="A1849" s="581" t="str">
        <f ca="1">IFERROR(__xludf.DUMMYFUNCTION("""COMPUTED_VALUE"""),"DOTVNTS22221029")</f>
        <v>DOTVNTS22221029</v>
      </c>
      <c r="B1849" t="s">
        <v>11818</v>
      </c>
      <c r="C1849" s="663" t="s">
        <v>11843</v>
      </c>
      <c r="D1849" s="905" t="s">
        <v>11846</v>
      </c>
    </row>
    <row r="1850" spans="1:4" ht="16.5">
      <c r="A1850" s="587" t="str">
        <f ca="1">IFERROR(__xludf.DUMMYFUNCTION("""COMPUTED_VALUE"""),"DOTVNTS222210229")</f>
        <v>DOTVNTS222210229</v>
      </c>
      <c r="B1850" t="s">
        <v>11818</v>
      </c>
      <c r="C1850" s="663" t="s">
        <v>11843</v>
      </c>
      <c r="D1850" s="905" t="s">
        <v>11846</v>
      </c>
    </row>
    <row r="1851" spans="1:4" ht="16.5">
      <c r="A1851" s="581" t="str">
        <f ca="1">IFERROR(__xludf.DUMMYFUNCTION("""COMPUTED_VALUE"""),"DOTVNTS222211429")</f>
        <v>DOTVNTS222211429</v>
      </c>
      <c r="B1851" t="s">
        <v>11818</v>
      </c>
      <c r="C1851" s="663" t="s">
        <v>11843</v>
      </c>
      <c r="D1851" s="905" t="s">
        <v>11846</v>
      </c>
    </row>
    <row r="1852" spans="1:4" ht="16.5">
      <c r="A1852" s="587" t="str">
        <f ca="1">IFERROR(__xludf.DUMMYFUNCTION("""COMPUTED_VALUE"""),"DOTVNTS222212029")</f>
        <v>DOTVNTS222212029</v>
      </c>
      <c r="B1852" t="s">
        <v>11818</v>
      </c>
      <c r="C1852" s="663" t="s">
        <v>11843</v>
      </c>
      <c r="D1852" s="905" t="s">
        <v>11846</v>
      </c>
    </row>
    <row r="1853" spans="1:4" ht="16.5">
      <c r="A1853" s="581" t="str">
        <f ca="1">IFERROR(__xludf.DUMMYFUNCTION("""COMPUTED_VALUE"""),"DOTVNTS25401029")</f>
        <v>DOTVNTS25401029</v>
      </c>
      <c r="B1853" t="s">
        <v>11818</v>
      </c>
      <c r="C1853" s="663" t="s">
        <v>11843</v>
      </c>
      <c r="D1853" s="905" t="s">
        <v>11846</v>
      </c>
    </row>
    <row r="1854" spans="1:4" ht="16.5">
      <c r="A1854" s="587" t="str">
        <f ca="1">IFERROR(__xludf.DUMMYFUNCTION("""COMPUTED_VALUE"""),"DOTVNTS254012029")</f>
        <v>DOTVNTS254012029</v>
      </c>
      <c r="B1854" t="s">
        <v>11818</v>
      </c>
      <c r="C1854" s="663" t="s">
        <v>11843</v>
      </c>
      <c r="D1854" s="905" t="s">
        <v>11846</v>
      </c>
    </row>
    <row r="1855" spans="1:4" ht="16.5">
      <c r="A1855" s="581" t="str">
        <f ca="1">IFERROR(__xludf.DUMMYFUNCTION("""COMPUTED_VALUE"""),"DOTVNTS285812729")</f>
        <v>DOTVNTS285812729</v>
      </c>
      <c r="B1855" t="s">
        <v>11818</v>
      </c>
      <c r="C1855" s="663" t="s">
        <v>11843</v>
      </c>
      <c r="D1855" s="905" t="s">
        <v>11846</v>
      </c>
    </row>
    <row r="1856" spans="1:4" ht="16.5">
      <c r="A1856" s="587" t="str">
        <f ca="1">IFERROR(__xludf.DUMMYFUNCTION("""COMPUTED_VALUE"""),"DOTVNTS285808129")</f>
        <v>DOTVNTS285808129</v>
      </c>
      <c r="B1856" t="s">
        <v>11818</v>
      </c>
      <c r="C1856" s="663" t="s">
        <v>11843</v>
      </c>
      <c r="D1856" s="905" t="s">
        <v>11846</v>
      </c>
    </row>
    <row r="1857" spans="1:4" ht="16.5">
      <c r="A1857" s="581" t="str">
        <f ca="1">IFERROR(__xludf.DUMMYFUNCTION("""COMPUTED_VALUE"""),"DOTVNTS28581029")</f>
        <v>DOTVNTS28581029</v>
      </c>
      <c r="B1857" t="s">
        <v>11818</v>
      </c>
      <c r="C1857" s="663" t="s">
        <v>11843</v>
      </c>
      <c r="D1857" s="905" t="s">
        <v>11846</v>
      </c>
    </row>
    <row r="1858" spans="1:4" ht="16.5">
      <c r="A1858" s="587" t="str">
        <f ca="1">IFERROR(__xludf.DUMMYFUNCTION("""COMPUTED_VALUE"""),"DOTVNTS285812029")</f>
        <v>DOTVNTS285812029</v>
      </c>
      <c r="B1858" t="s">
        <v>11818</v>
      </c>
      <c r="C1858" s="663" t="s">
        <v>11843</v>
      </c>
      <c r="D1858" s="905" t="s">
        <v>11846</v>
      </c>
    </row>
    <row r="1859" spans="1:4" ht="16.5">
      <c r="A1859" s="581" t="str">
        <f ca="1">IFERROR(__xludf.DUMMYFUNCTION("""COMPUTED_VALUE"""),"DOTVNTS285812229")</f>
        <v>DOTVNTS285812229</v>
      </c>
      <c r="B1859" t="s">
        <v>11818</v>
      </c>
      <c r="C1859" s="663" t="s">
        <v>11843</v>
      </c>
      <c r="D1859" s="905" t="s">
        <v>11846</v>
      </c>
    </row>
    <row r="1860" spans="1:4" ht="16.5">
      <c r="A1860" s="587" t="str">
        <f ca="1">IFERROR(__xludf.DUMMYFUNCTION("""COMPUTED_VALUE"""),"DOTVNTS285814029")</f>
        <v>DOTVNTS285814029</v>
      </c>
      <c r="B1860" t="s">
        <v>11818</v>
      </c>
      <c r="C1860" s="663" t="s">
        <v>11843</v>
      </c>
      <c r="D1860" s="905" t="s">
        <v>11846</v>
      </c>
    </row>
    <row r="1861" spans="1:4" ht="16.5">
      <c r="A1861" s="581" t="str">
        <f ca="1">IFERROR(__xludf.DUMMYFUNCTION("""COMPUTED_VALUE"""),"DOTVNTS31751129")</f>
        <v>DOTVNTS31751129</v>
      </c>
      <c r="B1861" t="s">
        <v>11818</v>
      </c>
      <c r="C1861" s="663" t="s">
        <v>11843</v>
      </c>
      <c r="D1861" s="905" t="s">
        <v>11846</v>
      </c>
    </row>
    <row r="1862" spans="1:4" ht="16.5">
      <c r="A1862" s="587" t="str">
        <f ca="1">IFERROR(__xludf.DUMMYFUNCTION("""COMPUTED_VALUE"""),"DOTVNTS317512029")</f>
        <v>DOTVNTS317512029</v>
      </c>
      <c r="B1862" t="s">
        <v>11818</v>
      </c>
      <c r="C1862" s="663" t="s">
        <v>11843</v>
      </c>
      <c r="D1862" s="905" t="s">
        <v>11846</v>
      </c>
    </row>
    <row r="1863" spans="1:4" ht="16.5">
      <c r="A1863" s="581" t="str">
        <f ca="1">IFERROR(__xludf.DUMMYFUNCTION("""COMPUTED_VALUE"""),"DOTVNTS34931029")</f>
        <v>DOTVNTS34931029</v>
      </c>
      <c r="B1863" t="s">
        <v>11818</v>
      </c>
      <c r="C1863" s="663" t="s">
        <v>11843</v>
      </c>
      <c r="D1863" s="905" t="s">
        <v>11846</v>
      </c>
    </row>
    <row r="1864" spans="1:4" ht="16.5">
      <c r="A1864" s="587" t="str">
        <f ca="1">IFERROR(__xludf.DUMMYFUNCTION("""COMPUTED_VALUE"""),"DOTVNTS349312029")</f>
        <v>DOTVNTS349312029</v>
      </c>
      <c r="B1864" t="s">
        <v>11818</v>
      </c>
      <c r="C1864" s="663" t="s">
        <v>11843</v>
      </c>
      <c r="D1864" s="905" t="s">
        <v>11846</v>
      </c>
    </row>
    <row r="1865" spans="1:4" ht="16.5">
      <c r="A1865" s="581" t="str">
        <f ca="1">IFERROR(__xludf.DUMMYFUNCTION("""COMPUTED_VALUE"""),"DOTVNTS34931429")</f>
        <v>DOTVNTS34931429</v>
      </c>
      <c r="B1865" t="s">
        <v>11818</v>
      </c>
      <c r="C1865" s="663" t="s">
        <v>11843</v>
      </c>
      <c r="D1865" s="905" t="s">
        <v>11846</v>
      </c>
    </row>
    <row r="1866" spans="1:4" ht="16.5">
      <c r="A1866" s="587" t="str">
        <f ca="1">IFERROR(__xludf.DUMMYFUNCTION("""COMPUTED_VALUE"""),"DOTVNTS381012029")</f>
        <v>DOTVNTS381012029</v>
      </c>
      <c r="B1866" t="s">
        <v>11818</v>
      </c>
      <c r="C1866" s="663" t="s">
        <v>11843</v>
      </c>
      <c r="D1866" s="905" t="s">
        <v>11846</v>
      </c>
    </row>
    <row r="1867" spans="1:4" ht="16.5">
      <c r="A1867" s="581" t="str">
        <f ca="1">IFERROR(__xludf.DUMMYFUNCTION("""COMPUTED_VALUE"""),"DOTVNTS381014029")</f>
        <v>DOTVNTS381014029</v>
      </c>
      <c r="B1867" t="s">
        <v>11818</v>
      </c>
      <c r="C1867" s="663" t="s">
        <v>11843</v>
      </c>
      <c r="D1867" s="905" t="s">
        <v>11846</v>
      </c>
    </row>
    <row r="1868" spans="1:4" ht="16.5">
      <c r="A1868" s="587" t="str">
        <f ca="1">IFERROR(__xludf.DUMMYFUNCTION("""COMPUTED_VALUE"""),"DOTVNTS412810029")</f>
        <v>DOTVNTS412810029</v>
      </c>
      <c r="B1868" t="s">
        <v>11818</v>
      </c>
      <c r="C1868" s="663" t="s">
        <v>11843</v>
      </c>
      <c r="D1868" s="905" t="s">
        <v>11846</v>
      </c>
    </row>
    <row r="1869" spans="1:4" ht="16.5">
      <c r="A1869" s="581" t="str">
        <f ca="1">IFERROR(__xludf.DUMMYFUNCTION("""COMPUTED_VALUE"""),"DOTVNTS412812029")</f>
        <v>DOTVNTS412812029</v>
      </c>
      <c r="B1869" t="s">
        <v>11818</v>
      </c>
      <c r="C1869" s="663" t="s">
        <v>11843</v>
      </c>
      <c r="D1869" s="905" t="s">
        <v>11846</v>
      </c>
    </row>
    <row r="1870" spans="1:4" ht="16.5">
      <c r="A1870" s="587" t="str">
        <f ca="1">IFERROR(__xludf.DUMMYFUNCTION("""COMPUTED_VALUE"""),"DOTVNTS412814029")</f>
        <v>DOTVNTS412814029</v>
      </c>
      <c r="B1870" t="s">
        <v>11818</v>
      </c>
      <c r="C1870" s="663" t="s">
        <v>11843</v>
      </c>
      <c r="D1870" s="905" t="s">
        <v>11846</v>
      </c>
    </row>
    <row r="1871" spans="1:4" ht="16.5">
      <c r="A1871" s="581" t="str">
        <f ca="1">IFERROR(__xludf.DUMMYFUNCTION("""COMPUTED_VALUE"""),"DOTVNTS412814329")</f>
        <v>DOTVNTS412814329</v>
      </c>
      <c r="B1871" t="s">
        <v>11818</v>
      </c>
      <c r="C1871" s="663" t="s">
        <v>11843</v>
      </c>
      <c r="D1871" s="905" t="s">
        <v>11846</v>
      </c>
    </row>
    <row r="1872" spans="1:4" ht="16.5">
      <c r="A1872" s="587" t="str">
        <f ca="1">IFERROR(__xludf.DUMMYFUNCTION("""COMPUTED_VALUE"""),"DOTVNTS41281529")</f>
        <v>DOTVNTS41281529</v>
      </c>
      <c r="B1872" t="s">
        <v>11818</v>
      </c>
      <c r="C1872" s="663" t="s">
        <v>11843</v>
      </c>
      <c r="D1872" s="905" t="s">
        <v>11846</v>
      </c>
    </row>
    <row r="1873" spans="1:4" ht="16.5">
      <c r="A1873" s="581" t="str">
        <f ca="1">IFERROR(__xludf.DUMMYFUNCTION("""COMPUTED_VALUE"""),"DOTVNTS412815229")</f>
        <v>DOTVNTS412815229</v>
      </c>
      <c r="B1873" t="s">
        <v>11818</v>
      </c>
      <c r="C1873" s="663" t="s">
        <v>11843</v>
      </c>
      <c r="D1873" s="905" t="s">
        <v>11846</v>
      </c>
    </row>
    <row r="1874" spans="1:4" ht="16.5">
      <c r="A1874" s="587" t="str">
        <f ca="1">IFERROR(__xludf.DUMMYFUNCTION("""COMPUTED_VALUE"""),"DOTVNTS349313629")</f>
        <v>DOTVNTS349313629</v>
      </c>
      <c r="B1874" t="s">
        <v>11818</v>
      </c>
      <c r="C1874" s="663" t="s">
        <v>11843</v>
      </c>
      <c r="D1874" s="905" t="s">
        <v>11846</v>
      </c>
    </row>
    <row r="1875" spans="1:4" ht="16.5">
      <c r="A1875" s="581" t="str">
        <f ca="1">IFERROR(__xludf.DUMMYFUNCTION("""COMPUTED_VALUE"""),"DOTVNTS539814329")</f>
        <v>DOTVNTS539814329</v>
      </c>
      <c r="B1875" t="s">
        <v>11818</v>
      </c>
      <c r="C1875" s="663" t="s">
        <v>11843</v>
      </c>
      <c r="D1875" s="905" t="s">
        <v>11846</v>
      </c>
    </row>
    <row r="1876" spans="1:4" ht="16.5">
      <c r="A1876" s="587" t="str">
        <f ca="1">IFERROR(__xludf.DUMMYFUNCTION("""COMPUTED_VALUE"""),"DOTTS047605130")</f>
        <v>DOTTS047605130</v>
      </c>
      <c r="B1876" t="s">
        <v>11818</v>
      </c>
      <c r="C1876" s="663" t="s">
        <v>11843</v>
      </c>
      <c r="D1876" s="905" t="s">
        <v>11846</v>
      </c>
    </row>
    <row r="1877" spans="1:4" ht="16.5">
      <c r="A1877" s="581" t="str">
        <f ca="1">IFERROR(__xludf.DUMMYFUNCTION("""COMPUTED_VALUE"""),"DOTTS055005130")</f>
        <v>DOTTS055005130</v>
      </c>
      <c r="B1877" t="s">
        <v>11818</v>
      </c>
      <c r="C1877" s="663" t="s">
        <v>11843</v>
      </c>
      <c r="D1877" s="905" t="s">
        <v>11846</v>
      </c>
    </row>
    <row r="1878" spans="1:4" ht="16.5">
      <c r="A1878" s="587" t="str">
        <f ca="1">IFERROR(__xludf.DUMMYFUNCTION("""COMPUTED_VALUE"""),"DOTTS063505130")</f>
        <v>DOTTS063505130</v>
      </c>
      <c r="B1878" t="s">
        <v>11818</v>
      </c>
      <c r="C1878" s="663" t="s">
        <v>11843</v>
      </c>
      <c r="D1878" s="905" t="s">
        <v>11846</v>
      </c>
    </row>
    <row r="1879" spans="1:4" ht="16.5">
      <c r="A1879" s="581" t="str">
        <f ca="1">IFERROR(__xludf.DUMMYFUNCTION("""COMPUTED_VALUE"""),"DOTTS064004530")</f>
        <v>DOTTS064004530</v>
      </c>
      <c r="B1879" t="s">
        <v>11818</v>
      </c>
      <c r="C1879" s="663" t="s">
        <v>11843</v>
      </c>
      <c r="D1879" s="905" t="s">
        <v>11846</v>
      </c>
    </row>
    <row r="1880" spans="1:4" ht="16.5">
      <c r="A1880" s="587" t="str">
        <f ca="1">IFERROR(__xludf.DUMMYFUNCTION("""COMPUTED_VALUE"""),"DOTTS065005030")</f>
        <v>DOTTS065005030</v>
      </c>
      <c r="B1880" t="s">
        <v>11818</v>
      </c>
      <c r="C1880" s="663" t="s">
        <v>11843</v>
      </c>
      <c r="D1880" s="905" t="s">
        <v>11846</v>
      </c>
    </row>
    <row r="1881" spans="1:4" ht="16.5">
      <c r="A1881" s="581" t="str">
        <f ca="1">IFERROR(__xludf.DUMMYFUNCTION("""COMPUTED_VALUE"""),"DOTTS065005530")</f>
        <v>DOTTS065005530</v>
      </c>
      <c r="B1881" t="s">
        <v>11818</v>
      </c>
      <c r="C1881" s="663" t="s">
        <v>11843</v>
      </c>
      <c r="D1881" s="905" t="s">
        <v>11846</v>
      </c>
    </row>
    <row r="1882" spans="1:4" ht="16.5">
      <c r="A1882" s="587" t="str">
        <f ca="1">IFERROR(__xludf.DUMMYFUNCTION("""COMPUTED_VALUE"""),"DOTTS065007030")</f>
        <v>DOTTS065007030</v>
      </c>
      <c r="B1882" t="s">
        <v>11818</v>
      </c>
      <c r="C1882" s="663" t="s">
        <v>11843</v>
      </c>
      <c r="D1882" s="905" t="s">
        <v>11846</v>
      </c>
    </row>
    <row r="1883" spans="1:4" ht="16.5">
      <c r="A1883" s="581" t="str">
        <f ca="1">IFERROR(__xludf.DUMMYFUNCTION("""COMPUTED_VALUE"""),"DOTTS070005530")</f>
        <v>DOTTS070005530</v>
      </c>
      <c r="B1883" t="s">
        <v>11818</v>
      </c>
      <c r="C1883" s="663" t="s">
        <v>11843</v>
      </c>
      <c r="D1883" s="905" t="s">
        <v>11846</v>
      </c>
    </row>
    <row r="1884" spans="1:4" ht="16.5">
      <c r="A1884" s="587" t="str">
        <f ca="1">IFERROR(__xludf.DUMMYFUNCTION("""COMPUTED_VALUE"""),"DOTTS070006130")</f>
        <v>DOTTS070006130</v>
      </c>
      <c r="B1884" t="s">
        <v>11818</v>
      </c>
      <c r="C1884" s="663" t="s">
        <v>11843</v>
      </c>
      <c r="D1884" s="905" t="s">
        <v>11846</v>
      </c>
    </row>
    <row r="1885" spans="1:4" ht="16.5">
      <c r="A1885" s="581" t="str">
        <f ca="1">IFERROR(__xludf.DUMMYFUNCTION("""COMPUTED_VALUE"""),"DOTTS075006030")</f>
        <v>DOTTS075006030</v>
      </c>
      <c r="B1885" t="s">
        <v>11818</v>
      </c>
      <c r="C1885" s="663" t="s">
        <v>11843</v>
      </c>
      <c r="D1885" s="905" t="s">
        <v>11846</v>
      </c>
    </row>
    <row r="1886" spans="1:4" ht="16.5">
      <c r="A1886" s="587" t="str">
        <f ca="1">IFERROR(__xludf.DUMMYFUNCTION("""COMPUTED_VALUE"""),"DOTTS075008030")</f>
        <v>DOTTS075008030</v>
      </c>
      <c r="B1886" t="s">
        <v>11818</v>
      </c>
      <c r="C1886" s="663" t="s">
        <v>11843</v>
      </c>
      <c r="D1886" s="905" t="s">
        <v>11846</v>
      </c>
    </row>
    <row r="1887" spans="1:4" ht="16.5">
      <c r="A1887" s="581" t="str">
        <f ca="1">IFERROR(__xludf.DUMMYFUNCTION("""COMPUTED_VALUE"""),"DOTTS0800071305")</f>
        <v>DOTTS0800071305</v>
      </c>
      <c r="B1887" t="s">
        <v>11818</v>
      </c>
      <c r="C1887" s="663" t="s">
        <v>11843</v>
      </c>
      <c r="D1887" s="905" t="s">
        <v>11846</v>
      </c>
    </row>
    <row r="1888" spans="1:4" ht="16.5">
      <c r="A1888" s="587" t="str">
        <f ca="1">IFERROR(__xludf.DUMMYFUNCTION("""COMPUTED_VALUE"""),"DOTTS085006830")</f>
        <v>DOTTS085006830</v>
      </c>
      <c r="B1888" t="s">
        <v>11818</v>
      </c>
      <c r="C1888" s="663" t="s">
        <v>11843</v>
      </c>
      <c r="D1888" s="905" t="s">
        <v>11846</v>
      </c>
    </row>
    <row r="1889" spans="1:4" ht="16.5">
      <c r="A1889" s="581" t="str">
        <f ca="1">IFERROR(__xludf.DUMMYFUNCTION("""COMPUTED_VALUE"""),"DOTTS086006130")</f>
        <v>DOTTS086006130</v>
      </c>
      <c r="B1889" t="s">
        <v>11818</v>
      </c>
      <c r="C1889" s="663" t="s">
        <v>11843</v>
      </c>
      <c r="D1889" s="905" t="s">
        <v>11846</v>
      </c>
    </row>
    <row r="1890" spans="1:4" ht="16.5">
      <c r="A1890" s="587" t="str">
        <f ca="1">IFERROR(__xludf.DUMMYFUNCTION("""COMPUTED_VALUE"""),"DOTTS090007030")</f>
        <v>DOTTS090007030</v>
      </c>
      <c r="B1890" t="s">
        <v>11818</v>
      </c>
      <c r="C1890" s="663" t="s">
        <v>11843</v>
      </c>
      <c r="D1890" s="905" t="s">
        <v>11846</v>
      </c>
    </row>
    <row r="1891" spans="1:4" ht="16.5">
      <c r="A1891" s="581" t="str">
        <f ca="1">IFERROR(__xludf.DUMMYFUNCTION("""COMPUTED_VALUE"""),"DOTTS090009030")</f>
        <v>DOTTS090009030</v>
      </c>
      <c r="B1891" t="s">
        <v>11818</v>
      </c>
      <c r="C1891" s="663" t="s">
        <v>11843</v>
      </c>
      <c r="D1891" s="905" t="s">
        <v>11846</v>
      </c>
    </row>
    <row r="1892" spans="1:4" ht="16.5">
      <c r="A1892" s="587" t="str">
        <f ca="1">IFERROR(__xludf.DUMMYFUNCTION("""COMPUTED_VALUE"""),"DOTTS090010030")</f>
        <v>DOTTS090010030</v>
      </c>
      <c r="B1892" t="s">
        <v>11818</v>
      </c>
      <c r="C1892" s="663" t="s">
        <v>11843</v>
      </c>
      <c r="D1892" s="905" t="s">
        <v>11846</v>
      </c>
    </row>
    <row r="1893" spans="1:4" ht="16.5">
      <c r="A1893" s="581" t="str">
        <f ca="1">IFERROR(__xludf.DUMMYFUNCTION("""COMPUTED_VALUE"""),"DOTTS0900071304")</f>
        <v>DOTTS0900071304</v>
      </c>
      <c r="B1893" t="s">
        <v>11818</v>
      </c>
      <c r="C1893" s="663" t="s">
        <v>11843</v>
      </c>
      <c r="D1893" s="905" t="s">
        <v>11846</v>
      </c>
    </row>
    <row r="1894" spans="1:4" ht="16.5">
      <c r="A1894" s="587" t="str">
        <f ca="1">IFERROR(__xludf.DUMMYFUNCTION("""COMPUTED_VALUE"""),"DOTTS0950078030")</f>
        <v>DOTTS0950078030</v>
      </c>
      <c r="B1894" t="s">
        <v>11818</v>
      </c>
      <c r="C1894" s="663" t="s">
        <v>11843</v>
      </c>
      <c r="D1894" s="905" t="s">
        <v>11846</v>
      </c>
    </row>
    <row r="1895" spans="1:4" ht="16.5">
      <c r="A1895" s="581" t="str">
        <f ca="1">IFERROR(__xludf.DUMMYFUNCTION("""COMPUTED_VALUE"""),"DOTTS096006530")</f>
        <v>DOTTS096006530</v>
      </c>
      <c r="B1895" t="s">
        <v>11818</v>
      </c>
      <c r="C1895" s="663" t="s">
        <v>11843</v>
      </c>
      <c r="D1895" s="905" t="s">
        <v>11846</v>
      </c>
    </row>
    <row r="1896" spans="1:4" ht="16.5">
      <c r="A1896" s="587" t="str">
        <f ca="1">IFERROR(__xludf.DUMMYFUNCTION("""COMPUTED_VALUE"""),"DOTTS1000061304")</f>
        <v>DOTTS1000061304</v>
      </c>
      <c r="B1896" t="s">
        <v>11818</v>
      </c>
      <c r="C1896" s="663" t="s">
        <v>11843</v>
      </c>
      <c r="D1896" s="905" t="s">
        <v>11846</v>
      </c>
    </row>
    <row r="1897" spans="1:4" ht="16.5">
      <c r="A1897" s="581" t="str">
        <f ca="1">IFERROR(__xludf.DUMMYFUNCTION("""COMPUTED_VALUE"""),"DOTTS100008003")</f>
        <v>DOTTS100008003</v>
      </c>
      <c r="B1897" t="s">
        <v>11818</v>
      </c>
      <c r="C1897" s="663" t="s">
        <v>11843</v>
      </c>
      <c r="D1897" s="905" t="s">
        <v>11846</v>
      </c>
    </row>
    <row r="1898" spans="1:4" ht="16.5">
      <c r="A1898" s="587" t="str">
        <f ca="1">IFERROR(__xludf.DUMMYFUNCTION("""COMPUTED_VALUE"""),"DOTTS1000081304")</f>
        <v>DOTTS1000081304</v>
      </c>
      <c r="B1898" t="s">
        <v>11818</v>
      </c>
      <c r="C1898" s="663" t="s">
        <v>11843</v>
      </c>
      <c r="D1898" s="905" t="s">
        <v>11846</v>
      </c>
    </row>
    <row r="1899" spans="1:4" ht="16.5">
      <c r="A1899" s="581" t="str">
        <f ca="1">IFERROR(__xludf.DUMMYFUNCTION("""COMPUTED_VALUE"""),"DOTTS100008530")</f>
        <v>DOTTS100008530</v>
      </c>
      <c r="B1899" t="s">
        <v>11818</v>
      </c>
      <c r="C1899" s="663" t="s">
        <v>11843</v>
      </c>
      <c r="D1899" s="905" t="s">
        <v>11846</v>
      </c>
    </row>
    <row r="1900" spans="1:4" ht="16.5">
      <c r="A1900" s="587" t="str">
        <f ca="1">IFERROR(__xludf.DUMMYFUNCTION("""COMPUTED_VALUE"""),"DOTTS115008530")</f>
        <v>DOTTS115008530</v>
      </c>
      <c r="B1900" t="s">
        <v>11818</v>
      </c>
      <c r="C1900" s="663" t="s">
        <v>11843</v>
      </c>
      <c r="D1900" s="905" t="s">
        <v>11846</v>
      </c>
    </row>
    <row r="1901" spans="1:4" ht="16.5">
      <c r="A1901" s="581" t="str">
        <f ca="1">IFERROR(__xludf.DUMMYFUNCTION("""COMPUTED_VALUE"""),"DOTTS120008130")</f>
        <v>DOTTS120008130</v>
      </c>
      <c r="B1901" t="s">
        <v>11818</v>
      </c>
      <c r="C1901" s="663" t="s">
        <v>11843</v>
      </c>
      <c r="D1901" s="905" t="s">
        <v>11846</v>
      </c>
    </row>
    <row r="1902" spans="1:4" ht="16.5">
      <c r="A1902" s="587" t="str">
        <f ca="1">IFERROR(__xludf.DUMMYFUNCTION("""COMPUTED_VALUE"""),"DOTTS120008830")</f>
        <v>DOTTS120008830</v>
      </c>
      <c r="B1902" t="s">
        <v>11818</v>
      </c>
      <c r="C1902" s="663" t="s">
        <v>11843</v>
      </c>
      <c r="D1902" s="905" t="s">
        <v>11846</v>
      </c>
    </row>
    <row r="1903" spans="1:4" ht="16.5">
      <c r="A1903" s="581" t="str">
        <f ca="1">IFERROR(__xludf.DUMMYFUNCTION("""COMPUTED_VALUE"""),"DOTTS120009030")</f>
        <v>DOTTS120009030</v>
      </c>
      <c r="B1903" t="s">
        <v>11818</v>
      </c>
      <c r="C1903" s="663" t="s">
        <v>11843</v>
      </c>
      <c r="D1903" s="905" t="s">
        <v>11846</v>
      </c>
    </row>
    <row r="1904" spans="1:4" ht="16.5">
      <c r="A1904" s="587" t="str">
        <f ca="1">IFERROR(__xludf.DUMMYFUNCTION("""COMPUTED_VALUE"""),"DOTTS120009530")</f>
        <v>DOTTS120009530</v>
      </c>
      <c r="B1904" t="s">
        <v>11818</v>
      </c>
      <c r="C1904" s="663" t="s">
        <v>11843</v>
      </c>
      <c r="D1904" s="905" t="s">
        <v>11846</v>
      </c>
    </row>
    <row r="1905" spans="1:4" ht="16.5">
      <c r="A1905" s="581" t="str">
        <f ca="1">IFERROR(__xludf.DUMMYFUNCTION("""COMPUTED_VALUE"""),"DOTTS120009130")</f>
        <v>DOTTS120009130</v>
      </c>
      <c r="B1905" t="s">
        <v>11818</v>
      </c>
      <c r="C1905" s="663" t="s">
        <v>11843</v>
      </c>
      <c r="D1905" s="905" t="s">
        <v>11846</v>
      </c>
    </row>
    <row r="1906" spans="1:4" ht="16.5">
      <c r="A1906" s="587" t="str">
        <f ca="1">IFERROR(__xludf.DUMMYFUNCTION("""COMPUTED_VALUE"""),"DOTTS120010030")</f>
        <v>DOTTS120010030</v>
      </c>
      <c r="B1906" t="s">
        <v>11818</v>
      </c>
      <c r="C1906" s="663" t="s">
        <v>11843</v>
      </c>
      <c r="D1906" s="905" t="s">
        <v>11846</v>
      </c>
    </row>
    <row r="1907" spans="1:4" ht="16.5">
      <c r="A1907" s="581" t="str">
        <f ca="1">IFERROR(__xludf.DUMMYFUNCTION("""COMPUTED_VALUE"""),"DOTTS125013030")</f>
        <v>DOTTS125013030</v>
      </c>
      <c r="B1907" t="s">
        <v>11818</v>
      </c>
      <c r="C1907" s="663" t="s">
        <v>11843</v>
      </c>
      <c r="D1907" s="905" t="s">
        <v>11846</v>
      </c>
    </row>
    <row r="1908" spans="1:4" ht="16.5">
      <c r="A1908" s="587" t="str">
        <f ca="1">IFERROR(__xludf.DUMMYFUNCTION("""COMPUTED_VALUE"""),"DOTTS127005158")</f>
        <v>DOTTS127005158</v>
      </c>
      <c r="B1908" t="s">
        <v>11818</v>
      </c>
      <c r="C1908" s="663" t="s">
        <v>11843</v>
      </c>
      <c r="D1908" s="905" t="s">
        <v>11846</v>
      </c>
    </row>
    <row r="1909" spans="1:4" ht="16.5">
      <c r="A1909" s="581" t="str">
        <f ca="1">IFERROR(__xludf.DUMMYFUNCTION("""COMPUTED_VALUE"""),"DOTTS135010530")</f>
        <v>DOTTS135010530</v>
      </c>
      <c r="B1909" t="s">
        <v>11818</v>
      </c>
      <c r="C1909" s="663" t="s">
        <v>11843</v>
      </c>
      <c r="D1909" s="905" t="s">
        <v>11846</v>
      </c>
    </row>
    <row r="1910" spans="1:4" ht="16.5">
      <c r="A1910" s="587" t="str">
        <f ca="1">IFERROR(__xludf.DUMMYFUNCTION("""COMPUTED_VALUE"""),"DOTTS140011030")</f>
        <v>DOTTS140011030</v>
      </c>
      <c r="B1910" t="s">
        <v>11818</v>
      </c>
      <c r="C1910" s="663" t="s">
        <v>11843</v>
      </c>
      <c r="D1910" s="905" t="s">
        <v>11846</v>
      </c>
    </row>
    <row r="1911" spans="1:4" ht="16.5">
      <c r="A1911" s="581" t="str">
        <f ca="1">IFERROR(__xludf.DUMMYFUNCTION("""COMPUTED_VALUE"""),"DOTTS140011530")</f>
        <v>DOTTS140011530</v>
      </c>
      <c r="B1911" t="s">
        <v>11818</v>
      </c>
      <c r="C1911" s="663" t="s">
        <v>11843</v>
      </c>
      <c r="D1911" s="905" t="s">
        <v>11846</v>
      </c>
    </row>
    <row r="1912" spans="1:4" ht="16.5">
      <c r="A1912" s="587" t="str">
        <f ca="1">IFERROR(__xludf.DUMMYFUNCTION("""COMPUTED_VALUE"""),"DOTTS145015030")</f>
        <v>DOTTS145015030</v>
      </c>
      <c r="B1912" t="s">
        <v>11818</v>
      </c>
      <c r="C1912" s="663" t="s">
        <v>11843</v>
      </c>
      <c r="D1912" s="905" t="s">
        <v>11846</v>
      </c>
    </row>
    <row r="1913" spans="1:4" ht="16.5">
      <c r="A1913" s="581" t="str">
        <f ca="1">IFERROR(__xludf.DUMMYFUNCTION("""COMPUTED_VALUE"""),"DOTTS155012030")</f>
        <v>DOTTS155012030</v>
      </c>
      <c r="B1913" t="s">
        <v>11818</v>
      </c>
      <c r="C1913" s="663" t="s">
        <v>11843</v>
      </c>
      <c r="D1913" s="905" t="s">
        <v>11846</v>
      </c>
    </row>
    <row r="1914" spans="1:4" ht="16.5">
      <c r="A1914" s="587" t="str">
        <f ca="1">IFERROR(__xludf.DUMMYFUNCTION("""COMPUTED_VALUE"""),"DOTTS158805158")</f>
        <v>DOTTS158805158</v>
      </c>
      <c r="B1914" t="s">
        <v>11818</v>
      </c>
      <c r="C1914" s="663" t="s">
        <v>11843</v>
      </c>
      <c r="D1914" s="905" t="s">
        <v>11846</v>
      </c>
    </row>
    <row r="1915" spans="1:4" ht="16.5">
      <c r="A1915" s="581" t="str">
        <f ca="1">IFERROR(__xludf.DUMMYFUNCTION("""COMPUTED_VALUE"""),"DOTTS160012030")</f>
        <v>DOTTS160012030</v>
      </c>
      <c r="B1915" t="s">
        <v>11818</v>
      </c>
      <c r="C1915" s="663" t="s">
        <v>11843</v>
      </c>
      <c r="D1915" s="905" t="s">
        <v>11846</v>
      </c>
    </row>
    <row r="1916" spans="1:4" ht="16.5">
      <c r="A1916" s="587" t="str">
        <f ca="1">IFERROR(__xludf.DUMMYFUNCTION("""COMPUTED_VALUE"""),"DOTTS160013030")</f>
        <v>DOTTS160013030</v>
      </c>
      <c r="B1916" t="s">
        <v>11818</v>
      </c>
      <c r="C1916" s="663" t="s">
        <v>11843</v>
      </c>
      <c r="D1916" s="905" t="s">
        <v>11846</v>
      </c>
    </row>
    <row r="1917" spans="1:4" ht="16.5">
      <c r="A1917" s="581" t="str">
        <f ca="1">IFERROR(__xludf.DUMMYFUNCTION("""COMPUTED_VALUE"""),"DOTTS20001731")</f>
        <v>DOTTS20001731</v>
      </c>
      <c r="B1917" t="s">
        <v>11818</v>
      </c>
      <c r="C1917" s="663" t="s">
        <v>11843</v>
      </c>
      <c r="D1917" s="905" t="s">
        <v>11846</v>
      </c>
    </row>
    <row r="1918" spans="1:4" ht="16.5">
      <c r="A1918" s="587" t="str">
        <f ca="1">IFERROR(__xludf.DUMMYFUNCTION("""COMPUTED_VALUE"""),"DOTTS175017030")</f>
        <v>DOTTS175017030</v>
      </c>
      <c r="B1918" t="s">
        <v>11818</v>
      </c>
      <c r="C1918" s="663" t="s">
        <v>11843</v>
      </c>
      <c r="D1918" s="905" t="s">
        <v>11846</v>
      </c>
    </row>
    <row r="1919" spans="1:4" ht="16.5">
      <c r="A1919" s="581" t="str">
        <f ca="1">IFERROR(__xludf.DUMMYFUNCTION("""COMPUTED_VALUE"""),"DOTTS180014530")</f>
        <v>DOTTS180014530</v>
      </c>
      <c r="B1919" t="s">
        <v>11818</v>
      </c>
      <c r="C1919" s="663" t="s">
        <v>11843</v>
      </c>
      <c r="D1919" s="905" t="s">
        <v>11846</v>
      </c>
    </row>
    <row r="1920" spans="1:4" ht="16.5">
      <c r="A1920" s="587" t="str">
        <f ca="1">IFERROR(__xludf.DUMMYFUNCTION("""COMPUTED_VALUE"""),"DOTTS180015030")</f>
        <v>DOTTS180015030</v>
      </c>
      <c r="B1920" t="s">
        <v>11818</v>
      </c>
      <c r="C1920" s="663" t="s">
        <v>11843</v>
      </c>
      <c r="D1920" s="905" t="s">
        <v>11846</v>
      </c>
    </row>
    <row r="1921" spans="1:4" ht="16.5">
      <c r="A1921" s="581" t="str">
        <f ca="1">IFERROR(__xludf.DUMMYFUNCTION("""COMPUTED_VALUE"""),"DOTTS195019530")</f>
        <v>DOTTS195019530</v>
      </c>
      <c r="B1921" t="s">
        <v>11818</v>
      </c>
      <c r="C1921" s="663" t="s">
        <v>11843</v>
      </c>
      <c r="D1921" s="905" t="s">
        <v>11846</v>
      </c>
    </row>
    <row r="1922" spans="1:4" ht="16.5">
      <c r="A1922" s="587" t="str">
        <f ca="1">IFERROR(__xludf.DUMMYFUNCTION("""COMPUTED_VALUE"""),"DOTTS2000160298")</f>
        <v>DOTTS2000160298</v>
      </c>
      <c r="B1922" t="s">
        <v>11818</v>
      </c>
      <c r="C1922" s="663" t="s">
        <v>11843</v>
      </c>
      <c r="D1922" s="905" t="s">
        <v>11846</v>
      </c>
    </row>
    <row r="1923" spans="1:4" ht="16.5">
      <c r="A1923" s="581" t="str">
        <f ca="1">IFERROR(__xludf.DUMMYFUNCTION("""COMPUTED_VALUE"""),"DOTTS200015530")</f>
        <v>DOTTS200015530</v>
      </c>
      <c r="B1923" t="s">
        <v>11818</v>
      </c>
      <c r="C1923" s="663" t="s">
        <v>11843</v>
      </c>
      <c r="D1923" s="905" t="s">
        <v>11846</v>
      </c>
    </row>
    <row r="1924" spans="1:4" ht="16.5">
      <c r="A1924" s="587" t="str">
        <f ca="1">IFERROR(__xludf.DUMMYFUNCTION("""COMPUTED_VALUE"""),"DOTTS210015030")</f>
        <v>DOTTS210015030</v>
      </c>
      <c r="B1924" t="s">
        <v>11818</v>
      </c>
      <c r="C1924" s="663" t="s">
        <v>11843</v>
      </c>
      <c r="D1924" s="905" t="s">
        <v>11846</v>
      </c>
    </row>
    <row r="1925" spans="1:4" ht="16.5">
      <c r="A1925" s="581" t="str">
        <f ca="1">IFERROR(__xludf.DUMMYFUNCTION("""COMPUTED_VALUE"""),"DOTTS215016030")</f>
        <v>DOTTS215016030</v>
      </c>
      <c r="B1925" t="s">
        <v>11818</v>
      </c>
      <c r="C1925" s="663" t="s">
        <v>11843</v>
      </c>
      <c r="D1925" s="905" t="s">
        <v>11846</v>
      </c>
    </row>
    <row r="1926" spans="1:4" ht="16.5">
      <c r="A1926" s="587" t="str">
        <f ca="1">IFERROR(__xludf.DUMMYFUNCTION("""COMPUTED_VALUE"""),"DOTTS220016530")</f>
        <v>DOTTS220016530</v>
      </c>
      <c r="B1926" t="s">
        <v>11818</v>
      </c>
      <c r="C1926" s="663" t="s">
        <v>11843</v>
      </c>
      <c r="D1926" s="905" t="s">
        <v>11846</v>
      </c>
    </row>
    <row r="1927" spans="1:4" ht="16.5">
      <c r="A1927" s="581" t="str">
        <f ca="1">IFERROR(__xludf.DUMMYFUNCTION("""COMPUTED_VALUE"""),"DOTTS220017030")</f>
        <v>DOTTS220017030</v>
      </c>
      <c r="B1927" t="s">
        <v>11818</v>
      </c>
      <c r="C1927" s="663" t="s">
        <v>11843</v>
      </c>
      <c r="D1927" s="905" t="s">
        <v>11846</v>
      </c>
    </row>
    <row r="1928" spans="1:4" ht="16.5">
      <c r="A1928" s="587" t="str">
        <f ca="1">IFERROR(__xludf.DUMMYFUNCTION("""COMPUTED_VALUE"""),"DOTTS2200180313")</f>
        <v>DOTTS2200180313</v>
      </c>
      <c r="B1928" t="s">
        <v>11818</v>
      </c>
      <c r="C1928" s="663" t="s">
        <v>11843</v>
      </c>
      <c r="D1928" s="905" t="s">
        <v>11846</v>
      </c>
    </row>
    <row r="1929" spans="1:4" ht="16.5">
      <c r="A1929" s="581" t="str">
        <f ca="1">IFERROR(__xludf.DUMMYFUNCTION("""COMPUTED_VALUE"""),"DOTTS240018030")</f>
        <v>DOTTS240018030</v>
      </c>
      <c r="B1929" t="s">
        <v>11818</v>
      </c>
      <c r="C1929" s="663" t="s">
        <v>11843</v>
      </c>
      <c r="D1929" s="905" t="s">
        <v>11846</v>
      </c>
    </row>
    <row r="1930" spans="1:4" ht="16.5">
      <c r="A1930" s="587" t="str">
        <f ca="1">IFERROR(__xludf.DUMMYFUNCTION("""COMPUTED_VALUE"""),"DOTTS250017030")</f>
        <v>DOTTS250017030</v>
      </c>
      <c r="B1930" t="s">
        <v>11818</v>
      </c>
      <c r="C1930" s="663" t="s">
        <v>11843</v>
      </c>
      <c r="D1930" s="905" t="s">
        <v>11846</v>
      </c>
    </row>
    <row r="1931" spans="1:4" ht="16.5">
      <c r="A1931" s="581" t="str">
        <f ca="1">IFERROR(__xludf.DUMMYFUNCTION("""COMPUTED_VALUE"""),"DOTTS250017530")</f>
        <v>DOTTS250017530</v>
      </c>
      <c r="B1931" t="s">
        <v>11818</v>
      </c>
      <c r="C1931" s="663" t="s">
        <v>11843</v>
      </c>
      <c r="D1931" s="905" t="s">
        <v>11846</v>
      </c>
    </row>
    <row r="1932" spans="1:4" ht="16.5">
      <c r="A1932" s="587" t="str">
        <f ca="1">IFERROR(__xludf.DUMMYFUNCTION("""COMPUTED_VALUE"""),"DOTTS250020030")</f>
        <v>DOTTS250020030</v>
      </c>
      <c r="B1932" t="s">
        <v>11818</v>
      </c>
      <c r="C1932" s="663" t="s">
        <v>11843</v>
      </c>
      <c r="D1932" s="905" t="s">
        <v>11846</v>
      </c>
    </row>
    <row r="1933" spans="1:4" ht="16.5">
      <c r="A1933" s="581" t="str">
        <f ca="1">IFERROR(__xludf.DUMMYFUNCTION("""COMPUTED_VALUE"""),"DOTTS254012029")</f>
        <v>DOTTS254012029</v>
      </c>
      <c r="B1933" t="s">
        <v>11818</v>
      </c>
      <c r="C1933" s="663" t="s">
        <v>11843</v>
      </c>
      <c r="D1933" s="905" t="s">
        <v>11846</v>
      </c>
    </row>
    <row r="1934" spans="1:4" ht="16.5">
      <c r="A1934" s="587" t="str">
        <f ca="1">IFERROR(__xludf.DUMMYFUNCTION("""COMPUTED_VALUE"""),"DOTTS265022030")</f>
        <v>DOTTS265022030</v>
      </c>
      <c r="B1934" t="s">
        <v>11818</v>
      </c>
      <c r="C1934" s="663" t="s">
        <v>11843</v>
      </c>
      <c r="D1934" s="905" t="s">
        <v>11846</v>
      </c>
    </row>
    <row r="1935" spans="1:4" ht="16.5">
      <c r="A1935" s="581" t="str">
        <f ca="1">IFERROR(__xludf.DUMMYFUNCTION("""COMPUTED_VALUE"""),"DOTTS265026030")</f>
        <v>DOTTS265026030</v>
      </c>
      <c r="B1935" t="s">
        <v>11818</v>
      </c>
      <c r="C1935" s="663" t="s">
        <v>11843</v>
      </c>
      <c r="D1935" s="905" t="s">
        <v>11846</v>
      </c>
    </row>
    <row r="1936" spans="1:4" ht="16.5">
      <c r="A1936" s="587" t="str">
        <f ca="1">IFERROR(__xludf.DUMMYFUNCTION("""COMPUTED_VALUE"""),"DOTTS280021030")</f>
        <v>DOTTS280021030</v>
      </c>
      <c r="B1936" t="s">
        <v>11818</v>
      </c>
      <c r="C1936" s="663" t="s">
        <v>11843</v>
      </c>
      <c r="D1936" s="905" t="s">
        <v>11846</v>
      </c>
    </row>
    <row r="1937" spans="1:4" ht="16.5">
      <c r="A1937" s="581" t="str">
        <f ca="1">IFERROR(__xludf.DUMMYFUNCTION("""COMPUTED_VALUE"""),"DOTTS290022030")</f>
        <v>DOTTS290022030</v>
      </c>
      <c r="B1937" t="s">
        <v>11818</v>
      </c>
      <c r="C1937" s="663" t="s">
        <v>11843</v>
      </c>
      <c r="D1937" s="905" t="s">
        <v>11846</v>
      </c>
    </row>
    <row r="1938" spans="1:4" ht="16.5">
      <c r="A1938" s="587" t="str">
        <f ca="1">IFERROR(__xludf.DUMMYFUNCTION("""COMPUTED_VALUE"""),"DOTTS290022530")</f>
        <v>DOTTS290022530</v>
      </c>
      <c r="B1938" t="s">
        <v>11818</v>
      </c>
      <c r="C1938" s="663" t="s">
        <v>11843</v>
      </c>
      <c r="D1938" s="905" t="s">
        <v>11846</v>
      </c>
    </row>
    <row r="1939" spans="1:4" ht="16.5">
      <c r="A1939" s="581" t="str">
        <f ca="1">IFERROR(__xludf.DUMMYFUNCTION("""COMPUTED_VALUE"""),"DOTTS2900230300")</f>
        <v>DOTTS2900230300</v>
      </c>
      <c r="B1939" t="s">
        <v>11818</v>
      </c>
      <c r="C1939" s="663" t="s">
        <v>11843</v>
      </c>
      <c r="D1939" s="905" t="s">
        <v>11846</v>
      </c>
    </row>
    <row r="1940" spans="1:4" ht="16.5">
      <c r="A1940" s="587" t="str">
        <f ca="1">IFERROR(__xludf.DUMMYFUNCTION("""COMPUTED_VALUE"""),"DOTTS2900230305")</f>
        <v>DOTTS2900230305</v>
      </c>
      <c r="B1940" t="s">
        <v>11818</v>
      </c>
      <c r="C1940" s="663" t="s">
        <v>11843</v>
      </c>
      <c r="D1940" s="905" t="s">
        <v>11846</v>
      </c>
    </row>
    <row r="1941" spans="1:4" ht="16.5">
      <c r="A1941" s="581" t="str">
        <f ca="1">IFERROR(__xludf.DUMMYFUNCTION("""COMPUTED_VALUE"""),"DOTTS300028030")</f>
        <v>DOTTS300028030</v>
      </c>
      <c r="B1941" t="s">
        <v>11818</v>
      </c>
      <c r="C1941" s="663" t="s">
        <v>11843</v>
      </c>
      <c r="D1941" s="905" t="s">
        <v>11846</v>
      </c>
    </row>
    <row r="1942" spans="1:4" ht="16.5">
      <c r="A1942" s="587" t="str">
        <f ca="1">IFERROR(__xludf.DUMMYFUNCTION("""COMPUTED_VALUE"""),"DOTTS330026030")</f>
        <v>DOTTS330026030</v>
      </c>
      <c r="B1942" t="s">
        <v>11818</v>
      </c>
      <c r="C1942" s="663" t="s">
        <v>11843</v>
      </c>
      <c r="D1942" s="905" t="s">
        <v>11846</v>
      </c>
    </row>
    <row r="1943" spans="1:4" ht="16.5">
      <c r="A1943" s="581" t="str">
        <f ca="1">IFERROR(__xludf.DUMMYFUNCTION("""COMPUTED_VALUE"""),"DOLWCTS0500051")</f>
        <v>DOLWCTS0500051</v>
      </c>
      <c r="B1943" t="s">
        <v>11818</v>
      </c>
      <c r="C1943" s="663" t="s">
        <v>11843</v>
      </c>
      <c r="D1943" s="905" t="s">
        <v>11846</v>
      </c>
    </row>
    <row r="1944" spans="1:4" ht="16.5">
      <c r="A1944" s="587" t="str">
        <f ca="1">IFERROR(__xludf.DUMMYFUNCTION("""COMPUTED_VALUE"""),"DOLWCTS0550051")</f>
        <v>DOLWCTS0550051</v>
      </c>
      <c r="B1944" t="s">
        <v>11818</v>
      </c>
      <c r="C1944" s="663" t="s">
        <v>11843</v>
      </c>
      <c r="D1944" s="905" t="s">
        <v>11846</v>
      </c>
    </row>
    <row r="1945" spans="1:4" ht="16.5">
      <c r="A1945" s="581" t="str">
        <f ca="1">IFERROR(__xludf.DUMMYFUNCTION("""COMPUTED_VALUE"""),"DOLWCTS0635055")</f>
        <v>DOLWCTS0635055</v>
      </c>
      <c r="B1945" t="s">
        <v>11818</v>
      </c>
      <c r="C1945" s="663" t="s">
        <v>11843</v>
      </c>
      <c r="D1945" s="905" t="s">
        <v>11846</v>
      </c>
    </row>
    <row r="1946" spans="1:4" ht="16.5">
      <c r="A1946" s="587" t="str">
        <f ca="1">IFERROR(__xludf.DUMMYFUNCTION("""COMPUTED_VALUE"""),"DOLWCTSKI0635051")</f>
        <v>DOLWCTSKI0635051</v>
      </c>
      <c r="B1946" t="s">
        <v>11818</v>
      </c>
      <c r="C1946" s="663" t="s">
        <v>11843</v>
      </c>
      <c r="D1946" s="905" t="s">
        <v>11846</v>
      </c>
    </row>
    <row r="1947" spans="1:4" ht="16.5">
      <c r="A1947" s="581" t="str">
        <f ca="1">IFERROR(__xludf.DUMMYFUNCTION("""COMPUTED_VALUE"""),"DOLWCTS0635061")</f>
        <v>DOLWCTS0635061</v>
      </c>
      <c r="B1947" t="s">
        <v>11818</v>
      </c>
      <c r="C1947" s="663" t="s">
        <v>11843</v>
      </c>
      <c r="D1947" s="905" t="s">
        <v>11846</v>
      </c>
    </row>
    <row r="1948" spans="1:4" ht="16.5">
      <c r="A1948" s="587" t="str">
        <f ca="1">IFERROR(__xludf.DUMMYFUNCTION("""COMPUTED_VALUE"""),"DOLWCTSKI0635061")</f>
        <v>DOLWCTSKI0635061</v>
      </c>
      <c r="B1948" t="s">
        <v>11818</v>
      </c>
      <c r="C1948" s="663" t="s">
        <v>11843</v>
      </c>
      <c r="D1948" s="905" t="s">
        <v>11846</v>
      </c>
    </row>
    <row r="1949" spans="1:4" ht="16.5">
      <c r="A1949" s="581" t="str">
        <f ca="1">IFERROR(__xludf.DUMMYFUNCTION("""COMPUTED_VALUE"""),"DOLWCTS0635065")</f>
        <v>DOLWCTS0635065</v>
      </c>
      <c r="B1949" t="s">
        <v>11818</v>
      </c>
      <c r="C1949" s="663" t="s">
        <v>11843</v>
      </c>
      <c r="D1949" s="905" t="s">
        <v>11846</v>
      </c>
    </row>
    <row r="1950" spans="1:4" ht="16.5">
      <c r="A1950" s="587" t="str">
        <f ca="1">IFERROR(__xludf.DUMMYFUNCTION("""COMPUTED_VALUE"""),"DOLWCTSKI0635055")</f>
        <v>DOLWCTSKI0635055</v>
      </c>
      <c r="B1950" t="s">
        <v>11818</v>
      </c>
      <c r="C1950" s="663" t="s">
        <v>11843</v>
      </c>
      <c r="D1950" s="905" t="s">
        <v>11846</v>
      </c>
    </row>
    <row r="1951" spans="1:4" ht="16.5">
      <c r="A1951" s="581" t="str">
        <f ca="1">IFERROR(__xludf.DUMMYFUNCTION("""COMPUTED_VALUE"""),"DOLWCTSKI0635065")</f>
        <v>DOLWCTSKI0635065</v>
      </c>
      <c r="B1951" t="s">
        <v>11818</v>
      </c>
      <c r="C1951" s="663" t="s">
        <v>11843</v>
      </c>
      <c r="D1951" s="905" t="s">
        <v>11846</v>
      </c>
    </row>
    <row r="1952" spans="1:4" ht="16.5">
      <c r="A1952" s="587" t="str">
        <f ca="1">IFERROR(__xludf.DUMMYFUNCTION("""COMPUTED_VALUE"""),"DOLWCTS0635071")</f>
        <v>DOLWCTS0635071</v>
      </c>
      <c r="B1952" t="s">
        <v>11818</v>
      </c>
      <c r="C1952" s="663" t="s">
        <v>11843</v>
      </c>
      <c r="D1952" s="905" t="s">
        <v>11846</v>
      </c>
    </row>
    <row r="1953" spans="1:4" ht="16.5">
      <c r="A1953" s="581" t="str">
        <f ca="1">IFERROR(__xludf.DUMMYFUNCTION("""COMPUTED_VALUE"""),"DOLWCTSKI0635071")</f>
        <v>DOLWCTSKI0635071</v>
      </c>
      <c r="B1953" t="s">
        <v>11818</v>
      </c>
      <c r="C1953" s="663" t="s">
        <v>11843</v>
      </c>
      <c r="D1953" s="905" t="s">
        <v>11846</v>
      </c>
    </row>
    <row r="1954" spans="1:4" ht="16.5">
      <c r="A1954" s="587" t="str">
        <f ca="1">IFERROR(__xludf.DUMMYFUNCTION("""COMPUTED_VALUE"""),"DOLWCTS0635081")</f>
        <v>DOLWCTS0635081</v>
      </c>
      <c r="B1954" t="s">
        <v>11818</v>
      </c>
      <c r="C1954" s="663" t="s">
        <v>11843</v>
      </c>
      <c r="D1954" s="905" t="s">
        <v>11846</v>
      </c>
    </row>
    <row r="1955" spans="1:4" ht="16.5">
      <c r="A1955" s="581" t="str">
        <f ca="1">IFERROR(__xludf.DUMMYFUNCTION("""COMPUTED_VALUE"""),"DOLWCTSKI0635081")</f>
        <v>DOLWCTSKI0635081</v>
      </c>
      <c r="B1955" t="s">
        <v>11818</v>
      </c>
      <c r="C1955" s="663" t="s">
        <v>11843</v>
      </c>
      <c r="D1955" s="905" t="s">
        <v>11846</v>
      </c>
    </row>
    <row r="1956" spans="1:4" ht="16.5">
      <c r="A1956" s="587" t="str">
        <f ca="1">IFERROR(__xludf.DUMMYFUNCTION("""COMPUTED_VALUE"""),"DOLWCTS0720060")</f>
        <v>DOLWCTS0720060</v>
      </c>
      <c r="B1956" t="s">
        <v>11818</v>
      </c>
      <c r="C1956" s="663" t="s">
        <v>11843</v>
      </c>
      <c r="D1956" s="905" t="s">
        <v>11846</v>
      </c>
    </row>
    <row r="1957" spans="1:4" ht="16.5">
      <c r="A1957" s="581" t="str">
        <f ca="1">IFERROR(__xludf.DUMMYFUNCTION("""COMPUTED_VALUE"""),"DOLWCTS0952061")</f>
        <v>DOLWCTS0952061</v>
      </c>
      <c r="B1957" t="s">
        <v>11818</v>
      </c>
      <c r="C1957" s="663" t="s">
        <v>11843</v>
      </c>
      <c r="D1957" s="905" t="s">
        <v>11846</v>
      </c>
    </row>
    <row r="1958" spans="1:4" ht="16.5">
      <c r="A1958" s="587" t="str">
        <f ca="1">IFERROR(__xludf.DUMMYFUNCTION("""COMPUTED_VALUE"""),"DOLWCTSKI0952061")</f>
        <v>DOLWCTSKI0952061</v>
      </c>
      <c r="B1958" t="s">
        <v>11818</v>
      </c>
      <c r="C1958" s="663" t="s">
        <v>11843</v>
      </c>
      <c r="D1958" s="905" t="s">
        <v>11846</v>
      </c>
    </row>
    <row r="1959" spans="1:4" ht="16.5">
      <c r="A1959" s="581" t="str">
        <f ca="1">IFERROR(__xludf.DUMMYFUNCTION("""COMPUTED_VALUE"""),"DOLWCTS0952055")</f>
        <v>DOLWCTS0952055</v>
      </c>
      <c r="B1959" t="s">
        <v>11818</v>
      </c>
      <c r="C1959" s="663" t="s">
        <v>11843</v>
      </c>
      <c r="D1959" s="905" t="s">
        <v>11846</v>
      </c>
    </row>
    <row r="1960" spans="1:4" ht="16.5">
      <c r="A1960" s="587" t="str">
        <f ca="1">IFERROR(__xludf.DUMMYFUNCTION("""COMPUTED_VALUE"""),"DOLWCTSKI0952055")</f>
        <v>DOLWCTSKI0952055</v>
      </c>
      <c r="B1960" t="s">
        <v>11818</v>
      </c>
      <c r="C1960" s="663" t="s">
        <v>11843</v>
      </c>
      <c r="D1960" s="905" t="s">
        <v>11846</v>
      </c>
    </row>
    <row r="1961" spans="1:4" ht="16.5">
      <c r="A1961" s="581" t="str">
        <f ca="1">IFERROR(__xludf.DUMMYFUNCTION("""COMPUTED_VALUE"""),"DOLWCTS0952065")</f>
        <v>DOLWCTS0952065</v>
      </c>
      <c r="B1961" t="s">
        <v>11818</v>
      </c>
      <c r="C1961" s="663" t="s">
        <v>11843</v>
      </c>
      <c r="D1961" s="905" t="s">
        <v>11846</v>
      </c>
    </row>
    <row r="1962" spans="1:4" ht="16.5">
      <c r="A1962" s="587" t="str">
        <f ca="1">IFERROR(__xludf.DUMMYFUNCTION("""COMPUTED_VALUE"""),"DOLWCTSKI0952065")</f>
        <v>DOLWCTSKI0952065</v>
      </c>
      <c r="B1962" t="s">
        <v>11818</v>
      </c>
      <c r="C1962" s="663" t="s">
        <v>11843</v>
      </c>
      <c r="D1962" s="905" t="s">
        <v>11846</v>
      </c>
    </row>
    <row r="1963" spans="1:4" ht="16.5">
      <c r="A1963" s="581" t="str">
        <f ca="1">IFERROR(__xludf.DUMMYFUNCTION("""COMPUTED_VALUE"""),"DOLWCTS0952071")</f>
        <v>DOLWCTS0952071</v>
      </c>
      <c r="B1963" t="s">
        <v>11818</v>
      </c>
      <c r="C1963" s="663" t="s">
        <v>11843</v>
      </c>
      <c r="D1963" s="905" t="s">
        <v>11846</v>
      </c>
    </row>
    <row r="1964" spans="1:4" ht="16.5">
      <c r="A1964" s="587" t="str">
        <f ca="1">IFERROR(__xludf.DUMMYFUNCTION("""COMPUTED_VALUE"""),"DOLWCTSKI0952071")</f>
        <v>DOLWCTSKI0952071</v>
      </c>
      <c r="B1964" t="s">
        <v>11818</v>
      </c>
      <c r="C1964" s="663" t="s">
        <v>11843</v>
      </c>
      <c r="D1964" s="905" t="s">
        <v>11846</v>
      </c>
    </row>
    <row r="1965" spans="1:4" ht="16.5">
      <c r="A1965" s="581" t="str">
        <f ca="1">IFERROR(__xludf.DUMMYFUNCTION("""COMPUTED_VALUE"""),"DOLWCTS0952081")</f>
        <v>DOLWCTS0952081</v>
      </c>
      <c r="B1965" t="s">
        <v>11818</v>
      </c>
      <c r="C1965" s="663" t="s">
        <v>11843</v>
      </c>
      <c r="D1965" s="905" t="s">
        <v>11846</v>
      </c>
    </row>
    <row r="1966" spans="1:4" ht="16.5">
      <c r="A1966" s="587" t="str">
        <f ca="1">IFERROR(__xludf.DUMMYFUNCTION("""COMPUTED_VALUE"""),"DOLWCTSKI0952081")</f>
        <v>DOLWCTSKI0952081</v>
      </c>
      <c r="B1966" t="s">
        <v>11818</v>
      </c>
      <c r="C1966" s="663" t="s">
        <v>11843</v>
      </c>
      <c r="D1966" s="905" t="s">
        <v>11846</v>
      </c>
    </row>
    <row r="1967" spans="1:4" ht="16.5">
      <c r="A1967" s="581" t="str">
        <f ca="1">IFERROR(__xludf.DUMMYFUNCTION("""COMPUTED_VALUE"""),"DOLWCTS1270061")</f>
        <v>DOLWCTS1270061</v>
      </c>
      <c r="B1967" t="s">
        <v>11818</v>
      </c>
      <c r="C1967" s="663" t="s">
        <v>11843</v>
      </c>
      <c r="D1967" s="905" t="s">
        <v>11846</v>
      </c>
    </row>
    <row r="1968" spans="1:4" ht="16.5">
      <c r="A1968" s="587" t="str">
        <f ca="1">IFERROR(__xludf.DUMMYFUNCTION("""COMPUTED_VALUE"""),"DOLWCTS1270065")</f>
        <v>DOLWCTS1270065</v>
      </c>
      <c r="B1968" t="s">
        <v>11818</v>
      </c>
      <c r="C1968" s="663" t="s">
        <v>11843</v>
      </c>
      <c r="D1968" s="905" t="s">
        <v>11846</v>
      </c>
    </row>
    <row r="1969" spans="1:4" ht="16.5">
      <c r="A1969" s="581" t="str">
        <f ca="1">IFERROR(__xludf.DUMMYFUNCTION("""COMPUTED_VALUE"""),"DOLWCTSKI1270065")</f>
        <v>DOLWCTSKI1270065</v>
      </c>
      <c r="B1969" t="s">
        <v>11818</v>
      </c>
      <c r="C1969" s="663" t="s">
        <v>11843</v>
      </c>
      <c r="D1969" s="905" t="s">
        <v>11846</v>
      </c>
    </row>
    <row r="1970" spans="1:4" ht="16.5">
      <c r="A1970" s="587" t="str">
        <f ca="1">IFERROR(__xludf.DUMMYFUNCTION("""COMPUTED_VALUE"""),"DOLWCTS1270071")</f>
        <v>DOLWCTS1270071</v>
      </c>
      <c r="B1970" t="s">
        <v>11818</v>
      </c>
      <c r="C1970" s="663" t="s">
        <v>11843</v>
      </c>
      <c r="D1970" s="905" t="s">
        <v>11846</v>
      </c>
    </row>
    <row r="1971" spans="1:4" ht="16.5">
      <c r="A1971" s="581" t="str">
        <f ca="1">IFERROR(__xludf.DUMMYFUNCTION("""COMPUTED_VALUE"""),"DOLWCTSKI1270071")</f>
        <v>DOLWCTSKI1270071</v>
      </c>
      <c r="B1971" t="s">
        <v>11818</v>
      </c>
      <c r="C1971" s="663" t="s">
        <v>11843</v>
      </c>
      <c r="D1971" s="905" t="s">
        <v>11846</v>
      </c>
    </row>
    <row r="1972" spans="1:4" ht="16.5">
      <c r="A1972" s="587" t="str">
        <f ca="1">IFERROR(__xludf.DUMMYFUNCTION("""COMPUTED_VALUE"""),"DOLWCTS1270081")</f>
        <v>DOLWCTS1270081</v>
      </c>
      <c r="B1972" t="s">
        <v>11818</v>
      </c>
      <c r="C1972" s="663" t="s">
        <v>11843</v>
      </c>
      <c r="D1972" s="905" t="s">
        <v>11846</v>
      </c>
    </row>
    <row r="1973" spans="1:4" ht="16.5">
      <c r="A1973" s="581" t="str">
        <f ca="1">IFERROR(__xludf.DUMMYFUNCTION("""COMPUTED_VALUE"""),"DOLWCTS1588071")</f>
        <v>DOLWCTS1588071</v>
      </c>
      <c r="B1973" t="s">
        <v>11818</v>
      </c>
      <c r="C1973" s="663" t="s">
        <v>11843</v>
      </c>
      <c r="D1973" s="905" t="s">
        <v>11846</v>
      </c>
    </row>
    <row r="1974" spans="1:4" ht="16.5">
      <c r="A1974" s="587" t="str">
        <f ca="1">IFERROR(__xludf.DUMMYFUNCTION("""COMPUTED_VALUE"""),"DOLWCTSKI1588071")</f>
        <v>DOLWCTSKI1588071</v>
      </c>
      <c r="B1974" t="s">
        <v>11818</v>
      </c>
      <c r="C1974" s="663" t="s">
        <v>11843</v>
      </c>
      <c r="D1974" s="905" t="s">
        <v>11846</v>
      </c>
    </row>
    <row r="1975" spans="1:4" ht="16.5">
      <c r="A1975" s="581" t="str">
        <f ca="1">IFERROR(__xludf.DUMMYFUNCTION("""COMPUTED_VALUE"""),"DOLWCTS1588081")</f>
        <v>DOLWCTS1588081</v>
      </c>
      <c r="B1975" t="s">
        <v>11818</v>
      </c>
      <c r="C1975" s="663" t="s">
        <v>11843</v>
      </c>
      <c r="D1975" s="905" t="s">
        <v>11846</v>
      </c>
    </row>
    <row r="1976" spans="1:4" ht="16.5">
      <c r="A1976" s="587" t="str">
        <f ca="1">IFERROR(__xludf.DUMMYFUNCTION("""COMPUTED_VALUE"""),"DOLWCTSKI1588081")</f>
        <v>DOLWCTSKI1588081</v>
      </c>
      <c r="B1976" t="s">
        <v>11818</v>
      </c>
      <c r="C1976" s="663" t="s">
        <v>11843</v>
      </c>
      <c r="D1976" s="905" t="s">
        <v>11846</v>
      </c>
    </row>
    <row r="1977" spans="1:4" ht="16.5">
      <c r="A1977" s="581" t="str">
        <f ca="1">IFERROR(__xludf.DUMMYFUNCTION("""COMPUTED_VALUE"""),"DOLWCTS1588100")</f>
        <v>DOLWCTS1588100</v>
      </c>
      <c r="B1977" t="s">
        <v>11818</v>
      </c>
      <c r="C1977" s="663" t="s">
        <v>11843</v>
      </c>
      <c r="D1977" s="905" t="s">
        <v>11846</v>
      </c>
    </row>
    <row r="1978" spans="1:4" ht="16.5">
      <c r="A1978" s="587" t="str">
        <f ca="1">IFERROR(__xludf.DUMMYFUNCTION("""COMPUTED_VALUE"""),"DOLWCTS1588102")</f>
        <v>DOLWCTS1588102</v>
      </c>
      <c r="B1978" t="s">
        <v>11818</v>
      </c>
      <c r="C1978" s="663" t="s">
        <v>11843</v>
      </c>
      <c r="D1978" s="905" t="s">
        <v>11846</v>
      </c>
    </row>
    <row r="1979" spans="1:4" ht="16.5">
      <c r="A1979" s="581" t="str">
        <f ca="1">IFERROR(__xludf.DUMMYFUNCTION("""COMPUTED_VALUE"""),"DOLWCTS1905081")</f>
        <v>DOLWCTS1905081</v>
      </c>
      <c r="B1979" t="s">
        <v>11818</v>
      </c>
      <c r="C1979" s="663" t="s">
        <v>11843</v>
      </c>
      <c r="D1979" s="905" t="s">
        <v>11846</v>
      </c>
    </row>
    <row r="1980" spans="1:4" ht="16.5">
      <c r="A1980" s="587" t="str">
        <f ca="1">IFERROR(__xludf.DUMMYFUNCTION("""COMPUTED_VALUE"""),"DOLWCTS1905100")</f>
        <v>DOLWCTS1905100</v>
      </c>
      <c r="B1980" t="s">
        <v>11818</v>
      </c>
      <c r="C1980" s="663" t="s">
        <v>11843</v>
      </c>
      <c r="D1980" s="905" t="s">
        <v>11846</v>
      </c>
    </row>
    <row r="1981" spans="1:4" ht="16.5">
      <c r="A1981" s="581" t="str">
        <f ca="1">IFERROR(__xludf.DUMMYFUNCTION("""COMPUTED_VALUE"""),"JC06000GA15M")</f>
        <v>JC06000GA15M</v>
      </c>
      <c r="B1981" t="s">
        <v>11818</v>
      </c>
      <c r="C1981" s="663" t="s">
        <v>11843</v>
      </c>
      <c r="D1981" s="905" t="s">
        <v>11846</v>
      </c>
    </row>
    <row r="1982" spans="1:4" ht="16.5">
      <c r="A1982" s="587" t="str">
        <f ca="1">IFERROR(__xludf.DUMMYFUNCTION("""COMPUTED_VALUE"""),"JC0600A0015M")</f>
        <v>JC0600A0015M</v>
      </c>
      <c r="B1982" t="s">
        <v>11818</v>
      </c>
      <c r="C1982" s="663" t="s">
        <v>11843</v>
      </c>
      <c r="D1982" s="905" t="s">
        <v>11846</v>
      </c>
    </row>
    <row r="1983" spans="1:4" ht="16.5">
      <c r="A1983" s="581" t="str">
        <f ca="1">IFERROR(__xludf.DUMMYFUNCTION("""COMPUTED_VALUE"""),"JC06350EA15M")</f>
        <v>JC06350EA15M</v>
      </c>
      <c r="B1983" t="s">
        <v>11818</v>
      </c>
      <c r="C1983" s="663" t="s">
        <v>11843</v>
      </c>
      <c r="D1983" s="905" t="s">
        <v>11846</v>
      </c>
    </row>
    <row r="1984" spans="1:4" ht="16.5">
      <c r="A1984" s="587" t="str">
        <f ca="1">IFERROR(__xludf.DUMMYFUNCTION("""COMPUTED_VALUE"""),"JC06350GA15M")</f>
        <v>JC06350GA15M</v>
      </c>
      <c r="B1984" t="s">
        <v>11818</v>
      </c>
      <c r="C1984" s="663" t="s">
        <v>11843</v>
      </c>
      <c r="D1984" s="905" t="s">
        <v>11846</v>
      </c>
    </row>
    <row r="1985" spans="1:4" ht="16.5">
      <c r="A1985" s="581" t="str">
        <f ca="1">IFERROR(__xludf.DUMMYFUNCTION("""COMPUTED_VALUE"""),"JC06350GE15M")</f>
        <v>JC06350GE15M</v>
      </c>
      <c r="B1985" t="s">
        <v>11818</v>
      </c>
      <c r="C1985" s="663" t="s">
        <v>11843</v>
      </c>
      <c r="D1985" s="905" t="s">
        <v>11846</v>
      </c>
    </row>
    <row r="1986" spans="1:4" ht="16.5">
      <c r="A1986" s="587" t="str">
        <f ca="1">IFERROR(__xludf.DUMMYFUNCTION("""COMPUTED_VALUE"""),"JC06350HA15M")</f>
        <v>JC06350HA15M</v>
      </c>
      <c r="B1986" t="s">
        <v>11818</v>
      </c>
      <c r="C1986" s="663" t="s">
        <v>11843</v>
      </c>
      <c r="D1986" s="905" t="s">
        <v>11846</v>
      </c>
    </row>
    <row r="1987" spans="1:4" ht="16.5">
      <c r="A1987" s="581" t="str">
        <f ca="1">IFERROR(__xludf.DUMMYFUNCTION("""COMPUTED_VALUE"""),"JC06350IA15M")</f>
        <v>JC06350IA15M</v>
      </c>
      <c r="B1987" t="s">
        <v>11818</v>
      </c>
      <c r="C1987" s="663" t="s">
        <v>11843</v>
      </c>
      <c r="D1987" s="905" t="s">
        <v>11846</v>
      </c>
    </row>
    <row r="1988" spans="1:4" ht="16.5">
      <c r="A1988" s="587" t="str">
        <f ca="1">IFERROR(__xludf.DUMMYFUNCTION("""COMPUTED_VALUE"""),"JC07940EE15M")</f>
        <v>JC07940EE15M</v>
      </c>
      <c r="B1988" t="s">
        <v>11818</v>
      </c>
      <c r="C1988" s="663" t="s">
        <v>11843</v>
      </c>
      <c r="D1988" s="905" t="s">
        <v>11846</v>
      </c>
    </row>
    <row r="1989" spans="1:4" ht="16.5">
      <c r="A1989" s="581" t="str">
        <f ca="1">IFERROR(__xludf.DUMMYFUNCTION("""COMPUTED_VALUE"""),"JC07940GA15M")</f>
        <v>JC07940GA15M</v>
      </c>
      <c r="B1989" t="s">
        <v>11818</v>
      </c>
      <c r="C1989" s="663" t="s">
        <v>11843</v>
      </c>
      <c r="D1989" s="905" t="s">
        <v>11846</v>
      </c>
    </row>
    <row r="1990" spans="1:4" ht="16.5">
      <c r="A1990" s="587" t="str">
        <f ca="1">IFERROR(__xludf.DUMMYFUNCTION("""COMPUTED_VALUE"""),"JC0800A0015M")</f>
        <v>JC0800A0015M</v>
      </c>
      <c r="B1990" t="s">
        <v>11818</v>
      </c>
      <c r="C1990" s="663" t="s">
        <v>11843</v>
      </c>
      <c r="D1990" s="905" t="s">
        <v>11846</v>
      </c>
    </row>
    <row r="1991" spans="1:4" ht="16.5">
      <c r="A1991" s="581" t="str">
        <f ca="1">IFERROR(__xludf.DUMMYFUNCTION("""COMPUTED_VALUE"""),"JC0800AE015M")</f>
        <v>JC0800AE015M</v>
      </c>
      <c r="B1991" t="s">
        <v>11818</v>
      </c>
      <c r="C1991" s="663" t="s">
        <v>11843</v>
      </c>
      <c r="D1991" s="905" t="s">
        <v>11846</v>
      </c>
    </row>
    <row r="1992" spans="1:4" ht="16.5">
      <c r="A1992" s="587" t="str">
        <f ca="1">IFERROR(__xludf.DUMMYFUNCTION("""COMPUTED_VALUE"""),"JC09520EA15M")</f>
        <v>JC09520EA15M</v>
      </c>
      <c r="B1992" t="s">
        <v>11818</v>
      </c>
      <c r="C1992" s="663" t="s">
        <v>11843</v>
      </c>
      <c r="D1992" s="905" t="s">
        <v>11846</v>
      </c>
    </row>
    <row r="1993" spans="1:4" ht="16.5">
      <c r="A1993" s="581" t="str">
        <f ca="1">IFERROR(__xludf.DUMMYFUNCTION("""COMPUTED_VALUE"""),"JC09520GA15M")</f>
        <v>JC09520GA15M</v>
      </c>
      <c r="B1993" t="s">
        <v>11818</v>
      </c>
      <c r="C1993" s="663" t="s">
        <v>11843</v>
      </c>
      <c r="D1993" s="905" t="s">
        <v>11846</v>
      </c>
    </row>
    <row r="1994" spans="1:4" ht="16.5">
      <c r="A1994" s="587" t="str">
        <f ca="1">IFERROR(__xludf.DUMMYFUNCTION("""COMPUTED_VALUE"""),"JC09520GE15M")</f>
        <v>JC09520GE15M</v>
      </c>
      <c r="B1994" t="s">
        <v>11818</v>
      </c>
      <c r="C1994" s="663" t="s">
        <v>11843</v>
      </c>
      <c r="D1994" s="905" t="s">
        <v>11846</v>
      </c>
    </row>
    <row r="1995" spans="1:4" ht="16.5">
      <c r="A1995" s="581" t="str">
        <f ca="1">IFERROR(__xludf.DUMMYFUNCTION("""COMPUTED_VALUE"""),"JC09520HA15M")</f>
        <v>JC09520HA15M</v>
      </c>
      <c r="B1995" t="s">
        <v>11818</v>
      </c>
      <c r="C1995" s="663" t="s">
        <v>11843</v>
      </c>
      <c r="D1995" s="905" t="s">
        <v>11846</v>
      </c>
    </row>
    <row r="1996" spans="1:4" ht="16.5">
      <c r="A1996" s="587" t="str">
        <f ca="1">IFERROR(__xludf.DUMMYFUNCTION("""COMPUTED_VALUE"""),"JC09520IA15M")</f>
        <v>JC09520IA15M</v>
      </c>
      <c r="B1996" t="s">
        <v>11818</v>
      </c>
      <c r="C1996" s="663" t="s">
        <v>11843</v>
      </c>
      <c r="D1996" s="905" t="s">
        <v>11846</v>
      </c>
    </row>
    <row r="1997" spans="1:4" ht="16.5">
      <c r="A1997" s="581" t="str">
        <f ca="1">IFERROR(__xludf.DUMMYFUNCTION("""COMPUTED_VALUE"""),"JC1000A0015M")</f>
        <v>JC1000A0015M</v>
      </c>
      <c r="B1997" t="s">
        <v>11818</v>
      </c>
      <c r="C1997" s="663" t="s">
        <v>11843</v>
      </c>
      <c r="D1997" s="905" t="s">
        <v>11846</v>
      </c>
    </row>
    <row r="1998" spans="1:4" ht="16.5">
      <c r="A1998" s="587" t="str">
        <f ca="1">IFERROR(__xludf.DUMMYFUNCTION("""COMPUTED_VALUE"""),"JC12700GA15M")</f>
        <v>JC12700GA15M</v>
      </c>
      <c r="B1998" t="s">
        <v>11818</v>
      </c>
      <c r="C1998" s="663" t="s">
        <v>11843</v>
      </c>
      <c r="D1998" s="905" t="s">
        <v>11846</v>
      </c>
    </row>
    <row r="1999" spans="1:4" ht="16.5">
      <c r="A1999" s="581" t="str">
        <f ca="1">IFERROR(__xludf.DUMMYFUNCTION("""COMPUTED_VALUE"""),"JC12700GE15M")</f>
        <v>JC12700GE15M</v>
      </c>
      <c r="B1999" t="s">
        <v>11818</v>
      </c>
      <c r="C1999" s="663" t="s">
        <v>11843</v>
      </c>
      <c r="D1999" s="905" t="s">
        <v>11846</v>
      </c>
    </row>
    <row r="2000" spans="1:4" ht="16.5">
      <c r="A2000" s="587" t="str">
        <f ca="1">IFERROR(__xludf.DUMMYFUNCTION("""COMPUTED_VALUE"""),"JC12700HA15M")</f>
        <v>JC12700HA15M</v>
      </c>
      <c r="B2000" t="s">
        <v>11818</v>
      </c>
      <c r="C2000" s="663" t="s">
        <v>11843</v>
      </c>
      <c r="D2000" s="905" t="s">
        <v>11846</v>
      </c>
    </row>
    <row r="2001" spans="1:4" ht="16.5">
      <c r="A2001" s="581" t="str">
        <f ca="1">IFERROR(__xludf.DUMMYFUNCTION("""COMPUTED_VALUE"""),"JC12700IA15M")</f>
        <v>JC12700IA15M</v>
      </c>
      <c r="B2001" t="s">
        <v>11818</v>
      </c>
      <c r="C2001" s="663" t="s">
        <v>11843</v>
      </c>
      <c r="D2001" s="905" t="s">
        <v>11846</v>
      </c>
    </row>
    <row r="2002" spans="1:4" ht="16.5">
      <c r="A2002" s="587" t="str">
        <f ca="1">IFERROR(__xludf.DUMMYFUNCTION("""COMPUTED_VALUE"""),"JC15880HA15M")</f>
        <v>JC15880HA15M</v>
      </c>
      <c r="B2002" t="s">
        <v>11818</v>
      </c>
      <c r="C2002" s="663" t="s">
        <v>11843</v>
      </c>
      <c r="D2002" s="905" t="s">
        <v>11846</v>
      </c>
    </row>
    <row r="2003" spans="1:4" ht="16.5">
      <c r="A2003" s="581" t="str">
        <f ca="1">IFERROR(__xludf.DUMMYFUNCTION("""COMPUTED_VALUE"""),"JC15880HE15M")</f>
        <v>JC15880HE15M</v>
      </c>
      <c r="B2003" t="s">
        <v>11818</v>
      </c>
      <c r="C2003" s="663" t="s">
        <v>11843</v>
      </c>
      <c r="D2003" s="905" t="s">
        <v>11846</v>
      </c>
    </row>
    <row r="2004" spans="1:4" ht="16.5">
      <c r="A2004" s="587" t="str">
        <f ca="1">IFERROR(__xludf.DUMMYFUNCTION("""COMPUTED_VALUE"""),"JC15880IA15M")</f>
        <v>JC15880IA15M</v>
      </c>
      <c r="B2004" t="s">
        <v>11818</v>
      </c>
      <c r="C2004" s="663" t="s">
        <v>11843</v>
      </c>
      <c r="D2004" s="905" t="s">
        <v>11846</v>
      </c>
    </row>
    <row r="2005" spans="1:4" ht="16.5">
      <c r="A2005" s="581" t="str">
        <f ca="1">IFERROR(__xludf.DUMMYFUNCTION("""COMPUTED_VALUE"""),"JC1588A0015M")</f>
        <v>JC1588A0015M</v>
      </c>
      <c r="B2005" t="s">
        <v>11818</v>
      </c>
      <c r="C2005" s="663" t="s">
        <v>11843</v>
      </c>
      <c r="D2005" s="905" t="s">
        <v>11846</v>
      </c>
    </row>
    <row r="2006" spans="1:4" ht="16.5">
      <c r="A2006" s="587" t="str">
        <f ca="1">IFERROR(__xludf.DUMMYFUNCTION("""COMPUTED_VALUE"""),"JC1588A0B15M")</f>
        <v>JC1588A0B15M</v>
      </c>
      <c r="B2006" t="s">
        <v>11818</v>
      </c>
      <c r="C2006" s="663" t="s">
        <v>11843</v>
      </c>
      <c r="D2006" s="905" t="s">
        <v>11846</v>
      </c>
    </row>
    <row r="2007" spans="1:4" ht="16.5">
      <c r="A2007" s="581" t="str">
        <f ca="1">IFERROR(__xludf.DUMMYFUNCTION("""COMPUTED_VALUE"""),"JC19050HA15M")</f>
        <v>JC19050HA15M</v>
      </c>
      <c r="B2007" t="s">
        <v>11818</v>
      </c>
      <c r="C2007" s="663" t="s">
        <v>11843</v>
      </c>
      <c r="D2007" s="905" t="s">
        <v>11846</v>
      </c>
    </row>
    <row r="2008" spans="1:4" ht="16.5">
      <c r="A2008" s="587" t="str">
        <f ca="1">IFERROR(__xludf.DUMMYFUNCTION("""COMPUTED_VALUE"""),"JC19050IA15M")</f>
        <v>JC19050IA15M</v>
      </c>
      <c r="B2008" t="s">
        <v>11818</v>
      </c>
      <c r="C2008" s="663" t="s">
        <v>11843</v>
      </c>
      <c r="D2008" s="905" t="s">
        <v>11846</v>
      </c>
    </row>
    <row r="2009" spans="1:4" ht="16.5">
      <c r="A2009" s="581" t="str">
        <f ca="1">IFERROR(__xludf.DUMMYFUNCTION("""COMPUTED_VALUE"""),"JC1905A0015M")</f>
        <v>JC1905A0015M</v>
      </c>
      <c r="B2009" t="s">
        <v>11818</v>
      </c>
      <c r="C2009" s="663" t="s">
        <v>11843</v>
      </c>
      <c r="D2009" s="905" t="s">
        <v>11846</v>
      </c>
    </row>
    <row r="2010" spans="1:4" ht="16.5">
      <c r="A2010" s="587" t="str">
        <f ca="1">IFERROR(__xludf.DUMMYFUNCTION("""COMPUTED_VALUE"""),"JC1905A0B15M")</f>
        <v>JC1905A0B15M</v>
      </c>
      <c r="B2010" t="s">
        <v>11818</v>
      </c>
      <c r="C2010" s="663" t="s">
        <v>11843</v>
      </c>
      <c r="D2010" s="905" t="s">
        <v>11846</v>
      </c>
    </row>
    <row r="2011" spans="1:4" ht="16.5">
      <c r="A2011" s="581" t="str">
        <f ca="1">IFERROR(__xludf.DUMMYFUNCTION("""COMPUTED_VALUE"""),"JT06400E0030")</f>
        <v>JT06400E0030</v>
      </c>
      <c r="B2011" t="s">
        <v>11818</v>
      </c>
      <c r="C2011" s="663" t="s">
        <v>11843</v>
      </c>
      <c r="D2011" s="905" t="s">
        <v>11846</v>
      </c>
    </row>
    <row r="2012" spans="1:4" ht="16.5">
      <c r="A2012" s="587" t="str">
        <f ca="1">IFERROR(__xludf.DUMMYFUNCTION("""COMPUTED_VALUE"""),"JT06500E0030")</f>
        <v>JT06500E0030</v>
      </c>
      <c r="B2012" t="s">
        <v>11818</v>
      </c>
      <c r="C2012" s="663" t="s">
        <v>11843</v>
      </c>
      <c r="D2012" s="905" t="s">
        <v>11846</v>
      </c>
    </row>
    <row r="2013" spans="1:4" ht="16.5">
      <c r="A2013" s="581" t="str">
        <f ca="1">IFERROR(__xludf.DUMMYFUNCTION("""COMPUTED_VALUE"""),"JT06500H0030")</f>
        <v>JT06500H0030</v>
      </c>
      <c r="B2013" t="s">
        <v>11818</v>
      </c>
      <c r="C2013" s="663" t="s">
        <v>11843</v>
      </c>
      <c r="D2013" s="905" t="s">
        <v>11846</v>
      </c>
    </row>
    <row r="2014" spans="1:4" ht="16.5">
      <c r="A2014" s="587" t="str">
        <f ca="1">IFERROR(__xludf.DUMMYFUNCTION("""COMPUTED_VALUE"""),"JT07000G0030")</f>
        <v>JT07000G0030</v>
      </c>
      <c r="B2014" t="s">
        <v>11818</v>
      </c>
      <c r="C2014" s="663" t="s">
        <v>11843</v>
      </c>
      <c r="D2014" s="905" t="s">
        <v>11846</v>
      </c>
    </row>
    <row r="2015" spans="1:4" ht="16.5">
      <c r="A2015" s="581" t="str">
        <f ca="1">IFERROR(__xludf.DUMMYFUNCTION("""COMPUTED_VALUE"""),"JT07500G0030")</f>
        <v>JT07500G0030</v>
      </c>
      <c r="B2015" t="s">
        <v>11818</v>
      </c>
      <c r="C2015" s="663" t="s">
        <v>11843</v>
      </c>
      <c r="D2015" s="905" t="s">
        <v>11846</v>
      </c>
    </row>
    <row r="2016" spans="1:4" ht="16.5">
      <c r="A2016" s="587" t="str">
        <f ca="1">IFERROR(__xludf.DUMMYFUNCTION("""COMPUTED_VALUE"""),"JT07500I0030")</f>
        <v>JT07500I0030</v>
      </c>
      <c r="B2016" t="s">
        <v>11818</v>
      </c>
      <c r="C2016" s="663" t="s">
        <v>11843</v>
      </c>
      <c r="D2016" s="905" t="s">
        <v>11846</v>
      </c>
    </row>
    <row r="2017" spans="1:4" ht="16.5">
      <c r="A2017" s="581" t="str">
        <f ca="1">IFERROR(__xludf.DUMMYFUNCTION("""COMPUTED_VALUE"""),"JT08500GI030")</f>
        <v>JT08500GI030</v>
      </c>
      <c r="B2017" t="s">
        <v>11818</v>
      </c>
      <c r="C2017" s="663" t="s">
        <v>11843</v>
      </c>
      <c r="D2017" s="905" t="s">
        <v>11846</v>
      </c>
    </row>
    <row r="2018" spans="1:4" ht="16.5">
      <c r="A2018" s="587" t="str">
        <f ca="1">IFERROR(__xludf.DUMMYFUNCTION("""COMPUTED_VALUE"""),"JT09000GA030")</f>
        <v>JT09000GA030</v>
      </c>
      <c r="B2018" t="s">
        <v>11818</v>
      </c>
      <c r="C2018" s="663" t="s">
        <v>11843</v>
      </c>
      <c r="D2018" s="905" t="s">
        <v>11846</v>
      </c>
    </row>
    <row r="2019" spans="1:4" ht="16.5">
      <c r="A2019" s="581" t="str">
        <f ca="1">IFERROR(__xludf.DUMMYFUNCTION("""COMPUTED_VALUE"""),"JT09000HA030")</f>
        <v>JT09000HA030</v>
      </c>
      <c r="B2019" t="s">
        <v>11818</v>
      </c>
      <c r="C2019" s="663" t="s">
        <v>11843</v>
      </c>
      <c r="D2019" s="905" t="s">
        <v>11846</v>
      </c>
    </row>
    <row r="2020" spans="1:4" ht="16.5">
      <c r="A2020" s="587" t="str">
        <f ca="1">IFERROR(__xludf.DUMMYFUNCTION("""COMPUTED_VALUE"""),"JT09000I0030")</f>
        <v>JT09000I0030</v>
      </c>
      <c r="B2020" t="s">
        <v>11818</v>
      </c>
      <c r="C2020" s="663" t="s">
        <v>11843</v>
      </c>
      <c r="D2020" s="905" t="s">
        <v>11846</v>
      </c>
    </row>
    <row r="2021" spans="1:4" ht="16.5">
      <c r="A2021" s="581" t="str">
        <f ca="1">IFERROR(__xludf.DUMMYFUNCTION("""COMPUTED_VALUE"""),"JT0900A00030")</f>
        <v>JT0900A00030</v>
      </c>
      <c r="B2021" t="s">
        <v>11818</v>
      </c>
      <c r="C2021" s="663" t="s">
        <v>11843</v>
      </c>
      <c r="D2021" s="905" t="s">
        <v>11846</v>
      </c>
    </row>
    <row r="2022" spans="1:4" ht="16.5">
      <c r="A2022" s="587" t="str">
        <f ca="1">IFERROR(__xludf.DUMMYFUNCTION("""COMPUTED_VALUE"""),"JT09500HI030")</f>
        <v>JT09500HI030</v>
      </c>
      <c r="B2022" t="s">
        <v>11818</v>
      </c>
      <c r="C2022" s="663" t="s">
        <v>11843</v>
      </c>
      <c r="D2022" s="905" t="s">
        <v>11846</v>
      </c>
    </row>
    <row r="2023" spans="1:4" ht="16.5">
      <c r="A2023" s="581" t="str">
        <f ca="1">IFERROR(__xludf.DUMMYFUNCTION("""COMPUTED_VALUE"""),"JT09500IA030")</f>
        <v>JT09500IA030</v>
      </c>
      <c r="B2023" t="s">
        <v>11818</v>
      </c>
      <c r="C2023" s="663" t="s">
        <v>11843</v>
      </c>
      <c r="D2023" s="905" t="s">
        <v>11846</v>
      </c>
    </row>
    <row r="2024" spans="1:4" ht="16.5">
      <c r="A2024" s="587" t="str">
        <f ca="1">IFERROR(__xludf.DUMMYFUNCTION("""COMPUTED_VALUE"""),"JT09600GE030")</f>
        <v>JT09600GE030</v>
      </c>
      <c r="B2024" t="s">
        <v>11818</v>
      </c>
      <c r="C2024" s="663" t="s">
        <v>11843</v>
      </c>
      <c r="D2024" s="905" t="s">
        <v>11846</v>
      </c>
    </row>
    <row r="2025" spans="1:4" ht="16.5">
      <c r="A2025" s="581" t="str">
        <f ca="1">IFERROR(__xludf.DUMMYFUNCTION("""COMPUTED_VALUE"""),"JT10000I002115")</f>
        <v>JT10000I002115</v>
      </c>
      <c r="B2025" t="s">
        <v>11818</v>
      </c>
      <c r="C2025" s="663" t="s">
        <v>11843</v>
      </c>
      <c r="D2025" s="905" t="s">
        <v>11846</v>
      </c>
    </row>
    <row r="2026" spans="1:4" ht="16.5">
      <c r="A2026" s="587" t="str">
        <f ca="1">IFERROR(__xludf.DUMMYFUNCTION("""COMPUTED_VALUE"""),"JT10000I0030")</f>
        <v>JT10000I0030</v>
      </c>
      <c r="B2026" t="s">
        <v>11818</v>
      </c>
      <c r="C2026" s="663" t="s">
        <v>11843</v>
      </c>
      <c r="D2026" s="905" t="s">
        <v>11846</v>
      </c>
    </row>
    <row r="2027" spans="1:4" ht="16.5">
      <c r="A2027" s="581" t="str">
        <f ca="1">IFERROR(__xludf.DUMMYFUNCTION("""COMPUTED_VALUE"""),"JT10000IE030")</f>
        <v>JT10000IE030</v>
      </c>
      <c r="B2027" t="s">
        <v>11818</v>
      </c>
      <c r="C2027" s="663" t="s">
        <v>11843</v>
      </c>
      <c r="D2027" s="905" t="s">
        <v>11846</v>
      </c>
    </row>
    <row r="2028" spans="1:4" ht="16.5">
      <c r="A2028" s="587" t="str">
        <f ca="1">IFERROR(__xludf.DUMMYFUNCTION("""COMPUTED_VALUE"""),"JT1050AA0030")</f>
        <v>JT1050AA0030</v>
      </c>
      <c r="B2028" t="s">
        <v>11818</v>
      </c>
      <c r="C2028" s="663" t="s">
        <v>11843</v>
      </c>
      <c r="D2028" s="905" t="s">
        <v>11846</v>
      </c>
    </row>
    <row r="2029" spans="1:4" ht="16.5">
      <c r="A2029" s="581" t="str">
        <f ca="1">IFERROR(__xludf.DUMMYFUNCTION("""COMPUTED_VALUE"""),"JT11500IE030")</f>
        <v>JT11500IE030</v>
      </c>
      <c r="B2029" t="s">
        <v>11818</v>
      </c>
      <c r="C2029" s="663" t="s">
        <v>11843</v>
      </c>
      <c r="D2029" s="905" t="s">
        <v>11846</v>
      </c>
    </row>
    <row r="2030" spans="1:4" ht="16.5">
      <c r="A2030" s="587" t="str">
        <f ca="1">IFERROR(__xludf.DUMMYFUNCTION("""COMPUTED_VALUE"""),"JT11500K0030")</f>
        <v>JT11500K0030</v>
      </c>
      <c r="B2030" t="s">
        <v>11818</v>
      </c>
      <c r="C2030" s="663" t="s">
        <v>11843</v>
      </c>
      <c r="D2030" s="905" t="s">
        <v>11846</v>
      </c>
    </row>
    <row r="2031" spans="1:4" ht="16.5">
      <c r="A2031" s="581" t="str">
        <f ca="1">IFERROR(__xludf.DUMMYFUNCTION("""COMPUTED_VALUE"""),"JT12000II030")</f>
        <v>JT12000II030</v>
      </c>
      <c r="B2031" t="s">
        <v>11818</v>
      </c>
      <c r="C2031" s="663" t="s">
        <v>11843</v>
      </c>
      <c r="D2031" s="905" t="s">
        <v>11846</v>
      </c>
    </row>
    <row r="2032" spans="1:4" ht="16.5">
      <c r="A2032" s="587" t="str">
        <f ca="1">IFERROR(__xludf.DUMMYFUNCTION("""COMPUTED_VALUE"""),"JT1200A00030")</f>
        <v>JT1200A00030</v>
      </c>
      <c r="B2032" t="s">
        <v>11818</v>
      </c>
      <c r="C2032" s="663" t="s">
        <v>11843</v>
      </c>
      <c r="D2032" s="905" t="s">
        <v>11846</v>
      </c>
    </row>
    <row r="2033" spans="1:4" ht="16.5">
      <c r="A2033" s="581" t="str">
        <f ca="1">IFERROR(__xludf.DUMMYFUNCTION("""COMPUTED_VALUE"""),"JT1250AC0030")</f>
        <v>JT1250AC0030</v>
      </c>
      <c r="B2033" t="s">
        <v>11818</v>
      </c>
      <c r="C2033" s="663" t="s">
        <v>11843</v>
      </c>
      <c r="D2033" s="905" t="s">
        <v>11846</v>
      </c>
    </row>
    <row r="2034" spans="1:4" ht="16.5">
      <c r="A2034" s="587" t="str">
        <f ca="1">IFERROR(__xludf.DUMMYFUNCTION("""COMPUTED_VALUE"""),"JT1350A0E030")</f>
        <v>JT1350A0E030</v>
      </c>
      <c r="B2034" t="s">
        <v>11818</v>
      </c>
      <c r="C2034" s="663" t="s">
        <v>11843</v>
      </c>
      <c r="D2034" s="905" t="s">
        <v>11846</v>
      </c>
    </row>
    <row r="2035" spans="1:4" ht="16.5">
      <c r="A2035" s="581" t="str">
        <f ca="1">IFERROR(__xludf.DUMMYFUNCTION("""COMPUTED_VALUE"""),"JT1350AA0030")</f>
        <v>JT1350AA0030</v>
      </c>
      <c r="B2035" t="s">
        <v>11818</v>
      </c>
      <c r="C2035" s="663" t="s">
        <v>11843</v>
      </c>
      <c r="D2035" s="905" t="s">
        <v>11846</v>
      </c>
    </row>
    <row r="2036" spans="1:4" ht="16.5">
      <c r="A2036" s="587" t="str">
        <f ca="1">IFERROR(__xludf.DUMMYFUNCTION("""COMPUTED_VALUE"""),"JT1400AA0030")</f>
        <v>JT1400AA0030</v>
      </c>
      <c r="B2036" t="s">
        <v>11818</v>
      </c>
      <c r="C2036" s="663" t="s">
        <v>11843</v>
      </c>
      <c r="D2036" s="905" t="s">
        <v>11846</v>
      </c>
    </row>
    <row r="2037" spans="1:4" ht="16.5">
      <c r="A2037" s="581" t="str">
        <f ca="1">IFERROR(__xludf.DUMMYFUNCTION("""COMPUTED_VALUE"""),"JT1400AB0030")</f>
        <v>JT1400AB0030</v>
      </c>
      <c r="B2037" t="s">
        <v>11818</v>
      </c>
      <c r="C2037" s="663" t="s">
        <v>11843</v>
      </c>
      <c r="D2037" s="905" t="s">
        <v>11846</v>
      </c>
    </row>
    <row r="2038" spans="1:4" ht="16.5">
      <c r="A2038" s="587" t="str">
        <f ca="1">IFERROR(__xludf.DUMMYFUNCTION("""COMPUTED_VALUE"""),"JT1550AB0030")</f>
        <v>JT1550AB0030</v>
      </c>
      <c r="B2038" t="s">
        <v>11818</v>
      </c>
      <c r="C2038" s="663" t="s">
        <v>11843</v>
      </c>
      <c r="D2038" s="905" t="s">
        <v>11846</v>
      </c>
    </row>
    <row r="2039" spans="1:4" ht="16.5">
      <c r="A2039" s="581" t="str">
        <f ca="1">IFERROR(__xludf.DUMMYFUNCTION("""COMPUTED_VALUE"""),"JT1550AC0030")</f>
        <v>JT1550AC0030</v>
      </c>
      <c r="B2039" t="s">
        <v>11818</v>
      </c>
      <c r="C2039" s="663" t="s">
        <v>11843</v>
      </c>
      <c r="D2039" s="905" t="s">
        <v>11846</v>
      </c>
    </row>
    <row r="2040" spans="1:4" ht="16.5">
      <c r="A2040" s="587" t="str">
        <f ca="1">IFERROR(__xludf.DUMMYFUNCTION("""COMPUTED_VALUE"""),"JT15880EA0396")</f>
        <v>JT15880EA0396</v>
      </c>
      <c r="B2040" t="s">
        <v>11818</v>
      </c>
      <c r="C2040" s="663" t="s">
        <v>11843</v>
      </c>
      <c r="D2040" s="905" t="s">
        <v>11846</v>
      </c>
    </row>
    <row r="2041" spans="1:4" ht="16.5">
      <c r="A2041" s="581" t="str">
        <f ca="1">IFERROR(__xludf.DUMMYFUNCTION("""COMPUTED_VALUE"""),"JT15880EA058")</f>
        <v>JT15880EA058</v>
      </c>
      <c r="B2041" t="s">
        <v>11818</v>
      </c>
      <c r="C2041" s="663" t="s">
        <v>11843</v>
      </c>
      <c r="D2041" s="905" t="s">
        <v>11846</v>
      </c>
    </row>
    <row r="2042" spans="1:4" ht="16.5">
      <c r="A2042" s="587" t="str">
        <f ca="1">IFERROR(__xludf.DUMMYFUNCTION("""COMPUTED_VALUE"""),"JT15880GA058")</f>
        <v>JT15880GA058</v>
      </c>
      <c r="B2042" t="s">
        <v>11818</v>
      </c>
      <c r="C2042" s="663" t="s">
        <v>11843</v>
      </c>
      <c r="D2042" s="905" t="s">
        <v>11846</v>
      </c>
    </row>
    <row r="2043" spans="1:4" ht="16.5">
      <c r="A2043" s="581" t="str">
        <f ca="1">IFERROR(__xludf.DUMMYFUNCTION("""COMPUTED_VALUE"""),"JT15880IA058")</f>
        <v>JT15880IA058</v>
      </c>
      <c r="B2043" t="s">
        <v>11818</v>
      </c>
      <c r="C2043" s="663" t="s">
        <v>11843</v>
      </c>
      <c r="D2043" s="905" t="s">
        <v>11846</v>
      </c>
    </row>
    <row r="2044" spans="1:4" ht="16.5">
      <c r="A2044" s="587" t="str">
        <f ca="1">IFERROR(__xludf.DUMMYFUNCTION("""COMPUTED_VALUE"""),"JT1600AC0030")</f>
        <v>JT1600AC0030</v>
      </c>
      <c r="B2044" t="s">
        <v>11818</v>
      </c>
      <c r="C2044" s="663" t="s">
        <v>11843</v>
      </c>
      <c r="D2044" s="905" t="s">
        <v>11846</v>
      </c>
    </row>
    <row r="2045" spans="1:4" ht="16.5">
      <c r="A2045" s="581" t="str">
        <f ca="1">IFERROR(__xludf.DUMMYFUNCTION("""COMPUTED_VALUE"""),"JT1700AC0030")</f>
        <v>JT1700AC0030</v>
      </c>
      <c r="B2045" t="s">
        <v>11818</v>
      </c>
      <c r="C2045" s="663" t="s">
        <v>11843</v>
      </c>
      <c r="D2045" s="905" t="s">
        <v>11846</v>
      </c>
    </row>
    <row r="2046" spans="1:4" ht="16.5">
      <c r="A2046" s="587" t="str">
        <f ca="1">IFERROR(__xludf.DUMMYFUNCTION("""COMPUTED_VALUE"""),"JT1800AE0030")</f>
        <v>JT1800AE0030</v>
      </c>
      <c r="B2046" t="s">
        <v>11818</v>
      </c>
      <c r="C2046" s="663" t="s">
        <v>11843</v>
      </c>
      <c r="D2046" s="905" t="s">
        <v>11846</v>
      </c>
    </row>
    <row r="2047" spans="1:4" ht="16.5">
      <c r="A2047" s="581" t="str">
        <f ca="1">IFERROR(__xludf.DUMMYFUNCTION("""COMPUTED_VALUE"""),"JT1800AG0030")</f>
        <v>JT1800AG0030</v>
      </c>
      <c r="B2047" t="s">
        <v>11818</v>
      </c>
      <c r="C2047" s="663" t="s">
        <v>11843</v>
      </c>
      <c r="D2047" s="905" t="s">
        <v>11846</v>
      </c>
    </row>
    <row r="2048" spans="1:4" ht="16.5">
      <c r="A2048" s="587" t="str">
        <f ca="1">IFERROR(__xludf.DUMMYFUNCTION("""COMPUTED_VALUE"""),"JT1900AD0030")</f>
        <v>JT1900AD0030</v>
      </c>
      <c r="B2048" t="s">
        <v>11818</v>
      </c>
      <c r="C2048" s="663" t="s">
        <v>11843</v>
      </c>
      <c r="D2048" s="905" t="s">
        <v>11846</v>
      </c>
    </row>
    <row r="2049" spans="1:4" ht="16.5">
      <c r="A2049" s="581" t="str">
        <f ca="1">IFERROR(__xludf.DUMMYFUNCTION("""COMPUTED_VALUE"""),"JT1905A00029")</f>
        <v>JT1905A00029</v>
      </c>
      <c r="B2049" t="s">
        <v>11818</v>
      </c>
      <c r="C2049" s="663" t="s">
        <v>11843</v>
      </c>
      <c r="D2049" s="905" t="s">
        <v>11846</v>
      </c>
    </row>
    <row r="2050" spans="1:4" ht="16.5">
      <c r="A2050" s="587" t="str">
        <f ca="1">IFERROR(__xludf.DUMMYFUNCTION("""COMPUTED_VALUE"""),"JT1950AG0030")</f>
        <v>JT1950AG0030</v>
      </c>
      <c r="B2050" t="s">
        <v>11818</v>
      </c>
      <c r="C2050" s="663" t="s">
        <v>11843</v>
      </c>
      <c r="D2050" s="905" t="s">
        <v>11846</v>
      </c>
    </row>
    <row r="2051" spans="1:4" ht="16.5">
      <c r="A2051" s="581" t="str">
        <f ca="1">IFERROR(__xludf.DUMMYFUNCTION("""COMPUTED_VALUE"""),"JT2000AG0030")</f>
        <v>JT2000AG0030</v>
      </c>
      <c r="B2051" t="s">
        <v>11818</v>
      </c>
      <c r="C2051" s="663" t="s">
        <v>11843</v>
      </c>
      <c r="D2051" s="905" t="s">
        <v>11846</v>
      </c>
    </row>
    <row r="2052" spans="1:4" ht="16.5">
      <c r="A2052" s="587" t="str">
        <f ca="1">IFERROR(__xludf.DUMMYFUNCTION("""COMPUTED_VALUE"""),"JT2000AG0031")</f>
        <v>JT2000AG0031</v>
      </c>
      <c r="B2052" t="s">
        <v>11818</v>
      </c>
      <c r="C2052" s="663" t="s">
        <v>11843</v>
      </c>
      <c r="D2052" s="905" t="s">
        <v>11846</v>
      </c>
    </row>
    <row r="2053" spans="1:4" ht="16.5">
      <c r="A2053" s="581" t="str">
        <f ca="1">IFERROR(__xludf.DUMMYFUNCTION("""COMPUTED_VALUE"""),"JT2000B00030")</f>
        <v>JT2000B00030</v>
      </c>
      <c r="B2053" t="s">
        <v>11818</v>
      </c>
      <c r="C2053" s="663" t="s">
        <v>11843</v>
      </c>
      <c r="D2053" s="905" t="s">
        <v>11846</v>
      </c>
    </row>
    <row r="2054" spans="1:4" ht="16.5">
      <c r="A2054" s="587" t="str">
        <f ca="1">IFERROR(__xludf.DUMMYFUNCTION("""COMPUTED_VALUE"""),"JT2100AE0030")</f>
        <v>JT2100AE0030</v>
      </c>
      <c r="B2054" t="s">
        <v>11818</v>
      </c>
      <c r="C2054" s="663" t="s">
        <v>11843</v>
      </c>
      <c r="D2054" s="905" t="s">
        <v>11846</v>
      </c>
    </row>
    <row r="2055" spans="1:4" ht="16.5">
      <c r="A2055" s="581" t="str">
        <f ca="1">IFERROR(__xludf.DUMMYFUNCTION("""COMPUTED_VALUE"""),"JT2150AH0030")</f>
        <v>JT2150AH0030</v>
      </c>
      <c r="B2055" t="s">
        <v>11818</v>
      </c>
      <c r="C2055" s="663" t="s">
        <v>11843</v>
      </c>
      <c r="D2055" s="905" t="s">
        <v>11846</v>
      </c>
    </row>
    <row r="2056" spans="1:4" ht="16.5">
      <c r="A2056" s="587" t="str">
        <f ca="1">IFERROR(__xludf.DUMMYFUNCTION("""COMPUTED_VALUE"""),"JT2200AH0030")</f>
        <v>JT2200AH0030</v>
      </c>
      <c r="B2056" t="s">
        <v>11818</v>
      </c>
      <c r="C2056" s="663" t="s">
        <v>11843</v>
      </c>
      <c r="D2056" s="905" t="s">
        <v>11846</v>
      </c>
    </row>
    <row r="2057" spans="1:4" ht="16.5">
      <c r="A2057" s="581" t="str">
        <f ca="1">IFERROR(__xludf.DUMMYFUNCTION("""COMPUTED_VALUE"""),"JT22220GA029")</f>
        <v>JT22220GA029</v>
      </c>
      <c r="B2057" t="s">
        <v>11818</v>
      </c>
      <c r="C2057" s="663" t="s">
        <v>11843</v>
      </c>
      <c r="D2057" s="905" t="s">
        <v>11846</v>
      </c>
    </row>
    <row r="2058" spans="1:4" ht="16.5">
      <c r="A2058" s="587" t="str">
        <f ca="1">IFERROR(__xludf.DUMMYFUNCTION("""COMPUTED_VALUE"""),"JT22220HA029")</f>
        <v>JT22220HA029</v>
      </c>
      <c r="B2058" t="s">
        <v>11818</v>
      </c>
      <c r="C2058" s="663" t="s">
        <v>11843</v>
      </c>
      <c r="D2058" s="905" t="s">
        <v>11846</v>
      </c>
    </row>
    <row r="2059" spans="1:4" ht="16.5">
      <c r="A2059" s="581" t="str">
        <f ca="1">IFERROR(__xludf.DUMMYFUNCTION("""COMPUTED_VALUE"""),"JT22220IA029")</f>
        <v>JT22220IA029</v>
      </c>
      <c r="B2059" t="s">
        <v>11818</v>
      </c>
      <c r="C2059" s="663" t="s">
        <v>11843</v>
      </c>
      <c r="D2059" s="905" t="s">
        <v>11846</v>
      </c>
    </row>
    <row r="2060" spans="1:4" ht="16.5">
      <c r="A2060" s="587" t="str">
        <f ca="1">IFERROR(__xludf.DUMMYFUNCTION("""COMPUTED_VALUE"""),"JT2222A0B029")</f>
        <v>JT2222A0B029</v>
      </c>
      <c r="B2060" t="s">
        <v>11818</v>
      </c>
      <c r="C2060" s="663" t="s">
        <v>11843</v>
      </c>
      <c r="D2060" s="905" t="s">
        <v>11846</v>
      </c>
    </row>
    <row r="2061" spans="1:4" ht="16.5">
      <c r="A2061" s="581" t="str">
        <f ca="1">IFERROR(__xludf.DUMMYFUNCTION("""COMPUTED_VALUE"""),"JT2222ABB029")</f>
        <v>JT2222ABB029</v>
      </c>
      <c r="B2061" t="s">
        <v>11818</v>
      </c>
      <c r="C2061" s="663" t="s">
        <v>11843</v>
      </c>
      <c r="D2061" s="905" t="s">
        <v>11846</v>
      </c>
    </row>
    <row r="2062" spans="1:4" ht="16.5">
      <c r="A2062" s="587" t="str">
        <f ca="1">IFERROR(__xludf.DUMMYFUNCTION("""COMPUTED_VALUE"""),"JT2300BA0030")</f>
        <v>JT2300BA0030</v>
      </c>
      <c r="B2062" t="s">
        <v>11818</v>
      </c>
      <c r="C2062" s="663" t="s">
        <v>11843</v>
      </c>
      <c r="D2062" s="905" t="s">
        <v>11846</v>
      </c>
    </row>
    <row r="2063" spans="1:4" ht="16.5">
      <c r="A2063" s="581" t="str">
        <f ca="1">IFERROR(__xludf.DUMMYFUNCTION("""COMPUTED_VALUE"""),"JT2350BE0030")</f>
        <v>JT2350BE0030</v>
      </c>
      <c r="B2063" t="s">
        <v>11818</v>
      </c>
      <c r="C2063" s="663" t="s">
        <v>11843</v>
      </c>
      <c r="D2063" s="905" t="s">
        <v>11846</v>
      </c>
    </row>
    <row r="2064" spans="1:4" ht="16.5">
      <c r="A2064" s="587" t="str">
        <f ca="1">IFERROR(__xludf.DUMMYFUNCTION("""COMPUTED_VALUE"""),"JT2400AI0030")</f>
        <v>JT2400AI0030</v>
      </c>
      <c r="B2064" t="s">
        <v>11818</v>
      </c>
      <c r="C2064" s="663" t="s">
        <v>11843</v>
      </c>
      <c r="D2064" s="905" t="s">
        <v>11846</v>
      </c>
    </row>
    <row r="2065" spans="1:4" ht="16.5">
      <c r="A2065" s="581" t="str">
        <f ca="1">IFERROR(__xludf.DUMMYFUNCTION("""COMPUTED_VALUE"""),"JT2500AE0031")</f>
        <v>JT2500AE0031</v>
      </c>
      <c r="B2065" t="s">
        <v>11818</v>
      </c>
      <c r="C2065" s="663" t="s">
        <v>11843</v>
      </c>
      <c r="D2065" s="905" t="s">
        <v>11846</v>
      </c>
    </row>
    <row r="2066" spans="1:4" ht="16.5">
      <c r="A2066" s="587" t="str">
        <f ca="1">IFERROR(__xludf.DUMMYFUNCTION("""COMPUTED_VALUE"""),"JT2500AI0030")</f>
        <v>JT2500AI0030</v>
      </c>
      <c r="B2066" t="s">
        <v>11818</v>
      </c>
      <c r="C2066" s="663" t="s">
        <v>11843</v>
      </c>
      <c r="D2066" s="905" t="s">
        <v>11846</v>
      </c>
    </row>
    <row r="2067" spans="1:4" ht="16.5">
      <c r="A2067" s="581" t="str">
        <f ca="1">IFERROR(__xludf.DUMMYFUNCTION("""COMPUTED_VALUE"""),"JT2500AK0030")</f>
        <v>JT2500AK0030</v>
      </c>
      <c r="B2067" t="s">
        <v>11818</v>
      </c>
      <c r="C2067" s="663" t="s">
        <v>11843</v>
      </c>
      <c r="D2067" s="905" t="s">
        <v>11846</v>
      </c>
    </row>
    <row r="2068" spans="1:4" ht="16.5">
      <c r="A2068" s="587" t="str">
        <f ca="1">IFERROR(__xludf.DUMMYFUNCTION("""COMPUTED_VALUE"""),"JT2500B00030")</f>
        <v>JT2500B00030</v>
      </c>
      <c r="B2068" t="s">
        <v>11818</v>
      </c>
      <c r="C2068" s="663" t="s">
        <v>11843</v>
      </c>
      <c r="D2068" s="905" t="s">
        <v>11846</v>
      </c>
    </row>
    <row r="2069" spans="1:4" ht="16.5">
      <c r="A2069" s="581" t="str">
        <f ca="1">IFERROR(__xludf.DUMMYFUNCTION("""COMPUTED_VALUE"""),"JT25400HA029")</f>
        <v>JT25400HA029</v>
      </c>
      <c r="B2069" t="s">
        <v>11818</v>
      </c>
      <c r="C2069" s="663" t="s">
        <v>11843</v>
      </c>
      <c r="D2069" s="905" t="s">
        <v>11846</v>
      </c>
    </row>
    <row r="2070" spans="1:4" ht="16.5">
      <c r="A2070" s="587" t="str">
        <f ca="1">IFERROR(__xludf.DUMMYFUNCTION("""COMPUTED_VALUE"""),"JT25400IA029")</f>
        <v>JT25400IA029</v>
      </c>
      <c r="B2070" t="s">
        <v>11818</v>
      </c>
      <c r="C2070" s="663" t="s">
        <v>11843</v>
      </c>
      <c r="D2070" s="905" t="s">
        <v>11846</v>
      </c>
    </row>
    <row r="2071" spans="1:4" ht="16.5">
      <c r="A2071" s="581" t="str">
        <f ca="1">IFERROR(__xludf.DUMMYFUNCTION("""COMPUTED_VALUE"""),"JT2540A0B029")</f>
        <v>JT2540A0B029</v>
      </c>
      <c r="B2071" t="s">
        <v>11818</v>
      </c>
      <c r="C2071" s="663" t="s">
        <v>11843</v>
      </c>
      <c r="D2071" s="905" t="s">
        <v>11846</v>
      </c>
    </row>
    <row r="2072" spans="1:4" ht="16.5">
      <c r="A2072" s="587" t="str">
        <f ca="1">IFERROR(__xludf.DUMMYFUNCTION("""COMPUTED_VALUE"""),"JT2650BHE030")</f>
        <v>JT2650BHE030</v>
      </c>
      <c r="B2072" t="s">
        <v>11818</v>
      </c>
      <c r="C2072" s="663" t="s">
        <v>11843</v>
      </c>
      <c r="D2072" s="905" t="s">
        <v>11846</v>
      </c>
    </row>
    <row r="2073" spans="1:4" ht="16.5">
      <c r="A2073" s="581" t="str">
        <f ca="1">IFERROR(__xludf.DUMMYFUNCTION("""COMPUTED_VALUE"""),"JT2700BG0030")</f>
        <v>JT2700BG0030</v>
      </c>
      <c r="B2073" t="s">
        <v>11818</v>
      </c>
      <c r="C2073" s="663" t="s">
        <v>11843</v>
      </c>
      <c r="D2073" s="905" t="s">
        <v>11846</v>
      </c>
    </row>
    <row r="2074" spans="1:4" ht="16.5">
      <c r="A2074" s="587" t="str">
        <f ca="1">IFERROR(__xludf.DUMMYFUNCTION("""COMPUTED_VALUE"""),"JT2800B00030")</f>
        <v>JT2800B00030</v>
      </c>
      <c r="B2074" t="s">
        <v>11818</v>
      </c>
      <c r="C2074" s="663" t="s">
        <v>11843</v>
      </c>
      <c r="D2074" s="905" t="s">
        <v>11846</v>
      </c>
    </row>
    <row r="2075" spans="1:4" ht="16.5">
      <c r="A2075" s="581" t="str">
        <f ca="1">IFERROR(__xludf.DUMMYFUNCTION("""COMPUTED_VALUE"""),"JT2800BA0030")</f>
        <v>JT2800BA0030</v>
      </c>
      <c r="B2075" t="s">
        <v>11818</v>
      </c>
      <c r="C2075" s="663" t="s">
        <v>11843</v>
      </c>
      <c r="D2075" s="905" t="s">
        <v>11846</v>
      </c>
    </row>
    <row r="2076" spans="1:4" ht="16.5">
      <c r="A2076" s="587" t="str">
        <f ca="1">IFERROR(__xludf.DUMMYFUNCTION("""COMPUTED_VALUE"""),"JT2858ABH029")</f>
        <v>JT2858ABH029</v>
      </c>
      <c r="B2076" t="s">
        <v>11818</v>
      </c>
      <c r="C2076" s="663" t="s">
        <v>11843</v>
      </c>
      <c r="D2076" s="905" t="s">
        <v>11846</v>
      </c>
    </row>
    <row r="2077" spans="1:4" ht="16.5">
      <c r="A2077" s="581" t="str">
        <f ca="1">IFERROR(__xludf.DUMMYFUNCTION("""COMPUTED_VALUE"""),"JT28580HA029")</f>
        <v>JT28580HA029</v>
      </c>
      <c r="B2077" t="s">
        <v>11818</v>
      </c>
      <c r="C2077" s="663" t="s">
        <v>11843</v>
      </c>
      <c r="D2077" s="905" t="s">
        <v>11846</v>
      </c>
    </row>
    <row r="2078" spans="1:4" ht="16.5">
      <c r="A2078" s="587" t="str">
        <f ca="1">IFERROR(__xludf.DUMMYFUNCTION("""COMPUTED_VALUE"""),"JT28580IA029")</f>
        <v>JT28580IA029</v>
      </c>
      <c r="B2078" t="s">
        <v>11818</v>
      </c>
      <c r="C2078" s="663" t="s">
        <v>11843</v>
      </c>
      <c r="D2078" s="905" t="s">
        <v>11846</v>
      </c>
    </row>
    <row r="2079" spans="1:4" ht="16.5">
      <c r="A2079" s="581" t="str">
        <f ca="1">IFERROR(__xludf.DUMMYFUNCTION("""COMPUTED_VALUE"""),"JT2858A0B029")</f>
        <v>JT2858A0B029</v>
      </c>
      <c r="B2079" t="s">
        <v>11818</v>
      </c>
      <c r="C2079" s="663" t="s">
        <v>11843</v>
      </c>
      <c r="D2079" s="905" t="s">
        <v>11846</v>
      </c>
    </row>
    <row r="2080" spans="1:4" ht="16.5">
      <c r="A2080" s="587" t="str">
        <f ca="1">IFERROR(__xludf.DUMMYFUNCTION("""COMPUTED_VALUE"""),"JT2858ABB029")</f>
        <v>JT2858ABB029</v>
      </c>
      <c r="B2080" t="s">
        <v>11818</v>
      </c>
      <c r="C2080" s="663" t="s">
        <v>11843</v>
      </c>
      <c r="D2080" s="905" t="s">
        <v>11846</v>
      </c>
    </row>
    <row r="2081" spans="1:4" ht="16.5">
      <c r="A2081" s="581" t="str">
        <f ca="1">IFERROR(__xludf.DUMMYFUNCTION("""COMPUTED_VALUE"""),"JT2900BC0030")</f>
        <v>JT2900BC0030</v>
      </c>
      <c r="B2081" t="s">
        <v>11818</v>
      </c>
      <c r="C2081" s="663" t="s">
        <v>11843</v>
      </c>
      <c r="D2081" s="905" t="s">
        <v>11846</v>
      </c>
    </row>
    <row r="2082" spans="1:4" ht="16.5">
      <c r="A2082" s="587" t="str">
        <f ca="1">IFERROR(__xludf.DUMMYFUNCTION("""COMPUTED_VALUE"""),"JT2900CA0030")</f>
        <v>JT2900CA0030</v>
      </c>
      <c r="B2082" t="s">
        <v>11818</v>
      </c>
      <c r="C2082" s="663" t="s">
        <v>11843</v>
      </c>
      <c r="D2082" s="905" t="s">
        <v>11846</v>
      </c>
    </row>
    <row r="2083" spans="1:4" ht="16.5">
      <c r="A2083" s="581" t="str">
        <f ca="1">IFERROR(__xludf.DUMMYFUNCTION("""COMPUTED_VALUE"""),"JT3000B00030")</f>
        <v>JT3000B00030</v>
      </c>
      <c r="B2083" t="s">
        <v>11818</v>
      </c>
      <c r="C2083" s="663" t="s">
        <v>11843</v>
      </c>
      <c r="D2083" s="905" t="s">
        <v>11846</v>
      </c>
    </row>
    <row r="2084" spans="1:4" ht="16.5">
      <c r="A2084" s="587" t="str">
        <f ca="1">IFERROR(__xludf.DUMMYFUNCTION("""COMPUTED_VALUE"""),"JT3000BI0030")</f>
        <v>JT3000BI0030</v>
      </c>
      <c r="B2084" t="s">
        <v>11818</v>
      </c>
      <c r="C2084" s="663" t="s">
        <v>11843</v>
      </c>
      <c r="D2084" s="905" t="s">
        <v>11846</v>
      </c>
    </row>
    <row r="2085" spans="1:4" ht="16.5">
      <c r="A2085" s="581" t="str">
        <f ca="1">IFERROR(__xludf.DUMMYFUNCTION("""COMPUTED_VALUE"""),"JT3050BD0030")</f>
        <v>JT3050BD0030</v>
      </c>
      <c r="B2085" t="s">
        <v>11818</v>
      </c>
      <c r="C2085" s="663" t="s">
        <v>11843</v>
      </c>
      <c r="D2085" s="905" t="s">
        <v>11846</v>
      </c>
    </row>
    <row r="2086" spans="1:4" ht="16.5">
      <c r="A2086" s="587" t="str">
        <f ca="1">IFERROR(__xludf.DUMMYFUNCTION("""COMPUTED_VALUE"""),"JT31750HA029")</f>
        <v>JT31750HA029</v>
      </c>
      <c r="B2086" t="s">
        <v>11818</v>
      </c>
      <c r="C2086" s="663" t="s">
        <v>11843</v>
      </c>
      <c r="D2086" s="905" t="s">
        <v>11846</v>
      </c>
    </row>
    <row r="2087" spans="1:4" ht="16.5">
      <c r="A2087" s="581" t="str">
        <f ca="1">IFERROR(__xludf.DUMMYFUNCTION("""COMPUTED_VALUE"""),"JT31750IA029")</f>
        <v>JT31750IA029</v>
      </c>
      <c r="B2087" t="s">
        <v>11818</v>
      </c>
      <c r="C2087" s="663" t="s">
        <v>11843</v>
      </c>
      <c r="D2087" s="905" t="s">
        <v>11846</v>
      </c>
    </row>
    <row r="2088" spans="1:4" ht="16.5">
      <c r="A2088" s="587" t="str">
        <f ca="1">IFERROR(__xludf.DUMMYFUNCTION("""COMPUTED_VALUE"""),"JT3175A0B029")</f>
        <v>JT3175A0B029</v>
      </c>
      <c r="B2088" t="s">
        <v>11818</v>
      </c>
      <c r="C2088" s="663" t="s">
        <v>11843</v>
      </c>
      <c r="D2088" s="905" t="s">
        <v>11846</v>
      </c>
    </row>
    <row r="2089" spans="1:4" ht="16.5">
      <c r="A2089" s="581" t="str">
        <f ca="1">IFERROR(__xludf.DUMMYFUNCTION("""COMPUTED_VALUE"""),"JT3175ABB029")</f>
        <v>JT3175ABB029</v>
      </c>
      <c r="B2089" t="s">
        <v>11818</v>
      </c>
      <c r="C2089" s="663" t="s">
        <v>11843</v>
      </c>
      <c r="D2089" s="905" t="s">
        <v>11846</v>
      </c>
    </row>
    <row r="2090" spans="1:4" ht="16.5">
      <c r="A2090" s="587" t="str">
        <f ca="1">IFERROR(__xludf.DUMMYFUNCTION("""COMPUTED_VALUE"""),"JT3300BG0030")</f>
        <v>JT3300BG0030</v>
      </c>
      <c r="B2090" t="s">
        <v>11818</v>
      </c>
      <c r="C2090" s="663" t="s">
        <v>11843</v>
      </c>
      <c r="D2090" s="905" t="s">
        <v>11846</v>
      </c>
    </row>
    <row r="2091" spans="1:4" ht="16.5">
      <c r="A2091" s="581" t="str">
        <f ca="1">IFERROR(__xludf.DUMMYFUNCTION("""COMPUTED_VALUE"""),"JT3400CB0030")</f>
        <v>JT3400CB0030</v>
      </c>
      <c r="B2091" t="s">
        <v>11818</v>
      </c>
      <c r="C2091" s="663" t="s">
        <v>11843</v>
      </c>
      <c r="D2091" s="905" t="s">
        <v>11846</v>
      </c>
    </row>
    <row r="2092" spans="1:4" ht="16.5">
      <c r="A2092" s="587" t="str">
        <f ca="1">IFERROR(__xludf.DUMMYFUNCTION("""COMPUTED_VALUE"""),"JT34930IA029")</f>
        <v>JT34930IA029</v>
      </c>
      <c r="B2092" t="s">
        <v>11818</v>
      </c>
      <c r="C2092" s="663" t="s">
        <v>11843</v>
      </c>
      <c r="D2092" s="905" t="s">
        <v>11846</v>
      </c>
    </row>
    <row r="2093" spans="1:4" ht="16.5">
      <c r="A2093" s="581" t="str">
        <f ca="1">IFERROR(__xludf.DUMMYFUNCTION("""COMPUTED_VALUE"""),"JT3493A0B029")</f>
        <v>JT3493A0B029</v>
      </c>
      <c r="B2093" t="s">
        <v>11818</v>
      </c>
      <c r="C2093" s="663" t="s">
        <v>11843</v>
      </c>
      <c r="D2093" s="905" t="s">
        <v>11846</v>
      </c>
    </row>
    <row r="2094" spans="1:4" ht="16.5">
      <c r="A2094" s="587" t="str">
        <f ca="1">IFERROR(__xludf.DUMMYFUNCTION("""COMPUTED_VALUE"""),"JT3493ABB029")</f>
        <v>JT3493ABB029</v>
      </c>
      <c r="B2094" t="s">
        <v>11818</v>
      </c>
      <c r="C2094" s="663" t="s">
        <v>11843</v>
      </c>
      <c r="D2094" s="905" t="s">
        <v>11846</v>
      </c>
    </row>
    <row r="2095" spans="1:4" ht="16.5">
      <c r="A2095" s="581" t="str">
        <f ca="1">IFERROR(__xludf.DUMMYFUNCTION("""COMPUTED_VALUE"""),"JT3493ADC029")</f>
        <v>JT3493ADC029</v>
      </c>
      <c r="B2095" t="s">
        <v>11818</v>
      </c>
      <c r="C2095" s="663" t="s">
        <v>11843</v>
      </c>
      <c r="D2095" s="905" t="s">
        <v>11846</v>
      </c>
    </row>
    <row r="2096" spans="1:4" ht="16.5">
      <c r="A2096" s="587" t="str">
        <f ca="1">IFERROR(__xludf.DUMMYFUNCTION("""COMPUTED_VALUE"""),"JT3810A0B029")</f>
        <v>JT3810A0B029</v>
      </c>
      <c r="B2096" t="s">
        <v>11818</v>
      </c>
      <c r="C2096" s="663" t="s">
        <v>11843</v>
      </c>
      <c r="D2096" s="905" t="s">
        <v>11846</v>
      </c>
    </row>
    <row r="2097" spans="1:4" ht="16.5">
      <c r="A2097" s="581" t="str">
        <f ca="1">IFERROR(__xludf.DUMMYFUNCTION("""COMPUTED_VALUE"""),"JT4128A0B029")</f>
        <v>JT4128A0B029</v>
      </c>
      <c r="B2097" t="s">
        <v>11818</v>
      </c>
      <c r="C2097" s="663" t="s">
        <v>11843</v>
      </c>
      <c r="D2097" s="905" t="s">
        <v>11846</v>
      </c>
    </row>
    <row r="2098" spans="1:4" ht="16.5">
      <c r="A2098" s="587" t="str">
        <f ca="1">IFERROR(__xludf.DUMMYFUNCTION("""COMPUTED_VALUE"""),"JT4128ABB029")</f>
        <v>JT4128ABB029</v>
      </c>
      <c r="B2098" t="s">
        <v>11818</v>
      </c>
      <c r="C2098" s="663" t="s">
        <v>11843</v>
      </c>
      <c r="D2098" s="905" t="s">
        <v>11846</v>
      </c>
    </row>
    <row r="2099" spans="1:4" ht="16.5">
      <c r="A2099" s="581" t="str">
        <f ca="1">IFERROR(__xludf.DUMMYFUNCTION("""COMPUTED_VALUE"""),"JT4128ADC029")</f>
        <v>JT4128ADC029</v>
      </c>
      <c r="B2099" t="s">
        <v>11818</v>
      </c>
      <c r="C2099" s="663" t="s">
        <v>11843</v>
      </c>
      <c r="D2099" s="905" t="s">
        <v>11846</v>
      </c>
    </row>
    <row r="2100" spans="1:4" ht="16.5">
      <c r="A2100" s="587" t="str">
        <f ca="1">IFERROR(__xludf.DUMMYFUNCTION("""COMPUTED_VALUE"""),"JW01940GALWC")</f>
        <v>JW01940GALWC</v>
      </c>
      <c r="B2100" t="s">
        <v>11818</v>
      </c>
      <c r="C2100" s="663" t="s">
        <v>11843</v>
      </c>
      <c r="D2100" s="905" t="s">
        <v>11846</v>
      </c>
    </row>
    <row r="2101" spans="1:4" ht="16.5">
      <c r="A2101" s="581" t="str">
        <f ca="1">IFERROR(__xludf.DUMMYFUNCTION("""COMPUTED_VALUE"""),"JW04760EALWC")</f>
        <v>JW04760EALWC</v>
      </c>
      <c r="B2101" t="s">
        <v>11818</v>
      </c>
      <c r="C2101" s="663" t="s">
        <v>11843</v>
      </c>
      <c r="D2101" s="905" t="s">
        <v>11846</v>
      </c>
    </row>
    <row r="2102" spans="1:4" ht="16.5">
      <c r="A2102" s="587" t="str">
        <f ca="1">IFERROR(__xludf.DUMMYFUNCTION("""COMPUTED_VALUE"""),"JW05000E0LWC")</f>
        <v>JW05000E0LWC</v>
      </c>
      <c r="B2102" t="s">
        <v>11818</v>
      </c>
      <c r="C2102" s="663" t="s">
        <v>11843</v>
      </c>
      <c r="D2102" s="905" t="s">
        <v>11846</v>
      </c>
    </row>
    <row r="2103" spans="1:4" ht="16.5">
      <c r="A2103" s="581" t="str">
        <f ca="1">IFERROR(__xludf.DUMMYFUNCTION("""COMPUTED_VALUE"""),"JW05000EALWC")</f>
        <v>JW05000EALWC</v>
      </c>
      <c r="B2103" t="s">
        <v>11818</v>
      </c>
      <c r="C2103" s="663" t="s">
        <v>11843</v>
      </c>
      <c r="D2103" s="905" t="s">
        <v>11846</v>
      </c>
    </row>
    <row r="2104" spans="1:4" ht="16.5">
      <c r="A2104" s="587" t="str">
        <f ca="1">IFERROR(__xludf.DUMMYFUNCTION("""COMPUTED_VALUE"""),"JW06350EALWC")</f>
        <v>JW06350EALWC</v>
      </c>
      <c r="B2104" t="s">
        <v>11818</v>
      </c>
      <c r="C2104" s="663" t="s">
        <v>11843</v>
      </c>
      <c r="D2104" s="905" t="s">
        <v>11846</v>
      </c>
    </row>
    <row r="2105" spans="1:4" ht="16.5">
      <c r="A2105" s="581" t="str">
        <f ca="1">IFERROR(__xludf.DUMMYFUNCTION("""COMPUTED_VALUE"""),"JW06350EELWC")</f>
        <v>JW06350EELWC</v>
      </c>
      <c r="B2105" t="s">
        <v>11818</v>
      </c>
      <c r="C2105" s="663" t="s">
        <v>11843</v>
      </c>
      <c r="D2105" s="905" t="s">
        <v>11846</v>
      </c>
    </row>
    <row r="2106" spans="1:4" ht="16.5">
      <c r="A2106" s="587" t="str">
        <f ca="1">IFERROR(__xludf.DUMMYFUNCTION("""COMPUTED_VALUE"""),"JW06350GALWC")</f>
        <v>JW06350GALWC</v>
      </c>
      <c r="B2106" t="s">
        <v>11818</v>
      </c>
      <c r="C2106" s="663" t="s">
        <v>11843</v>
      </c>
      <c r="D2106" s="905" t="s">
        <v>11846</v>
      </c>
    </row>
    <row r="2107" spans="1:4" ht="16.5">
      <c r="A2107" s="581" t="str">
        <f ca="1">IFERROR(__xludf.DUMMYFUNCTION("""COMPUTED_VALUE"""),"JW06350GELWC")</f>
        <v>JW06350GELWC</v>
      </c>
      <c r="B2107" t="s">
        <v>11818</v>
      </c>
      <c r="C2107" s="663" t="s">
        <v>11843</v>
      </c>
      <c r="D2107" s="905" t="s">
        <v>11846</v>
      </c>
    </row>
    <row r="2108" spans="1:4" ht="16.5">
      <c r="A2108" s="587" t="str">
        <f ca="1">IFERROR(__xludf.DUMMYFUNCTION("""COMPUTED_VALUE"""),"JW06350GELWCKI")</f>
        <v>JW06350GELWCKI</v>
      </c>
      <c r="B2108" t="s">
        <v>11818</v>
      </c>
      <c r="C2108" s="663" t="s">
        <v>11843</v>
      </c>
      <c r="D2108" s="905" t="s">
        <v>11846</v>
      </c>
    </row>
    <row r="2109" spans="1:4" ht="16.5">
      <c r="A2109" s="581" t="str">
        <f ca="1">IFERROR(__xludf.DUMMYFUNCTION("""COMPUTED_VALUE"""),"JW06350HALWC")</f>
        <v>JW06350HALWC</v>
      </c>
      <c r="B2109" t="s">
        <v>11818</v>
      </c>
      <c r="C2109" s="663" t="s">
        <v>11843</v>
      </c>
      <c r="D2109" s="905" t="s">
        <v>11846</v>
      </c>
    </row>
    <row r="2110" spans="1:4" ht="16.5">
      <c r="A2110" s="587" t="str">
        <f ca="1">IFERROR(__xludf.DUMMYFUNCTION("""COMPUTED_VALUE"""),"JW06350HELWC")</f>
        <v>JW06350HELWC</v>
      </c>
      <c r="B2110" t="s">
        <v>11818</v>
      </c>
      <c r="C2110" s="663" t="s">
        <v>11843</v>
      </c>
      <c r="D2110" s="905" t="s">
        <v>11846</v>
      </c>
    </row>
    <row r="2111" spans="1:4" ht="16.5">
      <c r="A2111" s="581" t="str">
        <f ca="1">IFERROR(__xludf.DUMMYFUNCTION("""COMPUTED_VALUE"""),"JW06350IALWC")</f>
        <v>JW06350IALWC</v>
      </c>
      <c r="B2111" t="s">
        <v>11818</v>
      </c>
      <c r="C2111" s="663" t="s">
        <v>11843</v>
      </c>
      <c r="D2111" s="905" t="s">
        <v>11846</v>
      </c>
    </row>
    <row r="2112" spans="1:4" ht="16.5">
      <c r="A2112" s="587" t="str">
        <f ca="1">IFERROR(__xludf.DUMMYFUNCTION("""COMPUTED_VALUE"""),"JW06500EELWC")</f>
        <v>JW06500EELWC</v>
      </c>
      <c r="B2112" t="s">
        <v>11818</v>
      </c>
      <c r="C2112" s="663" t="s">
        <v>11843</v>
      </c>
      <c r="D2112" s="905" t="s">
        <v>11846</v>
      </c>
    </row>
    <row r="2113" spans="1:4" ht="16.5">
      <c r="A2113" s="581" t="str">
        <f ca="1">IFERROR(__xludf.DUMMYFUNCTION("""COMPUTED_VALUE"""),"JW07940EALWC")</f>
        <v>JW07940EALWC</v>
      </c>
      <c r="B2113" t="s">
        <v>11818</v>
      </c>
      <c r="C2113" s="663" t="s">
        <v>11843</v>
      </c>
      <c r="D2113" s="905" t="s">
        <v>11846</v>
      </c>
    </row>
    <row r="2114" spans="1:4" ht="16.5">
      <c r="A2114" s="587" t="str">
        <f ca="1">IFERROR(__xludf.DUMMYFUNCTION("""COMPUTED_VALUE"""),"JW07940EELWC")</f>
        <v>JW07940EELWC</v>
      </c>
      <c r="B2114" t="s">
        <v>11818</v>
      </c>
      <c r="C2114" s="663" t="s">
        <v>11843</v>
      </c>
      <c r="D2114" s="905" t="s">
        <v>11846</v>
      </c>
    </row>
    <row r="2115" spans="1:4" ht="16.5">
      <c r="A2115" s="581" t="str">
        <f ca="1">IFERROR(__xludf.DUMMYFUNCTION("""COMPUTED_VALUE"""),"JW07940GALWC")</f>
        <v>JW07940GALWC</v>
      </c>
      <c r="B2115" t="s">
        <v>11818</v>
      </c>
      <c r="C2115" s="663" t="s">
        <v>11843</v>
      </c>
      <c r="D2115" s="905" t="s">
        <v>11846</v>
      </c>
    </row>
    <row r="2116" spans="1:4" ht="16.5">
      <c r="A2116" s="587" t="str">
        <f ca="1">IFERROR(__xludf.DUMMYFUNCTION("""COMPUTED_VALUE"""),"JW07940GELWC")</f>
        <v>JW07940GELWC</v>
      </c>
      <c r="B2116" t="s">
        <v>11818</v>
      </c>
      <c r="C2116" s="663" t="s">
        <v>11843</v>
      </c>
      <c r="D2116" s="905" t="s">
        <v>11846</v>
      </c>
    </row>
    <row r="2117" spans="1:4" ht="16.5">
      <c r="A2117" s="581" t="str">
        <f ca="1">IFERROR(__xludf.DUMMYFUNCTION("""COMPUTED_VALUE"""),"JW07940HALWC")</f>
        <v>JW07940HALWC</v>
      </c>
      <c r="B2117" t="s">
        <v>11818</v>
      </c>
      <c r="C2117" s="663" t="s">
        <v>11843</v>
      </c>
      <c r="D2117" s="905" t="s">
        <v>11846</v>
      </c>
    </row>
    <row r="2118" spans="1:4" ht="16.5">
      <c r="A2118" s="587" t="str">
        <f ca="1">IFERROR(__xludf.DUMMYFUNCTION("""COMPUTED_VALUE"""),"JW07940HELWC")</f>
        <v>JW07940HELWC</v>
      </c>
      <c r="B2118" t="s">
        <v>11818</v>
      </c>
      <c r="C2118" s="663" t="s">
        <v>11843</v>
      </c>
      <c r="D2118" s="905" t="s">
        <v>11846</v>
      </c>
    </row>
    <row r="2119" spans="1:4" ht="16.5">
      <c r="A2119" s="581" t="str">
        <f ca="1">IFERROR(__xludf.DUMMYFUNCTION("""COMPUTED_VALUE"""),"JW07940IALWC")</f>
        <v>JW07940IALWC</v>
      </c>
      <c r="B2119" t="s">
        <v>11818</v>
      </c>
      <c r="C2119" s="663" t="s">
        <v>11843</v>
      </c>
      <c r="D2119" s="905" t="s">
        <v>11846</v>
      </c>
    </row>
    <row r="2120" spans="1:4" ht="16.5">
      <c r="A2120" s="587" t="str">
        <f ca="1">IFERROR(__xludf.DUMMYFUNCTION("""COMPUTED_VALUE"""),"JW09520EALWC")</f>
        <v>JW09520EALWC</v>
      </c>
      <c r="B2120" t="s">
        <v>11818</v>
      </c>
      <c r="C2120" s="663" t="s">
        <v>11843</v>
      </c>
      <c r="D2120" s="905" t="s">
        <v>11846</v>
      </c>
    </row>
    <row r="2121" spans="1:4" ht="16.5">
      <c r="A2121" s="581" t="str">
        <f ca="1">IFERROR(__xludf.DUMMYFUNCTION("""COMPUTED_VALUE"""),"JW09520EELWC")</f>
        <v>JW09520EELWC</v>
      </c>
      <c r="B2121" t="s">
        <v>11818</v>
      </c>
      <c r="C2121" s="663" t="s">
        <v>11843</v>
      </c>
      <c r="D2121" s="905" t="s">
        <v>11846</v>
      </c>
    </row>
    <row r="2122" spans="1:4" ht="16.5">
      <c r="A2122" s="587" t="str">
        <f ca="1">IFERROR(__xludf.DUMMYFUNCTION("""COMPUTED_VALUE"""),"JW09520GALWC")</f>
        <v>JW09520GALWC</v>
      </c>
      <c r="B2122" t="s">
        <v>11818</v>
      </c>
      <c r="C2122" s="663" t="s">
        <v>11843</v>
      </c>
      <c r="D2122" s="905" t="s">
        <v>11846</v>
      </c>
    </row>
    <row r="2123" spans="1:4" ht="16.5">
      <c r="A2123" s="581" t="str">
        <f ca="1">IFERROR(__xludf.DUMMYFUNCTION("""COMPUTED_VALUE"""),"JW09520GALWCKI")</f>
        <v>JW09520GALWCKI</v>
      </c>
      <c r="B2123" t="s">
        <v>11818</v>
      </c>
      <c r="C2123" s="663" t="s">
        <v>11843</v>
      </c>
      <c r="D2123" s="905" t="s">
        <v>11846</v>
      </c>
    </row>
    <row r="2124" spans="1:4" ht="16.5">
      <c r="A2124" s="587" t="str">
        <f ca="1">IFERROR(__xludf.DUMMYFUNCTION("""COMPUTED_VALUE"""),"JW09520GELWC")</f>
        <v>JW09520GELWC</v>
      </c>
      <c r="B2124" t="s">
        <v>11818</v>
      </c>
      <c r="C2124" s="663" t="s">
        <v>11843</v>
      </c>
      <c r="D2124" s="905" t="s">
        <v>11846</v>
      </c>
    </row>
    <row r="2125" spans="1:4" ht="16.5">
      <c r="A2125" s="581" t="str">
        <f ca="1">IFERROR(__xludf.DUMMYFUNCTION("""COMPUTED_VALUE"""),"JW09520GELWCKI")</f>
        <v>JW09520GELWCKI</v>
      </c>
      <c r="B2125" t="s">
        <v>11818</v>
      </c>
      <c r="C2125" s="663" t="s">
        <v>11843</v>
      </c>
      <c r="D2125" s="905" t="s">
        <v>11846</v>
      </c>
    </row>
    <row r="2126" spans="1:4" ht="16.5">
      <c r="A2126" s="587" t="str">
        <f ca="1">IFERROR(__xludf.DUMMYFUNCTION("""COMPUTED_VALUE"""),"JW09520HALWC")</f>
        <v>JW09520HALWC</v>
      </c>
      <c r="B2126" t="s">
        <v>11818</v>
      </c>
      <c r="C2126" s="663" t="s">
        <v>11843</v>
      </c>
      <c r="D2126" s="905" t="s">
        <v>11846</v>
      </c>
    </row>
    <row r="2127" spans="1:4" ht="16.5">
      <c r="A2127" s="581" t="str">
        <f ca="1">IFERROR(__xludf.DUMMYFUNCTION("""COMPUTED_VALUE"""),"JW09520HALWCKI")</f>
        <v>JW09520HALWCKI</v>
      </c>
      <c r="B2127" t="s">
        <v>11818</v>
      </c>
      <c r="C2127" s="663" t="s">
        <v>11843</v>
      </c>
      <c r="D2127" s="905" t="s">
        <v>11846</v>
      </c>
    </row>
    <row r="2128" spans="1:4" ht="16.5">
      <c r="A2128" s="587" t="str">
        <f ca="1">IFERROR(__xludf.DUMMYFUNCTION("""COMPUTED_VALUE"""),"JW09520HELWC")</f>
        <v>JW09520HELWC</v>
      </c>
      <c r="B2128" t="s">
        <v>11818</v>
      </c>
      <c r="C2128" s="663" t="s">
        <v>11843</v>
      </c>
      <c r="D2128" s="905" t="s">
        <v>11846</v>
      </c>
    </row>
    <row r="2129" spans="1:4" ht="16.5">
      <c r="A2129" s="581" t="str">
        <f ca="1">IFERROR(__xludf.DUMMYFUNCTION("""COMPUTED_VALUE"""),"JW09520IALWC")</f>
        <v>JW09520IALWC</v>
      </c>
      <c r="B2129" t="s">
        <v>11818</v>
      </c>
      <c r="C2129" s="663" t="s">
        <v>11843</v>
      </c>
      <c r="D2129" s="905" t="s">
        <v>11846</v>
      </c>
    </row>
    <row r="2130" spans="1:4" ht="16.5">
      <c r="A2130" s="587" t="str">
        <f ca="1">IFERROR(__xludf.DUMMYFUNCTION("""COMPUTED_VALUE"""),"JW12700EALWC")</f>
        <v>JW12700EALWC</v>
      </c>
      <c r="B2130" t="s">
        <v>11818</v>
      </c>
      <c r="C2130" s="663" t="s">
        <v>11843</v>
      </c>
      <c r="D2130" s="905" t="s">
        <v>11846</v>
      </c>
    </row>
    <row r="2131" spans="1:4" ht="16.5">
      <c r="A2131" s="581" t="str">
        <f ca="1">IFERROR(__xludf.DUMMYFUNCTION("""COMPUTED_VALUE"""),"JW12700EELWC")</f>
        <v>JW12700EELWC</v>
      </c>
      <c r="B2131" t="s">
        <v>11818</v>
      </c>
      <c r="C2131" s="663" t="s">
        <v>11843</v>
      </c>
      <c r="D2131" s="905" t="s">
        <v>11846</v>
      </c>
    </row>
    <row r="2132" spans="1:4" ht="16.5">
      <c r="A2132" s="587" t="str">
        <f ca="1">IFERROR(__xludf.DUMMYFUNCTION("""COMPUTED_VALUE"""),"JW12700GALWC")</f>
        <v>JW12700GALWC</v>
      </c>
      <c r="B2132" t="s">
        <v>11818</v>
      </c>
      <c r="C2132" s="663" t="s">
        <v>11843</v>
      </c>
      <c r="D2132" s="905" t="s">
        <v>11846</v>
      </c>
    </row>
    <row r="2133" spans="1:4" ht="16.5">
      <c r="A2133" s="581" t="str">
        <f ca="1">IFERROR(__xludf.DUMMYFUNCTION("""COMPUTED_VALUE"""),"JW12700GELWC")</f>
        <v>JW12700GELWC</v>
      </c>
      <c r="B2133" t="s">
        <v>11818</v>
      </c>
      <c r="C2133" s="663" t="s">
        <v>11843</v>
      </c>
      <c r="D2133" s="905" t="s">
        <v>11846</v>
      </c>
    </row>
    <row r="2134" spans="1:4" ht="16.5">
      <c r="A2134" s="587" t="str">
        <f ca="1">IFERROR(__xludf.DUMMYFUNCTION("""COMPUTED_VALUE"""),"JW12700HALWC")</f>
        <v>JW12700HALWC</v>
      </c>
      <c r="B2134" t="s">
        <v>11818</v>
      </c>
      <c r="C2134" s="663" t="s">
        <v>11843</v>
      </c>
      <c r="D2134" s="905" t="s">
        <v>11846</v>
      </c>
    </row>
    <row r="2135" spans="1:4" ht="16.5">
      <c r="A2135" s="581" t="str">
        <f ca="1">IFERROR(__xludf.DUMMYFUNCTION("""COMPUTED_VALUE"""),"JW12700HALWCKI")</f>
        <v>JW12700HALWCKI</v>
      </c>
      <c r="B2135" t="s">
        <v>11818</v>
      </c>
      <c r="C2135" s="663" t="s">
        <v>11843</v>
      </c>
      <c r="D2135" s="905" t="s">
        <v>11846</v>
      </c>
    </row>
    <row r="2136" spans="1:4" ht="16.5">
      <c r="A2136" s="587" t="str">
        <f ca="1">IFERROR(__xludf.DUMMYFUNCTION("""COMPUTED_VALUE"""),"JW12700HELWC")</f>
        <v>JW12700HELWC</v>
      </c>
      <c r="B2136" t="s">
        <v>11818</v>
      </c>
      <c r="C2136" s="663" t="s">
        <v>11843</v>
      </c>
      <c r="D2136" s="905" t="s">
        <v>11846</v>
      </c>
    </row>
    <row r="2137" spans="1:4" ht="16.5">
      <c r="A2137" s="581" t="str">
        <f ca="1">IFERROR(__xludf.DUMMYFUNCTION("""COMPUTED_VALUE"""),"JW12700IALWC")</f>
        <v>JW12700IALWC</v>
      </c>
      <c r="B2137" t="s">
        <v>11818</v>
      </c>
      <c r="C2137" s="663" t="s">
        <v>11843</v>
      </c>
      <c r="D2137" s="905" t="s">
        <v>11846</v>
      </c>
    </row>
    <row r="2138" spans="1:4" ht="16.5">
      <c r="A2138" s="587" t="str">
        <f ca="1">IFERROR(__xludf.DUMMYFUNCTION("""COMPUTED_VALUE"""),"JW12700IALWCKI")</f>
        <v>JW12700IALWCKI</v>
      </c>
      <c r="B2138" t="s">
        <v>11818</v>
      </c>
      <c r="C2138" s="663" t="s">
        <v>11843</v>
      </c>
      <c r="D2138" s="905" t="s">
        <v>11846</v>
      </c>
    </row>
    <row r="2139" spans="1:4" ht="16.5">
      <c r="A2139" s="581" t="str">
        <f ca="1">IFERROR(__xludf.DUMMYFUNCTION("""COMPUTED_VALUE"""),"JW15880EALWC")</f>
        <v>JW15880EALWC</v>
      </c>
      <c r="B2139" t="s">
        <v>11818</v>
      </c>
      <c r="C2139" s="663" t="s">
        <v>11843</v>
      </c>
      <c r="D2139" s="905" t="s">
        <v>11846</v>
      </c>
    </row>
    <row r="2140" spans="1:4" ht="16.5">
      <c r="A2140" s="587" t="str">
        <f ca="1">IFERROR(__xludf.DUMMYFUNCTION("""COMPUTED_VALUE"""),"JW15880EELWC")</f>
        <v>JW15880EELWC</v>
      </c>
      <c r="B2140" t="s">
        <v>11818</v>
      </c>
      <c r="C2140" s="663" t="s">
        <v>11843</v>
      </c>
      <c r="D2140" s="905" t="s">
        <v>11846</v>
      </c>
    </row>
    <row r="2141" spans="1:4" ht="16.5">
      <c r="A2141" s="581" t="str">
        <f ca="1">IFERROR(__xludf.DUMMYFUNCTION("""COMPUTED_VALUE"""),"JW15880GALWC")</f>
        <v>JW15880GALWC</v>
      </c>
      <c r="B2141" t="s">
        <v>11818</v>
      </c>
      <c r="C2141" s="663" t="s">
        <v>11843</v>
      </c>
      <c r="D2141" s="905" t="s">
        <v>11846</v>
      </c>
    </row>
    <row r="2142" spans="1:4" ht="16.5">
      <c r="A2142" s="587" t="str">
        <f ca="1">IFERROR(__xludf.DUMMYFUNCTION("""COMPUTED_VALUE"""),"JW15880GELWC")</f>
        <v>JW15880GELWC</v>
      </c>
      <c r="B2142" t="s">
        <v>11818</v>
      </c>
      <c r="C2142" s="663" t="s">
        <v>11843</v>
      </c>
      <c r="D2142" s="905" t="s">
        <v>11846</v>
      </c>
    </row>
    <row r="2143" spans="1:4" ht="16.5">
      <c r="A2143" s="581" t="str">
        <f ca="1">IFERROR(__xludf.DUMMYFUNCTION("""COMPUTED_VALUE"""),"JW15880HALWC")</f>
        <v>JW15880HALWC</v>
      </c>
      <c r="B2143" t="s">
        <v>11818</v>
      </c>
      <c r="C2143" s="663" t="s">
        <v>11843</v>
      </c>
      <c r="D2143" s="905" t="s">
        <v>11846</v>
      </c>
    </row>
    <row r="2144" spans="1:4" ht="16.5">
      <c r="A2144" s="587" t="str">
        <f ca="1">IFERROR(__xludf.DUMMYFUNCTION("""COMPUTED_VALUE"""),"JW15880HELWC")</f>
        <v>JW15880HELWC</v>
      </c>
      <c r="B2144" t="s">
        <v>11818</v>
      </c>
      <c r="C2144" s="663" t="s">
        <v>11843</v>
      </c>
      <c r="D2144" s="905" t="s">
        <v>11846</v>
      </c>
    </row>
    <row r="2145" spans="1:4" ht="16.5">
      <c r="A2145" s="581" t="str">
        <f ca="1">IFERROR(__xludf.DUMMYFUNCTION("""COMPUTED_VALUE"""),"JW15880IALWC")</f>
        <v>JW15880IALWC</v>
      </c>
      <c r="B2145" t="s">
        <v>11818</v>
      </c>
      <c r="C2145" s="663" t="s">
        <v>11843</v>
      </c>
      <c r="D2145" s="905" t="s">
        <v>11846</v>
      </c>
    </row>
    <row r="2146" spans="1:4" ht="16.5">
      <c r="A2146" s="587" t="str">
        <f ca="1">IFERROR(__xludf.DUMMYFUNCTION("""COMPUTED_VALUE"""),"JW15880IALWCKI")</f>
        <v>JW15880IALWCKI</v>
      </c>
      <c r="B2146" t="s">
        <v>11818</v>
      </c>
      <c r="C2146" s="663" t="s">
        <v>11843</v>
      </c>
      <c r="D2146" s="905" t="s">
        <v>11846</v>
      </c>
    </row>
    <row r="2147" spans="1:4" ht="16.5">
      <c r="A2147" s="581" t="str">
        <f ca="1">IFERROR(__xludf.DUMMYFUNCTION("""COMPUTED_VALUE"""),"JW1588A0BLWC")</f>
        <v>JW1588A0BLWC</v>
      </c>
      <c r="B2147" t="s">
        <v>11818</v>
      </c>
      <c r="C2147" s="663" t="s">
        <v>11843</v>
      </c>
      <c r="D2147" s="905" t="s">
        <v>11846</v>
      </c>
    </row>
    <row r="2148" spans="1:4" ht="16.5">
      <c r="A2148" s="587" t="str">
        <f ca="1">IFERROR(__xludf.DUMMYFUNCTION("""COMPUTED_VALUE"""),"JW19050HALWC")</f>
        <v>JW19050HALWC</v>
      </c>
      <c r="B2148" t="s">
        <v>11818</v>
      </c>
      <c r="C2148" s="663" t="s">
        <v>11843</v>
      </c>
      <c r="D2148" s="905" t="s">
        <v>11846</v>
      </c>
    </row>
    <row r="2149" spans="1:4" ht="16.5">
      <c r="A2149" s="581" t="str">
        <f ca="1">IFERROR(__xludf.DUMMYFUNCTION("""COMPUTED_VALUE"""),"JW19050HELWC")</f>
        <v>JW19050HELWC</v>
      </c>
      <c r="B2149" t="s">
        <v>11818</v>
      </c>
      <c r="C2149" s="663" t="s">
        <v>11843</v>
      </c>
      <c r="D2149" s="905" t="s">
        <v>11846</v>
      </c>
    </row>
    <row r="2150" spans="1:4" ht="16.5">
      <c r="A2150" s="587" t="str">
        <f ca="1">IFERROR(__xludf.DUMMYFUNCTION("""COMPUTED_VALUE"""),"JW19050IALWC")</f>
        <v>JW19050IALWC</v>
      </c>
      <c r="B2150" t="s">
        <v>11818</v>
      </c>
      <c r="C2150" s="663" t="s">
        <v>11843</v>
      </c>
      <c r="D2150" s="905" t="s">
        <v>11846</v>
      </c>
    </row>
    <row r="2151" spans="1:4" ht="16.5">
      <c r="A2151" s="581" t="str">
        <f ca="1">IFERROR(__xludf.DUMMYFUNCTION("""COMPUTED_VALUE"""),"JW1905A0BLWC")</f>
        <v>JW1905A0BLWC</v>
      </c>
      <c r="B2151" t="s">
        <v>11818</v>
      </c>
      <c r="C2151" s="663" t="s">
        <v>11843</v>
      </c>
      <c r="D2151" s="905" t="s">
        <v>11846</v>
      </c>
    </row>
    <row r="2153" spans="1:4" ht="15">
      <c r="A2153" s="927" t="s">
        <v>472</v>
      </c>
      <c r="B2153" t="s">
        <v>11831</v>
      </c>
      <c r="C2153" s="900" t="s">
        <v>11841</v>
      </c>
      <c r="D2153" s="900" t="s">
        <v>11842</v>
      </c>
    </row>
    <row r="2154" spans="1:4" ht="15">
      <c r="A2154" s="927" t="s">
        <v>478</v>
      </c>
      <c r="B2154" t="s">
        <v>11831</v>
      </c>
      <c r="C2154" s="900" t="s">
        <v>11841</v>
      </c>
      <c r="D2154" s="900" t="s">
        <v>11842</v>
      </c>
    </row>
    <row r="2155" spans="1:4" ht="15">
      <c r="A2155" s="927" t="s">
        <v>481</v>
      </c>
      <c r="B2155" t="s">
        <v>11831</v>
      </c>
      <c r="C2155" s="900" t="s">
        <v>11841</v>
      </c>
      <c r="D2155" s="900" t="s">
        <v>11842</v>
      </c>
    </row>
    <row r="2156" spans="1:4" ht="15">
      <c r="A2156" s="927" t="s">
        <v>484</v>
      </c>
      <c r="B2156" t="s">
        <v>11831</v>
      </c>
      <c r="C2156" s="900" t="s">
        <v>11841</v>
      </c>
      <c r="D2156" s="900" t="s">
        <v>11842</v>
      </c>
    </row>
    <row r="2157" spans="1:4" ht="15">
      <c r="A2157" s="927" t="s">
        <v>487</v>
      </c>
      <c r="B2157" t="s">
        <v>11831</v>
      </c>
      <c r="C2157" s="900" t="s">
        <v>11841</v>
      </c>
      <c r="D2157" s="900" t="s">
        <v>11842</v>
      </c>
    </row>
    <row r="2158" spans="1:4" ht="15">
      <c r="A2158" s="927" t="s">
        <v>490</v>
      </c>
      <c r="B2158" t="s">
        <v>11831</v>
      </c>
      <c r="C2158" s="900" t="s">
        <v>11841</v>
      </c>
      <c r="D2158" s="900" t="s">
        <v>11842</v>
      </c>
    </row>
    <row r="2159" spans="1:4" ht="15">
      <c r="A2159" s="927" t="s">
        <v>493</v>
      </c>
      <c r="B2159" t="s">
        <v>11831</v>
      </c>
      <c r="C2159" s="900" t="s">
        <v>11841</v>
      </c>
      <c r="D2159" s="900" t="s">
        <v>11842</v>
      </c>
    </row>
    <row r="2160" spans="1:4" ht="15">
      <c r="A2160" s="927" t="s">
        <v>496</v>
      </c>
      <c r="B2160" t="s">
        <v>11831</v>
      </c>
      <c r="C2160" s="900" t="s">
        <v>11841</v>
      </c>
      <c r="D2160" s="900" t="s">
        <v>11842</v>
      </c>
    </row>
    <row r="2161" spans="1:4" ht="15">
      <c r="A2161" s="927" t="s">
        <v>499</v>
      </c>
      <c r="B2161" t="s">
        <v>11831</v>
      </c>
      <c r="C2161" s="900" t="s">
        <v>11841</v>
      </c>
      <c r="D2161" s="900" t="s">
        <v>11842</v>
      </c>
    </row>
    <row r="2162" spans="1:4" ht="15.75" thickBot="1">
      <c r="A2162" s="928" t="s">
        <v>502</v>
      </c>
      <c r="B2162" t="s">
        <v>11831</v>
      </c>
      <c r="C2162" s="900" t="s">
        <v>11841</v>
      </c>
      <c r="D2162" s="900" t="s">
        <v>11842</v>
      </c>
    </row>
    <row r="2163" spans="1:4" ht="13.5" thickTop="1">
      <c r="B2163" t="s">
        <v>11831</v>
      </c>
      <c r="C2163" t="s">
        <v>11831</v>
      </c>
      <c r="D2163"/>
    </row>
    <row r="2164" spans="1:4" ht="15">
      <c r="A2164" s="927" t="s">
        <v>473</v>
      </c>
      <c r="B2164" t="s">
        <v>11831</v>
      </c>
      <c r="C2164" s="900" t="s">
        <v>11843</v>
      </c>
      <c r="D2164" s="900" t="s">
        <v>11844</v>
      </c>
    </row>
    <row r="2165" spans="1:4" ht="15">
      <c r="A2165" s="927" t="s">
        <v>479</v>
      </c>
      <c r="B2165" t="s">
        <v>11831</v>
      </c>
      <c r="C2165" s="900" t="s">
        <v>11843</v>
      </c>
      <c r="D2165" s="900" t="s">
        <v>11844</v>
      </c>
    </row>
    <row r="2166" spans="1:4" ht="15">
      <c r="A2166" s="927" t="s">
        <v>482</v>
      </c>
      <c r="B2166" t="s">
        <v>11831</v>
      </c>
      <c r="C2166" s="900" t="s">
        <v>11843</v>
      </c>
      <c r="D2166" s="900" t="s">
        <v>11844</v>
      </c>
    </row>
    <row r="2167" spans="1:4" ht="15">
      <c r="A2167" s="927" t="s">
        <v>485</v>
      </c>
      <c r="B2167" t="s">
        <v>11831</v>
      </c>
      <c r="C2167" s="900" t="s">
        <v>11843</v>
      </c>
      <c r="D2167" s="900" t="s">
        <v>11844</v>
      </c>
    </row>
    <row r="2168" spans="1:4" ht="15">
      <c r="A2168" s="927" t="s">
        <v>488</v>
      </c>
      <c r="B2168" t="s">
        <v>11831</v>
      </c>
      <c r="C2168" s="900" t="s">
        <v>11843</v>
      </c>
      <c r="D2168" s="900" t="s">
        <v>11844</v>
      </c>
    </row>
    <row r="2169" spans="1:4" ht="15">
      <c r="A2169" s="927" t="s">
        <v>491</v>
      </c>
      <c r="B2169" t="s">
        <v>11831</v>
      </c>
      <c r="C2169" s="900" t="s">
        <v>11843</v>
      </c>
      <c r="D2169" s="900" t="s">
        <v>11844</v>
      </c>
    </row>
    <row r="2170" spans="1:4" ht="15">
      <c r="A2170" s="927" t="s">
        <v>494</v>
      </c>
      <c r="B2170" t="s">
        <v>11831</v>
      </c>
      <c r="C2170" s="900" t="s">
        <v>11843</v>
      </c>
      <c r="D2170" s="900" t="s">
        <v>11844</v>
      </c>
    </row>
    <row r="2171" spans="1:4" ht="15">
      <c r="A2171" s="927" t="s">
        <v>497</v>
      </c>
      <c r="B2171" t="s">
        <v>11831</v>
      </c>
      <c r="C2171" s="900" t="s">
        <v>11843</v>
      </c>
      <c r="D2171" s="900" t="s">
        <v>11844</v>
      </c>
    </row>
    <row r="2172" spans="1:4" ht="15">
      <c r="A2172" s="927" t="s">
        <v>500</v>
      </c>
      <c r="B2172" t="s">
        <v>11831</v>
      </c>
      <c r="C2172" s="900" t="s">
        <v>11843</v>
      </c>
      <c r="D2172" s="900" t="s">
        <v>11844</v>
      </c>
    </row>
    <row r="2173" spans="1:4" ht="15.75" thickBot="1">
      <c r="A2173" s="928" t="s">
        <v>503</v>
      </c>
      <c r="B2173" t="s">
        <v>11831</v>
      </c>
      <c r="C2173" s="900" t="s">
        <v>11843</v>
      </c>
      <c r="D2173" s="900" t="s">
        <v>11844</v>
      </c>
    </row>
    <row r="2174" spans="1:4" ht="15.75" thickTop="1">
      <c r="A2174" s="904"/>
      <c r="B2174" t="s">
        <v>11831</v>
      </c>
    </row>
    <row r="2175" spans="1:4" ht="15">
      <c r="A2175" s="904"/>
      <c r="B2175" t="s">
        <v>11831</v>
      </c>
    </row>
    <row r="2176" spans="1:4" ht="15">
      <c r="A2176" s="930"/>
      <c r="B2176" t="s">
        <v>11831</v>
      </c>
    </row>
    <row r="2177" spans="1:4" ht="15">
      <c r="A2177" s="930"/>
      <c r="B2177" t="s">
        <v>11831</v>
      </c>
    </row>
    <row r="2178" spans="1:4" ht="15">
      <c r="A2178" s="930"/>
      <c r="B2178" t="s">
        <v>11831</v>
      </c>
    </row>
    <row r="2179" spans="1:4" ht="15">
      <c r="A2179" s="931"/>
      <c r="B2179" t="s">
        <v>11831</v>
      </c>
    </row>
    <row r="2180" spans="1:4" ht="15">
      <c r="A2180" s="931"/>
      <c r="B2180" t="s">
        <v>11831</v>
      </c>
    </row>
    <row r="2181" spans="1:4" ht="13.5" customHeight="1" thickBot="1">
      <c r="A2181" s="930"/>
      <c r="B2181" t="s">
        <v>11831</v>
      </c>
    </row>
    <row r="2182" spans="1:4" ht="15.75" thickTop="1">
      <c r="A2182" s="936" t="s">
        <v>266</v>
      </c>
      <c r="B2182" t="s">
        <v>11831</v>
      </c>
      <c r="C2182" s="900" t="s">
        <v>11843</v>
      </c>
      <c r="D2182" s="905" t="s">
        <v>11845</v>
      </c>
    </row>
    <row r="2183" spans="1:4">
      <c r="A2183" s="937"/>
      <c r="B2183" t="s">
        <v>11831</v>
      </c>
      <c r="C2183" s="900" t="s">
        <v>11843</v>
      </c>
      <c r="D2183" s="905" t="s">
        <v>11845</v>
      </c>
    </row>
    <row r="2184" spans="1:4" ht="15">
      <c r="A2184" s="932" t="s">
        <v>520</v>
      </c>
      <c r="B2184" t="s">
        <v>11831</v>
      </c>
      <c r="C2184" s="900" t="s">
        <v>11843</v>
      </c>
      <c r="D2184" s="905" t="s">
        <v>11845</v>
      </c>
    </row>
    <row r="2185" spans="1:4" ht="15">
      <c r="A2185" s="933" t="s">
        <v>526</v>
      </c>
      <c r="B2185" t="s">
        <v>11831</v>
      </c>
      <c r="C2185" s="900" t="s">
        <v>11843</v>
      </c>
      <c r="D2185" s="905" t="s">
        <v>11845</v>
      </c>
    </row>
    <row r="2186" spans="1:4" ht="15">
      <c r="A2186" s="932" t="s">
        <v>530</v>
      </c>
      <c r="B2186" t="s">
        <v>11831</v>
      </c>
      <c r="C2186" s="900" t="s">
        <v>11843</v>
      </c>
      <c r="D2186" s="905" t="s">
        <v>11845</v>
      </c>
    </row>
    <row r="2187" spans="1:4" ht="15">
      <c r="A2187" s="933" t="s">
        <v>534</v>
      </c>
      <c r="B2187" t="s">
        <v>11831</v>
      </c>
      <c r="C2187" s="900" t="s">
        <v>11843</v>
      </c>
      <c r="D2187" s="905" t="s">
        <v>11845</v>
      </c>
    </row>
    <row r="2188" spans="1:4" ht="15">
      <c r="A2188" s="932" t="s">
        <v>538</v>
      </c>
      <c r="B2188" t="s">
        <v>11831</v>
      </c>
      <c r="C2188" s="900" t="s">
        <v>11843</v>
      </c>
      <c r="D2188" s="905" t="s">
        <v>11845</v>
      </c>
    </row>
    <row r="2189" spans="1:4" ht="15">
      <c r="A2189" s="933" t="s">
        <v>542</v>
      </c>
      <c r="B2189" t="s">
        <v>11831</v>
      </c>
      <c r="C2189" s="900" t="s">
        <v>11843</v>
      </c>
      <c r="D2189" s="905" t="s">
        <v>11845</v>
      </c>
    </row>
    <row r="2190" spans="1:4" ht="15">
      <c r="A2190" s="932" t="s">
        <v>546</v>
      </c>
      <c r="B2190" t="s">
        <v>11831</v>
      </c>
      <c r="C2190" s="900" t="s">
        <v>11843</v>
      </c>
      <c r="D2190" s="905" t="s">
        <v>11845</v>
      </c>
    </row>
    <row r="2191" spans="1:4" ht="15">
      <c r="A2191" s="933" t="s">
        <v>550</v>
      </c>
      <c r="B2191" t="s">
        <v>11831</v>
      </c>
      <c r="C2191" s="900" t="s">
        <v>11843</v>
      </c>
      <c r="D2191" s="905" t="s">
        <v>11845</v>
      </c>
    </row>
    <row r="2192" spans="1:4" ht="15">
      <c r="A2192" s="932" t="s">
        <v>554</v>
      </c>
      <c r="B2192" t="s">
        <v>11831</v>
      </c>
      <c r="C2192" s="900" t="s">
        <v>11843</v>
      </c>
      <c r="D2192" s="905" t="s">
        <v>11845</v>
      </c>
    </row>
    <row r="2193" spans="1:4" ht="15">
      <c r="A2193" s="933" t="s">
        <v>558</v>
      </c>
      <c r="B2193" t="s">
        <v>11831</v>
      </c>
      <c r="C2193" s="900" t="s">
        <v>11843</v>
      </c>
      <c r="D2193" s="905" t="s">
        <v>11845</v>
      </c>
    </row>
    <row r="2194" spans="1:4" ht="15">
      <c r="A2194" s="932" t="s">
        <v>560</v>
      </c>
      <c r="B2194" t="s">
        <v>11831</v>
      </c>
      <c r="C2194" s="900" t="s">
        <v>11843</v>
      </c>
      <c r="D2194" s="905" t="s">
        <v>11845</v>
      </c>
    </row>
    <row r="2195" spans="1:4" ht="15">
      <c r="A2195" s="933" t="s">
        <v>566</v>
      </c>
      <c r="B2195" t="s">
        <v>11831</v>
      </c>
      <c r="C2195" s="900" t="s">
        <v>11843</v>
      </c>
      <c r="D2195" s="905" t="s">
        <v>11845</v>
      </c>
    </row>
    <row r="2196" spans="1:4" ht="15">
      <c r="A2196" s="932" t="s">
        <v>570</v>
      </c>
      <c r="B2196" t="s">
        <v>11831</v>
      </c>
      <c r="C2196" s="900" t="s">
        <v>11843</v>
      </c>
      <c r="D2196" s="905" t="s">
        <v>11845</v>
      </c>
    </row>
    <row r="2197" spans="1:4" ht="15">
      <c r="A2197" s="933" t="s">
        <v>574</v>
      </c>
      <c r="B2197" t="s">
        <v>11831</v>
      </c>
      <c r="C2197" s="900" t="s">
        <v>11843</v>
      </c>
      <c r="D2197" s="905" t="s">
        <v>11845</v>
      </c>
    </row>
    <row r="2198" spans="1:4" ht="15">
      <c r="A2198" s="932" t="s">
        <v>576</v>
      </c>
      <c r="B2198" t="s">
        <v>11831</v>
      </c>
      <c r="C2198" s="900" t="s">
        <v>11843</v>
      </c>
      <c r="D2198" s="905" t="s">
        <v>11845</v>
      </c>
    </row>
    <row r="2199" spans="1:4" ht="15">
      <c r="A2199" s="933" t="s">
        <v>578</v>
      </c>
      <c r="B2199" t="s">
        <v>11831</v>
      </c>
      <c r="C2199" s="900" t="s">
        <v>11843</v>
      </c>
      <c r="D2199" s="905" t="s">
        <v>11845</v>
      </c>
    </row>
    <row r="2200" spans="1:4" ht="15">
      <c r="A2200" s="932" t="s">
        <v>580</v>
      </c>
      <c r="B2200" t="s">
        <v>11831</v>
      </c>
      <c r="C2200" s="900" t="s">
        <v>11843</v>
      </c>
      <c r="D2200" s="905" t="s">
        <v>11845</v>
      </c>
    </row>
    <row r="2201" spans="1:4" ht="15">
      <c r="A2201" s="933" t="s">
        <v>582</v>
      </c>
      <c r="B2201" t="s">
        <v>11831</v>
      </c>
      <c r="C2201" s="900" t="s">
        <v>11843</v>
      </c>
      <c r="D2201" s="905" t="s">
        <v>11845</v>
      </c>
    </row>
    <row r="2202" spans="1:4" ht="15">
      <c r="A2202" s="932" t="s">
        <v>584</v>
      </c>
      <c r="B2202" t="s">
        <v>11831</v>
      </c>
      <c r="C2202" s="900" t="s">
        <v>11843</v>
      </c>
      <c r="D2202" s="905" t="s">
        <v>11845</v>
      </c>
    </row>
    <row r="2203" spans="1:4" ht="15">
      <c r="A2203" s="933" t="s">
        <v>586</v>
      </c>
      <c r="B2203" t="s">
        <v>11831</v>
      </c>
      <c r="C2203" s="900" t="s">
        <v>11843</v>
      </c>
      <c r="D2203" s="905" t="s">
        <v>11845</v>
      </c>
    </row>
    <row r="2204" spans="1:4" ht="15">
      <c r="A2204" s="932" t="s">
        <v>588</v>
      </c>
      <c r="B2204" t="s">
        <v>11831</v>
      </c>
      <c r="C2204" s="900" t="s">
        <v>11843</v>
      </c>
      <c r="D2204" s="905" t="s">
        <v>11845</v>
      </c>
    </row>
    <row r="2205" spans="1:4" ht="15">
      <c r="A2205" s="933" t="s">
        <v>590</v>
      </c>
      <c r="B2205" t="s">
        <v>11831</v>
      </c>
      <c r="C2205" s="900" t="s">
        <v>11843</v>
      </c>
      <c r="D2205" s="905" t="s">
        <v>11845</v>
      </c>
    </row>
    <row r="2206" spans="1:4" ht="15">
      <c r="A2206" s="932" t="s">
        <v>592</v>
      </c>
      <c r="B2206" t="s">
        <v>11831</v>
      </c>
      <c r="C2206" s="900" t="s">
        <v>11843</v>
      </c>
      <c r="D2206" s="905" t="s">
        <v>11845</v>
      </c>
    </row>
    <row r="2207" spans="1:4" ht="15">
      <c r="A2207" s="933" t="s">
        <v>594</v>
      </c>
      <c r="B2207" t="s">
        <v>11831</v>
      </c>
      <c r="C2207" s="900" t="s">
        <v>11843</v>
      </c>
      <c r="D2207" s="905" t="s">
        <v>11845</v>
      </c>
    </row>
    <row r="2208" spans="1:4" ht="15">
      <c r="A2208" s="932" t="s">
        <v>596</v>
      </c>
      <c r="B2208" t="s">
        <v>11831</v>
      </c>
      <c r="C2208" s="900" t="s">
        <v>11843</v>
      </c>
      <c r="D2208" s="905" t="s">
        <v>11845</v>
      </c>
    </row>
    <row r="2209" spans="1:4" ht="15">
      <c r="A2209" s="933" t="s">
        <v>598</v>
      </c>
      <c r="B2209" t="s">
        <v>11831</v>
      </c>
      <c r="C2209" s="900" t="s">
        <v>11843</v>
      </c>
      <c r="D2209" s="905" t="s">
        <v>11845</v>
      </c>
    </row>
    <row r="2210" spans="1:4" ht="15">
      <c r="A2210" s="932" t="s">
        <v>599</v>
      </c>
      <c r="B2210" t="s">
        <v>11831</v>
      </c>
      <c r="C2210" s="900" t="s">
        <v>11843</v>
      </c>
      <c r="D2210" s="905" t="s">
        <v>11845</v>
      </c>
    </row>
    <row r="2211" spans="1:4" ht="15">
      <c r="A2211" s="933" t="s">
        <v>601</v>
      </c>
      <c r="B2211" t="s">
        <v>11831</v>
      </c>
      <c r="C2211" s="900" t="s">
        <v>11843</v>
      </c>
      <c r="D2211" s="905" t="s">
        <v>11845</v>
      </c>
    </row>
    <row r="2212" spans="1:4" ht="15">
      <c r="A2212" s="932" t="s">
        <v>603</v>
      </c>
      <c r="B2212" t="s">
        <v>11831</v>
      </c>
      <c r="C2212" s="900" t="s">
        <v>11843</v>
      </c>
      <c r="D2212" s="905" t="s">
        <v>11845</v>
      </c>
    </row>
    <row r="2213" spans="1:4" ht="15">
      <c r="A2213" s="933" t="s">
        <v>605</v>
      </c>
      <c r="B2213" t="s">
        <v>11831</v>
      </c>
      <c r="C2213" s="900" t="s">
        <v>11843</v>
      </c>
      <c r="D2213" s="905" t="s">
        <v>11845</v>
      </c>
    </row>
    <row r="2214" spans="1:4" ht="15">
      <c r="A2214" s="932" t="s">
        <v>607</v>
      </c>
      <c r="B2214" t="s">
        <v>11831</v>
      </c>
      <c r="C2214" s="900" t="s">
        <v>11843</v>
      </c>
      <c r="D2214" s="905" t="s">
        <v>11845</v>
      </c>
    </row>
    <row r="2215" spans="1:4" ht="15">
      <c r="A2215" s="933" t="s">
        <v>609</v>
      </c>
      <c r="B2215" t="s">
        <v>11831</v>
      </c>
      <c r="C2215" s="900" t="s">
        <v>11843</v>
      </c>
      <c r="D2215" s="905" t="s">
        <v>11845</v>
      </c>
    </row>
    <row r="2216" spans="1:4" ht="15">
      <c r="A2216" s="932" t="s">
        <v>611</v>
      </c>
      <c r="B2216" t="s">
        <v>11831</v>
      </c>
      <c r="C2216" s="900" t="s">
        <v>11843</v>
      </c>
      <c r="D2216" s="905" t="s">
        <v>11845</v>
      </c>
    </row>
    <row r="2217" spans="1:4" ht="15.75" thickBot="1">
      <c r="A2217" s="934" t="s">
        <v>613</v>
      </c>
      <c r="B2217" t="s">
        <v>11831</v>
      </c>
      <c r="C2217" s="900" t="s">
        <v>11843</v>
      </c>
      <c r="D2217" s="905" t="s">
        <v>11845</v>
      </c>
    </row>
    <row r="2218" spans="1:4" ht="15.75" thickTop="1">
      <c r="A2218" s="931"/>
    </row>
    <row r="2219" spans="1:4" ht="16.5">
      <c r="A2219" s="657" t="s">
        <v>7106</v>
      </c>
      <c r="B2219" t="s">
        <v>11819</v>
      </c>
      <c r="C2219" s="900" t="s">
        <v>11837</v>
      </c>
      <c r="D2219" s="905" t="s">
        <v>11840</v>
      </c>
    </row>
    <row r="2220" spans="1:4" ht="16.5">
      <c r="A2220" s="657" t="s">
        <v>7108</v>
      </c>
      <c r="B2220" t="s">
        <v>11819</v>
      </c>
      <c r="C2220" s="900" t="s">
        <v>11837</v>
      </c>
      <c r="D2220" s="905" t="s">
        <v>11840</v>
      </c>
    </row>
    <row r="2221" spans="1:4" ht="16.5">
      <c r="A2221" s="657" t="s">
        <v>7110</v>
      </c>
      <c r="B2221" t="s">
        <v>11819</v>
      </c>
      <c r="C2221" s="900" t="s">
        <v>11837</v>
      </c>
      <c r="D2221" s="905" t="s">
        <v>11840</v>
      </c>
    </row>
    <row r="2222" spans="1:4" ht="16.5">
      <c r="A2222" s="657" t="s">
        <v>7112</v>
      </c>
      <c r="B2222" t="s">
        <v>11819</v>
      </c>
      <c r="C2222" s="900" t="s">
        <v>11837</v>
      </c>
      <c r="D2222" s="905" t="s">
        <v>11840</v>
      </c>
    </row>
    <row r="2223" spans="1:4" ht="16.5">
      <c r="A2223" s="657" t="s">
        <v>7114</v>
      </c>
      <c r="B2223" t="s">
        <v>11819</v>
      </c>
      <c r="C2223" s="900" t="s">
        <v>11837</v>
      </c>
      <c r="D2223" s="905" t="s">
        <v>11840</v>
      </c>
    </row>
    <row r="2224" spans="1:4" ht="16.5">
      <c r="A2224" s="657" t="s">
        <v>7116</v>
      </c>
      <c r="B2224" t="s">
        <v>11819</v>
      </c>
      <c r="C2224" s="900" t="s">
        <v>11837</v>
      </c>
      <c r="D2224" s="905" t="s">
        <v>11840</v>
      </c>
    </row>
    <row r="2225" spans="1:4" ht="16.5">
      <c r="A2225" s="657" t="s">
        <v>7118</v>
      </c>
      <c r="B2225" t="s">
        <v>11819</v>
      </c>
      <c r="C2225" s="900" t="s">
        <v>11837</v>
      </c>
      <c r="D2225" s="905" t="s">
        <v>11840</v>
      </c>
    </row>
    <row r="2226" spans="1:4" ht="16.5">
      <c r="A2226" s="657" t="s">
        <v>7120</v>
      </c>
      <c r="B2226" t="s">
        <v>11819</v>
      </c>
      <c r="C2226" s="900" t="s">
        <v>11837</v>
      </c>
      <c r="D2226" s="905" t="s">
        <v>11840</v>
      </c>
    </row>
    <row r="2227" spans="1:4" ht="16.5">
      <c r="A2227" s="657" t="s">
        <v>7122</v>
      </c>
      <c r="B2227" t="s">
        <v>11819</v>
      </c>
      <c r="C2227" s="900" t="s">
        <v>11837</v>
      </c>
      <c r="D2227" s="905" t="s">
        <v>11840</v>
      </c>
    </row>
    <row r="2228" spans="1:4" ht="16.5">
      <c r="A2228" s="657" t="s">
        <v>7124</v>
      </c>
      <c r="B2228" t="s">
        <v>11819</v>
      </c>
      <c r="C2228" s="900" t="s">
        <v>11837</v>
      </c>
      <c r="D2228" s="905" t="s">
        <v>11840</v>
      </c>
    </row>
    <row r="2229" spans="1:4" ht="16.5">
      <c r="A2229" s="657" t="s">
        <v>7126</v>
      </c>
      <c r="B2229" t="s">
        <v>11819</v>
      </c>
      <c r="C2229" s="900" t="s">
        <v>11837</v>
      </c>
      <c r="D2229" s="905" t="s">
        <v>11840</v>
      </c>
    </row>
    <row r="2230" spans="1:4" ht="33">
      <c r="A2230" s="657" t="s">
        <v>7128</v>
      </c>
      <c r="B2230" t="s">
        <v>11819</v>
      </c>
      <c r="C2230" s="900" t="s">
        <v>11837</v>
      </c>
      <c r="D2230" s="905" t="s">
        <v>11840</v>
      </c>
    </row>
    <row r="2231" spans="1:4" ht="16.5">
      <c r="A2231" s="657" t="s">
        <v>7130</v>
      </c>
      <c r="B2231" t="s">
        <v>11819</v>
      </c>
      <c r="C2231" s="900" t="s">
        <v>11837</v>
      </c>
      <c r="D2231" s="905" t="s">
        <v>11840</v>
      </c>
    </row>
    <row r="2232" spans="1:4" ht="33">
      <c r="A2232" s="657" t="s">
        <v>7132</v>
      </c>
      <c r="B2232" t="s">
        <v>11819</v>
      </c>
      <c r="C2232" s="900" t="s">
        <v>11837</v>
      </c>
      <c r="D2232" s="905" t="s">
        <v>11840</v>
      </c>
    </row>
    <row r="2233" spans="1:4" ht="16.5">
      <c r="A2233" s="657" t="s">
        <v>7134</v>
      </c>
      <c r="B2233" t="s">
        <v>11819</v>
      </c>
      <c r="C2233" s="900" t="s">
        <v>11837</v>
      </c>
      <c r="D2233" s="905" t="s">
        <v>11840</v>
      </c>
    </row>
    <row r="2234" spans="1:4" ht="33">
      <c r="A2234" s="657" t="s">
        <v>7137</v>
      </c>
      <c r="B2234" t="s">
        <v>11819</v>
      </c>
      <c r="C2234" s="900" t="s">
        <v>11837</v>
      </c>
      <c r="D2234" s="905" t="s">
        <v>11840</v>
      </c>
    </row>
    <row r="2235" spans="1:4" ht="33">
      <c r="A2235" s="657" t="s">
        <v>7139</v>
      </c>
      <c r="B2235" t="s">
        <v>11819</v>
      </c>
      <c r="C2235" s="900" t="s">
        <v>11837</v>
      </c>
      <c r="D2235" s="905" t="s">
        <v>11840</v>
      </c>
    </row>
    <row r="2236" spans="1:4" ht="16.5">
      <c r="A2236" s="657" t="s">
        <v>7142</v>
      </c>
      <c r="B2236" t="s">
        <v>11819</v>
      </c>
      <c r="C2236" s="900" t="s">
        <v>11837</v>
      </c>
      <c r="D2236" s="905" t="s">
        <v>11840</v>
      </c>
    </row>
    <row r="2237" spans="1:4" ht="33">
      <c r="A2237" s="657" t="s">
        <v>7144</v>
      </c>
      <c r="B2237" t="s">
        <v>11819</v>
      </c>
      <c r="C2237" s="900" t="s">
        <v>11837</v>
      </c>
      <c r="D2237" s="905" t="s">
        <v>11840</v>
      </c>
    </row>
    <row r="2238" spans="1:4" ht="16.5">
      <c r="A2238" s="657" t="s">
        <v>7146</v>
      </c>
      <c r="B2238" t="s">
        <v>11819</v>
      </c>
      <c r="C2238" s="900" t="s">
        <v>11837</v>
      </c>
      <c r="D2238" s="905" t="s">
        <v>11840</v>
      </c>
    </row>
    <row r="2239" spans="1:4" ht="33">
      <c r="A2239" s="657" t="s">
        <v>7148</v>
      </c>
      <c r="B2239" t="s">
        <v>11819</v>
      </c>
      <c r="C2239" s="900" t="s">
        <v>11837</v>
      </c>
      <c r="D2239" s="905" t="s">
        <v>11840</v>
      </c>
    </row>
    <row r="2240" spans="1:4" ht="16.5">
      <c r="A2240" s="657" t="s">
        <v>7150</v>
      </c>
      <c r="B2240" t="s">
        <v>11819</v>
      </c>
      <c r="C2240" s="900" t="s">
        <v>11837</v>
      </c>
      <c r="D2240" s="905" t="s">
        <v>11840</v>
      </c>
    </row>
    <row r="2241" spans="1:4" ht="33">
      <c r="A2241" s="657" t="s">
        <v>7152</v>
      </c>
      <c r="B2241" t="s">
        <v>11819</v>
      </c>
      <c r="C2241" s="900" t="s">
        <v>11837</v>
      </c>
      <c r="D2241" s="905" t="s">
        <v>11840</v>
      </c>
    </row>
    <row r="2242" spans="1:4" ht="33">
      <c r="A2242" s="657" t="s">
        <v>7154</v>
      </c>
      <c r="B2242" t="s">
        <v>11819</v>
      </c>
      <c r="C2242" s="900" t="s">
        <v>11837</v>
      </c>
      <c r="D2242" s="905" t="s">
        <v>11840</v>
      </c>
    </row>
    <row r="2243" spans="1:4" ht="16.5">
      <c r="A2243" s="657" t="s">
        <v>7156</v>
      </c>
      <c r="B2243" t="s">
        <v>11819</v>
      </c>
      <c r="C2243" s="900" t="s">
        <v>11837</v>
      </c>
      <c r="D2243" s="905" t="s">
        <v>11840</v>
      </c>
    </row>
    <row r="2244" spans="1:4" ht="33">
      <c r="A2244" s="657" t="s">
        <v>7158</v>
      </c>
      <c r="B2244" t="s">
        <v>11819</v>
      </c>
      <c r="C2244" s="900" t="s">
        <v>11837</v>
      </c>
      <c r="D2244" s="905" t="s">
        <v>11840</v>
      </c>
    </row>
    <row r="2245" spans="1:4" ht="16.5">
      <c r="A2245" s="657" t="s">
        <v>7160</v>
      </c>
      <c r="B2245" t="s">
        <v>11819</v>
      </c>
      <c r="C2245" s="900" t="s">
        <v>11837</v>
      </c>
      <c r="D2245" s="905" t="s">
        <v>11840</v>
      </c>
    </row>
    <row r="2246" spans="1:4" ht="16.5">
      <c r="A2246" s="657" t="s">
        <v>7162</v>
      </c>
      <c r="B2246" t="s">
        <v>11819</v>
      </c>
      <c r="C2246" s="900" t="s">
        <v>11837</v>
      </c>
      <c r="D2246" s="905" t="s">
        <v>11840</v>
      </c>
    </row>
    <row r="2247" spans="1:4" ht="16.5">
      <c r="A2247" s="657" t="s">
        <v>7164</v>
      </c>
      <c r="B2247" t="s">
        <v>11819</v>
      </c>
      <c r="C2247" s="900" t="s">
        <v>11837</v>
      </c>
      <c r="D2247" s="905" t="s">
        <v>11840</v>
      </c>
    </row>
    <row r="2248" spans="1:4" ht="16.5">
      <c r="A2248" s="657" t="s">
        <v>7166</v>
      </c>
      <c r="B2248" t="s">
        <v>11819</v>
      </c>
      <c r="C2248" s="900" t="s">
        <v>11837</v>
      </c>
      <c r="D2248" s="905" t="s">
        <v>11840</v>
      </c>
    </row>
    <row r="2249" spans="1:4" ht="16.5">
      <c r="A2249" s="657" t="s">
        <v>7168</v>
      </c>
      <c r="B2249" t="s">
        <v>11819</v>
      </c>
      <c r="C2249" s="900" t="s">
        <v>11837</v>
      </c>
      <c r="D2249" s="905" t="s">
        <v>11840</v>
      </c>
    </row>
    <row r="2250" spans="1:4" ht="16.5">
      <c r="A2250" s="657" t="s">
        <v>7170</v>
      </c>
      <c r="B2250" t="s">
        <v>11819</v>
      </c>
      <c r="C2250" s="900" t="s">
        <v>11837</v>
      </c>
      <c r="D2250" s="905" t="s">
        <v>11840</v>
      </c>
    </row>
    <row r="2251" spans="1:4" ht="16.5">
      <c r="A2251" s="657" t="s">
        <v>7172</v>
      </c>
      <c r="B2251" t="s">
        <v>11819</v>
      </c>
      <c r="C2251" s="900" t="s">
        <v>11837</v>
      </c>
      <c r="D2251" s="905" t="s">
        <v>11840</v>
      </c>
    </row>
    <row r="2252" spans="1:4" ht="16.5">
      <c r="A2252" s="657" t="s">
        <v>7174</v>
      </c>
      <c r="B2252" t="s">
        <v>11819</v>
      </c>
      <c r="C2252" s="900" t="s">
        <v>11837</v>
      </c>
      <c r="D2252" s="905" t="s">
        <v>11840</v>
      </c>
    </row>
    <row r="2253" spans="1:4" ht="33">
      <c r="A2253" s="657" t="s">
        <v>7176</v>
      </c>
      <c r="B2253" t="s">
        <v>11819</v>
      </c>
      <c r="C2253" s="900" t="s">
        <v>11837</v>
      </c>
      <c r="D2253" s="905" t="s">
        <v>11840</v>
      </c>
    </row>
    <row r="2254" spans="1:4" ht="16.5">
      <c r="A2254" s="657" t="s">
        <v>7178</v>
      </c>
      <c r="B2254" t="s">
        <v>11819</v>
      </c>
      <c r="C2254" s="900" t="s">
        <v>11837</v>
      </c>
      <c r="D2254" s="905" t="s">
        <v>11840</v>
      </c>
    </row>
    <row r="2255" spans="1:4" ht="16.5">
      <c r="A2255" s="657" t="s">
        <v>7180</v>
      </c>
      <c r="B2255" t="s">
        <v>11819</v>
      </c>
      <c r="C2255" s="900" t="s">
        <v>11837</v>
      </c>
      <c r="D2255" s="905" t="s">
        <v>11840</v>
      </c>
    </row>
    <row r="2256" spans="1:4" ht="16.5">
      <c r="A2256" s="657" t="s">
        <v>7182</v>
      </c>
      <c r="B2256" t="s">
        <v>11819</v>
      </c>
      <c r="C2256" s="900" t="s">
        <v>11837</v>
      </c>
      <c r="D2256" s="905" t="s">
        <v>11840</v>
      </c>
    </row>
    <row r="2257" spans="1:4" ht="16.5">
      <c r="A2257" s="657" t="s">
        <v>7184</v>
      </c>
      <c r="B2257" t="s">
        <v>11819</v>
      </c>
      <c r="C2257" s="900" t="s">
        <v>11837</v>
      </c>
      <c r="D2257" s="905" t="s">
        <v>11840</v>
      </c>
    </row>
    <row r="2258" spans="1:4" ht="16.5">
      <c r="A2258" s="657" t="s">
        <v>7186</v>
      </c>
      <c r="B2258" t="s">
        <v>11819</v>
      </c>
      <c r="C2258" s="900" t="s">
        <v>11837</v>
      </c>
      <c r="D2258" s="905" t="s">
        <v>11840</v>
      </c>
    </row>
    <row r="2259" spans="1:4" ht="16.5">
      <c r="A2259" s="657" t="s">
        <v>7188</v>
      </c>
      <c r="B2259" t="s">
        <v>11819</v>
      </c>
      <c r="C2259" s="900" t="s">
        <v>11837</v>
      </c>
      <c r="D2259" s="905" t="s">
        <v>11840</v>
      </c>
    </row>
    <row r="2260" spans="1:4" ht="16.5">
      <c r="A2260" s="657" t="s">
        <v>7190</v>
      </c>
      <c r="B2260" t="s">
        <v>11819</v>
      </c>
      <c r="C2260" s="900" t="s">
        <v>11837</v>
      </c>
      <c r="D2260" s="905" t="s">
        <v>11840</v>
      </c>
    </row>
    <row r="2261" spans="1:4" ht="16.5">
      <c r="A2261" s="657" t="s">
        <v>7192</v>
      </c>
      <c r="B2261" t="s">
        <v>11819</v>
      </c>
      <c r="C2261" s="900" t="s">
        <v>11837</v>
      </c>
      <c r="D2261" s="905" t="s">
        <v>11840</v>
      </c>
    </row>
    <row r="2262" spans="1:4" ht="16.5">
      <c r="A2262" s="657" t="s">
        <v>7194</v>
      </c>
      <c r="B2262" t="s">
        <v>11819</v>
      </c>
      <c r="C2262" s="900" t="s">
        <v>11837</v>
      </c>
      <c r="D2262" s="905" t="s">
        <v>11840</v>
      </c>
    </row>
    <row r="2263" spans="1:4" ht="16.5">
      <c r="A2263" s="657" t="s">
        <v>7196</v>
      </c>
      <c r="B2263" t="s">
        <v>11819</v>
      </c>
      <c r="C2263" s="900" t="s">
        <v>11837</v>
      </c>
      <c r="D2263" s="905" t="s">
        <v>11840</v>
      </c>
    </row>
    <row r="2264" spans="1:4" ht="16.5">
      <c r="A2264" s="657" t="s">
        <v>7198</v>
      </c>
      <c r="B2264" t="s">
        <v>11819</v>
      </c>
      <c r="C2264" s="900" t="s">
        <v>11837</v>
      </c>
      <c r="D2264" s="905" t="s">
        <v>11840</v>
      </c>
    </row>
    <row r="2265" spans="1:4" ht="16.5">
      <c r="A2265" s="657" t="s">
        <v>7200</v>
      </c>
      <c r="B2265" t="s">
        <v>11819</v>
      </c>
      <c r="C2265" s="900" t="s">
        <v>11837</v>
      </c>
      <c r="D2265" s="905" t="s">
        <v>11840</v>
      </c>
    </row>
    <row r="2266" spans="1:4" ht="16.5">
      <c r="A2266" s="657" t="s">
        <v>7202</v>
      </c>
      <c r="B2266" t="s">
        <v>11819</v>
      </c>
      <c r="C2266" s="900" t="s">
        <v>11837</v>
      </c>
      <c r="D2266" s="905" t="s">
        <v>11840</v>
      </c>
    </row>
    <row r="2267" spans="1:4" ht="16.5">
      <c r="A2267" s="657" t="s">
        <v>7204</v>
      </c>
      <c r="B2267" t="s">
        <v>11819</v>
      </c>
      <c r="C2267" s="900" t="s">
        <v>11837</v>
      </c>
      <c r="D2267" s="905" t="s">
        <v>11840</v>
      </c>
    </row>
    <row r="2268" spans="1:4" ht="33">
      <c r="A2268" s="657" t="s">
        <v>7206</v>
      </c>
      <c r="B2268" t="s">
        <v>11819</v>
      </c>
      <c r="C2268" s="900" t="s">
        <v>11837</v>
      </c>
      <c r="D2268" s="905" t="s">
        <v>11840</v>
      </c>
    </row>
    <row r="2269" spans="1:4" ht="16.5">
      <c r="A2269" s="657" t="s">
        <v>7208</v>
      </c>
      <c r="B2269" t="s">
        <v>11819</v>
      </c>
      <c r="C2269" s="900" t="s">
        <v>11837</v>
      </c>
      <c r="D2269" s="905" t="s">
        <v>11840</v>
      </c>
    </row>
    <row r="2270" spans="1:4" ht="16.5">
      <c r="A2270" s="657" t="s">
        <v>7210</v>
      </c>
      <c r="B2270" t="s">
        <v>11819</v>
      </c>
      <c r="C2270" s="900" t="s">
        <v>11837</v>
      </c>
      <c r="D2270" s="905" t="s">
        <v>11840</v>
      </c>
    </row>
    <row r="2271" spans="1:4" ht="16.5">
      <c r="A2271" s="657" t="s">
        <v>7212</v>
      </c>
      <c r="B2271" t="s">
        <v>11819</v>
      </c>
      <c r="C2271" s="900" t="s">
        <v>11837</v>
      </c>
      <c r="D2271" s="905" t="s">
        <v>11840</v>
      </c>
    </row>
    <row r="2272" spans="1:4" ht="16.5">
      <c r="A2272" s="657" t="s">
        <v>7214</v>
      </c>
      <c r="B2272" t="s">
        <v>11819</v>
      </c>
      <c r="C2272" s="900" t="s">
        <v>11837</v>
      </c>
      <c r="D2272" s="905" t="s">
        <v>11840</v>
      </c>
    </row>
    <row r="2273" spans="1:4" ht="16.5">
      <c r="A2273" s="657" t="s">
        <v>7216</v>
      </c>
      <c r="B2273" t="s">
        <v>11819</v>
      </c>
      <c r="C2273" s="900" t="s">
        <v>11837</v>
      </c>
      <c r="D2273" s="905" t="s">
        <v>11840</v>
      </c>
    </row>
    <row r="2274" spans="1:4" ht="16.5">
      <c r="A2274" s="657" t="s">
        <v>7218</v>
      </c>
      <c r="B2274" t="s">
        <v>11819</v>
      </c>
      <c r="C2274" s="900" t="s">
        <v>11837</v>
      </c>
      <c r="D2274" s="905" t="s">
        <v>11840</v>
      </c>
    </row>
    <row r="2275" spans="1:4" ht="33">
      <c r="A2275" s="657" t="s">
        <v>7220</v>
      </c>
      <c r="B2275" t="s">
        <v>11819</v>
      </c>
      <c r="C2275" s="900" t="s">
        <v>11837</v>
      </c>
      <c r="D2275" s="905" t="s">
        <v>11840</v>
      </c>
    </row>
    <row r="2276" spans="1:4" ht="16.5">
      <c r="A2276" s="657" t="s">
        <v>7222</v>
      </c>
      <c r="B2276" t="s">
        <v>11819</v>
      </c>
      <c r="C2276" s="900" t="s">
        <v>11837</v>
      </c>
      <c r="D2276" s="905" t="s">
        <v>11840</v>
      </c>
    </row>
    <row r="2277" spans="1:4" ht="33">
      <c r="A2277" s="657" t="s">
        <v>7224</v>
      </c>
      <c r="B2277" t="s">
        <v>11819</v>
      </c>
      <c r="C2277" s="900" t="s">
        <v>11837</v>
      </c>
      <c r="D2277" s="905" t="s">
        <v>11840</v>
      </c>
    </row>
    <row r="2278" spans="1:4" ht="16.5">
      <c r="A2278" s="657" t="s">
        <v>7226</v>
      </c>
      <c r="B2278" t="s">
        <v>11819</v>
      </c>
      <c r="C2278" s="900" t="s">
        <v>11837</v>
      </c>
      <c r="D2278" s="905" t="s">
        <v>11840</v>
      </c>
    </row>
    <row r="2279" spans="1:4" ht="33">
      <c r="A2279" s="657" t="s">
        <v>7228</v>
      </c>
      <c r="B2279" t="s">
        <v>11819</v>
      </c>
      <c r="C2279" s="900" t="s">
        <v>11837</v>
      </c>
      <c r="D2279" s="905" t="s">
        <v>11840</v>
      </c>
    </row>
    <row r="2280" spans="1:4" ht="16.5">
      <c r="A2280" s="657" t="s">
        <v>7230</v>
      </c>
      <c r="B2280" t="s">
        <v>11819</v>
      </c>
      <c r="C2280" s="900" t="s">
        <v>11837</v>
      </c>
      <c r="D2280" s="905" t="s">
        <v>11840</v>
      </c>
    </row>
    <row r="2281" spans="1:4" ht="33">
      <c r="A2281" s="657" t="s">
        <v>7232</v>
      </c>
      <c r="B2281" t="s">
        <v>11819</v>
      </c>
      <c r="C2281" s="900" t="s">
        <v>11837</v>
      </c>
      <c r="D2281" s="905" t="s">
        <v>11840</v>
      </c>
    </row>
    <row r="2282" spans="1:4" ht="16.5">
      <c r="A2282" s="657" t="s">
        <v>7234</v>
      </c>
      <c r="B2282" t="s">
        <v>11819</v>
      </c>
      <c r="C2282" s="900" t="s">
        <v>11837</v>
      </c>
      <c r="D2282" s="905" t="s">
        <v>11840</v>
      </c>
    </row>
    <row r="2283" spans="1:4" ht="33">
      <c r="A2283" s="657" t="s">
        <v>7236</v>
      </c>
      <c r="B2283" t="s">
        <v>11819</v>
      </c>
      <c r="C2283" s="900" t="s">
        <v>11837</v>
      </c>
      <c r="D2283" s="905" t="s">
        <v>11840</v>
      </c>
    </row>
    <row r="2284" spans="1:4" ht="16.5">
      <c r="A2284" s="657" t="s">
        <v>7238</v>
      </c>
      <c r="B2284" t="s">
        <v>11819</v>
      </c>
      <c r="C2284" s="900" t="s">
        <v>11837</v>
      </c>
      <c r="D2284" s="905" t="s">
        <v>11840</v>
      </c>
    </row>
    <row r="2285" spans="1:4" ht="33">
      <c r="A2285" s="657" t="s">
        <v>7240</v>
      </c>
      <c r="B2285" t="s">
        <v>11819</v>
      </c>
      <c r="C2285" s="900" t="s">
        <v>11837</v>
      </c>
      <c r="D2285" s="905" t="s">
        <v>11840</v>
      </c>
    </row>
    <row r="2286" spans="1:4" ht="16.5">
      <c r="A2286" s="657" t="s">
        <v>7242</v>
      </c>
      <c r="B2286" t="s">
        <v>11819</v>
      </c>
      <c r="C2286" s="900" t="s">
        <v>11837</v>
      </c>
      <c r="D2286" s="905" t="s">
        <v>11840</v>
      </c>
    </row>
    <row r="2287" spans="1:4" ht="16.5">
      <c r="A2287" s="657" t="s">
        <v>7244</v>
      </c>
      <c r="B2287" t="s">
        <v>11819</v>
      </c>
      <c r="C2287" s="900" t="s">
        <v>11837</v>
      </c>
      <c r="D2287" s="905" t="s">
        <v>11840</v>
      </c>
    </row>
    <row r="2288" spans="1:4" ht="16.5">
      <c r="A2288" s="657" t="s">
        <v>7246</v>
      </c>
      <c r="B2288" t="s">
        <v>11819</v>
      </c>
      <c r="C2288" s="900" t="s">
        <v>11837</v>
      </c>
      <c r="D2288" s="905" t="s">
        <v>11840</v>
      </c>
    </row>
    <row r="2289" spans="1:4" ht="16.5">
      <c r="A2289" s="657" t="s">
        <v>7248</v>
      </c>
      <c r="B2289" t="s">
        <v>11819</v>
      </c>
      <c r="C2289" s="900" t="s">
        <v>11837</v>
      </c>
      <c r="D2289" s="905" t="s">
        <v>11840</v>
      </c>
    </row>
    <row r="2290" spans="1:4" ht="16.5">
      <c r="A2290" s="657" t="s">
        <v>7250</v>
      </c>
      <c r="B2290" t="s">
        <v>11819</v>
      </c>
      <c r="C2290" s="900" t="s">
        <v>11837</v>
      </c>
      <c r="D2290" s="905" t="s">
        <v>11840</v>
      </c>
    </row>
    <row r="2291" spans="1:4" ht="33">
      <c r="A2291" s="657" t="s">
        <v>7252</v>
      </c>
      <c r="B2291" t="s">
        <v>11819</v>
      </c>
      <c r="C2291" s="900" t="s">
        <v>11837</v>
      </c>
      <c r="D2291" s="905" t="s">
        <v>11840</v>
      </c>
    </row>
    <row r="2292" spans="1:4" ht="16.5">
      <c r="A2292" s="657" t="s">
        <v>7254</v>
      </c>
      <c r="B2292" t="s">
        <v>11819</v>
      </c>
      <c r="C2292" s="900" t="s">
        <v>11837</v>
      </c>
      <c r="D2292" s="905" t="s">
        <v>11840</v>
      </c>
    </row>
    <row r="2293" spans="1:4" ht="16.5">
      <c r="A2293" s="657" t="s">
        <v>7256</v>
      </c>
      <c r="B2293" t="s">
        <v>11819</v>
      </c>
      <c r="C2293" s="900" t="s">
        <v>11837</v>
      </c>
      <c r="D2293" s="905" t="s">
        <v>11840</v>
      </c>
    </row>
    <row r="2294" spans="1:4" ht="16.5">
      <c r="A2294" s="657" t="s">
        <v>7258</v>
      </c>
      <c r="B2294" t="s">
        <v>11819</v>
      </c>
      <c r="C2294" s="900" t="s">
        <v>11837</v>
      </c>
      <c r="D2294" s="905" t="s">
        <v>11840</v>
      </c>
    </row>
    <row r="2295" spans="1:4" ht="16.5">
      <c r="A2295" s="657" t="s">
        <v>7260</v>
      </c>
      <c r="B2295" t="s">
        <v>11819</v>
      </c>
      <c r="C2295" s="900" t="s">
        <v>11837</v>
      </c>
      <c r="D2295" s="905" t="s">
        <v>11840</v>
      </c>
    </row>
    <row r="2296" spans="1:4" ht="16.5">
      <c r="A2296" s="657" t="s">
        <v>7262</v>
      </c>
      <c r="B2296" t="s">
        <v>11819</v>
      </c>
      <c r="C2296" s="900" t="s">
        <v>11837</v>
      </c>
      <c r="D2296" s="905" t="s">
        <v>11840</v>
      </c>
    </row>
    <row r="2297" spans="1:4" ht="16.5">
      <c r="A2297" s="657" t="s">
        <v>7264</v>
      </c>
      <c r="B2297" t="s">
        <v>11819</v>
      </c>
      <c r="C2297" s="900" t="s">
        <v>11837</v>
      </c>
      <c r="D2297" s="905" t="s">
        <v>11840</v>
      </c>
    </row>
    <row r="2298" spans="1:4" ht="16.5">
      <c r="A2298" s="657" t="s">
        <v>7266</v>
      </c>
      <c r="B2298" t="s">
        <v>11819</v>
      </c>
      <c r="C2298" s="900" t="s">
        <v>11837</v>
      </c>
      <c r="D2298" s="905" t="s">
        <v>11840</v>
      </c>
    </row>
    <row r="2299" spans="1:4" ht="16.5">
      <c r="A2299" s="657" t="s">
        <v>7268</v>
      </c>
      <c r="B2299" t="s">
        <v>11819</v>
      </c>
      <c r="C2299" s="900" t="s">
        <v>11837</v>
      </c>
      <c r="D2299" s="905" t="s">
        <v>11840</v>
      </c>
    </row>
    <row r="2300" spans="1:4" ht="16.5">
      <c r="A2300" s="657" t="s">
        <v>7270</v>
      </c>
      <c r="B2300" t="s">
        <v>11819</v>
      </c>
      <c r="C2300" s="900" t="s">
        <v>11837</v>
      </c>
      <c r="D2300" s="905" t="s">
        <v>11840</v>
      </c>
    </row>
    <row r="2301" spans="1:4" ht="33">
      <c r="A2301" s="657" t="s">
        <v>7272</v>
      </c>
      <c r="B2301" t="s">
        <v>11819</v>
      </c>
      <c r="C2301" s="900" t="s">
        <v>11837</v>
      </c>
      <c r="D2301" s="905" t="s">
        <v>11840</v>
      </c>
    </row>
    <row r="2302" spans="1:4" ht="16.5">
      <c r="A2302" s="657" t="s">
        <v>7274</v>
      </c>
      <c r="B2302" t="s">
        <v>11819</v>
      </c>
      <c r="C2302" s="900" t="s">
        <v>11837</v>
      </c>
      <c r="D2302" s="905" t="s">
        <v>11840</v>
      </c>
    </row>
    <row r="2303" spans="1:4" ht="33">
      <c r="A2303" s="657" t="s">
        <v>7276</v>
      </c>
      <c r="B2303" t="s">
        <v>11819</v>
      </c>
      <c r="C2303" s="900" t="s">
        <v>11837</v>
      </c>
      <c r="D2303" s="905" t="s">
        <v>11840</v>
      </c>
    </row>
    <row r="2304" spans="1:4" ht="16.5">
      <c r="A2304" s="657" t="s">
        <v>7278</v>
      </c>
      <c r="B2304" t="s">
        <v>11819</v>
      </c>
      <c r="C2304" s="900" t="s">
        <v>11837</v>
      </c>
      <c r="D2304" s="905" t="s">
        <v>11840</v>
      </c>
    </row>
    <row r="2305" spans="1:4" ht="16.5">
      <c r="A2305" s="657" t="s">
        <v>7280</v>
      </c>
      <c r="B2305" t="s">
        <v>11819</v>
      </c>
      <c r="C2305" s="900" t="s">
        <v>11837</v>
      </c>
      <c r="D2305" s="905" t="s">
        <v>11840</v>
      </c>
    </row>
    <row r="2306" spans="1:4" ht="16.5">
      <c r="A2306" s="657" t="s">
        <v>7282</v>
      </c>
      <c r="B2306" t="s">
        <v>11819</v>
      </c>
      <c r="C2306" s="900" t="s">
        <v>11837</v>
      </c>
      <c r="D2306" s="905" t="s">
        <v>11840</v>
      </c>
    </row>
    <row r="2307" spans="1:4" ht="16.5">
      <c r="A2307" s="657" t="s">
        <v>7284</v>
      </c>
      <c r="B2307" t="s">
        <v>11819</v>
      </c>
      <c r="C2307" s="900" t="s">
        <v>11837</v>
      </c>
      <c r="D2307" s="905" t="s">
        <v>11840</v>
      </c>
    </row>
    <row r="2308" spans="1:4" ht="16.5">
      <c r="A2308" s="657" t="s">
        <v>7286</v>
      </c>
      <c r="B2308" t="s">
        <v>11819</v>
      </c>
      <c r="C2308" s="900" t="s">
        <v>11837</v>
      </c>
      <c r="D2308" s="905" t="s">
        <v>11840</v>
      </c>
    </row>
    <row r="2309" spans="1:4" ht="16.5">
      <c r="A2309" s="657" t="s">
        <v>7288</v>
      </c>
      <c r="B2309" t="s">
        <v>11819</v>
      </c>
      <c r="C2309" s="900" t="s">
        <v>11837</v>
      </c>
      <c r="D2309" s="905" t="s">
        <v>11840</v>
      </c>
    </row>
    <row r="2310" spans="1:4" ht="16.5">
      <c r="A2310" s="657" t="s">
        <v>7290</v>
      </c>
      <c r="B2310" t="s">
        <v>11819</v>
      </c>
      <c r="C2310" s="900" t="s">
        <v>11837</v>
      </c>
      <c r="D2310" s="905" t="s">
        <v>11840</v>
      </c>
    </row>
    <row r="2311" spans="1:4" ht="16.5">
      <c r="A2311" s="657" t="s">
        <v>7292</v>
      </c>
      <c r="B2311" t="s">
        <v>11819</v>
      </c>
      <c r="C2311" s="900" t="s">
        <v>11837</v>
      </c>
      <c r="D2311" s="905" t="s">
        <v>11840</v>
      </c>
    </row>
    <row r="2312" spans="1:4" ht="16.5">
      <c r="A2312" s="657" t="s">
        <v>7294</v>
      </c>
      <c r="B2312" t="s">
        <v>11819</v>
      </c>
      <c r="C2312" s="900" t="s">
        <v>11837</v>
      </c>
      <c r="D2312" s="905" t="s">
        <v>11840</v>
      </c>
    </row>
    <row r="2313" spans="1:4" ht="16.5">
      <c r="A2313" s="657" t="s">
        <v>7296</v>
      </c>
      <c r="B2313" t="s">
        <v>11819</v>
      </c>
      <c r="C2313" s="900" t="s">
        <v>11837</v>
      </c>
      <c r="D2313" s="905" t="s">
        <v>11840</v>
      </c>
    </row>
    <row r="2314" spans="1:4" ht="16.5">
      <c r="A2314" s="657" t="s">
        <v>7298</v>
      </c>
      <c r="B2314" t="s">
        <v>11819</v>
      </c>
      <c r="C2314" s="900" t="s">
        <v>11837</v>
      </c>
      <c r="D2314" s="905" t="s">
        <v>11840</v>
      </c>
    </row>
    <row r="2315" spans="1:4" ht="16.5">
      <c r="A2315" s="657" t="s">
        <v>7300</v>
      </c>
      <c r="B2315" t="s">
        <v>11819</v>
      </c>
      <c r="C2315" s="900" t="s">
        <v>11837</v>
      </c>
      <c r="D2315" s="905" t="s">
        <v>11840</v>
      </c>
    </row>
    <row r="2316" spans="1:4" ht="16.5">
      <c r="A2316" s="657" t="s">
        <v>7302</v>
      </c>
      <c r="B2316" t="s">
        <v>11819</v>
      </c>
      <c r="C2316" s="900" t="s">
        <v>11837</v>
      </c>
      <c r="D2316" s="905" t="s">
        <v>11840</v>
      </c>
    </row>
    <row r="2317" spans="1:4" ht="16.5">
      <c r="A2317" s="657" t="s">
        <v>7304</v>
      </c>
      <c r="B2317" t="s">
        <v>11819</v>
      </c>
      <c r="C2317" s="900" t="s">
        <v>11837</v>
      </c>
      <c r="D2317" s="905" t="s">
        <v>11840</v>
      </c>
    </row>
    <row r="2318" spans="1:4" ht="16.5">
      <c r="A2318" s="657" t="s">
        <v>7306</v>
      </c>
      <c r="B2318" t="s">
        <v>11819</v>
      </c>
      <c r="C2318" s="900" t="s">
        <v>11837</v>
      </c>
      <c r="D2318" s="905" t="s">
        <v>11840</v>
      </c>
    </row>
    <row r="2319" spans="1:4" ht="16.5">
      <c r="A2319" s="657" t="s">
        <v>7308</v>
      </c>
      <c r="B2319" t="s">
        <v>11819</v>
      </c>
      <c r="C2319" s="900" t="s">
        <v>11837</v>
      </c>
      <c r="D2319" s="905" t="s">
        <v>11840</v>
      </c>
    </row>
    <row r="2320" spans="1:4" ht="16.5">
      <c r="A2320" s="657" t="s">
        <v>7310</v>
      </c>
      <c r="B2320" t="s">
        <v>11819</v>
      </c>
      <c r="C2320" s="900" t="s">
        <v>11837</v>
      </c>
      <c r="D2320" s="905" t="s">
        <v>11840</v>
      </c>
    </row>
    <row r="2321" spans="1:4" ht="16.5">
      <c r="A2321" s="657" t="s">
        <v>7312</v>
      </c>
      <c r="B2321" t="s">
        <v>11819</v>
      </c>
      <c r="C2321" s="900" t="s">
        <v>11837</v>
      </c>
      <c r="D2321" s="905" t="s">
        <v>11840</v>
      </c>
    </row>
    <row r="2322" spans="1:4" ht="16.5">
      <c r="A2322" s="657" t="s">
        <v>7314</v>
      </c>
      <c r="B2322" t="s">
        <v>11819</v>
      </c>
      <c r="C2322" s="900" t="s">
        <v>11837</v>
      </c>
      <c r="D2322" s="905" t="s">
        <v>11840</v>
      </c>
    </row>
    <row r="2323" spans="1:4" ht="33">
      <c r="A2323" s="657" t="s">
        <v>7316</v>
      </c>
      <c r="B2323" t="s">
        <v>11819</v>
      </c>
      <c r="C2323" s="900" t="s">
        <v>11837</v>
      </c>
      <c r="D2323" s="905" t="s">
        <v>11840</v>
      </c>
    </row>
    <row r="2324" spans="1:4" ht="16.5">
      <c r="A2324" s="657" t="s">
        <v>7318</v>
      </c>
      <c r="B2324" t="s">
        <v>11819</v>
      </c>
      <c r="C2324" s="900" t="s">
        <v>11837</v>
      </c>
      <c r="D2324" s="905" t="s">
        <v>11840</v>
      </c>
    </row>
    <row r="2325" spans="1:4" ht="33">
      <c r="A2325" s="657" t="s">
        <v>7320</v>
      </c>
      <c r="B2325" t="s">
        <v>11819</v>
      </c>
      <c r="C2325" s="900" t="s">
        <v>11837</v>
      </c>
      <c r="D2325" s="905" t="s">
        <v>11840</v>
      </c>
    </row>
    <row r="2326" spans="1:4" ht="16.5">
      <c r="A2326" s="657" t="s">
        <v>7322</v>
      </c>
      <c r="B2326" t="s">
        <v>11819</v>
      </c>
      <c r="C2326" s="900" t="s">
        <v>11837</v>
      </c>
      <c r="D2326" s="905" t="s">
        <v>11840</v>
      </c>
    </row>
    <row r="2327" spans="1:4" ht="33">
      <c r="A2327" s="657" t="s">
        <v>7324</v>
      </c>
      <c r="B2327" t="s">
        <v>11819</v>
      </c>
      <c r="C2327" s="900" t="s">
        <v>11837</v>
      </c>
      <c r="D2327" s="905" t="s">
        <v>11840</v>
      </c>
    </row>
    <row r="2328" spans="1:4" ht="16.5">
      <c r="A2328" s="657" t="s">
        <v>7326</v>
      </c>
      <c r="B2328" t="s">
        <v>11819</v>
      </c>
      <c r="C2328" s="900" t="s">
        <v>11837</v>
      </c>
      <c r="D2328" s="905" t="s">
        <v>11840</v>
      </c>
    </row>
    <row r="2329" spans="1:4" ht="16.5">
      <c r="A2329" s="657" t="s">
        <v>7328</v>
      </c>
      <c r="B2329" t="s">
        <v>11819</v>
      </c>
      <c r="C2329" s="900" t="s">
        <v>11837</v>
      </c>
      <c r="D2329" s="905" t="s">
        <v>11840</v>
      </c>
    </row>
    <row r="2330" spans="1:4" ht="16.5">
      <c r="A2330" s="657" t="s">
        <v>7330</v>
      </c>
      <c r="B2330" t="s">
        <v>11819</v>
      </c>
      <c r="C2330" s="900" t="s">
        <v>11837</v>
      </c>
      <c r="D2330" s="905" t="s">
        <v>11840</v>
      </c>
    </row>
    <row r="2331" spans="1:4" ht="16.5">
      <c r="A2331" s="657" t="s">
        <v>7332</v>
      </c>
      <c r="B2331" t="s">
        <v>11819</v>
      </c>
      <c r="C2331" s="900" t="s">
        <v>11837</v>
      </c>
      <c r="D2331" s="905" t="s">
        <v>11840</v>
      </c>
    </row>
    <row r="2332" spans="1:4" ht="16.5">
      <c r="A2332" s="657" t="s">
        <v>7334</v>
      </c>
      <c r="B2332" t="s">
        <v>11819</v>
      </c>
      <c r="C2332" s="900" t="s">
        <v>11837</v>
      </c>
      <c r="D2332" s="905" t="s">
        <v>11840</v>
      </c>
    </row>
    <row r="2333" spans="1:4" ht="16.5">
      <c r="A2333" s="657" t="s">
        <v>7336</v>
      </c>
      <c r="B2333" t="s">
        <v>11819</v>
      </c>
      <c r="C2333" s="900" t="s">
        <v>11837</v>
      </c>
      <c r="D2333" s="905" t="s">
        <v>11840</v>
      </c>
    </row>
    <row r="2334" spans="1:4" ht="16.5">
      <c r="A2334" s="657" t="s">
        <v>7338</v>
      </c>
      <c r="B2334" t="s">
        <v>11819</v>
      </c>
      <c r="C2334" s="900" t="s">
        <v>11837</v>
      </c>
      <c r="D2334" s="905" t="s">
        <v>11840</v>
      </c>
    </row>
    <row r="2335" spans="1:4" ht="16.5">
      <c r="A2335" s="657" t="s">
        <v>7340</v>
      </c>
      <c r="B2335" t="s">
        <v>11819</v>
      </c>
      <c r="C2335" s="900" t="s">
        <v>11837</v>
      </c>
      <c r="D2335" s="905" t="s">
        <v>11840</v>
      </c>
    </row>
    <row r="2336" spans="1:4" ht="16.5">
      <c r="A2336" s="657" t="s">
        <v>7342</v>
      </c>
      <c r="B2336" t="s">
        <v>11819</v>
      </c>
      <c r="C2336" s="900" t="s">
        <v>11837</v>
      </c>
      <c r="D2336" s="905" t="s">
        <v>11840</v>
      </c>
    </row>
    <row r="2337" spans="1:4" ht="16.5">
      <c r="A2337" s="657" t="s">
        <v>7344</v>
      </c>
      <c r="B2337" t="s">
        <v>11819</v>
      </c>
      <c r="C2337" s="900" t="s">
        <v>11837</v>
      </c>
      <c r="D2337" s="905" t="s">
        <v>11840</v>
      </c>
    </row>
    <row r="2338" spans="1:4" ht="16.5">
      <c r="A2338" s="657" t="s">
        <v>7346</v>
      </c>
      <c r="B2338" t="s">
        <v>11819</v>
      </c>
      <c r="C2338" s="900" t="s">
        <v>11837</v>
      </c>
      <c r="D2338" s="905" t="s">
        <v>11840</v>
      </c>
    </row>
    <row r="2339" spans="1:4" ht="16.5">
      <c r="A2339" s="657" t="s">
        <v>7348</v>
      </c>
      <c r="B2339" t="s">
        <v>11819</v>
      </c>
      <c r="C2339" s="900" t="s">
        <v>11837</v>
      </c>
      <c r="D2339" s="905" t="s">
        <v>11840</v>
      </c>
    </row>
    <row r="2340" spans="1:4" ht="16.5">
      <c r="A2340" s="657" t="s">
        <v>7350</v>
      </c>
      <c r="B2340" t="s">
        <v>11819</v>
      </c>
      <c r="C2340" s="900" t="s">
        <v>11837</v>
      </c>
      <c r="D2340" s="905" t="s">
        <v>11840</v>
      </c>
    </row>
    <row r="2341" spans="1:4" ht="16.5">
      <c r="A2341" s="657" t="s">
        <v>7352</v>
      </c>
      <c r="B2341" t="s">
        <v>11819</v>
      </c>
      <c r="C2341" s="900" t="s">
        <v>11837</v>
      </c>
      <c r="D2341" s="905" t="s">
        <v>11840</v>
      </c>
    </row>
    <row r="2342" spans="1:4" ht="16.5">
      <c r="A2342" s="657" t="s">
        <v>7354</v>
      </c>
      <c r="B2342" t="s">
        <v>11819</v>
      </c>
      <c r="C2342" s="900" t="s">
        <v>11837</v>
      </c>
      <c r="D2342" s="905" t="s">
        <v>11840</v>
      </c>
    </row>
    <row r="2343" spans="1:4" ht="16.5">
      <c r="A2343" s="657" t="s">
        <v>7356</v>
      </c>
      <c r="B2343" t="s">
        <v>11819</v>
      </c>
      <c r="C2343" s="900" t="s">
        <v>11837</v>
      </c>
      <c r="D2343" s="905" t="s">
        <v>11840</v>
      </c>
    </row>
    <row r="2344" spans="1:4" ht="16.5">
      <c r="A2344" s="657" t="s">
        <v>7358</v>
      </c>
      <c r="B2344" t="s">
        <v>11819</v>
      </c>
      <c r="C2344" s="900" t="s">
        <v>11837</v>
      </c>
      <c r="D2344" s="905" t="s">
        <v>11840</v>
      </c>
    </row>
    <row r="2345" spans="1:4" ht="16.5">
      <c r="A2345" s="657" t="s">
        <v>7360</v>
      </c>
      <c r="B2345" t="s">
        <v>11819</v>
      </c>
      <c r="C2345" s="900" t="s">
        <v>11837</v>
      </c>
      <c r="D2345" s="905" t="s">
        <v>11840</v>
      </c>
    </row>
    <row r="2346" spans="1:4" ht="16.5">
      <c r="A2346" s="657" t="s">
        <v>7362</v>
      </c>
      <c r="B2346" t="s">
        <v>11819</v>
      </c>
      <c r="C2346" s="900" t="s">
        <v>11837</v>
      </c>
      <c r="D2346" s="905" t="s">
        <v>11840</v>
      </c>
    </row>
    <row r="2347" spans="1:4" ht="16.5">
      <c r="A2347" s="657" t="s">
        <v>7364</v>
      </c>
      <c r="B2347" t="s">
        <v>11819</v>
      </c>
      <c r="C2347" s="900" t="s">
        <v>11837</v>
      </c>
      <c r="D2347" s="905" t="s">
        <v>11840</v>
      </c>
    </row>
    <row r="2348" spans="1:4" ht="16.5">
      <c r="A2348" s="657" t="s">
        <v>7366</v>
      </c>
      <c r="B2348" t="s">
        <v>11819</v>
      </c>
      <c r="C2348" s="900" t="s">
        <v>11837</v>
      </c>
      <c r="D2348" s="905" t="s">
        <v>11840</v>
      </c>
    </row>
    <row r="2349" spans="1:4" ht="16.5">
      <c r="A2349" s="657" t="s">
        <v>7368</v>
      </c>
      <c r="B2349" t="s">
        <v>11819</v>
      </c>
      <c r="C2349" s="900" t="s">
        <v>11837</v>
      </c>
      <c r="D2349" s="905" t="s">
        <v>11840</v>
      </c>
    </row>
    <row r="2350" spans="1:4" ht="16.5">
      <c r="A2350" s="657" t="s">
        <v>7370</v>
      </c>
      <c r="B2350" t="s">
        <v>11819</v>
      </c>
      <c r="C2350" s="900" t="s">
        <v>11837</v>
      </c>
      <c r="D2350" s="905" t="s">
        <v>11840</v>
      </c>
    </row>
    <row r="2351" spans="1:4" ht="16.5">
      <c r="A2351" s="657" t="s">
        <v>7372</v>
      </c>
      <c r="B2351" t="s">
        <v>11819</v>
      </c>
      <c r="C2351" s="900" t="s">
        <v>11837</v>
      </c>
      <c r="D2351" s="905" t="s">
        <v>11840</v>
      </c>
    </row>
    <row r="2352" spans="1:4" ht="16.5">
      <c r="A2352" s="657" t="s">
        <v>7374</v>
      </c>
      <c r="B2352" t="s">
        <v>11819</v>
      </c>
      <c r="C2352" s="900" t="s">
        <v>11837</v>
      </c>
      <c r="D2352" s="905" t="s">
        <v>11840</v>
      </c>
    </row>
    <row r="2353" spans="1:4" ht="16.5">
      <c r="A2353" s="657" t="s">
        <v>7376</v>
      </c>
      <c r="B2353" t="s">
        <v>11819</v>
      </c>
      <c r="C2353" s="900" t="s">
        <v>11837</v>
      </c>
      <c r="D2353" s="905" t="s">
        <v>11840</v>
      </c>
    </row>
    <row r="2354" spans="1:4" ht="16.5">
      <c r="A2354" s="657" t="s">
        <v>7378</v>
      </c>
      <c r="B2354" t="s">
        <v>11819</v>
      </c>
      <c r="C2354" s="900" t="s">
        <v>11837</v>
      </c>
      <c r="D2354" s="905" t="s">
        <v>11840</v>
      </c>
    </row>
    <row r="2355" spans="1:4" ht="33">
      <c r="A2355" s="657" t="s">
        <v>7380</v>
      </c>
      <c r="B2355" t="s">
        <v>11819</v>
      </c>
      <c r="C2355" s="900" t="s">
        <v>11837</v>
      </c>
      <c r="D2355" s="905" t="s">
        <v>11840</v>
      </c>
    </row>
    <row r="2356" spans="1:4" ht="33">
      <c r="A2356" s="657" t="s">
        <v>7382</v>
      </c>
      <c r="B2356" t="s">
        <v>11819</v>
      </c>
      <c r="C2356" s="900" t="s">
        <v>11837</v>
      </c>
      <c r="D2356" s="905" t="s">
        <v>11840</v>
      </c>
    </row>
    <row r="2357" spans="1:4" ht="16.5">
      <c r="A2357" s="657" t="s">
        <v>7384</v>
      </c>
      <c r="B2357" t="s">
        <v>11819</v>
      </c>
      <c r="C2357" s="900" t="s">
        <v>11837</v>
      </c>
      <c r="D2357" s="905" t="s">
        <v>11840</v>
      </c>
    </row>
    <row r="2358" spans="1:4" ht="33">
      <c r="A2358" s="657" t="s">
        <v>7386</v>
      </c>
      <c r="B2358" t="s">
        <v>11819</v>
      </c>
      <c r="C2358" s="900" t="s">
        <v>11837</v>
      </c>
      <c r="D2358" s="905" t="s">
        <v>11840</v>
      </c>
    </row>
    <row r="2359" spans="1:4" ht="16.5">
      <c r="A2359" s="657" t="s">
        <v>7388</v>
      </c>
      <c r="B2359" t="s">
        <v>11819</v>
      </c>
      <c r="C2359" s="900" t="s">
        <v>11837</v>
      </c>
      <c r="D2359" s="905" t="s">
        <v>11840</v>
      </c>
    </row>
    <row r="2360" spans="1:4" ht="33">
      <c r="A2360" s="657" t="s">
        <v>7390</v>
      </c>
      <c r="B2360" t="s">
        <v>11819</v>
      </c>
      <c r="C2360" s="900" t="s">
        <v>11837</v>
      </c>
      <c r="D2360" s="905" t="s">
        <v>11840</v>
      </c>
    </row>
    <row r="2361" spans="1:4" ht="16.5">
      <c r="A2361" s="657" t="s">
        <v>7392</v>
      </c>
      <c r="B2361" t="s">
        <v>11819</v>
      </c>
      <c r="C2361" s="900" t="s">
        <v>11837</v>
      </c>
      <c r="D2361" s="905" t="s">
        <v>11840</v>
      </c>
    </row>
    <row r="2362" spans="1:4" ht="16.5">
      <c r="A2362" s="657" t="s">
        <v>7394</v>
      </c>
      <c r="B2362" t="s">
        <v>11819</v>
      </c>
      <c r="C2362" s="900" t="s">
        <v>11837</v>
      </c>
      <c r="D2362" s="905" t="s">
        <v>11840</v>
      </c>
    </row>
    <row r="2363" spans="1:4" ht="16.5">
      <c r="A2363" s="657" t="s">
        <v>7396</v>
      </c>
      <c r="B2363" t="s">
        <v>11819</v>
      </c>
      <c r="C2363" s="900" t="s">
        <v>11837</v>
      </c>
      <c r="D2363" s="905" t="s">
        <v>11840</v>
      </c>
    </row>
    <row r="2364" spans="1:4" ht="33">
      <c r="A2364" s="657" t="s">
        <v>7398</v>
      </c>
      <c r="B2364" t="s">
        <v>11819</v>
      </c>
      <c r="C2364" s="900" t="s">
        <v>11837</v>
      </c>
      <c r="D2364" s="905" t="s">
        <v>11840</v>
      </c>
    </row>
    <row r="2365" spans="1:4" ht="16.5">
      <c r="A2365" s="657" t="s">
        <v>7400</v>
      </c>
      <c r="B2365" t="s">
        <v>11819</v>
      </c>
      <c r="C2365" s="900" t="s">
        <v>11837</v>
      </c>
      <c r="D2365" s="905" t="s">
        <v>11840</v>
      </c>
    </row>
    <row r="2366" spans="1:4" ht="16.5">
      <c r="A2366" s="657" t="s">
        <v>7402</v>
      </c>
      <c r="B2366" t="s">
        <v>11819</v>
      </c>
      <c r="C2366" s="900" t="s">
        <v>11837</v>
      </c>
      <c r="D2366" s="905" t="s">
        <v>11840</v>
      </c>
    </row>
    <row r="2367" spans="1:4" ht="33">
      <c r="A2367" s="657" t="s">
        <v>7404</v>
      </c>
      <c r="B2367" t="s">
        <v>11819</v>
      </c>
      <c r="C2367" s="900" t="s">
        <v>11837</v>
      </c>
      <c r="D2367" s="905" t="s">
        <v>11840</v>
      </c>
    </row>
    <row r="2368" spans="1:4" ht="16.5">
      <c r="A2368" s="657" t="s">
        <v>7406</v>
      </c>
      <c r="B2368" t="s">
        <v>11819</v>
      </c>
      <c r="C2368" s="900" t="s">
        <v>11837</v>
      </c>
      <c r="D2368" s="905" t="s">
        <v>11840</v>
      </c>
    </row>
    <row r="2369" spans="1:4" ht="16.5">
      <c r="A2369" s="657" t="s">
        <v>7408</v>
      </c>
      <c r="B2369" t="s">
        <v>11819</v>
      </c>
      <c r="C2369" s="900" t="s">
        <v>11837</v>
      </c>
      <c r="D2369" s="905" t="s">
        <v>11840</v>
      </c>
    </row>
    <row r="2370" spans="1:4" ht="16.5">
      <c r="A2370" s="657" t="s">
        <v>7410</v>
      </c>
      <c r="B2370" t="s">
        <v>11819</v>
      </c>
      <c r="C2370" s="900" t="s">
        <v>11837</v>
      </c>
      <c r="D2370" s="905" t="s">
        <v>11840</v>
      </c>
    </row>
    <row r="2371" spans="1:4" ht="16.5">
      <c r="A2371" s="657" t="s">
        <v>7412</v>
      </c>
      <c r="B2371" t="s">
        <v>11819</v>
      </c>
      <c r="C2371" s="900" t="s">
        <v>11837</v>
      </c>
      <c r="D2371" s="905" t="s">
        <v>11840</v>
      </c>
    </row>
    <row r="2372" spans="1:4" ht="33">
      <c r="A2372" s="657" t="s">
        <v>7414</v>
      </c>
      <c r="B2372" t="s">
        <v>11819</v>
      </c>
      <c r="C2372" s="900" t="s">
        <v>11837</v>
      </c>
      <c r="D2372" s="905" t="s">
        <v>11840</v>
      </c>
    </row>
    <row r="2373" spans="1:4" ht="16.5">
      <c r="A2373" s="657" t="s">
        <v>7416</v>
      </c>
      <c r="B2373" t="s">
        <v>11819</v>
      </c>
      <c r="C2373" s="900" t="s">
        <v>11837</v>
      </c>
      <c r="D2373" s="905" t="s">
        <v>11840</v>
      </c>
    </row>
    <row r="2374" spans="1:4" ht="16.5">
      <c r="A2374" s="657" t="s">
        <v>7418</v>
      </c>
      <c r="B2374" t="s">
        <v>11819</v>
      </c>
      <c r="C2374" s="900" t="s">
        <v>11837</v>
      </c>
      <c r="D2374" s="905" t="s">
        <v>11840</v>
      </c>
    </row>
    <row r="2375" spans="1:4" ht="16.5">
      <c r="A2375" s="657" t="s">
        <v>7420</v>
      </c>
      <c r="B2375" t="s">
        <v>11819</v>
      </c>
      <c r="C2375" s="900" t="s">
        <v>11837</v>
      </c>
      <c r="D2375" s="905" t="s">
        <v>11840</v>
      </c>
    </row>
    <row r="2376" spans="1:4" ht="33">
      <c r="A2376" s="657" t="s">
        <v>7422</v>
      </c>
      <c r="B2376" t="s">
        <v>11819</v>
      </c>
      <c r="C2376" s="900" t="s">
        <v>11837</v>
      </c>
      <c r="D2376" s="905" t="s">
        <v>11840</v>
      </c>
    </row>
    <row r="2377" spans="1:4" ht="33">
      <c r="A2377" s="657" t="s">
        <v>7424</v>
      </c>
      <c r="B2377" t="s">
        <v>11819</v>
      </c>
      <c r="C2377" s="900" t="s">
        <v>11837</v>
      </c>
      <c r="D2377" s="905" t="s">
        <v>11840</v>
      </c>
    </row>
    <row r="2378" spans="1:4" ht="16.5">
      <c r="A2378" s="657" t="s">
        <v>7426</v>
      </c>
      <c r="B2378" t="s">
        <v>11819</v>
      </c>
      <c r="C2378" s="900" t="s">
        <v>11837</v>
      </c>
      <c r="D2378" s="905" t="s">
        <v>11840</v>
      </c>
    </row>
    <row r="2379" spans="1:4" ht="16.5">
      <c r="A2379" s="657" t="s">
        <v>7428</v>
      </c>
      <c r="B2379" t="s">
        <v>11819</v>
      </c>
      <c r="C2379" s="900" t="s">
        <v>11837</v>
      </c>
      <c r="D2379" s="905" t="s">
        <v>11840</v>
      </c>
    </row>
    <row r="2380" spans="1:4" ht="16.5">
      <c r="A2380" s="657" t="s">
        <v>7430</v>
      </c>
      <c r="B2380" t="s">
        <v>11819</v>
      </c>
      <c r="C2380" s="900" t="s">
        <v>11837</v>
      </c>
      <c r="D2380" s="905" t="s">
        <v>11840</v>
      </c>
    </row>
    <row r="2381" spans="1:4" ht="16.5">
      <c r="A2381" s="657" t="s">
        <v>7432</v>
      </c>
      <c r="B2381" t="s">
        <v>11819</v>
      </c>
      <c r="C2381" s="900" t="s">
        <v>11837</v>
      </c>
      <c r="D2381" s="905" t="s">
        <v>11840</v>
      </c>
    </row>
    <row r="2382" spans="1:4" ht="33">
      <c r="A2382" s="657" t="s">
        <v>7434</v>
      </c>
      <c r="B2382" t="s">
        <v>11819</v>
      </c>
      <c r="C2382" s="900" t="s">
        <v>11837</v>
      </c>
      <c r="D2382" s="905" t="s">
        <v>11840</v>
      </c>
    </row>
    <row r="2383" spans="1:4" ht="16.5">
      <c r="A2383" s="657" t="s">
        <v>7436</v>
      </c>
      <c r="B2383" t="s">
        <v>11819</v>
      </c>
      <c r="C2383" s="900" t="s">
        <v>11837</v>
      </c>
      <c r="D2383" s="905" t="s">
        <v>11840</v>
      </c>
    </row>
    <row r="2384" spans="1:4" ht="16.5">
      <c r="A2384" s="657" t="s">
        <v>7438</v>
      </c>
      <c r="B2384" t="s">
        <v>11819</v>
      </c>
      <c r="C2384" s="900" t="s">
        <v>11837</v>
      </c>
      <c r="D2384" s="905" t="s">
        <v>11840</v>
      </c>
    </row>
    <row r="2385" spans="1:4" ht="16.5">
      <c r="A2385" s="657" t="s">
        <v>7440</v>
      </c>
      <c r="B2385" t="s">
        <v>11819</v>
      </c>
      <c r="C2385" s="900" t="s">
        <v>11837</v>
      </c>
      <c r="D2385" s="905" t="s">
        <v>11840</v>
      </c>
    </row>
    <row r="2386" spans="1:4" ht="16.5">
      <c r="A2386" s="657" t="s">
        <v>7442</v>
      </c>
      <c r="B2386" t="s">
        <v>11819</v>
      </c>
      <c r="C2386" s="900" t="s">
        <v>11837</v>
      </c>
      <c r="D2386" s="905" t="s">
        <v>11840</v>
      </c>
    </row>
    <row r="2387" spans="1:4" ht="16.5">
      <c r="A2387" s="657" t="s">
        <v>7444</v>
      </c>
      <c r="B2387" t="s">
        <v>11819</v>
      </c>
      <c r="C2387" s="900" t="s">
        <v>11837</v>
      </c>
      <c r="D2387" s="905" t="s">
        <v>11840</v>
      </c>
    </row>
    <row r="2388" spans="1:4" ht="16.5">
      <c r="A2388" s="657" t="s">
        <v>7446</v>
      </c>
      <c r="B2388" t="s">
        <v>11819</v>
      </c>
      <c r="C2388" s="900" t="s">
        <v>11837</v>
      </c>
      <c r="D2388" s="905" t="s">
        <v>11840</v>
      </c>
    </row>
    <row r="2389" spans="1:4" ht="16.5">
      <c r="A2389" s="657" t="s">
        <v>7448</v>
      </c>
      <c r="B2389" t="s">
        <v>11819</v>
      </c>
      <c r="C2389" s="900" t="s">
        <v>11837</v>
      </c>
      <c r="D2389" s="905" t="s">
        <v>11840</v>
      </c>
    </row>
    <row r="2390" spans="1:4" ht="16.5">
      <c r="A2390" s="657" t="s">
        <v>7450</v>
      </c>
      <c r="B2390" t="s">
        <v>11819</v>
      </c>
      <c r="C2390" s="900" t="s">
        <v>11837</v>
      </c>
      <c r="D2390" s="905" t="s">
        <v>11840</v>
      </c>
    </row>
    <row r="2391" spans="1:4" ht="16.5">
      <c r="A2391" s="657" t="s">
        <v>7452</v>
      </c>
      <c r="B2391" t="s">
        <v>11819</v>
      </c>
      <c r="C2391" s="900" t="s">
        <v>11837</v>
      </c>
      <c r="D2391" s="905" t="s">
        <v>11840</v>
      </c>
    </row>
    <row r="2392" spans="1:4" ht="16.5">
      <c r="A2392" s="657" t="s">
        <v>7454</v>
      </c>
      <c r="B2392" t="s">
        <v>11819</v>
      </c>
      <c r="C2392" s="900" t="s">
        <v>11837</v>
      </c>
      <c r="D2392" s="905" t="s">
        <v>11840</v>
      </c>
    </row>
    <row r="2393" spans="1:4" ht="16.5">
      <c r="A2393" s="657" t="s">
        <v>7456</v>
      </c>
      <c r="B2393" t="s">
        <v>11819</v>
      </c>
      <c r="C2393" s="900" t="s">
        <v>11837</v>
      </c>
      <c r="D2393" s="905" t="s">
        <v>11840</v>
      </c>
    </row>
    <row r="2394" spans="1:4" ht="33">
      <c r="A2394" s="657" t="s">
        <v>7458</v>
      </c>
      <c r="B2394" t="s">
        <v>11819</v>
      </c>
      <c r="C2394" s="900" t="s">
        <v>11837</v>
      </c>
      <c r="D2394" s="905" t="s">
        <v>11840</v>
      </c>
    </row>
    <row r="2395" spans="1:4" ht="16.5">
      <c r="A2395" s="657" t="s">
        <v>7460</v>
      </c>
      <c r="B2395" t="s">
        <v>11819</v>
      </c>
      <c r="C2395" s="900" t="s">
        <v>11837</v>
      </c>
      <c r="D2395" s="905" t="s">
        <v>11840</v>
      </c>
    </row>
    <row r="2396" spans="1:4" ht="16.5">
      <c r="A2396" s="657" t="s">
        <v>7462</v>
      </c>
      <c r="B2396" t="s">
        <v>11819</v>
      </c>
      <c r="C2396" s="900" t="s">
        <v>11837</v>
      </c>
      <c r="D2396" s="905" t="s">
        <v>11840</v>
      </c>
    </row>
    <row r="2397" spans="1:4" ht="16.5">
      <c r="A2397" s="657" t="s">
        <v>7464</v>
      </c>
      <c r="B2397" t="s">
        <v>11819</v>
      </c>
      <c r="C2397" s="900" t="s">
        <v>11837</v>
      </c>
      <c r="D2397" s="905" t="s">
        <v>11840</v>
      </c>
    </row>
    <row r="2398" spans="1:4" ht="33">
      <c r="A2398" s="657" t="s">
        <v>7466</v>
      </c>
      <c r="B2398" t="s">
        <v>11819</v>
      </c>
      <c r="C2398" s="900" t="s">
        <v>11837</v>
      </c>
      <c r="D2398" s="905" t="s">
        <v>11840</v>
      </c>
    </row>
    <row r="2399" spans="1:4" ht="16.5">
      <c r="A2399" s="657" t="s">
        <v>7468</v>
      </c>
      <c r="B2399" t="s">
        <v>11819</v>
      </c>
      <c r="C2399" s="900" t="s">
        <v>11837</v>
      </c>
      <c r="D2399" s="905" t="s">
        <v>11840</v>
      </c>
    </row>
    <row r="2400" spans="1:4" ht="33">
      <c r="A2400" s="657" t="s">
        <v>7470</v>
      </c>
      <c r="B2400" t="s">
        <v>11819</v>
      </c>
      <c r="C2400" s="900" t="s">
        <v>11837</v>
      </c>
      <c r="D2400" s="905" t="s">
        <v>11840</v>
      </c>
    </row>
    <row r="2401" spans="1:4" ht="16.5">
      <c r="A2401" s="657" t="s">
        <v>7472</v>
      </c>
      <c r="B2401" t="s">
        <v>11819</v>
      </c>
      <c r="C2401" s="900" t="s">
        <v>11837</v>
      </c>
      <c r="D2401" s="905" t="s">
        <v>11840</v>
      </c>
    </row>
    <row r="2402" spans="1:4" ht="16.5">
      <c r="A2402" s="657" t="s">
        <v>7474</v>
      </c>
      <c r="B2402" t="s">
        <v>11819</v>
      </c>
      <c r="C2402" s="900" t="s">
        <v>11837</v>
      </c>
      <c r="D2402" s="905" t="s">
        <v>11840</v>
      </c>
    </row>
    <row r="2403" spans="1:4" ht="16.5">
      <c r="A2403" s="657" t="s">
        <v>7476</v>
      </c>
      <c r="B2403" t="s">
        <v>11819</v>
      </c>
      <c r="C2403" s="900" t="s">
        <v>11837</v>
      </c>
      <c r="D2403" s="905" t="s">
        <v>11840</v>
      </c>
    </row>
    <row r="2404" spans="1:4" ht="16.5">
      <c r="A2404" s="657" t="s">
        <v>7478</v>
      </c>
      <c r="B2404" t="s">
        <v>11819</v>
      </c>
      <c r="C2404" s="900" t="s">
        <v>11837</v>
      </c>
      <c r="D2404" s="905" t="s">
        <v>11840</v>
      </c>
    </row>
    <row r="2405" spans="1:4" ht="16.5">
      <c r="A2405" s="657" t="s">
        <v>7480</v>
      </c>
      <c r="B2405" t="s">
        <v>11819</v>
      </c>
      <c r="C2405" s="900" t="s">
        <v>11837</v>
      </c>
      <c r="D2405" s="905" t="s">
        <v>11840</v>
      </c>
    </row>
    <row r="2406" spans="1:4" ht="16.5">
      <c r="A2406" s="657" t="s">
        <v>7482</v>
      </c>
      <c r="B2406" t="s">
        <v>11819</v>
      </c>
      <c r="C2406" s="900" t="s">
        <v>11837</v>
      </c>
      <c r="D2406" s="905" t="s">
        <v>11840</v>
      </c>
    </row>
    <row r="2407" spans="1:4" ht="16.5">
      <c r="A2407" s="657" t="s">
        <v>7484</v>
      </c>
      <c r="B2407" t="s">
        <v>11819</v>
      </c>
      <c r="C2407" s="900" t="s">
        <v>11837</v>
      </c>
      <c r="D2407" s="905" t="s">
        <v>11840</v>
      </c>
    </row>
    <row r="2408" spans="1:4" ht="16.5">
      <c r="A2408" s="657" t="s">
        <v>7486</v>
      </c>
      <c r="B2408" t="s">
        <v>11819</v>
      </c>
      <c r="C2408" s="900" t="s">
        <v>11837</v>
      </c>
      <c r="D2408" s="905" t="s">
        <v>11840</v>
      </c>
    </row>
    <row r="2409" spans="1:4" ht="16.5">
      <c r="A2409" s="657" t="s">
        <v>7488</v>
      </c>
      <c r="B2409" t="s">
        <v>11819</v>
      </c>
      <c r="C2409" s="900" t="s">
        <v>11837</v>
      </c>
      <c r="D2409" s="905" t="s">
        <v>11840</v>
      </c>
    </row>
    <row r="2410" spans="1:4" ht="16.5">
      <c r="A2410" s="657" t="s">
        <v>7490</v>
      </c>
      <c r="B2410" t="s">
        <v>11819</v>
      </c>
      <c r="C2410" s="900" t="s">
        <v>11837</v>
      </c>
      <c r="D2410" s="905" t="s">
        <v>11840</v>
      </c>
    </row>
    <row r="2411" spans="1:4" ht="16.5">
      <c r="A2411" s="657" t="s">
        <v>7492</v>
      </c>
      <c r="B2411" t="s">
        <v>11819</v>
      </c>
      <c r="C2411" s="900" t="s">
        <v>11837</v>
      </c>
      <c r="D2411" s="905" t="s">
        <v>11840</v>
      </c>
    </row>
    <row r="2412" spans="1:4" ht="16.5">
      <c r="A2412" s="657" t="s">
        <v>7494</v>
      </c>
      <c r="B2412" t="s">
        <v>11819</v>
      </c>
      <c r="C2412" s="900" t="s">
        <v>11837</v>
      </c>
      <c r="D2412" s="905" t="s">
        <v>11840</v>
      </c>
    </row>
    <row r="2413" spans="1:4" ht="16.5">
      <c r="A2413" s="657" t="s">
        <v>7496</v>
      </c>
      <c r="B2413" t="s">
        <v>11819</v>
      </c>
      <c r="C2413" s="900" t="s">
        <v>11837</v>
      </c>
      <c r="D2413" s="905" t="s">
        <v>11840</v>
      </c>
    </row>
    <row r="2414" spans="1:4" ht="16.5">
      <c r="A2414" s="657" t="s">
        <v>7498</v>
      </c>
      <c r="B2414" t="s">
        <v>11819</v>
      </c>
      <c r="C2414" s="900" t="s">
        <v>11837</v>
      </c>
      <c r="D2414" s="905" t="s">
        <v>11840</v>
      </c>
    </row>
    <row r="2415" spans="1:4" ht="16.5">
      <c r="A2415" s="657" t="s">
        <v>7500</v>
      </c>
      <c r="B2415" t="s">
        <v>11819</v>
      </c>
      <c r="C2415" s="900" t="s">
        <v>11837</v>
      </c>
      <c r="D2415" s="905" t="s">
        <v>11840</v>
      </c>
    </row>
    <row r="2416" spans="1:4" ht="16.5">
      <c r="A2416" s="657" t="s">
        <v>7502</v>
      </c>
      <c r="B2416" t="s">
        <v>11819</v>
      </c>
      <c r="C2416" s="900" t="s">
        <v>11837</v>
      </c>
      <c r="D2416" s="905" t="s">
        <v>11840</v>
      </c>
    </row>
    <row r="2417" spans="1:4" ht="16.5">
      <c r="A2417" s="657" t="s">
        <v>7504</v>
      </c>
      <c r="B2417" t="s">
        <v>11819</v>
      </c>
      <c r="C2417" s="900" t="s">
        <v>11837</v>
      </c>
      <c r="D2417" s="905" t="s">
        <v>11840</v>
      </c>
    </row>
    <row r="2418" spans="1:4" ht="16.5">
      <c r="A2418" s="657" t="s">
        <v>7506</v>
      </c>
      <c r="B2418" t="s">
        <v>11819</v>
      </c>
      <c r="C2418" s="900" t="s">
        <v>11837</v>
      </c>
      <c r="D2418" s="905" t="s">
        <v>11840</v>
      </c>
    </row>
    <row r="2419" spans="1:4" ht="16.5">
      <c r="A2419" s="657" t="s">
        <v>7508</v>
      </c>
      <c r="B2419" t="s">
        <v>11819</v>
      </c>
      <c r="C2419" s="900" t="s">
        <v>11837</v>
      </c>
      <c r="D2419" s="905" t="s">
        <v>11840</v>
      </c>
    </row>
    <row r="2420" spans="1:4" ht="16.5">
      <c r="A2420" s="657" t="s">
        <v>7510</v>
      </c>
      <c r="B2420" t="s">
        <v>11819</v>
      </c>
      <c r="C2420" s="900" t="s">
        <v>11837</v>
      </c>
      <c r="D2420" s="905" t="s">
        <v>11840</v>
      </c>
    </row>
    <row r="2421" spans="1:4" ht="16.5">
      <c r="A2421" s="657" t="s">
        <v>7512</v>
      </c>
      <c r="B2421" t="s">
        <v>11819</v>
      </c>
      <c r="C2421" s="900" t="s">
        <v>11837</v>
      </c>
      <c r="D2421" s="905" t="s">
        <v>11840</v>
      </c>
    </row>
    <row r="2422" spans="1:4" ht="16.5">
      <c r="A2422" s="657" t="s">
        <v>7514</v>
      </c>
      <c r="B2422" t="s">
        <v>11819</v>
      </c>
      <c r="C2422" s="900" t="s">
        <v>11837</v>
      </c>
      <c r="D2422" s="905" t="s">
        <v>11840</v>
      </c>
    </row>
    <row r="2423" spans="1:4" ht="16.5">
      <c r="A2423" s="657" t="s">
        <v>7516</v>
      </c>
      <c r="B2423" t="s">
        <v>11819</v>
      </c>
      <c r="C2423" s="900" t="s">
        <v>11837</v>
      </c>
      <c r="D2423" s="905" t="s">
        <v>11840</v>
      </c>
    </row>
    <row r="2424" spans="1:4" ht="16.5">
      <c r="A2424" s="657" t="s">
        <v>7518</v>
      </c>
      <c r="B2424" t="s">
        <v>11819</v>
      </c>
      <c r="C2424" s="900" t="s">
        <v>11837</v>
      </c>
      <c r="D2424" s="905" t="s">
        <v>11840</v>
      </c>
    </row>
    <row r="2425" spans="1:4" ht="16.5">
      <c r="A2425" s="657" t="s">
        <v>7520</v>
      </c>
      <c r="B2425" t="s">
        <v>11819</v>
      </c>
      <c r="C2425" s="900" t="s">
        <v>11837</v>
      </c>
      <c r="D2425" s="905" t="s">
        <v>11840</v>
      </c>
    </row>
    <row r="2426" spans="1:4" ht="16.5">
      <c r="A2426" s="657" t="s">
        <v>7522</v>
      </c>
      <c r="B2426" t="s">
        <v>11819</v>
      </c>
      <c r="C2426" s="900" t="s">
        <v>11837</v>
      </c>
      <c r="D2426" s="905" t="s">
        <v>11840</v>
      </c>
    </row>
    <row r="2427" spans="1:4" ht="16.5">
      <c r="A2427" s="657" t="s">
        <v>7524</v>
      </c>
      <c r="B2427" t="s">
        <v>11819</v>
      </c>
      <c r="C2427" s="900" t="s">
        <v>11837</v>
      </c>
      <c r="D2427" s="905" t="s">
        <v>11840</v>
      </c>
    </row>
    <row r="2428" spans="1:4" ht="16.5">
      <c r="A2428" s="657" t="s">
        <v>7526</v>
      </c>
      <c r="B2428" t="s">
        <v>11819</v>
      </c>
      <c r="C2428" s="900" t="s">
        <v>11837</v>
      </c>
      <c r="D2428" s="905" t="s">
        <v>11840</v>
      </c>
    </row>
    <row r="2429" spans="1:4" ht="33">
      <c r="A2429" s="657" t="s">
        <v>7528</v>
      </c>
      <c r="B2429" t="s">
        <v>11819</v>
      </c>
      <c r="C2429" s="900" t="s">
        <v>11837</v>
      </c>
      <c r="D2429" s="905" t="s">
        <v>11840</v>
      </c>
    </row>
    <row r="2430" spans="1:4" ht="16.5">
      <c r="A2430" s="657" t="s">
        <v>7530</v>
      </c>
      <c r="B2430" t="s">
        <v>11819</v>
      </c>
      <c r="C2430" s="900" t="s">
        <v>11837</v>
      </c>
      <c r="D2430" s="905" t="s">
        <v>11840</v>
      </c>
    </row>
    <row r="2431" spans="1:4" ht="16.5">
      <c r="A2431" s="657" t="s">
        <v>7532</v>
      </c>
      <c r="B2431" t="s">
        <v>11819</v>
      </c>
      <c r="C2431" s="900" t="s">
        <v>11837</v>
      </c>
      <c r="D2431" s="905" t="s">
        <v>11840</v>
      </c>
    </row>
    <row r="2432" spans="1:4" ht="16.5">
      <c r="A2432" s="657" t="s">
        <v>7534</v>
      </c>
      <c r="B2432" t="s">
        <v>11819</v>
      </c>
      <c r="C2432" s="900" t="s">
        <v>11837</v>
      </c>
      <c r="D2432" s="905" t="s">
        <v>11840</v>
      </c>
    </row>
    <row r="2433" spans="1:4" ht="16.5">
      <c r="A2433" s="657" t="s">
        <v>7536</v>
      </c>
      <c r="B2433" t="s">
        <v>11819</v>
      </c>
      <c r="C2433" s="900" t="s">
        <v>11837</v>
      </c>
      <c r="D2433" s="905" t="s">
        <v>11840</v>
      </c>
    </row>
    <row r="2434" spans="1:4" ht="16.5">
      <c r="A2434" s="657" t="s">
        <v>7538</v>
      </c>
      <c r="B2434" t="s">
        <v>11819</v>
      </c>
      <c r="C2434" s="900" t="s">
        <v>11837</v>
      </c>
      <c r="D2434" s="905" t="s">
        <v>11840</v>
      </c>
    </row>
    <row r="2435" spans="1:4" ht="16.5">
      <c r="A2435" s="657" t="s">
        <v>7540</v>
      </c>
      <c r="B2435" t="s">
        <v>11819</v>
      </c>
      <c r="C2435" s="900" t="s">
        <v>11837</v>
      </c>
      <c r="D2435" s="905" t="s">
        <v>11840</v>
      </c>
    </row>
    <row r="2436" spans="1:4" ht="16.5">
      <c r="A2436" s="657" t="s">
        <v>7542</v>
      </c>
      <c r="B2436" t="s">
        <v>11819</v>
      </c>
      <c r="C2436" s="900" t="s">
        <v>11837</v>
      </c>
      <c r="D2436" s="905" t="s">
        <v>11840</v>
      </c>
    </row>
    <row r="2437" spans="1:4" ht="16.5">
      <c r="A2437" s="657" t="s">
        <v>7544</v>
      </c>
      <c r="B2437" t="s">
        <v>11819</v>
      </c>
      <c r="C2437" s="900" t="s">
        <v>11837</v>
      </c>
      <c r="D2437" s="905" t="s">
        <v>11840</v>
      </c>
    </row>
    <row r="2438" spans="1:4" ht="16.5">
      <c r="A2438" s="657" t="s">
        <v>7546</v>
      </c>
      <c r="B2438" t="s">
        <v>11819</v>
      </c>
      <c r="C2438" s="900" t="s">
        <v>11837</v>
      </c>
      <c r="D2438" s="905" t="s">
        <v>11840</v>
      </c>
    </row>
    <row r="2439" spans="1:4" ht="16.5">
      <c r="A2439" s="657" t="s">
        <v>7548</v>
      </c>
      <c r="B2439" t="s">
        <v>11819</v>
      </c>
      <c r="C2439" s="900" t="s">
        <v>11837</v>
      </c>
      <c r="D2439" s="905" t="s">
        <v>11840</v>
      </c>
    </row>
    <row r="2440" spans="1:4" ht="33">
      <c r="A2440" s="657" t="s">
        <v>7550</v>
      </c>
      <c r="B2440" t="s">
        <v>11819</v>
      </c>
      <c r="C2440" s="900" t="s">
        <v>11837</v>
      </c>
      <c r="D2440" s="905" t="s">
        <v>11840</v>
      </c>
    </row>
    <row r="2441" spans="1:4" ht="16.5">
      <c r="A2441" s="657" t="s">
        <v>7552</v>
      </c>
      <c r="B2441" t="s">
        <v>11819</v>
      </c>
      <c r="C2441" s="900" t="s">
        <v>11837</v>
      </c>
      <c r="D2441" s="905" t="s">
        <v>11840</v>
      </c>
    </row>
    <row r="2442" spans="1:4" ht="16.5">
      <c r="A2442" s="657" t="s">
        <v>7554</v>
      </c>
      <c r="B2442" t="s">
        <v>11819</v>
      </c>
      <c r="C2442" s="900" t="s">
        <v>11837</v>
      </c>
      <c r="D2442" s="905" t="s">
        <v>11840</v>
      </c>
    </row>
    <row r="2443" spans="1:4" ht="16.5">
      <c r="A2443" s="657" t="s">
        <v>7556</v>
      </c>
      <c r="B2443" t="s">
        <v>11819</v>
      </c>
      <c r="C2443" s="900" t="s">
        <v>11837</v>
      </c>
      <c r="D2443" s="905" t="s">
        <v>11840</v>
      </c>
    </row>
    <row r="2444" spans="1:4" ht="33">
      <c r="A2444" s="657" t="s">
        <v>7558</v>
      </c>
      <c r="B2444" t="s">
        <v>11819</v>
      </c>
      <c r="C2444" s="900" t="s">
        <v>11837</v>
      </c>
      <c r="D2444" s="905" t="s">
        <v>11840</v>
      </c>
    </row>
    <row r="2445" spans="1:4" ht="33">
      <c r="A2445" s="657" t="s">
        <v>7560</v>
      </c>
      <c r="B2445" t="s">
        <v>11819</v>
      </c>
      <c r="C2445" s="900" t="s">
        <v>11837</v>
      </c>
      <c r="D2445" s="905" t="s">
        <v>11840</v>
      </c>
    </row>
    <row r="2446" spans="1:4" ht="16.5">
      <c r="A2446" s="657" t="s">
        <v>7562</v>
      </c>
      <c r="B2446" t="s">
        <v>11819</v>
      </c>
      <c r="C2446" s="900" t="s">
        <v>11837</v>
      </c>
      <c r="D2446" s="905" t="s">
        <v>11840</v>
      </c>
    </row>
    <row r="2447" spans="1:4" ht="16.5">
      <c r="A2447" s="657" t="s">
        <v>7564</v>
      </c>
      <c r="B2447" t="s">
        <v>11819</v>
      </c>
      <c r="C2447" s="900" t="s">
        <v>11837</v>
      </c>
      <c r="D2447" s="905" t="s">
        <v>11840</v>
      </c>
    </row>
    <row r="2448" spans="1:4" ht="16.5">
      <c r="A2448" s="657" t="s">
        <v>7566</v>
      </c>
      <c r="B2448" t="s">
        <v>11819</v>
      </c>
      <c r="C2448" s="900" t="s">
        <v>11837</v>
      </c>
      <c r="D2448" s="905" t="s">
        <v>11840</v>
      </c>
    </row>
    <row r="2449" spans="1:4" ht="16.5">
      <c r="A2449" s="657" t="s">
        <v>7568</v>
      </c>
      <c r="B2449" t="s">
        <v>11819</v>
      </c>
      <c r="C2449" s="900" t="s">
        <v>11837</v>
      </c>
      <c r="D2449" s="905" t="s">
        <v>11840</v>
      </c>
    </row>
    <row r="2450" spans="1:4" ht="33">
      <c r="A2450" s="657" t="s">
        <v>7570</v>
      </c>
      <c r="B2450" t="s">
        <v>11819</v>
      </c>
      <c r="C2450" s="900" t="s">
        <v>11837</v>
      </c>
      <c r="D2450" s="905" t="s">
        <v>11840</v>
      </c>
    </row>
    <row r="2451" spans="1:4" ht="16.5">
      <c r="A2451" s="657" t="s">
        <v>7572</v>
      </c>
      <c r="B2451" t="s">
        <v>11819</v>
      </c>
      <c r="C2451" s="900" t="s">
        <v>11837</v>
      </c>
      <c r="D2451" s="905" t="s">
        <v>11840</v>
      </c>
    </row>
    <row r="2452" spans="1:4" ht="16.5">
      <c r="A2452" s="657" t="s">
        <v>7574</v>
      </c>
      <c r="B2452" t="s">
        <v>11819</v>
      </c>
      <c r="C2452" s="900" t="s">
        <v>11837</v>
      </c>
      <c r="D2452" s="905" t="s">
        <v>11840</v>
      </c>
    </row>
    <row r="2453" spans="1:4" ht="16.5">
      <c r="A2453" s="657" t="s">
        <v>7576</v>
      </c>
      <c r="B2453" t="s">
        <v>11819</v>
      </c>
      <c r="C2453" s="900" t="s">
        <v>11837</v>
      </c>
      <c r="D2453" s="905" t="s">
        <v>11840</v>
      </c>
    </row>
    <row r="2454" spans="1:4" ht="16.5">
      <c r="A2454" s="657" t="s">
        <v>7578</v>
      </c>
      <c r="B2454" t="s">
        <v>11819</v>
      </c>
      <c r="C2454" s="900" t="s">
        <v>11837</v>
      </c>
      <c r="D2454" s="905" t="s">
        <v>11840</v>
      </c>
    </row>
    <row r="2455" spans="1:4" ht="16.5">
      <c r="A2455" s="657" t="s">
        <v>7580</v>
      </c>
      <c r="B2455" t="s">
        <v>11819</v>
      </c>
      <c r="C2455" s="900" t="s">
        <v>11837</v>
      </c>
      <c r="D2455" s="905" t="s">
        <v>11840</v>
      </c>
    </row>
    <row r="2456" spans="1:4" ht="16.5">
      <c r="A2456" s="657" t="s">
        <v>7582</v>
      </c>
      <c r="B2456" t="s">
        <v>11819</v>
      </c>
      <c r="C2456" s="900" t="s">
        <v>11837</v>
      </c>
      <c r="D2456" s="905" t="s">
        <v>11840</v>
      </c>
    </row>
    <row r="2457" spans="1:4" ht="16.5">
      <c r="A2457" s="657" t="s">
        <v>7584</v>
      </c>
      <c r="B2457" t="s">
        <v>11819</v>
      </c>
      <c r="C2457" s="900" t="s">
        <v>11837</v>
      </c>
      <c r="D2457" s="905" t="s">
        <v>11840</v>
      </c>
    </row>
    <row r="2458" spans="1:4" ht="16.5">
      <c r="A2458" s="657" t="s">
        <v>7586</v>
      </c>
      <c r="B2458" t="s">
        <v>11819</v>
      </c>
      <c r="C2458" s="900" t="s">
        <v>11837</v>
      </c>
      <c r="D2458" s="905" t="s">
        <v>11840</v>
      </c>
    </row>
    <row r="2459" spans="1:4" ht="16.5">
      <c r="A2459" s="657" t="s">
        <v>7588</v>
      </c>
      <c r="B2459" t="s">
        <v>11819</v>
      </c>
      <c r="C2459" s="900" t="s">
        <v>11837</v>
      </c>
      <c r="D2459" s="905" t="s">
        <v>11840</v>
      </c>
    </row>
    <row r="2460" spans="1:4" ht="16.5">
      <c r="A2460" s="657" t="s">
        <v>7590</v>
      </c>
      <c r="B2460" t="s">
        <v>11819</v>
      </c>
      <c r="C2460" s="900" t="s">
        <v>11837</v>
      </c>
      <c r="D2460" s="905" t="s">
        <v>11840</v>
      </c>
    </row>
    <row r="2461" spans="1:4" ht="16.5">
      <c r="A2461" s="657" t="s">
        <v>7592</v>
      </c>
      <c r="B2461" t="s">
        <v>11819</v>
      </c>
      <c r="C2461" s="900" t="s">
        <v>11837</v>
      </c>
      <c r="D2461" s="905" t="s">
        <v>11840</v>
      </c>
    </row>
    <row r="2462" spans="1:4" ht="16.5">
      <c r="A2462" s="657" t="s">
        <v>7594</v>
      </c>
      <c r="B2462" t="s">
        <v>11819</v>
      </c>
      <c r="C2462" s="900" t="s">
        <v>11837</v>
      </c>
      <c r="D2462" s="905" t="s">
        <v>11840</v>
      </c>
    </row>
    <row r="2463" spans="1:4" ht="16.5">
      <c r="A2463" s="657" t="s">
        <v>7596</v>
      </c>
      <c r="B2463" t="s">
        <v>11819</v>
      </c>
      <c r="C2463" s="900" t="s">
        <v>11837</v>
      </c>
      <c r="D2463" s="905" t="s">
        <v>11840</v>
      </c>
    </row>
    <row r="2464" spans="1:4" ht="16.5">
      <c r="A2464" s="657" t="s">
        <v>7598</v>
      </c>
      <c r="B2464" t="s">
        <v>11819</v>
      </c>
      <c r="C2464" s="900" t="s">
        <v>11837</v>
      </c>
      <c r="D2464" s="905" t="s">
        <v>11840</v>
      </c>
    </row>
    <row r="2465" spans="1:4" ht="16.5">
      <c r="A2465" s="657" t="s">
        <v>7600</v>
      </c>
      <c r="B2465" t="s">
        <v>11819</v>
      </c>
      <c r="C2465" s="900" t="s">
        <v>11837</v>
      </c>
      <c r="D2465" s="905" t="s">
        <v>11840</v>
      </c>
    </row>
    <row r="2466" spans="1:4" ht="16.5">
      <c r="A2466" s="657" t="s">
        <v>7602</v>
      </c>
      <c r="B2466" t="s">
        <v>11819</v>
      </c>
      <c r="C2466" s="900" t="s">
        <v>11837</v>
      </c>
      <c r="D2466" s="905" t="s">
        <v>11840</v>
      </c>
    </row>
    <row r="2467" spans="1:4" ht="16.5">
      <c r="A2467" s="657" t="s">
        <v>7604</v>
      </c>
      <c r="B2467" t="s">
        <v>11819</v>
      </c>
      <c r="C2467" s="900" t="s">
        <v>11837</v>
      </c>
      <c r="D2467" s="905" t="s">
        <v>11840</v>
      </c>
    </row>
    <row r="2468" spans="1:4" ht="16.5">
      <c r="A2468" s="657" t="s">
        <v>7606</v>
      </c>
      <c r="B2468" t="s">
        <v>11819</v>
      </c>
      <c r="C2468" s="900" t="s">
        <v>11837</v>
      </c>
      <c r="D2468" s="905" t="s">
        <v>11840</v>
      </c>
    </row>
    <row r="2469" spans="1:4" ht="16.5">
      <c r="A2469" s="657" t="s">
        <v>7608</v>
      </c>
      <c r="B2469" t="s">
        <v>11819</v>
      </c>
      <c r="C2469" s="900" t="s">
        <v>11837</v>
      </c>
      <c r="D2469" s="905" t="s">
        <v>11840</v>
      </c>
    </row>
    <row r="2470" spans="1:4" ht="16.5">
      <c r="A2470" s="657" t="s">
        <v>7610</v>
      </c>
      <c r="B2470" t="s">
        <v>11819</v>
      </c>
      <c r="C2470" s="900" t="s">
        <v>11837</v>
      </c>
      <c r="D2470" s="905" t="s">
        <v>11840</v>
      </c>
    </row>
    <row r="2471" spans="1:4" ht="16.5">
      <c r="A2471" s="657" t="s">
        <v>7612</v>
      </c>
      <c r="B2471" t="s">
        <v>11819</v>
      </c>
      <c r="C2471" s="900" t="s">
        <v>11837</v>
      </c>
      <c r="D2471" s="905" t="s">
        <v>11840</v>
      </c>
    </row>
    <row r="2472" spans="1:4" ht="16.5">
      <c r="A2472" s="657" t="s">
        <v>7614</v>
      </c>
      <c r="B2472" t="s">
        <v>11819</v>
      </c>
      <c r="C2472" s="900" t="s">
        <v>11837</v>
      </c>
      <c r="D2472" s="905" t="s">
        <v>11840</v>
      </c>
    </row>
    <row r="2473" spans="1:4" ht="16.5">
      <c r="A2473" s="657" t="s">
        <v>7616</v>
      </c>
      <c r="B2473" t="s">
        <v>11819</v>
      </c>
      <c r="C2473" s="900" t="s">
        <v>11837</v>
      </c>
      <c r="D2473" s="905" t="s">
        <v>11840</v>
      </c>
    </row>
    <row r="2474" spans="1:4" ht="16.5">
      <c r="A2474" s="657" t="s">
        <v>7618</v>
      </c>
      <c r="B2474" t="s">
        <v>11819</v>
      </c>
      <c r="C2474" s="900" t="s">
        <v>11837</v>
      </c>
      <c r="D2474" s="905" t="s">
        <v>11840</v>
      </c>
    </row>
    <row r="2475" spans="1:4" ht="16.5">
      <c r="A2475" s="657" t="s">
        <v>7620</v>
      </c>
      <c r="B2475" t="s">
        <v>11819</v>
      </c>
      <c r="C2475" s="900" t="s">
        <v>11837</v>
      </c>
      <c r="D2475" s="905" t="s">
        <v>11840</v>
      </c>
    </row>
    <row r="2476" spans="1:4" ht="16.5">
      <c r="A2476" s="657" t="s">
        <v>7622</v>
      </c>
      <c r="B2476" t="s">
        <v>11819</v>
      </c>
      <c r="C2476" s="900" t="s">
        <v>11837</v>
      </c>
      <c r="D2476" s="905" t="s">
        <v>11840</v>
      </c>
    </row>
    <row r="2477" spans="1:4" ht="16.5">
      <c r="A2477" s="657" t="s">
        <v>7624</v>
      </c>
      <c r="B2477" t="s">
        <v>11819</v>
      </c>
      <c r="C2477" s="900" t="s">
        <v>11837</v>
      </c>
      <c r="D2477" s="905" t="s">
        <v>11840</v>
      </c>
    </row>
    <row r="2478" spans="1:4" ht="16.5">
      <c r="A2478" s="657" t="s">
        <v>7626</v>
      </c>
      <c r="B2478" t="s">
        <v>11819</v>
      </c>
      <c r="C2478" s="900" t="s">
        <v>11837</v>
      </c>
      <c r="D2478" s="905" t="s">
        <v>11840</v>
      </c>
    </row>
    <row r="2479" spans="1:4" ht="16.5">
      <c r="A2479" s="657" t="s">
        <v>7628</v>
      </c>
      <c r="B2479" t="s">
        <v>11819</v>
      </c>
      <c r="C2479" s="900" t="s">
        <v>11837</v>
      </c>
      <c r="D2479" s="905" t="s">
        <v>11840</v>
      </c>
    </row>
    <row r="2480" spans="1:4" ht="16.5">
      <c r="A2480" s="657" t="s">
        <v>7630</v>
      </c>
      <c r="B2480" t="s">
        <v>11819</v>
      </c>
      <c r="C2480" s="900" t="s">
        <v>11837</v>
      </c>
      <c r="D2480" s="905" t="s">
        <v>11840</v>
      </c>
    </row>
    <row r="2481" spans="1:4" ht="16.5">
      <c r="A2481" s="657" t="s">
        <v>7632</v>
      </c>
      <c r="B2481" t="s">
        <v>11819</v>
      </c>
      <c r="C2481" s="900" t="s">
        <v>11837</v>
      </c>
      <c r="D2481" s="905" t="s">
        <v>11840</v>
      </c>
    </row>
    <row r="2482" spans="1:4" ht="16.5">
      <c r="A2482" s="657" t="s">
        <v>7634</v>
      </c>
      <c r="B2482" t="s">
        <v>11819</v>
      </c>
      <c r="C2482" s="900" t="s">
        <v>11837</v>
      </c>
      <c r="D2482" s="905" t="s">
        <v>11840</v>
      </c>
    </row>
    <row r="2483" spans="1:4" ht="16.5">
      <c r="A2483" s="657" t="s">
        <v>7636</v>
      </c>
      <c r="B2483" t="s">
        <v>11819</v>
      </c>
      <c r="C2483" s="900" t="s">
        <v>11837</v>
      </c>
      <c r="D2483" s="905" t="s">
        <v>11840</v>
      </c>
    </row>
    <row r="2484" spans="1:4" ht="16.5">
      <c r="A2484" s="657" t="s">
        <v>7638</v>
      </c>
      <c r="B2484" t="s">
        <v>11819</v>
      </c>
      <c r="C2484" s="900" t="s">
        <v>11837</v>
      </c>
      <c r="D2484" s="905" t="s">
        <v>11840</v>
      </c>
    </row>
    <row r="2485" spans="1:4" ht="16.5">
      <c r="A2485" s="657" t="s">
        <v>7640</v>
      </c>
      <c r="B2485" t="s">
        <v>11819</v>
      </c>
      <c r="C2485" s="900" t="s">
        <v>11837</v>
      </c>
      <c r="D2485" s="905" t="s">
        <v>11840</v>
      </c>
    </row>
    <row r="2486" spans="1:4" ht="33">
      <c r="A2486" s="657" t="s">
        <v>7643</v>
      </c>
      <c r="B2486" t="s">
        <v>11819</v>
      </c>
      <c r="C2486" s="900" t="s">
        <v>11837</v>
      </c>
      <c r="D2486" s="905" t="s">
        <v>11840</v>
      </c>
    </row>
    <row r="2487" spans="1:4" ht="33">
      <c r="A2487" s="657" t="s">
        <v>7644</v>
      </c>
      <c r="B2487" t="s">
        <v>11819</v>
      </c>
      <c r="C2487" s="900" t="s">
        <v>11837</v>
      </c>
      <c r="D2487" s="905" t="s">
        <v>11840</v>
      </c>
    </row>
    <row r="2488" spans="1:4" ht="33">
      <c r="A2488" s="657" t="s">
        <v>7645</v>
      </c>
      <c r="B2488" t="s">
        <v>11819</v>
      </c>
      <c r="C2488" s="900" t="s">
        <v>11837</v>
      </c>
      <c r="D2488" s="905" t="s">
        <v>11840</v>
      </c>
    </row>
    <row r="2489" spans="1:4" ht="33">
      <c r="A2489" s="657" t="s">
        <v>7646</v>
      </c>
      <c r="B2489" t="s">
        <v>11819</v>
      </c>
      <c r="C2489" s="900" t="s">
        <v>11837</v>
      </c>
      <c r="D2489" s="905" t="s">
        <v>11840</v>
      </c>
    </row>
    <row r="2490" spans="1:4" ht="33">
      <c r="A2490" s="657" t="s">
        <v>7647</v>
      </c>
      <c r="B2490" t="s">
        <v>11819</v>
      </c>
      <c r="C2490" s="900" t="s">
        <v>11837</v>
      </c>
      <c r="D2490" s="905" t="s">
        <v>11840</v>
      </c>
    </row>
    <row r="2491" spans="1:4" ht="33">
      <c r="A2491" s="657" t="s">
        <v>7648</v>
      </c>
      <c r="B2491" t="s">
        <v>11819</v>
      </c>
      <c r="C2491" s="900" t="s">
        <v>11837</v>
      </c>
      <c r="D2491" s="905" t="s">
        <v>11840</v>
      </c>
    </row>
    <row r="2492" spans="1:4" ht="33">
      <c r="A2492" s="657" t="s">
        <v>7649</v>
      </c>
      <c r="B2492" t="s">
        <v>11819</v>
      </c>
      <c r="C2492" s="900" t="s">
        <v>11837</v>
      </c>
      <c r="D2492" s="905" t="s">
        <v>11840</v>
      </c>
    </row>
    <row r="2493" spans="1:4" ht="33">
      <c r="A2493" s="657" t="s">
        <v>7650</v>
      </c>
      <c r="B2493" t="s">
        <v>11819</v>
      </c>
      <c r="C2493" s="900" t="s">
        <v>11837</v>
      </c>
      <c r="D2493" s="905" t="s">
        <v>11840</v>
      </c>
    </row>
    <row r="2494" spans="1:4" ht="33">
      <c r="A2494" s="657" t="s">
        <v>7651</v>
      </c>
      <c r="B2494" t="s">
        <v>11819</v>
      </c>
      <c r="C2494" s="900" t="s">
        <v>11837</v>
      </c>
      <c r="D2494" s="905" t="s">
        <v>11840</v>
      </c>
    </row>
    <row r="2495" spans="1:4" ht="33">
      <c r="A2495" s="657" t="s">
        <v>7652</v>
      </c>
      <c r="B2495" t="s">
        <v>11819</v>
      </c>
      <c r="C2495" s="900" t="s">
        <v>11837</v>
      </c>
      <c r="D2495" s="905" t="s">
        <v>11840</v>
      </c>
    </row>
    <row r="2496" spans="1:4" ht="33">
      <c r="A2496" s="657" t="s">
        <v>7653</v>
      </c>
      <c r="B2496" t="s">
        <v>11819</v>
      </c>
      <c r="C2496" s="900" t="s">
        <v>11837</v>
      </c>
      <c r="D2496" s="905" t="s">
        <v>11840</v>
      </c>
    </row>
    <row r="2497" spans="1:4" ht="33">
      <c r="A2497" s="657" t="s">
        <v>7654</v>
      </c>
      <c r="B2497" t="s">
        <v>11819</v>
      </c>
      <c r="C2497" s="900" t="s">
        <v>11837</v>
      </c>
      <c r="D2497" s="905" t="s">
        <v>11840</v>
      </c>
    </row>
    <row r="2498" spans="1:4" ht="33">
      <c r="A2498" s="657" t="s">
        <v>7655</v>
      </c>
      <c r="B2498" t="s">
        <v>11819</v>
      </c>
      <c r="C2498" s="900" t="s">
        <v>11837</v>
      </c>
      <c r="D2498" s="905" t="s">
        <v>11840</v>
      </c>
    </row>
    <row r="2499" spans="1:4" ht="33">
      <c r="A2499" s="657" t="s">
        <v>7656</v>
      </c>
      <c r="B2499" t="s">
        <v>11819</v>
      </c>
      <c r="C2499" s="900" t="s">
        <v>11837</v>
      </c>
      <c r="D2499" s="905" t="s">
        <v>11840</v>
      </c>
    </row>
    <row r="2500" spans="1:4" ht="33">
      <c r="A2500" s="657" t="s">
        <v>7657</v>
      </c>
      <c r="B2500" t="s">
        <v>11819</v>
      </c>
      <c r="C2500" s="900" t="s">
        <v>11837</v>
      </c>
      <c r="D2500" s="905" t="s">
        <v>11840</v>
      </c>
    </row>
    <row r="2501" spans="1:4" ht="33">
      <c r="A2501" s="657" t="s">
        <v>7658</v>
      </c>
      <c r="B2501" t="s">
        <v>11819</v>
      </c>
      <c r="C2501" s="900" t="s">
        <v>11837</v>
      </c>
      <c r="D2501" s="905" t="s">
        <v>11840</v>
      </c>
    </row>
    <row r="2502" spans="1:4" ht="33">
      <c r="A2502" s="657" t="s">
        <v>7659</v>
      </c>
      <c r="B2502" t="s">
        <v>11819</v>
      </c>
      <c r="C2502" s="900" t="s">
        <v>11837</v>
      </c>
      <c r="D2502" s="905" t="s">
        <v>11840</v>
      </c>
    </row>
    <row r="2503" spans="1:4" ht="33">
      <c r="A2503" s="657" t="s">
        <v>7660</v>
      </c>
      <c r="B2503" t="s">
        <v>11819</v>
      </c>
      <c r="C2503" s="900" t="s">
        <v>11837</v>
      </c>
      <c r="D2503" s="905" t="s">
        <v>11840</v>
      </c>
    </row>
    <row r="2504" spans="1:4" ht="33">
      <c r="A2504" s="657" t="s">
        <v>7661</v>
      </c>
      <c r="B2504" t="s">
        <v>11819</v>
      </c>
      <c r="C2504" s="900" t="s">
        <v>11837</v>
      </c>
      <c r="D2504" s="905" t="s">
        <v>11840</v>
      </c>
    </row>
    <row r="2505" spans="1:4" ht="33">
      <c r="A2505" s="657" t="s">
        <v>7662</v>
      </c>
      <c r="B2505" t="s">
        <v>11819</v>
      </c>
      <c r="C2505" s="900" t="s">
        <v>11837</v>
      </c>
      <c r="D2505" s="905" t="s">
        <v>11840</v>
      </c>
    </row>
    <row r="2506" spans="1:4" ht="33">
      <c r="A2506" s="657" t="s">
        <v>7663</v>
      </c>
      <c r="B2506" t="s">
        <v>11819</v>
      </c>
      <c r="C2506" s="900" t="s">
        <v>11837</v>
      </c>
      <c r="D2506" s="905" t="s">
        <v>11840</v>
      </c>
    </row>
    <row r="2507" spans="1:4" ht="33">
      <c r="A2507" s="657" t="s">
        <v>7664</v>
      </c>
      <c r="B2507" t="s">
        <v>11819</v>
      </c>
      <c r="C2507" s="900" t="s">
        <v>11837</v>
      </c>
      <c r="D2507" s="905" t="s">
        <v>11840</v>
      </c>
    </row>
    <row r="2508" spans="1:4" ht="33">
      <c r="A2508" s="657" t="s">
        <v>7665</v>
      </c>
      <c r="B2508" t="s">
        <v>11819</v>
      </c>
      <c r="C2508" s="900" t="s">
        <v>11837</v>
      </c>
      <c r="D2508" s="905" t="s">
        <v>11840</v>
      </c>
    </row>
    <row r="2509" spans="1:4" ht="33">
      <c r="A2509" s="657" t="s">
        <v>7666</v>
      </c>
      <c r="B2509" t="s">
        <v>11819</v>
      </c>
      <c r="C2509" s="900" t="s">
        <v>11837</v>
      </c>
      <c r="D2509" s="905" t="s">
        <v>11840</v>
      </c>
    </row>
    <row r="2510" spans="1:4" ht="33">
      <c r="A2510" s="657" t="s">
        <v>7667</v>
      </c>
      <c r="B2510" t="s">
        <v>11819</v>
      </c>
      <c r="C2510" s="900" t="s">
        <v>11837</v>
      </c>
      <c r="D2510" s="905" t="s">
        <v>11840</v>
      </c>
    </row>
    <row r="2511" spans="1:4" ht="33">
      <c r="A2511" s="657" t="s">
        <v>7668</v>
      </c>
      <c r="B2511" t="s">
        <v>11819</v>
      </c>
      <c r="C2511" s="900" t="s">
        <v>11837</v>
      </c>
      <c r="D2511" s="905" t="s">
        <v>11840</v>
      </c>
    </row>
    <row r="2512" spans="1:4" ht="33">
      <c r="A2512" s="657" t="s">
        <v>7669</v>
      </c>
      <c r="B2512" t="s">
        <v>11819</v>
      </c>
      <c r="C2512" s="900" t="s">
        <v>11837</v>
      </c>
      <c r="D2512" s="905" t="s">
        <v>11840</v>
      </c>
    </row>
    <row r="2513" spans="1:4" ht="33">
      <c r="A2513" s="657" t="s">
        <v>7670</v>
      </c>
      <c r="B2513" t="s">
        <v>11819</v>
      </c>
      <c r="C2513" s="900" t="s">
        <v>11837</v>
      </c>
      <c r="D2513" s="905" t="s">
        <v>11840</v>
      </c>
    </row>
    <row r="2514" spans="1:4" ht="33">
      <c r="A2514" s="657" t="s">
        <v>7671</v>
      </c>
      <c r="B2514" t="s">
        <v>11819</v>
      </c>
      <c r="C2514" s="900" t="s">
        <v>11837</v>
      </c>
      <c r="D2514" s="905" t="s">
        <v>11840</v>
      </c>
    </row>
    <row r="2515" spans="1:4" ht="33">
      <c r="A2515" s="657" t="s">
        <v>7672</v>
      </c>
      <c r="B2515" t="s">
        <v>11819</v>
      </c>
      <c r="C2515" s="900" t="s">
        <v>11837</v>
      </c>
      <c r="D2515" s="905" t="s">
        <v>11840</v>
      </c>
    </row>
    <row r="2516" spans="1:4" ht="33">
      <c r="A2516" s="657" t="s">
        <v>7673</v>
      </c>
      <c r="B2516" t="s">
        <v>11819</v>
      </c>
      <c r="C2516" s="900" t="s">
        <v>11837</v>
      </c>
      <c r="D2516" s="905" t="s">
        <v>11840</v>
      </c>
    </row>
    <row r="2517" spans="1:4" ht="33">
      <c r="A2517" s="657" t="s">
        <v>7674</v>
      </c>
      <c r="B2517" t="s">
        <v>11819</v>
      </c>
      <c r="C2517" s="900" t="s">
        <v>11837</v>
      </c>
      <c r="D2517" s="905" t="s">
        <v>11840</v>
      </c>
    </row>
    <row r="2518" spans="1:4" ht="33">
      <c r="A2518" s="657" t="s">
        <v>7675</v>
      </c>
      <c r="B2518" t="s">
        <v>11819</v>
      </c>
      <c r="C2518" s="900" t="s">
        <v>11837</v>
      </c>
      <c r="D2518" s="905" t="s">
        <v>11840</v>
      </c>
    </row>
    <row r="2519" spans="1:4" ht="33">
      <c r="A2519" s="657" t="s">
        <v>7676</v>
      </c>
      <c r="B2519" t="s">
        <v>11819</v>
      </c>
      <c r="C2519" s="900" t="s">
        <v>11837</v>
      </c>
      <c r="D2519" s="905" t="s">
        <v>11840</v>
      </c>
    </row>
    <row r="2520" spans="1:4" ht="33">
      <c r="A2520" s="657" t="s">
        <v>7677</v>
      </c>
      <c r="B2520" t="s">
        <v>11819</v>
      </c>
      <c r="C2520" s="900" t="s">
        <v>11837</v>
      </c>
      <c r="D2520" s="905" t="s">
        <v>11840</v>
      </c>
    </row>
    <row r="2521" spans="1:4" ht="33">
      <c r="A2521" s="657" t="s">
        <v>7678</v>
      </c>
      <c r="B2521" t="s">
        <v>11819</v>
      </c>
      <c r="C2521" s="900" t="s">
        <v>11837</v>
      </c>
      <c r="D2521" s="905" t="s">
        <v>11840</v>
      </c>
    </row>
    <row r="2522" spans="1:4" ht="33">
      <c r="A2522" s="657" t="s">
        <v>7679</v>
      </c>
      <c r="B2522" t="s">
        <v>11819</v>
      </c>
      <c r="C2522" s="900" t="s">
        <v>11837</v>
      </c>
      <c r="D2522" s="905" t="s">
        <v>11840</v>
      </c>
    </row>
    <row r="2523" spans="1:4" ht="33">
      <c r="A2523" s="657" t="s">
        <v>7680</v>
      </c>
      <c r="B2523" t="s">
        <v>11819</v>
      </c>
      <c r="C2523" s="900" t="s">
        <v>11837</v>
      </c>
      <c r="D2523" s="905" t="s">
        <v>11840</v>
      </c>
    </row>
    <row r="2524" spans="1:4" ht="33">
      <c r="A2524" s="657" t="s">
        <v>7681</v>
      </c>
      <c r="B2524" t="s">
        <v>11819</v>
      </c>
      <c r="C2524" s="900" t="s">
        <v>11837</v>
      </c>
      <c r="D2524" s="905" t="s">
        <v>11840</v>
      </c>
    </row>
    <row r="2525" spans="1:4" ht="33">
      <c r="A2525" s="657" t="s">
        <v>7682</v>
      </c>
      <c r="B2525" t="s">
        <v>11819</v>
      </c>
      <c r="C2525" s="900" t="s">
        <v>11837</v>
      </c>
      <c r="D2525" s="905" t="s">
        <v>11840</v>
      </c>
    </row>
    <row r="2526" spans="1:4" ht="33">
      <c r="A2526" s="657" t="s">
        <v>7683</v>
      </c>
      <c r="B2526" t="s">
        <v>11819</v>
      </c>
      <c r="C2526" s="900" t="s">
        <v>11837</v>
      </c>
      <c r="D2526" s="905" t="s">
        <v>11840</v>
      </c>
    </row>
    <row r="2527" spans="1:4" ht="33">
      <c r="A2527" s="657" t="s">
        <v>7684</v>
      </c>
      <c r="B2527" t="s">
        <v>11819</v>
      </c>
      <c r="C2527" s="900" t="s">
        <v>11837</v>
      </c>
      <c r="D2527" s="905" t="s">
        <v>11840</v>
      </c>
    </row>
    <row r="2528" spans="1:4" ht="33">
      <c r="A2528" s="657" t="s">
        <v>7685</v>
      </c>
      <c r="B2528" t="s">
        <v>11819</v>
      </c>
      <c r="C2528" s="900" t="s">
        <v>11837</v>
      </c>
      <c r="D2528" s="905" t="s">
        <v>11840</v>
      </c>
    </row>
    <row r="2529" spans="1:4" ht="33">
      <c r="A2529" s="657" t="s">
        <v>7686</v>
      </c>
      <c r="B2529" t="s">
        <v>11819</v>
      </c>
      <c r="C2529" s="900" t="s">
        <v>11837</v>
      </c>
      <c r="D2529" s="905" t="s">
        <v>11840</v>
      </c>
    </row>
    <row r="2530" spans="1:4" ht="33">
      <c r="A2530" s="657" t="s">
        <v>7687</v>
      </c>
      <c r="B2530" t="s">
        <v>11819</v>
      </c>
      <c r="C2530" s="900" t="s">
        <v>11837</v>
      </c>
      <c r="D2530" s="905" t="s">
        <v>11840</v>
      </c>
    </row>
    <row r="2531" spans="1:4" ht="33">
      <c r="A2531" s="657" t="s">
        <v>7688</v>
      </c>
      <c r="B2531" t="s">
        <v>11819</v>
      </c>
      <c r="C2531" s="900" t="s">
        <v>11837</v>
      </c>
      <c r="D2531" s="905" t="s">
        <v>11840</v>
      </c>
    </row>
    <row r="2532" spans="1:4" ht="33">
      <c r="A2532" s="657" t="s">
        <v>7689</v>
      </c>
      <c r="B2532" t="s">
        <v>11819</v>
      </c>
      <c r="C2532" s="900" t="s">
        <v>11837</v>
      </c>
      <c r="D2532" s="905" t="s">
        <v>11840</v>
      </c>
    </row>
    <row r="2533" spans="1:4" ht="33">
      <c r="A2533" s="657" t="s">
        <v>7690</v>
      </c>
      <c r="B2533" t="s">
        <v>11819</v>
      </c>
      <c r="C2533" s="900" t="s">
        <v>11837</v>
      </c>
      <c r="D2533" s="905" t="s">
        <v>11840</v>
      </c>
    </row>
    <row r="2534" spans="1:4" ht="33">
      <c r="A2534" s="657" t="s">
        <v>7691</v>
      </c>
      <c r="B2534" t="s">
        <v>11819</v>
      </c>
      <c r="C2534" s="900" t="s">
        <v>11837</v>
      </c>
      <c r="D2534" s="905" t="s">
        <v>11840</v>
      </c>
    </row>
    <row r="2535" spans="1:4" ht="33">
      <c r="A2535" s="657" t="s">
        <v>7692</v>
      </c>
      <c r="B2535" t="s">
        <v>11819</v>
      </c>
      <c r="C2535" s="900" t="s">
        <v>11837</v>
      </c>
      <c r="D2535" s="905" t="s">
        <v>11840</v>
      </c>
    </row>
    <row r="2536" spans="1:4" ht="33">
      <c r="A2536" s="657" t="s">
        <v>7693</v>
      </c>
      <c r="B2536" t="s">
        <v>11819</v>
      </c>
      <c r="C2536" s="900" t="s">
        <v>11837</v>
      </c>
      <c r="D2536" s="905" t="s">
        <v>11840</v>
      </c>
    </row>
    <row r="2537" spans="1:4" ht="33">
      <c r="A2537" s="657" t="s">
        <v>7694</v>
      </c>
      <c r="B2537" t="s">
        <v>11819</v>
      </c>
      <c r="C2537" s="900" t="s">
        <v>11837</v>
      </c>
      <c r="D2537" s="905" t="s">
        <v>11840</v>
      </c>
    </row>
    <row r="2538" spans="1:4" ht="33">
      <c r="A2538" s="657" t="s">
        <v>7695</v>
      </c>
      <c r="B2538" t="s">
        <v>11819</v>
      </c>
      <c r="C2538" s="900" t="s">
        <v>11837</v>
      </c>
      <c r="D2538" s="905" t="s">
        <v>11840</v>
      </c>
    </row>
    <row r="2539" spans="1:4" ht="33">
      <c r="A2539" s="657" t="s">
        <v>7696</v>
      </c>
      <c r="B2539" t="s">
        <v>11819</v>
      </c>
      <c r="C2539" s="900" t="s">
        <v>11837</v>
      </c>
      <c r="D2539" s="905" t="s">
        <v>11840</v>
      </c>
    </row>
    <row r="2540" spans="1:4" ht="33">
      <c r="A2540" s="657" t="s">
        <v>7697</v>
      </c>
      <c r="B2540" t="s">
        <v>11819</v>
      </c>
      <c r="C2540" s="900" t="s">
        <v>11837</v>
      </c>
      <c r="D2540" s="905" t="s">
        <v>11840</v>
      </c>
    </row>
    <row r="2541" spans="1:4" ht="33">
      <c r="A2541" s="657" t="s">
        <v>7698</v>
      </c>
      <c r="B2541" t="s">
        <v>11819</v>
      </c>
      <c r="C2541" s="900" t="s">
        <v>11837</v>
      </c>
      <c r="D2541" s="905" t="s">
        <v>11840</v>
      </c>
    </row>
    <row r="2542" spans="1:4" ht="33">
      <c r="A2542" s="657" t="s">
        <v>7699</v>
      </c>
      <c r="B2542" t="s">
        <v>11819</v>
      </c>
      <c r="C2542" s="900" t="s">
        <v>11837</v>
      </c>
      <c r="D2542" s="905" t="s">
        <v>11840</v>
      </c>
    </row>
    <row r="2543" spans="1:4" ht="33">
      <c r="A2543" s="657" t="s">
        <v>7700</v>
      </c>
      <c r="B2543" t="s">
        <v>11819</v>
      </c>
      <c r="C2543" s="900" t="s">
        <v>11837</v>
      </c>
      <c r="D2543" s="905" t="s">
        <v>11840</v>
      </c>
    </row>
    <row r="2544" spans="1:4" ht="33">
      <c r="A2544" s="657" t="s">
        <v>7701</v>
      </c>
      <c r="B2544" t="s">
        <v>11819</v>
      </c>
      <c r="C2544" s="900" t="s">
        <v>11837</v>
      </c>
      <c r="D2544" s="905" t="s">
        <v>11840</v>
      </c>
    </row>
    <row r="2545" spans="1:4" ht="33">
      <c r="A2545" s="657" t="s">
        <v>7702</v>
      </c>
      <c r="B2545" t="s">
        <v>11819</v>
      </c>
      <c r="C2545" s="900" t="s">
        <v>11837</v>
      </c>
      <c r="D2545" s="905" t="s">
        <v>11840</v>
      </c>
    </row>
    <row r="2546" spans="1:4" ht="33">
      <c r="A2546" s="657" t="s">
        <v>7703</v>
      </c>
      <c r="B2546" t="s">
        <v>11819</v>
      </c>
      <c r="C2546" s="900" t="s">
        <v>11837</v>
      </c>
      <c r="D2546" s="905" t="s">
        <v>11840</v>
      </c>
    </row>
    <row r="2547" spans="1:4" ht="33">
      <c r="A2547" s="657" t="s">
        <v>7704</v>
      </c>
      <c r="B2547" t="s">
        <v>11819</v>
      </c>
      <c r="C2547" s="900" t="s">
        <v>11837</v>
      </c>
      <c r="D2547" s="905" t="s">
        <v>11840</v>
      </c>
    </row>
    <row r="2548" spans="1:4" ht="33">
      <c r="A2548" s="657" t="s">
        <v>7705</v>
      </c>
      <c r="B2548" t="s">
        <v>11819</v>
      </c>
      <c r="C2548" s="900" t="s">
        <v>11837</v>
      </c>
      <c r="D2548" s="905" t="s">
        <v>11840</v>
      </c>
    </row>
    <row r="2549" spans="1:4" ht="33">
      <c r="A2549" s="657" t="s">
        <v>7706</v>
      </c>
      <c r="B2549" t="s">
        <v>11819</v>
      </c>
      <c r="C2549" s="900" t="s">
        <v>11837</v>
      </c>
      <c r="D2549" s="905" t="s">
        <v>11840</v>
      </c>
    </row>
    <row r="2550" spans="1:4" ht="33">
      <c r="A2550" s="657" t="s">
        <v>7707</v>
      </c>
      <c r="B2550" t="s">
        <v>11819</v>
      </c>
      <c r="C2550" s="900" t="s">
        <v>11837</v>
      </c>
      <c r="D2550" s="905" t="s">
        <v>11840</v>
      </c>
    </row>
    <row r="2551" spans="1:4" ht="33">
      <c r="A2551" s="657" t="s">
        <v>7708</v>
      </c>
      <c r="B2551" t="s">
        <v>11819</v>
      </c>
      <c r="C2551" s="900" t="s">
        <v>11837</v>
      </c>
      <c r="D2551" s="905" t="s">
        <v>11840</v>
      </c>
    </row>
    <row r="2552" spans="1:4" ht="33">
      <c r="A2552" s="657" t="s">
        <v>7709</v>
      </c>
      <c r="B2552" t="s">
        <v>11819</v>
      </c>
      <c r="C2552" s="900" t="s">
        <v>11837</v>
      </c>
      <c r="D2552" s="905" t="s">
        <v>11840</v>
      </c>
    </row>
    <row r="2553" spans="1:4" ht="33">
      <c r="A2553" s="657" t="s">
        <v>7710</v>
      </c>
      <c r="B2553" t="s">
        <v>11819</v>
      </c>
      <c r="C2553" s="900" t="s">
        <v>11837</v>
      </c>
      <c r="D2553" s="905" t="s">
        <v>11840</v>
      </c>
    </row>
    <row r="2554" spans="1:4" ht="33">
      <c r="A2554" s="657" t="s">
        <v>7711</v>
      </c>
      <c r="B2554" t="s">
        <v>11819</v>
      </c>
      <c r="C2554" s="900" t="s">
        <v>11837</v>
      </c>
      <c r="D2554" s="905" t="s">
        <v>11840</v>
      </c>
    </row>
    <row r="2555" spans="1:4" ht="33">
      <c r="A2555" s="657" t="s">
        <v>7712</v>
      </c>
      <c r="B2555" t="s">
        <v>11819</v>
      </c>
      <c r="C2555" s="900" t="s">
        <v>11837</v>
      </c>
      <c r="D2555" s="905" t="s">
        <v>11840</v>
      </c>
    </row>
    <row r="2556" spans="1:4" ht="33">
      <c r="A2556" s="657" t="s">
        <v>7713</v>
      </c>
      <c r="B2556" t="s">
        <v>11819</v>
      </c>
      <c r="C2556" s="900" t="s">
        <v>11837</v>
      </c>
      <c r="D2556" s="905" t="s">
        <v>11840</v>
      </c>
    </row>
    <row r="2557" spans="1:4" ht="33">
      <c r="A2557" s="657" t="s">
        <v>7714</v>
      </c>
      <c r="B2557" t="s">
        <v>11819</v>
      </c>
      <c r="C2557" s="900" t="s">
        <v>11837</v>
      </c>
      <c r="D2557" s="905" t="s">
        <v>11840</v>
      </c>
    </row>
    <row r="2558" spans="1:4" ht="33">
      <c r="A2558" s="657" t="s">
        <v>7715</v>
      </c>
      <c r="B2558" t="s">
        <v>11819</v>
      </c>
      <c r="C2558" s="900" t="s">
        <v>11837</v>
      </c>
      <c r="D2558" s="905" t="s">
        <v>11840</v>
      </c>
    </row>
    <row r="2559" spans="1:4" ht="33">
      <c r="A2559" s="657" t="s">
        <v>7716</v>
      </c>
      <c r="B2559" t="s">
        <v>11819</v>
      </c>
      <c r="C2559" s="900" t="s">
        <v>11837</v>
      </c>
      <c r="D2559" s="905" t="s">
        <v>11840</v>
      </c>
    </row>
    <row r="2560" spans="1:4" ht="33">
      <c r="A2560" s="657" t="s">
        <v>7717</v>
      </c>
      <c r="B2560" t="s">
        <v>11819</v>
      </c>
      <c r="C2560" s="900" t="s">
        <v>11837</v>
      </c>
      <c r="D2560" s="905" t="s">
        <v>11840</v>
      </c>
    </row>
    <row r="2561" spans="1:4" ht="33">
      <c r="A2561" s="657" t="s">
        <v>7718</v>
      </c>
      <c r="B2561" t="s">
        <v>11819</v>
      </c>
      <c r="C2561" s="900" t="s">
        <v>11837</v>
      </c>
      <c r="D2561" s="905" t="s">
        <v>11840</v>
      </c>
    </row>
    <row r="2562" spans="1:4" ht="33">
      <c r="A2562" s="657" t="s">
        <v>7719</v>
      </c>
      <c r="B2562" t="s">
        <v>11819</v>
      </c>
      <c r="C2562" s="900" t="s">
        <v>11837</v>
      </c>
      <c r="D2562" s="905" t="s">
        <v>11840</v>
      </c>
    </row>
    <row r="2563" spans="1:4" ht="33">
      <c r="A2563" s="657" t="s">
        <v>7720</v>
      </c>
      <c r="B2563" t="s">
        <v>11819</v>
      </c>
      <c r="C2563" s="900" t="s">
        <v>11837</v>
      </c>
      <c r="D2563" s="905" t="s">
        <v>11840</v>
      </c>
    </row>
    <row r="2564" spans="1:4" ht="33">
      <c r="A2564" s="657" t="s">
        <v>7721</v>
      </c>
      <c r="B2564" t="s">
        <v>11819</v>
      </c>
      <c r="C2564" s="900" t="s">
        <v>11837</v>
      </c>
      <c r="D2564" s="905" t="s">
        <v>11840</v>
      </c>
    </row>
    <row r="2565" spans="1:4" ht="33">
      <c r="A2565" s="657" t="s">
        <v>7722</v>
      </c>
      <c r="B2565" t="s">
        <v>11819</v>
      </c>
      <c r="C2565" s="900" t="s">
        <v>11837</v>
      </c>
      <c r="D2565" s="905" t="s">
        <v>11840</v>
      </c>
    </row>
    <row r="2566" spans="1:4" ht="33">
      <c r="A2566" s="657" t="s">
        <v>7723</v>
      </c>
      <c r="B2566" t="s">
        <v>11819</v>
      </c>
      <c r="C2566" s="900" t="s">
        <v>11837</v>
      </c>
      <c r="D2566" s="905" t="s">
        <v>11840</v>
      </c>
    </row>
    <row r="2567" spans="1:4" ht="33">
      <c r="A2567" s="657" t="s">
        <v>7724</v>
      </c>
      <c r="B2567" t="s">
        <v>11819</v>
      </c>
      <c r="C2567" s="900" t="s">
        <v>11837</v>
      </c>
      <c r="D2567" s="905" t="s">
        <v>11840</v>
      </c>
    </row>
    <row r="2568" spans="1:4" ht="33">
      <c r="A2568" s="657" t="s">
        <v>7725</v>
      </c>
      <c r="B2568" t="s">
        <v>11819</v>
      </c>
      <c r="C2568" s="900" t="s">
        <v>11837</v>
      </c>
      <c r="D2568" s="905" t="s">
        <v>11840</v>
      </c>
    </row>
    <row r="2569" spans="1:4" ht="33">
      <c r="A2569" s="657" t="s">
        <v>7726</v>
      </c>
      <c r="B2569" t="s">
        <v>11819</v>
      </c>
      <c r="C2569" s="900" t="s">
        <v>11837</v>
      </c>
      <c r="D2569" s="905" t="s">
        <v>11840</v>
      </c>
    </row>
    <row r="2570" spans="1:4" ht="33">
      <c r="A2570" s="657" t="s">
        <v>7727</v>
      </c>
      <c r="B2570" t="s">
        <v>11819</v>
      </c>
      <c r="C2570" s="900" t="s">
        <v>11837</v>
      </c>
      <c r="D2570" s="905" t="s">
        <v>11840</v>
      </c>
    </row>
    <row r="2571" spans="1:4" ht="33">
      <c r="A2571" s="657" t="s">
        <v>7728</v>
      </c>
      <c r="B2571" t="s">
        <v>11819</v>
      </c>
      <c r="C2571" s="900" t="s">
        <v>11837</v>
      </c>
      <c r="D2571" s="905" t="s">
        <v>11840</v>
      </c>
    </row>
    <row r="2572" spans="1:4" ht="33">
      <c r="A2572" s="657" t="s">
        <v>7729</v>
      </c>
      <c r="B2572" t="s">
        <v>11819</v>
      </c>
      <c r="C2572" s="900" t="s">
        <v>11837</v>
      </c>
      <c r="D2572" s="905" t="s">
        <v>11840</v>
      </c>
    </row>
    <row r="2573" spans="1:4" ht="33">
      <c r="A2573" s="657" t="s">
        <v>7730</v>
      </c>
      <c r="B2573" t="s">
        <v>11819</v>
      </c>
      <c r="C2573" s="900" t="s">
        <v>11837</v>
      </c>
      <c r="D2573" s="905" t="s">
        <v>11840</v>
      </c>
    </row>
    <row r="2574" spans="1:4" ht="33">
      <c r="A2574" s="657" t="s">
        <v>7731</v>
      </c>
      <c r="B2574" t="s">
        <v>11819</v>
      </c>
      <c r="C2574" s="900" t="s">
        <v>11837</v>
      </c>
      <c r="D2574" s="905" t="s">
        <v>11840</v>
      </c>
    </row>
    <row r="2575" spans="1:4" ht="33">
      <c r="A2575" s="657" t="s">
        <v>7732</v>
      </c>
      <c r="B2575" t="s">
        <v>11819</v>
      </c>
      <c r="C2575" s="900" t="s">
        <v>11837</v>
      </c>
      <c r="D2575" s="905" t="s">
        <v>11840</v>
      </c>
    </row>
    <row r="2576" spans="1:4" ht="33">
      <c r="A2576" s="657" t="s">
        <v>7733</v>
      </c>
      <c r="B2576" t="s">
        <v>11819</v>
      </c>
      <c r="C2576" s="900" t="s">
        <v>11837</v>
      </c>
      <c r="D2576" s="905" t="s">
        <v>11840</v>
      </c>
    </row>
    <row r="2577" spans="1:4" ht="33">
      <c r="A2577" s="657" t="s">
        <v>7734</v>
      </c>
      <c r="B2577" t="s">
        <v>11819</v>
      </c>
      <c r="C2577" s="900" t="s">
        <v>11837</v>
      </c>
      <c r="D2577" s="905" t="s">
        <v>11840</v>
      </c>
    </row>
    <row r="2578" spans="1:4" ht="33">
      <c r="A2578" s="657" t="s">
        <v>7735</v>
      </c>
      <c r="B2578" t="s">
        <v>11819</v>
      </c>
      <c r="C2578" s="900" t="s">
        <v>11837</v>
      </c>
      <c r="D2578" s="905" t="s">
        <v>11840</v>
      </c>
    </row>
    <row r="2579" spans="1:4" ht="33">
      <c r="A2579" s="657" t="s">
        <v>7736</v>
      </c>
      <c r="B2579" t="s">
        <v>11819</v>
      </c>
      <c r="C2579" s="900" t="s">
        <v>11837</v>
      </c>
      <c r="D2579" s="905" t="s">
        <v>11840</v>
      </c>
    </row>
    <row r="2580" spans="1:4" ht="33">
      <c r="A2580" s="657" t="s">
        <v>7737</v>
      </c>
      <c r="B2580" t="s">
        <v>11819</v>
      </c>
      <c r="C2580" s="900" t="s">
        <v>11837</v>
      </c>
      <c r="D2580" s="905" t="s">
        <v>11840</v>
      </c>
    </row>
    <row r="2581" spans="1:4" ht="33">
      <c r="A2581" s="657" t="s">
        <v>7738</v>
      </c>
      <c r="B2581" t="s">
        <v>11819</v>
      </c>
      <c r="C2581" s="900" t="s">
        <v>11837</v>
      </c>
      <c r="D2581" s="905" t="s">
        <v>11840</v>
      </c>
    </row>
    <row r="2582" spans="1:4" ht="33">
      <c r="A2582" s="657" t="s">
        <v>7739</v>
      </c>
      <c r="B2582" t="s">
        <v>11819</v>
      </c>
      <c r="C2582" s="900" t="s">
        <v>11837</v>
      </c>
      <c r="D2582" s="905" t="s">
        <v>11840</v>
      </c>
    </row>
    <row r="2583" spans="1:4" ht="33">
      <c r="A2583" s="657" t="s">
        <v>7740</v>
      </c>
      <c r="B2583" t="s">
        <v>11819</v>
      </c>
      <c r="C2583" s="900" t="s">
        <v>11837</v>
      </c>
      <c r="D2583" s="905" t="s">
        <v>11840</v>
      </c>
    </row>
    <row r="2584" spans="1:4" ht="33">
      <c r="A2584" s="657" t="s">
        <v>7741</v>
      </c>
      <c r="B2584" t="s">
        <v>11819</v>
      </c>
      <c r="C2584" s="900" t="s">
        <v>11837</v>
      </c>
      <c r="D2584" s="905" t="s">
        <v>11840</v>
      </c>
    </row>
    <row r="2585" spans="1:4" ht="33">
      <c r="A2585" s="657" t="s">
        <v>7742</v>
      </c>
      <c r="B2585" t="s">
        <v>11819</v>
      </c>
      <c r="C2585" s="900" t="s">
        <v>11837</v>
      </c>
      <c r="D2585" s="905" t="s">
        <v>11840</v>
      </c>
    </row>
    <row r="2586" spans="1:4" ht="33">
      <c r="A2586" s="657" t="s">
        <v>7743</v>
      </c>
      <c r="B2586" t="s">
        <v>11819</v>
      </c>
      <c r="C2586" s="900" t="s">
        <v>11837</v>
      </c>
      <c r="D2586" s="905" t="s">
        <v>11840</v>
      </c>
    </row>
    <row r="2587" spans="1:4" ht="33">
      <c r="A2587" s="657" t="s">
        <v>7744</v>
      </c>
      <c r="B2587" t="s">
        <v>11819</v>
      </c>
      <c r="C2587" s="900" t="s">
        <v>11837</v>
      </c>
      <c r="D2587" s="905" t="s">
        <v>11840</v>
      </c>
    </row>
    <row r="2588" spans="1:4" ht="33">
      <c r="A2588" s="657" t="s">
        <v>7745</v>
      </c>
      <c r="B2588" t="s">
        <v>11819</v>
      </c>
      <c r="C2588" s="900" t="s">
        <v>11837</v>
      </c>
      <c r="D2588" s="905" t="s">
        <v>11840</v>
      </c>
    </row>
    <row r="2589" spans="1:4" ht="33">
      <c r="A2589" s="657" t="s">
        <v>7746</v>
      </c>
      <c r="B2589" t="s">
        <v>11819</v>
      </c>
      <c r="C2589" s="900" t="s">
        <v>11837</v>
      </c>
      <c r="D2589" s="905" t="s">
        <v>11840</v>
      </c>
    </row>
    <row r="2590" spans="1:4" ht="33">
      <c r="A2590" s="657" t="s">
        <v>7747</v>
      </c>
      <c r="B2590" t="s">
        <v>11819</v>
      </c>
      <c r="C2590" s="900" t="s">
        <v>11837</v>
      </c>
      <c r="D2590" s="905" t="s">
        <v>11840</v>
      </c>
    </row>
    <row r="2591" spans="1:4" ht="33">
      <c r="A2591" s="657" t="s">
        <v>7748</v>
      </c>
      <c r="B2591" t="s">
        <v>11819</v>
      </c>
      <c r="C2591" s="900" t="s">
        <v>11837</v>
      </c>
      <c r="D2591" s="905" t="s">
        <v>11840</v>
      </c>
    </row>
    <row r="2592" spans="1:4" ht="33">
      <c r="A2592" s="657" t="s">
        <v>7749</v>
      </c>
      <c r="B2592" t="s">
        <v>11819</v>
      </c>
      <c r="C2592" s="900" t="s">
        <v>11837</v>
      </c>
      <c r="D2592" s="905" t="s">
        <v>11840</v>
      </c>
    </row>
    <row r="2593" spans="1:4" ht="33">
      <c r="A2593" s="657" t="s">
        <v>7750</v>
      </c>
      <c r="B2593" t="s">
        <v>11819</v>
      </c>
      <c r="C2593" s="900" t="s">
        <v>11837</v>
      </c>
      <c r="D2593" s="905" t="s">
        <v>11840</v>
      </c>
    </row>
    <row r="2594" spans="1:4" ht="33">
      <c r="A2594" s="657" t="s">
        <v>7751</v>
      </c>
      <c r="B2594" t="s">
        <v>11819</v>
      </c>
      <c r="C2594" s="900" t="s">
        <v>11837</v>
      </c>
      <c r="D2594" s="905" t="s">
        <v>11840</v>
      </c>
    </row>
    <row r="2595" spans="1:4" ht="33">
      <c r="A2595" s="657" t="s">
        <v>7752</v>
      </c>
      <c r="B2595" t="s">
        <v>11819</v>
      </c>
      <c r="C2595" s="900" t="s">
        <v>11837</v>
      </c>
      <c r="D2595" s="905" t="s">
        <v>11840</v>
      </c>
    </row>
    <row r="2596" spans="1:4" ht="33">
      <c r="A2596" s="657" t="s">
        <v>7753</v>
      </c>
      <c r="B2596" t="s">
        <v>11819</v>
      </c>
      <c r="C2596" s="900" t="s">
        <v>11837</v>
      </c>
      <c r="D2596" s="905" t="s">
        <v>11840</v>
      </c>
    </row>
    <row r="2597" spans="1:4" ht="33">
      <c r="A2597" s="657" t="s">
        <v>7754</v>
      </c>
      <c r="B2597" t="s">
        <v>11819</v>
      </c>
      <c r="C2597" s="900" t="s">
        <v>11837</v>
      </c>
      <c r="D2597" s="905" t="s">
        <v>11840</v>
      </c>
    </row>
    <row r="2598" spans="1:4" ht="33">
      <c r="A2598" s="657" t="s">
        <v>7755</v>
      </c>
      <c r="B2598" t="s">
        <v>11819</v>
      </c>
      <c r="C2598" s="900" t="s">
        <v>11837</v>
      </c>
      <c r="D2598" s="905" t="s">
        <v>11840</v>
      </c>
    </row>
    <row r="2599" spans="1:4" ht="33">
      <c r="A2599" s="657" t="s">
        <v>7756</v>
      </c>
      <c r="B2599" t="s">
        <v>11819</v>
      </c>
      <c r="C2599" s="900" t="s">
        <v>11837</v>
      </c>
      <c r="D2599" s="905" t="s">
        <v>11840</v>
      </c>
    </row>
    <row r="2600" spans="1:4" ht="33">
      <c r="A2600" s="657" t="s">
        <v>7757</v>
      </c>
      <c r="B2600" t="s">
        <v>11819</v>
      </c>
      <c r="C2600" s="900" t="s">
        <v>11837</v>
      </c>
      <c r="D2600" s="905" t="s">
        <v>11840</v>
      </c>
    </row>
    <row r="2601" spans="1:4" ht="33">
      <c r="A2601" s="657" t="s">
        <v>7758</v>
      </c>
      <c r="B2601" t="s">
        <v>11819</v>
      </c>
      <c r="C2601" s="900" t="s">
        <v>11837</v>
      </c>
      <c r="D2601" s="905" t="s">
        <v>11840</v>
      </c>
    </row>
    <row r="2602" spans="1:4" ht="33">
      <c r="A2602" s="657" t="s">
        <v>7759</v>
      </c>
      <c r="B2602" t="s">
        <v>11819</v>
      </c>
      <c r="C2602" s="900" t="s">
        <v>11837</v>
      </c>
      <c r="D2602" s="905" t="s">
        <v>11840</v>
      </c>
    </row>
    <row r="2603" spans="1:4" ht="33">
      <c r="A2603" s="657" t="s">
        <v>7760</v>
      </c>
      <c r="B2603" t="s">
        <v>11819</v>
      </c>
      <c r="C2603" s="900" t="s">
        <v>11837</v>
      </c>
      <c r="D2603" s="905" t="s">
        <v>11840</v>
      </c>
    </row>
    <row r="2604" spans="1:4" ht="33">
      <c r="A2604" s="657" t="s">
        <v>7761</v>
      </c>
      <c r="B2604" t="s">
        <v>11819</v>
      </c>
      <c r="C2604" s="900" t="s">
        <v>11837</v>
      </c>
      <c r="D2604" s="905" t="s">
        <v>11840</v>
      </c>
    </row>
    <row r="2605" spans="1:4" ht="33">
      <c r="A2605" s="657" t="s">
        <v>7762</v>
      </c>
      <c r="B2605" t="s">
        <v>11819</v>
      </c>
      <c r="C2605" s="900" t="s">
        <v>11837</v>
      </c>
      <c r="D2605" s="905" t="s">
        <v>11840</v>
      </c>
    </row>
    <row r="2606" spans="1:4" ht="33">
      <c r="A2606" s="657" t="s">
        <v>7763</v>
      </c>
      <c r="B2606" t="s">
        <v>11819</v>
      </c>
      <c r="C2606" s="900" t="s">
        <v>11837</v>
      </c>
      <c r="D2606" s="905" t="s">
        <v>11840</v>
      </c>
    </row>
    <row r="2607" spans="1:4" ht="33">
      <c r="A2607" s="657" t="s">
        <v>7764</v>
      </c>
      <c r="B2607" t="s">
        <v>11819</v>
      </c>
      <c r="C2607" s="900" t="s">
        <v>11837</v>
      </c>
      <c r="D2607" s="905" t="s">
        <v>11840</v>
      </c>
    </row>
    <row r="2608" spans="1:4" ht="33">
      <c r="A2608" s="657" t="s">
        <v>7765</v>
      </c>
      <c r="B2608" t="s">
        <v>11819</v>
      </c>
      <c r="C2608" s="900" t="s">
        <v>11837</v>
      </c>
      <c r="D2608" s="905" t="s">
        <v>11840</v>
      </c>
    </row>
    <row r="2609" spans="1:4" ht="33">
      <c r="A2609" s="657" t="s">
        <v>7766</v>
      </c>
      <c r="B2609" t="s">
        <v>11819</v>
      </c>
      <c r="C2609" s="900" t="s">
        <v>11837</v>
      </c>
      <c r="D2609" s="905" t="s">
        <v>11840</v>
      </c>
    </row>
    <row r="2610" spans="1:4" ht="33">
      <c r="A2610" s="657" t="s">
        <v>7767</v>
      </c>
      <c r="B2610" t="s">
        <v>11819</v>
      </c>
      <c r="C2610" s="900" t="s">
        <v>11837</v>
      </c>
      <c r="D2610" s="905" t="s">
        <v>11840</v>
      </c>
    </row>
    <row r="2611" spans="1:4" ht="33">
      <c r="A2611" s="657" t="s">
        <v>7768</v>
      </c>
      <c r="B2611" t="s">
        <v>11819</v>
      </c>
      <c r="C2611" s="900" t="s">
        <v>11837</v>
      </c>
      <c r="D2611" s="905" t="s">
        <v>11840</v>
      </c>
    </row>
    <row r="2612" spans="1:4" ht="33">
      <c r="A2612" s="657" t="s">
        <v>7769</v>
      </c>
      <c r="B2612" t="s">
        <v>11819</v>
      </c>
      <c r="C2612" s="900" t="s">
        <v>11837</v>
      </c>
      <c r="D2612" s="905" t="s">
        <v>11840</v>
      </c>
    </row>
    <row r="2613" spans="1:4" ht="33">
      <c r="A2613" s="657" t="s">
        <v>7770</v>
      </c>
      <c r="B2613" t="s">
        <v>11819</v>
      </c>
      <c r="C2613" s="900" t="s">
        <v>11837</v>
      </c>
      <c r="D2613" s="905" t="s">
        <v>11840</v>
      </c>
    </row>
    <row r="2614" spans="1:4" ht="33">
      <c r="A2614" s="657" t="s">
        <v>7771</v>
      </c>
      <c r="B2614" t="s">
        <v>11819</v>
      </c>
      <c r="C2614" s="900" t="s">
        <v>11837</v>
      </c>
      <c r="D2614" s="905" t="s">
        <v>11840</v>
      </c>
    </row>
    <row r="2615" spans="1:4" ht="33">
      <c r="A2615" s="657" t="s">
        <v>7772</v>
      </c>
      <c r="B2615" t="s">
        <v>11819</v>
      </c>
      <c r="C2615" s="900" t="s">
        <v>11837</v>
      </c>
      <c r="D2615" s="905" t="s">
        <v>11840</v>
      </c>
    </row>
    <row r="2616" spans="1:4" ht="33">
      <c r="A2616" s="657" t="s">
        <v>7773</v>
      </c>
      <c r="B2616" t="s">
        <v>11819</v>
      </c>
      <c r="C2616" s="900" t="s">
        <v>11837</v>
      </c>
      <c r="D2616" s="905" t="s">
        <v>11840</v>
      </c>
    </row>
    <row r="2617" spans="1:4" ht="33">
      <c r="A2617" s="657" t="s">
        <v>7774</v>
      </c>
      <c r="B2617" t="s">
        <v>11819</v>
      </c>
      <c r="C2617" s="900" t="s">
        <v>11837</v>
      </c>
      <c r="D2617" s="905" t="s">
        <v>11840</v>
      </c>
    </row>
    <row r="2618" spans="1:4" ht="33">
      <c r="A2618" s="657" t="s">
        <v>7775</v>
      </c>
      <c r="B2618" t="s">
        <v>11819</v>
      </c>
      <c r="C2618" s="900" t="s">
        <v>11837</v>
      </c>
      <c r="D2618" s="905" t="s">
        <v>11840</v>
      </c>
    </row>
    <row r="2619" spans="1:4" ht="33">
      <c r="A2619" s="657" t="s">
        <v>7776</v>
      </c>
      <c r="B2619" t="s">
        <v>11819</v>
      </c>
      <c r="C2619" s="900" t="s">
        <v>11837</v>
      </c>
      <c r="D2619" s="905" t="s">
        <v>11840</v>
      </c>
    </row>
    <row r="2620" spans="1:4" ht="33">
      <c r="A2620" s="657" t="s">
        <v>7777</v>
      </c>
      <c r="B2620" t="s">
        <v>11819</v>
      </c>
      <c r="C2620" s="900" t="s">
        <v>11837</v>
      </c>
      <c r="D2620" s="905" t="s">
        <v>11840</v>
      </c>
    </row>
    <row r="2621" spans="1:4" ht="33">
      <c r="A2621" s="657" t="s">
        <v>7778</v>
      </c>
      <c r="B2621" t="s">
        <v>11819</v>
      </c>
      <c r="C2621" s="900" t="s">
        <v>11837</v>
      </c>
      <c r="D2621" s="905" t="s">
        <v>11840</v>
      </c>
    </row>
    <row r="2622" spans="1:4" ht="33">
      <c r="A2622" s="657" t="s">
        <v>7779</v>
      </c>
      <c r="B2622" t="s">
        <v>11819</v>
      </c>
      <c r="C2622" s="900" t="s">
        <v>11837</v>
      </c>
      <c r="D2622" s="905" t="s">
        <v>11840</v>
      </c>
    </row>
    <row r="2623" spans="1:4" ht="33">
      <c r="A2623" s="657" t="s">
        <v>7780</v>
      </c>
      <c r="B2623" t="s">
        <v>11819</v>
      </c>
      <c r="C2623" s="900" t="s">
        <v>11837</v>
      </c>
      <c r="D2623" s="905" t="s">
        <v>11840</v>
      </c>
    </row>
    <row r="2624" spans="1:4" ht="33">
      <c r="A2624" s="657" t="s">
        <v>7781</v>
      </c>
      <c r="B2624" t="s">
        <v>11819</v>
      </c>
      <c r="C2624" s="900" t="s">
        <v>11837</v>
      </c>
      <c r="D2624" s="905" t="s">
        <v>11840</v>
      </c>
    </row>
    <row r="2625" spans="1:4" ht="33">
      <c r="A2625" s="657" t="s">
        <v>7782</v>
      </c>
      <c r="B2625" t="s">
        <v>11819</v>
      </c>
      <c r="C2625" s="900" t="s">
        <v>11837</v>
      </c>
      <c r="D2625" s="905" t="s">
        <v>11840</v>
      </c>
    </row>
    <row r="2626" spans="1:4" ht="33">
      <c r="A2626" s="657" t="s">
        <v>7783</v>
      </c>
      <c r="B2626" t="s">
        <v>11819</v>
      </c>
      <c r="C2626" s="900" t="s">
        <v>11837</v>
      </c>
      <c r="D2626" s="905" t="s">
        <v>11840</v>
      </c>
    </row>
    <row r="2627" spans="1:4" ht="33">
      <c r="A2627" s="657" t="s">
        <v>7784</v>
      </c>
      <c r="B2627" t="s">
        <v>11819</v>
      </c>
      <c r="C2627" s="900" t="s">
        <v>11837</v>
      </c>
      <c r="D2627" s="905" t="s">
        <v>11840</v>
      </c>
    </row>
    <row r="2628" spans="1:4" ht="33">
      <c r="A2628" s="657" t="s">
        <v>7785</v>
      </c>
      <c r="B2628" t="s">
        <v>11819</v>
      </c>
      <c r="C2628" s="900" t="s">
        <v>11837</v>
      </c>
      <c r="D2628" s="905" t="s">
        <v>11840</v>
      </c>
    </row>
    <row r="2629" spans="1:4" ht="33">
      <c r="A2629" s="657" t="s">
        <v>7786</v>
      </c>
      <c r="B2629" t="s">
        <v>11819</v>
      </c>
      <c r="C2629" s="900" t="s">
        <v>11837</v>
      </c>
      <c r="D2629" s="905" t="s">
        <v>11840</v>
      </c>
    </row>
    <row r="2630" spans="1:4" ht="33">
      <c r="A2630" s="657" t="s">
        <v>7787</v>
      </c>
      <c r="B2630" t="s">
        <v>11819</v>
      </c>
      <c r="C2630" s="900" t="s">
        <v>11837</v>
      </c>
      <c r="D2630" s="905" t="s">
        <v>11840</v>
      </c>
    </row>
    <row r="2631" spans="1:4" ht="33">
      <c r="A2631" s="657" t="s">
        <v>7788</v>
      </c>
      <c r="B2631" t="s">
        <v>11819</v>
      </c>
      <c r="C2631" s="900" t="s">
        <v>11837</v>
      </c>
      <c r="D2631" s="905" t="s">
        <v>11840</v>
      </c>
    </row>
    <row r="2632" spans="1:4" ht="33">
      <c r="A2632" s="657" t="s">
        <v>7789</v>
      </c>
      <c r="B2632" t="s">
        <v>11819</v>
      </c>
      <c r="C2632" s="900" t="s">
        <v>11837</v>
      </c>
      <c r="D2632" s="905" t="s">
        <v>11840</v>
      </c>
    </row>
    <row r="2633" spans="1:4" ht="33">
      <c r="A2633" s="657" t="s">
        <v>7790</v>
      </c>
      <c r="B2633" t="s">
        <v>11819</v>
      </c>
      <c r="C2633" s="900" t="s">
        <v>11837</v>
      </c>
      <c r="D2633" s="905" t="s">
        <v>11840</v>
      </c>
    </row>
    <row r="2634" spans="1:4" ht="33">
      <c r="A2634" s="657" t="s">
        <v>7791</v>
      </c>
      <c r="B2634" t="s">
        <v>11819</v>
      </c>
      <c r="C2634" s="900" t="s">
        <v>11837</v>
      </c>
      <c r="D2634" s="905" t="s">
        <v>11840</v>
      </c>
    </row>
    <row r="2635" spans="1:4" ht="33">
      <c r="A2635" s="657" t="s">
        <v>7792</v>
      </c>
      <c r="B2635" t="s">
        <v>11819</v>
      </c>
      <c r="C2635" s="900" t="s">
        <v>11837</v>
      </c>
      <c r="D2635" s="905" t="s">
        <v>11840</v>
      </c>
    </row>
    <row r="2636" spans="1:4" ht="33">
      <c r="A2636" s="657" t="s">
        <v>7793</v>
      </c>
      <c r="B2636" t="s">
        <v>11819</v>
      </c>
      <c r="C2636" s="900" t="s">
        <v>11837</v>
      </c>
      <c r="D2636" s="905" t="s">
        <v>11840</v>
      </c>
    </row>
    <row r="2637" spans="1:4" ht="33">
      <c r="A2637" s="657" t="s">
        <v>7794</v>
      </c>
      <c r="B2637" t="s">
        <v>11819</v>
      </c>
      <c r="C2637" s="900" t="s">
        <v>11837</v>
      </c>
      <c r="D2637" s="905" t="s">
        <v>11840</v>
      </c>
    </row>
    <row r="2638" spans="1:4" ht="33">
      <c r="A2638" s="657" t="s">
        <v>7795</v>
      </c>
      <c r="B2638" t="s">
        <v>11819</v>
      </c>
      <c r="C2638" s="900" t="s">
        <v>11837</v>
      </c>
      <c r="D2638" s="905" t="s">
        <v>11840</v>
      </c>
    </row>
    <row r="2639" spans="1:4" ht="33">
      <c r="A2639" s="657" t="s">
        <v>7796</v>
      </c>
      <c r="B2639" t="s">
        <v>11819</v>
      </c>
      <c r="C2639" s="900" t="s">
        <v>11837</v>
      </c>
      <c r="D2639" s="905" t="s">
        <v>11840</v>
      </c>
    </row>
    <row r="2640" spans="1:4" ht="33">
      <c r="A2640" s="657" t="s">
        <v>7797</v>
      </c>
      <c r="B2640" t="s">
        <v>11819</v>
      </c>
      <c r="C2640" s="900" t="s">
        <v>11837</v>
      </c>
      <c r="D2640" s="905" t="s">
        <v>11840</v>
      </c>
    </row>
    <row r="2641" spans="1:4" ht="33">
      <c r="A2641" s="657" t="s">
        <v>7798</v>
      </c>
      <c r="B2641" t="s">
        <v>11819</v>
      </c>
      <c r="C2641" s="900" t="s">
        <v>11837</v>
      </c>
      <c r="D2641" s="905" t="s">
        <v>11840</v>
      </c>
    </row>
    <row r="2642" spans="1:4" ht="33">
      <c r="A2642" s="657" t="s">
        <v>7799</v>
      </c>
      <c r="B2642" t="s">
        <v>11819</v>
      </c>
      <c r="C2642" s="900" t="s">
        <v>11837</v>
      </c>
      <c r="D2642" s="905" t="s">
        <v>11840</v>
      </c>
    </row>
    <row r="2643" spans="1:4" ht="33">
      <c r="A2643" s="657" t="s">
        <v>7800</v>
      </c>
      <c r="B2643" t="s">
        <v>11819</v>
      </c>
      <c r="C2643" s="900" t="s">
        <v>11837</v>
      </c>
      <c r="D2643" s="905" t="s">
        <v>11840</v>
      </c>
    </row>
    <row r="2644" spans="1:4" ht="33">
      <c r="A2644" s="657" t="s">
        <v>7801</v>
      </c>
      <c r="B2644" t="s">
        <v>11819</v>
      </c>
      <c r="C2644" s="900" t="s">
        <v>11837</v>
      </c>
      <c r="D2644" s="905" t="s">
        <v>11840</v>
      </c>
    </row>
    <row r="2645" spans="1:4" ht="33">
      <c r="A2645" s="657" t="s">
        <v>7802</v>
      </c>
      <c r="B2645" t="s">
        <v>11819</v>
      </c>
      <c r="C2645" s="900" t="s">
        <v>11837</v>
      </c>
      <c r="D2645" s="905" t="s">
        <v>11840</v>
      </c>
    </row>
    <row r="2646" spans="1:4" ht="33">
      <c r="A2646" s="657" t="s">
        <v>7803</v>
      </c>
      <c r="B2646" t="s">
        <v>11819</v>
      </c>
      <c r="C2646" s="900" t="s">
        <v>11837</v>
      </c>
      <c r="D2646" s="905" t="s">
        <v>11840</v>
      </c>
    </row>
    <row r="2647" spans="1:4" ht="33">
      <c r="A2647" s="657" t="s">
        <v>7804</v>
      </c>
      <c r="B2647" t="s">
        <v>11819</v>
      </c>
      <c r="C2647" s="900" t="s">
        <v>11837</v>
      </c>
      <c r="D2647" s="905" t="s">
        <v>11840</v>
      </c>
    </row>
    <row r="2648" spans="1:4" ht="33">
      <c r="A2648" s="657" t="s">
        <v>7805</v>
      </c>
      <c r="B2648" t="s">
        <v>11819</v>
      </c>
      <c r="C2648" s="900" t="s">
        <v>11837</v>
      </c>
      <c r="D2648" s="905" t="s">
        <v>11840</v>
      </c>
    </row>
    <row r="2649" spans="1:4" ht="33">
      <c r="A2649" s="657" t="s">
        <v>7806</v>
      </c>
      <c r="B2649" t="s">
        <v>11819</v>
      </c>
      <c r="C2649" s="900" t="s">
        <v>11837</v>
      </c>
      <c r="D2649" s="905" t="s">
        <v>11840</v>
      </c>
    </row>
    <row r="2650" spans="1:4" ht="33">
      <c r="A2650" s="657" t="s">
        <v>7807</v>
      </c>
      <c r="B2650" t="s">
        <v>11819</v>
      </c>
      <c r="C2650" s="900" t="s">
        <v>11837</v>
      </c>
      <c r="D2650" s="905" t="s">
        <v>11840</v>
      </c>
    </row>
    <row r="2651" spans="1:4" ht="33">
      <c r="A2651" s="657" t="s">
        <v>7808</v>
      </c>
      <c r="B2651" t="s">
        <v>11819</v>
      </c>
      <c r="C2651" s="900" t="s">
        <v>11837</v>
      </c>
      <c r="D2651" s="905" t="s">
        <v>11840</v>
      </c>
    </row>
    <row r="2652" spans="1:4" ht="33">
      <c r="A2652" s="657" t="s">
        <v>7809</v>
      </c>
      <c r="B2652" t="s">
        <v>11819</v>
      </c>
      <c r="C2652" s="900" t="s">
        <v>11837</v>
      </c>
      <c r="D2652" s="905" t="s">
        <v>11840</v>
      </c>
    </row>
    <row r="2653" spans="1:4" ht="33">
      <c r="A2653" s="657" t="s">
        <v>7810</v>
      </c>
      <c r="B2653" t="s">
        <v>11819</v>
      </c>
      <c r="C2653" s="900" t="s">
        <v>11837</v>
      </c>
      <c r="D2653" s="905" t="s">
        <v>11840</v>
      </c>
    </row>
    <row r="2654" spans="1:4" ht="33">
      <c r="A2654" s="657" t="s">
        <v>7811</v>
      </c>
      <c r="B2654" t="s">
        <v>11819</v>
      </c>
      <c r="C2654" s="900" t="s">
        <v>11837</v>
      </c>
      <c r="D2654" s="905" t="s">
        <v>11840</v>
      </c>
    </row>
    <row r="2655" spans="1:4" ht="33">
      <c r="A2655" s="657" t="s">
        <v>7812</v>
      </c>
      <c r="B2655" t="s">
        <v>11819</v>
      </c>
      <c r="C2655" s="900" t="s">
        <v>11837</v>
      </c>
      <c r="D2655" s="905" t="s">
        <v>11840</v>
      </c>
    </row>
    <row r="2656" spans="1:4" ht="33">
      <c r="A2656" s="657" t="s">
        <v>7813</v>
      </c>
      <c r="B2656" t="s">
        <v>11819</v>
      </c>
      <c r="C2656" s="900" t="s">
        <v>11837</v>
      </c>
      <c r="D2656" s="905" t="s">
        <v>11840</v>
      </c>
    </row>
    <row r="2657" spans="1:4" ht="33">
      <c r="A2657" s="657" t="s">
        <v>7814</v>
      </c>
      <c r="B2657" t="s">
        <v>11819</v>
      </c>
      <c r="C2657" s="900" t="s">
        <v>11837</v>
      </c>
      <c r="D2657" s="905" t="s">
        <v>11840</v>
      </c>
    </row>
    <row r="2658" spans="1:4" ht="33">
      <c r="A2658" s="657" t="s">
        <v>7815</v>
      </c>
      <c r="B2658" t="s">
        <v>11819</v>
      </c>
      <c r="C2658" s="900" t="s">
        <v>11837</v>
      </c>
      <c r="D2658" s="905" t="s">
        <v>11840</v>
      </c>
    </row>
    <row r="2659" spans="1:4" ht="33">
      <c r="A2659" s="657" t="s">
        <v>7816</v>
      </c>
      <c r="B2659" t="s">
        <v>11819</v>
      </c>
      <c r="C2659" s="900" t="s">
        <v>11837</v>
      </c>
      <c r="D2659" s="905" t="s">
        <v>11840</v>
      </c>
    </row>
    <row r="2660" spans="1:4" ht="33">
      <c r="A2660" s="657" t="s">
        <v>7817</v>
      </c>
      <c r="B2660" t="s">
        <v>11819</v>
      </c>
      <c r="C2660" s="900" t="s">
        <v>11837</v>
      </c>
      <c r="D2660" s="905" t="s">
        <v>11840</v>
      </c>
    </row>
    <row r="2661" spans="1:4" ht="33">
      <c r="A2661" s="657" t="s">
        <v>7818</v>
      </c>
      <c r="B2661" t="s">
        <v>11819</v>
      </c>
      <c r="C2661" s="900" t="s">
        <v>11837</v>
      </c>
      <c r="D2661" s="905" t="s">
        <v>11840</v>
      </c>
    </row>
    <row r="2662" spans="1:4" ht="33">
      <c r="A2662" s="657" t="s">
        <v>7819</v>
      </c>
      <c r="B2662" t="s">
        <v>11819</v>
      </c>
      <c r="C2662" s="900" t="s">
        <v>11837</v>
      </c>
      <c r="D2662" s="905" t="s">
        <v>11840</v>
      </c>
    </row>
    <row r="2663" spans="1:4" ht="33">
      <c r="A2663" s="657" t="s">
        <v>7820</v>
      </c>
      <c r="B2663" t="s">
        <v>11819</v>
      </c>
      <c r="C2663" s="900" t="s">
        <v>11837</v>
      </c>
      <c r="D2663" s="905" t="s">
        <v>11840</v>
      </c>
    </row>
    <row r="2664" spans="1:4" ht="33">
      <c r="A2664" s="657" t="s">
        <v>7821</v>
      </c>
      <c r="B2664" t="s">
        <v>11819</v>
      </c>
      <c r="C2664" s="900" t="s">
        <v>11837</v>
      </c>
      <c r="D2664" s="905" t="s">
        <v>11840</v>
      </c>
    </row>
    <row r="2665" spans="1:4" ht="33">
      <c r="A2665" s="657" t="s">
        <v>7822</v>
      </c>
      <c r="B2665" t="s">
        <v>11819</v>
      </c>
      <c r="C2665" s="900" t="s">
        <v>11837</v>
      </c>
      <c r="D2665" s="905" t="s">
        <v>11840</v>
      </c>
    </row>
    <row r="2666" spans="1:4" ht="33">
      <c r="A2666" s="657" t="s">
        <v>7823</v>
      </c>
      <c r="B2666" t="s">
        <v>11819</v>
      </c>
      <c r="C2666" s="900" t="s">
        <v>11837</v>
      </c>
      <c r="D2666" s="905" t="s">
        <v>11840</v>
      </c>
    </row>
    <row r="2667" spans="1:4" ht="33">
      <c r="A2667" s="657" t="s">
        <v>7824</v>
      </c>
      <c r="B2667" t="s">
        <v>11819</v>
      </c>
      <c r="C2667" s="900" t="s">
        <v>11837</v>
      </c>
      <c r="D2667" s="905" t="s">
        <v>11840</v>
      </c>
    </row>
    <row r="2668" spans="1:4" ht="33">
      <c r="A2668" s="657" t="s">
        <v>7825</v>
      </c>
      <c r="B2668" t="s">
        <v>11819</v>
      </c>
      <c r="C2668" s="900" t="s">
        <v>11837</v>
      </c>
      <c r="D2668" s="905" t="s">
        <v>11840</v>
      </c>
    </row>
    <row r="2669" spans="1:4" ht="33">
      <c r="A2669" s="657" t="s">
        <v>7826</v>
      </c>
      <c r="B2669" t="s">
        <v>11819</v>
      </c>
      <c r="C2669" s="900" t="s">
        <v>11837</v>
      </c>
      <c r="D2669" s="905" t="s">
        <v>11840</v>
      </c>
    </row>
    <row r="2670" spans="1:4" ht="33">
      <c r="A2670" s="657" t="s">
        <v>7827</v>
      </c>
      <c r="B2670" t="s">
        <v>11819</v>
      </c>
      <c r="C2670" s="900" t="s">
        <v>11837</v>
      </c>
      <c r="D2670" s="905" t="s">
        <v>11840</v>
      </c>
    </row>
    <row r="2671" spans="1:4" ht="33">
      <c r="A2671" s="657" t="s">
        <v>7828</v>
      </c>
      <c r="B2671" t="s">
        <v>11819</v>
      </c>
      <c r="C2671" s="900" t="s">
        <v>11837</v>
      </c>
      <c r="D2671" s="905" t="s">
        <v>11840</v>
      </c>
    </row>
    <row r="2672" spans="1:4" ht="33">
      <c r="A2672" s="657" t="s">
        <v>7829</v>
      </c>
      <c r="B2672" t="s">
        <v>11819</v>
      </c>
      <c r="C2672" s="900" t="s">
        <v>11837</v>
      </c>
      <c r="D2672" s="905" t="s">
        <v>11840</v>
      </c>
    </row>
    <row r="2673" spans="1:4" ht="33">
      <c r="A2673" s="657" t="s">
        <v>7830</v>
      </c>
      <c r="B2673" t="s">
        <v>11819</v>
      </c>
      <c r="C2673" s="900" t="s">
        <v>11837</v>
      </c>
      <c r="D2673" s="905" t="s">
        <v>11840</v>
      </c>
    </row>
    <row r="2674" spans="1:4" ht="33">
      <c r="A2674" s="657" t="s">
        <v>7831</v>
      </c>
      <c r="B2674" t="s">
        <v>11819</v>
      </c>
      <c r="C2674" s="900" t="s">
        <v>11837</v>
      </c>
      <c r="D2674" s="905" t="s">
        <v>11840</v>
      </c>
    </row>
    <row r="2675" spans="1:4" ht="33">
      <c r="A2675" s="657" t="s">
        <v>7832</v>
      </c>
      <c r="B2675" t="s">
        <v>11819</v>
      </c>
      <c r="C2675" s="900" t="s">
        <v>11837</v>
      </c>
      <c r="D2675" s="905" t="s">
        <v>11840</v>
      </c>
    </row>
    <row r="2676" spans="1:4" ht="33">
      <c r="A2676" s="657" t="s">
        <v>7833</v>
      </c>
      <c r="B2676" t="s">
        <v>11819</v>
      </c>
      <c r="C2676" s="900" t="s">
        <v>11837</v>
      </c>
      <c r="D2676" s="905" t="s">
        <v>11840</v>
      </c>
    </row>
    <row r="2677" spans="1:4" ht="33">
      <c r="A2677" s="657" t="s">
        <v>7834</v>
      </c>
      <c r="B2677" t="s">
        <v>11819</v>
      </c>
      <c r="C2677" s="900" t="s">
        <v>11837</v>
      </c>
      <c r="D2677" s="905" t="s">
        <v>11840</v>
      </c>
    </row>
    <row r="2678" spans="1:4" ht="33">
      <c r="A2678" s="657" t="s">
        <v>7835</v>
      </c>
      <c r="B2678" t="s">
        <v>11819</v>
      </c>
      <c r="C2678" s="900" t="s">
        <v>11837</v>
      </c>
      <c r="D2678" s="905" t="s">
        <v>11840</v>
      </c>
    </row>
    <row r="2679" spans="1:4" ht="33">
      <c r="A2679" s="657" t="s">
        <v>7836</v>
      </c>
      <c r="B2679" t="s">
        <v>11819</v>
      </c>
      <c r="C2679" s="900" t="s">
        <v>11837</v>
      </c>
      <c r="D2679" s="905" t="s">
        <v>11840</v>
      </c>
    </row>
    <row r="2680" spans="1:4" ht="33">
      <c r="A2680" s="657" t="s">
        <v>7837</v>
      </c>
      <c r="B2680" t="s">
        <v>11819</v>
      </c>
      <c r="C2680" s="900" t="s">
        <v>11837</v>
      </c>
      <c r="D2680" s="905" t="s">
        <v>11840</v>
      </c>
    </row>
    <row r="2681" spans="1:4" ht="33">
      <c r="A2681" s="657" t="s">
        <v>7838</v>
      </c>
      <c r="B2681" t="s">
        <v>11819</v>
      </c>
      <c r="C2681" s="900" t="s">
        <v>11837</v>
      </c>
      <c r="D2681" s="905" t="s">
        <v>11840</v>
      </c>
    </row>
    <row r="2682" spans="1:4" ht="33">
      <c r="A2682" s="657" t="s">
        <v>7839</v>
      </c>
      <c r="B2682" t="s">
        <v>11819</v>
      </c>
      <c r="C2682" s="900" t="s">
        <v>11837</v>
      </c>
      <c r="D2682" s="905" t="s">
        <v>11840</v>
      </c>
    </row>
    <row r="2683" spans="1:4" ht="33">
      <c r="A2683" s="657" t="s">
        <v>7840</v>
      </c>
      <c r="B2683" t="s">
        <v>11819</v>
      </c>
      <c r="C2683" s="900" t="s">
        <v>11837</v>
      </c>
      <c r="D2683" s="905" t="s">
        <v>11840</v>
      </c>
    </row>
    <row r="2684" spans="1:4" ht="33">
      <c r="A2684" s="657" t="s">
        <v>7841</v>
      </c>
      <c r="B2684" t="s">
        <v>11819</v>
      </c>
      <c r="C2684" s="900" t="s">
        <v>11837</v>
      </c>
      <c r="D2684" s="905" t="s">
        <v>11840</v>
      </c>
    </row>
    <row r="2685" spans="1:4" ht="33">
      <c r="A2685" s="657" t="s">
        <v>7842</v>
      </c>
      <c r="B2685" t="s">
        <v>11819</v>
      </c>
      <c r="C2685" s="900" t="s">
        <v>11837</v>
      </c>
      <c r="D2685" s="905" t="s">
        <v>11840</v>
      </c>
    </row>
    <row r="2686" spans="1:4" ht="33">
      <c r="A2686" s="657" t="s">
        <v>7843</v>
      </c>
      <c r="B2686" t="s">
        <v>11819</v>
      </c>
      <c r="C2686" s="900" t="s">
        <v>11837</v>
      </c>
      <c r="D2686" s="905" t="s">
        <v>11840</v>
      </c>
    </row>
    <row r="2687" spans="1:4" ht="33">
      <c r="A2687" s="657" t="s">
        <v>7844</v>
      </c>
      <c r="B2687" t="s">
        <v>11819</v>
      </c>
      <c r="C2687" s="900" t="s">
        <v>11837</v>
      </c>
      <c r="D2687" s="905" t="s">
        <v>11840</v>
      </c>
    </row>
    <row r="2688" spans="1:4" ht="33">
      <c r="A2688" s="657" t="s">
        <v>7845</v>
      </c>
      <c r="B2688" t="s">
        <v>11819</v>
      </c>
      <c r="C2688" s="900" t="s">
        <v>11837</v>
      </c>
      <c r="D2688" s="905" t="s">
        <v>11840</v>
      </c>
    </row>
    <row r="2689" spans="1:4" ht="33">
      <c r="A2689" s="657" t="s">
        <v>7846</v>
      </c>
      <c r="B2689" t="s">
        <v>11819</v>
      </c>
      <c r="C2689" s="900" t="s">
        <v>11837</v>
      </c>
      <c r="D2689" s="905" t="s">
        <v>11840</v>
      </c>
    </row>
    <row r="2690" spans="1:4" ht="33">
      <c r="A2690" s="657" t="s">
        <v>7847</v>
      </c>
      <c r="B2690" t="s">
        <v>11819</v>
      </c>
      <c r="C2690" s="900" t="s">
        <v>11837</v>
      </c>
      <c r="D2690" s="905" t="s">
        <v>11840</v>
      </c>
    </row>
    <row r="2691" spans="1:4" ht="33">
      <c r="A2691" s="657" t="s">
        <v>7848</v>
      </c>
      <c r="B2691" t="s">
        <v>11819</v>
      </c>
      <c r="C2691" s="900" t="s">
        <v>11837</v>
      </c>
      <c r="D2691" s="905" t="s">
        <v>11840</v>
      </c>
    </row>
    <row r="2692" spans="1:4" ht="33">
      <c r="A2692" s="657" t="s">
        <v>7849</v>
      </c>
      <c r="B2692" t="s">
        <v>11819</v>
      </c>
      <c r="C2692" s="900" t="s">
        <v>11837</v>
      </c>
      <c r="D2692" s="905" t="s">
        <v>11840</v>
      </c>
    </row>
    <row r="2693" spans="1:4" ht="33">
      <c r="A2693" s="657" t="s">
        <v>7850</v>
      </c>
      <c r="B2693" t="s">
        <v>11819</v>
      </c>
      <c r="C2693" s="900" t="s">
        <v>11837</v>
      </c>
      <c r="D2693" s="905" t="s">
        <v>11840</v>
      </c>
    </row>
    <row r="2694" spans="1:4" ht="33">
      <c r="A2694" s="657" t="s">
        <v>7851</v>
      </c>
      <c r="B2694" t="s">
        <v>11819</v>
      </c>
      <c r="C2694" s="900" t="s">
        <v>11837</v>
      </c>
      <c r="D2694" s="905" t="s">
        <v>11840</v>
      </c>
    </row>
    <row r="2695" spans="1:4" ht="33">
      <c r="A2695" s="657" t="s">
        <v>7852</v>
      </c>
      <c r="B2695" t="s">
        <v>11819</v>
      </c>
      <c r="C2695" s="900" t="s">
        <v>11837</v>
      </c>
      <c r="D2695" s="905" t="s">
        <v>11840</v>
      </c>
    </row>
    <row r="2696" spans="1:4" ht="33">
      <c r="A2696" s="657" t="s">
        <v>7853</v>
      </c>
      <c r="B2696" t="s">
        <v>11819</v>
      </c>
      <c r="C2696" s="900" t="s">
        <v>11837</v>
      </c>
      <c r="D2696" s="905" t="s">
        <v>11840</v>
      </c>
    </row>
    <row r="2697" spans="1:4" ht="33">
      <c r="A2697" s="657" t="s">
        <v>7854</v>
      </c>
      <c r="B2697" t="s">
        <v>11819</v>
      </c>
      <c r="C2697" s="900" t="s">
        <v>11837</v>
      </c>
      <c r="D2697" s="905" t="s">
        <v>11840</v>
      </c>
    </row>
    <row r="2698" spans="1:4" ht="33">
      <c r="A2698" s="657" t="s">
        <v>7855</v>
      </c>
      <c r="B2698" t="s">
        <v>11819</v>
      </c>
      <c r="C2698" s="900" t="s">
        <v>11837</v>
      </c>
      <c r="D2698" s="905" t="s">
        <v>11840</v>
      </c>
    </row>
    <row r="2699" spans="1:4" ht="33">
      <c r="A2699" s="657" t="s">
        <v>7856</v>
      </c>
      <c r="B2699" t="s">
        <v>11819</v>
      </c>
      <c r="C2699" s="900" t="s">
        <v>11837</v>
      </c>
      <c r="D2699" s="905" t="s">
        <v>11840</v>
      </c>
    </row>
    <row r="2700" spans="1:4" ht="33">
      <c r="A2700" s="657" t="s">
        <v>7857</v>
      </c>
      <c r="B2700" t="s">
        <v>11819</v>
      </c>
      <c r="C2700" s="900" t="s">
        <v>11837</v>
      </c>
      <c r="D2700" s="905" t="s">
        <v>11840</v>
      </c>
    </row>
    <row r="2701" spans="1:4" ht="33">
      <c r="A2701" s="657" t="s">
        <v>7858</v>
      </c>
      <c r="B2701" t="s">
        <v>11819</v>
      </c>
      <c r="C2701" s="900" t="s">
        <v>11837</v>
      </c>
      <c r="D2701" s="905" t="s">
        <v>11840</v>
      </c>
    </row>
    <row r="2702" spans="1:4" ht="33">
      <c r="A2702" s="657" t="s">
        <v>7859</v>
      </c>
      <c r="B2702" t="s">
        <v>11819</v>
      </c>
      <c r="C2702" s="900" t="s">
        <v>11837</v>
      </c>
      <c r="D2702" s="905" t="s">
        <v>11840</v>
      </c>
    </row>
    <row r="2703" spans="1:4" ht="33">
      <c r="A2703" s="657" t="s">
        <v>7860</v>
      </c>
      <c r="B2703" t="s">
        <v>11819</v>
      </c>
      <c r="C2703" s="900" t="s">
        <v>11837</v>
      </c>
      <c r="D2703" s="905" t="s">
        <v>11840</v>
      </c>
    </row>
    <row r="2704" spans="1:4" ht="33">
      <c r="A2704" s="657" t="s">
        <v>7861</v>
      </c>
      <c r="B2704" t="s">
        <v>11819</v>
      </c>
      <c r="C2704" s="900" t="s">
        <v>11837</v>
      </c>
      <c r="D2704" s="905" t="s">
        <v>11840</v>
      </c>
    </row>
    <row r="2705" spans="1:4" ht="33">
      <c r="A2705" s="657" t="s">
        <v>7862</v>
      </c>
      <c r="B2705" t="s">
        <v>11819</v>
      </c>
      <c r="C2705" s="900" t="s">
        <v>11837</v>
      </c>
      <c r="D2705" s="905" t="s">
        <v>11840</v>
      </c>
    </row>
    <row r="2706" spans="1:4" ht="33">
      <c r="A2706" s="657" t="s">
        <v>7863</v>
      </c>
      <c r="B2706" t="s">
        <v>11819</v>
      </c>
      <c r="C2706" s="900" t="s">
        <v>11837</v>
      </c>
      <c r="D2706" s="905" t="s">
        <v>11840</v>
      </c>
    </row>
    <row r="2707" spans="1:4" ht="33">
      <c r="A2707" s="657" t="s">
        <v>7864</v>
      </c>
      <c r="B2707" t="s">
        <v>11819</v>
      </c>
      <c r="C2707" s="900" t="s">
        <v>11837</v>
      </c>
      <c r="D2707" s="905" t="s">
        <v>11840</v>
      </c>
    </row>
    <row r="2708" spans="1:4" ht="33">
      <c r="A2708" s="657" t="s">
        <v>7865</v>
      </c>
      <c r="B2708" t="s">
        <v>11819</v>
      </c>
      <c r="C2708" s="900" t="s">
        <v>11837</v>
      </c>
      <c r="D2708" s="905" t="s">
        <v>11840</v>
      </c>
    </row>
    <row r="2709" spans="1:4" ht="33">
      <c r="A2709" s="657" t="s">
        <v>7866</v>
      </c>
      <c r="B2709" t="s">
        <v>11819</v>
      </c>
      <c r="C2709" s="900" t="s">
        <v>11837</v>
      </c>
      <c r="D2709" s="905" t="s">
        <v>11840</v>
      </c>
    </row>
    <row r="2710" spans="1:4" ht="33">
      <c r="A2710" s="657" t="s">
        <v>7867</v>
      </c>
      <c r="B2710" t="s">
        <v>11819</v>
      </c>
      <c r="C2710" s="900" t="s">
        <v>11837</v>
      </c>
      <c r="D2710" s="905" t="s">
        <v>11840</v>
      </c>
    </row>
    <row r="2711" spans="1:4" ht="33">
      <c r="A2711" s="657" t="s">
        <v>7868</v>
      </c>
      <c r="B2711" t="s">
        <v>11819</v>
      </c>
      <c r="C2711" s="900" t="s">
        <v>11837</v>
      </c>
      <c r="D2711" s="905" t="s">
        <v>11840</v>
      </c>
    </row>
    <row r="2712" spans="1:4" ht="33">
      <c r="A2712" s="657" t="s">
        <v>7869</v>
      </c>
      <c r="B2712" t="s">
        <v>11819</v>
      </c>
      <c r="C2712" s="900" t="s">
        <v>11837</v>
      </c>
      <c r="D2712" s="905" t="s">
        <v>11840</v>
      </c>
    </row>
    <row r="2713" spans="1:4" ht="33">
      <c r="A2713" s="657" t="s">
        <v>7870</v>
      </c>
      <c r="B2713" t="s">
        <v>11819</v>
      </c>
      <c r="C2713" s="900" t="s">
        <v>11837</v>
      </c>
      <c r="D2713" s="905" t="s">
        <v>11840</v>
      </c>
    </row>
    <row r="2714" spans="1:4" ht="33">
      <c r="A2714" s="657" t="s">
        <v>7871</v>
      </c>
      <c r="B2714" t="s">
        <v>11819</v>
      </c>
      <c r="C2714" s="900" t="s">
        <v>11837</v>
      </c>
      <c r="D2714" s="905" t="s">
        <v>11840</v>
      </c>
    </row>
    <row r="2715" spans="1:4" ht="33">
      <c r="A2715" s="657" t="s">
        <v>7872</v>
      </c>
      <c r="B2715" t="s">
        <v>11819</v>
      </c>
      <c r="C2715" s="900" t="s">
        <v>11837</v>
      </c>
      <c r="D2715" s="905" t="s">
        <v>11840</v>
      </c>
    </row>
    <row r="2716" spans="1:4" ht="33">
      <c r="A2716" s="657" t="s">
        <v>7873</v>
      </c>
      <c r="B2716" t="s">
        <v>11819</v>
      </c>
      <c r="C2716" s="900" t="s">
        <v>11837</v>
      </c>
      <c r="D2716" s="905" t="s">
        <v>11840</v>
      </c>
    </row>
    <row r="2717" spans="1:4" ht="33">
      <c r="A2717" s="657" t="s">
        <v>7874</v>
      </c>
      <c r="B2717" t="s">
        <v>11819</v>
      </c>
      <c r="C2717" s="900" t="s">
        <v>11837</v>
      </c>
      <c r="D2717" s="905" t="s">
        <v>11840</v>
      </c>
    </row>
    <row r="2718" spans="1:4" ht="33">
      <c r="A2718" s="657" t="s">
        <v>7875</v>
      </c>
      <c r="B2718" t="s">
        <v>11819</v>
      </c>
      <c r="C2718" s="900" t="s">
        <v>11837</v>
      </c>
      <c r="D2718" s="905" t="s">
        <v>11840</v>
      </c>
    </row>
    <row r="2719" spans="1:4" ht="33">
      <c r="A2719" s="657" t="s">
        <v>7876</v>
      </c>
      <c r="B2719" t="s">
        <v>11819</v>
      </c>
      <c r="C2719" s="900" t="s">
        <v>11837</v>
      </c>
      <c r="D2719" s="905" t="s">
        <v>11840</v>
      </c>
    </row>
    <row r="2720" spans="1:4" ht="33">
      <c r="A2720" s="657" t="s">
        <v>7877</v>
      </c>
      <c r="B2720" t="s">
        <v>11819</v>
      </c>
      <c r="C2720" s="900" t="s">
        <v>11837</v>
      </c>
      <c r="D2720" s="905" t="s">
        <v>11840</v>
      </c>
    </row>
    <row r="2721" spans="1:4" ht="33">
      <c r="A2721" s="657" t="s">
        <v>7878</v>
      </c>
      <c r="B2721" t="s">
        <v>11819</v>
      </c>
      <c r="C2721" s="900" t="s">
        <v>11837</v>
      </c>
      <c r="D2721" s="905" t="s">
        <v>11840</v>
      </c>
    </row>
    <row r="2722" spans="1:4" ht="33">
      <c r="A2722" s="657" t="s">
        <v>7879</v>
      </c>
      <c r="B2722" t="s">
        <v>11819</v>
      </c>
      <c r="C2722" s="900" t="s">
        <v>11837</v>
      </c>
      <c r="D2722" s="905" t="s">
        <v>11840</v>
      </c>
    </row>
    <row r="2723" spans="1:4" ht="33">
      <c r="A2723" s="657" t="s">
        <v>7880</v>
      </c>
      <c r="B2723" t="s">
        <v>11819</v>
      </c>
      <c r="C2723" s="900" t="s">
        <v>11837</v>
      </c>
      <c r="D2723" s="905" t="s">
        <v>11840</v>
      </c>
    </row>
    <row r="2724" spans="1:4" ht="33">
      <c r="A2724" s="657" t="s">
        <v>7881</v>
      </c>
      <c r="B2724" t="s">
        <v>11819</v>
      </c>
      <c r="C2724" s="900" t="s">
        <v>11837</v>
      </c>
      <c r="D2724" s="905" t="s">
        <v>11840</v>
      </c>
    </row>
    <row r="2725" spans="1:4" ht="33">
      <c r="A2725" s="657" t="s">
        <v>7882</v>
      </c>
      <c r="B2725" t="s">
        <v>11819</v>
      </c>
      <c r="C2725" s="900" t="s">
        <v>11837</v>
      </c>
      <c r="D2725" s="905" t="s">
        <v>11840</v>
      </c>
    </row>
    <row r="2726" spans="1:4" ht="33">
      <c r="A2726" s="657" t="s">
        <v>7883</v>
      </c>
      <c r="B2726" t="s">
        <v>11819</v>
      </c>
      <c r="C2726" s="900" t="s">
        <v>11837</v>
      </c>
      <c r="D2726" s="905" t="s">
        <v>11840</v>
      </c>
    </row>
    <row r="2727" spans="1:4" ht="33">
      <c r="A2727" s="657" t="s">
        <v>7884</v>
      </c>
      <c r="B2727" t="s">
        <v>11819</v>
      </c>
      <c r="C2727" s="900" t="s">
        <v>11837</v>
      </c>
      <c r="D2727" s="905" t="s">
        <v>11840</v>
      </c>
    </row>
    <row r="2728" spans="1:4" ht="33">
      <c r="A2728" s="657" t="s">
        <v>7885</v>
      </c>
      <c r="B2728" t="s">
        <v>11819</v>
      </c>
      <c r="C2728" s="900" t="s">
        <v>11837</v>
      </c>
      <c r="D2728" s="905" t="s">
        <v>11840</v>
      </c>
    </row>
    <row r="2729" spans="1:4" ht="33">
      <c r="A2729" s="657" t="s">
        <v>7886</v>
      </c>
      <c r="B2729" t="s">
        <v>11819</v>
      </c>
      <c r="C2729" s="900" t="s">
        <v>11837</v>
      </c>
      <c r="D2729" s="905" t="s">
        <v>11840</v>
      </c>
    </row>
    <row r="2730" spans="1:4" ht="33">
      <c r="A2730" s="657" t="s">
        <v>7887</v>
      </c>
      <c r="B2730" t="s">
        <v>11819</v>
      </c>
      <c r="C2730" s="900" t="s">
        <v>11837</v>
      </c>
      <c r="D2730" s="905" t="s">
        <v>11840</v>
      </c>
    </row>
    <row r="2731" spans="1:4" ht="33">
      <c r="A2731" s="657" t="s">
        <v>7888</v>
      </c>
      <c r="B2731" t="s">
        <v>11819</v>
      </c>
      <c r="C2731" s="900" t="s">
        <v>11837</v>
      </c>
      <c r="D2731" s="905" t="s">
        <v>11840</v>
      </c>
    </row>
    <row r="2732" spans="1:4" ht="33">
      <c r="A2732" s="657" t="s">
        <v>7889</v>
      </c>
      <c r="B2732" t="s">
        <v>11819</v>
      </c>
      <c r="C2732" s="900" t="s">
        <v>11837</v>
      </c>
      <c r="D2732" s="905" t="s">
        <v>11840</v>
      </c>
    </row>
    <row r="2733" spans="1:4" ht="33">
      <c r="A2733" s="657" t="s">
        <v>7890</v>
      </c>
      <c r="B2733" t="s">
        <v>11819</v>
      </c>
      <c r="C2733" s="900" t="s">
        <v>11837</v>
      </c>
      <c r="D2733" s="905" t="s">
        <v>11840</v>
      </c>
    </row>
    <row r="2734" spans="1:4" ht="33">
      <c r="A2734" s="657" t="s">
        <v>7891</v>
      </c>
      <c r="B2734" t="s">
        <v>11819</v>
      </c>
      <c r="C2734" s="900" t="s">
        <v>11837</v>
      </c>
      <c r="D2734" s="905" t="s">
        <v>11840</v>
      </c>
    </row>
    <row r="2735" spans="1:4" ht="33">
      <c r="A2735" s="657" t="s">
        <v>7892</v>
      </c>
      <c r="B2735" t="s">
        <v>11819</v>
      </c>
      <c r="C2735" s="900" t="s">
        <v>11837</v>
      </c>
      <c r="D2735" s="905" t="s">
        <v>11840</v>
      </c>
    </row>
    <row r="2736" spans="1:4" ht="33">
      <c r="A2736" s="657" t="s">
        <v>7893</v>
      </c>
      <c r="B2736" t="s">
        <v>11819</v>
      </c>
      <c r="C2736" s="900" t="s">
        <v>11837</v>
      </c>
      <c r="D2736" s="905" t="s">
        <v>11840</v>
      </c>
    </row>
    <row r="2737" spans="1:4" ht="33">
      <c r="A2737" s="657" t="s">
        <v>7894</v>
      </c>
      <c r="B2737" t="s">
        <v>11819</v>
      </c>
      <c r="C2737" s="900" t="s">
        <v>11837</v>
      </c>
      <c r="D2737" s="905" t="s">
        <v>11840</v>
      </c>
    </row>
    <row r="2738" spans="1:4" ht="33">
      <c r="A2738" s="657" t="s">
        <v>7895</v>
      </c>
      <c r="B2738" t="s">
        <v>11819</v>
      </c>
      <c r="C2738" s="900" t="s">
        <v>11837</v>
      </c>
      <c r="D2738" s="905" t="s">
        <v>11840</v>
      </c>
    </row>
    <row r="2739" spans="1:4" ht="33">
      <c r="A2739" s="657" t="s">
        <v>7896</v>
      </c>
      <c r="B2739" t="s">
        <v>11819</v>
      </c>
      <c r="C2739" s="900" t="s">
        <v>11837</v>
      </c>
      <c r="D2739" s="905" t="s">
        <v>11840</v>
      </c>
    </row>
    <row r="2740" spans="1:4" ht="33">
      <c r="A2740" s="657" t="s">
        <v>7897</v>
      </c>
      <c r="B2740" t="s">
        <v>11819</v>
      </c>
      <c r="C2740" s="900" t="s">
        <v>11837</v>
      </c>
      <c r="D2740" s="905" t="s">
        <v>11840</v>
      </c>
    </row>
    <row r="2741" spans="1:4" ht="33">
      <c r="A2741" s="657" t="s">
        <v>7898</v>
      </c>
      <c r="B2741" t="s">
        <v>11819</v>
      </c>
      <c r="C2741" s="900" t="s">
        <v>11837</v>
      </c>
      <c r="D2741" s="905" t="s">
        <v>11840</v>
      </c>
    </row>
    <row r="2742" spans="1:4" ht="33">
      <c r="A2742" s="657" t="s">
        <v>7899</v>
      </c>
      <c r="B2742" t="s">
        <v>11819</v>
      </c>
      <c r="C2742" s="900" t="s">
        <v>11837</v>
      </c>
      <c r="D2742" s="905" t="s">
        <v>11840</v>
      </c>
    </row>
    <row r="2743" spans="1:4" ht="33">
      <c r="A2743" s="657" t="s">
        <v>7900</v>
      </c>
      <c r="B2743" t="s">
        <v>11819</v>
      </c>
      <c r="C2743" s="900" t="s">
        <v>11837</v>
      </c>
      <c r="D2743" s="905" t="s">
        <v>11840</v>
      </c>
    </row>
    <row r="2744" spans="1:4" ht="33">
      <c r="A2744" s="657" t="s">
        <v>7901</v>
      </c>
      <c r="B2744" t="s">
        <v>11819</v>
      </c>
      <c r="C2744" s="900" t="s">
        <v>11837</v>
      </c>
      <c r="D2744" s="905" t="s">
        <v>11840</v>
      </c>
    </row>
    <row r="2745" spans="1:4" ht="33">
      <c r="A2745" s="657" t="s">
        <v>7902</v>
      </c>
      <c r="B2745" t="s">
        <v>11819</v>
      </c>
      <c r="C2745" s="900" t="s">
        <v>11837</v>
      </c>
      <c r="D2745" s="905" t="s">
        <v>11840</v>
      </c>
    </row>
    <row r="2746" spans="1:4" ht="33">
      <c r="A2746" s="657" t="s">
        <v>7903</v>
      </c>
      <c r="B2746" t="s">
        <v>11819</v>
      </c>
      <c r="C2746" s="900" t="s">
        <v>11837</v>
      </c>
      <c r="D2746" s="905" t="s">
        <v>11840</v>
      </c>
    </row>
    <row r="2747" spans="1:4" ht="33">
      <c r="A2747" s="657" t="s">
        <v>7904</v>
      </c>
      <c r="B2747" t="s">
        <v>11819</v>
      </c>
      <c r="C2747" s="900" t="s">
        <v>11837</v>
      </c>
      <c r="D2747" s="905" t="s">
        <v>11840</v>
      </c>
    </row>
    <row r="2748" spans="1:4" ht="33">
      <c r="A2748" s="657" t="s">
        <v>7905</v>
      </c>
      <c r="B2748" t="s">
        <v>11819</v>
      </c>
      <c r="C2748" s="900" t="s">
        <v>11837</v>
      </c>
      <c r="D2748" s="905" t="s">
        <v>11840</v>
      </c>
    </row>
    <row r="2749" spans="1:4" ht="33">
      <c r="A2749" s="657" t="s">
        <v>7906</v>
      </c>
      <c r="B2749" t="s">
        <v>11819</v>
      </c>
      <c r="C2749" s="900" t="s">
        <v>11837</v>
      </c>
      <c r="D2749" s="905" t="s">
        <v>11840</v>
      </c>
    </row>
    <row r="2750" spans="1:4" ht="33">
      <c r="A2750" s="657" t="s">
        <v>7907</v>
      </c>
      <c r="B2750" t="s">
        <v>11819</v>
      </c>
      <c r="C2750" s="900" t="s">
        <v>11837</v>
      </c>
      <c r="D2750" s="905" t="s">
        <v>11840</v>
      </c>
    </row>
    <row r="2751" spans="1:4" ht="33">
      <c r="A2751" s="657" t="s">
        <v>7908</v>
      </c>
      <c r="B2751" t="s">
        <v>11819</v>
      </c>
      <c r="C2751" s="900" t="s">
        <v>11837</v>
      </c>
      <c r="D2751" s="905" t="s">
        <v>11840</v>
      </c>
    </row>
    <row r="2752" spans="1:4" ht="33">
      <c r="A2752" s="657" t="s">
        <v>7909</v>
      </c>
      <c r="B2752" t="s">
        <v>11819</v>
      </c>
      <c r="C2752" s="900" t="s">
        <v>11837</v>
      </c>
      <c r="D2752" s="905" t="s">
        <v>11840</v>
      </c>
    </row>
    <row r="2753" spans="1:4" ht="33">
      <c r="A2753" s="657" t="s">
        <v>7911</v>
      </c>
      <c r="B2753" t="s">
        <v>11819</v>
      </c>
      <c r="C2753" s="900" t="s">
        <v>11837</v>
      </c>
      <c r="D2753" s="905" t="s">
        <v>11840</v>
      </c>
    </row>
    <row r="2754" spans="1:4" ht="33">
      <c r="A2754" s="657" t="s">
        <v>7913</v>
      </c>
      <c r="B2754" t="s">
        <v>11819</v>
      </c>
      <c r="C2754" s="900" t="s">
        <v>11837</v>
      </c>
      <c r="D2754" s="905" t="s">
        <v>11840</v>
      </c>
    </row>
    <row r="2755" spans="1:4" ht="33">
      <c r="A2755" s="657" t="s">
        <v>7915</v>
      </c>
      <c r="B2755" t="s">
        <v>11819</v>
      </c>
      <c r="C2755" s="900" t="s">
        <v>11837</v>
      </c>
      <c r="D2755" s="905" t="s">
        <v>11840</v>
      </c>
    </row>
    <row r="2756" spans="1:4" ht="33">
      <c r="A2756" s="657" t="s">
        <v>7917</v>
      </c>
      <c r="B2756" t="s">
        <v>11819</v>
      </c>
      <c r="C2756" s="900" t="s">
        <v>11837</v>
      </c>
      <c r="D2756" s="905" t="s">
        <v>11840</v>
      </c>
    </row>
    <row r="2757" spans="1:4" ht="33">
      <c r="A2757" s="657" t="s">
        <v>7919</v>
      </c>
      <c r="B2757" t="s">
        <v>11819</v>
      </c>
      <c r="C2757" s="900" t="s">
        <v>11837</v>
      </c>
      <c r="D2757" s="905" t="s">
        <v>11840</v>
      </c>
    </row>
    <row r="2758" spans="1:4" ht="33">
      <c r="A2758" s="657" t="s">
        <v>7921</v>
      </c>
      <c r="B2758" t="s">
        <v>11819</v>
      </c>
      <c r="C2758" s="900" t="s">
        <v>11837</v>
      </c>
      <c r="D2758" s="905" t="s">
        <v>11840</v>
      </c>
    </row>
    <row r="2759" spans="1:4" ht="33">
      <c r="A2759" s="657" t="s">
        <v>7923</v>
      </c>
      <c r="B2759" t="s">
        <v>11819</v>
      </c>
      <c r="C2759" s="900" t="s">
        <v>11837</v>
      </c>
      <c r="D2759" s="905" t="s">
        <v>11840</v>
      </c>
    </row>
    <row r="2760" spans="1:4" ht="33">
      <c r="A2760" s="657" t="s">
        <v>7925</v>
      </c>
      <c r="B2760" t="s">
        <v>11819</v>
      </c>
      <c r="C2760" s="900" t="s">
        <v>11837</v>
      </c>
      <c r="D2760" s="905" t="s">
        <v>11840</v>
      </c>
    </row>
    <row r="2761" spans="1:4" ht="33">
      <c r="A2761" s="657" t="s">
        <v>7927</v>
      </c>
      <c r="B2761" t="s">
        <v>11819</v>
      </c>
      <c r="C2761" s="900" t="s">
        <v>11837</v>
      </c>
      <c r="D2761" s="905" t="s">
        <v>11840</v>
      </c>
    </row>
    <row r="2762" spans="1:4" ht="33">
      <c r="A2762" s="657" t="s">
        <v>7929</v>
      </c>
      <c r="B2762" t="s">
        <v>11819</v>
      </c>
      <c r="C2762" s="900" t="s">
        <v>11837</v>
      </c>
      <c r="D2762" s="905" t="s">
        <v>11840</v>
      </c>
    </row>
    <row r="2763" spans="1:4" ht="33">
      <c r="A2763" s="657" t="s">
        <v>7931</v>
      </c>
      <c r="B2763" t="s">
        <v>11819</v>
      </c>
      <c r="C2763" s="900" t="s">
        <v>11837</v>
      </c>
      <c r="D2763" s="905" t="s">
        <v>11840</v>
      </c>
    </row>
    <row r="2764" spans="1:4" ht="33">
      <c r="A2764" s="657" t="s">
        <v>7933</v>
      </c>
      <c r="B2764" t="s">
        <v>11819</v>
      </c>
      <c r="C2764" s="900" t="s">
        <v>11837</v>
      </c>
      <c r="D2764" s="905" t="s">
        <v>11840</v>
      </c>
    </row>
    <row r="2765" spans="1:4" ht="33">
      <c r="A2765" s="657" t="s">
        <v>7935</v>
      </c>
      <c r="B2765" t="s">
        <v>11819</v>
      </c>
      <c r="C2765" s="900" t="s">
        <v>11837</v>
      </c>
      <c r="D2765" s="905" t="s">
        <v>11840</v>
      </c>
    </row>
    <row r="2766" spans="1:4" ht="33">
      <c r="A2766" s="657" t="s">
        <v>7937</v>
      </c>
      <c r="B2766" t="s">
        <v>11819</v>
      </c>
      <c r="C2766" s="900" t="s">
        <v>11837</v>
      </c>
      <c r="D2766" s="905" t="s">
        <v>11840</v>
      </c>
    </row>
    <row r="2767" spans="1:4" ht="33">
      <c r="A2767" s="657" t="s">
        <v>7939</v>
      </c>
      <c r="B2767" t="s">
        <v>11819</v>
      </c>
      <c r="C2767" s="900" t="s">
        <v>11837</v>
      </c>
      <c r="D2767" s="905" t="s">
        <v>11840</v>
      </c>
    </row>
    <row r="2768" spans="1:4" ht="33">
      <c r="A2768" s="657" t="s">
        <v>7941</v>
      </c>
      <c r="B2768" t="s">
        <v>11819</v>
      </c>
      <c r="C2768" s="900" t="s">
        <v>11837</v>
      </c>
      <c r="D2768" s="905" t="s">
        <v>11840</v>
      </c>
    </row>
    <row r="2769" spans="1:4" ht="33">
      <c r="A2769" s="657" t="s">
        <v>7943</v>
      </c>
      <c r="B2769" t="s">
        <v>11819</v>
      </c>
      <c r="C2769" s="900" t="s">
        <v>11837</v>
      </c>
      <c r="D2769" s="905" t="s">
        <v>11840</v>
      </c>
    </row>
    <row r="2770" spans="1:4" ht="33">
      <c r="A2770" s="657" t="s">
        <v>7945</v>
      </c>
      <c r="B2770" t="s">
        <v>11819</v>
      </c>
      <c r="C2770" s="900" t="s">
        <v>11837</v>
      </c>
      <c r="D2770" s="905" t="s">
        <v>11840</v>
      </c>
    </row>
    <row r="2771" spans="1:4" ht="33">
      <c r="A2771" s="657" t="s">
        <v>7947</v>
      </c>
      <c r="B2771" t="s">
        <v>11819</v>
      </c>
      <c r="C2771" s="900" t="s">
        <v>11837</v>
      </c>
      <c r="D2771" s="905" t="s">
        <v>11840</v>
      </c>
    </row>
    <row r="2772" spans="1:4" ht="33">
      <c r="A2772" s="657" t="s">
        <v>7949</v>
      </c>
      <c r="B2772" t="s">
        <v>11819</v>
      </c>
      <c r="C2772" s="900" t="s">
        <v>11837</v>
      </c>
      <c r="D2772" s="905" t="s">
        <v>11840</v>
      </c>
    </row>
    <row r="2773" spans="1:4" ht="33">
      <c r="A2773" s="657" t="s">
        <v>7951</v>
      </c>
      <c r="B2773" t="s">
        <v>11819</v>
      </c>
      <c r="C2773" s="900" t="s">
        <v>11837</v>
      </c>
      <c r="D2773" s="905" t="s">
        <v>11840</v>
      </c>
    </row>
    <row r="2774" spans="1:4" ht="33">
      <c r="A2774" s="657" t="s">
        <v>7953</v>
      </c>
      <c r="B2774" t="s">
        <v>11819</v>
      </c>
      <c r="C2774" s="900" t="s">
        <v>11837</v>
      </c>
      <c r="D2774" s="905" t="s">
        <v>11840</v>
      </c>
    </row>
    <row r="2775" spans="1:4" ht="33">
      <c r="A2775" s="657" t="s">
        <v>7955</v>
      </c>
      <c r="B2775" t="s">
        <v>11819</v>
      </c>
      <c r="C2775" s="900" t="s">
        <v>11837</v>
      </c>
      <c r="D2775" s="905" t="s">
        <v>11840</v>
      </c>
    </row>
    <row r="2776" spans="1:4" ht="33">
      <c r="A2776" s="657" t="s">
        <v>7957</v>
      </c>
      <c r="B2776" t="s">
        <v>11819</v>
      </c>
      <c r="C2776" s="900" t="s">
        <v>11837</v>
      </c>
      <c r="D2776" s="905" t="s">
        <v>11840</v>
      </c>
    </row>
    <row r="2777" spans="1:4" ht="33">
      <c r="A2777" s="657" t="s">
        <v>7959</v>
      </c>
      <c r="B2777" t="s">
        <v>11819</v>
      </c>
      <c r="C2777" s="900" t="s">
        <v>11837</v>
      </c>
      <c r="D2777" s="905" t="s">
        <v>11840</v>
      </c>
    </row>
    <row r="2778" spans="1:4" ht="33">
      <c r="A2778" s="657" t="s">
        <v>7961</v>
      </c>
      <c r="B2778" t="s">
        <v>11819</v>
      </c>
      <c r="C2778" s="900" t="s">
        <v>11837</v>
      </c>
      <c r="D2778" s="905" t="s">
        <v>11840</v>
      </c>
    </row>
    <row r="2779" spans="1:4" ht="33">
      <c r="A2779" s="657" t="s">
        <v>7963</v>
      </c>
      <c r="B2779" t="s">
        <v>11819</v>
      </c>
      <c r="C2779" s="900" t="s">
        <v>11837</v>
      </c>
      <c r="D2779" s="905" t="s">
        <v>11840</v>
      </c>
    </row>
    <row r="2780" spans="1:4" ht="33">
      <c r="A2780" s="657" t="s">
        <v>7965</v>
      </c>
      <c r="B2780" t="s">
        <v>11819</v>
      </c>
      <c r="C2780" s="900" t="s">
        <v>11837</v>
      </c>
      <c r="D2780" s="905" t="s">
        <v>11840</v>
      </c>
    </row>
    <row r="2781" spans="1:4" ht="33">
      <c r="A2781" s="657" t="s">
        <v>7967</v>
      </c>
      <c r="B2781" t="s">
        <v>11819</v>
      </c>
      <c r="C2781" s="900" t="s">
        <v>11837</v>
      </c>
      <c r="D2781" s="905" t="s">
        <v>11840</v>
      </c>
    </row>
    <row r="2782" spans="1:4" ht="33">
      <c r="A2782" s="657" t="s">
        <v>7969</v>
      </c>
      <c r="B2782" t="s">
        <v>11819</v>
      </c>
      <c r="C2782" s="900" t="s">
        <v>11837</v>
      </c>
      <c r="D2782" s="905" t="s">
        <v>11840</v>
      </c>
    </row>
    <row r="2783" spans="1:4" ht="33">
      <c r="A2783" s="657" t="s">
        <v>7971</v>
      </c>
      <c r="B2783" t="s">
        <v>11819</v>
      </c>
      <c r="C2783" s="900" t="s">
        <v>11837</v>
      </c>
      <c r="D2783" s="905" t="s">
        <v>11840</v>
      </c>
    </row>
    <row r="2784" spans="1:4" ht="33">
      <c r="A2784" s="657" t="s">
        <v>7973</v>
      </c>
      <c r="B2784" t="s">
        <v>11819</v>
      </c>
      <c r="C2784" s="900" t="s">
        <v>11837</v>
      </c>
      <c r="D2784" s="905" t="s">
        <v>11840</v>
      </c>
    </row>
    <row r="2785" spans="1:4" ht="33">
      <c r="A2785" s="657" t="s">
        <v>7975</v>
      </c>
      <c r="B2785" t="s">
        <v>11819</v>
      </c>
      <c r="C2785" s="900" t="s">
        <v>11837</v>
      </c>
      <c r="D2785" s="905" t="s">
        <v>11840</v>
      </c>
    </row>
    <row r="2786" spans="1:4" ht="33">
      <c r="A2786" s="657" t="s">
        <v>7977</v>
      </c>
      <c r="B2786" t="s">
        <v>11819</v>
      </c>
      <c r="C2786" s="900" t="s">
        <v>11837</v>
      </c>
      <c r="D2786" s="905" t="s">
        <v>11840</v>
      </c>
    </row>
    <row r="2787" spans="1:4" ht="33">
      <c r="A2787" s="657" t="s">
        <v>7979</v>
      </c>
      <c r="B2787" t="s">
        <v>11819</v>
      </c>
      <c r="C2787" s="900" t="s">
        <v>11837</v>
      </c>
      <c r="D2787" s="905" t="s">
        <v>11840</v>
      </c>
    </row>
    <row r="2788" spans="1:4" ht="33">
      <c r="A2788" s="657" t="s">
        <v>7981</v>
      </c>
      <c r="B2788" t="s">
        <v>11819</v>
      </c>
      <c r="C2788" s="900" t="s">
        <v>11837</v>
      </c>
      <c r="D2788" s="905" t="s">
        <v>11840</v>
      </c>
    </row>
    <row r="2789" spans="1:4" ht="33">
      <c r="A2789" s="657" t="s">
        <v>7983</v>
      </c>
      <c r="B2789" t="s">
        <v>11819</v>
      </c>
      <c r="C2789" s="900" t="s">
        <v>11837</v>
      </c>
      <c r="D2789" s="905" t="s">
        <v>11840</v>
      </c>
    </row>
    <row r="2790" spans="1:4" ht="33">
      <c r="A2790" s="657" t="s">
        <v>7985</v>
      </c>
      <c r="B2790" t="s">
        <v>11819</v>
      </c>
      <c r="C2790" s="900" t="s">
        <v>11837</v>
      </c>
      <c r="D2790" s="905" t="s">
        <v>11840</v>
      </c>
    </row>
    <row r="2791" spans="1:4" ht="33">
      <c r="A2791" s="657" t="s">
        <v>7987</v>
      </c>
      <c r="B2791" t="s">
        <v>11819</v>
      </c>
      <c r="C2791" s="900" t="s">
        <v>11837</v>
      </c>
      <c r="D2791" s="905" t="s">
        <v>11840</v>
      </c>
    </row>
    <row r="2792" spans="1:4" ht="33">
      <c r="A2792" s="657" t="s">
        <v>7989</v>
      </c>
      <c r="B2792" t="s">
        <v>11819</v>
      </c>
      <c r="C2792" s="900" t="s">
        <v>11837</v>
      </c>
      <c r="D2792" s="905" t="s">
        <v>11840</v>
      </c>
    </row>
    <row r="2793" spans="1:4" ht="33">
      <c r="A2793" s="657" t="s">
        <v>7991</v>
      </c>
      <c r="B2793" t="s">
        <v>11819</v>
      </c>
      <c r="C2793" s="900" t="s">
        <v>11837</v>
      </c>
      <c r="D2793" s="905" t="s">
        <v>11840</v>
      </c>
    </row>
    <row r="2794" spans="1:4" ht="33">
      <c r="A2794" s="657" t="s">
        <v>7993</v>
      </c>
      <c r="B2794" t="s">
        <v>11819</v>
      </c>
      <c r="C2794" s="900" t="s">
        <v>11837</v>
      </c>
      <c r="D2794" s="905" t="s">
        <v>11840</v>
      </c>
    </row>
    <row r="2795" spans="1:4" ht="33">
      <c r="A2795" s="657" t="s">
        <v>7995</v>
      </c>
      <c r="B2795" t="s">
        <v>11819</v>
      </c>
      <c r="C2795" s="900" t="s">
        <v>11837</v>
      </c>
      <c r="D2795" s="905" t="s">
        <v>11840</v>
      </c>
    </row>
    <row r="2796" spans="1:4" ht="33">
      <c r="A2796" s="657" t="s">
        <v>7997</v>
      </c>
      <c r="B2796" t="s">
        <v>11819</v>
      </c>
      <c r="C2796" s="900" t="s">
        <v>11837</v>
      </c>
      <c r="D2796" s="905" t="s">
        <v>11840</v>
      </c>
    </row>
    <row r="2797" spans="1:4" ht="33">
      <c r="A2797" s="657" t="s">
        <v>7999</v>
      </c>
      <c r="B2797" t="s">
        <v>11819</v>
      </c>
      <c r="C2797" s="900" t="s">
        <v>11837</v>
      </c>
      <c r="D2797" s="905" t="s">
        <v>11840</v>
      </c>
    </row>
    <row r="2798" spans="1:4" ht="33">
      <c r="A2798" s="657" t="s">
        <v>8001</v>
      </c>
      <c r="B2798" t="s">
        <v>11819</v>
      </c>
      <c r="C2798" s="900" t="s">
        <v>11837</v>
      </c>
      <c r="D2798" s="905" t="s">
        <v>11840</v>
      </c>
    </row>
    <row r="2799" spans="1:4" ht="33">
      <c r="A2799" s="657" t="s">
        <v>8003</v>
      </c>
      <c r="B2799" t="s">
        <v>11819</v>
      </c>
      <c r="C2799" s="900" t="s">
        <v>11837</v>
      </c>
      <c r="D2799" s="905" t="s">
        <v>11840</v>
      </c>
    </row>
    <row r="2800" spans="1:4" ht="33">
      <c r="A2800" s="657" t="s">
        <v>8005</v>
      </c>
      <c r="B2800" t="s">
        <v>11819</v>
      </c>
      <c r="C2800" s="900" t="s">
        <v>11837</v>
      </c>
      <c r="D2800" s="905" t="s">
        <v>11840</v>
      </c>
    </row>
    <row r="2801" spans="1:4" ht="33">
      <c r="A2801" s="657" t="s">
        <v>8007</v>
      </c>
      <c r="B2801" t="s">
        <v>11819</v>
      </c>
      <c r="C2801" s="900" t="s">
        <v>11837</v>
      </c>
      <c r="D2801" s="905" t="s">
        <v>11840</v>
      </c>
    </row>
    <row r="2802" spans="1:4" ht="33">
      <c r="A2802" s="657" t="s">
        <v>8009</v>
      </c>
      <c r="B2802" t="s">
        <v>11819</v>
      </c>
      <c r="C2802" s="900" t="s">
        <v>11837</v>
      </c>
      <c r="D2802" s="905" t="s">
        <v>11840</v>
      </c>
    </row>
    <row r="2803" spans="1:4" ht="33">
      <c r="A2803" s="657" t="s">
        <v>8011</v>
      </c>
      <c r="B2803" t="s">
        <v>11819</v>
      </c>
      <c r="C2803" s="900" t="s">
        <v>11837</v>
      </c>
      <c r="D2803" s="905" t="s">
        <v>11840</v>
      </c>
    </row>
    <row r="2804" spans="1:4" ht="33">
      <c r="A2804" s="657" t="s">
        <v>8013</v>
      </c>
      <c r="B2804" t="s">
        <v>11819</v>
      </c>
      <c r="C2804" s="900" t="s">
        <v>11837</v>
      </c>
      <c r="D2804" s="905" t="s">
        <v>11840</v>
      </c>
    </row>
    <row r="2805" spans="1:4" ht="33">
      <c r="A2805" s="657" t="s">
        <v>8015</v>
      </c>
      <c r="B2805" t="s">
        <v>11819</v>
      </c>
      <c r="C2805" s="900" t="s">
        <v>11837</v>
      </c>
      <c r="D2805" s="905" t="s">
        <v>11840</v>
      </c>
    </row>
    <row r="2806" spans="1:4" ht="33">
      <c r="A2806" s="657" t="s">
        <v>8017</v>
      </c>
      <c r="B2806" t="s">
        <v>11819</v>
      </c>
      <c r="C2806" s="900" t="s">
        <v>11837</v>
      </c>
      <c r="D2806" s="905" t="s">
        <v>11840</v>
      </c>
    </row>
    <row r="2807" spans="1:4" ht="33">
      <c r="A2807" s="657" t="s">
        <v>8019</v>
      </c>
      <c r="B2807" t="s">
        <v>11819</v>
      </c>
      <c r="C2807" s="900" t="s">
        <v>11837</v>
      </c>
      <c r="D2807" s="905" t="s">
        <v>11840</v>
      </c>
    </row>
    <row r="2808" spans="1:4" ht="33">
      <c r="A2808" s="657" t="s">
        <v>8021</v>
      </c>
      <c r="B2808" t="s">
        <v>11819</v>
      </c>
      <c r="C2808" s="900" t="s">
        <v>11837</v>
      </c>
      <c r="D2808" s="905" t="s">
        <v>11840</v>
      </c>
    </row>
    <row r="2809" spans="1:4" ht="33">
      <c r="A2809" s="657" t="s">
        <v>8023</v>
      </c>
      <c r="B2809" t="s">
        <v>11819</v>
      </c>
      <c r="C2809" s="900" t="s">
        <v>11837</v>
      </c>
      <c r="D2809" s="905" t="s">
        <v>11840</v>
      </c>
    </row>
    <row r="2810" spans="1:4" ht="33">
      <c r="A2810" s="657" t="s">
        <v>8025</v>
      </c>
      <c r="B2810" t="s">
        <v>11819</v>
      </c>
      <c r="C2810" s="900" t="s">
        <v>11837</v>
      </c>
      <c r="D2810" s="905" t="s">
        <v>11840</v>
      </c>
    </row>
    <row r="2811" spans="1:4" ht="33">
      <c r="A2811" s="657" t="s">
        <v>8027</v>
      </c>
      <c r="B2811" t="s">
        <v>11819</v>
      </c>
      <c r="C2811" s="900" t="s">
        <v>11837</v>
      </c>
      <c r="D2811" s="905" t="s">
        <v>11840</v>
      </c>
    </row>
    <row r="2812" spans="1:4" ht="33">
      <c r="A2812" s="657" t="s">
        <v>8029</v>
      </c>
      <c r="B2812" t="s">
        <v>11819</v>
      </c>
      <c r="C2812" s="900" t="s">
        <v>11837</v>
      </c>
      <c r="D2812" s="905" t="s">
        <v>11840</v>
      </c>
    </row>
    <row r="2813" spans="1:4" ht="33">
      <c r="A2813" s="657" t="s">
        <v>8031</v>
      </c>
      <c r="B2813" t="s">
        <v>11819</v>
      </c>
      <c r="C2813" s="900" t="s">
        <v>11837</v>
      </c>
      <c r="D2813" s="905" t="s">
        <v>11840</v>
      </c>
    </row>
    <row r="2814" spans="1:4" ht="33">
      <c r="A2814" s="657" t="s">
        <v>8033</v>
      </c>
      <c r="B2814" t="s">
        <v>11819</v>
      </c>
      <c r="C2814" s="900" t="s">
        <v>11837</v>
      </c>
      <c r="D2814" s="905" t="s">
        <v>11840</v>
      </c>
    </row>
    <row r="2815" spans="1:4" ht="33">
      <c r="A2815" s="657" t="s">
        <v>8035</v>
      </c>
      <c r="B2815" t="s">
        <v>11819</v>
      </c>
      <c r="C2815" s="900" t="s">
        <v>11837</v>
      </c>
      <c r="D2815" s="905" t="s">
        <v>11840</v>
      </c>
    </row>
    <row r="2816" spans="1:4" ht="33">
      <c r="A2816" s="657" t="s">
        <v>8037</v>
      </c>
      <c r="B2816" t="s">
        <v>11819</v>
      </c>
      <c r="C2816" s="900" t="s">
        <v>11837</v>
      </c>
      <c r="D2816" s="905" t="s">
        <v>11840</v>
      </c>
    </row>
    <row r="2817" spans="1:4" ht="33">
      <c r="A2817" s="657" t="s">
        <v>8039</v>
      </c>
      <c r="B2817" t="s">
        <v>11819</v>
      </c>
      <c r="C2817" s="900" t="s">
        <v>11837</v>
      </c>
      <c r="D2817" s="905" t="s">
        <v>11840</v>
      </c>
    </row>
    <row r="2818" spans="1:4" ht="33">
      <c r="A2818" s="657" t="s">
        <v>8041</v>
      </c>
      <c r="B2818" t="s">
        <v>11819</v>
      </c>
      <c r="C2818" s="900" t="s">
        <v>11837</v>
      </c>
      <c r="D2818" s="905" t="s">
        <v>11840</v>
      </c>
    </row>
    <row r="2819" spans="1:4" ht="33">
      <c r="A2819" s="657" t="s">
        <v>8043</v>
      </c>
      <c r="B2819" t="s">
        <v>11819</v>
      </c>
      <c r="C2819" s="900" t="s">
        <v>11837</v>
      </c>
      <c r="D2819" s="905" t="s">
        <v>11840</v>
      </c>
    </row>
    <row r="2820" spans="1:4" ht="33">
      <c r="A2820" s="657" t="s">
        <v>8045</v>
      </c>
      <c r="B2820" t="s">
        <v>11819</v>
      </c>
      <c r="C2820" s="900" t="s">
        <v>11837</v>
      </c>
      <c r="D2820" s="905" t="s">
        <v>11840</v>
      </c>
    </row>
    <row r="2821" spans="1:4" ht="33">
      <c r="A2821" s="657" t="s">
        <v>8047</v>
      </c>
      <c r="B2821" t="s">
        <v>11819</v>
      </c>
      <c r="C2821" s="900" t="s">
        <v>11837</v>
      </c>
      <c r="D2821" s="905" t="s">
        <v>11840</v>
      </c>
    </row>
    <row r="2822" spans="1:4" ht="33">
      <c r="A2822" s="657" t="s">
        <v>8049</v>
      </c>
      <c r="B2822" t="s">
        <v>11819</v>
      </c>
      <c r="C2822" s="900" t="s">
        <v>11837</v>
      </c>
      <c r="D2822" s="905" t="s">
        <v>11840</v>
      </c>
    </row>
    <row r="2823" spans="1:4" ht="33">
      <c r="A2823" s="657" t="s">
        <v>8051</v>
      </c>
      <c r="B2823" t="s">
        <v>11819</v>
      </c>
      <c r="C2823" s="900" t="s">
        <v>11837</v>
      </c>
      <c r="D2823" s="905" t="s">
        <v>11840</v>
      </c>
    </row>
    <row r="2824" spans="1:4" ht="33">
      <c r="A2824" s="657" t="s">
        <v>8053</v>
      </c>
      <c r="B2824" t="s">
        <v>11819</v>
      </c>
      <c r="C2824" s="900" t="s">
        <v>11837</v>
      </c>
      <c r="D2824" s="905" t="s">
        <v>11840</v>
      </c>
    </row>
    <row r="2825" spans="1:4" ht="33">
      <c r="A2825" s="657" t="s">
        <v>8055</v>
      </c>
      <c r="B2825" t="s">
        <v>11819</v>
      </c>
      <c r="C2825" s="900" t="s">
        <v>11837</v>
      </c>
      <c r="D2825" s="905" t="s">
        <v>11840</v>
      </c>
    </row>
    <row r="2826" spans="1:4" ht="33">
      <c r="A2826" s="657" t="s">
        <v>8057</v>
      </c>
      <c r="B2826" t="s">
        <v>11819</v>
      </c>
      <c r="C2826" s="900" t="s">
        <v>11837</v>
      </c>
      <c r="D2826" s="905" t="s">
        <v>11840</v>
      </c>
    </row>
    <row r="2827" spans="1:4" ht="33">
      <c r="A2827" s="657" t="s">
        <v>8059</v>
      </c>
      <c r="B2827" t="s">
        <v>11819</v>
      </c>
      <c r="C2827" s="900" t="s">
        <v>11837</v>
      </c>
      <c r="D2827" s="905" t="s">
        <v>11840</v>
      </c>
    </row>
    <row r="2828" spans="1:4" ht="33">
      <c r="A2828" s="657" t="s">
        <v>8061</v>
      </c>
      <c r="B2828" t="s">
        <v>11819</v>
      </c>
      <c r="C2828" s="900" t="s">
        <v>11837</v>
      </c>
      <c r="D2828" s="905" t="s">
        <v>11840</v>
      </c>
    </row>
    <row r="2829" spans="1:4" ht="33">
      <c r="A2829" s="657" t="s">
        <v>8063</v>
      </c>
      <c r="B2829" t="s">
        <v>11819</v>
      </c>
      <c r="C2829" s="900" t="s">
        <v>11837</v>
      </c>
      <c r="D2829" s="905" t="s">
        <v>11840</v>
      </c>
    </row>
    <row r="2830" spans="1:4" ht="33">
      <c r="A2830" s="657" t="s">
        <v>8065</v>
      </c>
      <c r="B2830" t="s">
        <v>11819</v>
      </c>
      <c r="C2830" s="900" t="s">
        <v>11837</v>
      </c>
      <c r="D2830" s="905" t="s">
        <v>11840</v>
      </c>
    </row>
    <row r="2831" spans="1:4" ht="33">
      <c r="A2831" s="657" t="s">
        <v>8067</v>
      </c>
      <c r="B2831" t="s">
        <v>11819</v>
      </c>
      <c r="C2831" s="900" t="s">
        <v>11837</v>
      </c>
      <c r="D2831" s="905" t="s">
        <v>11840</v>
      </c>
    </row>
    <row r="2832" spans="1:4" ht="33">
      <c r="A2832" s="657" t="s">
        <v>8069</v>
      </c>
      <c r="B2832" t="s">
        <v>11819</v>
      </c>
      <c r="C2832" s="900" t="s">
        <v>11837</v>
      </c>
      <c r="D2832" s="905" t="s">
        <v>11840</v>
      </c>
    </row>
    <row r="2833" spans="1:4" ht="33">
      <c r="A2833" s="657" t="s">
        <v>8071</v>
      </c>
      <c r="B2833" t="s">
        <v>11819</v>
      </c>
      <c r="C2833" s="900" t="s">
        <v>11837</v>
      </c>
      <c r="D2833" s="905" t="s">
        <v>11840</v>
      </c>
    </row>
    <row r="2834" spans="1:4" ht="33">
      <c r="A2834" s="657" t="s">
        <v>8073</v>
      </c>
      <c r="B2834" t="s">
        <v>11819</v>
      </c>
      <c r="C2834" s="900" t="s">
        <v>11837</v>
      </c>
      <c r="D2834" s="905" t="s">
        <v>11840</v>
      </c>
    </row>
    <row r="2835" spans="1:4" ht="33">
      <c r="A2835" s="657" t="s">
        <v>8075</v>
      </c>
      <c r="B2835" t="s">
        <v>11819</v>
      </c>
      <c r="C2835" s="900" t="s">
        <v>11837</v>
      </c>
      <c r="D2835" s="905" t="s">
        <v>11840</v>
      </c>
    </row>
    <row r="2836" spans="1:4" ht="33">
      <c r="A2836" s="657" t="s">
        <v>8077</v>
      </c>
      <c r="B2836" t="s">
        <v>11819</v>
      </c>
      <c r="C2836" s="900" t="s">
        <v>11837</v>
      </c>
      <c r="D2836" s="905" t="s">
        <v>11840</v>
      </c>
    </row>
    <row r="2837" spans="1:4" ht="33">
      <c r="A2837" s="657" t="s">
        <v>8079</v>
      </c>
      <c r="B2837" t="s">
        <v>11819</v>
      </c>
      <c r="C2837" s="900" t="s">
        <v>11837</v>
      </c>
      <c r="D2837" s="905" t="s">
        <v>11840</v>
      </c>
    </row>
    <row r="2838" spans="1:4" ht="33">
      <c r="A2838" s="657" t="s">
        <v>8081</v>
      </c>
      <c r="B2838" t="s">
        <v>11819</v>
      </c>
      <c r="C2838" s="900" t="s">
        <v>11837</v>
      </c>
      <c r="D2838" s="905" t="s">
        <v>11840</v>
      </c>
    </row>
    <row r="2839" spans="1:4" ht="33">
      <c r="A2839" s="657" t="s">
        <v>8083</v>
      </c>
      <c r="B2839" t="s">
        <v>11819</v>
      </c>
      <c r="C2839" s="900" t="s">
        <v>11837</v>
      </c>
      <c r="D2839" s="905" t="s">
        <v>11840</v>
      </c>
    </row>
    <row r="2840" spans="1:4" ht="33">
      <c r="A2840" s="657" t="s">
        <v>8085</v>
      </c>
      <c r="B2840" t="s">
        <v>11819</v>
      </c>
      <c r="C2840" s="900" t="s">
        <v>11837</v>
      </c>
      <c r="D2840" s="905" t="s">
        <v>11840</v>
      </c>
    </row>
    <row r="2841" spans="1:4" ht="33">
      <c r="A2841" s="657" t="s">
        <v>8087</v>
      </c>
      <c r="B2841" t="s">
        <v>11819</v>
      </c>
      <c r="C2841" s="900" t="s">
        <v>11837</v>
      </c>
      <c r="D2841" s="905" t="s">
        <v>11840</v>
      </c>
    </row>
    <row r="2842" spans="1:4" ht="33">
      <c r="A2842" s="657" t="s">
        <v>8089</v>
      </c>
      <c r="B2842" t="s">
        <v>11819</v>
      </c>
      <c r="C2842" s="900" t="s">
        <v>11837</v>
      </c>
      <c r="D2842" s="905" t="s">
        <v>11840</v>
      </c>
    </row>
    <row r="2843" spans="1:4" ht="33">
      <c r="A2843" s="657" t="s">
        <v>8091</v>
      </c>
      <c r="B2843" t="s">
        <v>11819</v>
      </c>
      <c r="C2843" s="900" t="s">
        <v>11837</v>
      </c>
      <c r="D2843" s="905" t="s">
        <v>11840</v>
      </c>
    </row>
    <row r="2844" spans="1:4" ht="33">
      <c r="A2844" s="657" t="s">
        <v>8093</v>
      </c>
      <c r="B2844" t="s">
        <v>11819</v>
      </c>
      <c r="C2844" s="900" t="s">
        <v>11837</v>
      </c>
      <c r="D2844" s="905" t="s">
        <v>11840</v>
      </c>
    </row>
    <row r="2845" spans="1:4" ht="33">
      <c r="A2845" s="657" t="s">
        <v>8095</v>
      </c>
      <c r="B2845" t="s">
        <v>11819</v>
      </c>
      <c r="C2845" s="900" t="s">
        <v>11837</v>
      </c>
      <c r="D2845" s="905" t="s">
        <v>11840</v>
      </c>
    </row>
    <row r="2846" spans="1:4" ht="33">
      <c r="A2846" s="657" t="s">
        <v>8097</v>
      </c>
      <c r="B2846" t="s">
        <v>11819</v>
      </c>
      <c r="C2846" s="900" t="s">
        <v>11837</v>
      </c>
      <c r="D2846" s="905" t="s">
        <v>11840</v>
      </c>
    </row>
    <row r="2847" spans="1:4" ht="33">
      <c r="A2847" s="657" t="s">
        <v>8099</v>
      </c>
      <c r="B2847" t="s">
        <v>11819</v>
      </c>
      <c r="C2847" s="900" t="s">
        <v>11837</v>
      </c>
      <c r="D2847" s="905" t="s">
        <v>11840</v>
      </c>
    </row>
    <row r="2848" spans="1:4" ht="33">
      <c r="A2848" s="657" t="s">
        <v>8101</v>
      </c>
      <c r="B2848" t="s">
        <v>11819</v>
      </c>
      <c r="C2848" s="900" t="s">
        <v>11837</v>
      </c>
      <c r="D2848" s="905" t="s">
        <v>11840</v>
      </c>
    </row>
    <row r="2849" spans="1:4" ht="33">
      <c r="A2849" s="657" t="s">
        <v>8103</v>
      </c>
      <c r="B2849" t="s">
        <v>11819</v>
      </c>
      <c r="C2849" s="900" t="s">
        <v>11837</v>
      </c>
      <c r="D2849" s="905" t="s">
        <v>11840</v>
      </c>
    </row>
    <row r="2850" spans="1:4" ht="33">
      <c r="A2850" s="657" t="s">
        <v>8105</v>
      </c>
      <c r="B2850" t="s">
        <v>11819</v>
      </c>
      <c r="C2850" s="900" t="s">
        <v>11837</v>
      </c>
      <c r="D2850" s="905" t="s">
        <v>11840</v>
      </c>
    </row>
    <row r="2851" spans="1:4" ht="33">
      <c r="A2851" s="657" t="s">
        <v>8107</v>
      </c>
      <c r="B2851" t="s">
        <v>11819</v>
      </c>
      <c r="C2851" s="900" t="s">
        <v>11837</v>
      </c>
      <c r="D2851" s="905" t="s">
        <v>11840</v>
      </c>
    </row>
    <row r="2852" spans="1:4" ht="33">
      <c r="A2852" s="657" t="s">
        <v>8109</v>
      </c>
      <c r="B2852" t="s">
        <v>11819</v>
      </c>
      <c r="C2852" s="900" t="s">
        <v>11837</v>
      </c>
      <c r="D2852" s="905" t="s">
        <v>11840</v>
      </c>
    </row>
    <row r="2853" spans="1:4" ht="33">
      <c r="A2853" s="657" t="s">
        <v>8111</v>
      </c>
      <c r="B2853" t="s">
        <v>11819</v>
      </c>
      <c r="C2853" s="900" t="s">
        <v>11837</v>
      </c>
      <c r="D2853" s="905" t="s">
        <v>11840</v>
      </c>
    </row>
    <row r="2854" spans="1:4" ht="33">
      <c r="A2854" s="657" t="s">
        <v>8113</v>
      </c>
      <c r="B2854" t="s">
        <v>11819</v>
      </c>
      <c r="C2854" s="900" t="s">
        <v>11837</v>
      </c>
      <c r="D2854" s="905" t="s">
        <v>11840</v>
      </c>
    </row>
    <row r="2855" spans="1:4" ht="33">
      <c r="A2855" s="657" t="s">
        <v>8115</v>
      </c>
      <c r="B2855" t="s">
        <v>11819</v>
      </c>
      <c r="C2855" s="900" t="s">
        <v>11837</v>
      </c>
      <c r="D2855" s="905" t="s">
        <v>11840</v>
      </c>
    </row>
    <row r="2856" spans="1:4" ht="33">
      <c r="A2856" s="657" t="s">
        <v>8117</v>
      </c>
      <c r="B2856" t="s">
        <v>11819</v>
      </c>
      <c r="C2856" s="900" t="s">
        <v>11837</v>
      </c>
      <c r="D2856" s="905" t="s">
        <v>11840</v>
      </c>
    </row>
    <row r="2857" spans="1:4" ht="33">
      <c r="A2857" s="657" t="s">
        <v>8119</v>
      </c>
      <c r="B2857" t="s">
        <v>11819</v>
      </c>
      <c r="C2857" s="900" t="s">
        <v>11837</v>
      </c>
      <c r="D2857" s="905" t="s">
        <v>11840</v>
      </c>
    </row>
    <row r="2858" spans="1:4" ht="33">
      <c r="A2858" s="657" t="s">
        <v>8121</v>
      </c>
      <c r="B2858" t="s">
        <v>11819</v>
      </c>
      <c r="C2858" s="900" t="s">
        <v>11837</v>
      </c>
      <c r="D2858" s="905" t="s">
        <v>11840</v>
      </c>
    </row>
    <row r="2859" spans="1:4" ht="33">
      <c r="A2859" s="657" t="s">
        <v>8123</v>
      </c>
      <c r="B2859" t="s">
        <v>11819</v>
      </c>
      <c r="C2859" s="900" t="s">
        <v>11837</v>
      </c>
      <c r="D2859" s="905" t="s">
        <v>11840</v>
      </c>
    </row>
    <row r="2860" spans="1:4" ht="33">
      <c r="A2860" s="657" t="s">
        <v>8125</v>
      </c>
      <c r="B2860" t="s">
        <v>11819</v>
      </c>
      <c r="C2860" s="900" t="s">
        <v>11837</v>
      </c>
      <c r="D2860" s="905" t="s">
        <v>11840</v>
      </c>
    </row>
    <row r="2861" spans="1:4" ht="33">
      <c r="A2861" s="657" t="s">
        <v>8127</v>
      </c>
      <c r="B2861" t="s">
        <v>11819</v>
      </c>
      <c r="C2861" s="900" t="s">
        <v>11837</v>
      </c>
      <c r="D2861" s="905" t="s">
        <v>11840</v>
      </c>
    </row>
    <row r="2862" spans="1:4" ht="33">
      <c r="A2862" s="657" t="s">
        <v>8129</v>
      </c>
      <c r="B2862" t="s">
        <v>11819</v>
      </c>
      <c r="C2862" s="900" t="s">
        <v>11837</v>
      </c>
      <c r="D2862" s="905" t="s">
        <v>11840</v>
      </c>
    </row>
    <row r="2863" spans="1:4" ht="33">
      <c r="A2863" s="657" t="s">
        <v>8131</v>
      </c>
      <c r="B2863" t="s">
        <v>11819</v>
      </c>
      <c r="C2863" s="900" t="s">
        <v>11837</v>
      </c>
      <c r="D2863" s="905" t="s">
        <v>11840</v>
      </c>
    </row>
    <row r="2864" spans="1:4" ht="33">
      <c r="A2864" s="657" t="s">
        <v>8133</v>
      </c>
      <c r="B2864" t="s">
        <v>11819</v>
      </c>
      <c r="C2864" s="900" t="s">
        <v>11837</v>
      </c>
      <c r="D2864" s="905" t="s">
        <v>11840</v>
      </c>
    </row>
    <row r="2865" spans="1:4" ht="33">
      <c r="A2865" s="657" t="s">
        <v>8135</v>
      </c>
      <c r="B2865" t="s">
        <v>11819</v>
      </c>
      <c r="C2865" s="900" t="s">
        <v>11837</v>
      </c>
      <c r="D2865" s="905" t="s">
        <v>11840</v>
      </c>
    </row>
    <row r="2866" spans="1:4" ht="33">
      <c r="A2866" s="657" t="s">
        <v>8137</v>
      </c>
      <c r="B2866" t="s">
        <v>11819</v>
      </c>
      <c r="C2866" s="900" t="s">
        <v>11837</v>
      </c>
      <c r="D2866" s="905" t="s">
        <v>11840</v>
      </c>
    </row>
    <row r="2867" spans="1:4" ht="33">
      <c r="A2867" s="657" t="s">
        <v>8139</v>
      </c>
      <c r="B2867" t="s">
        <v>11819</v>
      </c>
      <c r="C2867" s="900" t="s">
        <v>11837</v>
      </c>
      <c r="D2867" s="905" t="s">
        <v>11840</v>
      </c>
    </row>
    <row r="2868" spans="1:4" ht="33">
      <c r="A2868" s="657" t="s">
        <v>8141</v>
      </c>
      <c r="B2868" t="s">
        <v>11819</v>
      </c>
      <c r="C2868" s="900" t="s">
        <v>11837</v>
      </c>
      <c r="D2868" s="905" t="s">
        <v>11840</v>
      </c>
    </row>
    <row r="2869" spans="1:4" ht="33">
      <c r="A2869" s="657" t="s">
        <v>8143</v>
      </c>
      <c r="B2869" t="s">
        <v>11819</v>
      </c>
      <c r="C2869" s="900" t="s">
        <v>11837</v>
      </c>
      <c r="D2869" s="905" t="s">
        <v>11840</v>
      </c>
    </row>
    <row r="2870" spans="1:4" ht="33">
      <c r="A2870" s="657" t="s">
        <v>8145</v>
      </c>
      <c r="B2870" t="s">
        <v>11819</v>
      </c>
      <c r="C2870" s="900" t="s">
        <v>11837</v>
      </c>
      <c r="D2870" s="905" t="s">
        <v>11840</v>
      </c>
    </row>
    <row r="2871" spans="1:4" ht="33">
      <c r="A2871" s="657" t="s">
        <v>8147</v>
      </c>
      <c r="B2871" t="s">
        <v>11819</v>
      </c>
      <c r="C2871" s="900" t="s">
        <v>11837</v>
      </c>
      <c r="D2871" s="905" t="s">
        <v>11840</v>
      </c>
    </row>
    <row r="2872" spans="1:4" ht="33">
      <c r="A2872" s="657" t="s">
        <v>8149</v>
      </c>
      <c r="B2872" t="s">
        <v>11819</v>
      </c>
      <c r="C2872" s="900" t="s">
        <v>11837</v>
      </c>
      <c r="D2872" s="905" t="s">
        <v>11840</v>
      </c>
    </row>
    <row r="2873" spans="1:4" ht="33">
      <c r="A2873" s="657" t="s">
        <v>8151</v>
      </c>
      <c r="B2873" t="s">
        <v>11819</v>
      </c>
      <c r="C2873" s="900" t="s">
        <v>11837</v>
      </c>
      <c r="D2873" s="905" t="s">
        <v>11840</v>
      </c>
    </row>
    <row r="2874" spans="1:4" ht="33">
      <c r="A2874" s="657" t="s">
        <v>8153</v>
      </c>
      <c r="B2874" t="s">
        <v>11819</v>
      </c>
      <c r="C2874" s="900" t="s">
        <v>11837</v>
      </c>
      <c r="D2874" s="905" t="s">
        <v>11840</v>
      </c>
    </row>
    <row r="2875" spans="1:4" ht="33">
      <c r="A2875" s="657" t="s">
        <v>8155</v>
      </c>
      <c r="B2875" t="s">
        <v>11819</v>
      </c>
      <c r="C2875" s="900" t="s">
        <v>11837</v>
      </c>
      <c r="D2875" s="905" t="s">
        <v>11840</v>
      </c>
    </row>
    <row r="2876" spans="1:4" ht="33">
      <c r="A2876" s="657" t="s">
        <v>8157</v>
      </c>
      <c r="B2876" t="s">
        <v>11819</v>
      </c>
      <c r="C2876" s="900" t="s">
        <v>11837</v>
      </c>
      <c r="D2876" s="905" t="s">
        <v>11840</v>
      </c>
    </row>
    <row r="2877" spans="1:4" ht="33">
      <c r="A2877" s="657" t="s">
        <v>8159</v>
      </c>
      <c r="B2877" t="s">
        <v>11819</v>
      </c>
      <c r="C2877" s="900" t="s">
        <v>11837</v>
      </c>
      <c r="D2877" s="905" t="s">
        <v>11840</v>
      </c>
    </row>
    <row r="2878" spans="1:4" ht="33">
      <c r="A2878" s="657" t="s">
        <v>8161</v>
      </c>
      <c r="B2878" t="s">
        <v>11819</v>
      </c>
      <c r="C2878" s="900" t="s">
        <v>11837</v>
      </c>
      <c r="D2878" s="905" t="s">
        <v>11840</v>
      </c>
    </row>
    <row r="2879" spans="1:4" ht="33">
      <c r="A2879" s="657" t="s">
        <v>8163</v>
      </c>
      <c r="B2879" t="s">
        <v>11819</v>
      </c>
      <c r="C2879" s="900" t="s">
        <v>11837</v>
      </c>
      <c r="D2879" s="905" t="s">
        <v>11840</v>
      </c>
    </row>
    <row r="2880" spans="1:4" ht="33">
      <c r="A2880" s="657" t="s">
        <v>8165</v>
      </c>
      <c r="B2880" t="s">
        <v>11819</v>
      </c>
      <c r="C2880" s="900" t="s">
        <v>11837</v>
      </c>
      <c r="D2880" s="905" t="s">
        <v>11840</v>
      </c>
    </row>
    <row r="2881" spans="1:4" ht="33">
      <c r="A2881" s="657" t="s">
        <v>8167</v>
      </c>
      <c r="B2881" t="s">
        <v>11819</v>
      </c>
      <c r="C2881" s="900" t="s">
        <v>11837</v>
      </c>
      <c r="D2881" s="905" t="s">
        <v>11840</v>
      </c>
    </row>
    <row r="2882" spans="1:4" ht="33">
      <c r="A2882" s="657" t="s">
        <v>8169</v>
      </c>
      <c r="B2882" t="s">
        <v>11819</v>
      </c>
      <c r="C2882" s="900" t="s">
        <v>11837</v>
      </c>
      <c r="D2882" s="905" t="s">
        <v>11840</v>
      </c>
    </row>
    <row r="2883" spans="1:4" ht="33">
      <c r="A2883" s="657" t="s">
        <v>8171</v>
      </c>
      <c r="B2883" t="s">
        <v>11819</v>
      </c>
      <c r="C2883" s="900" t="s">
        <v>11837</v>
      </c>
      <c r="D2883" s="905" t="s">
        <v>11840</v>
      </c>
    </row>
    <row r="2884" spans="1:4" ht="33">
      <c r="A2884" s="657" t="s">
        <v>8173</v>
      </c>
      <c r="B2884" t="s">
        <v>11819</v>
      </c>
      <c r="C2884" s="900" t="s">
        <v>11837</v>
      </c>
      <c r="D2884" s="905" t="s">
        <v>11840</v>
      </c>
    </row>
    <row r="2885" spans="1:4" ht="33">
      <c r="A2885" s="657" t="s">
        <v>8175</v>
      </c>
      <c r="B2885" t="s">
        <v>11819</v>
      </c>
      <c r="C2885" s="900" t="s">
        <v>11837</v>
      </c>
      <c r="D2885" s="905" t="s">
        <v>11840</v>
      </c>
    </row>
    <row r="2886" spans="1:4" ht="33">
      <c r="A2886" s="657" t="s">
        <v>8177</v>
      </c>
      <c r="B2886" t="s">
        <v>11819</v>
      </c>
      <c r="C2886" s="900" t="s">
        <v>11837</v>
      </c>
      <c r="D2886" s="905" t="s">
        <v>11840</v>
      </c>
    </row>
    <row r="2887" spans="1:4" ht="33">
      <c r="A2887" s="657" t="s">
        <v>8179</v>
      </c>
      <c r="B2887" t="s">
        <v>11819</v>
      </c>
      <c r="C2887" s="900" t="s">
        <v>11837</v>
      </c>
      <c r="D2887" s="905" t="s">
        <v>11840</v>
      </c>
    </row>
    <row r="2888" spans="1:4" ht="33">
      <c r="A2888" s="657" t="s">
        <v>8181</v>
      </c>
      <c r="B2888" t="s">
        <v>11819</v>
      </c>
      <c r="C2888" s="900" t="s">
        <v>11837</v>
      </c>
      <c r="D2888" s="905" t="s">
        <v>11840</v>
      </c>
    </row>
    <row r="2889" spans="1:4" ht="33">
      <c r="A2889" s="657" t="s">
        <v>8183</v>
      </c>
      <c r="B2889" t="s">
        <v>11819</v>
      </c>
      <c r="C2889" s="900" t="s">
        <v>11837</v>
      </c>
      <c r="D2889" s="905" t="s">
        <v>11840</v>
      </c>
    </row>
    <row r="2890" spans="1:4" ht="33">
      <c r="A2890" s="657" t="s">
        <v>8185</v>
      </c>
      <c r="B2890" t="s">
        <v>11819</v>
      </c>
      <c r="C2890" s="900" t="s">
        <v>11837</v>
      </c>
      <c r="D2890" s="905" t="s">
        <v>11840</v>
      </c>
    </row>
    <row r="2891" spans="1:4" ht="33">
      <c r="A2891" s="657" t="s">
        <v>8187</v>
      </c>
      <c r="B2891" t="s">
        <v>11819</v>
      </c>
      <c r="C2891" s="900" t="s">
        <v>11837</v>
      </c>
      <c r="D2891" s="905" t="s">
        <v>11840</v>
      </c>
    </row>
    <row r="2892" spans="1:4" ht="33">
      <c r="A2892" s="657" t="s">
        <v>8189</v>
      </c>
      <c r="B2892" t="s">
        <v>11819</v>
      </c>
      <c r="C2892" s="900" t="s">
        <v>11837</v>
      </c>
      <c r="D2892" s="905" t="s">
        <v>11840</v>
      </c>
    </row>
    <row r="2893" spans="1:4" ht="33">
      <c r="A2893" s="657" t="s">
        <v>8191</v>
      </c>
      <c r="B2893" t="s">
        <v>11819</v>
      </c>
      <c r="C2893" s="900" t="s">
        <v>11837</v>
      </c>
      <c r="D2893" s="905" t="s">
        <v>11840</v>
      </c>
    </row>
    <row r="2894" spans="1:4" ht="33">
      <c r="A2894" s="657" t="s">
        <v>8193</v>
      </c>
      <c r="B2894" t="s">
        <v>11819</v>
      </c>
      <c r="C2894" s="900" t="s">
        <v>11837</v>
      </c>
      <c r="D2894" s="905" t="s">
        <v>11840</v>
      </c>
    </row>
    <row r="2895" spans="1:4" ht="33">
      <c r="A2895" s="657" t="s">
        <v>8195</v>
      </c>
      <c r="B2895" t="s">
        <v>11819</v>
      </c>
      <c r="C2895" s="900" t="s">
        <v>11837</v>
      </c>
      <c r="D2895" s="905" t="s">
        <v>11840</v>
      </c>
    </row>
    <row r="2896" spans="1:4" ht="33">
      <c r="A2896" s="657" t="s">
        <v>8197</v>
      </c>
      <c r="B2896" t="s">
        <v>11819</v>
      </c>
      <c r="C2896" s="900" t="s">
        <v>11837</v>
      </c>
      <c r="D2896" s="905" t="s">
        <v>11840</v>
      </c>
    </row>
    <row r="2897" spans="1:4" ht="33">
      <c r="A2897" s="657" t="s">
        <v>8199</v>
      </c>
      <c r="B2897" t="s">
        <v>11819</v>
      </c>
      <c r="C2897" s="900" t="s">
        <v>11837</v>
      </c>
      <c r="D2897" s="905" t="s">
        <v>11840</v>
      </c>
    </row>
    <row r="2898" spans="1:4" ht="33">
      <c r="A2898" s="657" t="s">
        <v>8201</v>
      </c>
      <c r="B2898" t="s">
        <v>11819</v>
      </c>
      <c r="C2898" s="900" t="s">
        <v>11837</v>
      </c>
      <c r="D2898" s="905" t="s">
        <v>11840</v>
      </c>
    </row>
    <row r="2899" spans="1:4" ht="33">
      <c r="A2899" s="657" t="s">
        <v>8203</v>
      </c>
      <c r="B2899" t="s">
        <v>11819</v>
      </c>
      <c r="C2899" s="900" t="s">
        <v>11837</v>
      </c>
      <c r="D2899" s="905" t="s">
        <v>11840</v>
      </c>
    </row>
    <row r="2900" spans="1:4" ht="33">
      <c r="A2900" s="657" t="s">
        <v>8205</v>
      </c>
      <c r="B2900" t="s">
        <v>11819</v>
      </c>
      <c r="C2900" s="900" t="s">
        <v>11837</v>
      </c>
      <c r="D2900" s="905" t="s">
        <v>11840</v>
      </c>
    </row>
    <row r="2901" spans="1:4" ht="33">
      <c r="A2901" s="657" t="s">
        <v>8207</v>
      </c>
      <c r="B2901" t="s">
        <v>11819</v>
      </c>
      <c r="C2901" s="900" t="s">
        <v>11837</v>
      </c>
      <c r="D2901" s="905" t="s">
        <v>11840</v>
      </c>
    </row>
    <row r="2902" spans="1:4" ht="33">
      <c r="A2902" s="657" t="s">
        <v>8209</v>
      </c>
      <c r="B2902" t="s">
        <v>11819</v>
      </c>
      <c r="C2902" s="900" t="s">
        <v>11837</v>
      </c>
      <c r="D2902" s="905" t="s">
        <v>11840</v>
      </c>
    </row>
    <row r="2903" spans="1:4" ht="33">
      <c r="A2903" s="657" t="s">
        <v>8211</v>
      </c>
      <c r="B2903" t="s">
        <v>11819</v>
      </c>
      <c r="C2903" s="900" t="s">
        <v>11837</v>
      </c>
      <c r="D2903" s="905" t="s">
        <v>11840</v>
      </c>
    </row>
    <row r="2904" spans="1:4" ht="33">
      <c r="A2904" s="657" t="s">
        <v>8213</v>
      </c>
      <c r="B2904" t="s">
        <v>11819</v>
      </c>
      <c r="C2904" s="900" t="s">
        <v>11837</v>
      </c>
      <c r="D2904" s="905" t="s">
        <v>11840</v>
      </c>
    </row>
    <row r="2905" spans="1:4" ht="33">
      <c r="A2905" s="657" t="s">
        <v>8215</v>
      </c>
      <c r="B2905" t="s">
        <v>11819</v>
      </c>
      <c r="C2905" s="900" t="s">
        <v>11837</v>
      </c>
      <c r="D2905" s="905" t="s">
        <v>11840</v>
      </c>
    </row>
    <row r="2906" spans="1:4" ht="33">
      <c r="A2906" s="657" t="s">
        <v>8217</v>
      </c>
      <c r="B2906" t="s">
        <v>11819</v>
      </c>
      <c r="C2906" s="900" t="s">
        <v>11837</v>
      </c>
      <c r="D2906" s="905" t="s">
        <v>11840</v>
      </c>
    </row>
    <row r="2907" spans="1:4" ht="33">
      <c r="A2907" s="657" t="s">
        <v>8219</v>
      </c>
      <c r="B2907" t="s">
        <v>11819</v>
      </c>
      <c r="C2907" s="900" t="s">
        <v>11837</v>
      </c>
      <c r="D2907" s="905" t="s">
        <v>11840</v>
      </c>
    </row>
    <row r="2908" spans="1:4" ht="33">
      <c r="A2908" s="657" t="s">
        <v>8221</v>
      </c>
      <c r="B2908" t="s">
        <v>11819</v>
      </c>
      <c r="C2908" s="900" t="s">
        <v>11837</v>
      </c>
      <c r="D2908" s="905" t="s">
        <v>11840</v>
      </c>
    </row>
    <row r="2909" spans="1:4" ht="33">
      <c r="A2909" s="657" t="s">
        <v>8223</v>
      </c>
      <c r="B2909" t="s">
        <v>11819</v>
      </c>
      <c r="C2909" s="900" t="s">
        <v>11837</v>
      </c>
      <c r="D2909" s="905" t="s">
        <v>11840</v>
      </c>
    </row>
    <row r="2910" spans="1:4" ht="33">
      <c r="A2910" s="657" t="s">
        <v>8225</v>
      </c>
      <c r="B2910" t="s">
        <v>11819</v>
      </c>
      <c r="C2910" s="900" t="s">
        <v>11837</v>
      </c>
      <c r="D2910" s="905" t="s">
        <v>11840</v>
      </c>
    </row>
    <row r="2911" spans="1:4" ht="33">
      <c r="A2911" s="657" t="s">
        <v>8227</v>
      </c>
      <c r="B2911" t="s">
        <v>11819</v>
      </c>
      <c r="C2911" s="900" t="s">
        <v>11837</v>
      </c>
      <c r="D2911" s="905" t="s">
        <v>11840</v>
      </c>
    </row>
    <row r="2912" spans="1:4" ht="33">
      <c r="A2912" s="657" t="s">
        <v>8229</v>
      </c>
      <c r="B2912" t="s">
        <v>11819</v>
      </c>
      <c r="C2912" s="900" t="s">
        <v>11837</v>
      </c>
      <c r="D2912" s="905" t="s">
        <v>11840</v>
      </c>
    </row>
    <row r="2913" spans="1:4" ht="33">
      <c r="A2913" s="657" t="s">
        <v>8231</v>
      </c>
      <c r="B2913" t="s">
        <v>11819</v>
      </c>
      <c r="C2913" s="900" t="s">
        <v>11837</v>
      </c>
      <c r="D2913" s="905" t="s">
        <v>11840</v>
      </c>
    </row>
    <row r="2914" spans="1:4" ht="33">
      <c r="A2914" s="657" t="s">
        <v>8233</v>
      </c>
      <c r="B2914" t="s">
        <v>11819</v>
      </c>
      <c r="C2914" s="900" t="s">
        <v>11837</v>
      </c>
      <c r="D2914" s="905" t="s">
        <v>11840</v>
      </c>
    </row>
    <row r="2915" spans="1:4" ht="33">
      <c r="A2915" s="657" t="s">
        <v>8235</v>
      </c>
      <c r="B2915" t="s">
        <v>11819</v>
      </c>
      <c r="C2915" s="900" t="s">
        <v>11837</v>
      </c>
      <c r="D2915" s="905" t="s">
        <v>11840</v>
      </c>
    </row>
    <row r="2916" spans="1:4" ht="33">
      <c r="A2916" s="657" t="s">
        <v>8237</v>
      </c>
      <c r="B2916" t="s">
        <v>11819</v>
      </c>
      <c r="C2916" s="900" t="s">
        <v>11837</v>
      </c>
      <c r="D2916" s="905" t="s">
        <v>11840</v>
      </c>
    </row>
    <row r="2917" spans="1:4" ht="33">
      <c r="A2917" s="657" t="s">
        <v>8239</v>
      </c>
      <c r="B2917" t="s">
        <v>11819</v>
      </c>
      <c r="C2917" s="900" t="s">
        <v>11837</v>
      </c>
      <c r="D2917" s="905" t="s">
        <v>11840</v>
      </c>
    </row>
    <row r="2918" spans="1:4" ht="33">
      <c r="A2918" s="657" t="s">
        <v>8241</v>
      </c>
      <c r="B2918" t="s">
        <v>11819</v>
      </c>
      <c r="C2918" s="900" t="s">
        <v>11837</v>
      </c>
      <c r="D2918" s="905" t="s">
        <v>11840</v>
      </c>
    </row>
    <row r="2919" spans="1:4" ht="33">
      <c r="A2919" s="657" t="s">
        <v>8243</v>
      </c>
      <c r="B2919" t="s">
        <v>11819</v>
      </c>
      <c r="C2919" s="900" t="s">
        <v>11837</v>
      </c>
      <c r="D2919" s="905" t="s">
        <v>11840</v>
      </c>
    </row>
    <row r="2920" spans="1:4" ht="33">
      <c r="A2920" s="657" t="s">
        <v>8245</v>
      </c>
      <c r="B2920" t="s">
        <v>11819</v>
      </c>
      <c r="C2920" s="900" t="s">
        <v>11837</v>
      </c>
      <c r="D2920" s="905" t="s">
        <v>11840</v>
      </c>
    </row>
    <row r="2921" spans="1:4" ht="33">
      <c r="A2921" s="657" t="s">
        <v>8247</v>
      </c>
      <c r="B2921" t="s">
        <v>11819</v>
      </c>
      <c r="C2921" s="900" t="s">
        <v>11837</v>
      </c>
      <c r="D2921" s="905" t="s">
        <v>11840</v>
      </c>
    </row>
    <row r="2922" spans="1:4" ht="33">
      <c r="A2922" s="657" t="s">
        <v>8249</v>
      </c>
      <c r="B2922" t="s">
        <v>11819</v>
      </c>
      <c r="C2922" s="900" t="s">
        <v>11837</v>
      </c>
      <c r="D2922" s="905" t="s">
        <v>11840</v>
      </c>
    </row>
    <row r="2923" spans="1:4" ht="33">
      <c r="A2923" s="657" t="s">
        <v>8251</v>
      </c>
      <c r="B2923" t="s">
        <v>11819</v>
      </c>
      <c r="C2923" s="900" t="s">
        <v>11837</v>
      </c>
      <c r="D2923" s="905" t="s">
        <v>11840</v>
      </c>
    </row>
    <row r="2924" spans="1:4" ht="33">
      <c r="A2924" s="657" t="s">
        <v>8253</v>
      </c>
      <c r="B2924" t="s">
        <v>11819</v>
      </c>
      <c r="C2924" s="900" t="s">
        <v>11837</v>
      </c>
      <c r="D2924" s="905" t="s">
        <v>11840</v>
      </c>
    </row>
    <row r="2925" spans="1:4" ht="33">
      <c r="A2925" s="657" t="s">
        <v>8255</v>
      </c>
      <c r="B2925" t="s">
        <v>11819</v>
      </c>
      <c r="C2925" s="900" t="s">
        <v>11837</v>
      </c>
      <c r="D2925" s="905" t="s">
        <v>11840</v>
      </c>
    </row>
    <row r="2926" spans="1:4" ht="33">
      <c r="A2926" s="657" t="s">
        <v>8257</v>
      </c>
      <c r="B2926" t="s">
        <v>11819</v>
      </c>
      <c r="C2926" s="900" t="s">
        <v>11837</v>
      </c>
      <c r="D2926" s="905" t="s">
        <v>11840</v>
      </c>
    </row>
    <row r="2927" spans="1:4" ht="33">
      <c r="A2927" s="657" t="s">
        <v>8259</v>
      </c>
      <c r="B2927" t="s">
        <v>11819</v>
      </c>
      <c r="C2927" s="900" t="s">
        <v>11837</v>
      </c>
      <c r="D2927" s="905" t="s">
        <v>11840</v>
      </c>
    </row>
    <row r="2928" spans="1:4" ht="33">
      <c r="A2928" s="657" t="s">
        <v>8261</v>
      </c>
      <c r="B2928" t="s">
        <v>11819</v>
      </c>
      <c r="C2928" s="900" t="s">
        <v>11837</v>
      </c>
      <c r="D2928" s="905" t="s">
        <v>11840</v>
      </c>
    </row>
    <row r="2929" spans="1:4" ht="33">
      <c r="A2929" s="657" t="s">
        <v>8263</v>
      </c>
      <c r="B2929" t="s">
        <v>11819</v>
      </c>
      <c r="C2929" s="900" t="s">
        <v>11837</v>
      </c>
      <c r="D2929" s="905" t="s">
        <v>11840</v>
      </c>
    </row>
    <row r="2930" spans="1:4" ht="33">
      <c r="A2930" s="657" t="s">
        <v>8265</v>
      </c>
      <c r="B2930" t="s">
        <v>11819</v>
      </c>
      <c r="C2930" s="900" t="s">
        <v>11837</v>
      </c>
      <c r="D2930" s="905" t="s">
        <v>11840</v>
      </c>
    </row>
    <row r="2931" spans="1:4" ht="33">
      <c r="A2931" s="657" t="s">
        <v>8267</v>
      </c>
      <c r="B2931" t="s">
        <v>11819</v>
      </c>
      <c r="C2931" s="900" t="s">
        <v>11837</v>
      </c>
      <c r="D2931" s="905" t="s">
        <v>11840</v>
      </c>
    </row>
    <row r="2932" spans="1:4" ht="33">
      <c r="A2932" s="657" t="s">
        <v>8269</v>
      </c>
      <c r="B2932" t="s">
        <v>11819</v>
      </c>
      <c r="C2932" s="900" t="s">
        <v>11837</v>
      </c>
      <c r="D2932" s="905" t="s">
        <v>11840</v>
      </c>
    </row>
    <row r="2933" spans="1:4" ht="33">
      <c r="A2933" s="657" t="s">
        <v>8271</v>
      </c>
      <c r="B2933" t="s">
        <v>11819</v>
      </c>
      <c r="C2933" s="900" t="s">
        <v>11837</v>
      </c>
      <c r="D2933" s="905" t="s">
        <v>11840</v>
      </c>
    </row>
    <row r="2934" spans="1:4" ht="33">
      <c r="A2934" s="657" t="s">
        <v>8273</v>
      </c>
      <c r="B2934" t="s">
        <v>11819</v>
      </c>
      <c r="C2934" s="900" t="s">
        <v>11837</v>
      </c>
      <c r="D2934" s="905" t="s">
        <v>11840</v>
      </c>
    </row>
    <row r="2935" spans="1:4" ht="33">
      <c r="A2935" s="657" t="s">
        <v>8275</v>
      </c>
      <c r="B2935" t="s">
        <v>11819</v>
      </c>
      <c r="C2935" s="900" t="s">
        <v>11837</v>
      </c>
      <c r="D2935" s="905" t="s">
        <v>11840</v>
      </c>
    </row>
    <row r="2936" spans="1:4" ht="33">
      <c r="A2936" s="657" t="s">
        <v>8277</v>
      </c>
      <c r="B2936" t="s">
        <v>11819</v>
      </c>
      <c r="C2936" s="900" t="s">
        <v>11837</v>
      </c>
      <c r="D2936" s="905" t="s">
        <v>11840</v>
      </c>
    </row>
    <row r="2937" spans="1:4" ht="33">
      <c r="A2937" s="657" t="s">
        <v>8279</v>
      </c>
      <c r="B2937" t="s">
        <v>11819</v>
      </c>
      <c r="C2937" s="900" t="s">
        <v>11837</v>
      </c>
      <c r="D2937" s="905" t="s">
        <v>11840</v>
      </c>
    </row>
    <row r="2938" spans="1:4" ht="33">
      <c r="A2938" s="657" t="s">
        <v>8281</v>
      </c>
      <c r="B2938" t="s">
        <v>11819</v>
      </c>
      <c r="C2938" s="900" t="s">
        <v>11837</v>
      </c>
      <c r="D2938" s="905" t="s">
        <v>11840</v>
      </c>
    </row>
    <row r="2939" spans="1:4" ht="33">
      <c r="A2939" s="657" t="s">
        <v>8283</v>
      </c>
      <c r="B2939" t="s">
        <v>11819</v>
      </c>
      <c r="C2939" s="900" t="s">
        <v>11837</v>
      </c>
      <c r="D2939" s="905" t="s">
        <v>11840</v>
      </c>
    </row>
    <row r="2940" spans="1:4" ht="33">
      <c r="A2940" s="657" t="s">
        <v>8285</v>
      </c>
      <c r="B2940" t="s">
        <v>11819</v>
      </c>
      <c r="C2940" s="900" t="s">
        <v>11837</v>
      </c>
      <c r="D2940" s="905" t="s">
        <v>11840</v>
      </c>
    </row>
    <row r="2941" spans="1:4" ht="33">
      <c r="A2941" s="657" t="s">
        <v>8287</v>
      </c>
      <c r="B2941" t="s">
        <v>11819</v>
      </c>
      <c r="C2941" s="900" t="s">
        <v>11837</v>
      </c>
      <c r="D2941" s="905" t="s">
        <v>11840</v>
      </c>
    </row>
    <row r="2942" spans="1:4" ht="33">
      <c r="A2942" s="657" t="s">
        <v>8289</v>
      </c>
      <c r="B2942" t="s">
        <v>11819</v>
      </c>
      <c r="C2942" s="900" t="s">
        <v>11837</v>
      </c>
      <c r="D2942" s="905" t="s">
        <v>11840</v>
      </c>
    </row>
    <row r="2943" spans="1:4" ht="33">
      <c r="A2943" s="657" t="s">
        <v>8291</v>
      </c>
      <c r="B2943" t="s">
        <v>11819</v>
      </c>
      <c r="C2943" s="900" t="s">
        <v>11837</v>
      </c>
      <c r="D2943" s="905" t="s">
        <v>11840</v>
      </c>
    </row>
    <row r="2944" spans="1:4" ht="33">
      <c r="A2944" s="657" t="s">
        <v>8293</v>
      </c>
      <c r="B2944" t="s">
        <v>11819</v>
      </c>
      <c r="C2944" s="900" t="s">
        <v>11837</v>
      </c>
      <c r="D2944" s="905" t="s">
        <v>11840</v>
      </c>
    </row>
    <row r="2945" spans="1:4" ht="33">
      <c r="A2945" s="657" t="s">
        <v>8295</v>
      </c>
      <c r="B2945" t="s">
        <v>11819</v>
      </c>
      <c r="C2945" s="900" t="s">
        <v>11837</v>
      </c>
      <c r="D2945" s="905" t="s">
        <v>11840</v>
      </c>
    </row>
    <row r="2946" spans="1:4" ht="33">
      <c r="A2946" s="657" t="s">
        <v>8297</v>
      </c>
      <c r="B2946" t="s">
        <v>11819</v>
      </c>
      <c r="C2946" s="900" t="s">
        <v>11837</v>
      </c>
      <c r="D2946" s="905" t="s">
        <v>11840</v>
      </c>
    </row>
    <row r="2947" spans="1:4" ht="33">
      <c r="A2947" s="657" t="s">
        <v>8299</v>
      </c>
      <c r="B2947" t="s">
        <v>11819</v>
      </c>
      <c r="C2947" s="900" t="s">
        <v>11837</v>
      </c>
      <c r="D2947" s="905" t="s">
        <v>11840</v>
      </c>
    </row>
    <row r="2948" spans="1:4" ht="33">
      <c r="A2948" s="657" t="s">
        <v>8301</v>
      </c>
      <c r="B2948" t="s">
        <v>11819</v>
      </c>
      <c r="C2948" s="900" t="s">
        <v>11837</v>
      </c>
      <c r="D2948" s="905" t="s">
        <v>11840</v>
      </c>
    </row>
    <row r="2949" spans="1:4" ht="33">
      <c r="A2949" s="657" t="s">
        <v>8303</v>
      </c>
      <c r="B2949" t="s">
        <v>11819</v>
      </c>
      <c r="C2949" s="900" t="s">
        <v>11837</v>
      </c>
      <c r="D2949" s="905" t="s">
        <v>11840</v>
      </c>
    </row>
    <row r="2950" spans="1:4" ht="33">
      <c r="A2950" s="657" t="s">
        <v>8305</v>
      </c>
      <c r="B2950" t="s">
        <v>11819</v>
      </c>
      <c r="C2950" s="900" t="s">
        <v>11837</v>
      </c>
      <c r="D2950" s="905" t="s">
        <v>11840</v>
      </c>
    </row>
    <row r="2951" spans="1:4" ht="33">
      <c r="A2951" s="657" t="s">
        <v>8307</v>
      </c>
      <c r="B2951" t="s">
        <v>11819</v>
      </c>
      <c r="C2951" s="900" t="s">
        <v>11837</v>
      </c>
      <c r="D2951" s="905" t="s">
        <v>11840</v>
      </c>
    </row>
    <row r="2952" spans="1:4" ht="33">
      <c r="A2952" s="657" t="s">
        <v>8309</v>
      </c>
      <c r="B2952" t="s">
        <v>11819</v>
      </c>
      <c r="C2952" s="900" t="s">
        <v>11837</v>
      </c>
      <c r="D2952" s="905" t="s">
        <v>11840</v>
      </c>
    </row>
    <row r="2953" spans="1:4" ht="33">
      <c r="A2953" s="657" t="s">
        <v>8311</v>
      </c>
      <c r="B2953" t="s">
        <v>11819</v>
      </c>
      <c r="C2953" s="900" t="s">
        <v>11837</v>
      </c>
      <c r="D2953" s="905" t="s">
        <v>11840</v>
      </c>
    </row>
    <row r="2954" spans="1:4" ht="33">
      <c r="A2954" s="657" t="s">
        <v>8313</v>
      </c>
      <c r="B2954" t="s">
        <v>11819</v>
      </c>
      <c r="C2954" s="900" t="s">
        <v>11837</v>
      </c>
      <c r="D2954" s="905" t="s">
        <v>11840</v>
      </c>
    </row>
    <row r="2955" spans="1:4" ht="33">
      <c r="A2955" s="657" t="s">
        <v>8315</v>
      </c>
      <c r="B2955" t="s">
        <v>11819</v>
      </c>
      <c r="C2955" s="900" t="s">
        <v>11837</v>
      </c>
      <c r="D2955" s="905" t="s">
        <v>11840</v>
      </c>
    </row>
    <row r="2956" spans="1:4" ht="33">
      <c r="A2956" s="657" t="s">
        <v>8317</v>
      </c>
      <c r="B2956" t="s">
        <v>11819</v>
      </c>
      <c r="C2956" s="900" t="s">
        <v>11837</v>
      </c>
      <c r="D2956" s="905" t="s">
        <v>11840</v>
      </c>
    </row>
    <row r="2957" spans="1:4" ht="33">
      <c r="A2957" s="657" t="s">
        <v>8319</v>
      </c>
      <c r="B2957" t="s">
        <v>11819</v>
      </c>
      <c r="C2957" s="900" t="s">
        <v>11837</v>
      </c>
      <c r="D2957" s="905" t="s">
        <v>11840</v>
      </c>
    </row>
    <row r="2958" spans="1:4" ht="33">
      <c r="A2958" s="657" t="s">
        <v>8321</v>
      </c>
      <c r="B2958" t="s">
        <v>11819</v>
      </c>
      <c r="C2958" s="900" t="s">
        <v>11837</v>
      </c>
      <c r="D2958" s="905" t="s">
        <v>11840</v>
      </c>
    </row>
    <row r="2959" spans="1:4" ht="33">
      <c r="A2959" s="657" t="s">
        <v>8323</v>
      </c>
      <c r="B2959" t="s">
        <v>11819</v>
      </c>
      <c r="C2959" s="900" t="s">
        <v>11837</v>
      </c>
      <c r="D2959" s="905" t="s">
        <v>11840</v>
      </c>
    </row>
    <row r="2960" spans="1:4" ht="33">
      <c r="A2960" s="657" t="s">
        <v>8325</v>
      </c>
      <c r="B2960" t="s">
        <v>11819</v>
      </c>
      <c r="C2960" s="900" t="s">
        <v>11837</v>
      </c>
      <c r="D2960" s="905" t="s">
        <v>11840</v>
      </c>
    </row>
    <row r="2961" spans="1:4" ht="33">
      <c r="A2961" s="657" t="s">
        <v>8327</v>
      </c>
      <c r="B2961" t="s">
        <v>11819</v>
      </c>
      <c r="C2961" s="900" t="s">
        <v>11837</v>
      </c>
      <c r="D2961" s="905" t="s">
        <v>11840</v>
      </c>
    </row>
    <row r="2962" spans="1:4" ht="33">
      <c r="A2962" s="657" t="s">
        <v>8329</v>
      </c>
      <c r="B2962" t="s">
        <v>11819</v>
      </c>
      <c r="C2962" s="900" t="s">
        <v>11837</v>
      </c>
      <c r="D2962" s="905" t="s">
        <v>11840</v>
      </c>
    </row>
    <row r="2963" spans="1:4" ht="33">
      <c r="A2963" s="657" t="s">
        <v>8331</v>
      </c>
      <c r="B2963" t="s">
        <v>11819</v>
      </c>
      <c r="C2963" s="900" t="s">
        <v>11837</v>
      </c>
      <c r="D2963" s="905" t="s">
        <v>11840</v>
      </c>
    </row>
    <row r="2964" spans="1:4" ht="33">
      <c r="A2964" s="657" t="s">
        <v>8333</v>
      </c>
      <c r="B2964" t="s">
        <v>11819</v>
      </c>
      <c r="C2964" s="900" t="s">
        <v>11837</v>
      </c>
      <c r="D2964" s="905" t="s">
        <v>11840</v>
      </c>
    </row>
    <row r="2965" spans="1:4" ht="33">
      <c r="A2965" s="657" t="s">
        <v>8335</v>
      </c>
      <c r="B2965" t="s">
        <v>11819</v>
      </c>
      <c r="C2965" s="900" t="s">
        <v>11837</v>
      </c>
      <c r="D2965" s="905" t="s">
        <v>11840</v>
      </c>
    </row>
    <row r="2966" spans="1:4" ht="33">
      <c r="A2966" s="657" t="s">
        <v>8337</v>
      </c>
      <c r="B2966" t="s">
        <v>11819</v>
      </c>
      <c r="C2966" s="900" t="s">
        <v>11837</v>
      </c>
      <c r="D2966" s="905" t="s">
        <v>11840</v>
      </c>
    </row>
    <row r="2967" spans="1:4" ht="33">
      <c r="A2967" s="657" t="s">
        <v>8339</v>
      </c>
      <c r="B2967" t="s">
        <v>11819</v>
      </c>
      <c r="C2967" s="900" t="s">
        <v>11837</v>
      </c>
      <c r="D2967" s="905" t="s">
        <v>11840</v>
      </c>
    </row>
    <row r="2968" spans="1:4" ht="33">
      <c r="A2968" s="657" t="s">
        <v>8341</v>
      </c>
      <c r="B2968" t="s">
        <v>11819</v>
      </c>
      <c r="C2968" s="900" t="s">
        <v>11837</v>
      </c>
      <c r="D2968" s="905" t="s">
        <v>11840</v>
      </c>
    </row>
    <row r="2969" spans="1:4" ht="33">
      <c r="A2969" s="657" t="s">
        <v>8343</v>
      </c>
      <c r="B2969" t="s">
        <v>11819</v>
      </c>
      <c r="C2969" s="900" t="s">
        <v>11837</v>
      </c>
      <c r="D2969" s="905" t="s">
        <v>11840</v>
      </c>
    </row>
    <row r="2970" spans="1:4" ht="33">
      <c r="A2970" s="657" t="s">
        <v>8345</v>
      </c>
      <c r="B2970" t="s">
        <v>11819</v>
      </c>
      <c r="C2970" s="900" t="s">
        <v>11837</v>
      </c>
      <c r="D2970" s="905" t="s">
        <v>11840</v>
      </c>
    </row>
    <row r="2971" spans="1:4" ht="33">
      <c r="A2971" s="657" t="s">
        <v>8347</v>
      </c>
      <c r="B2971" t="s">
        <v>11819</v>
      </c>
      <c r="C2971" s="900" t="s">
        <v>11837</v>
      </c>
      <c r="D2971" s="905" t="s">
        <v>11840</v>
      </c>
    </row>
    <row r="2972" spans="1:4" ht="33">
      <c r="A2972" s="657" t="s">
        <v>8349</v>
      </c>
      <c r="B2972" t="s">
        <v>11819</v>
      </c>
      <c r="C2972" s="900" t="s">
        <v>11837</v>
      </c>
      <c r="D2972" s="905" t="s">
        <v>11840</v>
      </c>
    </row>
    <row r="2973" spans="1:4" ht="33">
      <c r="A2973" s="657" t="s">
        <v>8351</v>
      </c>
      <c r="B2973" t="s">
        <v>11819</v>
      </c>
      <c r="C2973" s="900" t="s">
        <v>11837</v>
      </c>
      <c r="D2973" s="905" t="s">
        <v>11840</v>
      </c>
    </row>
    <row r="2974" spans="1:4" ht="33">
      <c r="A2974" s="657" t="s">
        <v>8353</v>
      </c>
      <c r="B2974" t="s">
        <v>11819</v>
      </c>
      <c r="C2974" s="900" t="s">
        <v>11837</v>
      </c>
      <c r="D2974" s="905" t="s">
        <v>11840</v>
      </c>
    </row>
    <row r="2975" spans="1:4" ht="33">
      <c r="A2975" s="657" t="s">
        <v>8355</v>
      </c>
      <c r="B2975" t="s">
        <v>11819</v>
      </c>
      <c r="C2975" s="900" t="s">
        <v>11837</v>
      </c>
      <c r="D2975" s="905" t="s">
        <v>11840</v>
      </c>
    </row>
    <row r="2976" spans="1:4" ht="33">
      <c r="A2976" s="657" t="s">
        <v>8357</v>
      </c>
      <c r="B2976" t="s">
        <v>11819</v>
      </c>
      <c r="C2976" s="900" t="s">
        <v>11837</v>
      </c>
      <c r="D2976" s="905" t="s">
        <v>11840</v>
      </c>
    </row>
    <row r="2977" spans="1:4" ht="33">
      <c r="A2977" s="657" t="s">
        <v>8359</v>
      </c>
      <c r="B2977" t="s">
        <v>11819</v>
      </c>
      <c r="C2977" s="900" t="s">
        <v>11837</v>
      </c>
      <c r="D2977" s="905" t="s">
        <v>11840</v>
      </c>
    </row>
    <row r="2978" spans="1:4" ht="33">
      <c r="A2978" s="657" t="s">
        <v>8361</v>
      </c>
      <c r="B2978" t="s">
        <v>11819</v>
      </c>
      <c r="C2978" s="900" t="s">
        <v>11837</v>
      </c>
      <c r="D2978" s="905" t="s">
        <v>11840</v>
      </c>
    </row>
    <row r="2979" spans="1:4" ht="33">
      <c r="A2979" s="657" t="s">
        <v>8363</v>
      </c>
      <c r="B2979" t="s">
        <v>11819</v>
      </c>
      <c r="C2979" s="900" t="s">
        <v>11837</v>
      </c>
      <c r="D2979" s="905" t="s">
        <v>11840</v>
      </c>
    </row>
    <row r="2980" spans="1:4" ht="33">
      <c r="A2980" s="657" t="s">
        <v>8365</v>
      </c>
      <c r="B2980" t="s">
        <v>11819</v>
      </c>
      <c r="C2980" s="900" t="s">
        <v>11837</v>
      </c>
      <c r="D2980" s="905" t="s">
        <v>11840</v>
      </c>
    </row>
    <row r="2981" spans="1:4" ht="33">
      <c r="A2981" s="657" t="s">
        <v>8367</v>
      </c>
      <c r="B2981" t="s">
        <v>11819</v>
      </c>
      <c r="C2981" s="900" t="s">
        <v>11837</v>
      </c>
      <c r="D2981" s="905" t="s">
        <v>11840</v>
      </c>
    </row>
    <row r="2982" spans="1:4" ht="33">
      <c r="A2982" s="657" t="s">
        <v>8369</v>
      </c>
      <c r="B2982" t="s">
        <v>11819</v>
      </c>
      <c r="C2982" s="900" t="s">
        <v>11837</v>
      </c>
      <c r="D2982" s="905" t="s">
        <v>11840</v>
      </c>
    </row>
    <row r="2983" spans="1:4" ht="33">
      <c r="A2983" s="657" t="s">
        <v>8371</v>
      </c>
      <c r="B2983" t="s">
        <v>11819</v>
      </c>
      <c r="C2983" s="900" t="s">
        <v>11837</v>
      </c>
      <c r="D2983" s="905" t="s">
        <v>11840</v>
      </c>
    </row>
    <row r="2984" spans="1:4" ht="33">
      <c r="A2984" s="657" t="s">
        <v>8373</v>
      </c>
      <c r="B2984" t="s">
        <v>11819</v>
      </c>
      <c r="C2984" s="900" t="s">
        <v>11837</v>
      </c>
      <c r="D2984" s="905" t="s">
        <v>11840</v>
      </c>
    </row>
    <row r="2985" spans="1:4" ht="33">
      <c r="A2985" s="657" t="s">
        <v>8375</v>
      </c>
      <c r="B2985" t="s">
        <v>11819</v>
      </c>
      <c r="C2985" s="900" t="s">
        <v>11837</v>
      </c>
      <c r="D2985" s="905" t="s">
        <v>11840</v>
      </c>
    </row>
    <row r="2986" spans="1:4" ht="33">
      <c r="A2986" s="657" t="s">
        <v>8377</v>
      </c>
      <c r="B2986" t="s">
        <v>11819</v>
      </c>
      <c r="C2986" s="900" t="s">
        <v>11837</v>
      </c>
      <c r="D2986" s="905" t="s">
        <v>11840</v>
      </c>
    </row>
    <row r="2987" spans="1:4" ht="33">
      <c r="A2987" s="657" t="s">
        <v>8379</v>
      </c>
      <c r="B2987" t="s">
        <v>11819</v>
      </c>
      <c r="C2987" s="900" t="s">
        <v>11837</v>
      </c>
      <c r="D2987" s="905" t="s">
        <v>11840</v>
      </c>
    </row>
    <row r="2988" spans="1:4" ht="33">
      <c r="A2988" s="657" t="s">
        <v>8381</v>
      </c>
      <c r="B2988" t="s">
        <v>11819</v>
      </c>
      <c r="C2988" s="900" t="s">
        <v>11837</v>
      </c>
      <c r="D2988" s="905" t="s">
        <v>11840</v>
      </c>
    </row>
    <row r="2989" spans="1:4" ht="33">
      <c r="A2989" s="657" t="s">
        <v>8383</v>
      </c>
      <c r="B2989" t="s">
        <v>11819</v>
      </c>
      <c r="C2989" s="900" t="s">
        <v>11837</v>
      </c>
      <c r="D2989" s="905" t="s">
        <v>11840</v>
      </c>
    </row>
    <row r="2990" spans="1:4" ht="33">
      <c r="A2990" s="657" t="s">
        <v>8385</v>
      </c>
      <c r="B2990" t="s">
        <v>11819</v>
      </c>
      <c r="C2990" s="900" t="s">
        <v>11837</v>
      </c>
      <c r="D2990" s="905" t="s">
        <v>11840</v>
      </c>
    </row>
    <row r="2991" spans="1:4" ht="33">
      <c r="A2991" s="657" t="s">
        <v>8387</v>
      </c>
      <c r="B2991" t="s">
        <v>11819</v>
      </c>
      <c r="C2991" s="900" t="s">
        <v>11837</v>
      </c>
      <c r="D2991" s="905" t="s">
        <v>11840</v>
      </c>
    </row>
    <row r="2992" spans="1:4" ht="33">
      <c r="A2992" s="657" t="s">
        <v>8389</v>
      </c>
      <c r="B2992" t="s">
        <v>11819</v>
      </c>
      <c r="C2992" s="900" t="s">
        <v>11837</v>
      </c>
      <c r="D2992" s="905" t="s">
        <v>11840</v>
      </c>
    </row>
    <row r="2993" spans="1:4" ht="33">
      <c r="A2993" s="657" t="s">
        <v>8391</v>
      </c>
      <c r="B2993" t="s">
        <v>11819</v>
      </c>
      <c r="C2993" s="900" t="s">
        <v>11837</v>
      </c>
      <c r="D2993" s="905" t="s">
        <v>11840</v>
      </c>
    </row>
    <row r="2994" spans="1:4" ht="33">
      <c r="A2994" s="657" t="s">
        <v>8393</v>
      </c>
      <c r="B2994" t="s">
        <v>11819</v>
      </c>
      <c r="C2994" s="900" t="s">
        <v>11837</v>
      </c>
      <c r="D2994" s="905" t="s">
        <v>11840</v>
      </c>
    </row>
    <row r="2995" spans="1:4" ht="33">
      <c r="A2995" s="657" t="s">
        <v>8395</v>
      </c>
      <c r="B2995" t="s">
        <v>11819</v>
      </c>
      <c r="C2995" s="900" t="s">
        <v>11837</v>
      </c>
      <c r="D2995" s="905" t="s">
        <v>11840</v>
      </c>
    </row>
    <row r="2996" spans="1:4" ht="33">
      <c r="A2996" s="657" t="s">
        <v>8399</v>
      </c>
      <c r="B2996" t="s">
        <v>11819</v>
      </c>
      <c r="C2996" s="900" t="s">
        <v>11837</v>
      </c>
      <c r="D2996" s="905" t="s">
        <v>11840</v>
      </c>
    </row>
    <row r="2997" spans="1:4" ht="33">
      <c r="A2997" s="657" t="s">
        <v>8401</v>
      </c>
      <c r="B2997" t="s">
        <v>11819</v>
      </c>
      <c r="C2997" s="900" t="s">
        <v>11837</v>
      </c>
      <c r="D2997" s="905" t="s">
        <v>11840</v>
      </c>
    </row>
    <row r="2998" spans="1:4" ht="16.5">
      <c r="A2998" s="657" t="s">
        <v>8403</v>
      </c>
      <c r="B2998" t="s">
        <v>11819</v>
      </c>
      <c r="C2998" s="900" t="s">
        <v>11837</v>
      </c>
      <c r="D2998" s="905" t="s">
        <v>11840</v>
      </c>
    </row>
    <row r="2999" spans="1:4" ht="16.5">
      <c r="A2999" s="657" t="s">
        <v>8405</v>
      </c>
      <c r="B2999" t="s">
        <v>11819</v>
      </c>
      <c r="C2999" s="900" t="s">
        <v>11837</v>
      </c>
      <c r="D2999" s="905" t="s">
        <v>11840</v>
      </c>
    </row>
    <row r="3000" spans="1:4" ht="33">
      <c r="A3000" s="657" t="s">
        <v>8407</v>
      </c>
      <c r="B3000" t="s">
        <v>11819</v>
      </c>
      <c r="C3000" s="900" t="s">
        <v>11837</v>
      </c>
      <c r="D3000" s="905" t="s">
        <v>11840</v>
      </c>
    </row>
    <row r="3001" spans="1:4" ht="33">
      <c r="A3001" s="657" t="s">
        <v>8409</v>
      </c>
      <c r="B3001" t="s">
        <v>11819</v>
      </c>
      <c r="C3001" s="900" t="s">
        <v>11837</v>
      </c>
      <c r="D3001" s="905" t="s">
        <v>11840</v>
      </c>
    </row>
    <row r="3002" spans="1:4" ht="33">
      <c r="A3002" s="657" t="s">
        <v>8411</v>
      </c>
      <c r="B3002" t="s">
        <v>11819</v>
      </c>
      <c r="C3002" s="900" t="s">
        <v>11837</v>
      </c>
      <c r="D3002" s="905" t="s">
        <v>11840</v>
      </c>
    </row>
    <row r="3003" spans="1:4" ht="33">
      <c r="A3003" s="657" t="s">
        <v>8413</v>
      </c>
      <c r="B3003" t="s">
        <v>11819</v>
      </c>
      <c r="C3003" s="900" t="s">
        <v>11837</v>
      </c>
      <c r="D3003" s="905" t="s">
        <v>11840</v>
      </c>
    </row>
    <row r="3004" spans="1:4" ht="33">
      <c r="A3004" s="657" t="s">
        <v>8415</v>
      </c>
      <c r="B3004" t="s">
        <v>11819</v>
      </c>
      <c r="C3004" s="900" t="s">
        <v>11837</v>
      </c>
      <c r="D3004" s="905" t="s">
        <v>11840</v>
      </c>
    </row>
    <row r="3005" spans="1:4" ht="33">
      <c r="A3005" s="657" t="s">
        <v>8417</v>
      </c>
      <c r="B3005" t="s">
        <v>11819</v>
      </c>
      <c r="C3005" s="900" t="s">
        <v>11837</v>
      </c>
      <c r="D3005" s="905" t="s">
        <v>11840</v>
      </c>
    </row>
    <row r="3006" spans="1:4" ht="16.5">
      <c r="A3006" s="657" t="s">
        <v>8419</v>
      </c>
      <c r="B3006" t="s">
        <v>11819</v>
      </c>
      <c r="C3006" s="900" t="s">
        <v>11837</v>
      </c>
      <c r="D3006" s="905" t="s">
        <v>11840</v>
      </c>
    </row>
    <row r="3007" spans="1:4" ht="16.5">
      <c r="A3007" s="657" t="s">
        <v>8421</v>
      </c>
      <c r="B3007" t="s">
        <v>11819</v>
      </c>
      <c r="C3007" s="900" t="s">
        <v>11837</v>
      </c>
      <c r="D3007" s="905" t="s">
        <v>11840</v>
      </c>
    </row>
    <row r="3008" spans="1:4" ht="33">
      <c r="A3008" s="657" t="s">
        <v>8423</v>
      </c>
      <c r="B3008" t="s">
        <v>11819</v>
      </c>
      <c r="C3008" s="900" t="s">
        <v>11837</v>
      </c>
      <c r="D3008" s="905" t="s">
        <v>11840</v>
      </c>
    </row>
    <row r="3009" spans="1:4" ht="33">
      <c r="A3009" s="657" t="s">
        <v>1192</v>
      </c>
      <c r="B3009" t="s">
        <v>11819</v>
      </c>
      <c r="C3009" s="900" t="s">
        <v>11837</v>
      </c>
      <c r="D3009" s="905" t="s">
        <v>11840</v>
      </c>
    </row>
    <row r="3010" spans="1:4" ht="33">
      <c r="A3010" s="657" t="s">
        <v>8425</v>
      </c>
      <c r="B3010" t="s">
        <v>11819</v>
      </c>
      <c r="C3010" s="900" t="s">
        <v>11837</v>
      </c>
      <c r="D3010" s="905" t="s">
        <v>11840</v>
      </c>
    </row>
    <row r="3011" spans="1:4" ht="33">
      <c r="A3011" s="657" t="s">
        <v>8427</v>
      </c>
      <c r="B3011" t="s">
        <v>11819</v>
      </c>
      <c r="C3011" s="900" t="s">
        <v>11837</v>
      </c>
      <c r="D3011" s="905" t="s">
        <v>11840</v>
      </c>
    </row>
    <row r="3012" spans="1:4" ht="33">
      <c r="A3012" s="657" t="s">
        <v>8429</v>
      </c>
      <c r="B3012" t="s">
        <v>11819</v>
      </c>
      <c r="C3012" s="900" t="s">
        <v>11837</v>
      </c>
      <c r="D3012" s="905" t="s">
        <v>11840</v>
      </c>
    </row>
    <row r="3013" spans="1:4" ht="33">
      <c r="A3013" s="657" t="s">
        <v>1195</v>
      </c>
      <c r="B3013" t="s">
        <v>11819</v>
      </c>
      <c r="C3013" s="900" t="s">
        <v>11837</v>
      </c>
      <c r="D3013" s="905" t="s">
        <v>11840</v>
      </c>
    </row>
    <row r="3014" spans="1:4" ht="33">
      <c r="A3014" s="657" t="s">
        <v>8432</v>
      </c>
      <c r="B3014" t="s">
        <v>11819</v>
      </c>
      <c r="C3014" s="900" t="s">
        <v>11837</v>
      </c>
      <c r="D3014" s="905" t="s">
        <v>11840</v>
      </c>
    </row>
    <row r="3015" spans="1:4" ht="33">
      <c r="A3015" s="657" t="s">
        <v>1198</v>
      </c>
      <c r="B3015" t="s">
        <v>11819</v>
      </c>
      <c r="C3015" s="900" t="s">
        <v>11837</v>
      </c>
      <c r="D3015" s="905" t="s">
        <v>11840</v>
      </c>
    </row>
    <row r="3016" spans="1:4" ht="33">
      <c r="A3016" s="657" t="s">
        <v>8434</v>
      </c>
      <c r="B3016" t="s">
        <v>11819</v>
      </c>
      <c r="C3016" s="900" t="s">
        <v>11837</v>
      </c>
      <c r="D3016" s="905" t="s">
        <v>11840</v>
      </c>
    </row>
    <row r="3017" spans="1:4" ht="33">
      <c r="A3017" s="657" t="s">
        <v>1201</v>
      </c>
      <c r="B3017" t="s">
        <v>11819</v>
      </c>
      <c r="C3017" s="900" t="s">
        <v>11837</v>
      </c>
      <c r="D3017" s="905" t="s">
        <v>11840</v>
      </c>
    </row>
    <row r="3018" spans="1:4" ht="33">
      <c r="A3018" s="657" t="s">
        <v>8437</v>
      </c>
      <c r="B3018" t="s">
        <v>11819</v>
      </c>
      <c r="C3018" s="900" t="s">
        <v>11837</v>
      </c>
      <c r="D3018" s="905" t="s">
        <v>11840</v>
      </c>
    </row>
    <row r="3019" spans="1:4" ht="33">
      <c r="A3019" s="657" t="s">
        <v>8439</v>
      </c>
      <c r="B3019" t="s">
        <v>11819</v>
      </c>
      <c r="C3019" s="900" t="s">
        <v>11837</v>
      </c>
      <c r="D3019" s="905" t="s">
        <v>11840</v>
      </c>
    </row>
    <row r="3020" spans="1:4" ht="33">
      <c r="A3020" s="657" t="s">
        <v>8441</v>
      </c>
      <c r="B3020" t="s">
        <v>11819</v>
      </c>
      <c r="C3020" s="900" t="s">
        <v>11837</v>
      </c>
      <c r="D3020" s="905" t="s">
        <v>11840</v>
      </c>
    </row>
    <row r="3021" spans="1:4" ht="33">
      <c r="A3021" s="657" t="s">
        <v>8443</v>
      </c>
      <c r="B3021" t="s">
        <v>11819</v>
      </c>
      <c r="C3021" s="900" t="s">
        <v>11837</v>
      </c>
      <c r="D3021" s="905" t="s">
        <v>11840</v>
      </c>
    </row>
    <row r="3022" spans="1:4" ht="16.5">
      <c r="A3022" s="657" t="s">
        <v>8445</v>
      </c>
      <c r="B3022" t="s">
        <v>11819</v>
      </c>
      <c r="C3022" s="900" t="s">
        <v>11837</v>
      </c>
      <c r="D3022" s="905" t="s">
        <v>11840</v>
      </c>
    </row>
    <row r="3023" spans="1:4" ht="16.5">
      <c r="A3023" s="657" t="s">
        <v>8447</v>
      </c>
      <c r="B3023" t="s">
        <v>11819</v>
      </c>
      <c r="C3023" s="900" t="s">
        <v>11837</v>
      </c>
      <c r="D3023" s="905" t="s">
        <v>11840</v>
      </c>
    </row>
    <row r="3024" spans="1:4" ht="16.5">
      <c r="A3024" s="657" t="s">
        <v>1204</v>
      </c>
      <c r="B3024" t="s">
        <v>11819</v>
      </c>
      <c r="C3024" s="900" t="s">
        <v>11837</v>
      </c>
      <c r="D3024" s="905" t="s">
        <v>11840</v>
      </c>
    </row>
    <row r="3025" spans="1:4" ht="16.5">
      <c r="A3025" s="657" t="s">
        <v>8449</v>
      </c>
      <c r="B3025" t="s">
        <v>11819</v>
      </c>
      <c r="C3025" s="900" t="s">
        <v>11837</v>
      </c>
      <c r="D3025" s="905" t="s">
        <v>11840</v>
      </c>
    </row>
    <row r="3026" spans="1:4" ht="16.5">
      <c r="A3026" s="657" t="s">
        <v>1207</v>
      </c>
      <c r="B3026" t="s">
        <v>11819</v>
      </c>
      <c r="C3026" s="900" t="s">
        <v>11837</v>
      </c>
      <c r="D3026" s="905" t="s">
        <v>11840</v>
      </c>
    </row>
    <row r="3027" spans="1:4" ht="16.5">
      <c r="A3027" s="657" t="s">
        <v>8451</v>
      </c>
      <c r="B3027" t="s">
        <v>11819</v>
      </c>
      <c r="C3027" s="900" t="s">
        <v>11837</v>
      </c>
      <c r="D3027" s="905" t="s">
        <v>11840</v>
      </c>
    </row>
    <row r="3028" spans="1:4" ht="16.5">
      <c r="A3028" s="657" t="s">
        <v>1210</v>
      </c>
      <c r="B3028" t="s">
        <v>11819</v>
      </c>
      <c r="C3028" s="900" t="s">
        <v>11837</v>
      </c>
      <c r="D3028" s="905" t="s">
        <v>11840</v>
      </c>
    </row>
    <row r="3029" spans="1:4" ht="16.5">
      <c r="A3029" s="657" t="s">
        <v>1213</v>
      </c>
      <c r="B3029" t="s">
        <v>11819</v>
      </c>
      <c r="C3029" s="900" t="s">
        <v>11837</v>
      </c>
      <c r="D3029" s="905" t="s">
        <v>11840</v>
      </c>
    </row>
    <row r="3030" spans="1:4" ht="16.5">
      <c r="A3030" s="657" t="s">
        <v>8454</v>
      </c>
      <c r="B3030" t="s">
        <v>11819</v>
      </c>
      <c r="C3030" s="900" t="s">
        <v>11837</v>
      </c>
      <c r="D3030" s="905" t="s">
        <v>11840</v>
      </c>
    </row>
    <row r="3031" spans="1:4" ht="16.5">
      <c r="A3031" s="657" t="s">
        <v>1216</v>
      </c>
      <c r="B3031" t="s">
        <v>11819</v>
      </c>
      <c r="C3031" s="900" t="s">
        <v>11837</v>
      </c>
      <c r="D3031" s="905" t="s">
        <v>11840</v>
      </c>
    </row>
    <row r="3032" spans="1:4" ht="16.5">
      <c r="A3032" s="657" t="s">
        <v>8456</v>
      </c>
      <c r="B3032" t="s">
        <v>11819</v>
      </c>
      <c r="C3032" s="900" t="s">
        <v>11837</v>
      </c>
      <c r="D3032" s="905" t="s">
        <v>11840</v>
      </c>
    </row>
    <row r="3033" spans="1:4" ht="16.5">
      <c r="A3033" s="657" t="s">
        <v>1218</v>
      </c>
      <c r="B3033" t="s">
        <v>11819</v>
      </c>
      <c r="C3033" s="900" t="s">
        <v>11837</v>
      </c>
      <c r="D3033" s="905" t="s">
        <v>11840</v>
      </c>
    </row>
    <row r="3034" spans="1:4" ht="16.5">
      <c r="A3034" s="657" t="s">
        <v>8458</v>
      </c>
      <c r="B3034" t="s">
        <v>11819</v>
      </c>
      <c r="C3034" s="900" t="s">
        <v>11837</v>
      </c>
      <c r="D3034" s="905" t="s">
        <v>11840</v>
      </c>
    </row>
    <row r="3035" spans="1:4" ht="16.5">
      <c r="A3035" s="657" t="s">
        <v>1220</v>
      </c>
      <c r="B3035" t="s">
        <v>11819</v>
      </c>
      <c r="C3035" s="900" t="s">
        <v>11837</v>
      </c>
      <c r="D3035" s="905" t="s">
        <v>11840</v>
      </c>
    </row>
    <row r="3036" spans="1:4" ht="16.5">
      <c r="A3036" s="657" t="s">
        <v>8461</v>
      </c>
      <c r="B3036" t="s">
        <v>11819</v>
      </c>
      <c r="C3036" s="900" t="s">
        <v>11837</v>
      </c>
      <c r="D3036" s="905" t="s">
        <v>11840</v>
      </c>
    </row>
    <row r="3037" spans="1:4" ht="16.5">
      <c r="A3037" s="657" t="s">
        <v>8463</v>
      </c>
      <c r="B3037" t="s">
        <v>11819</v>
      </c>
      <c r="C3037" s="900" t="s">
        <v>11837</v>
      </c>
      <c r="D3037" s="905" t="s">
        <v>11840</v>
      </c>
    </row>
    <row r="3038" spans="1:4" ht="16.5">
      <c r="A3038" s="657" t="s">
        <v>1222</v>
      </c>
      <c r="B3038" t="s">
        <v>11819</v>
      </c>
      <c r="C3038" s="900" t="s">
        <v>11837</v>
      </c>
      <c r="D3038" s="905" t="s">
        <v>11840</v>
      </c>
    </row>
    <row r="3039" spans="1:4" ht="16.5">
      <c r="A3039" s="657" t="s">
        <v>8465</v>
      </c>
      <c r="B3039" t="s">
        <v>11819</v>
      </c>
      <c r="C3039" s="900" t="s">
        <v>11837</v>
      </c>
      <c r="D3039" s="905" t="s">
        <v>11840</v>
      </c>
    </row>
    <row r="3040" spans="1:4" ht="16.5">
      <c r="A3040" s="657" t="s">
        <v>8467</v>
      </c>
      <c r="B3040" t="s">
        <v>11819</v>
      </c>
      <c r="C3040" s="900" t="s">
        <v>11837</v>
      </c>
      <c r="D3040" s="905" t="s">
        <v>11840</v>
      </c>
    </row>
    <row r="3041" spans="1:4" ht="16.5">
      <c r="A3041" s="657" t="s">
        <v>8469</v>
      </c>
      <c r="B3041" t="s">
        <v>11819</v>
      </c>
      <c r="C3041" s="900" t="s">
        <v>11837</v>
      </c>
      <c r="D3041" s="905" t="s">
        <v>11840</v>
      </c>
    </row>
    <row r="3042" spans="1:4" ht="16.5">
      <c r="A3042" s="657" t="s">
        <v>1225</v>
      </c>
      <c r="B3042" t="s">
        <v>11819</v>
      </c>
      <c r="C3042" s="900" t="s">
        <v>11837</v>
      </c>
      <c r="D3042" s="905" t="s">
        <v>11840</v>
      </c>
    </row>
    <row r="3043" spans="1:4" ht="16.5">
      <c r="A3043" s="657" t="s">
        <v>8471</v>
      </c>
      <c r="B3043" t="s">
        <v>11819</v>
      </c>
      <c r="C3043" s="900" t="s">
        <v>11837</v>
      </c>
      <c r="D3043" s="905" t="s">
        <v>11840</v>
      </c>
    </row>
    <row r="3044" spans="1:4" ht="16.5">
      <c r="A3044" s="657" t="s">
        <v>8473</v>
      </c>
      <c r="B3044" t="s">
        <v>11819</v>
      </c>
      <c r="C3044" s="900" t="s">
        <v>11837</v>
      </c>
      <c r="D3044" s="905" t="s">
        <v>11840</v>
      </c>
    </row>
    <row r="3045" spans="1:4" ht="33">
      <c r="A3045" s="657" t="s">
        <v>8475</v>
      </c>
      <c r="B3045" t="s">
        <v>11819</v>
      </c>
      <c r="C3045" s="900" t="s">
        <v>11837</v>
      </c>
      <c r="D3045" s="905" t="s">
        <v>11840</v>
      </c>
    </row>
    <row r="3046" spans="1:4" ht="16.5">
      <c r="A3046" s="657" t="s">
        <v>8477</v>
      </c>
      <c r="B3046" t="s">
        <v>11819</v>
      </c>
      <c r="C3046" s="900" t="s">
        <v>11837</v>
      </c>
      <c r="D3046" s="905" t="s">
        <v>11840</v>
      </c>
    </row>
    <row r="3047" spans="1:4" ht="16.5">
      <c r="A3047" s="657" t="s">
        <v>1228</v>
      </c>
      <c r="B3047" t="s">
        <v>11819</v>
      </c>
      <c r="C3047" s="900" t="s">
        <v>11837</v>
      </c>
      <c r="D3047" s="905" t="s">
        <v>11840</v>
      </c>
    </row>
    <row r="3048" spans="1:4" ht="16.5">
      <c r="A3048" s="657" t="s">
        <v>1231</v>
      </c>
      <c r="B3048" t="s">
        <v>11819</v>
      </c>
      <c r="C3048" s="900" t="s">
        <v>11837</v>
      </c>
      <c r="D3048" s="905" t="s">
        <v>11840</v>
      </c>
    </row>
    <row r="3049" spans="1:4" ht="16.5">
      <c r="A3049" s="657" t="s">
        <v>1234</v>
      </c>
      <c r="B3049" t="s">
        <v>11819</v>
      </c>
      <c r="C3049" s="900" t="s">
        <v>11837</v>
      </c>
      <c r="D3049" s="905" t="s">
        <v>11840</v>
      </c>
    </row>
    <row r="3050" spans="1:4" ht="16.5">
      <c r="A3050" s="657" t="s">
        <v>1236</v>
      </c>
      <c r="B3050" t="s">
        <v>11819</v>
      </c>
      <c r="C3050" s="900" t="s">
        <v>11837</v>
      </c>
      <c r="D3050" s="905" t="s">
        <v>11840</v>
      </c>
    </row>
    <row r="3051" spans="1:4" ht="16.5">
      <c r="A3051" s="657" t="s">
        <v>8479</v>
      </c>
      <c r="B3051" t="s">
        <v>11819</v>
      </c>
      <c r="C3051" s="900" t="s">
        <v>11837</v>
      </c>
      <c r="D3051" s="905" t="s">
        <v>11840</v>
      </c>
    </row>
    <row r="3052" spans="1:4" ht="16.5">
      <c r="A3052" s="657" t="s">
        <v>1238</v>
      </c>
      <c r="B3052" t="s">
        <v>11819</v>
      </c>
      <c r="C3052" s="900" t="s">
        <v>11837</v>
      </c>
      <c r="D3052" s="905" t="s">
        <v>11840</v>
      </c>
    </row>
    <row r="3053" spans="1:4" ht="16.5">
      <c r="A3053" s="657" t="s">
        <v>1240</v>
      </c>
      <c r="B3053" t="s">
        <v>11819</v>
      </c>
      <c r="C3053" s="900" t="s">
        <v>11837</v>
      </c>
      <c r="D3053" s="905" t="s">
        <v>11840</v>
      </c>
    </row>
    <row r="3054" spans="1:4" ht="16.5">
      <c r="A3054" s="657" t="s">
        <v>1243</v>
      </c>
      <c r="B3054" t="s">
        <v>11819</v>
      </c>
      <c r="C3054" s="900" t="s">
        <v>11837</v>
      </c>
      <c r="D3054" s="905" t="s">
        <v>11840</v>
      </c>
    </row>
    <row r="3055" spans="1:4" ht="16.5">
      <c r="A3055" s="657" t="s">
        <v>8482</v>
      </c>
      <c r="B3055" t="s">
        <v>11819</v>
      </c>
      <c r="C3055" s="900" t="s">
        <v>11837</v>
      </c>
      <c r="D3055" s="905" t="s">
        <v>11840</v>
      </c>
    </row>
    <row r="3056" spans="1:4" ht="16.5">
      <c r="A3056" s="657" t="s">
        <v>8484</v>
      </c>
      <c r="B3056" t="s">
        <v>11819</v>
      </c>
      <c r="C3056" s="900" t="s">
        <v>11837</v>
      </c>
      <c r="D3056" s="905" t="s">
        <v>11840</v>
      </c>
    </row>
    <row r="3057" spans="1:4" ht="33">
      <c r="A3057" s="657" t="s">
        <v>1245</v>
      </c>
      <c r="B3057" t="s">
        <v>11819</v>
      </c>
      <c r="C3057" s="900" t="s">
        <v>11837</v>
      </c>
      <c r="D3057" s="905" t="s">
        <v>11840</v>
      </c>
    </row>
    <row r="3058" spans="1:4" ht="16.5">
      <c r="A3058" s="657" t="s">
        <v>8486</v>
      </c>
      <c r="B3058" t="s">
        <v>11819</v>
      </c>
      <c r="C3058" s="900" t="s">
        <v>11837</v>
      </c>
      <c r="D3058" s="905" t="s">
        <v>11840</v>
      </c>
    </row>
    <row r="3059" spans="1:4" ht="16.5">
      <c r="A3059" s="657" t="s">
        <v>8488</v>
      </c>
      <c r="B3059" t="s">
        <v>11819</v>
      </c>
      <c r="C3059" s="900" t="s">
        <v>11837</v>
      </c>
      <c r="D3059" s="905" t="s">
        <v>11840</v>
      </c>
    </row>
    <row r="3060" spans="1:4" ht="33">
      <c r="A3060" s="657" t="s">
        <v>8490</v>
      </c>
      <c r="B3060" t="s">
        <v>11819</v>
      </c>
      <c r="C3060" s="900" t="s">
        <v>11837</v>
      </c>
      <c r="D3060" s="905" t="s">
        <v>11840</v>
      </c>
    </row>
    <row r="3061" spans="1:4" ht="16.5">
      <c r="A3061" s="657" t="s">
        <v>8492</v>
      </c>
      <c r="B3061" t="s">
        <v>11819</v>
      </c>
      <c r="C3061" s="900" t="s">
        <v>11837</v>
      </c>
      <c r="D3061" s="905" t="s">
        <v>11840</v>
      </c>
    </row>
    <row r="3062" spans="1:4" ht="16.5">
      <c r="A3062" s="657" t="s">
        <v>8494</v>
      </c>
      <c r="B3062" t="s">
        <v>11819</v>
      </c>
      <c r="C3062" s="900" t="s">
        <v>11837</v>
      </c>
      <c r="D3062" s="905" t="s">
        <v>11840</v>
      </c>
    </row>
    <row r="3063" spans="1:4" ht="33">
      <c r="A3063" s="657" t="s">
        <v>8496</v>
      </c>
      <c r="B3063" t="s">
        <v>11819</v>
      </c>
      <c r="C3063" s="900" t="s">
        <v>11837</v>
      </c>
      <c r="D3063" s="905" t="s">
        <v>11840</v>
      </c>
    </row>
    <row r="3064" spans="1:4" ht="33">
      <c r="A3064" s="657" t="s">
        <v>1247</v>
      </c>
      <c r="B3064" t="s">
        <v>11819</v>
      </c>
      <c r="C3064" s="900" t="s">
        <v>11837</v>
      </c>
      <c r="D3064" s="905" t="s">
        <v>11840</v>
      </c>
    </row>
    <row r="3065" spans="1:4" ht="16.5">
      <c r="A3065" s="657" t="s">
        <v>8499</v>
      </c>
      <c r="B3065" t="s">
        <v>11819</v>
      </c>
      <c r="C3065" s="900" t="s">
        <v>11837</v>
      </c>
      <c r="D3065" s="905" t="s">
        <v>11840</v>
      </c>
    </row>
    <row r="3066" spans="1:4" ht="16.5">
      <c r="A3066" s="657" t="s">
        <v>8501</v>
      </c>
      <c r="B3066" t="s">
        <v>11819</v>
      </c>
      <c r="C3066" s="900" t="s">
        <v>11837</v>
      </c>
      <c r="D3066" s="905" t="s">
        <v>11840</v>
      </c>
    </row>
    <row r="3067" spans="1:4" ht="16.5">
      <c r="A3067" s="657" t="s">
        <v>8503</v>
      </c>
      <c r="B3067" t="s">
        <v>11819</v>
      </c>
      <c r="C3067" s="900" t="s">
        <v>11837</v>
      </c>
      <c r="D3067" s="905" t="s">
        <v>11840</v>
      </c>
    </row>
    <row r="3068" spans="1:4" ht="16.5">
      <c r="A3068" s="657" t="s">
        <v>8505</v>
      </c>
      <c r="B3068" t="s">
        <v>11819</v>
      </c>
      <c r="C3068" s="900" t="s">
        <v>11837</v>
      </c>
      <c r="D3068" s="905" t="s">
        <v>11840</v>
      </c>
    </row>
    <row r="3069" spans="1:4" ht="16.5">
      <c r="A3069" s="657" t="s">
        <v>8507</v>
      </c>
      <c r="B3069" t="s">
        <v>11819</v>
      </c>
      <c r="C3069" s="900" t="s">
        <v>11837</v>
      </c>
      <c r="D3069" s="905" t="s">
        <v>11840</v>
      </c>
    </row>
    <row r="3070" spans="1:4" ht="16.5">
      <c r="A3070" s="657" t="s">
        <v>1249</v>
      </c>
      <c r="B3070" t="s">
        <v>11819</v>
      </c>
      <c r="C3070" s="900" t="s">
        <v>11837</v>
      </c>
      <c r="D3070" s="905" t="s">
        <v>11840</v>
      </c>
    </row>
    <row r="3071" spans="1:4" ht="33">
      <c r="A3071" s="657" t="s">
        <v>8510</v>
      </c>
      <c r="B3071" t="s">
        <v>11819</v>
      </c>
      <c r="C3071" s="900" t="s">
        <v>11837</v>
      </c>
      <c r="D3071" s="905" t="s">
        <v>11840</v>
      </c>
    </row>
    <row r="3072" spans="1:4" ht="16.5">
      <c r="A3072" s="657" t="s">
        <v>8512</v>
      </c>
      <c r="B3072" t="s">
        <v>11819</v>
      </c>
      <c r="C3072" s="900" t="s">
        <v>11837</v>
      </c>
      <c r="D3072" s="905" t="s">
        <v>11840</v>
      </c>
    </row>
    <row r="3073" spans="1:4" ht="16.5">
      <c r="A3073" s="657" t="s">
        <v>1251</v>
      </c>
      <c r="B3073" t="s">
        <v>11819</v>
      </c>
      <c r="C3073" s="900" t="s">
        <v>11837</v>
      </c>
      <c r="D3073" s="905" t="s">
        <v>11840</v>
      </c>
    </row>
    <row r="3074" spans="1:4" ht="33">
      <c r="A3074" s="657" t="s">
        <v>1253</v>
      </c>
      <c r="B3074" t="s">
        <v>11819</v>
      </c>
      <c r="C3074" s="900" t="s">
        <v>11837</v>
      </c>
      <c r="D3074" s="905" t="s">
        <v>11840</v>
      </c>
    </row>
    <row r="3075" spans="1:4" ht="16.5">
      <c r="A3075" s="657" t="s">
        <v>8515</v>
      </c>
      <c r="B3075" t="s">
        <v>11819</v>
      </c>
      <c r="C3075" s="900" t="s">
        <v>11837</v>
      </c>
      <c r="D3075" s="905" t="s">
        <v>11840</v>
      </c>
    </row>
    <row r="3076" spans="1:4" ht="16.5">
      <c r="A3076" s="657" t="s">
        <v>8517</v>
      </c>
      <c r="B3076" t="s">
        <v>11819</v>
      </c>
      <c r="C3076" s="900" t="s">
        <v>11837</v>
      </c>
      <c r="D3076" s="905" t="s">
        <v>11840</v>
      </c>
    </row>
    <row r="3077" spans="1:4" ht="16.5">
      <c r="A3077" s="657" t="s">
        <v>8519</v>
      </c>
      <c r="B3077" t="s">
        <v>11819</v>
      </c>
      <c r="C3077" s="900" t="s">
        <v>11837</v>
      </c>
      <c r="D3077" s="905" t="s">
        <v>11840</v>
      </c>
    </row>
    <row r="3078" spans="1:4" ht="33">
      <c r="A3078" s="657" t="s">
        <v>8521</v>
      </c>
      <c r="B3078" t="s">
        <v>11819</v>
      </c>
      <c r="C3078" s="900" t="s">
        <v>11837</v>
      </c>
      <c r="D3078" s="905" t="s">
        <v>11840</v>
      </c>
    </row>
    <row r="3079" spans="1:4" ht="33">
      <c r="A3079" s="657" t="s">
        <v>1255</v>
      </c>
      <c r="B3079" t="s">
        <v>11819</v>
      </c>
      <c r="C3079" s="900" t="s">
        <v>11837</v>
      </c>
      <c r="D3079" s="905" t="s">
        <v>11840</v>
      </c>
    </row>
    <row r="3080" spans="1:4" ht="33">
      <c r="A3080" s="657" t="s">
        <v>8523</v>
      </c>
      <c r="B3080" t="s">
        <v>11819</v>
      </c>
      <c r="C3080" s="900" t="s">
        <v>11837</v>
      </c>
      <c r="D3080" s="905" t="s">
        <v>11840</v>
      </c>
    </row>
    <row r="3081" spans="1:4" ht="33">
      <c r="A3081" s="657" t="s">
        <v>1257</v>
      </c>
      <c r="B3081" t="s">
        <v>11819</v>
      </c>
      <c r="C3081" s="900" t="s">
        <v>11837</v>
      </c>
      <c r="D3081" s="905" t="s">
        <v>11840</v>
      </c>
    </row>
    <row r="3082" spans="1:4" ht="33">
      <c r="A3082" s="657" t="s">
        <v>8525</v>
      </c>
      <c r="B3082" t="s">
        <v>11819</v>
      </c>
      <c r="C3082" s="900" t="s">
        <v>11837</v>
      </c>
      <c r="D3082" s="905" t="s">
        <v>11840</v>
      </c>
    </row>
    <row r="3083" spans="1:4" ht="33">
      <c r="A3083" s="657" t="s">
        <v>8527</v>
      </c>
      <c r="B3083" t="s">
        <v>11819</v>
      </c>
      <c r="C3083" s="900" t="s">
        <v>11837</v>
      </c>
      <c r="D3083" s="905" t="s">
        <v>11840</v>
      </c>
    </row>
    <row r="3084" spans="1:4" ht="33">
      <c r="A3084" s="657" t="s">
        <v>1260</v>
      </c>
      <c r="B3084" t="s">
        <v>11819</v>
      </c>
      <c r="C3084" s="900" t="s">
        <v>11837</v>
      </c>
      <c r="D3084" s="905" t="s">
        <v>11840</v>
      </c>
    </row>
    <row r="3085" spans="1:4" ht="33">
      <c r="A3085" s="657" t="s">
        <v>8530</v>
      </c>
      <c r="B3085" t="s">
        <v>11819</v>
      </c>
      <c r="C3085" s="900" t="s">
        <v>11837</v>
      </c>
      <c r="D3085" s="905" t="s">
        <v>11840</v>
      </c>
    </row>
    <row r="3086" spans="1:4" ht="33">
      <c r="A3086" s="657" t="s">
        <v>1263</v>
      </c>
      <c r="B3086" t="s">
        <v>11819</v>
      </c>
      <c r="C3086" s="900" t="s">
        <v>11837</v>
      </c>
      <c r="D3086" s="905" t="s">
        <v>11840</v>
      </c>
    </row>
    <row r="3087" spans="1:4" ht="16.5">
      <c r="A3087" s="657" t="s">
        <v>8532</v>
      </c>
      <c r="B3087" t="s">
        <v>11819</v>
      </c>
      <c r="C3087" s="900" t="s">
        <v>11837</v>
      </c>
      <c r="D3087" s="905" t="s">
        <v>11840</v>
      </c>
    </row>
    <row r="3088" spans="1:4" ht="16.5">
      <c r="A3088" s="657" t="s">
        <v>8534</v>
      </c>
      <c r="B3088" t="s">
        <v>11819</v>
      </c>
      <c r="C3088" s="900" t="s">
        <v>11837</v>
      </c>
      <c r="D3088" s="905" t="s">
        <v>11840</v>
      </c>
    </row>
    <row r="3089" spans="1:4" ht="16.5">
      <c r="A3089" s="657" t="s">
        <v>8536</v>
      </c>
      <c r="B3089" t="s">
        <v>11819</v>
      </c>
      <c r="C3089" s="900" t="s">
        <v>11837</v>
      </c>
      <c r="D3089" s="905" t="s">
        <v>11840</v>
      </c>
    </row>
    <row r="3090" spans="1:4" ht="16.5">
      <c r="A3090" s="657" t="s">
        <v>8538</v>
      </c>
      <c r="B3090" t="s">
        <v>11819</v>
      </c>
      <c r="C3090" s="900" t="s">
        <v>11837</v>
      </c>
      <c r="D3090" s="905" t="s">
        <v>11840</v>
      </c>
    </row>
    <row r="3091" spans="1:4" ht="16.5">
      <c r="A3091" s="657" t="s">
        <v>8540</v>
      </c>
      <c r="B3091" t="s">
        <v>11819</v>
      </c>
      <c r="C3091" s="900" t="s">
        <v>11837</v>
      </c>
      <c r="D3091" s="905" t="s">
        <v>11840</v>
      </c>
    </row>
    <row r="3092" spans="1:4" ht="16.5">
      <c r="A3092" s="657" t="s">
        <v>8542</v>
      </c>
      <c r="B3092" t="s">
        <v>11819</v>
      </c>
      <c r="C3092" s="900" t="s">
        <v>11837</v>
      </c>
      <c r="D3092" s="905" t="s">
        <v>11840</v>
      </c>
    </row>
    <row r="3093" spans="1:4" ht="16.5">
      <c r="A3093" s="657" t="s">
        <v>8544</v>
      </c>
      <c r="B3093" t="s">
        <v>11819</v>
      </c>
      <c r="C3093" s="900" t="s">
        <v>11837</v>
      </c>
      <c r="D3093" s="905" t="s">
        <v>11840</v>
      </c>
    </row>
    <row r="3094" spans="1:4" ht="16.5">
      <c r="A3094" s="657" t="s">
        <v>8546</v>
      </c>
      <c r="B3094" t="s">
        <v>11819</v>
      </c>
      <c r="C3094" s="900" t="s">
        <v>11837</v>
      </c>
      <c r="D3094" s="905" t="s">
        <v>11840</v>
      </c>
    </row>
    <row r="3095" spans="1:4" ht="16.5">
      <c r="A3095" s="657" t="s">
        <v>8548</v>
      </c>
      <c r="B3095" t="s">
        <v>11819</v>
      </c>
      <c r="C3095" s="900" t="s">
        <v>11837</v>
      </c>
      <c r="D3095" s="905" t="s">
        <v>11840</v>
      </c>
    </row>
    <row r="3096" spans="1:4" ht="16.5">
      <c r="A3096" s="657" t="s">
        <v>8550</v>
      </c>
      <c r="B3096" t="s">
        <v>11819</v>
      </c>
      <c r="C3096" s="900" t="s">
        <v>11837</v>
      </c>
      <c r="D3096" s="905" t="s">
        <v>11840</v>
      </c>
    </row>
    <row r="3097" spans="1:4" ht="16.5">
      <c r="A3097" s="657" t="s">
        <v>1265</v>
      </c>
      <c r="B3097" t="s">
        <v>11819</v>
      </c>
      <c r="C3097" s="900" t="s">
        <v>11837</v>
      </c>
      <c r="D3097" s="905" t="s">
        <v>11840</v>
      </c>
    </row>
    <row r="3098" spans="1:4" ht="16.5">
      <c r="A3098" s="657" t="s">
        <v>8552</v>
      </c>
      <c r="B3098" t="s">
        <v>11819</v>
      </c>
      <c r="C3098" s="900" t="s">
        <v>11837</v>
      </c>
      <c r="D3098" s="905" t="s">
        <v>11840</v>
      </c>
    </row>
    <row r="3099" spans="1:4" ht="16.5">
      <c r="A3099" s="657" t="s">
        <v>8554</v>
      </c>
      <c r="B3099" t="s">
        <v>11819</v>
      </c>
      <c r="C3099" s="900" t="s">
        <v>11837</v>
      </c>
      <c r="D3099" s="905" t="s">
        <v>11840</v>
      </c>
    </row>
    <row r="3100" spans="1:4" ht="16.5">
      <c r="A3100" s="657" t="s">
        <v>8556</v>
      </c>
      <c r="B3100" t="s">
        <v>11819</v>
      </c>
      <c r="C3100" s="900" t="s">
        <v>11837</v>
      </c>
      <c r="D3100" s="905" t="s">
        <v>11840</v>
      </c>
    </row>
    <row r="3101" spans="1:4" ht="16.5">
      <c r="A3101" s="657" t="s">
        <v>8558</v>
      </c>
      <c r="B3101" t="s">
        <v>11819</v>
      </c>
      <c r="C3101" s="900" t="s">
        <v>11837</v>
      </c>
      <c r="D3101" s="905" t="s">
        <v>11840</v>
      </c>
    </row>
    <row r="3102" spans="1:4" ht="33">
      <c r="A3102" s="657" t="s">
        <v>1267</v>
      </c>
      <c r="B3102" t="s">
        <v>11819</v>
      </c>
      <c r="C3102" s="900" t="s">
        <v>11837</v>
      </c>
      <c r="D3102" s="905" t="s">
        <v>11840</v>
      </c>
    </row>
    <row r="3103" spans="1:4" ht="16.5">
      <c r="A3103" s="657" t="s">
        <v>8561</v>
      </c>
      <c r="B3103" t="s">
        <v>11819</v>
      </c>
      <c r="C3103" s="900" t="s">
        <v>11837</v>
      </c>
      <c r="D3103" s="905" t="s">
        <v>11840</v>
      </c>
    </row>
    <row r="3104" spans="1:4" ht="16.5">
      <c r="A3104" s="657" t="s">
        <v>8563</v>
      </c>
      <c r="B3104" t="s">
        <v>11819</v>
      </c>
      <c r="C3104" s="900" t="s">
        <v>11837</v>
      </c>
      <c r="D3104" s="905" t="s">
        <v>11840</v>
      </c>
    </row>
    <row r="3105" spans="1:4" ht="33">
      <c r="A3105" s="657" t="s">
        <v>8565</v>
      </c>
      <c r="B3105" t="s">
        <v>11819</v>
      </c>
      <c r="C3105" s="900" t="s">
        <v>11837</v>
      </c>
      <c r="D3105" s="905" t="s">
        <v>11840</v>
      </c>
    </row>
    <row r="3106" spans="1:4" ht="16.5">
      <c r="A3106" s="657" t="s">
        <v>8567</v>
      </c>
      <c r="B3106" t="s">
        <v>11819</v>
      </c>
      <c r="C3106" s="900" t="s">
        <v>11837</v>
      </c>
      <c r="D3106" s="905" t="s">
        <v>11840</v>
      </c>
    </row>
    <row r="3107" spans="1:4" ht="16.5">
      <c r="A3107" s="657" t="s">
        <v>8569</v>
      </c>
      <c r="B3107" t="s">
        <v>11819</v>
      </c>
      <c r="C3107" s="900" t="s">
        <v>11837</v>
      </c>
      <c r="D3107" s="905" t="s">
        <v>11840</v>
      </c>
    </row>
    <row r="3108" spans="1:4" ht="33">
      <c r="A3108" s="657" t="s">
        <v>8571</v>
      </c>
      <c r="B3108" t="s">
        <v>11819</v>
      </c>
      <c r="C3108" s="900" t="s">
        <v>11837</v>
      </c>
      <c r="D3108" s="905" t="s">
        <v>11840</v>
      </c>
    </row>
    <row r="3109" spans="1:4" ht="33">
      <c r="A3109" s="657" t="s">
        <v>1269</v>
      </c>
      <c r="B3109" t="s">
        <v>11819</v>
      </c>
      <c r="C3109" s="900" t="s">
        <v>11837</v>
      </c>
      <c r="D3109" s="905" t="s">
        <v>11840</v>
      </c>
    </row>
    <row r="3110" spans="1:4" ht="16.5">
      <c r="A3110" s="657" t="s">
        <v>8573</v>
      </c>
      <c r="B3110" t="s">
        <v>11819</v>
      </c>
      <c r="C3110" s="900" t="s">
        <v>11837</v>
      </c>
      <c r="D3110" s="905" t="s">
        <v>11840</v>
      </c>
    </row>
    <row r="3111" spans="1:4" ht="16.5">
      <c r="A3111" s="657" t="s">
        <v>8575</v>
      </c>
      <c r="B3111" t="s">
        <v>11819</v>
      </c>
      <c r="C3111" s="900" t="s">
        <v>11837</v>
      </c>
      <c r="D3111" s="905" t="s">
        <v>11840</v>
      </c>
    </row>
    <row r="3112" spans="1:4" ht="16.5">
      <c r="A3112" s="657" t="s">
        <v>8577</v>
      </c>
      <c r="B3112" t="s">
        <v>11819</v>
      </c>
      <c r="C3112" s="900" t="s">
        <v>11837</v>
      </c>
      <c r="D3112" s="905" t="s">
        <v>11840</v>
      </c>
    </row>
    <row r="3113" spans="1:4" ht="16.5">
      <c r="A3113" s="657" t="s">
        <v>8579</v>
      </c>
      <c r="B3113" t="s">
        <v>11819</v>
      </c>
      <c r="C3113" s="900" t="s">
        <v>11837</v>
      </c>
      <c r="D3113" s="905" t="s">
        <v>11840</v>
      </c>
    </row>
    <row r="3114" spans="1:4" ht="16.5">
      <c r="A3114" s="657" t="s">
        <v>8581</v>
      </c>
      <c r="B3114" t="s">
        <v>11819</v>
      </c>
      <c r="C3114" s="900" t="s">
        <v>11837</v>
      </c>
      <c r="D3114" s="905" t="s">
        <v>11840</v>
      </c>
    </row>
    <row r="3115" spans="1:4" ht="33">
      <c r="A3115" s="657" t="s">
        <v>8583</v>
      </c>
      <c r="B3115" t="s">
        <v>11819</v>
      </c>
      <c r="C3115" s="900" t="s">
        <v>11837</v>
      </c>
      <c r="D3115" s="905" t="s">
        <v>11840</v>
      </c>
    </row>
    <row r="3116" spans="1:4" ht="16.5">
      <c r="A3116" s="657" t="s">
        <v>8585</v>
      </c>
      <c r="B3116" t="s">
        <v>11819</v>
      </c>
      <c r="C3116" s="900" t="s">
        <v>11837</v>
      </c>
      <c r="D3116" s="905" t="s">
        <v>11840</v>
      </c>
    </row>
    <row r="3117" spans="1:4" ht="16.5">
      <c r="A3117" s="657" t="s">
        <v>8587</v>
      </c>
      <c r="B3117" t="s">
        <v>11819</v>
      </c>
      <c r="C3117" s="900" t="s">
        <v>11837</v>
      </c>
      <c r="D3117" s="905" t="s">
        <v>11840</v>
      </c>
    </row>
    <row r="3118" spans="1:4" ht="33">
      <c r="A3118" s="657" t="s">
        <v>8589</v>
      </c>
      <c r="B3118" t="s">
        <v>11819</v>
      </c>
      <c r="C3118" s="900" t="s">
        <v>11837</v>
      </c>
      <c r="D3118" s="905" t="s">
        <v>11840</v>
      </c>
    </row>
    <row r="3119" spans="1:4" ht="16.5">
      <c r="A3119" s="657" t="s">
        <v>8591</v>
      </c>
      <c r="B3119" t="s">
        <v>11819</v>
      </c>
      <c r="C3119" s="900" t="s">
        <v>11837</v>
      </c>
      <c r="D3119" s="905" t="s">
        <v>11840</v>
      </c>
    </row>
    <row r="3120" spans="1:4" ht="16.5">
      <c r="A3120" s="657" t="s">
        <v>1271</v>
      </c>
      <c r="B3120" t="s">
        <v>11819</v>
      </c>
      <c r="C3120" s="900" t="s">
        <v>11837</v>
      </c>
      <c r="D3120" s="905" t="s">
        <v>11840</v>
      </c>
    </row>
    <row r="3121" spans="1:4" ht="16.5">
      <c r="A3121" s="657" t="s">
        <v>8593</v>
      </c>
      <c r="B3121" t="s">
        <v>11819</v>
      </c>
      <c r="C3121" s="900" t="s">
        <v>11837</v>
      </c>
      <c r="D3121" s="905" t="s">
        <v>11840</v>
      </c>
    </row>
    <row r="3122" spans="1:4" ht="33">
      <c r="A3122" s="657" t="s">
        <v>8595</v>
      </c>
      <c r="B3122" t="s">
        <v>11819</v>
      </c>
      <c r="C3122" s="900" t="s">
        <v>11837</v>
      </c>
      <c r="D3122" s="905" t="s">
        <v>11840</v>
      </c>
    </row>
    <row r="3123" spans="1:4" ht="33">
      <c r="A3123" s="657" t="s">
        <v>1274</v>
      </c>
      <c r="B3123" t="s">
        <v>11819</v>
      </c>
      <c r="C3123" s="900" t="s">
        <v>11837</v>
      </c>
      <c r="D3123" s="905" t="s">
        <v>11840</v>
      </c>
    </row>
    <row r="3124" spans="1:4" ht="33">
      <c r="A3124" s="657" t="s">
        <v>8597</v>
      </c>
      <c r="B3124" t="s">
        <v>11819</v>
      </c>
      <c r="C3124" s="900" t="s">
        <v>11837</v>
      </c>
      <c r="D3124" s="905" t="s">
        <v>11840</v>
      </c>
    </row>
    <row r="3125" spans="1:4" ht="33">
      <c r="A3125" s="657" t="s">
        <v>1276</v>
      </c>
      <c r="B3125" t="s">
        <v>11819</v>
      </c>
      <c r="C3125" s="900" t="s">
        <v>11837</v>
      </c>
      <c r="D3125" s="905" t="s">
        <v>11840</v>
      </c>
    </row>
    <row r="3126" spans="1:4" ht="33">
      <c r="A3126" s="657" t="s">
        <v>8599</v>
      </c>
      <c r="B3126" t="s">
        <v>11819</v>
      </c>
      <c r="C3126" s="900" t="s">
        <v>11837</v>
      </c>
      <c r="D3126" s="905" t="s">
        <v>11840</v>
      </c>
    </row>
    <row r="3127" spans="1:4" ht="33">
      <c r="A3127" s="657" t="s">
        <v>8601</v>
      </c>
      <c r="B3127" t="s">
        <v>11819</v>
      </c>
      <c r="C3127" s="900" t="s">
        <v>11837</v>
      </c>
      <c r="D3127" s="905" t="s">
        <v>11840</v>
      </c>
    </row>
    <row r="3128" spans="1:4" ht="33">
      <c r="A3128" s="657" t="s">
        <v>8603</v>
      </c>
      <c r="B3128" t="s">
        <v>11819</v>
      </c>
      <c r="C3128" s="900" t="s">
        <v>11837</v>
      </c>
      <c r="D3128" s="905" t="s">
        <v>11840</v>
      </c>
    </row>
    <row r="3129" spans="1:4" ht="33">
      <c r="A3129" s="657" t="s">
        <v>1278</v>
      </c>
      <c r="B3129" t="s">
        <v>11819</v>
      </c>
      <c r="C3129" s="900" t="s">
        <v>11837</v>
      </c>
      <c r="D3129" s="905" t="s">
        <v>11840</v>
      </c>
    </row>
    <row r="3130" spans="1:4" ht="16.5">
      <c r="A3130" s="657" t="s">
        <v>8605</v>
      </c>
      <c r="B3130" t="s">
        <v>11819</v>
      </c>
      <c r="C3130" s="900" t="s">
        <v>11837</v>
      </c>
      <c r="D3130" s="905" t="s">
        <v>11840</v>
      </c>
    </row>
    <row r="3131" spans="1:4" ht="16.5">
      <c r="A3131" s="657" t="s">
        <v>1280</v>
      </c>
      <c r="B3131" t="s">
        <v>11819</v>
      </c>
      <c r="C3131" s="900" t="s">
        <v>11837</v>
      </c>
      <c r="D3131" s="905" t="s">
        <v>11840</v>
      </c>
    </row>
    <row r="3132" spans="1:4" ht="16.5">
      <c r="A3132" s="657" t="s">
        <v>8607</v>
      </c>
      <c r="B3132" t="s">
        <v>11819</v>
      </c>
      <c r="C3132" s="900" t="s">
        <v>11837</v>
      </c>
      <c r="D3132" s="905" t="s">
        <v>11840</v>
      </c>
    </row>
    <row r="3133" spans="1:4" ht="16.5">
      <c r="A3133" s="657" t="s">
        <v>8609</v>
      </c>
      <c r="B3133" t="s">
        <v>11819</v>
      </c>
      <c r="C3133" s="900" t="s">
        <v>11837</v>
      </c>
      <c r="D3133" s="905" t="s">
        <v>11840</v>
      </c>
    </row>
    <row r="3134" spans="1:4" ht="33">
      <c r="A3134" s="657" t="s">
        <v>8611</v>
      </c>
      <c r="B3134" t="s">
        <v>11819</v>
      </c>
      <c r="C3134" s="900" t="s">
        <v>11837</v>
      </c>
      <c r="D3134" s="905" t="s">
        <v>11840</v>
      </c>
    </row>
    <row r="3135" spans="1:4" ht="33">
      <c r="A3135" s="657" t="s">
        <v>8613</v>
      </c>
      <c r="B3135" t="s">
        <v>11819</v>
      </c>
      <c r="C3135" s="900" t="s">
        <v>11837</v>
      </c>
      <c r="D3135" s="905" t="s">
        <v>11840</v>
      </c>
    </row>
    <row r="3136" spans="1:4" ht="33">
      <c r="A3136" s="657" t="s">
        <v>8615</v>
      </c>
      <c r="B3136" t="s">
        <v>11819</v>
      </c>
      <c r="C3136" s="900" t="s">
        <v>11837</v>
      </c>
      <c r="D3136" s="905" t="s">
        <v>11840</v>
      </c>
    </row>
    <row r="3137" spans="1:4" ht="33">
      <c r="A3137" s="657" t="s">
        <v>8617</v>
      </c>
      <c r="B3137" t="s">
        <v>11819</v>
      </c>
      <c r="C3137" s="900" t="s">
        <v>11837</v>
      </c>
      <c r="D3137" s="905" t="s">
        <v>11840</v>
      </c>
    </row>
    <row r="3138" spans="1:4" ht="16.5">
      <c r="A3138" s="657" t="s">
        <v>8619</v>
      </c>
      <c r="B3138" t="s">
        <v>11819</v>
      </c>
      <c r="C3138" s="900" t="s">
        <v>11837</v>
      </c>
      <c r="D3138" s="905" t="s">
        <v>11840</v>
      </c>
    </row>
    <row r="3139" spans="1:4" ht="16.5">
      <c r="A3139" s="657" t="s">
        <v>8621</v>
      </c>
      <c r="B3139" t="s">
        <v>11819</v>
      </c>
      <c r="C3139" s="900" t="s">
        <v>11837</v>
      </c>
      <c r="D3139" s="905" t="s">
        <v>11840</v>
      </c>
    </row>
    <row r="3140" spans="1:4" ht="33">
      <c r="A3140" s="657" t="s">
        <v>8623</v>
      </c>
      <c r="B3140" t="s">
        <v>11819</v>
      </c>
      <c r="C3140" s="900" t="s">
        <v>11837</v>
      </c>
      <c r="D3140" s="905" t="s">
        <v>11840</v>
      </c>
    </row>
    <row r="3141" spans="1:4" ht="33">
      <c r="A3141" s="657" t="s">
        <v>8625</v>
      </c>
      <c r="B3141" t="s">
        <v>11819</v>
      </c>
      <c r="C3141" s="900" t="s">
        <v>11837</v>
      </c>
      <c r="D3141" s="905" t="s">
        <v>11840</v>
      </c>
    </row>
    <row r="3142" spans="1:4" ht="33">
      <c r="A3142" s="657" t="s">
        <v>8627</v>
      </c>
      <c r="B3142" t="s">
        <v>11819</v>
      </c>
      <c r="C3142" s="900" t="s">
        <v>11837</v>
      </c>
      <c r="D3142" s="905" t="s">
        <v>11840</v>
      </c>
    </row>
    <row r="3143" spans="1:4" ht="33">
      <c r="A3143" s="657" t="s">
        <v>8629</v>
      </c>
      <c r="B3143" t="s">
        <v>11819</v>
      </c>
      <c r="C3143" s="900" t="s">
        <v>11837</v>
      </c>
      <c r="D3143" s="905" t="s">
        <v>11840</v>
      </c>
    </row>
    <row r="3144" spans="1:4" ht="33">
      <c r="A3144" s="657" t="s">
        <v>8631</v>
      </c>
      <c r="B3144" t="s">
        <v>11819</v>
      </c>
      <c r="C3144" s="900" t="s">
        <v>11837</v>
      </c>
      <c r="D3144" s="905" t="s">
        <v>11840</v>
      </c>
    </row>
    <row r="3145" spans="1:4" ht="33">
      <c r="A3145" s="657" t="s">
        <v>8633</v>
      </c>
      <c r="B3145" t="s">
        <v>11819</v>
      </c>
      <c r="C3145" s="900" t="s">
        <v>11837</v>
      </c>
      <c r="D3145" s="905" t="s">
        <v>11840</v>
      </c>
    </row>
    <row r="3146" spans="1:4" ht="33">
      <c r="A3146" s="657" t="s">
        <v>8635</v>
      </c>
      <c r="B3146" t="s">
        <v>11819</v>
      </c>
      <c r="C3146" s="900" t="s">
        <v>11837</v>
      </c>
      <c r="D3146" s="905" t="s">
        <v>11840</v>
      </c>
    </row>
    <row r="3147" spans="1:4" ht="33">
      <c r="A3147" s="657" t="s">
        <v>8637</v>
      </c>
      <c r="B3147" t="s">
        <v>11819</v>
      </c>
      <c r="C3147" s="900" t="s">
        <v>11837</v>
      </c>
      <c r="D3147" s="905" t="s">
        <v>11840</v>
      </c>
    </row>
    <row r="3148" spans="1:4" ht="33">
      <c r="A3148" s="657" t="s">
        <v>1283</v>
      </c>
      <c r="B3148" t="s">
        <v>11819</v>
      </c>
      <c r="C3148" s="900" t="s">
        <v>11837</v>
      </c>
      <c r="D3148" s="905" t="s">
        <v>11840</v>
      </c>
    </row>
    <row r="3149" spans="1:4" ht="16.5">
      <c r="A3149" s="657" t="s">
        <v>8639</v>
      </c>
      <c r="B3149" t="s">
        <v>11819</v>
      </c>
      <c r="C3149" s="900" t="s">
        <v>11837</v>
      </c>
      <c r="D3149" s="905" t="s">
        <v>11840</v>
      </c>
    </row>
    <row r="3150" spans="1:4" ht="16.5">
      <c r="A3150" s="657" t="s">
        <v>8641</v>
      </c>
      <c r="B3150" t="s">
        <v>11819</v>
      </c>
      <c r="C3150" s="900" t="s">
        <v>11837</v>
      </c>
      <c r="D3150" s="905" t="s">
        <v>11840</v>
      </c>
    </row>
    <row r="3151" spans="1:4" ht="16.5">
      <c r="A3151" s="657" t="s">
        <v>8643</v>
      </c>
      <c r="B3151" t="s">
        <v>11819</v>
      </c>
      <c r="C3151" s="900" t="s">
        <v>11837</v>
      </c>
      <c r="D3151" s="905" t="s">
        <v>11840</v>
      </c>
    </row>
    <row r="3152" spans="1:4" ht="16.5">
      <c r="A3152" s="657" t="s">
        <v>8645</v>
      </c>
      <c r="B3152" t="s">
        <v>11819</v>
      </c>
      <c r="C3152" s="900" t="s">
        <v>11837</v>
      </c>
      <c r="D3152" s="905" t="s">
        <v>11840</v>
      </c>
    </row>
    <row r="3153" spans="1:4" ht="33">
      <c r="A3153" s="657" t="s">
        <v>8647</v>
      </c>
      <c r="B3153" t="s">
        <v>11819</v>
      </c>
      <c r="C3153" s="900" t="s">
        <v>11837</v>
      </c>
      <c r="D3153" s="905" t="s">
        <v>11840</v>
      </c>
    </row>
    <row r="3154" spans="1:4" ht="33">
      <c r="A3154" s="657" t="s">
        <v>8649</v>
      </c>
      <c r="B3154" t="s">
        <v>11819</v>
      </c>
      <c r="C3154" s="900" t="s">
        <v>11837</v>
      </c>
      <c r="D3154" s="905" t="s">
        <v>11840</v>
      </c>
    </row>
    <row r="3155" spans="1:4" ht="33">
      <c r="A3155" s="657" t="s">
        <v>8651</v>
      </c>
      <c r="B3155" t="s">
        <v>11819</v>
      </c>
      <c r="C3155" s="900" t="s">
        <v>11837</v>
      </c>
      <c r="D3155" s="905" t="s">
        <v>11840</v>
      </c>
    </row>
    <row r="3156" spans="1:4" ht="33">
      <c r="A3156" s="657" t="s">
        <v>8653</v>
      </c>
      <c r="B3156" t="s">
        <v>11819</v>
      </c>
      <c r="C3156" s="900" t="s">
        <v>11837</v>
      </c>
      <c r="D3156" s="905" t="s">
        <v>11840</v>
      </c>
    </row>
    <row r="3157" spans="1:4" ht="33">
      <c r="A3157" s="657" t="s">
        <v>8655</v>
      </c>
      <c r="B3157" t="s">
        <v>11819</v>
      </c>
      <c r="C3157" s="900" t="s">
        <v>11837</v>
      </c>
      <c r="D3157" s="905" t="s">
        <v>11840</v>
      </c>
    </row>
    <row r="3158" spans="1:4" ht="33">
      <c r="A3158" s="657" t="s">
        <v>8657</v>
      </c>
      <c r="B3158" t="s">
        <v>11819</v>
      </c>
      <c r="C3158" s="900" t="s">
        <v>11837</v>
      </c>
      <c r="D3158" s="905" t="s">
        <v>11840</v>
      </c>
    </row>
    <row r="3159" spans="1:4" ht="33">
      <c r="A3159" s="657" t="s">
        <v>8659</v>
      </c>
      <c r="B3159" t="s">
        <v>11819</v>
      </c>
      <c r="C3159" s="900" t="s">
        <v>11837</v>
      </c>
      <c r="D3159" s="905" t="s">
        <v>11840</v>
      </c>
    </row>
    <row r="3160" spans="1:4" ht="33">
      <c r="A3160" s="657" t="s">
        <v>8661</v>
      </c>
      <c r="B3160" t="s">
        <v>11819</v>
      </c>
      <c r="C3160" s="900" t="s">
        <v>11837</v>
      </c>
      <c r="D3160" s="905" t="s">
        <v>11840</v>
      </c>
    </row>
    <row r="3161" spans="1:4" ht="33">
      <c r="A3161" s="657" t="s">
        <v>8663</v>
      </c>
      <c r="B3161" t="s">
        <v>11819</v>
      </c>
      <c r="C3161" s="900" t="s">
        <v>11837</v>
      </c>
      <c r="D3161" s="905" t="s">
        <v>11840</v>
      </c>
    </row>
    <row r="3162" spans="1:4" ht="33">
      <c r="A3162" s="657" t="s">
        <v>8665</v>
      </c>
      <c r="B3162" t="s">
        <v>11819</v>
      </c>
      <c r="C3162" s="900" t="s">
        <v>11837</v>
      </c>
      <c r="D3162" s="905" t="s">
        <v>11840</v>
      </c>
    </row>
    <row r="3163" spans="1:4" ht="33">
      <c r="A3163" s="657" t="s">
        <v>8667</v>
      </c>
      <c r="B3163" t="s">
        <v>11819</v>
      </c>
      <c r="C3163" s="900" t="s">
        <v>11837</v>
      </c>
      <c r="D3163" s="905" t="s">
        <v>11840</v>
      </c>
    </row>
    <row r="3164" spans="1:4" ht="33">
      <c r="A3164" s="657" t="s">
        <v>8669</v>
      </c>
      <c r="B3164" t="s">
        <v>11819</v>
      </c>
      <c r="C3164" s="900" t="s">
        <v>11837</v>
      </c>
      <c r="D3164" s="905" t="s">
        <v>11840</v>
      </c>
    </row>
    <row r="3165" spans="1:4" ht="33">
      <c r="A3165" s="657" t="s">
        <v>8671</v>
      </c>
      <c r="B3165" t="s">
        <v>11819</v>
      </c>
      <c r="C3165" s="900" t="s">
        <v>11837</v>
      </c>
      <c r="D3165" s="905" t="s">
        <v>11840</v>
      </c>
    </row>
    <row r="3166" spans="1:4" ht="33">
      <c r="A3166" s="657" t="s">
        <v>8673</v>
      </c>
      <c r="B3166" t="s">
        <v>11819</v>
      </c>
      <c r="C3166" s="900" t="s">
        <v>11837</v>
      </c>
      <c r="D3166" s="905" t="s">
        <v>11840</v>
      </c>
    </row>
    <row r="3167" spans="1:4" ht="33">
      <c r="A3167" s="657" t="s">
        <v>1339</v>
      </c>
      <c r="B3167" t="s">
        <v>11819</v>
      </c>
      <c r="C3167" s="900" t="s">
        <v>11837</v>
      </c>
      <c r="D3167" s="905" t="s">
        <v>11840</v>
      </c>
    </row>
    <row r="3168" spans="1:4" ht="33">
      <c r="A3168" s="657" t="s">
        <v>1341</v>
      </c>
      <c r="B3168" t="s">
        <v>11819</v>
      </c>
      <c r="C3168" s="900" t="s">
        <v>11837</v>
      </c>
      <c r="D3168" s="905" t="s">
        <v>11840</v>
      </c>
    </row>
    <row r="3169" spans="1:4" ht="33">
      <c r="A3169" s="657" t="s">
        <v>1343</v>
      </c>
      <c r="B3169" t="s">
        <v>11819</v>
      </c>
      <c r="C3169" s="900" t="s">
        <v>11837</v>
      </c>
      <c r="D3169" s="905" t="s">
        <v>11840</v>
      </c>
    </row>
    <row r="3170" spans="1:4" ht="33">
      <c r="A3170" s="657" t="s">
        <v>8675</v>
      </c>
      <c r="B3170" t="s">
        <v>11819</v>
      </c>
      <c r="C3170" s="900" t="s">
        <v>11837</v>
      </c>
      <c r="D3170" s="905" t="s">
        <v>11840</v>
      </c>
    </row>
    <row r="3171" spans="1:4" ht="33">
      <c r="A3171" s="657" t="s">
        <v>8677</v>
      </c>
      <c r="B3171" t="s">
        <v>11819</v>
      </c>
      <c r="C3171" s="900" t="s">
        <v>11837</v>
      </c>
      <c r="D3171" s="905" t="s">
        <v>11840</v>
      </c>
    </row>
    <row r="3172" spans="1:4" ht="33">
      <c r="A3172" s="657" t="s">
        <v>8679</v>
      </c>
      <c r="B3172" t="s">
        <v>11819</v>
      </c>
      <c r="C3172" s="900" t="s">
        <v>11837</v>
      </c>
      <c r="D3172" s="905" t="s">
        <v>11840</v>
      </c>
    </row>
    <row r="3173" spans="1:4" ht="33">
      <c r="A3173" s="657" t="s">
        <v>8681</v>
      </c>
      <c r="B3173" t="s">
        <v>11819</v>
      </c>
      <c r="C3173" s="900" t="s">
        <v>11837</v>
      </c>
      <c r="D3173" s="905" t="s">
        <v>11840</v>
      </c>
    </row>
    <row r="3174" spans="1:4" ht="33">
      <c r="A3174" s="657" t="s">
        <v>8683</v>
      </c>
      <c r="B3174" t="s">
        <v>11819</v>
      </c>
      <c r="C3174" s="900" t="s">
        <v>11837</v>
      </c>
      <c r="D3174" s="905" t="s">
        <v>11840</v>
      </c>
    </row>
    <row r="3175" spans="1:4" ht="33">
      <c r="A3175" s="657" t="s">
        <v>8685</v>
      </c>
      <c r="B3175" t="s">
        <v>11819</v>
      </c>
      <c r="C3175" s="900" t="s">
        <v>11837</v>
      </c>
      <c r="D3175" s="905" t="s">
        <v>11840</v>
      </c>
    </row>
    <row r="3176" spans="1:4" ht="33">
      <c r="A3176" s="657" t="s">
        <v>1345</v>
      </c>
      <c r="B3176" t="s">
        <v>11819</v>
      </c>
      <c r="C3176" s="900" t="s">
        <v>11837</v>
      </c>
      <c r="D3176" s="905" t="s">
        <v>11840</v>
      </c>
    </row>
    <row r="3177" spans="1:4" ht="33">
      <c r="A3177" s="657" t="s">
        <v>1347</v>
      </c>
      <c r="B3177" t="s">
        <v>11819</v>
      </c>
      <c r="C3177" s="900" t="s">
        <v>11837</v>
      </c>
      <c r="D3177" s="905" t="s">
        <v>11840</v>
      </c>
    </row>
    <row r="3178" spans="1:4" ht="33">
      <c r="A3178" s="657" t="s">
        <v>8687</v>
      </c>
      <c r="B3178" t="s">
        <v>11819</v>
      </c>
      <c r="C3178" s="900" t="s">
        <v>11837</v>
      </c>
      <c r="D3178" s="905" t="s">
        <v>11840</v>
      </c>
    </row>
    <row r="3179" spans="1:4" ht="33">
      <c r="A3179" s="657" t="s">
        <v>8689</v>
      </c>
      <c r="B3179" t="s">
        <v>11819</v>
      </c>
      <c r="C3179" s="900" t="s">
        <v>11837</v>
      </c>
      <c r="D3179" s="905" t="s">
        <v>11840</v>
      </c>
    </row>
    <row r="3180" spans="1:4" ht="33">
      <c r="A3180" s="657" t="s">
        <v>8691</v>
      </c>
      <c r="B3180" t="s">
        <v>11819</v>
      </c>
      <c r="C3180" s="900" t="s">
        <v>11837</v>
      </c>
      <c r="D3180" s="905" t="s">
        <v>11840</v>
      </c>
    </row>
    <row r="3181" spans="1:4" ht="33">
      <c r="A3181" s="657" t="s">
        <v>8693</v>
      </c>
      <c r="B3181" t="s">
        <v>11819</v>
      </c>
      <c r="C3181" s="900" t="s">
        <v>11837</v>
      </c>
      <c r="D3181" s="905" t="s">
        <v>11840</v>
      </c>
    </row>
    <row r="3182" spans="1:4" ht="33">
      <c r="A3182" s="657" t="s">
        <v>8695</v>
      </c>
      <c r="B3182" t="s">
        <v>11819</v>
      </c>
      <c r="C3182" s="900" t="s">
        <v>11837</v>
      </c>
      <c r="D3182" s="905" t="s">
        <v>11840</v>
      </c>
    </row>
    <row r="3183" spans="1:4" ht="33">
      <c r="A3183" s="657" t="s">
        <v>1349</v>
      </c>
      <c r="B3183" t="s">
        <v>11819</v>
      </c>
      <c r="C3183" s="900" t="s">
        <v>11837</v>
      </c>
      <c r="D3183" s="905" t="s">
        <v>11840</v>
      </c>
    </row>
    <row r="3184" spans="1:4" ht="33">
      <c r="A3184" s="657" t="s">
        <v>1351</v>
      </c>
      <c r="B3184" t="s">
        <v>11819</v>
      </c>
      <c r="C3184" s="900" t="s">
        <v>11837</v>
      </c>
      <c r="D3184" s="905" t="s">
        <v>11840</v>
      </c>
    </row>
    <row r="3185" spans="1:4" ht="33">
      <c r="A3185" s="657" t="s">
        <v>1353</v>
      </c>
      <c r="B3185" t="s">
        <v>11819</v>
      </c>
      <c r="C3185" s="900" t="s">
        <v>11837</v>
      </c>
      <c r="D3185" s="905" t="s">
        <v>11840</v>
      </c>
    </row>
    <row r="3186" spans="1:4" ht="33">
      <c r="A3186" s="657" t="s">
        <v>1355</v>
      </c>
      <c r="B3186" t="s">
        <v>11819</v>
      </c>
      <c r="C3186" s="900" t="s">
        <v>11837</v>
      </c>
      <c r="D3186" s="905" t="s">
        <v>11840</v>
      </c>
    </row>
    <row r="3187" spans="1:4" ht="33">
      <c r="A3187" s="657" t="s">
        <v>8697</v>
      </c>
      <c r="B3187" t="s">
        <v>11819</v>
      </c>
      <c r="C3187" s="900" t="s">
        <v>11837</v>
      </c>
      <c r="D3187" s="905" t="s">
        <v>11840</v>
      </c>
    </row>
    <row r="3188" spans="1:4" ht="33">
      <c r="A3188" s="657" t="s">
        <v>1357</v>
      </c>
      <c r="B3188" t="s">
        <v>11819</v>
      </c>
      <c r="C3188" s="900" t="s">
        <v>11837</v>
      </c>
      <c r="D3188" s="905" t="s">
        <v>11840</v>
      </c>
    </row>
    <row r="3189" spans="1:4" ht="33">
      <c r="A3189" s="657" t="s">
        <v>8699</v>
      </c>
      <c r="B3189" t="s">
        <v>11819</v>
      </c>
      <c r="C3189" s="900" t="s">
        <v>11837</v>
      </c>
      <c r="D3189" s="905" t="s">
        <v>11840</v>
      </c>
    </row>
    <row r="3190" spans="1:4" ht="33">
      <c r="A3190" s="657" t="s">
        <v>8701</v>
      </c>
      <c r="B3190" t="s">
        <v>11819</v>
      </c>
      <c r="C3190" s="900" t="s">
        <v>11837</v>
      </c>
      <c r="D3190" s="905" t="s">
        <v>11840</v>
      </c>
    </row>
    <row r="3191" spans="1:4" ht="33">
      <c r="A3191" s="657" t="s">
        <v>1359</v>
      </c>
      <c r="B3191" t="s">
        <v>11819</v>
      </c>
      <c r="C3191" s="900" t="s">
        <v>11837</v>
      </c>
      <c r="D3191" s="905" t="s">
        <v>11840</v>
      </c>
    </row>
    <row r="3192" spans="1:4" ht="33">
      <c r="A3192" s="657" t="s">
        <v>8703</v>
      </c>
      <c r="B3192" t="s">
        <v>11819</v>
      </c>
      <c r="C3192" s="900" t="s">
        <v>11837</v>
      </c>
      <c r="D3192" s="905" t="s">
        <v>11840</v>
      </c>
    </row>
    <row r="3193" spans="1:4" ht="33">
      <c r="A3193" s="657" t="s">
        <v>8705</v>
      </c>
      <c r="B3193" t="s">
        <v>11819</v>
      </c>
      <c r="C3193" s="900" t="s">
        <v>11837</v>
      </c>
      <c r="D3193" s="905" t="s">
        <v>11840</v>
      </c>
    </row>
    <row r="3194" spans="1:4" ht="33">
      <c r="A3194" s="657" t="s">
        <v>1361</v>
      </c>
      <c r="B3194" t="s">
        <v>11819</v>
      </c>
      <c r="C3194" s="900" t="s">
        <v>11837</v>
      </c>
      <c r="D3194" s="905" t="s">
        <v>11840</v>
      </c>
    </row>
    <row r="3195" spans="1:4" ht="33">
      <c r="A3195" s="657" t="s">
        <v>8707</v>
      </c>
      <c r="B3195" t="s">
        <v>11819</v>
      </c>
      <c r="C3195" s="900" t="s">
        <v>11837</v>
      </c>
      <c r="D3195" s="905" t="s">
        <v>11840</v>
      </c>
    </row>
    <row r="3196" spans="1:4" ht="33">
      <c r="A3196" s="657" t="s">
        <v>8709</v>
      </c>
      <c r="B3196" t="s">
        <v>11819</v>
      </c>
      <c r="C3196" s="900" t="s">
        <v>11837</v>
      </c>
      <c r="D3196" s="905" t="s">
        <v>11840</v>
      </c>
    </row>
    <row r="3197" spans="1:4" ht="33">
      <c r="A3197" s="657" t="s">
        <v>8711</v>
      </c>
      <c r="B3197" t="s">
        <v>11819</v>
      </c>
      <c r="C3197" s="900" t="s">
        <v>11837</v>
      </c>
      <c r="D3197" s="905" t="s">
        <v>11840</v>
      </c>
    </row>
    <row r="3198" spans="1:4" ht="33">
      <c r="A3198" s="657" t="s">
        <v>8713</v>
      </c>
      <c r="B3198" t="s">
        <v>11819</v>
      </c>
      <c r="C3198" s="900" t="s">
        <v>11837</v>
      </c>
      <c r="D3198" s="905" t="s">
        <v>11840</v>
      </c>
    </row>
    <row r="3199" spans="1:4" ht="33">
      <c r="A3199" s="657" t="s">
        <v>8715</v>
      </c>
      <c r="B3199" t="s">
        <v>11819</v>
      </c>
      <c r="C3199" s="900" t="s">
        <v>11837</v>
      </c>
      <c r="D3199" s="905" t="s">
        <v>11840</v>
      </c>
    </row>
    <row r="3200" spans="1:4" ht="33">
      <c r="A3200" s="657" t="s">
        <v>1363</v>
      </c>
      <c r="B3200" t="s">
        <v>11819</v>
      </c>
      <c r="C3200" s="900" t="s">
        <v>11837</v>
      </c>
      <c r="D3200" s="905" t="s">
        <v>11840</v>
      </c>
    </row>
    <row r="3201" spans="1:4" ht="33">
      <c r="A3201" s="657" t="s">
        <v>1365</v>
      </c>
      <c r="B3201" t="s">
        <v>11819</v>
      </c>
      <c r="C3201" s="900" t="s">
        <v>11837</v>
      </c>
      <c r="D3201" s="905" t="s">
        <v>11840</v>
      </c>
    </row>
    <row r="3202" spans="1:4" ht="33">
      <c r="A3202" s="657" t="s">
        <v>1367</v>
      </c>
      <c r="B3202" t="s">
        <v>11819</v>
      </c>
      <c r="C3202" s="900" t="s">
        <v>11837</v>
      </c>
      <c r="D3202" s="905" t="s">
        <v>11840</v>
      </c>
    </row>
    <row r="3203" spans="1:4" ht="33">
      <c r="A3203" s="657" t="s">
        <v>1369</v>
      </c>
      <c r="B3203" t="s">
        <v>11819</v>
      </c>
      <c r="C3203" s="900" t="s">
        <v>11837</v>
      </c>
      <c r="D3203" s="905" t="s">
        <v>11840</v>
      </c>
    </row>
    <row r="3204" spans="1:4" ht="33">
      <c r="A3204" s="657" t="s">
        <v>1371</v>
      </c>
      <c r="B3204" t="s">
        <v>11819</v>
      </c>
      <c r="C3204" s="900" t="s">
        <v>11837</v>
      </c>
      <c r="D3204" s="905" t="s">
        <v>11840</v>
      </c>
    </row>
    <row r="3205" spans="1:4" ht="33">
      <c r="A3205" s="657" t="s">
        <v>1373</v>
      </c>
      <c r="B3205" t="s">
        <v>11819</v>
      </c>
      <c r="C3205" s="900" t="s">
        <v>11837</v>
      </c>
      <c r="D3205" s="905" t="s">
        <v>11840</v>
      </c>
    </row>
    <row r="3206" spans="1:4" ht="33">
      <c r="A3206" s="657" t="s">
        <v>8717</v>
      </c>
      <c r="B3206" t="s">
        <v>11819</v>
      </c>
      <c r="C3206" s="900" t="s">
        <v>11837</v>
      </c>
      <c r="D3206" s="905" t="s">
        <v>11840</v>
      </c>
    </row>
    <row r="3207" spans="1:4" ht="33">
      <c r="A3207" s="657" t="s">
        <v>1375</v>
      </c>
      <c r="B3207" t="s">
        <v>11819</v>
      </c>
      <c r="C3207" s="900" t="s">
        <v>11837</v>
      </c>
      <c r="D3207" s="905" t="s">
        <v>11840</v>
      </c>
    </row>
    <row r="3208" spans="1:4" ht="33">
      <c r="A3208" s="657" t="s">
        <v>1377</v>
      </c>
      <c r="B3208" t="s">
        <v>11819</v>
      </c>
      <c r="C3208" s="900" t="s">
        <v>11837</v>
      </c>
      <c r="D3208" s="905" t="s">
        <v>11840</v>
      </c>
    </row>
    <row r="3209" spans="1:4" ht="33">
      <c r="A3209" s="657" t="s">
        <v>1379</v>
      </c>
      <c r="B3209" t="s">
        <v>11819</v>
      </c>
      <c r="C3209" s="900" t="s">
        <v>11837</v>
      </c>
      <c r="D3209" s="905" t="s">
        <v>11840</v>
      </c>
    </row>
    <row r="3210" spans="1:4" ht="33">
      <c r="A3210" s="657" t="s">
        <v>8719</v>
      </c>
      <c r="B3210" t="s">
        <v>11819</v>
      </c>
      <c r="C3210" s="900" t="s">
        <v>11837</v>
      </c>
      <c r="D3210" s="905" t="s">
        <v>11840</v>
      </c>
    </row>
    <row r="3211" spans="1:4" ht="33">
      <c r="A3211" s="657" t="s">
        <v>1381</v>
      </c>
      <c r="B3211" t="s">
        <v>11819</v>
      </c>
      <c r="C3211" s="900" t="s">
        <v>11837</v>
      </c>
      <c r="D3211" s="905" t="s">
        <v>11840</v>
      </c>
    </row>
    <row r="3212" spans="1:4" ht="33">
      <c r="A3212" s="657" t="s">
        <v>8721</v>
      </c>
      <c r="B3212" t="s">
        <v>11819</v>
      </c>
      <c r="C3212" s="900" t="s">
        <v>11837</v>
      </c>
      <c r="D3212" s="905" t="s">
        <v>11840</v>
      </c>
    </row>
    <row r="3213" spans="1:4" ht="33">
      <c r="A3213" s="657" t="s">
        <v>1383</v>
      </c>
      <c r="B3213" t="s">
        <v>11819</v>
      </c>
      <c r="C3213" s="900" t="s">
        <v>11837</v>
      </c>
      <c r="D3213" s="905" t="s">
        <v>11840</v>
      </c>
    </row>
    <row r="3214" spans="1:4" ht="33">
      <c r="A3214" s="657" t="s">
        <v>8723</v>
      </c>
      <c r="B3214" t="s">
        <v>11819</v>
      </c>
      <c r="C3214" s="900" t="s">
        <v>11837</v>
      </c>
      <c r="D3214" s="905" t="s">
        <v>11840</v>
      </c>
    </row>
    <row r="3215" spans="1:4" ht="33">
      <c r="A3215" s="657" t="s">
        <v>8725</v>
      </c>
      <c r="B3215" t="s">
        <v>11819</v>
      </c>
      <c r="C3215" s="900" t="s">
        <v>11837</v>
      </c>
      <c r="D3215" s="905" t="s">
        <v>11840</v>
      </c>
    </row>
    <row r="3216" spans="1:4" ht="33">
      <c r="A3216" s="657" t="s">
        <v>1385</v>
      </c>
      <c r="B3216" t="s">
        <v>11819</v>
      </c>
      <c r="C3216" s="900" t="s">
        <v>11837</v>
      </c>
      <c r="D3216" s="905" t="s">
        <v>11840</v>
      </c>
    </row>
    <row r="3217" spans="1:4" ht="33">
      <c r="A3217" s="657" t="s">
        <v>8727</v>
      </c>
      <c r="B3217" t="s">
        <v>11819</v>
      </c>
      <c r="C3217" s="900" t="s">
        <v>11837</v>
      </c>
      <c r="D3217" s="905" t="s">
        <v>11840</v>
      </c>
    </row>
    <row r="3218" spans="1:4" ht="33">
      <c r="A3218" s="657" t="s">
        <v>8729</v>
      </c>
      <c r="B3218" t="s">
        <v>11819</v>
      </c>
      <c r="C3218" s="900" t="s">
        <v>11837</v>
      </c>
      <c r="D3218" s="905" t="s">
        <v>11840</v>
      </c>
    </row>
    <row r="3219" spans="1:4" ht="33">
      <c r="A3219" s="657" t="s">
        <v>1387</v>
      </c>
      <c r="B3219" t="s">
        <v>11819</v>
      </c>
      <c r="C3219" s="900" t="s">
        <v>11837</v>
      </c>
      <c r="D3219" s="905" t="s">
        <v>11840</v>
      </c>
    </row>
    <row r="3220" spans="1:4" ht="33">
      <c r="A3220" s="657" t="s">
        <v>8731</v>
      </c>
      <c r="B3220" t="s">
        <v>11819</v>
      </c>
      <c r="C3220" s="900" t="s">
        <v>11837</v>
      </c>
      <c r="D3220" s="905" t="s">
        <v>11840</v>
      </c>
    </row>
    <row r="3221" spans="1:4" ht="33">
      <c r="A3221" s="657" t="s">
        <v>8733</v>
      </c>
      <c r="B3221" t="s">
        <v>11819</v>
      </c>
      <c r="C3221" s="900" t="s">
        <v>11837</v>
      </c>
      <c r="D3221" s="905" t="s">
        <v>11840</v>
      </c>
    </row>
    <row r="3222" spans="1:4" ht="33">
      <c r="A3222" s="657" t="s">
        <v>8735</v>
      </c>
      <c r="B3222" t="s">
        <v>11819</v>
      </c>
      <c r="C3222" s="900" t="s">
        <v>11837</v>
      </c>
      <c r="D3222" s="905" t="s">
        <v>11840</v>
      </c>
    </row>
    <row r="3223" spans="1:4" ht="33">
      <c r="A3223" s="657" t="s">
        <v>8737</v>
      </c>
      <c r="B3223" t="s">
        <v>11819</v>
      </c>
      <c r="C3223" s="900" t="s">
        <v>11837</v>
      </c>
      <c r="D3223" s="905" t="s">
        <v>11840</v>
      </c>
    </row>
    <row r="3224" spans="1:4" ht="33">
      <c r="A3224" s="657" t="s">
        <v>8739</v>
      </c>
      <c r="B3224" t="s">
        <v>11819</v>
      </c>
      <c r="C3224" s="900" t="s">
        <v>11837</v>
      </c>
      <c r="D3224" s="905" t="s">
        <v>11840</v>
      </c>
    </row>
    <row r="3225" spans="1:4" ht="33">
      <c r="A3225" s="657" t="s">
        <v>8741</v>
      </c>
      <c r="B3225" t="s">
        <v>11819</v>
      </c>
      <c r="C3225" s="900" t="s">
        <v>11837</v>
      </c>
      <c r="D3225" s="905" t="s">
        <v>11840</v>
      </c>
    </row>
    <row r="3226" spans="1:4" ht="33">
      <c r="A3226" s="657" t="s">
        <v>1389</v>
      </c>
      <c r="B3226" t="s">
        <v>11819</v>
      </c>
      <c r="C3226" s="900" t="s">
        <v>11837</v>
      </c>
      <c r="D3226" s="905" t="s">
        <v>11840</v>
      </c>
    </row>
    <row r="3227" spans="1:4" ht="33">
      <c r="A3227" s="657" t="s">
        <v>8743</v>
      </c>
      <c r="B3227" t="s">
        <v>11819</v>
      </c>
      <c r="C3227" s="900" t="s">
        <v>11837</v>
      </c>
      <c r="D3227" s="905" t="s">
        <v>11840</v>
      </c>
    </row>
    <row r="3228" spans="1:4" ht="33">
      <c r="A3228" s="657" t="s">
        <v>1391</v>
      </c>
      <c r="B3228" t="s">
        <v>11819</v>
      </c>
      <c r="C3228" s="900" t="s">
        <v>11837</v>
      </c>
      <c r="D3228" s="905" t="s">
        <v>11840</v>
      </c>
    </row>
    <row r="3229" spans="1:4" ht="33">
      <c r="A3229" s="657" t="s">
        <v>8745</v>
      </c>
      <c r="B3229" t="s">
        <v>11819</v>
      </c>
      <c r="C3229" s="900" t="s">
        <v>11837</v>
      </c>
      <c r="D3229" s="905" t="s">
        <v>11840</v>
      </c>
    </row>
    <row r="3230" spans="1:4" ht="33">
      <c r="A3230" s="657" t="s">
        <v>8747</v>
      </c>
      <c r="B3230" t="s">
        <v>11819</v>
      </c>
      <c r="C3230" s="900" t="s">
        <v>11837</v>
      </c>
      <c r="D3230" s="905" t="s">
        <v>11840</v>
      </c>
    </row>
    <row r="3231" spans="1:4" ht="33">
      <c r="A3231" s="657" t="s">
        <v>1393</v>
      </c>
      <c r="B3231" t="s">
        <v>11819</v>
      </c>
      <c r="C3231" s="900" t="s">
        <v>11837</v>
      </c>
      <c r="D3231" s="905" t="s">
        <v>11840</v>
      </c>
    </row>
    <row r="3232" spans="1:4" ht="33">
      <c r="A3232" s="657" t="s">
        <v>8749</v>
      </c>
      <c r="B3232" t="s">
        <v>11819</v>
      </c>
      <c r="C3232" s="900" t="s">
        <v>11837</v>
      </c>
      <c r="D3232" s="905" t="s">
        <v>11840</v>
      </c>
    </row>
    <row r="3233" spans="1:4" ht="33">
      <c r="A3233" s="657" t="s">
        <v>1395</v>
      </c>
      <c r="B3233" t="s">
        <v>11819</v>
      </c>
      <c r="C3233" s="900" t="s">
        <v>11837</v>
      </c>
      <c r="D3233" s="905" t="s">
        <v>11840</v>
      </c>
    </row>
    <row r="3234" spans="1:4" ht="33">
      <c r="A3234" s="657" t="s">
        <v>8751</v>
      </c>
      <c r="B3234" t="s">
        <v>11819</v>
      </c>
      <c r="C3234" s="900" t="s">
        <v>11837</v>
      </c>
      <c r="D3234" s="905" t="s">
        <v>11840</v>
      </c>
    </row>
    <row r="3235" spans="1:4" ht="33">
      <c r="A3235" s="657" t="s">
        <v>8753</v>
      </c>
      <c r="B3235" t="s">
        <v>11819</v>
      </c>
      <c r="C3235" s="900" t="s">
        <v>11837</v>
      </c>
      <c r="D3235" s="905" t="s">
        <v>11840</v>
      </c>
    </row>
    <row r="3236" spans="1:4" ht="33">
      <c r="A3236" s="657" t="s">
        <v>8755</v>
      </c>
      <c r="B3236" t="s">
        <v>11819</v>
      </c>
      <c r="C3236" s="900" t="s">
        <v>11837</v>
      </c>
      <c r="D3236" s="905" t="s">
        <v>11840</v>
      </c>
    </row>
    <row r="3237" spans="1:4" ht="33">
      <c r="A3237" s="657" t="s">
        <v>1397</v>
      </c>
      <c r="B3237" t="s">
        <v>11819</v>
      </c>
      <c r="C3237" s="900" t="s">
        <v>11837</v>
      </c>
      <c r="D3237" s="905" t="s">
        <v>11840</v>
      </c>
    </row>
    <row r="3238" spans="1:4" ht="33">
      <c r="A3238" s="657" t="s">
        <v>8757</v>
      </c>
      <c r="B3238" t="s">
        <v>11819</v>
      </c>
      <c r="C3238" s="900" t="s">
        <v>11837</v>
      </c>
      <c r="D3238" s="905" t="s">
        <v>11840</v>
      </c>
    </row>
    <row r="3239" spans="1:4" ht="33">
      <c r="A3239" s="657" t="s">
        <v>8759</v>
      </c>
      <c r="B3239" t="s">
        <v>11819</v>
      </c>
      <c r="C3239" s="900" t="s">
        <v>11837</v>
      </c>
      <c r="D3239" s="905" t="s">
        <v>11840</v>
      </c>
    </row>
    <row r="3240" spans="1:4" ht="33">
      <c r="A3240" s="657" t="s">
        <v>1399</v>
      </c>
      <c r="B3240" t="s">
        <v>11819</v>
      </c>
      <c r="C3240" s="900" t="s">
        <v>11837</v>
      </c>
      <c r="D3240" s="905" t="s">
        <v>11840</v>
      </c>
    </row>
    <row r="3241" spans="1:4" ht="33">
      <c r="A3241" s="657" t="s">
        <v>8761</v>
      </c>
      <c r="B3241" t="s">
        <v>11819</v>
      </c>
      <c r="C3241" s="900" t="s">
        <v>11837</v>
      </c>
      <c r="D3241" s="905" t="s">
        <v>11840</v>
      </c>
    </row>
    <row r="3242" spans="1:4" ht="33">
      <c r="A3242" s="657" t="s">
        <v>1401</v>
      </c>
      <c r="B3242" t="s">
        <v>11819</v>
      </c>
      <c r="C3242" s="900" t="s">
        <v>11837</v>
      </c>
      <c r="D3242" s="905" t="s">
        <v>11840</v>
      </c>
    </row>
    <row r="3243" spans="1:4" ht="33">
      <c r="A3243" s="657" t="s">
        <v>1403</v>
      </c>
      <c r="B3243" t="s">
        <v>11819</v>
      </c>
      <c r="C3243" s="900" t="s">
        <v>11837</v>
      </c>
      <c r="D3243" s="905" t="s">
        <v>11840</v>
      </c>
    </row>
    <row r="3244" spans="1:4" ht="33">
      <c r="A3244" s="657" t="s">
        <v>8763</v>
      </c>
      <c r="B3244" t="s">
        <v>11819</v>
      </c>
      <c r="C3244" s="900" t="s">
        <v>11837</v>
      </c>
      <c r="D3244" s="905" t="s">
        <v>11840</v>
      </c>
    </row>
    <row r="3245" spans="1:4" ht="33">
      <c r="A3245" s="657" t="s">
        <v>8765</v>
      </c>
      <c r="B3245" t="s">
        <v>11819</v>
      </c>
      <c r="C3245" s="900" t="s">
        <v>11837</v>
      </c>
      <c r="D3245" s="905" t="s">
        <v>11840</v>
      </c>
    </row>
    <row r="3246" spans="1:4" ht="33">
      <c r="A3246" s="657" t="s">
        <v>8767</v>
      </c>
      <c r="B3246" t="s">
        <v>11819</v>
      </c>
      <c r="C3246" s="900" t="s">
        <v>11837</v>
      </c>
      <c r="D3246" s="905" t="s">
        <v>11840</v>
      </c>
    </row>
    <row r="3247" spans="1:4" ht="33">
      <c r="A3247" s="657" t="s">
        <v>8769</v>
      </c>
      <c r="B3247" t="s">
        <v>11819</v>
      </c>
      <c r="C3247" s="900" t="s">
        <v>11837</v>
      </c>
      <c r="D3247" s="905" t="s">
        <v>11840</v>
      </c>
    </row>
    <row r="3248" spans="1:4" ht="33">
      <c r="A3248" s="657" t="s">
        <v>8771</v>
      </c>
      <c r="B3248" t="s">
        <v>11819</v>
      </c>
      <c r="C3248" s="900" t="s">
        <v>11837</v>
      </c>
      <c r="D3248" s="905" t="s">
        <v>11840</v>
      </c>
    </row>
    <row r="3249" spans="1:4" ht="33">
      <c r="A3249" s="657" t="s">
        <v>8773</v>
      </c>
      <c r="B3249" t="s">
        <v>11819</v>
      </c>
      <c r="C3249" s="900" t="s">
        <v>11837</v>
      </c>
      <c r="D3249" s="905" t="s">
        <v>11840</v>
      </c>
    </row>
    <row r="3250" spans="1:4" ht="33">
      <c r="A3250" s="657" t="s">
        <v>8775</v>
      </c>
      <c r="B3250" t="s">
        <v>11819</v>
      </c>
      <c r="C3250" s="900" t="s">
        <v>11837</v>
      </c>
      <c r="D3250" s="905" t="s">
        <v>11840</v>
      </c>
    </row>
    <row r="3251" spans="1:4" ht="33">
      <c r="A3251" s="657" t="s">
        <v>8777</v>
      </c>
      <c r="B3251" t="s">
        <v>11819</v>
      </c>
      <c r="C3251" s="900" t="s">
        <v>11837</v>
      </c>
      <c r="D3251" s="905" t="s">
        <v>11840</v>
      </c>
    </row>
    <row r="3252" spans="1:4" ht="33">
      <c r="A3252" s="657" t="s">
        <v>8779</v>
      </c>
      <c r="B3252" t="s">
        <v>11819</v>
      </c>
      <c r="C3252" s="900" t="s">
        <v>11837</v>
      </c>
      <c r="D3252" s="905" t="s">
        <v>11840</v>
      </c>
    </row>
    <row r="3253" spans="1:4" ht="33">
      <c r="A3253" s="657" t="s">
        <v>8781</v>
      </c>
      <c r="B3253" t="s">
        <v>11819</v>
      </c>
      <c r="C3253" s="900" t="s">
        <v>11837</v>
      </c>
      <c r="D3253" s="905" t="s">
        <v>11840</v>
      </c>
    </row>
    <row r="3254" spans="1:4" ht="33">
      <c r="A3254" s="657" t="s">
        <v>8783</v>
      </c>
      <c r="B3254" t="s">
        <v>11819</v>
      </c>
      <c r="C3254" s="900" t="s">
        <v>11837</v>
      </c>
      <c r="D3254" s="905" t="s">
        <v>11840</v>
      </c>
    </row>
    <row r="3255" spans="1:4" ht="33">
      <c r="A3255" s="657" t="s">
        <v>8785</v>
      </c>
      <c r="B3255" t="s">
        <v>11819</v>
      </c>
      <c r="C3255" s="900" t="s">
        <v>11837</v>
      </c>
      <c r="D3255" s="905" t="s">
        <v>11840</v>
      </c>
    </row>
    <row r="3256" spans="1:4" ht="33">
      <c r="A3256" s="657" t="s">
        <v>8787</v>
      </c>
      <c r="B3256" t="s">
        <v>11819</v>
      </c>
      <c r="C3256" s="900" t="s">
        <v>11837</v>
      </c>
      <c r="D3256" s="905" t="s">
        <v>11840</v>
      </c>
    </row>
    <row r="3257" spans="1:4" ht="33">
      <c r="A3257" s="657" t="s">
        <v>8789</v>
      </c>
      <c r="B3257" t="s">
        <v>11819</v>
      </c>
      <c r="C3257" s="900" t="s">
        <v>11837</v>
      </c>
      <c r="D3257" s="905" t="s">
        <v>11840</v>
      </c>
    </row>
    <row r="3258" spans="1:4" ht="33">
      <c r="A3258" s="657" t="s">
        <v>8791</v>
      </c>
      <c r="B3258" t="s">
        <v>11819</v>
      </c>
      <c r="C3258" s="900" t="s">
        <v>11837</v>
      </c>
      <c r="D3258" s="905" t="s">
        <v>11840</v>
      </c>
    </row>
    <row r="3259" spans="1:4" ht="33">
      <c r="A3259" s="657" t="s">
        <v>8793</v>
      </c>
      <c r="B3259" t="s">
        <v>11819</v>
      </c>
      <c r="C3259" s="900" t="s">
        <v>11837</v>
      </c>
      <c r="D3259" s="905" t="s">
        <v>11840</v>
      </c>
    </row>
    <row r="3260" spans="1:4" ht="33">
      <c r="A3260" s="657" t="s">
        <v>8795</v>
      </c>
      <c r="B3260" t="s">
        <v>11819</v>
      </c>
      <c r="C3260" s="900" t="s">
        <v>11837</v>
      </c>
      <c r="D3260" s="905" t="s">
        <v>11840</v>
      </c>
    </row>
    <row r="3261" spans="1:4" ht="33">
      <c r="A3261" s="657" t="s">
        <v>8797</v>
      </c>
      <c r="B3261" t="s">
        <v>11819</v>
      </c>
      <c r="C3261" s="900" t="s">
        <v>11837</v>
      </c>
      <c r="D3261" s="905" t="s">
        <v>11840</v>
      </c>
    </row>
    <row r="3262" spans="1:4" ht="33">
      <c r="A3262" s="657" t="s">
        <v>8799</v>
      </c>
      <c r="B3262" t="s">
        <v>11819</v>
      </c>
      <c r="C3262" s="900" t="s">
        <v>11837</v>
      </c>
      <c r="D3262" s="905" t="s">
        <v>11840</v>
      </c>
    </row>
    <row r="3263" spans="1:4" ht="33">
      <c r="A3263" s="657" t="s">
        <v>8801</v>
      </c>
      <c r="B3263" t="s">
        <v>11819</v>
      </c>
      <c r="C3263" s="900" t="s">
        <v>11837</v>
      </c>
      <c r="D3263" s="905" t="s">
        <v>11840</v>
      </c>
    </row>
    <row r="3264" spans="1:4" ht="33">
      <c r="A3264" s="657" t="s">
        <v>8803</v>
      </c>
      <c r="B3264" t="s">
        <v>11819</v>
      </c>
      <c r="C3264" s="900" t="s">
        <v>11837</v>
      </c>
      <c r="D3264" s="905" t="s">
        <v>11840</v>
      </c>
    </row>
    <row r="3265" spans="1:4" ht="33">
      <c r="A3265" s="657" t="s">
        <v>8805</v>
      </c>
      <c r="B3265" t="s">
        <v>11819</v>
      </c>
      <c r="C3265" s="900" t="s">
        <v>11837</v>
      </c>
      <c r="D3265" s="905" t="s">
        <v>11840</v>
      </c>
    </row>
    <row r="3266" spans="1:4" ht="33">
      <c r="A3266" s="657" t="s">
        <v>8807</v>
      </c>
      <c r="B3266" t="s">
        <v>11819</v>
      </c>
      <c r="C3266" s="900" t="s">
        <v>11837</v>
      </c>
      <c r="D3266" s="905" t="s">
        <v>11840</v>
      </c>
    </row>
    <row r="3267" spans="1:4" ht="33">
      <c r="A3267" s="657" t="s">
        <v>8809</v>
      </c>
      <c r="B3267" t="s">
        <v>11819</v>
      </c>
      <c r="C3267" s="900" t="s">
        <v>11837</v>
      </c>
      <c r="D3267" s="905" t="s">
        <v>11840</v>
      </c>
    </row>
    <row r="3268" spans="1:4" ht="33">
      <c r="A3268" s="657" t="s">
        <v>1405</v>
      </c>
      <c r="B3268" t="s">
        <v>11819</v>
      </c>
      <c r="C3268" s="900" t="s">
        <v>11837</v>
      </c>
      <c r="D3268" s="905" t="s">
        <v>11840</v>
      </c>
    </row>
    <row r="3269" spans="1:4" ht="33">
      <c r="A3269" s="657" t="s">
        <v>8811</v>
      </c>
      <c r="B3269" t="s">
        <v>11819</v>
      </c>
      <c r="C3269" s="900" t="s">
        <v>11837</v>
      </c>
      <c r="D3269" s="905" t="s">
        <v>11840</v>
      </c>
    </row>
    <row r="3270" spans="1:4" ht="33">
      <c r="A3270" s="657" t="s">
        <v>8813</v>
      </c>
      <c r="B3270" t="s">
        <v>11819</v>
      </c>
      <c r="C3270" s="900" t="s">
        <v>11837</v>
      </c>
      <c r="D3270" s="905" t="s">
        <v>11840</v>
      </c>
    </row>
    <row r="3271" spans="1:4" ht="33">
      <c r="A3271" s="657" t="s">
        <v>8815</v>
      </c>
      <c r="B3271" t="s">
        <v>11819</v>
      </c>
      <c r="C3271" s="900" t="s">
        <v>11837</v>
      </c>
      <c r="D3271" s="905" t="s">
        <v>11840</v>
      </c>
    </row>
    <row r="3272" spans="1:4" ht="33">
      <c r="A3272" s="657" t="s">
        <v>8817</v>
      </c>
      <c r="B3272" t="s">
        <v>11819</v>
      </c>
      <c r="C3272" s="900" t="s">
        <v>11837</v>
      </c>
      <c r="D3272" s="905" t="s">
        <v>11840</v>
      </c>
    </row>
    <row r="3273" spans="1:4" ht="33">
      <c r="A3273" s="657" t="s">
        <v>8819</v>
      </c>
      <c r="B3273" t="s">
        <v>11819</v>
      </c>
      <c r="C3273" s="900" t="s">
        <v>11837</v>
      </c>
      <c r="D3273" s="905" t="s">
        <v>11840</v>
      </c>
    </row>
    <row r="3274" spans="1:4" ht="33">
      <c r="A3274" s="657" t="s">
        <v>8821</v>
      </c>
      <c r="B3274" t="s">
        <v>11819</v>
      </c>
      <c r="C3274" s="900" t="s">
        <v>11837</v>
      </c>
      <c r="D3274" s="905" t="s">
        <v>11840</v>
      </c>
    </row>
    <row r="3275" spans="1:4" ht="33">
      <c r="A3275" s="657" t="s">
        <v>8823</v>
      </c>
      <c r="B3275" t="s">
        <v>11819</v>
      </c>
      <c r="C3275" s="900" t="s">
        <v>11837</v>
      </c>
      <c r="D3275" s="905" t="s">
        <v>11840</v>
      </c>
    </row>
    <row r="3276" spans="1:4" ht="33">
      <c r="A3276" s="657" t="s">
        <v>8825</v>
      </c>
      <c r="B3276" t="s">
        <v>11819</v>
      </c>
      <c r="C3276" s="900" t="s">
        <v>11837</v>
      </c>
      <c r="D3276" s="905" t="s">
        <v>11840</v>
      </c>
    </row>
    <row r="3277" spans="1:4" ht="33">
      <c r="A3277" s="657" t="s">
        <v>8827</v>
      </c>
      <c r="B3277" t="s">
        <v>11819</v>
      </c>
      <c r="C3277" s="900" t="s">
        <v>11837</v>
      </c>
      <c r="D3277" s="905" t="s">
        <v>11840</v>
      </c>
    </row>
    <row r="3278" spans="1:4" ht="33">
      <c r="A3278" s="657" t="s">
        <v>8829</v>
      </c>
      <c r="B3278" t="s">
        <v>11819</v>
      </c>
      <c r="C3278" s="900" t="s">
        <v>11837</v>
      </c>
      <c r="D3278" s="905" t="s">
        <v>11840</v>
      </c>
    </row>
    <row r="3279" spans="1:4" ht="33">
      <c r="A3279" s="657" t="s">
        <v>8831</v>
      </c>
      <c r="B3279" t="s">
        <v>11819</v>
      </c>
      <c r="C3279" s="900" t="s">
        <v>11837</v>
      </c>
      <c r="D3279" s="905" t="s">
        <v>11840</v>
      </c>
    </row>
    <row r="3280" spans="1:4" ht="33">
      <c r="A3280" s="657" t="s">
        <v>8833</v>
      </c>
      <c r="B3280" t="s">
        <v>11819</v>
      </c>
      <c r="C3280" s="900" t="s">
        <v>11837</v>
      </c>
      <c r="D3280" s="905" t="s">
        <v>11840</v>
      </c>
    </row>
    <row r="3281" spans="1:4" ht="33">
      <c r="A3281" s="657" t="s">
        <v>8835</v>
      </c>
      <c r="B3281" t="s">
        <v>11819</v>
      </c>
      <c r="C3281" s="900" t="s">
        <v>11837</v>
      </c>
      <c r="D3281" s="905" t="s">
        <v>11840</v>
      </c>
    </row>
    <row r="3282" spans="1:4" ht="33">
      <c r="A3282" s="657" t="s">
        <v>8837</v>
      </c>
      <c r="B3282" t="s">
        <v>11819</v>
      </c>
      <c r="C3282" s="900" t="s">
        <v>11837</v>
      </c>
      <c r="D3282" s="905" t="s">
        <v>11840</v>
      </c>
    </row>
    <row r="3283" spans="1:4" ht="33">
      <c r="A3283" s="657" t="s">
        <v>8839</v>
      </c>
      <c r="B3283" t="s">
        <v>11819</v>
      </c>
      <c r="C3283" s="900" t="s">
        <v>11837</v>
      </c>
      <c r="D3283" s="905" t="s">
        <v>11840</v>
      </c>
    </row>
    <row r="3284" spans="1:4" ht="33">
      <c r="A3284" s="657" t="s">
        <v>8841</v>
      </c>
      <c r="B3284" t="s">
        <v>11819</v>
      </c>
      <c r="C3284" s="900" t="s">
        <v>11837</v>
      </c>
      <c r="D3284" s="905" t="s">
        <v>11840</v>
      </c>
    </row>
    <row r="3285" spans="1:4" ht="33">
      <c r="A3285" s="657" t="s">
        <v>8843</v>
      </c>
      <c r="B3285" t="s">
        <v>11819</v>
      </c>
      <c r="C3285" s="900" t="s">
        <v>11837</v>
      </c>
      <c r="D3285" s="905" t="s">
        <v>11840</v>
      </c>
    </row>
    <row r="3286" spans="1:4" ht="33">
      <c r="A3286" s="657" t="s">
        <v>1407</v>
      </c>
      <c r="B3286" t="s">
        <v>11819</v>
      </c>
      <c r="C3286" s="900" t="s">
        <v>11837</v>
      </c>
      <c r="D3286" s="905" t="s">
        <v>11840</v>
      </c>
    </row>
    <row r="3287" spans="1:4" ht="33">
      <c r="A3287" s="657" t="s">
        <v>8845</v>
      </c>
      <c r="B3287" t="s">
        <v>11819</v>
      </c>
      <c r="C3287" s="900" t="s">
        <v>11837</v>
      </c>
      <c r="D3287" s="905" t="s">
        <v>11840</v>
      </c>
    </row>
    <row r="3288" spans="1:4" ht="33">
      <c r="A3288" s="657" t="s">
        <v>8847</v>
      </c>
      <c r="B3288" t="s">
        <v>11819</v>
      </c>
      <c r="C3288" s="900" t="s">
        <v>11837</v>
      </c>
      <c r="D3288" s="905" t="s">
        <v>11840</v>
      </c>
    </row>
    <row r="3289" spans="1:4" ht="33">
      <c r="A3289" s="657" t="s">
        <v>8849</v>
      </c>
      <c r="B3289" t="s">
        <v>11819</v>
      </c>
      <c r="C3289" s="900" t="s">
        <v>11837</v>
      </c>
      <c r="D3289" s="905" t="s">
        <v>11840</v>
      </c>
    </row>
    <row r="3290" spans="1:4" ht="33">
      <c r="A3290" s="657" t="s">
        <v>8851</v>
      </c>
      <c r="B3290" t="s">
        <v>11819</v>
      </c>
      <c r="C3290" s="900" t="s">
        <v>11837</v>
      </c>
      <c r="D3290" s="905" t="s">
        <v>11840</v>
      </c>
    </row>
    <row r="3291" spans="1:4" ht="33">
      <c r="A3291" s="657" t="s">
        <v>1410</v>
      </c>
      <c r="B3291" t="s">
        <v>11819</v>
      </c>
      <c r="C3291" s="900" t="s">
        <v>11837</v>
      </c>
      <c r="D3291" s="905" t="s">
        <v>11840</v>
      </c>
    </row>
    <row r="3292" spans="1:4" ht="33">
      <c r="A3292" s="657" t="s">
        <v>8853</v>
      </c>
      <c r="B3292" t="s">
        <v>11819</v>
      </c>
      <c r="C3292" s="900" t="s">
        <v>11837</v>
      </c>
      <c r="D3292" s="905" t="s">
        <v>11840</v>
      </c>
    </row>
    <row r="3293" spans="1:4" ht="33">
      <c r="A3293" s="657" t="s">
        <v>8855</v>
      </c>
      <c r="B3293" t="s">
        <v>11819</v>
      </c>
      <c r="C3293" s="900" t="s">
        <v>11837</v>
      </c>
      <c r="D3293" s="905" t="s">
        <v>11840</v>
      </c>
    </row>
    <row r="3294" spans="1:4" ht="33">
      <c r="A3294" s="657" t="s">
        <v>8857</v>
      </c>
      <c r="B3294" t="s">
        <v>11819</v>
      </c>
      <c r="C3294" s="900" t="s">
        <v>11837</v>
      </c>
      <c r="D3294" s="905" t="s">
        <v>11840</v>
      </c>
    </row>
    <row r="3295" spans="1:4" ht="33">
      <c r="A3295" s="657" t="s">
        <v>8859</v>
      </c>
      <c r="B3295" t="s">
        <v>11819</v>
      </c>
      <c r="C3295" s="900" t="s">
        <v>11837</v>
      </c>
      <c r="D3295" s="905" t="s">
        <v>11840</v>
      </c>
    </row>
    <row r="3296" spans="1:4" ht="33">
      <c r="A3296" s="657" t="s">
        <v>8861</v>
      </c>
      <c r="B3296" t="s">
        <v>11819</v>
      </c>
      <c r="C3296" s="900" t="s">
        <v>11837</v>
      </c>
      <c r="D3296" s="905" t="s">
        <v>11840</v>
      </c>
    </row>
    <row r="3297" spans="1:4" ht="33">
      <c r="A3297" s="657" t="s">
        <v>8863</v>
      </c>
      <c r="B3297" t="s">
        <v>11819</v>
      </c>
      <c r="C3297" s="900" t="s">
        <v>11837</v>
      </c>
      <c r="D3297" s="905" t="s">
        <v>11840</v>
      </c>
    </row>
    <row r="3298" spans="1:4" ht="33">
      <c r="A3298" s="657" t="s">
        <v>8865</v>
      </c>
      <c r="B3298" t="s">
        <v>11819</v>
      </c>
      <c r="C3298" s="900" t="s">
        <v>11837</v>
      </c>
      <c r="D3298" s="905" t="s">
        <v>11840</v>
      </c>
    </row>
    <row r="3299" spans="1:4" ht="33">
      <c r="A3299" s="657" t="s">
        <v>8867</v>
      </c>
      <c r="B3299" t="s">
        <v>11819</v>
      </c>
      <c r="C3299" s="900" t="s">
        <v>11837</v>
      </c>
      <c r="D3299" s="905" t="s">
        <v>11840</v>
      </c>
    </row>
    <row r="3300" spans="1:4" ht="33">
      <c r="A3300" s="657" t="s">
        <v>8869</v>
      </c>
      <c r="B3300" t="s">
        <v>11819</v>
      </c>
      <c r="C3300" s="900" t="s">
        <v>11837</v>
      </c>
      <c r="D3300" s="905" t="s">
        <v>11840</v>
      </c>
    </row>
    <row r="3301" spans="1:4" ht="33">
      <c r="A3301" s="657" t="s">
        <v>8871</v>
      </c>
      <c r="B3301" t="s">
        <v>11819</v>
      </c>
      <c r="C3301" s="900" t="s">
        <v>11837</v>
      </c>
      <c r="D3301" s="905" t="s">
        <v>11840</v>
      </c>
    </row>
    <row r="3302" spans="1:4" ht="33">
      <c r="A3302" s="657" t="s">
        <v>8873</v>
      </c>
      <c r="B3302" t="s">
        <v>11819</v>
      </c>
      <c r="C3302" s="900" t="s">
        <v>11837</v>
      </c>
      <c r="D3302" s="905" t="s">
        <v>11840</v>
      </c>
    </row>
    <row r="3303" spans="1:4" ht="33">
      <c r="A3303" s="657" t="s">
        <v>8875</v>
      </c>
      <c r="B3303" t="s">
        <v>11819</v>
      </c>
      <c r="C3303" s="900" t="s">
        <v>11837</v>
      </c>
      <c r="D3303" s="905" t="s">
        <v>11840</v>
      </c>
    </row>
    <row r="3304" spans="1:4" ht="33">
      <c r="A3304" s="657" t="s">
        <v>8877</v>
      </c>
      <c r="B3304" t="s">
        <v>11819</v>
      </c>
      <c r="C3304" s="900" t="s">
        <v>11837</v>
      </c>
      <c r="D3304" s="905" t="s">
        <v>11840</v>
      </c>
    </row>
    <row r="3305" spans="1:4" ht="33">
      <c r="A3305" s="657" t="s">
        <v>8879</v>
      </c>
      <c r="B3305" t="s">
        <v>11819</v>
      </c>
      <c r="C3305" s="900" t="s">
        <v>11837</v>
      </c>
      <c r="D3305" s="905" t="s">
        <v>11840</v>
      </c>
    </row>
    <row r="3306" spans="1:4" ht="33">
      <c r="A3306" s="657" t="s">
        <v>8881</v>
      </c>
      <c r="B3306" t="s">
        <v>11819</v>
      </c>
      <c r="C3306" s="900" t="s">
        <v>11837</v>
      </c>
      <c r="D3306" s="905" t="s">
        <v>11840</v>
      </c>
    </row>
    <row r="3307" spans="1:4" ht="33">
      <c r="A3307" s="657" t="s">
        <v>8883</v>
      </c>
      <c r="B3307" t="s">
        <v>11819</v>
      </c>
      <c r="C3307" s="900" t="s">
        <v>11837</v>
      </c>
      <c r="D3307" s="905" t="s">
        <v>11840</v>
      </c>
    </row>
    <row r="3308" spans="1:4" ht="33">
      <c r="A3308" s="657" t="s">
        <v>1412</v>
      </c>
      <c r="B3308" t="s">
        <v>11819</v>
      </c>
      <c r="C3308" s="900" t="s">
        <v>11837</v>
      </c>
      <c r="D3308" s="905" t="s">
        <v>11840</v>
      </c>
    </row>
    <row r="3309" spans="1:4" ht="33">
      <c r="A3309" s="657" t="s">
        <v>1414</v>
      </c>
      <c r="B3309" t="s">
        <v>11819</v>
      </c>
      <c r="C3309" s="900" t="s">
        <v>11837</v>
      </c>
      <c r="D3309" s="905" t="s">
        <v>11840</v>
      </c>
    </row>
    <row r="3310" spans="1:4" ht="33">
      <c r="A3310" s="657" t="s">
        <v>8885</v>
      </c>
      <c r="B3310" t="s">
        <v>11819</v>
      </c>
      <c r="C3310" s="900" t="s">
        <v>11837</v>
      </c>
      <c r="D3310" s="905" t="s">
        <v>11840</v>
      </c>
    </row>
    <row r="3311" spans="1:4" ht="33">
      <c r="A3311" s="657" t="s">
        <v>8887</v>
      </c>
      <c r="B3311" t="s">
        <v>11819</v>
      </c>
      <c r="C3311" s="900" t="s">
        <v>11837</v>
      </c>
      <c r="D3311" s="905" t="s">
        <v>11840</v>
      </c>
    </row>
    <row r="3312" spans="1:4" ht="33">
      <c r="A3312" s="657" t="s">
        <v>8889</v>
      </c>
      <c r="B3312" t="s">
        <v>11819</v>
      </c>
      <c r="C3312" s="900" t="s">
        <v>11837</v>
      </c>
      <c r="D3312" s="905" t="s">
        <v>11840</v>
      </c>
    </row>
    <row r="3313" spans="1:4" ht="33">
      <c r="A3313" s="657" t="s">
        <v>8891</v>
      </c>
      <c r="B3313" t="s">
        <v>11819</v>
      </c>
      <c r="C3313" s="900" t="s">
        <v>11837</v>
      </c>
      <c r="D3313" s="905" t="s">
        <v>11840</v>
      </c>
    </row>
    <row r="3314" spans="1:4" ht="33">
      <c r="A3314" s="657" t="s">
        <v>8893</v>
      </c>
      <c r="B3314" t="s">
        <v>11819</v>
      </c>
      <c r="C3314" s="900" t="s">
        <v>11837</v>
      </c>
      <c r="D3314" s="905" t="s">
        <v>11840</v>
      </c>
    </row>
    <row r="3315" spans="1:4" ht="33">
      <c r="A3315" s="657" t="s">
        <v>8895</v>
      </c>
      <c r="B3315" t="s">
        <v>11819</v>
      </c>
      <c r="C3315" s="900" t="s">
        <v>11837</v>
      </c>
      <c r="D3315" s="905" t="s">
        <v>11840</v>
      </c>
    </row>
    <row r="3316" spans="1:4" ht="33">
      <c r="A3316" s="657" t="s">
        <v>8897</v>
      </c>
      <c r="B3316" t="s">
        <v>11819</v>
      </c>
      <c r="C3316" s="900" t="s">
        <v>11837</v>
      </c>
      <c r="D3316" s="905" t="s">
        <v>11840</v>
      </c>
    </row>
    <row r="3317" spans="1:4" ht="33">
      <c r="A3317" s="657" t="s">
        <v>1287</v>
      </c>
      <c r="B3317" t="s">
        <v>11819</v>
      </c>
      <c r="C3317" s="900" t="s">
        <v>11837</v>
      </c>
      <c r="D3317" s="905" t="s">
        <v>11840</v>
      </c>
    </row>
    <row r="3318" spans="1:4" ht="33">
      <c r="A3318" s="657" t="s">
        <v>8899</v>
      </c>
      <c r="B3318" t="s">
        <v>11819</v>
      </c>
      <c r="C3318" s="900" t="s">
        <v>11837</v>
      </c>
      <c r="D3318" s="905" t="s">
        <v>11840</v>
      </c>
    </row>
    <row r="3319" spans="1:4" ht="33">
      <c r="A3319" s="657" t="s">
        <v>1289</v>
      </c>
      <c r="B3319" t="s">
        <v>11819</v>
      </c>
      <c r="C3319" s="900" t="s">
        <v>11837</v>
      </c>
      <c r="D3319" s="905" t="s">
        <v>11840</v>
      </c>
    </row>
    <row r="3320" spans="1:4" ht="33">
      <c r="A3320" s="657" t="s">
        <v>8902</v>
      </c>
      <c r="B3320" t="s">
        <v>11819</v>
      </c>
      <c r="C3320" s="900" t="s">
        <v>11837</v>
      </c>
      <c r="D3320" s="905" t="s">
        <v>11840</v>
      </c>
    </row>
    <row r="3321" spans="1:4" ht="33">
      <c r="A3321" s="657" t="s">
        <v>8904</v>
      </c>
      <c r="B3321" t="s">
        <v>11819</v>
      </c>
      <c r="C3321" s="900" t="s">
        <v>11837</v>
      </c>
      <c r="D3321" s="905" t="s">
        <v>11840</v>
      </c>
    </row>
    <row r="3322" spans="1:4" ht="33">
      <c r="A3322" s="657" t="s">
        <v>1291</v>
      </c>
      <c r="B3322" t="s">
        <v>11819</v>
      </c>
      <c r="C3322" s="900" t="s">
        <v>11837</v>
      </c>
      <c r="D3322" s="905" t="s">
        <v>11840</v>
      </c>
    </row>
    <row r="3323" spans="1:4" ht="33">
      <c r="A3323" s="657" t="s">
        <v>8907</v>
      </c>
      <c r="B3323" t="s">
        <v>11819</v>
      </c>
      <c r="C3323" s="900" t="s">
        <v>11837</v>
      </c>
      <c r="D3323" s="905" t="s">
        <v>11840</v>
      </c>
    </row>
    <row r="3324" spans="1:4" ht="33">
      <c r="A3324" s="657" t="s">
        <v>8909</v>
      </c>
      <c r="B3324" t="s">
        <v>11819</v>
      </c>
      <c r="C3324" s="900" t="s">
        <v>11837</v>
      </c>
      <c r="D3324" s="905" t="s">
        <v>11840</v>
      </c>
    </row>
    <row r="3325" spans="1:4" ht="33">
      <c r="A3325" s="657" t="s">
        <v>8911</v>
      </c>
      <c r="B3325" t="s">
        <v>11819</v>
      </c>
      <c r="C3325" s="900" t="s">
        <v>11837</v>
      </c>
      <c r="D3325" s="905" t="s">
        <v>11840</v>
      </c>
    </row>
    <row r="3326" spans="1:4" ht="33">
      <c r="A3326" s="657" t="s">
        <v>1293</v>
      </c>
      <c r="B3326" t="s">
        <v>11819</v>
      </c>
      <c r="C3326" s="900" t="s">
        <v>11837</v>
      </c>
      <c r="D3326" s="905" t="s">
        <v>11840</v>
      </c>
    </row>
    <row r="3327" spans="1:4" ht="33">
      <c r="A3327" s="657" t="s">
        <v>1295</v>
      </c>
      <c r="B3327" t="s">
        <v>11819</v>
      </c>
      <c r="C3327" s="900" t="s">
        <v>11837</v>
      </c>
      <c r="D3327" s="905" t="s">
        <v>11840</v>
      </c>
    </row>
    <row r="3328" spans="1:4" ht="33">
      <c r="A3328" s="657" t="s">
        <v>8915</v>
      </c>
      <c r="B3328" t="s">
        <v>11819</v>
      </c>
      <c r="C3328" s="900" t="s">
        <v>11837</v>
      </c>
      <c r="D3328" s="905" t="s">
        <v>11840</v>
      </c>
    </row>
    <row r="3329" spans="1:4" ht="33">
      <c r="A3329" s="657" t="s">
        <v>8917</v>
      </c>
      <c r="B3329" t="s">
        <v>11819</v>
      </c>
      <c r="C3329" s="900" t="s">
        <v>11837</v>
      </c>
      <c r="D3329" s="905" t="s">
        <v>11840</v>
      </c>
    </row>
    <row r="3330" spans="1:4" ht="33">
      <c r="A3330" s="657" t="s">
        <v>8919</v>
      </c>
      <c r="B3330" t="s">
        <v>11819</v>
      </c>
      <c r="C3330" s="900" t="s">
        <v>11837</v>
      </c>
      <c r="D3330" s="905" t="s">
        <v>11840</v>
      </c>
    </row>
    <row r="3331" spans="1:4" ht="33">
      <c r="A3331" s="657" t="s">
        <v>1298</v>
      </c>
      <c r="B3331" t="s">
        <v>11819</v>
      </c>
      <c r="C3331" s="900" t="s">
        <v>11837</v>
      </c>
      <c r="D3331" s="905" t="s">
        <v>11840</v>
      </c>
    </row>
    <row r="3332" spans="1:4" ht="33">
      <c r="A3332" s="657" t="s">
        <v>8921</v>
      </c>
      <c r="B3332" t="s">
        <v>11819</v>
      </c>
      <c r="C3332" s="900" t="s">
        <v>11837</v>
      </c>
      <c r="D3332" s="905" t="s">
        <v>11840</v>
      </c>
    </row>
    <row r="3333" spans="1:4" ht="33">
      <c r="A3333" s="657" t="s">
        <v>1300</v>
      </c>
      <c r="B3333" t="s">
        <v>11819</v>
      </c>
      <c r="C3333" s="900" t="s">
        <v>11837</v>
      </c>
      <c r="D3333" s="905" t="s">
        <v>11840</v>
      </c>
    </row>
    <row r="3334" spans="1:4" ht="33">
      <c r="A3334" s="657" t="s">
        <v>8923</v>
      </c>
      <c r="B3334" t="s">
        <v>11819</v>
      </c>
      <c r="C3334" s="900" t="s">
        <v>11837</v>
      </c>
      <c r="D3334" s="905" t="s">
        <v>11840</v>
      </c>
    </row>
    <row r="3335" spans="1:4" ht="33">
      <c r="A3335" s="657" t="s">
        <v>1302</v>
      </c>
      <c r="B3335" t="s">
        <v>11819</v>
      </c>
      <c r="C3335" s="900" t="s">
        <v>11837</v>
      </c>
      <c r="D3335" s="905" t="s">
        <v>11840</v>
      </c>
    </row>
    <row r="3336" spans="1:4" ht="33">
      <c r="A3336" s="657" t="s">
        <v>8925</v>
      </c>
      <c r="B3336" t="s">
        <v>11819</v>
      </c>
      <c r="C3336" s="900" t="s">
        <v>11837</v>
      </c>
      <c r="D3336" s="905" t="s">
        <v>11840</v>
      </c>
    </row>
    <row r="3337" spans="1:4" ht="33">
      <c r="A3337" s="657" t="s">
        <v>1304</v>
      </c>
      <c r="B3337" t="s">
        <v>11819</v>
      </c>
      <c r="C3337" s="900" t="s">
        <v>11837</v>
      </c>
      <c r="D3337" s="905" t="s">
        <v>11840</v>
      </c>
    </row>
    <row r="3338" spans="1:4" ht="33">
      <c r="A3338" s="657" t="s">
        <v>1306</v>
      </c>
      <c r="B3338" t="s">
        <v>11819</v>
      </c>
      <c r="C3338" s="900" t="s">
        <v>11837</v>
      </c>
      <c r="D3338" s="905" t="s">
        <v>11840</v>
      </c>
    </row>
    <row r="3339" spans="1:4" ht="33">
      <c r="A3339" s="657" t="s">
        <v>8928</v>
      </c>
      <c r="B3339" t="s">
        <v>11819</v>
      </c>
      <c r="C3339" s="900" t="s">
        <v>11837</v>
      </c>
      <c r="D3339" s="905" t="s">
        <v>11840</v>
      </c>
    </row>
    <row r="3340" spans="1:4" ht="33">
      <c r="A3340" s="657" t="s">
        <v>1308</v>
      </c>
      <c r="B3340" t="s">
        <v>11819</v>
      </c>
      <c r="C3340" s="900" t="s">
        <v>11837</v>
      </c>
      <c r="D3340" s="905" t="s">
        <v>11840</v>
      </c>
    </row>
    <row r="3341" spans="1:4" ht="33">
      <c r="A3341" s="657" t="s">
        <v>8931</v>
      </c>
      <c r="B3341" t="s">
        <v>11819</v>
      </c>
      <c r="C3341" s="900" t="s">
        <v>11837</v>
      </c>
      <c r="D3341" s="905" t="s">
        <v>11840</v>
      </c>
    </row>
    <row r="3342" spans="1:4" ht="33">
      <c r="A3342" s="657" t="s">
        <v>1310</v>
      </c>
      <c r="B3342" t="s">
        <v>11819</v>
      </c>
      <c r="C3342" s="900" t="s">
        <v>11837</v>
      </c>
      <c r="D3342" s="905" t="s">
        <v>11840</v>
      </c>
    </row>
    <row r="3343" spans="1:4" ht="33">
      <c r="A3343" s="657" t="s">
        <v>8933</v>
      </c>
      <c r="B3343" t="s">
        <v>11819</v>
      </c>
      <c r="C3343" s="900" t="s">
        <v>11837</v>
      </c>
      <c r="D3343" s="905" t="s">
        <v>11840</v>
      </c>
    </row>
    <row r="3344" spans="1:4" ht="33">
      <c r="A3344" s="657" t="s">
        <v>8935</v>
      </c>
      <c r="B3344" t="s">
        <v>11819</v>
      </c>
      <c r="C3344" s="900" t="s">
        <v>11837</v>
      </c>
      <c r="D3344" s="905" t="s">
        <v>11840</v>
      </c>
    </row>
    <row r="3345" spans="1:4" ht="33">
      <c r="A3345" s="657" t="s">
        <v>8937</v>
      </c>
      <c r="B3345" t="s">
        <v>11819</v>
      </c>
      <c r="C3345" s="900" t="s">
        <v>11837</v>
      </c>
      <c r="D3345" s="905" t="s">
        <v>11840</v>
      </c>
    </row>
    <row r="3346" spans="1:4" ht="33">
      <c r="A3346" s="657" t="s">
        <v>8939</v>
      </c>
      <c r="B3346" t="s">
        <v>11819</v>
      </c>
      <c r="C3346" s="900" t="s">
        <v>11837</v>
      </c>
      <c r="D3346" s="905" t="s">
        <v>11840</v>
      </c>
    </row>
    <row r="3347" spans="1:4" ht="33">
      <c r="A3347" s="657" t="s">
        <v>8941</v>
      </c>
      <c r="B3347" t="s">
        <v>11819</v>
      </c>
      <c r="C3347" s="900" t="s">
        <v>11837</v>
      </c>
      <c r="D3347" s="905" t="s">
        <v>11840</v>
      </c>
    </row>
    <row r="3348" spans="1:4" ht="33">
      <c r="A3348" s="657" t="s">
        <v>1312</v>
      </c>
      <c r="B3348" t="s">
        <v>11819</v>
      </c>
      <c r="C3348" s="900" t="s">
        <v>11837</v>
      </c>
      <c r="D3348" s="905" t="s">
        <v>11840</v>
      </c>
    </row>
    <row r="3349" spans="1:4" ht="33">
      <c r="A3349" s="657" t="s">
        <v>8944</v>
      </c>
      <c r="B3349" t="s">
        <v>11819</v>
      </c>
      <c r="C3349" s="900" t="s">
        <v>11837</v>
      </c>
      <c r="D3349" s="905" t="s">
        <v>11840</v>
      </c>
    </row>
    <row r="3350" spans="1:4" ht="33">
      <c r="A3350" s="657" t="s">
        <v>1314</v>
      </c>
      <c r="B3350" t="s">
        <v>11819</v>
      </c>
      <c r="C3350" s="900" t="s">
        <v>11837</v>
      </c>
      <c r="D3350" s="905" t="s">
        <v>11840</v>
      </c>
    </row>
    <row r="3351" spans="1:4" ht="33">
      <c r="A3351" s="657" t="s">
        <v>1316</v>
      </c>
      <c r="B3351" t="s">
        <v>11819</v>
      </c>
      <c r="C3351" s="900" t="s">
        <v>11837</v>
      </c>
      <c r="D3351" s="905" t="s">
        <v>11840</v>
      </c>
    </row>
    <row r="3352" spans="1:4" ht="33">
      <c r="A3352" s="657" t="s">
        <v>8947</v>
      </c>
      <c r="B3352" t="s">
        <v>11819</v>
      </c>
      <c r="C3352" s="900" t="s">
        <v>11837</v>
      </c>
      <c r="D3352" s="905" t="s">
        <v>11840</v>
      </c>
    </row>
    <row r="3353" spans="1:4" ht="33">
      <c r="A3353" s="657" t="s">
        <v>1318</v>
      </c>
      <c r="B3353" t="s">
        <v>11819</v>
      </c>
      <c r="C3353" s="900" t="s">
        <v>11837</v>
      </c>
      <c r="D3353" s="905" t="s">
        <v>11840</v>
      </c>
    </row>
    <row r="3354" spans="1:4" ht="33">
      <c r="A3354" s="657" t="s">
        <v>8949</v>
      </c>
      <c r="B3354" t="s">
        <v>11819</v>
      </c>
      <c r="C3354" s="900" t="s">
        <v>11837</v>
      </c>
      <c r="D3354" s="905" t="s">
        <v>11840</v>
      </c>
    </row>
    <row r="3355" spans="1:4" ht="33">
      <c r="A3355" s="657" t="s">
        <v>1320</v>
      </c>
      <c r="B3355" t="s">
        <v>11819</v>
      </c>
      <c r="C3355" s="900" t="s">
        <v>11837</v>
      </c>
      <c r="D3355" s="905" t="s">
        <v>11840</v>
      </c>
    </row>
    <row r="3356" spans="1:4" ht="33">
      <c r="A3356" s="657" t="s">
        <v>8952</v>
      </c>
      <c r="B3356" t="s">
        <v>11819</v>
      </c>
      <c r="C3356" s="900" t="s">
        <v>11837</v>
      </c>
      <c r="D3356" s="905" t="s">
        <v>11840</v>
      </c>
    </row>
    <row r="3357" spans="1:4" ht="33">
      <c r="A3357" s="657" t="s">
        <v>8954</v>
      </c>
      <c r="B3357" t="s">
        <v>11819</v>
      </c>
      <c r="C3357" s="900" t="s">
        <v>11837</v>
      </c>
      <c r="D3357" s="905" t="s">
        <v>11840</v>
      </c>
    </row>
    <row r="3358" spans="1:4" ht="33">
      <c r="A3358" s="657" t="s">
        <v>8956</v>
      </c>
      <c r="B3358" t="s">
        <v>11819</v>
      </c>
      <c r="C3358" s="900" t="s">
        <v>11837</v>
      </c>
      <c r="D3358" s="905" t="s">
        <v>11840</v>
      </c>
    </row>
    <row r="3359" spans="1:4" ht="33">
      <c r="A3359" s="657" t="s">
        <v>1322</v>
      </c>
      <c r="B3359" t="s">
        <v>11819</v>
      </c>
      <c r="C3359" s="900" t="s">
        <v>11837</v>
      </c>
      <c r="D3359" s="905" t="s">
        <v>11840</v>
      </c>
    </row>
    <row r="3360" spans="1:4" ht="33">
      <c r="A3360" s="657" t="s">
        <v>8959</v>
      </c>
      <c r="B3360" t="s">
        <v>11819</v>
      </c>
      <c r="C3360" s="900" t="s">
        <v>11837</v>
      </c>
      <c r="D3360" s="905" t="s">
        <v>11840</v>
      </c>
    </row>
    <row r="3361" spans="1:4" ht="33">
      <c r="A3361" s="657" t="s">
        <v>8961</v>
      </c>
      <c r="B3361" t="s">
        <v>11819</v>
      </c>
      <c r="C3361" s="900" t="s">
        <v>11837</v>
      </c>
      <c r="D3361" s="905" t="s">
        <v>11840</v>
      </c>
    </row>
    <row r="3362" spans="1:4" ht="33">
      <c r="A3362" s="657" t="s">
        <v>8963</v>
      </c>
      <c r="B3362" t="s">
        <v>11819</v>
      </c>
      <c r="C3362" s="900" t="s">
        <v>11837</v>
      </c>
      <c r="D3362" s="905" t="s">
        <v>11840</v>
      </c>
    </row>
    <row r="3363" spans="1:4" ht="33">
      <c r="A3363" s="657" t="s">
        <v>8965</v>
      </c>
      <c r="B3363" t="s">
        <v>11819</v>
      </c>
      <c r="C3363" s="900" t="s">
        <v>11837</v>
      </c>
      <c r="D3363" s="905" t="s">
        <v>11840</v>
      </c>
    </row>
    <row r="3364" spans="1:4" ht="33">
      <c r="A3364" s="657" t="s">
        <v>8967</v>
      </c>
      <c r="B3364" t="s">
        <v>11819</v>
      </c>
      <c r="C3364" s="900" t="s">
        <v>11837</v>
      </c>
      <c r="D3364" s="905" t="s">
        <v>11840</v>
      </c>
    </row>
    <row r="3365" spans="1:4" ht="33">
      <c r="A3365" s="657" t="s">
        <v>8969</v>
      </c>
      <c r="B3365" t="s">
        <v>11819</v>
      </c>
      <c r="C3365" s="900" t="s">
        <v>11837</v>
      </c>
      <c r="D3365" s="905" t="s">
        <v>11840</v>
      </c>
    </row>
    <row r="3366" spans="1:4" ht="33">
      <c r="A3366" s="657" t="s">
        <v>8971</v>
      </c>
      <c r="B3366" t="s">
        <v>11819</v>
      </c>
      <c r="C3366" s="900" t="s">
        <v>11837</v>
      </c>
      <c r="D3366" s="905" t="s">
        <v>11840</v>
      </c>
    </row>
    <row r="3367" spans="1:4" ht="33">
      <c r="A3367" s="657" t="s">
        <v>1324</v>
      </c>
      <c r="B3367" t="s">
        <v>11819</v>
      </c>
      <c r="C3367" s="900" t="s">
        <v>11837</v>
      </c>
      <c r="D3367" s="905" t="s">
        <v>11840</v>
      </c>
    </row>
    <row r="3368" spans="1:4" ht="33">
      <c r="A3368" s="657" t="s">
        <v>8973</v>
      </c>
      <c r="B3368" t="s">
        <v>11819</v>
      </c>
      <c r="C3368" s="900" t="s">
        <v>11837</v>
      </c>
      <c r="D3368" s="905" t="s">
        <v>11840</v>
      </c>
    </row>
    <row r="3369" spans="1:4" ht="33">
      <c r="A3369" s="657" t="s">
        <v>8975</v>
      </c>
      <c r="B3369" t="s">
        <v>11819</v>
      </c>
      <c r="C3369" s="900" t="s">
        <v>11837</v>
      </c>
      <c r="D3369" s="905" t="s">
        <v>11840</v>
      </c>
    </row>
    <row r="3370" spans="1:4" ht="33">
      <c r="A3370" s="657" t="s">
        <v>8977</v>
      </c>
      <c r="B3370" t="s">
        <v>11819</v>
      </c>
      <c r="C3370" s="900" t="s">
        <v>11837</v>
      </c>
      <c r="D3370" s="905" t="s">
        <v>11840</v>
      </c>
    </row>
    <row r="3371" spans="1:4" ht="33">
      <c r="A3371" s="657" t="s">
        <v>8979</v>
      </c>
      <c r="B3371" t="s">
        <v>11819</v>
      </c>
      <c r="C3371" s="900" t="s">
        <v>11837</v>
      </c>
      <c r="D3371" s="905" t="s">
        <v>11840</v>
      </c>
    </row>
    <row r="3372" spans="1:4" ht="33">
      <c r="A3372" s="657" t="s">
        <v>8981</v>
      </c>
      <c r="B3372" t="s">
        <v>11819</v>
      </c>
      <c r="C3372" s="900" t="s">
        <v>11837</v>
      </c>
      <c r="D3372" s="905" t="s">
        <v>11840</v>
      </c>
    </row>
    <row r="3373" spans="1:4" ht="33">
      <c r="A3373" s="657" t="s">
        <v>8983</v>
      </c>
      <c r="B3373" t="s">
        <v>11819</v>
      </c>
      <c r="C3373" s="900" t="s">
        <v>11837</v>
      </c>
      <c r="D3373" s="905" t="s">
        <v>11840</v>
      </c>
    </row>
    <row r="3374" spans="1:4" ht="33">
      <c r="A3374" s="657" t="s">
        <v>1326</v>
      </c>
      <c r="B3374" t="s">
        <v>11819</v>
      </c>
      <c r="C3374" s="900" t="s">
        <v>11837</v>
      </c>
      <c r="D3374" s="905" t="s">
        <v>11840</v>
      </c>
    </row>
    <row r="3375" spans="1:4" ht="33">
      <c r="A3375" s="657" t="s">
        <v>1328</v>
      </c>
      <c r="B3375" t="s">
        <v>11819</v>
      </c>
      <c r="C3375" s="900" t="s">
        <v>11837</v>
      </c>
      <c r="D3375" s="905" t="s">
        <v>11840</v>
      </c>
    </row>
    <row r="3376" spans="1:4" ht="33">
      <c r="A3376" s="657" t="s">
        <v>8986</v>
      </c>
      <c r="B3376" t="s">
        <v>11819</v>
      </c>
      <c r="C3376" s="900" t="s">
        <v>11837</v>
      </c>
      <c r="D3376" s="905" t="s">
        <v>11840</v>
      </c>
    </row>
    <row r="3377" spans="1:4" ht="33">
      <c r="A3377" s="657" t="s">
        <v>8988</v>
      </c>
      <c r="B3377" t="s">
        <v>11819</v>
      </c>
      <c r="C3377" s="900" t="s">
        <v>11837</v>
      </c>
      <c r="D3377" s="905" t="s">
        <v>11840</v>
      </c>
    </row>
    <row r="3378" spans="1:4" ht="33">
      <c r="A3378" s="657" t="s">
        <v>8990</v>
      </c>
      <c r="B3378" t="s">
        <v>11819</v>
      </c>
      <c r="C3378" s="900" t="s">
        <v>11837</v>
      </c>
      <c r="D3378" s="905" t="s">
        <v>11840</v>
      </c>
    </row>
    <row r="3379" spans="1:4" ht="33">
      <c r="A3379" s="657" t="s">
        <v>1330</v>
      </c>
      <c r="B3379" t="s">
        <v>11819</v>
      </c>
      <c r="C3379" s="900" t="s">
        <v>11837</v>
      </c>
      <c r="D3379" s="905" t="s">
        <v>11840</v>
      </c>
    </row>
    <row r="3380" spans="1:4" ht="33">
      <c r="A3380" s="657" t="s">
        <v>8992</v>
      </c>
      <c r="B3380" t="s">
        <v>11819</v>
      </c>
      <c r="C3380" s="900" t="s">
        <v>11837</v>
      </c>
      <c r="D3380" s="905" t="s">
        <v>11840</v>
      </c>
    </row>
    <row r="3381" spans="1:4" ht="33">
      <c r="A3381" s="657" t="s">
        <v>8994</v>
      </c>
      <c r="B3381" t="s">
        <v>11819</v>
      </c>
      <c r="C3381" s="900" t="s">
        <v>11837</v>
      </c>
      <c r="D3381" s="905" t="s">
        <v>11840</v>
      </c>
    </row>
    <row r="3382" spans="1:4" ht="33">
      <c r="A3382" s="657" t="s">
        <v>8996</v>
      </c>
      <c r="B3382" t="s">
        <v>11819</v>
      </c>
      <c r="C3382" s="900" t="s">
        <v>11837</v>
      </c>
      <c r="D3382" s="905" t="s">
        <v>11840</v>
      </c>
    </row>
    <row r="3383" spans="1:4" ht="33">
      <c r="A3383" s="657" t="s">
        <v>8998</v>
      </c>
      <c r="B3383" t="s">
        <v>11819</v>
      </c>
      <c r="C3383" s="900" t="s">
        <v>11837</v>
      </c>
      <c r="D3383" s="905" t="s">
        <v>11840</v>
      </c>
    </row>
    <row r="3384" spans="1:4" ht="33">
      <c r="A3384" s="657" t="s">
        <v>9000</v>
      </c>
      <c r="B3384" t="s">
        <v>11819</v>
      </c>
      <c r="C3384" s="900" t="s">
        <v>11837</v>
      </c>
      <c r="D3384" s="905" t="s">
        <v>11840</v>
      </c>
    </row>
    <row r="3385" spans="1:4" ht="33">
      <c r="A3385" s="657" t="s">
        <v>9002</v>
      </c>
      <c r="B3385" t="s">
        <v>11819</v>
      </c>
      <c r="C3385" s="900" t="s">
        <v>11837</v>
      </c>
      <c r="D3385" s="905" t="s">
        <v>11840</v>
      </c>
    </row>
    <row r="3386" spans="1:4" ht="33">
      <c r="A3386" s="657" t="s">
        <v>9004</v>
      </c>
      <c r="B3386" t="s">
        <v>11819</v>
      </c>
      <c r="C3386" s="900" t="s">
        <v>11837</v>
      </c>
      <c r="D3386" s="905" t="s">
        <v>11840</v>
      </c>
    </row>
    <row r="3387" spans="1:4" ht="33">
      <c r="A3387" s="657" t="s">
        <v>9006</v>
      </c>
      <c r="B3387" t="s">
        <v>11819</v>
      </c>
      <c r="C3387" s="900" t="s">
        <v>11837</v>
      </c>
      <c r="D3387" s="905" t="s">
        <v>11840</v>
      </c>
    </row>
    <row r="3388" spans="1:4" ht="33">
      <c r="A3388" s="657" t="s">
        <v>9008</v>
      </c>
      <c r="B3388" t="s">
        <v>11819</v>
      </c>
      <c r="C3388" s="900" t="s">
        <v>11837</v>
      </c>
      <c r="D3388" s="905" t="s">
        <v>11840</v>
      </c>
    </row>
    <row r="3389" spans="1:4" ht="33">
      <c r="A3389" s="657" t="s">
        <v>9010</v>
      </c>
      <c r="B3389" t="s">
        <v>11819</v>
      </c>
      <c r="C3389" s="900" t="s">
        <v>11837</v>
      </c>
      <c r="D3389" s="905" t="s">
        <v>11840</v>
      </c>
    </row>
    <row r="3390" spans="1:4" ht="33">
      <c r="A3390" s="657" t="s">
        <v>9012</v>
      </c>
      <c r="B3390" t="s">
        <v>11819</v>
      </c>
      <c r="C3390" s="900" t="s">
        <v>11837</v>
      </c>
      <c r="D3390" s="905" t="s">
        <v>11840</v>
      </c>
    </row>
    <row r="3391" spans="1:4" ht="33">
      <c r="A3391" s="657" t="s">
        <v>9014</v>
      </c>
      <c r="B3391" t="s">
        <v>11819</v>
      </c>
      <c r="C3391" s="900" t="s">
        <v>11837</v>
      </c>
      <c r="D3391" s="905" t="s">
        <v>11840</v>
      </c>
    </row>
    <row r="3392" spans="1:4" ht="33">
      <c r="A3392" s="657" t="s">
        <v>9016</v>
      </c>
      <c r="B3392" t="s">
        <v>11819</v>
      </c>
      <c r="C3392" s="900" t="s">
        <v>11837</v>
      </c>
      <c r="D3392" s="905" t="s">
        <v>11840</v>
      </c>
    </row>
    <row r="3393" spans="1:4" ht="33">
      <c r="A3393" s="657" t="s">
        <v>9018</v>
      </c>
      <c r="B3393" t="s">
        <v>11819</v>
      </c>
      <c r="C3393" s="900" t="s">
        <v>11837</v>
      </c>
      <c r="D3393" s="905" t="s">
        <v>11840</v>
      </c>
    </row>
    <row r="3394" spans="1:4" ht="33">
      <c r="A3394" s="657" t="s">
        <v>9020</v>
      </c>
      <c r="B3394" t="s">
        <v>11819</v>
      </c>
      <c r="C3394" s="900" t="s">
        <v>11837</v>
      </c>
      <c r="D3394" s="905" t="s">
        <v>11840</v>
      </c>
    </row>
    <row r="3395" spans="1:4" ht="33">
      <c r="A3395" s="657" t="s">
        <v>9022</v>
      </c>
      <c r="B3395" t="s">
        <v>11819</v>
      </c>
      <c r="C3395" s="900" t="s">
        <v>11837</v>
      </c>
      <c r="D3395" s="905" t="s">
        <v>11840</v>
      </c>
    </row>
    <row r="3396" spans="1:4" ht="33">
      <c r="A3396" s="657" t="s">
        <v>9024</v>
      </c>
      <c r="B3396" t="s">
        <v>11819</v>
      </c>
      <c r="C3396" s="900" t="s">
        <v>11837</v>
      </c>
      <c r="D3396" s="905" t="s">
        <v>11840</v>
      </c>
    </row>
    <row r="3397" spans="1:4" ht="33">
      <c r="A3397" s="657" t="s">
        <v>9026</v>
      </c>
      <c r="B3397" t="s">
        <v>11819</v>
      </c>
      <c r="C3397" s="900" t="s">
        <v>11837</v>
      </c>
      <c r="D3397" s="905" t="s">
        <v>11840</v>
      </c>
    </row>
    <row r="3398" spans="1:4" ht="33">
      <c r="A3398" s="657" t="s">
        <v>9028</v>
      </c>
      <c r="B3398" t="s">
        <v>11819</v>
      </c>
      <c r="C3398" s="900" t="s">
        <v>11837</v>
      </c>
      <c r="D3398" s="905" t="s">
        <v>11840</v>
      </c>
    </row>
    <row r="3399" spans="1:4" ht="33">
      <c r="A3399" s="657" t="s">
        <v>9030</v>
      </c>
      <c r="B3399" t="s">
        <v>11819</v>
      </c>
      <c r="C3399" s="900" t="s">
        <v>11837</v>
      </c>
      <c r="D3399" s="905" t="s">
        <v>11840</v>
      </c>
    </row>
    <row r="3400" spans="1:4" ht="33">
      <c r="A3400" s="657" t="s">
        <v>9032</v>
      </c>
      <c r="B3400" t="s">
        <v>11819</v>
      </c>
      <c r="C3400" s="900" t="s">
        <v>11837</v>
      </c>
      <c r="D3400" s="905" t="s">
        <v>11840</v>
      </c>
    </row>
    <row r="3401" spans="1:4" ht="33">
      <c r="A3401" s="657" t="s">
        <v>9034</v>
      </c>
      <c r="B3401" t="s">
        <v>11819</v>
      </c>
      <c r="C3401" s="900" t="s">
        <v>11837</v>
      </c>
      <c r="D3401" s="905" t="s">
        <v>11840</v>
      </c>
    </row>
    <row r="3402" spans="1:4" ht="33">
      <c r="A3402" s="657" t="s">
        <v>9036</v>
      </c>
      <c r="B3402" t="s">
        <v>11819</v>
      </c>
      <c r="C3402" s="900" t="s">
        <v>11837</v>
      </c>
      <c r="D3402" s="905" t="s">
        <v>11840</v>
      </c>
    </row>
    <row r="3403" spans="1:4" ht="33">
      <c r="A3403" s="657" t="s">
        <v>1332</v>
      </c>
      <c r="B3403" t="s">
        <v>11819</v>
      </c>
      <c r="C3403" s="900" t="s">
        <v>11837</v>
      </c>
      <c r="D3403" s="905" t="s">
        <v>11840</v>
      </c>
    </row>
    <row r="3404" spans="1:4" ht="33">
      <c r="A3404" s="657" t="s">
        <v>9038</v>
      </c>
      <c r="B3404" t="s">
        <v>11819</v>
      </c>
      <c r="C3404" s="900" t="s">
        <v>11837</v>
      </c>
      <c r="D3404" s="905" t="s">
        <v>11840</v>
      </c>
    </row>
    <row r="3405" spans="1:4" ht="33">
      <c r="A3405" s="657" t="s">
        <v>9040</v>
      </c>
      <c r="B3405" t="s">
        <v>11819</v>
      </c>
      <c r="C3405" s="900" t="s">
        <v>11837</v>
      </c>
      <c r="D3405" s="905" t="s">
        <v>11840</v>
      </c>
    </row>
    <row r="3406" spans="1:4" ht="33">
      <c r="A3406" s="657" t="s">
        <v>9042</v>
      </c>
      <c r="B3406" t="s">
        <v>11819</v>
      </c>
      <c r="C3406" s="900" t="s">
        <v>11837</v>
      </c>
      <c r="D3406" s="905" t="s">
        <v>11840</v>
      </c>
    </row>
    <row r="3407" spans="1:4" ht="33">
      <c r="A3407" s="657" t="s">
        <v>9044</v>
      </c>
      <c r="B3407" t="s">
        <v>11819</v>
      </c>
      <c r="C3407" s="900" t="s">
        <v>11837</v>
      </c>
      <c r="D3407" s="905" t="s">
        <v>11840</v>
      </c>
    </row>
    <row r="3408" spans="1:4" ht="33">
      <c r="A3408" s="657" t="s">
        <v>1334</v>
      </c>
      <c r="B3408" t="s">
        <v>11819</v>
      </c>
      <c r="C3408" s="900" t="s">
        <v>11837</v>
      </c>
      <c r="D3408" s="905" t="s">
        <v>11840</v>
      </c>
    </row>
    <row r="3409" spans="1:4" ht="33">
      <c r="A3409" s="657" t="s">
        <v>9046</v>
      </c>
      <c r="B3409" t="s">
        <v>11819</v>
      </c>
      <c r="C3409" s="900" t="s">
        <v>11837</v>
      </c>
      <c r="D3409" s="905" t="s">
        <v>11840</v>
      </c>
    </row>
    <row r="3410" spans="1:4" ht="33">
      <c r="A3410" s="657" t="s">
        <v>9048</v>
      </c>
      <c r="B3410" t="s">
        <v>11819</v>
      </c>
      <c r="C3410" s="900" t="s">
        <v>11837</v>
      </c>
      <c r="D3410" s="905" t="s">
        <v>11840</v>
      </c>
    </row>
    <row r="3411" spans="1:4" ht="33">
      <c r="A3411" s="657" t="s">
        <v>9050</v>
      </c>
      <c r="B3411" t="s">
        <v>11819</v>
      </c>
      <c r="C3411" s="900" t="s">
        <v>11837</v>
      </c>
      <c r="D3411" s="905" t="s">
        <v>11840</v>
      </c>
    </row>
    <row r="3412" spans="1:4" ht="33">
      <c r="A3412" s="657" t="s">
        <v>9052</v>
      </c>
      <c r="B3412" t="s">
        <v>11819</v>
      </c>
      <c r="C3412" s="900" t="s">
        <v>11837</v>
      </c>
      <c r="D3412" s="905" t="s">
        <v>11840</v>
      </c>
    </row>
    <row r="3413" spans="1:4" ht="33">
      <c r="A3413" s="657" t="s">
        <v>9054</v>
      </c>
      <c r="B3413" t="s">
        <v>11819</v>
      </c>
      <c r="C3413" s="900" t="s">
        <v>11837</v>
      </c>
      <c r="D3413" s="905" t="s">
        <v>11840</v>
      </c>
    </row>
    <row r="3414" spans="1:4" ht="33">
      <c r="A3414" s="657" t="s">
        <v>9056</v>
      </c>
      <c r="B3414" t="s">
        <v>11819</v>
      </c>
      <c r="C3414" s="900" t="s">
        <v>11837</v>
      </c>
      <c r="D3414" s="905" t="s">
        <v>11840</v>
      </c>
    </row>
    <row r="3415" spans="1:4" ht="33">
      <c r="A3415" s="657" t="s">
        <v>9058</v>
      </c>
      <c r="B3415" t="s">
        <v>11819</v>
      </c>
      <c r="C3415" s="900" t="s">
        <v>11837</v>
      </c>
      <c r="D3415" s="905" t="s">
        <v>11840</v>
      </c>
    </row>
    <row r="3416" spans="1:4" ht="33">
      <c r="A3416" s="657" t="s">
        <v>9060</v>
      </c>
      <c r="B3416" t="s">
        <v>11819</v>
      </c>
      <c r="C3416" s="900" t="s">
        <v>11837</v>
      </c>
      <c r="D3416" s="905" t="s">
        <v>11840</v>
      </c>
    </row>
    <row r="3417" spans="1:4" ht="33">
      <c r="A3417" s="657" t="s">
        <v>9062</v>
      </c>
      <c r="B3417" t="s">
        <v>11819</v>
      </c>
      <c r="C3417" s="900" t="s">
        <v>11837</v>
      </c>
      <c r="D3417" s="905" t="s">
        <v>11840</v>
      </c>
    </row>
    <row r="3418" spans="1:4" ht="33">
      <c r="A3418" s="657" t="s">
        <v>9064</v>
      </c>
      <c r="B3418" t="s">
        <v>11819</v>
      </c>
      <c r="C3418" s="900" t="s">
        <v>11837</v>
      </c>
      <c r="D3418" s="905" t="s">
        <v>11840</v>
      </c>
    </row>
    <row r="3419" spans="1:4" ht="33">
      <c r="A3419" s="657" t="s">
        <v>9066</v>
      </c>
      <c r="B3419" t="s">
        <v>11819</v>
      </c>
      <c r="C3419" s="900" t="s">
        <v>11837</v>
      </c>
      <c r="D3419" s="905" t="s">
        <v>11840</v>
      </c>
    </row>
    <row r="3420" spans="1:4" ht="33">
      <c r="A3420" s="657" t="s">
        <v>9068</v>
      </c>
      <c r="B3420" t="s">
        <v>11819</v>
      </c>
      <c r="C3420" s="900" t="s">
        <v>11837</v>
      </c>
      <c r="D3420" s="905" t="s">
        <v>11840</v>
      </c>
    </row>
    <row r="3421" spans="1:4" ht="33">
      <c r="A3421" s="657" t="s">
        <v>9070</v>
      </c>
      <c r="B3421" t="s">
        <v>11819</v>
      </c>
      <c r="C3421" s="900" t="s">
        <v>11837</v>
      </c>
      <c r="D3421" s="905" t="s">
        <v>11840</v>
      </c>
    </row>
    <row r="3422" spans="1:4" ht="33">
      <c r="A3422" s="657" t="s">
        <v>9072</v>
      </c>
      <c r="B3422" t="s">
        <v>11819</v>
      </c>
      <c r="C3422" s="900" t="s">
        <v>11837</v>
      </c>
      <c r="D3422" s="905" t="s">
        <v>11840</v>
      </c>
    </row>
    <row r="3423" spans="1:4" ht="33">
      <c r="A3423" s="657" t="s">
        <v>9074</v>
      </c>
      <c r="B3423" t="s">
        <v>11819</v>
      </c>
      <c r="C3423" s="900" t="s">
        <v>11837</v>
      </c>
      <c r="D3423" s="905" t="s">
        <v>11840</v>
      </c>
    </row>
    <row r="3424" spans="1:4" ht="33">
      <c r="A3424" s="657" t="s">
        <v>9076</v>
      </c>
      <c r="B3424" t="s">
        <v>11819</v>
      </c>
      <c r="C3424" s="900" t="s">
        <v>11837</v>
      </c>
      <c r="D3424" s="905" t="s">
        <v>11840</v>
      </c>
    </row>
    <row r="3425" spans="1:4" ht="33">
      <c r="A3425" s="657" t="s">
        <v>9078</v>
      </c>
      <c r="B3425" t="s">
        <v>11819</v>
      </c>
      <c r="C3425" s="900" t="s">
        <v>11837</v>
      </c>
      <c r="D3425" s="905" t="s">
        <v>11840</v>
      </c>
    </row>
    <row r="3426" spans="1:4" ht="33">
      <c r="A3426" s="657" t="s">
        <v>9080</v>
      </c>
      <c r="B3426" t="s">
        <v>11819</v>
      </c>
      <c r="C3426" s="900" t="s">
        <v>11837</v>
      </c>
      <c r="D3426" s="905" t="s">
        <v>11840</v>
      </c>
    </row>
    <row r="3427" spans="1:4" ht="33">
      <c r="A3427" s="657" t="s">
        <v>9082</v>
      </c>
      <c r="B3427" t="s">
        <v>11819</v>
      </c>
      <c r="C3427" s="900" t="s">
        <v>11837</v>
      </c>
      <c r="D3427" s="905" t="s">
        <v>11840</v>
      </c>
    </row>
    <row r="3428" spans="1:4" ht="33">
      <c r="A3428" s="657" t="s">
        <v>9084</v>
      </c>
      <c r="B3428" t="s">
        <v>11819</v>
      </c>
      <c r="C3428" s="900" t="s">
        <v>11837</v>
      </c>
      <c r="D3428" s="905" t="s">
        <v>11840</v>
      </c>
    </row>
    <row r="3429" spans="1:4" ht="33">
      <c r="A3429" s="657" t="s">
        <v>9086</v>
      </c>
      <c r="B3429" t="s">
        <v>11819</v>
      </c>
      <c r="C3429" s="900" t="s">
        <v>11837</v>
      </c>
      <c r="D3429" s="905" t="s">
        <v>11840</v>
      </c>
    </row>
    <row r="3430" spans="1:4" ht="33">
      <c r="A3430" s="657" t="s">
        <v>9088</v>
      </c>
      <c r="B3430" t="s">
        <v>11819</v>
      </c>
      <c r="C3430" s="900" t="s">
        <v>11837</v>
      </c>
      <c r="D3430" s="905" t="s">
        <v>11840</v>
      </c>
    </row>
    <row r="3431" spans="1:4" ht="33">
      <c r="A3431" s="657" t="s">
        <v>9090</v>
      </c>
      <c r="B3431" t="s">
        <v>11819</v>
      </c>
      <c r="C3431" s="900" t="s">
        <v>11837</v>
      </c>
      <c r="D3431" s="905" t="s">
        <v>11840</v>
      </c>
    </row>
    <row r="3432" spans="1:4" ht="33">
      <c r="A3432" s="657" t="s">
        <v>9092</v>
      </c>
      <c r="B3432" t="s">
        <v>11819</v>
      </c>
      <c r="C3432" s="900" t="s">
        <v>11837</v>
      </c>
      <c r="D3432" s="905" t="s">
        <v>11840</v>
      </c>
    </row>
    <row r="3433" spans="1:4" ht="33">
      <c r="A3433" s="657" t="s">
        <v>9094</v>
      </c>
      <c r="B3433" t="s">
        <v>11819</v>
      </c>
      <c r="C3433" s="900" t="s">
        <v>11837</v>
      </c>
      <c r="D3433" s="905" t="s">
        <v>11840</v>
      </c>
    </row>
    <row r="3434" spans="1:4" ht="33">
      <c r="A3434" s="657" t="s">
        <v>9096</v>
      </c>
      <c r="B3434" t="s">
        <v>11819</v>
      </c>
      <c r="C3434" s="900" t="s">
        <v>11837</v>
      </c>
      <c r="D3434" s="905" t="s">
        <v>11840</v>
      </c>
    </row>
    <row r="3435" spans="1:4" ht="33">
      <c r="A3435" s="657" t="s">
        <v>9098</v>
      </c>
      <c r="B3435" t="s">
        <v>11819</v>
      </c>
      <c r="C3435" s="900" t="s">
        <v>11837</v>
      </c>
      <c r="D3435" s="905" t="s">
        <v>11840</v>
      </c>
    </row>
    <row r="3436" spans="1:4" ht="33">
      <c r="A3436" s="657" t="s">
        <v>9100</v>
      </c>
      <c r="B3436" t="s">
        <v>11819</v>
      </c>
      <c r="C3436" s="900" t="s">
        <v>11837</v>
      </c>
      <c r="D3436" s="905" t="s">
        <v>11840</v>
      </c>
    </row>
    <row r="3437" spans="1:4" ht="33">
      <c r="A3437" s="657" t="s">
        <v>9102</v>
      </c>
      <c r="B3437" t="s">
        <v>11819</v>
      </c>
      <c r="C3437" s="900" t="s">
        <v>11837</v>
      </c>
      <c r="D3437" s="905" t="s">
        <v>11840</v>
      </c>
    </row>
    <row r="3438" spans="1:4" ht="33">
      <c r="A3438" s="657" t="s">
        <v>9104</v>
      </c>
      <c r="B3438" t="s">
        <v>11819</v>
      </c>
      <c r="C3438" s="900" t="s">
        <v>11837</v>
      </c>
      <c r="D3438" s="905" t="s">
        <v>11840</v>
      </c>
    </row>
    <row r="3439" spans="1:4" ht="33">
      <c r="A3439" s="657" t="s">
        <v>9106</v>
      </c>
      <c r="B3439" t="s">
        <v>11819</v>
      </c>
      <c r="C3439" s="900" t="s">
        <v>11837</v>
      </c>
      <c r="D3439" s="905" t="s">
        <v>11840</v>
      </c>
    </row>
    <row r="3440" spans="1:4" ht="33">
      <c r="A3440" s="657" t="s">
        <v>9108</v>
      </c>
      <c r="B3440" t="s">
        <v>11819</v>
      </c>
      <c r="C3440" s="900" t="s">
        <v>11837</v>
      </c>
      <c r="D3440" s="905" t="s">
        <v>11840</v>
      </c>
    </row>
    <row r="3441" spans="1:4" ht="33">
      <c r="A3441" s="657" t="s">
        <v>9110</v>
      </c>
      <c r="B3441" t="s">
        <v>11819</v>
      </c>
      <c r="C3441" s="900" t="s">
        <v>11837</v>
      </c>
      <c r="D3441" s="905" t="s">
        <v>11840</v>
      </c>
    </row>
    <row r="3442" spans="1:4" ht="33">
      <c r="A3442" s="657" t="s">
        <v>9112</v>
      </c>
      <c r="B3442" t="s">
        <v>11819</v>
      </c>
      <c r="C3442" s="900" t="s">
        <v>11837</v>
      </c>
      <c r="D3442" s="905" t="s">
        <v>11840</v>
      </c>
    </row>
    <row r="3443" spans="1:4" ht="33">
      <c r="A3443" s="657" t="s">
        <v>9114</v>
      </c>
      <c r="B3443" t="s">
        <v>11819</v>
      </c>
      <c r="C3443" s="900" t="s">
        <v>11837</v>
      </c>
      <c r="D3443" s="905" t="s">
        <v>11840</v>
      </c>
    </row>
    <row r="3444" spans="1:4" ht="33">
      <c r="A3444" s="657" t="s">
        <v>9116</v>
      </c>
      <c r="B3444" t="s">
        <v>11819</v>
      </c>
      <c r="C3444" s="900" t="s">
        <v>11837</v>
      </c>
      <c r="D3444" s="905" t="s">
        <v>11840</v>
      </c>
    </row>
    <row r="3445" spans="1:4" ht="33">
      <c r="A3445" s="657" t="s">
        <v>9118</v>
      </c>
      <c r="B3445" t="s">
        <v>11819</v>
      </c>
      <c r="C3445" s="900" t="s">
        <v>11837</v>
      </c>
      <c r="D3445" s="905" t="s">
        <v>11840</v>
      </c>
    </row>
    <row r="3446" spans="1:4" ht="33">
      <c r="A3446" s="657" t="s">
        <v>9120</v>
      </c>
      <c r="B3446" t="s">
        <v>11819</v>
      </c>
      <c r="C3446" s="900" t="s">
        <v>11837</v>
      </c>
      <c r="D3446" s="905" t="s">
        <v>11840</v>
      </c>
    </row>
    <row r="3447" spans="1:4" ht="33">
      <c r="A3447" s="657" t="s">
        <v>9122</v>
      </c>
      <c r="B3447" t="s">
        <v>11819</v>
      </c>
      <c r="C3447" s="900" t="s">
        <v>11837</v>
      </c>
      <c r="D3447" s="905" t="s">
        <v>11840</v>
      </c>
    </row>
    <row r="3448" spans="1:4" ht="33">
      <c r="A3448" s="657" t="s">
        <v>9124</v>
      </c>
      <c r="B3448" t="s">
        <v>11819</v>
      </c>
      <c r="C3448" s="900" t="s">
        <v>11837</v>
      </c>
      <c r="D3448" s="905" t="s">
        <v>11840</v>
      </c>
    </row>
    <row r="3449" spans="1:4" ht="33">
      <c r="A3449" s="657" t="s">
        <v>9126</v>
      </c>
      <c r="B3449" t="s">
        <v>11819</v>
      </c>
      <c r="C3449" s="900" t="s">
        <v>11837</v>
      </c>
      <c r="D3449" s="905" t="s">
        <v>11840</v>
      </c>
    </row>
    <row r="3450" spans="1:4" ht="33">
      <c r="A3450" s="657" t="s">
        <v>1336</v>
      </c>
      <c r="B3450" t="s">
        <v>11819</v>
      </c>
      <c r="C3450" s="900" t="s">
        <v>11837</v>
      </c>
      <c r="D3450" s="905" t="s">
        <v>11840</v>
      </c>
    </row>
    <row r="3451" spans="1:4" ht="33">
      <c r="A3451" s="657" t="s">
        <v>9129</v>
      </c>
      <c r="B3451" t="s">
        <v>11819</v>
      </c>
      <c r="C3451" s="900" t="s">
        <v>11837</v>
      </c>
      <c r="D3451" s="905" t="s">
        <v>11840</v>
      </c>
    </row>
    <row r="3452" spans="1:4" ht="33">
      <c r="A3452" s="657" t="s">
        <v>9131</v>
      </c>
      <c r="B3452" t="s">
        <v>11819</v>
      </c>
      <c r="C3452" s="900" t="s">
        <v>11837</v>
      </c>
      <c r="D3452" s="905" t="s">
        <v>11840</v>
      </c>
    </row>
    <row r="3453" spans="1:4" ht="33">
      <c r="A3453" s="657" t="s">
        <v>9133</v>
      </c>
      <c r="B3453" t="s">
        <v>11819</v>
      </c>
      <c r="C3453" s="900" t="s">
        <v>11837</v>
      </c>
      <c r="D3453" s="905" t="s">
        <v>11840</v>
      </c>
    </row>
    <row r="3454" spans="1:4" ht="33">
      <c r="A3454" s="657" t="s">
        <v>9135</v>
      </c>
      <c r="B3454" t="s">
        <v>11819</v>
      </c>
      <c r="C3454" s="900" t="s">
        <v>11837</v>
      </c>
      <c r="D3454" s="905" t="s">
        <v>11840</v>
      </c>
    </row>
    <row r="3455" spans="1:4" ht="33">
      <c r="A3455" s="657" t="s">
        <v>682</v>
      </c>
      <c r="B3455" t="s">
        <v>11819</v>
      </c>
      <c r="C3455" s="900" t="s">
        <v>11837</v>
      </c>
      <c r="D3455" s="905" t="s">
        <v>11840</v>
      </c>
    </row>
    <row r="3456" spans="1:4" ht="16.5">
      <c r="A3456" s="657" t="s">
        <v>688</v>
      </c>
      <c r="B3456" t="s">
        <v>11819</v>
      </c>
      <c r="C3456" s="900" t="s">
        <v>11837</v>
      </c>
      <c r="D3456" s="905" t="s">
        <v>11840</v>
      </c>
    </row>
    <row r="3457" spans="1:4" ht="16.5">
      <c r="A3457" s="657" t="s">
        <v>690</v>
      </c>
      <c r="B3457" t="s">
        <v>11819</v>
      </c>
      <c r="C3457" s="900" t="s">
        <v>11837</v>
      </c>
      <c r="D3457" s="905" t="s">
        <v>11840</v>
      </c>
    </row>
    <row r="3458" spans="1:4" ht="16.5">
      <c r="A3458" s="657" t="s">
        <v>692</v>
      </c>
      <c r="B3458" t="s">
        <v>11819</v>
      </c>
      <c r="C3458" s="900" t="s">
        <v>11837</v>
      </c>
      <c r="D3458" s="905" t="s">
        <v>11840</v>
      </c>
    </row>
    <row r="3459" spans="1:4" ht="16.5">
      <c r="A3459" s="657" t="s">
        <v>694</v>
      </c>
      <c r="B3459" t="s">
        <v>11819</v>
      </c>
      <c r="C3459" s="900" t="s">
        <v>11837</v>
      </c>
      <c r="D3459" s="905" t="s">
        <v>11840</v>
      </c>
    </row>
    <row r="3460" spans="1:4" ht="33">
      <c r="A3460" s="657" t="s">
        <v>696</v>
      </c>
      <c r="B3460" t="s">
        <v>11819</v>
      </c>
      <c r="C3460" s="900" t="s">
        <v>11837</v>
      </c>
      <c r="D3460" s="905" t="s">
        <v>11840</v>
      </c>
    </row>
    <row r="3461" spans="1:4" ht="33">
      <c r="A3461" s="657" t="s">
        <v>698</v>
      </c>
      <c r="B3461" t="s">
        <v>11819</v>
      </c>
      <c r="C3461" s="900" t="s">
        <v>11837</v>
      </c>
      <c r="D3461" s="905" t="s">
        <v>11840</v>
      </c>
    </row>
    <row r="3462" spans="1:4" ht="33">
      <c r="A3462" s="657" t="s">
        <v>700</v>
      </c>
      <c r="B3462" t="s">
        <v>11819</v>
      </c>
      <c r="C3462" s="900" t="s">
        <v>11837</v>
      </c>
      <c r="D3462" s="905" t="s">
        <v>11840</v>
      </c>
    </row>
    <row r="3463" spans="1:4" ht="16.5">
      <c r="A3463" s="657" t="s">
        <v>702</v>
      </c>
      <c r="B3463" t="s">
        <v>11819</v>
      </c>
      <c r="C3463" s="900" t="s">
        <v>11837</v>
      </c>
      <c r="D3463" s="905" t="s">
        <v>11840</v>
      </c>
    </row>
    <row r="3464" spans="1:4" ht="16.5">
      <c r="A3464" s="657" t="s">
        <v>704</v>
      </c>
      <c r="B3464" t="s">
        <v>11819</v>
      </c>
      <c r="C3464" s="900" t="s">
        <v>11837</v>
      </c>
      <c r="D3464" s="905" t="s">
        <v>11840</v>
      </c>
    </row>
    <row r="3465" spans="1:4" ht="33">
      <c r="A3465" s="657" t="s">
        <v>706</v>
      </c>
      <c r="B3465" t="s">
        <v>11819</v>
      </c>
      <c r="C3465" s="900" t="s">
        <v>11837</v>
      </c>
      <c r="D3465" s="905" t="s">
        <v>11840</v>
      </c>
    </row>
    <row r="3466" spans="1:4" ht="33">
      <c r="A3466" s="657" t="s">
        <v>708</v>
      </c>
      <c r="B3466" t="s">
        <v>11819</v>
      </c>
      <c r="C3466" s="900" t="s">
        <v>11837</v>
      </c>
      <c r="D3466" s="905" t="s">
        <v>11840</v>
      </c>
    </row>
    <row r="3467" spans="1:4" ht="33">
      <c r="A3467" s="657" t="s">
        <v>710</v>
      </c>
      <c r="B3467" t="s">
        <v>11819</v>
      </c>
      <c r="C3467" s="900" t="s">
        <v>11837</v>
      </c>
      <c r="D3467" s="905" t="s">
        <v>11840</v>
      </c>
    </row>
    <row r="3468" spans="1:4" ht="33">
      <c r="A3468" s="657" t="s">
        <v>712</v>
      </c>
      <c r="B3468" t="s">
        <v>11819</v>
      </c>
      <c r="C3468" s="900" t="s">
        <v>11837</v>
      </c>
      <c r="D3468" s="905" t="s">
        <v>11840</v>
      </c>
    </row>
    <row r="3469" spans="1:4" ht="16.5">
      <c r="A3469" s="657" t="s">
        <v>714</v>
      </c>
      <c r="B3469" t="s">
        <v>11819</v>
      </c>
      <c r="C3469" s="900" t="s">
        <v>11837</v>
      </c>
      <c r="D3469" s="905" t="s">
        <v>11840</v>
      </c>
    </row>
    <row r="3470" spans="1:4" ht="16.5">
      <c r="A3470" s="657" t="s">
        <v>717</v>
      </c>
      <c r="B3470" t="s">
        <v>11819</v>
      </c>
      <c r="C3470" s="900" t="s">
        <v>11837</v>
      </c>
      <c r="D3470" s="905" t="s">
        <v>11840</v>
      </c>
    </row>
    <row r="3471" spans="1:4" ht="16.5">
      <c r="A3471" s="657" t="s">
        <v>719</v>
      </c>
      <c r="B3471" t="s">
        <v>11819</v>
      </c>
      <c r="C3471" s="900" t="s">
        <v>11837</v>
      </c>
      <c r="D3471" s="905" t="s">
        <v>11840</v>
      </c>
    </row>
    <row r="3472" spans="1:4" ht="16.5">
      <c r="A3472" s="657" t="s">
        <v>721</v>
      </c>
      <c r="B3472" t="s">
        <v>11819</v>
      </c>
      <c r="C3472" s="900" t="s">
        <v>11837</v>
      </c>
      <c r="D3472" s="905" t="s">
        <v>11840</v>
      </c>
    </row>
    <row r="3473" spans="1:4" ht="16.5">
      <c r="A3473" s="657" t="s">
        <v>723</v>
      </c>
      <c r="B3473" t="s">
        <v>11819</v>
      </c>
      <c r="C3473" s="900" t="s">
        <v>11837</v>
      </c>
      <c r="D3473" s="905" t="s">
        <v>11840</v>
      </c>
    </row>
    <row r="3474" spans="1:4" ht="16.5">
      <c r="A3474" s="657" t="s">
        <v>725</v>
      </c>
      <c r="B3474" t="s">
        <v>11819</v>
      </c>
      <c r="C3474" s="900" t="s">
        <v>11837</v>
      </c>
      <c r="D3474" s="905" t="s">
        <v>11840</v>
      </c>
    </row>
    <row r="3475" spans="1:4" ht="16.5">
      <c r="A3475" s="657" t="s">
        <v>727</v>
      </c>
      <c r="B3475" t="s">
        <v>11819</v>
      </c>
      <c r="C3475" s="900" t="s">
        <v>11837</v>
      </c>
      <c r="D3475" s="905" t="s">
        <v>11840</v>
      </c>
    </row>
    <row r="3476" spans="1:4" ht="16.5">
      <c r="A3476" s="657" t="s">
        <v>729</v>
      </c>
      <c r="B3476" t="s">
        <v>11819</v>
      </c>
      <c r="C3476" s="900" t="s">
        <v>11837</v>
      </c>
      <c r="D3476" s="905" t="s">
        <v>11840</v>
      </c>
    </row>
    <row r="3477" spans="1:4" ht="16.5">
      <c r="A3477" s="657" t="s">
        <v>731</v>
      </c>
      <c r="B3477" t="s">
        <v>11819</v>
      </c>
      <c r="C3477" s="900" t="s">
        <v>11837</v>
      </c>
      <c r="D3477" s="905" t="s">
        <v>11840</v>
      </c>
    </row>
    <row r="3478" spans="1:4" ht="16.5">
      <c r="A3478" s="657" t="s">
        <v>733</v>
      </c>
      <c r="B3478" t="s">
        <v>11819</v>
      </c>
      <c r="C3478" s="900" t="s">
        <v>11837</v>
      </c>
      <c r="D3478" s="905" t="s">
        <v>11840</v>
      </c>
    </row>
    <row r="3479" spans="1:4" ht="16.5">
      <c r="A3479" s="657" t="s">
        <v>9140</v>
      </c>
      <c r="B3479" t="s">
        <v>11819</v>
      </c>
      <c r="C3479" s="900" t="s">
        <v>11837</v>
      </c>
      <c r="D3479" s="905" t="s">
        <v>11840</v>
      </c>
    </row>
    <row r="3480" spans="1:4" ht="16.5">
      <c r="A3480" s="657" t="s">
        <v>735</v>
      </c>
      <c r="B3480" t="s">
        <v>11819</v>
      </c>
      <c r="C3480" s="900" t="s">
        <v>11837</v>
      </c>
      <c r="D3480" s="905" t="s">
        <v>11840</v>
      </c>
    </row>
    <row r="3481" spans="1:4" ht="16.5">
      <c r="A3481" s="657" t="s">
        <v>9142</v>
      </c>
      <c r="B3481" t="s">
        <v>11819</v>
      </c>
      <c r="C3481" s="900" t="s">
        <v>11837</v>
      </c>
      <c r="D3481" s="905" t="s">
        <v>11840</v>
      </c>
    </row>
    <row r="3482" spans="1:4" ht="16.5">
      <c r="A3482" s="657" t="s">
        <v>737</v>
      </c>
      <c r="B3482" t="s">
        <v>11819</v>
      </c>
      <c r="C3482" s="900" t="s">
        <v>11837</v>
      </c>
      <c r="D3482" s="905" t="s">
        <v>11840</v>
      </c>
    </row>
    <row r="3483" spans="1:4" ht="16.5">
      <c r="A3483" s="657" t="s">
        <v>9144</v>
      </c>
      <c r="B3483" t="s">
        <v>11819</v>
      </c>
      <c r="C3483" s="900" t="s">
        <v>11837</v>
      </c>
      <c r="D3483" s="905" t="s">
        <v>11840</v>
      </c>
    </row>
    <row r="3484" spans="1:4" ht="16.5">
      <c r="A3484" s="657" t="s">
        <v>739</v>
      </c>
      <c r="B3484" t="s">
        <v>11819</v>
      </c>
      <c r="C3484" s="900" t="s">
        <v>11837</v>
      </c>
      <c r="D3484" s="905" t="s">
        <v>11840</v>
      </c>
    </row>
    <row r="3485" spans="1:4" ht="16.5">
      <c r="A3485" s="657" t="s">
        <v>9146</v>
      </c>
      <c r="B3485" t="s">
        <v>11819</v>
      </c>
      <c r="C3485" s="900" t="s">
        <v>11837</v>
      </c>
      <c r="D3485" s="905" t="s">
        <v>11840</v>
      </c>
    </row>
    <row r="3486" spans="1:4" ht="16.5">
      <c r="A3486" s="657" t="s">
        <v>741</v>
      </c>
      <c r="B3486" t="s">
        <v>11819</v>
      </c>
      <c r="C3486" s="900" t="s">
        <v>11837</v>
      </c>
      <c r="D3486" s="905" t="s">
        <v>11840</v>
      </c>
    </row>
    <row r="3487" spans="1:4" ht="16.5">
      <c r="A3487" s="657" t="s">
        <v>9148</v>
      </c>
      <c r="B3487" t="s">
        <v>11819</v>
      </c>
      <c r="C3487" s="900" t="s">
        <v>11837</v>
      </c>
      <c r="D3487" s="905" t="s">
        <v>11840</v>
      </c>
    </row>
    <row r="3488" spans="1:4" ht="16.5">
      <c r="A3488" s="657" t="s">
        <v>743</v>
      </c>
      <c r="B3488" t="s">
        <v>11819</v>
      </c>
      <c r="C3488" s="900" t="s">
        <v>11837</v>
      </c>
      <c r="D3488" s="905" t="s">
        <v>11840</v>
      </c>
    </row>
    <row r="3489" spans="1:4" ht="16.5">
      <c r="A3489" s="657" t="s">
        <v>9150</v>
      </c>
      <c r="B3489" t="s">
        <v>11819</v>
      </c>
      <c r="C3489" s="900" t="s">
        <v>11837</v>
      </c>
      <c r="D3489" s="905" t="s">
        <v>11840</v>
      </c>
    </row>
    <row r="3490" spans="1:4" ht="16.5">
      <c r="A3490" s="657" t="s">
        <v>745</v>
      </c>
      <c r="B3490" t="s">
        <v>11819</v>
      </c>
      <c r="C3490" s="900" t="s">
        <v>11837</v>
      </c>
      <c r="D3490" s="905" t="s">
        <v>11840</v>
      </c>
    </row>
    <row r="3491" spans="1:4" ht="16.5">
      <c r="A3491" s="657" t="s">
        <v>9152</v>
      </c>
      <c r="B3491" t="s">
        <v>11819</v>
      </c>
      <c r="C3491" s="900" t="s">
        <v>11837</v>
      </c>
      <c r="D3491" s="905" t="s">
        <v>11840</v>
      </c>
    </row>
    <row r="3492" spans="1:4" ht="16.5">
      <c r="A3492" s="657" t="s">
        <v>9154</v>
      </c>
      <c r="B3492" t="s">
        <v>11819</v>
      </c>
      <c r="C3492" s="900" t="s">
        <v>11837</v>
      </c>
      <c r="D3492" s="905" t="s">
        <v>11840</v>
      </c>
    </row>
    <row r="3493" spans="1:4" ht="16.5">
      <c r="A3493" s="657" t="s">
        <v>747</v>
      </c>
      <c r="B3493" t="s">
        <v>11819</v>
      </c>
      <c r="C3493" s="900" t="s">
        <v>11837</v>
      </c>
      <c r="D3493" s="905" t="s">
        <v>11840</v>
      </c>
    </row>
    <row r="3494" spans="1:4" ht="16.5">
      <c r="A3494" s="657" t="s">
        <v>9156</v>
      </c>
      <c r="B3494" t="s">
        <v>11819</v>
      </c>
      <c r="C3494" s="900" t="s">
        <v>11837</v>
      </c>
      <c r="D3494" s="905" t="s">
        <v>11840</v>
      </c>
    </row>
    <row r="3495" spans="1:4" ht="16.5">
      <c r="A3495" s="657" t="s">
        <v>9158</v>
      </c>
      <c r="B3495" t="s">
        <v>11819</v>
      </c>
      <c r="C3495" s="900" t="s">
        <v>11837</v>
      </c>
      <c r="D3495" s="905" t="s">
        <v>11840</v>
      </c>
    </row>
    <row r="3496" spans="1:4" ht="16.5">
      <c r="A3496" s="657" t="s">
        <v>9160</v>
      </c>
      <c r="B3496" t="s">
        <v>11819</v>
      </c>
      <c r="C3496" s="900" t="s">
        <v>11837</v>
      </c>
      <c r="D3496" s="905" t="s">
        <v>11840</v>
      </c>
    </row>
    <row r="3497" spans="1:4" ht="16.5">
      <c r="A3497" s="657" t="s">
        <v>9162</v>
      </c>
      <c r="B3497" t="s">
        <v>11819</v>
      </c>
      <c r="C3497" s="900" t="s">
        <v>11837</v>
      </c>
      <c r="D3497" s="905" t="s">
        <v>11840</v>
      </c>
    </row>
    <row r="3498" spans="1:4" ht="16.5">
      <c r="A3498" s="657" t="s">
        <v>9164</v>
      </c>
      <c r="B3498" t="s">
        <v>11819</v>
      </c>
      <c r="C3498" s="900" t="s">
        <v>11837</v>
      </c>
      <c r="D3498" s="905" t="s">
        <v>11840</v>
      </c>
    </row>
    <row r="3499" spans="1:4" ht="16.5">
      <c r="A3499" s="657" t="s">
        <v>749</v>
      </c>
      <c r="B3499" t="s">
        <v>11819</v>
      </c>
      <c r="C3499" s="900" t="s">
        <v>11837</v>
      </c>
      <c r="D3499" s="905" t="s">
        <v>11840</v>
      </c>
    </row>
    <row r="3500" spans="1:4" ht="16.5">
      <c r="A3500" s="657" t="s">
        <v>9166</v>
      </c>
      <c r="B3500" t="s">
        <v>11819</v>
      </c>
      <c r="C3500" s="900" t="s">
        <v>11837</v>
      </c>
      <c r="D3500" s="905" t="s">
        <v>11840</v>
      </c>
    </row>
    <row r="3501" spans="1:4" ht="16.5">
      <c r="A3501" s="657" t="s">
        <v>9168</v>
      </c>
      <c r="B3501" t="s">
        <v>11819</v>
      </c>
      <c r="C3501" s="900" t="s">
        <v>11837</v>
      </c>
      <c r="D3501" s="905" t="s">
        <v>11840</v>
      </c>
    </row>
    <row r="3502" spans="1:4" ht="16.5">
      <c r="A3502" s="657" t="s">
        <v>9170</v>
      </c>
      <c r="B3502" t="s">
        <v>11819</v>
      </c>
      <c r="C3502" s="900" t="s">
        <v>11837</v>
      </c>
      <c r="D3502" s="905" t="s">
        <v>11840</v>
      </c>
    </row>
    <row r="3503" spans="1:4" ht="16.5">
      <c r="A3503" s="657" t="s">
        <v>9172</v>
      </c>
      <c r="B3503" t="s">
        <v>11819</v>
      </c>
      <c r="C3503" s="900" t="s">
        <v>11837</v>
      </c>
      <c r="D3503" s="905" t="s">
        <v>11840</v>
      </c>
    </row>
    <row r="3504" spans="1:4" ht="16.5">
      <c r="A3504" s="657" t="s">
        <v>751</v>
      </c>
      <c r="B3504" t="s">
        <v>11819</v>
      </c>
      <c r="C3504" s="900" t="s">
        <v>11837</v>
      </c>
      <c r="D3504" s="905" t="s">
        <v>11840</v>
      </c>
    </row>
    <row r="3505" spans="1:4" ht="16.5">
      <c r="A3505" s="657" t="s">
        <v>753</v>
      </c>
      <c r="B3505" t="s">
        <v>11819</v>
      </c>
      <c r="C3505" s="900" t="s">
        <v>11837</v>
      </c>
      <c r="D3505" s="905" t="s">
        <v>11840</v>
      </c>
    </row>
    <row r="3506" spans="1:4" ht="16.5">
      <c r="A3506" s="657" t="s">
        <v>755</v>
      </c>
      <c r="B3506" t="s">
        <v>11819</v>
      </c>
      <c r="C3506" s="900" t="s">
        <v>11837</v>
      </c>
      <c r="D3506" s="905" t="s">
        <v>11840</v>
      </c>
    </row>
    <row r="3507" spans="1:4" ht="16.5">
      <c r="A3507" s="657" t="s">
        <v>757</v>
      </c>
      <c r="B3507" t="s">
        <v>11819</v>
      </c>
      <c r="C3507" s="900" t="s">
        <v>11837</v>
      </c>
      <c r="D3507" s="905" t="s">
        <v>11840</v>
      </c>
    </row>
    <row r="3508" spans="1:4" ht="16.5">
      <c r="A3508" s="657" t="s">
        <v>759</v>
      </c>
      <c r="B3508" t="s">
        <v>11819</v>
      </c>
      <c r="C3508" s="900" t="s">
        <v>11837</v>
      </c>
      <c r="D3508" s="905" t="s">
        <v>11840</v>
      </c>
    </row>
    <row r="3509" spans="1:4" ht="16.5">
      <c r="A3509" s="657" t="s">
        <v>761</v>
      </c>
      <c r="B3509" t="s">
        <v>11819</v>
      </c>
      <c r="C3509" s="900" t="s">
        <v>11837</v>
      </c>
      <c r="D3509" s="905" t="s">
        <v>11840</v>
      </c>
    </row>
    <row r="3510" spans="1:4" ht="16.5">
      <c r="A3510" s="657" t="s">
        <v>763</v>
      </c>
      <c r="B3510" t="s">
        <v>11819</v>
      </c>
      <c r="C3510" s="900" t="s">
        <v>11837</v>
      </c>
      <c r="D3510" s="905" t="s">
        <v>11840</v>
      </c>
    </row>
    <row r="3511" spans="1:4" ht="16.5">
      <c r="A3511" s="657" t="s">
        <v>765</v>
      </c>
      <c r="B3511" t="s">
        <v>11819</v>
      </c>
      <c r="C3511" s="900" t="s">
        <v>11837</v>
      </c>
      <c r="D3511" s="905" t="s">
        <v>11840</v>
      </c>
    </row>
    <row r="3512" spans="1:4" ht="16.5">
      <c r="A3512" s="657" t="s">
        <v>767</v>
      </c>
      <c r="B3512" t="s">
        <v>11819</v>
      </c>
      <c r="C3512" s="900" t="s">
        <v>11837</v>
      </c>
      <c r="D3512" s="905" t="s">
        <v>11840</v>
      </c>
    </row>
    <row r="3513" spans="1:4" ht="16.5">
      <c r="A3513" s="657" t="s">
        <v>769</v>
      </c>
      <c r="B3513" t="s">
        <v>11819</v>
      </c>
      <c r="C3513" s="900" t="s">
        <v>11837</v>
      </c>
      <c r="D3513" s="905" t="s">
        <v>11840</v>
      </c>
    </row>
    <row r="3514" spans="1:4" ht="16.5">
      <c r="A3514" s="657" t="s">
        <v>771</v>
      </c>
      <c r="B3514" t="s">
        <v>11819</v>
      </c>
      <c r="C3514" s="900" t="s">
        <v>11837</v>
      </c>
      <c r="D3514" s="905" t="s">
        <v>11840</v>
      </c>
    </row>
    <row r="3515" spans="1:4" ht="16.5">
      <c r="A3515" s="657" t="s">
        <v>773</v>
      </c>
      <c r="B3515" t="s">
        <v>11819</v>
      </c>
      <c r="C3515" s="900" t="s">
        <v>11837</v>
      </c>
      <c r="D3515" s="905" t="s">
        <v>11840</v>
      </c>
    </row>
    <row r="3516" spans="1:4" ht="16.5">
      <c r="A3516" s="657" t="s">
        <v>9174</v>
      </c>
      <c r="B3516" t="s">
        <v>11819</v>
      </c>
      <c r="C3516" s="900" t="s">
        <v>11837</v>
      </c>
      <c r="D3516" s="905" t="s">
        <v>11840</v>
      </c>
    </row>
    <row r="3517" spans="1:4" ht="16.5">
      <c r="A3517" s="657" t="s">
        <v>775</v>
      </c>
      <c r="B3517" t="s">
        <v>11819</v>
      </c>
      <c r="C3517" s="900" t="s">
        <v>11837</v>
      </c>
      <c r="D3517" s="905" t="s">
        <v>11840</v>
      </c>
    </row>
    <row r="3518" spans="1:4" ht="16.5">
      <c r="A3518" s="657" t="s">
        <v>9176</v>
      </c>
      <c r="B3518" t="s">
        <v>11819</v>
      </c>
      <c r="C3518" s="900" t="s">
        <v>11837</v>
      </c>
      <c r="D3518" s="905" t="s">
        <v>11840</v>
      </c>
    </row>
    <row r="3519" spans="1:4" ht="16.5">
      <c r="A3519" s="657" t="s">
        <v>777</v>
      </c>
      <c r="B3519" t="s">
        <v>11819</v>
      </c>
      <c r="C3519" s="900" t="s">
        <v>11837</v>
      </c>
      <c r="D3519" s="905" t="s">
        <v>11840</v>
      </c>
    </row>
    <row r="3520" spans="1:4" ht="16.5">
      <c r="A3520" s="657" t="s">
        <v>9178</v>
      </c>
      <c r="B3520" t="s">
        <v>11819</v>
      </c>
      <c r="C3520" s="900" t="s">
        <v>11837</v>
      </c>
      <c r="D3520" s="905" t="s">
        <v>11840</v>
      </c>
    </row>
    <row r="3521" spans="1:4" ht="16.5">
      <c r="A3521" s="657" t="s">
        <v>779</v>
      </c>
      <c r="B3521" t="s">
        <v>11819</v>
      </c>
      <c r="C3521" s="900" t="s">
        <v>11837</v>
      </c>
      <c r="D3521" s="905" t="s">
        <v>11840</v>
      </c>
    </row>
    <row r="3522" spans="1:4" ht="16.5">
      <c r="A3522" s="657" t="s">
        <v>9180</v>
      </c>
      <c r="B3522" t="s">
        <v>11819</v>
      </c>
      <c r="C3522" s="900" t="s">
        <v>11837</v>
      </c>
      <c r="D3522" s="905" t="s">
        <v>11840</v>
      </c>
    </row>
    <row r="3523" spans="1:4" ht="16.5">
      <c r="A3523" s="657" t="s">
        <v>781</v>
      </c>
      <c r="B3523" t="s">
        <v>11819</v>
      </c>
      <c r="C3523" s="900" t="s">
        <v>11837</v>
      </c>
      <c r="D3523" s="905" t="s">
        <v>11840</v>
      </c>
    </row>
    <row r="3524" spans="1:4" ht="16.5">
      <c r="A3524" s="657" t="s">
        <v>9182</v>
      </c>
      <c r="B3524" t="s">
        <v>11819</v>
      </c>
      <c r="C3524" s="900" t="s">
        <v>11837</v>
      </c>
      <c r="D3524" s="905" t="s">
        <v>11840</v>
      </c>
    </row>
    <row r="3525" spans="1:4" ht="16.5">
      <c r="A3525" s="657" t="s">
        <v>783</v>
      </c>
      <c r="B3525" t="s">
        <v>11819</v>
      </c>
      <c r="C3525" s="900" t="s">
        <v>11837</v>
      </c>
      <c r="D3525" s="905" t="s">
        <v>11840</v>
      </c>
    </row>
    <row r="3526" spans="1:4" ht="16.5">
      <c r="A3526" s="657" t="s">
        <v>9184</v>
      </c>
      <c r="B3526" t="s">
        <v>11819</v>
      </c>
      <c r="C3526" s="900" t="s">
        <v>11837</v>
      </c>
      <c r="D3526" s="905" t="s">
        <v>11840</v>
      </c>
    </row>
    <row r="3527" spans="1:4" ht="16.5">
      <c r="A3527" s="657" t="s">
        <v>9186</v>
      </c>
      <c r="B3527" t="s">
        <v>11819</v>
      </c>
      <c r="C3527" s="900" t="s">
        <v>11837</v>
      </c>
      <c r="D3527" s="905" t="s">
        <v>11840</v>
      </c>
    </row>
    <row r="3528" spans="1:4" ht="16.5">
      <c r="A3528" s="657" t="s">
        <v>785</v>
      </c>
      <c r="B3528" t="s">
        <v>11819</v>
      </c>
      <c r="C3528" s="900" t="s">
        <v>11837</v>
      </c>
      <c r="D3528" s="905" t="s">
        <v>11840</v>
      </c>
    </row>
    <row r="3529" spans="1:4" ht="16.5">
      <c r="A3529" s="657" t="s">
        <v>9188</v>
      </c>
      <c r="B3529" t="s">
        <v>11819</v>
      </c>
      <c r="C3529" s="900" t="s">
        <v>11837</v>
      </c>
      <c r="D3529" s="905" t="s">
        <v>11840</v>
      </c>
    </row>
    <row r="3530" spans="1:4" ht="16.5">
      <c r="A3530" s="657" t="s">
        <v>9190</v>
      </c>
      <c r="B3530" t="s">
        <v>11819</v>
      </c>
      <c r="C3530" s="900" t="s">
        <v>11837</v>
      </c>
      <c r="D3530" s="905" t="s">
        <v>11840</v>
      </c>
    </row>
    <row r="3531" spans="1:4" ht="16.5">
      <c r="A3531" s="657" t="s">
        <v>9192</v>
      </c>
      <c r="B3531" t="s">
        <v>11819</v>
      </c>
      <c r="C3531" s="900" t="s">
        <v>11837</v>
      </c>
      <c r="D3531" s="905" t="s">
        <v>11840</v>
      </c>
    </row>
    <row r="3532" spans="1:4" ht="16.5">
      <c r="A3532" s="657" t="s">
        <v>9194</v>
      </c>
      <c r="B3532" t="s">
        <v>11819</v>
      </c>
      <c r="C3532" s="900" t="s">
        <v>11837</v>
      </c>
      <c r="D3532" s="905" t="s">
        <v>11840</v>
      </c>
    </row>
    <row r="3533" spans="1:4" ht="16.5">
      <c r="A3533" s="657" t="s">
        <v>9196</v>
      </c>
      <c r="B3533" t="s">
        <v>11819</v>
      </c>
      <c r="C3533" s="900" t="s">
        <v>11837</v>
      </c>
      <c r="D3533" s="905" t="s">
        <v>11840</v>
      </c>
    </row>
    <row r="3534" spans="1:4" ht="16.5">
      <c r="A3534" s="657" t="s">
        <v>787</v>
      </c>
      <c r="B3534" t="s">
        <v>11819</v>
      </c>
      <c r="C3534" s="900" t="s">
        <v>11837</v>
      </c>
      <c r="D3534" s="905" t="s">
        <v>11840</v>
      </c>
    </row>
    <row r="3535" spans="1:4" ht="16.5">
      <c r="A3535" s="657" t="s">
        <v>9198</v>
      </c>
      <c r="B3535" t="s">
        <v>11819</v>
      </c>
      <c r="C3535" s="900" t="s">
        <v>11837</v>
      </c>
      <c r="D3535" s="905" t="s">
        <v>11840</v>
      </c>
    </row>
    <row r="3536" spans="1:4" ht="16.5">
      <c r="A3536" s="657" t="s">
        <v>9200</v>
      </c>
      <c r="B3536" t="s">
        <v>11819</v>
      </c>
      <c r="C3536" s="900" t="s">
        <v>11837</v>
      </c>
      <c r="D3536" s="905" t="s">
        <v>11840</v>
      </c>
    </row>
    <row r="3537" spans="1:4" ht="16.5">
      <c r="A3537" s="657" t="s">
        <v>789</v>
      </c>
      <c r="B3537" t="s">
        <v>11819</v>
      </c>
      <c r="C3537" s="900" t="s">
        <v>11837</v>
      </c>
      <c r="D3537" s="905" t="s">
        <v>11840</v>
      </c>
    </row>
    <row r="3538" spans="1:4" ht="16.5">
      <c r="A3538" s="657" t="s">
        <v>9202</v>
      </c>
      <c r="B3538" t="s">
        <v>11819</v>
      </c>
      <c r="C3538" s="900" t="s">
        <v>11837</v>
      </c>
      <c r="D3538" s="905" t="s">
        <v>11840</v>
      </c>
    </row>
    <row r="3539" spans="1:4" ht="33">
      <c r="A3539" s="657" t="s">
        <v>9204</v>
      </c>
      <c r="B3539" t="s">
        <v>11819</v>
      </c>
      <c r="C3539" s="900" t="s">
        <v>11837</v>
      </c>
      <c r="D3539" s="905" t="s">
        <v>11840</v>
      </c>
    </row>
    <row r="3540" spans="1:4" ht="16.5">
      <c r="A3540" s="657" t="s">
        <v>791</v>
      </c>
      <c r="B3540" t="s">
        <v>11819</v>
      </c>
      <c r="C3540" s="900" t="s">
        <v>11837</v>
      </c>
      <c r="D3540" s="905" t="s">
        <v>11840</v>
      </c>
    </row>
    <row r="3541" spans="1:4" ht="16.5">
      <c r="A3541" s="657" t="s">
        <v>793</v>
      </c>
      <c r="B3541" t="s">
        <v>11819</v>
      </c>
      <c r="C3541" s="900" t="s">
        <v>11837</v>
      </c>
      <c r="D3541" s="905" t="s">
        <v>11840</v>
      </c>
    </row>
    <row r="3542" spans="1:4" ht="16.5">
      <c r="A3542" s="657" t="s">
        <v>795</v>
      </c>
      <c r="B3542" t="s">
        <v>11819</v>
      </c>
      <c r="C3542" s="900" t="s">
        <v>11837</v>
      </c>
      <c r="D3542" s="905" t="s">
        <v>11840</v>
      </c>
    </row>
    <row r="3543" spans="1:4" ht="16.5">
      <c r="A3543" s="657" t="s">
        <v>797</v>
      </c>
      <c r="B3543" t="s">
        <v>11819</v>
      </c>
      <c r="C3543" s="900" t="s">
        <v>11837</v>
      </c>
      <c r="D3543" s="905" t="s">
        <v>11840</v>
      </c>
    </row>
    <row r="3544" spans="1:4" ht="16.5">
      <c r="A3544" s="657" t="s">
        <v>799</v>
      </c>
      <c r="B3544" t="s">
        <v>11819</v>
      </c>
      <c r="C3544" s="900" t="s">
        <v>11837</v>
      </c>
      <c r="D3544" s="905" t="s">
        <v>11840</v>
      </c>
    </row>
    <row r="3545" spans="1:4" ht="16.5">
      <c r="A3545" s="657" t="s">
        <v>801</v>
      </c>
      <c r="B3545" t="s">
        <v>11819</v>
      </c>
      <c r="C3545" s="900" t="s">
        <v>11837</v>
      </c>
      <c r="D3545" s="905" t="s">
        <v>11840</v>
      </c>
    </row>
    <row r="3546" spans="1:4" ht="16.5">
      <c r="A3546" s="657" t="s">
        <v>803</v>
      </c>
      <c r="B3546" t="s">
        <v>11819</v>
      </c>
      <c r="C3546" s="900" t="s">
        <v>11837</v>
      </c>
      <c r="D3546" s="905" t="s">
        <v>11840</v>
      </c>
    </row>
    <row r="3547" spans="1:4" ht="16.5">
      <c r="A3547" s="657" t="s">
        <v>805</v>
      </c>
      <c r="B3547" t="s">
        <v>11819</v>
      </c>
      <c r="C3547" s="900" t="s">
        <v>11837</v>
      </c>
      <c r="D3547" s="905" t="s">
        <v>11840</v>
      </c>
    </row>
    <row r="3548" spans="1:4" ht="16.5">
      <c r="A3548" s="657" t="s">
        <v>807</v>
      </c>
      <c r="B3548" t="s">
        <v>11819</v>
      </c>
      <c r="C3548" s="900" t="s">
        <v>11837</v>
      </c>
      <c r="D3548" s="905" t="s">
        <v>11840</v>
      </c>
    </row>
    <row r="3549" spans="1:4" ht="16.5">
      <c r="A3549" s="657" t="s">
        <v>809</v>
      </c>
      <c r="B3549" t="s">
        <v>11819</v>
      </c>
      <c r="C3549" s="900" t="s">
        <v>11837</v>
      </c>
      <c r="D3549" s="905" t="s">
        <v>11840</v>
      </c>
    </row>
    <row r="3550" spans="1:4" ht="16.5">
      <c r="A3550" s="657" t="s">
        <v>811</v>
      </c>
      <c r="B3550" t="s">
        <v>11819</v>
      </c>
      <c r="C3550" s="900" t="s">
        <v>11837</v>
      </c>
      <c r="D3550" s="905" t="s">
        <v>11840</v>
      </c>
    </row>
    <row r="3551" spans="1:4" ht="16.5">
      <c r="A3551" s="657" t="s">
        <v>9206</v>
      </c>
      <c r="B3551" t="s">
        <v>11819</v>
      </c>
      <c r="C3551" s="900" t="s">
        <v>11837</v>
      </c>
      <c r="D3551" s="905" t="s">
        <v>11840</v>
      </c>
    </row>
    <row r="3552" spans="1:4" ht="33">
      <c r="A3552" s="657" t="s">
        <v>813</v>
      </c>
      <c r="B3552" t="s">
        <v>11819</v>
      </c>
      <c r="C3552" s="900" t="s">
        <v>11837</v>
      </c>
      <c r="D3552" s="905" t="s">
        <v>11840</v>
      </c>
    </row>
    <row r="3553" spans="1:4" ht="16.5">
      <c r="A3553" s="657" t="s">
        <v>815</v>
      </c>
      <c r="B3553" t="s">
        <v>11819</v>
      </c>
      <c r="C3553" s="900" t="s">
        <v>11837</v>
      </c>
      <c r="D3553" s="905" t="s">
        <v>11840</v>
      </c>
    </row>
    <row r="3554" spans="1:4" ht="16.5">
      <c r="A3554" s="657" t="s">
        <v>9208</v>
      </c>
      <c r="B3554" t="s">
        <v>11819</v>
      </c>
      <c r="C3554" s="900" t="s">
        <v>11837</v>
      </c>
      <c r="D3554" s="905" t="s">
        <v>11840</v>
      </c>
    </row>
    <row r="3555" spans="1:4" ht="33">
      <c r="A3555" s="657" t="s">
        <v>817</v>
      </c>
      <c r="B3555" t="s">
        <v>11819</v>
      </c>
      <c r="C3555" s="900" t="s">
        <v>11837</v>
      </c>
      <c r="D3555" s="905" t="s">
        <v>11840</v>
      </c>
    </row>
    <row r="3556" spans="1:4" ht="33">
      <c r="A3556" s="657" t="s">
        <v>9210</v>
      </c>
      <c r="B3556" t="s">
        <v>11819</v>
      </c>
      <c r="C3556" s="900" t="s">
        <v>11837</v>
      </c>
      <c r="D3556" s="905" t="s">
        <v>11840</v>
      </c>
    </row>
    <row r="3557" spans="1:4" ht="16.5">
      <c r="A3557" s="657" t="s">
        <v>819</v>
      </c>
      <c r="B3557" t="s">
        <v>11819</v>
      </c>
      <c r="C3557" s="900" t="s">
        <v>11837</v>
      </c>
      <c r="D3557" s="905" t="s">
        <v>11840</v>
      </c>
    </row>
    <row r="3558" spans="1:4" ht="16.5">
      <c r="A3558" s="657" t="s">
        <v>9212</v>
      </c>
      <c r="B3558" t="s">
        <v>11819</v>
      </c>
      <c r="C3558" s="900" t="s">
        <v>11837</v>
      </c>
      <c r="D3558" s="905" t="s">
        <v>11840</v>
      </c>
    </row>
    <row r="3559" spans="1:4" ht="16.5">
      <c r="A3559" s="657" t="s">
        <v>821</v>
      </c>
      <c r="B3559" t="s">
        <v>11819</v>
      </c>
      <c r="C3559" s="900" t="s">
        <v>11837</v>
      </c>
      <c r="D3559" s="905" t="s">
        <v>11840</v>
      </c>
    </row>
    <row r="3560" spans="1:4" ht="33">
      <c r="A3560" s="657" t="s">
        <v>823</v>
      </c>
      <c r="B3560" t="s">
        <v>11819</v>
      </c>
      <c r="C3560" s="900" t="s">
        <v>11837</v>
      </c>
      <c r="D3560" s="905" t="s">
        <v>11840</v>
      </c>
    </row>
    <row r="3561" spans="1:4" ht="16.5">
      <c r="A3561" s="657" t="s">
        <v>9214</v>
      </c>
      <c r="B3561" t="s">
        <v>11819</v>
      </c>
      <c r="C3561" s="900" t="s">
        <v>11837</v>
      </c>
      <c r="D3561" s="905" t="s">
        <v>11840</v>
      </c>
    </row>
    <row r="3562" spans="1:4" ht="33">
      <c r="A3562" s="657" t="s">
        <v>825</v>
      </c>
      <c r="B3562" t="s">
        <v>11819</v>
      </c>
      <c r="C3562" s="900" t="s">
        <v>11837</v>
      </c>
      <c r="D3562" s="905" t="s">
        <v>11840</v>
      </c>
    </row>
    <row r="3563" spans="1:4" ht="16.5">
      <c r="A3563" s="657" t="s">
        <v>9216</v>
      </c>
      <c r="B3563" t="s">
        <v>11819</v>
      </c>
      <c r="C3563" s="900" t="s">
        <v>11837</v>
      </c>
      <c r="D3563" s="905" t="s">
        <v>11840</v>
      </c>
    </row>
    <row r="3564" spans="1:4" ht="33">
      <c r="A3564" s="657" t="s">
        <v>9218</v>
      </c>
      <c r="B3564" t="s">
        <v>11819</v>
      </c>
      <c r="C3564" s="900" t="s">
        <v>11837</v>
      </c>
      <c r="D3564" s="905" t="s">
        <v>11840</v>
      </c>
    </row>
    <row r="3565" spans="1:4" ht="16.5">
      <c r="A3565" s="657" t="s">
        <v>9220</v>
      </c>
      <c r="B3565" t="s">
        <v>11819</v>
      </c>
      <c r="C3565" s="900" t="s">
        <v>11837</v>
      </c>
      <c r="D3565" s="905" t="s">
        <v>11840</v>
      </c>
    </row>
    <row r="3566" spans="1:4" ht="16.5">
      <c r="A3566" s="657" t="s">
        <v>9222</v>
      </c>
      <c r="B3566" t="s">
        <v>11819</v>
      </c>
      <c r="C3566" s="900" t="s">
        <v>11837</v>
      </c>
      <c r="D3566" s="905" t="s">
        <v>11840</v>
      </c>
    </row>
    <row r="3567" spans="1:4" ht="16.5">
      <c r="A3567" s="657" t="s">
        <v>9224</v>
      </c>
      <c r="B3567" t="s">
        <v>11819</v>
      </c>
      <c r="C3567" s="900" t="s">
        <v>11837</v>
      </c>
      <c r="D3567" s="905" t="s">
        <v>11840</v>
      </c>
    </row>
    <row r="3568" spans="1:4" ht="16.5">
      <c r="A3568" s="657" t="s">
        <v>829</v>
      </c>
      <c r="B3568" t="s">
        <v>11819</v>
      </c>
      <c r="C3568" s="900" t="s">
        <v>11837</v>
      </c>
      <c r="D3568" s="905" t="s">
        <v>11840</v>
      </c>
    </row>
    <row r="3569" spans="1:4" ht="16.5">
      <c r="A3569" s="657" t="s">
        <v>9225</v>
      </c>
      <c r="B3569" t="s">
        <v>11819</v>
      </c>
      <c r="C3569" s="900" t="s">
        <v>11837</v>
      </c>
      <c r="D3569" s="905" t="s">
        <v>11840</v>
      </c>
    </row>
    <row r="3570" spans="1:4" ht="16.5">
      <c r="A3570" s="657" t="s">
        <v>9227</v>
      </c>
      <c r="B3570" t="s">
        <v>11819</v>
      </c>
      <c r="C3570" s="900" t="s">
        <v>11837</v>
      </c>
      <c r="D3570" s="905" t="s">
        <v>11840</v>
      </c>
    </row>
    <row r="3571" spans="1:4" ht="16.5">
      <c r="A3571" s="657" t="s">
        <v>831</v>
      </c>
      <c r="B3571" t="s">
        <v>11819</v>
      </c>
      <c r="C3571" s="900" t="s">
        <v>11837</v>
      </c>
      <c r="D3571" s="905" t="s">
        <v>11840</v>
      </c>
    </row>
    <row r="3572" spans="1:4" ht="16.5">
      <c r="A3572" s="657" t="s">
        <v>9229</v>
      </c>
      <c r="B3572" t="s">
        <v>11819</v>
      </c>
      <c r="C3572" s="900" t="s">
        <v>11837</v>
      </c>
      <c r="D3572" s="905" t="s">
        <v>11840</v>
      </c>
    </row>
    <row r="3573" spans="1:4" ht="16.5">
      <c r="A3573" s="657" t="s">
        <v>9231</v>
      </c>
      <c r="B3573" t="s">
        <v>11819</v>
      </c>
      <c r="C3573" s="900" t="s">
        <v>11837</v>
      </c>
      <c r="D3573" s="905" t="s">
        <v>11840</v>
      </c>
    </row>
    <row r="3574" spans="1:4" ht="16.5">
      <c r="A3574" s="657" t="s">
        <v>9233</v>
      </c>
      <c r="B3574" t="s">
        <v>11819</v>
      </c>
      <c r="C3574" s="900" t="s">
        <v>11837</v>
      </c>
      <c r="D3574" s="905" t="s">
        <v>11840</v>
      </c>
    </row>
    <row r="3575" spans="1:4" ht="16.5">
      <c r="A3575" s="657" t="s">
        <v>833</v>
      </c>
      <c r="B3575" t="s">
        <v>11819</v>
      </c>
      <c r="C3575" s="900" t="s">
        <v>11837</v>
      </c>
      <c r="D3575" s="905" t="s">
        <v>11840</v>
      </c>
    </row>
    <row r="3576" spans="1:4" ht="16.5">
      <c r="A3576" s="657" t="s">
        <v>835</v>
      </c>
      <c r="B3576" t="s">
        <v>11819</v>
      </c>
      <c r="C3576" s="900" t="s">
        <v>11837</v>
      </c>
      <c r="D3576" s="905" t="s">
        <v>11840</v>
      </c>
    </row>
    <row r="3577" spans="1:4" ht="16.5">
      <c r="A3577" s="657" t="s">
        <v>837</v>
      </c>
      <c r="B3577" t="s">
        <v>11819</v>
      </c>
      <c r="C3577" s="900" t="s">
        <v>11837</v>
      </c>
      <c r="D3577" s="905" t="s">
        <v>11840</v>
      </c>
    </row>
    <row r="3578" spans="1:4" ht="16.5">
      <c r="A3578" s="657" t="s">
        <v>839</v>
      </c>
      <c r="B3578" t="s">
        <v>11819</v>
      </c>
      <c r="C3578" s="900" t="s">
        <v>11837</v>
      </c>
      <c r="D3578" s="905" t="s">
        <v>11840</v>
      </c>
    </row>
    <row r="3579" spans="1:4" ht="16.5">
      <c r="A3579" s="657" t="s">
        <v>841</v>
      </c>
      <c r="B3579" t="s">
        <v>11819</v>
      </c>
      <c r="C3579" s="900" t="s">
        <v>11837</v>
      </c>
      <c r="D3579" s="905" t="s">
        <v>11840</v>
      </c>
    </row>
    <row r="3580" spans="1:4" ht="16.5">
      <c r="A3580" s="657" t="s">
        <v>843</v>
      </c>
      <c r="B3580" t="s">
        <v>11819</v>
      </c>
      <c r="C3580" s="900" t="s">
        <v>11837</v>
      </c>
      <c r="D3580" s="905" t="s">
        <v>11840</v>
      </c>
    </row>
    <row r="3581" spans="1:4" ht="16.5">
      <c r="A3581" s="657" t="s">
        <v>845</v>
      </c>
      <c r="B3581" t="s">
        <v>11819</v>
      </c>
      <c r="C3581" s="900" t="s">
        <v>11837</v>
      </c>
      <c r="D3581" s="905" t="s">
        <v>11840</v>
      </c>
    </row>
    <row r="3582" spans="1:4" ht="16.5">
      <c r="A3582" s="657" t="s">
        <v>847</v>
      </c>
      <c r="B3582" t="s">
        <v>11819</v>
      </c>
      <c r="C3582" s="900" t="s">
        <v>11837</v>
      </c>
      <c r="D3582" s="905" t="s">
        <v>11840</v>
      </c>
    </row>
    <row r="3583" spans="1:4" ht="16.5">
      <c r="A3583" s="657" t="s">
        <v>9235</v>
      </c>
      <c r="B3583" t="s">
        <v>11819</v>
      </c>
      <c r="C3583" s="900" t="s">
        <v>11837</v>
      </c>
      <c r="D3583" s="905" t="s">
        <v>11840</v>
      </c>
    </row>
    <row r="3584" spans="1:4" ht="16.5">
      <c r="A3584" s="657" t="s">
        <v>849</v>
      </c>
      <c r="B3584" t="s">
        <v>11819</v>
      </c>
      <c r="C3584" s="900" t="s">
        <v>11837</v>
      </c>
      <c r="D3584" s="905" t="s">
        <v>11840</v>
      </c>
    </row>
    <row r="3585" spans="1:4" ht="16.5">
      <c r="A3585" s="657" t="s">
        <v>9237</v>
      </c>
      <c r="B3585" t="s">
        <v>11819</v>
      </c>
      <c r="C3585" s="900" t="s">
        <v>11837</v>
      </c>
      <c r="D3585" s="905" t="s">
        <v>11840</v>
      </c>
    </row>
    <row r="3586" spans="1:4" ht="16.5">
      <c r="A3586" s="657" t="s">
        <v>851</v>
      </c>
      <c r="B3586" t="s">
        <v>11819</v>
      </c>
      <c r="C3586" s="900" t="s">
        <v>11837</v>
      </c>
      <c r="D3586" s="905" t="s">
        <v>11840</v>
      </c>
    </row>
    <row r="3587" spans="1:4" ht="16.5">
      <c r="A3587" s="657" t="s">
        <v>9239</v>
      </c>
      <c r="B3587" t="s">
        <v>11819</v>
      </c>
      <c r="C3587" s="900" t="s">
        <v>11837</v>
      </c>
      <c r="D3587" s="905" t="s">
        <v>11840</v>
      </c>
    </row>
    <row r="3588" spans="1:4" ht="16.5">
      <c r="A3588" s="657" t="s">
        <v>853</v>
      </c>
      <c r="B3588" t="s">
        <v>11819</v>
      </c>
      <c r="C3588" s="900" t="s">
        <v>11837</v>
      </c>
      <c r="D3588" s="905" t="s">
        <v>11840</v>
      </c>
    </row>
    <row r="3589" spans="1:4" ht="16.5">
      <c r="A3589" s="657" t="s">
        <v>9241</v>
      </c>
      <c r="B3589" t="s">
        <v>11819</v>
      </c>
      <c r="C3589" s="900" t="s">
        <v>11837</v>
      </c>
      <c r="D3589" s="905" t="s">
        <v>11840</v>
      </c>
    </row>
    <row r="3590" spans="1:4" ht="16.5">
      <c r="A3590" s="657" t="s">
        <v>855</v>
      </c>
      <c r="B3590" t="s">
        <v>11819</v>
      </c>
      <c r="C3590" s="900" t="s">
        <v>11837</v>
      </c>
      <c r="D3590" s="905" t="s">
        <v>11840</v>
      </c>
    </row>
    <row r="3591" spans="1:4" ht="16.5">
      <c r="A3591" s="657" t="s">
        <v>9243</v>
      </c>
      <c r="B3591" t="s">
        <v>11819</v>
      </c>
      <c r="C3591" s="900" t="s">
        <v>11837</v>
      </c>
      <c r="D3591" s="905" t="s">
        <v>11840</v>
      </c>
    </row>
    <row r="3592" spans="1:4" ht="16.5">
      <c r="A3592" s="657" t="s">
        <v>857</v>
      </c>
      <c r="B3592" t="s">
        <v>11819</v>
      </c>
      <c r="C3592" s="900" t="s">
        <v>11837</v>
      </c>
      <c r="D3592" s="905" t="s">
        <v>11840</v>
      </c>
    </row>
    <row r="3593" spans="1:4" ht="16.5">
      <c r="A3593" s="657" t="s">
        <v>9245</v>
      </c>
      <c r="B3593" t="s">
        <v>11819</v>
      </c>
      <c r="C3593" s="900" t="s">
        <v>11837</v>
      </c>
      <c r="D3593" s="905" t="s">
        <v>11840</v>
      </c>
    </row>
    <row r="3594" spans="1:4" ht="16.5">
      <c r="A3594" s="657" t="s">
        <v>859</v>
      </c>
      <c r="B3594" t="s">
        <v>11819</v>
      </c>
      <c r="C3594" s="900" t="s">
        <v>11837</v>
      </c>
      <c r="D3594" s="905" t="s">
        <v>11840</v>
      </c>
    </row>
    <row r="3595" spans="1:4" ht="16.5">
      <c r="A3595" s="657" t="s">
        <v>861</v>
      </c>
      <c r="B3595" t="s">
        <v>11819</v>
      </c>
      <c r="C3595" s="900" t="s">
        <v>11837</v>
      </c>
      <c r="D3595" s="905" t="s">
        <v>11840</v>
      </c>
    </row>
    <row r="3596" spans="1:4" ht="16.5">
      <c r="A3596" s="657" t="s">
        <v>9247</v>
      </c>
      <c r="B3596" t="s">
        <v>11819</v>
      </c>
      <c r="C3596" s="900" t="s">
        <v>11837</v>
      </c>
      <c r="D3596" s="905" t="s">
        <v>11840</v>
      </c>
    </row>
    <row r="3597" spans="1:4" ht="16.5">
      <c r="A3597" s="657" t="s">
        <v>863</v>
      </c>
      <c r="B3597" t="s">
        <v>11819</v>
      </c>
      <c r="C3597" s="900" t="s">
        <v>11837</v>
      </c>
      <c r="D3597" s="905" t="s">
        <v>11840</v>
      </c>
    </row>
    <row r="3598" spans="1:4" ht="16.5">
      <c r="A3598" s="657" t="s">
        <v>9249</v>
      </c>
      <c r="B3598" t="s">
        <v>11819</v>
      </c>
      <c r="C3598" s="900" t="s">
        <v>11837</v>
      </c>
      <c r="D3598" s="905" t="s">
        <v>11840</v>
      </c>
    </row>
    <row r="3599" spans="1:4" ht="16.5">
      <c r="A3599" s="657" t="s">
        <v>9251</v>
      </c>
      <c r="B3599" t="s">
        <v>11819</v>
      </c>
      <c r="C3599" s="900" t="s">
        <v>11837</v>
      </c>
      <c r="D3599" s="905" t="s">
        <v>11840</v>
      </c>
    </row>
    <row r="3600" spans="1:4" ht="16.5">
      <c r="A3600" s="657" t="s">
        <v>9253</v>
      </c>
      <c r="B3600" t="s">
        <v>11819</v>
      </c>
      <c r="C3600" s="900" t="s">
        <v>11837</v>
      </c>
      <c r="D3600" s="905" t="s">
        <v>11840</v>
      </c>
    </row>
    <row r="3601" spans="1:4" ht="16.5">
      <c r="A3601" s="657" t="s">
        <v>9255</v>
      </c>
      <c r="B3601" t="s">
        <v>11819</v>
      </c>
      <c r="C3601" s="900" t="s">
        <v>11837</v>
      </c>
      <c r="D3601" s="905" t="s">
        <v>11840</v>
      </c>
    </row>
    <row r="3602" spans="1:4" ht="16.5">
      <c r="A3602" s="657" t="s">
        <v>865</v>
      </c>
      <c r="B3602" t="s">
        <v>11819</v>
      </c>
      <c r="C3602" s="900" t="s">
        <v>11837</v>
      </c>
      <c r="D3602" s="905" t="s">
        <v>11840</v>
      </c>
    </row>
    <row r="3603" spans="1:4" ht="16.5">
      <c r="A3603" s="657" t="s">
        <v>867</v>
      </c>
      <c r="B3603" t="s">
        <v>11819</v>
      </c>
      <c r="C3603" s="900" t="s">
        <v>11837</v>
      </c>
      <c r="D3603" s="905" t="s">
        <v>11840</v>
      </c>
    </row>
    <row r="3604" spans="1:4" ht="16.5">
      <c r="A3604" s="657" t="s">
        <v>9257</v>
      </c>
      <c r="B3604" t="s">
        <v>11819</v>
      </c>
      <c r="C3604" s="900" t="s">
        <v>11837</v>
      </c>
      <c r="D3604" s="905" t="s">
        <v>11840</v>
      </c>
    </row>
    <row r="3605" spans="1:4" ht="16.5">
      <c r="A3605" s="657" t="s">
        <v>9259</v>
      </c>
      <c r="B3605" t="s">
        <v>11819</v>
      </c>
      <c r="C3605" s="900" t="s">
        <v>11837</v>
      </c>
      <c r="D3605" s="905" t="s">
        <v>11840</v>
      </c>
    </row>
    <row r="3606" spans="1:4" ht="16.5">
      <c r="A3606" s="657" t="s">
        <v>869</v>
      </c>
      <c r="B3606" t="s">
        <v>11819</v>
      </c>
      <c r="C3606" s="900" t="s">
        <v>11837</v>
      </c>
      <c r="D3606" s="905" t="s">
        <v>11840</v>
      </c>
    </row>
    <row r="3607" spans="1:4" ht="16.5">
      <c r="A3607" s="657" t="s">
        <v>9261</v>
      </c>
      <c r="B3607" t="s">
        <v>11819</v>
      </c>
      <c r="C3607" s="900" t="s">
        <v>11837</v>
      </c>
      <c r="D3607" s="905" t="s">
        <v>11840</v>
      </c>
    </row>
    <row r="3608" spans="1:4" ht="33">
      <c r="A3608" s="657" t="s">
        <v>9263</v>
      </c>
      <c r="B3608" t="s">
        <v>11819</v>
      </c>
      <c r="C3608" s="900" t="s">
        <v>11837</v>
      </c>
      <c r="D3608" s="905" t="s">
        <v>11840</v>
      </c>
    </row>
    <row r="3609" spans="1:4" ht="16.5">
      <c r="A3609" s="657" t="s">
        <v>9265</v>
      </c>
      <c r="B3609" t="s">
        <v>11819</v>
      </c>
      <c r="C3609" s="900" t="s">
        <v>11837</v>
      </c>
      <c r="D3609" s="905" t="s">
        <v>11840</v>
      </c>
    </row>
    <row r="3610" spans="1:4" ht="16.5">
      <c r="A3610" s="657" t="s">
        <v>9267</v>
      </c>
      <c r="B3610" t="s">
        <v>11819</v>
      </c>
      <c r="C3610" s="900" t="s">
        <v>11837</v>
      </c>
      <c r="D3610" s="905" t="s">
        <v>11840</v>
      </c>
    </row>
    <row r="3611" spans="1:4" ht="16.5">
      <c r="A3611" s="657" t="s">
        <v>873</v>
      </c>
      <c r="B3611" t="s">
        <v>11819</v>
      </c>
      <c r="C3611" s="900" t="s">
        <v>11837</v>
      </c>
      <c r="D3611" s="905" t="s">
        <v>11840</v>
      </c>
    </row>
    <row r="3612" spans="1:4" ht="16.5">
      <c r="A3612" s="657" t="s">
        <v>875</v>
      </c>
      <c r="B3612" t="s">
        <v>11819</v>
      </c>
      <c r="C3612" s="900" t="s">
        <v>11837</v>
      </c>
      <c r="D3612" s="905" t="s">
        <v>11840</v>
      </c>
    </row>
    <row r="3613" spans="1:4" ht="16.5">
      <c r="A3613" s="657" t="s">
        <v>877</v>
      </c>
      <c r="B3613" t="s">
        <v>11819</v>
      </c>
      <c r="C3613" s="900" t="s">
        <v>11837</v>
      </c>
      <c r="D3613" s="905" t="s">
        <v>11840</v>
      </c>
    </row>
    <row r="3614" spans="1:4" ht="16.5">
      <c r="A3614" s="657" t="s">
        <v>879</v>
      </c>
      <c r="B3614" t="s">
        <v>11819</v>
      </c>
      <c r="C3614" s="900" t="s">
        <v>11837</v>
      </c>
      <c r="D3614" s="905" t="s">
        <v>11840</v>
      </c>
    </row>
    <row r="3615" spans="1:4" ht="16.5">
      <c r="A3615" s="657" t="s">
        <v>881</v>
      </c>
      <c r="B3615" t="s">
        <v>11819</v>
      </c>
      <c r="C3615" s="900" t="s">
        <v>11837</v>
      </c>
      <c r="D3615" s="905" t="s">
        <v>11840</v>
      </c>
    </row>
    <row r="3616" spans="1:4" ht="16.5">
      <c r="A3616" s="657" t="s">
        <v>883</v>
      </c>
      <c r="B3616" t="s">
        <v>11819</v>
      </c>
      <c r="C3616" s="900" t="s">
        <v>11837</v>
      </c>
      <c r="D3616" s="905" t="s">
        <v>11840</v>
      </c>
    </row>
    <row r="3617" spans="1:4" ht="16.5">
      <c r="A3617" s="657" t="s">
        <v>885</v>
      </c>
      <c r="B3617" t="s">
        <v>11819</v>
      </c>
      <c r="C3617" s="900" t="s">
        <v>11837</v>
      </c>
      <c r="D3617" s="905" t="s">
        <v>11840</v>
      </c>
    </row>
    <row r="3618" spans="1:4" ht="16.5">
      <c r="A3618" s="657" t="s">
        <v>9269</v>
      </c>
      <c r="B3618" t="s">
        <v>11819</v>
      </c>
      <c r="C3618" s="900" t="s">
        <v>11837</v>
      </c>
      <c r="D3618" s="905" t="s">
        <v>11840</v>
      </c>
    </row>
    <row r="3619" spans="1:4" ht="16.5">
      <c r="A3619" s="657" t="s">
        <v>887</v>
      </c>
      <c r="B3619" t="s">
        <v>11819</v>
      </c>
      <c r="C3619" s="900" t="s">
        <v>11837</v>
      </c>
      <c r="D3619" s="905" t="s">
        <v>11840</v>
      </c>
    </row>
    <row r="3620" spans="1:4" ht="16.5">
      <c r="A3620" s="657" t="s">
        <v>9271</v>
      </c>
      <c r="B3620" t="s">
        <v>11819</v>
      </c>
      <c r="C3620" s="900" t="s">
        <v>11837</v>
      </c>
      <c r="D3620" s="905" t="s">
        <v>11840</v>
      </c>
    </row>
    <row r="3621" spans="1:4" ht="33">
      <c r="A3621" s="657" t="s">
        <v>889</v>
      </c>
      <c r="B3621" t="s">
        <v>11819</v>
      </c>
      <c r="C3621" s="900" t="s">
        <v>11837</v>
      </c>
      <c r="D3621" s="905" t="s">
        <v>11840</v>
      </c>
    </row>
    <row r="3622" spans="1:4" ht="16.5">
      <c r="A3622" s="657" t="s">
        <v>9273</v>
      </c>
      <c r="B3622" t="s">
        <v>11819</v>
      </c>
      <c r="C3622" s="900" t="s">
        <v>11837</v>
      </c>
      <c r="D3622" s="905" t="s">
        <v>11840</v>
      </c>
    </row>
    <row r="3623" spans="1:4" ht="16.5">
      <c r="A3623" s="657" t="s">
        <v>891</v>
      </c>
      <c r="B3623" t="s">
        <v>11819</v>
      </c>
      <c r="C3623" s="900" t="s">
        <v>11837</v>
      </c>
      <c r="D3623" s="905" t="s">
        <v>11840</v>
      </c>
    </row>
    <row r="3624" spans="1:4" ht="16.5">
      <c r="A3624" s="657" t="s">
        <v>9275</v>
      </c>
      <c r="B3624" t="s">
        <v>11819</v>
      </c>
      <c r="C3624" s="900" t="s">
        <v>11837</v>
      </c>
      <c r="D3624" s="905" t="s">
        <v>11840</v>
      </c>
    </row>
    <row r="3625" spans="1:4" ht="33">
      <c r="A3625" s="657" t="s">
        <v>893</v>
      </c>
      <c r="B3625" t="s">
        <v>11819</v>
      </c>
      <c r="C3625" s="900" t="s">
        <v>11837</v>
      </c>
      <c r="D3625" s="905" t="s">
        <v>11840</v>
      </c>
    </row>
    <row r="3626" spans="1:4" ht="33">
      <c r="A3626" s="657" t="s">
        <v>9277</v>
      </c>
      <c r="B3626" t="s">
        <v>11819</v>
      </c>
      <c r="C3626" s="900" t="s">
        <v>11837</v>
      </c>
      <c r="D3626" s="905" t="s">
        <v>11840</v>
      </c>
    </row>
    <row r="3627" spans="1:4" ht="16.5">
      <c r="A3627" s="657" t="s">
        <v>895</v>
      </c>
      <c r="B3627" t="s">
        <v>11819</v>
      </c>
      <c r="C3627" s="900" t="s">
        <v>11837</v>
      </c>
      <c r="D3627" s="905" t="s">
        <v>11840</v>
      </c>
    </row>
    <row r="3628" spans="1:4" ht="16.5">
      <c r="A3628" s="657" t="s">
        <v>9279</v>
      </c>
      <c r="B3628" t="s">
        <v>11819</v>
      </c>
      <c r="C3628" s="900" t="s">
        <v>11837</v>
      </c>
      <c r="D3628" s="905" t="s">
        <v>11840</v>
      </c>
    </row>
    <row r="3629" spans="1:4" ht="16.5">
      <c r="A3629" s="657" t="s">
        <v>897</v>
      </c>
      <c r="B3629" t="s">
        <v>11819</v>
      </c>
      <c r="C3629" s="900" t="s">
        <v>11837</v>
      </c>
      <c r="D3629" s="905" t="s">
        <v>11840</v>
      </c>
    </row>
    <row r="3630" spans="1:4" ht="33">
      <c r="A3630" s="657" t="s">
        <v>9281</v>
      </c>
      <c r="B3630" t="s">
        <v>11819</v>
      </c>
      <c r="C3630" s="900" t="s">
        <v>11837</v>
      </c>
      <c r="D3630" s="905" t="s">
        <v>11840</v>
      </c>
    </row>
    <row r="3631" spans="1:4" ht="16.5">
      <c r="A3631" s="657" t="s">
        <v>9283</v>
      </c>
      <c r="B3631" t="s">
        <v>11819</v>
      </c>
      <c r="C3631" s="900" t="s">
        <v>11837</v>
      </c>
      <c r="D3631" s="905" t="s">
        <v>11840</v>
      </c>
    </row>
    <row r="3632" spans="1:4" ht="33">
      <c r="A3632" s="657" t="s">
        <v>899</v>
      </c>
      <c r="B3632" t="s">
        <v>11819</v>
      </c>
      <c r="C3632" s="900" t="s">
        <v>11837</v>
      </c>
      <c r="D3632" s="905" t="s">
        <v>11840</v>
      </c>
    </row>
    <row r="3633" spans="1:4" ht="16.5">
      <c r="A3633" s="657" t="s">
        <v>9285</v>
      </c>
      <c r="B3633" t="s">
        <v>11819</v>
      </c>
      <c r="C3633" s="900" t="s">
        <v>11837</v>
      </c>
      <c r="D3633" s="905" t="s">
        <v>11840</v>
      </c>
    </row>
    <row r="3634" spans="1:4" ht="33">
      <c r="A3634" s="657" t="s">
        <v>9287</v>
      </c>
      <c r="B3634" t="s">
        <v>11819</v>
      </c>
      <c r="C3634" s="900" t="s">
        <v>11837</v>
      </c>
      <c r="D3634" s="905" t="s">
        <v>11840</v>
      </c>
    </row>
    <row r="3635" spans="1:4" ht="16.5">
      <c r="A3635" s="657" t="s">
        <v>9289</v>
      </c>
      <c r="B3635" t="s">
        <v>11819</v>
      </c>
      <c r="C3635" s="900" t="s">
        <v>11837</v>
      </c>
      <c r="D3635" s="905" t="s">
        <v>11840</v>
      </c>
    </row>
    <row r="3636" spans="1:4" ht="16.5">
      <c r="A3636" s="657" t="s">
        <v>9291</v>
      </c>
      <c r="B3636" t="s">
        <v>11819</v>
      </c>
      <c r="C3636" s="900" t="s">
        <v>11837</v>
      </c>
      <c r="D3636" s="905" t="s">
        <v>11840</v>
      </c>
    </row>
    <row r="3637" spans="1:4" ht="16.5">
      <c r="A3637" s="657" t="s">
        <v>901</v>
      </c>
      <c r="B3637" t="s">
        <v>11819</v>
      </c>
      <c r="C3637" s="900" t="s">
        <v>11837</v>
      </c>
      <c r="D3637" s="905" t="s">
        <v>11840</v>
      </c>
    </row>
    <row r="3638" spans="1:4" ht="16.5">
      <c r="A3638" s="657" t="s">
        <v>903</v>
      </c>
      <c r="B3638" t="s">
        <v>11819</v>
      </c>
      <c r="C3638" s="900" t="s">
        <v>11837</v>
      </c>
      <c r="D3638" s="905" t="s">
        <v>11840</v>
      </c>
    </row>
    <row r="3639" spans="1:4" ht="16.5">
      <c r="A3639" s="657" t="s">
        <v>9293</v>
      </c>
      <c r="B3639" t="s">
        <v>11819</v>
      </c>
      <c r="C3639" s="900" t="s">
        <v>11837</v>
      </c>
      <c r="D3639" s="905" t="s">
        <v>11840</v>
      </c>
    </row>
    <row r="3640" spans="1:4" ht="16.5">
      <c r="A3640" s="657" t="s">
        <v>9295</v>
      </c>
      <c r="B3640" t="s">
        <v>11819</v>
      </c>
      <c r="C3640" s="900" t="s">
        <v>11837</v>
      </c>
      <c r="D3640" s="905" t="s">
        <v>11840</v>
      </c>
    </row>
    <row r="3641" spans="1:4" ht="16.5">
      <c r="A3641" s="657" t="s">
        <v>905</v>
      </c>
      <c r="B3641" t="s">
        <v>11819</v>
      </c>
      <c r="C3641" s="900" t="s">
        <v>11837</v>
      </c>
      <c r="D3641" s="905" t="s">
        <v>11840</v>
      </c>
    </row>
    <row r="3642" spans="1:4" ht="16.5">
      <c r="A3642" s="657" t="s">
        <v>9297</v>
      </c>
      <c r="B3642" t="s">
        <v>11819</v>
      </c>
      <c r="C3642" s="900" t="s">
        <v>11837</v>
      </c>
      <c r="D3642" s="905" t="s">
        <v>11840</v>
      </c>
    </row>
    <row r="3643" spans="1:4" ht="16.5">
      <c r="A3643" s="657" t="s">
        <v>9299</v>
      </c>
      <c r="B3643" t="s">
        <v>11819</v>
      </c>
      <c r="C3643" s="900" t="s">
        <v>11837</v>
      </c>
      <c r="D3643" s="905" t="s">
        <v>11840</v>
      </c>
    </row>
    <row r="3644" spans="1:4" ht="16.5">
      <c r="A3644" s="657" t="s">
        <v>9301</v>
      </c>
      <c r="B3644" t="s">
        <v>11819</v>
      </c>
      <c r="C3644" s="900" t="s">
        <v>11837</v>
      </c>
      <c r="D3644" s="905" t="s">
        <v>11840</v>
      </c>
    </row>
    <row r="3645" spans="1:4" ht="16.5">
      <c r="A3645" s="657" t="s">
        <v>9303</v>
      </c>
      <c r="B3645" t="s">
        <v>11819</v>
      </c>
      <c r="C3645" s="900" t="s">
        <v>11837</v>
      </c>
      <c r="D3645" s="905" t="s">
        <v>11840</v>
      </c>
    </row>
    <row r="3646" spans="1:4" ht="16.5">
      <c r="A3646" s="657" t="s">
        <v>909</v>
      </c>
      <c r="B3646" t="s">
        <v>11819</v>
      </c>
      <c r="C3646" s="900" t="s">
        <v>11837</v>
      </c>
      <c r="D3646" s="905" t="s">
        <v>11840</v>
      </c>
    </row>
    <row r="3647" spans="1:4" ht="16.5">
      <c r="A3647" s="657" t="s">
        <v>911</v>
      </c>
      <c r="B3647" t="s">
        <v>11819</v>
      </c>
      <c r="C3647" s="900" t="s">
        <v>11837</v>
      </c>
      <c r="D3647" s="905" t="s">
        <v>11840</v>
      </c>
    </row>
    <row r="3648" spans="1:4" ht="16.5">
      <c r="A3648" s="657" t="s">
        <v>913</v>
      </c>
      <c r="B3648" t="s">
        <v>11819</v>
      </c>
      <c r="C3648" s="900" t="s">
        <v>11837</v>
      </c>
      <c r="D3648" s="905" t="s">
        <v>11840</v>
      </c>
    </row>
    <row r="3649" spans="1:4" ht="33">
      <c r="A3649" s="657" t="s">
        <v>915</v>
      </c>
      <c r="B3649" t="s">
        <v>11819</v>
      </c>
      <c r="C3649" s="900" t="s">
        <v>11837</v>
      </c>
      <c r="D3649" s="905" t="s">
        <v>11840</v>
      </c>
    </row>
    <row r="3650" spans="1:4" ht="16.5">
      <c r="A3650" s="657" t="s">
        <v>917</v>
      </c>
      <c r="B3650" t="s">
        <v>11819</v>
      </c>
      <c r="C3650" s="900" t="s">
        <v>11837</v>
      </c>
      <c r="D3650" s="905" t="s">
        <v>11840</v>
      </c>
    </row>
    <row r="3651" spans="1:4" ht="16.5">
      <c r="A3651" s="657" t="s">
        <v>919</v>
      </c>
      <c r="B3651" t="s">
        <v>11819</v>
      </c>
      <c r="C3651" s="900" t="s">
        <v>11837</v>
      </c>
      <c r="D3651" s="905" t="s">
        <v>11840</v>
      </c>
    </row>
    <row r="3652" spans="1:4" ht="16.5">
      <c r="A3652" s="657" t="s">
        <v>9305</v>
      </c>
      <c r="B3652" t="s">
        <v>11819</v>
      </c>
      <c r="C3652" s="900" t="s">
        <v>11837</v>
      </c>
      <c r="D3652" s="905" t="s">
        <v>11840</v>
      </c>
    </row>
    <row r="3653" spans="1:4" ht="33">
      <c r="A3653" s="657" t="s">
        <v>921</v>
      </c>
      <c r="B3653" t="s">
        <v>11819</v>
      </c>
      <c r="C3653" s="900" t="s">
        <v>11837</v>
      </c>
      <c r="D3653" s="905" t="s">
        <v>11840</v>
      </c>
    </row>
    <row r="3654" spans="1:4" ht="33">
      <c r="A3654" s="657" t="s">
        <v>9307</v>
      </c>
      <c r="B3654" t="s">
        <v>11819</v>
      </c>
      <c r="C3654" s="900" t="s">
        <v>11837</v>
      </c>
      <c r="D3654" s="905" t="s">
        <v>11840</v>
      </c>
    </row>
    <row r="3655" spans="1:4" ht="33">
      <c r="A3655" s="657" t="s">
        <v>923</v>
      </c>
      <c r="B3655" t="s">
        <v>11819</v>
      </c>
      <c r="C3655" s="900" t="s">
        <v>11837</v>
      </c>
      <c r="D3655" s="905" t="s">
        <v>11840</v>
      </c>
    </row>
    <row r="3656" spans="1:4" ht="16.5">
      <c r="A3656" s="657" t="s">
        <v>9309</v>
      </c>
      <c r="B3656" t="s">
        <v>11819</v>
      </c>
      <c r="C3656" s="900" t="s">
        <v>11837</v>
      </c>
      <c r="D3656" s="905" t="s">
        <v>11840</v>
      </c>
    </row>
    <row r="3657" spans="1:4" ht="33">
      <c r="A3657" s="657" t="s">
        <v>925</v>
      </c>
      <c r="B3657" t="s">
        <v>11819</v>
      </c>
      <c r="C3657" s="900" t="s">
        <v>11837</v>
      </c>
      <c r="D3657" s="905" t="s">
        <v>11840</v>
      </c>
    </row>
    <row r="3658" spans="1:4" ht="16.5">
      <c r="A3658" s="657" t="s">
        <v>9311</v>
      </c>
      <c r="B3658" t="s">
        <v>11819</v>
      </c>
      <c r="C3658" s="900" t="s">
        <v>11837</v>
      </c>
      <c r="D3658" s="905" t="s">
        <v>11840</v>
      </c>
    </row>
    <row r="3659" spans="1:4" ht="33">
      <c r="A3659" s="657" t="s">
        <v>927</v>
      </c>
      <c r="B3659" t="s">
        <v>11819</v>
      </c>
      <c r="C3659" s="900" t="s">
        <v>11837</v>
      </c>
      <c r="D3659" s="905" t="s">
        <v>11840</v>
      </c>
    </row>
    <row r="3660" spans="1:4" ht="33">
      <c r="A3660" s="657" t="s">
        <v>9313</v>
      </c>
      <c r="B3660" t="s">
        <v>11819</v>
      </c>
      <c r="C3660" s="900" t="s">
        <v>11837</v>
      </c>
      <c r="D3660" s="905" t="s">
        <v>11840</v>
      </c>
    </row>
    <row r="3661" spans="1:4" ht="33">
      <c r="A3661" s="657" t="s">
        <v>929</v>
      </c>
      <c r="B3661" t="s">
        <v>11819</v>
      </c>
      <c r="C3661" s="900" t="s">
        <v>11837</v>
      </c>
      <c r="D3661" s="905" t="s">
        <v>11840</v>
      </c>
    </row>
    <row r="3662" spans="1:4" ht="16.5">
      <c r="A3662" s="657" t="s">
        <v>9315</v>
      </c>
      <c r="B3662" t="s">
        <v>11819</v>
      </c>
      <c r="C3662" s="900" t="s">
        <v>11837</v>
      </c>
      <c r="D3662" s="905" t="s">
        <v>11840</v>
      </c>
    </row>
    <row r="3663" spans="1:4" ht="33">
      <c r="A3663" s="657" t="s">
        <v>931</v>
      </c>
      <c r="B3663" t="s">
        <v>11819</v>
      </c>
      <c r="C3663" s="900" t="s">
        <v>11837</v>
      </c>
      <c r="D3663" s="905" t="s">
        <v>11840</v>
      </c>
    </row>
    <row r="3664" spans="1:4" ht="33">
      <c r="A3664" s="657" t="s">
        <v>9317</v>
      </c>
      <c r="B3664" t="s">
        <v>11819</v>
      </c>
      <c r="C3664" s="900" t="s">
        <v>11837</v>
      </c>
      <c r="D3664" s="905" t="s">
        <v>11840</v>
      </c>
    </row>
    <row r="3665" spans="1:4" ht="16.5">
      <c r="A3665" s="657" t="s">
        <v>9319</v>
      </c>
      <c r="B3665" t="s">
        <v>11819</v>
      </c>
      <c r="C3665" s="900" t="s">
        <v>11837</v>
      </c>
      <c r="D3665" s="905" t="s">
        <v>11840</v>
      </c>
    </row>
    <row r="3666" spans="1:4" ht="33">
      <c r="A3666" s="657" t="s">
        <v>933</v>
      </c>
      <c r="B3666" t="s">
        <v>11819</v>
      </c>
      <c r="C3666" s="900" t="s">
        <v>11837</v>
      </c>
      <c r="D3666" s="905" t="s">
        <v>11840</v>
      </c>
    </row>
    <row r="3667" spans="1:4" ht="33">
      <c r="A3667" s="657" t="s">
        <v>9321</v>
      </c>
      <c r="B3667" t="s">
        <v>11819</v>
      </c>
      <c r="C3667" s="900" t="s">
        <v>11837</v>
      </c>
      <c r="D3667" s="905" t="s">
        <v>11840</v>
      </c>
    </row>
    <row r="3668" spans="1:4" ht="33">
      <c r="A3668" s="657" t="s">
        <v>9323</v>
      </c>
      <c r="B3668" t="s">
        <v>11819</v>
      </c>
      <c r="C3668" s="900" t="s">
        <v>11837</v>
      </c>
      <c r="D3668" s="905" t="s">
        <v>11840</v>
      </c>
    </row>
    <row r="3669" spans="1:4" ht="16.5">
      <c r="A3669" s="657" t="s">
        <v>9325</v>
      </c>
      <c r="B3669" t="s">
        <v>11819</v>
      </c>
      <c r="C3669" s="900" t="s">
        <v>11837</v>
      </c>
      <c r="D3669" s="905" t="s">
        <v>11840</v>
      </c>
    </row>
    <row r="3670" spans="1:4" ht="16.5">
      <c r="A3670" s="657" t="s">
        <v>9327</v>
      </c>
      <c r="B3670" t="s">
        <v>11819</v>
      </c>
      <c r="C3670" s="900" t="s">
        <v>11837</v>
      </c>
      <c r="D3670" s="905" t="s">
        <v>11840</v>
      </c>
    </row>
    <row r="3671" spans="1:4" ht="16.5">
      <c r="A3671" s="657" t="s">
        <v>935</v>
      </c>
      <c r="B3671" t="s">
        <v>11819</v>
      </c>
      <c r="C3671" s="900" t="s">
        <v>11837</v>
      </c>
      <c r="D3671" s="905" t="s">
        <v>11840</v>
      </c>
    </row>
    <row r="3672" spans="1:4" ht="16.5">
      <c r="A3672" s="657" t="s">
        <v>937</v>
      </c>
      <c r="B3672" t="s">
        <v>11819</v>
      </c>
      <c r="C3672" s="900" t="s">
        <v>11837</v>
      </c>
      <c r="D3672" s="905" t="s">
        <v>11840</v>
      </c>
    </row>
    <row r="3673" spans="1:4" ht="16.5">
      <c r="A3673" s="657" t="s">
        <v>9329</v>
      </c>
      <c r="B3673" t="s">
        <v>11819</v>
      </c>
      <c r="C3673" s="900" t="s">
        <v>11837</v>
      </c>
      <c r="D3673" s="905" t="s">
        <v>11840</v>
      </c>
    </row>
    <row r="3674" spans="1:4" ht="16.5">
      <c r="A3674" s="657" t="s">
        <v>9331</v>
      </c>
      <c r="B3674" t="s">
        <v>11819</v>
      </c>
      <c r="C3674" s="900" t="s">
        <v>11837</v>
      </c>
      <c r="D3674" s="905" t="s">
        <v>11840</v>
      </c>
    </row>
    <row r="3675" spans="1:4" ht="16.5">
      <c r="A3675" s="657" t="s">
        <v>939</v>
      </c>
      <c r="B3675" t="s">
        <v>11819</v>
      </c>
      <c r="C3675" s="900" t="s">
        <v>11837</v>
      </c>
      <c r="D3675" s="905" t="s">
        <v>11840</v>
      </c>
    </row>
    <row r="3676" spans="1:4" ht="16.5">
      <c r="A3676" s="657" t="s">
        <v>9333</v>
      </c>
      <c r="B3676" t="s">
        <v>11819</v>
      </c>
      <c r="C3676" s="900" t="s">
        <v>11837</v>
      </c>
      <c r="D3676" s="905" t="s">
        <v>11840</v>
      </c>
    </row>
    <row r="3677" spans="1:4" ht="33">
      <c r="A3677" s="657" t="s">
        <v>944</v>
      </c>
      <c r="B3677" t="s">
        <v>11819</v>
      </c>
      <c r="C3677" s="900" t="s">
        <v>11837</v>
      </c>
      <c r="D3677" s="905" t="s">
        <v>11840</v>
      </c>
    </row>
    <row r="3678" spans="1:4" ht="33">
      <c r="A3678" s="657" t="s">
        <v>946</v>
      </c>
      <c r="B3678" t="s">
        <v>11819</v>
      </c>
      <c r="C3678" s="900" t="s">
        <v>11837</v>
      </c>
      <c r="D3678" s="905" t="s">
        <v>11840</v>
      </c>
    </row>
    <row r="3679" spans="1:4" ht="33">
      <c r="A3679" s="657" t="s">
        <v>948</v>
      </c>
      <c r="B3679" t="s">
        <v>11819</v>
      </c>
      <c r="C3679" s="900" t="s">
        <v>11837</v>
      </c>
      <c r="D3679" s="905" t="s">
        <v>11840</v>
      </c>
    </row>
    <row r="3680" spans="1:4" ht="33">
      <c r="A3680" s="657" t="s">
        <v>950</v>
      </c>
      <c r="B3680" t="s">
        <v>11819</v>
      </c>
      <c r="C3680" s="900" t="s">
        <v>11837</v>
      </c>
      <c r="D3680" s="905" t="s">
        <v>11840</v>
      </c>
    </row>
    <row r="3681" spans="1:4" ht="33">
      <c r="A3681" s="657" t="s">
        <v>952</v>
      </c>
      <c r="B3681" t="s">
        <v>11819</v>
      </c>
      <c r="C3681" s="900" t="s">
        <v>11837</v>
      </c>
      <c r="D3681" s="905" t="s">
        <v>11840</v>
      </c>
    </row>
    <row r="3682" spans="1:4" ht="33">
      <c r="A3682" s="657" t="s">
        <v>954</v>
      </c>
      <c r="B3682" t="s">
        <v>11819</v>
      </c>
      <c r="C3682" s="900" t="s">
        <v>11837</v>
      </c>
      <c r="D3682" s="905" t="s">
        <v>11840</v>
      </c>
    </row>
    <row r="3683" spans="1:4" ht="33">
      <c r="A3683" s="657" t="s">
        <v>956</v>
      </c>
      <c r="B3683" t="s">
        <v>11819</v>
      </c>
      <c r="C3683" s="900" t="s">
        <v>11837</v>
      </c>
      <c r="D3683" s="905" t="s">
        <v>11840</v>
      </c>
    </row>
    <row r="3684" spans="1:4" ht="33">
      <c r="A3684" s="657" t="s">
        <v>958</v>
      </c>
      <c r="B3684" t="s">
        <v>11819</v>
      </c>
      <c r="C3684" s="900" t="s">
        <v>11837</v>
      </c>
      <c r="D3684" s="905" t="s">
        <v>11840</v>
      </c>
    </row>
    <row r="3685" spans="1:4" ht="33">
      <c r="A3685" s="657" t="s">
        <v>960</v>
      </c>
      <c r="B3685" t="s">
        <v>11819</v>
      </c>
      <c r="C3685" s="900" t="s">
        <v>11837</v>
      </c>
      <c r="D3685" s="905" t="s">
        <v>11840</v>
      </c>
    </row>
    <row r="3686" spans="1:4" ht="33">
      <c r="A3686" s="657" t="s">
        <v>962</v>
      </c>
      <c r="B3686" t="s">
        <v>11819</v>
      </c>
      <c r="C3686" s="900" t="s">
        <v>11837</v>
      </c>
      <c r="D3686" s="905" t="s">
        <v>11840</v>
      </c>
    </row>
    <row r="3687" spans="1:4" ht="33">
      <c r="A3687" s="657" t="s">
        <v>964</v>
      </c>
      <c r="B3687" t="s">
        <v>11819</v>
      </c>
      <c r="C3687" s="900" t="s">
        <v>11837</v>
      </c>
      <c r="D3687" s="905" t="s">
        <v>11840</v>
      </c>
    </row>
    <row r="3688" spans="1:4" ht="33">
      <c r="A3688" s="657" t="s">
        <v>966</v>
      </c>
      <c r="B3688" t="s">
        <v>11819</v>
      </c>
      <c r="C3688" s="900" t="s">
        <v>11837</v>
      </c>
      <c r="D3688" s="905" t="s">
        <v>11840</v>
      </c>
    </row>
    <row r="3689" spans="1:4" ht="33">
      <c r="A3689" s="657" t="s">
        <v>968</v>
      </c>
      <c r="B3689" t="s">
        <v>11819</v>
      </c>
      <c r="C3689" s="900" t="s">
        <v>11837</v>
      </c>
      <c r="D3689" s="905" t="s">
        <v>11840</v>
      </c>
    </row>
    <row r="3690" spans="1:4" ht="33">
      <c r="A3690" s="657" t="s">
        <v>970</v>
      </c>
      <c r="B3690" t="s">
        <v>11819</v>
      </c>
      <c r="C3690" s="900" t="s">
        <v>11837</v>
      </c>
      <c r="D3690" s="905" t="s">
        <v>11840</v>
      </c>
    </row>
    <row r="3691" spans="1:4" ht="33">
      <c r="A3691" s="657" t="s">
        <v>972</v>
      </c>
      <c r="B3691" t="s">
        <v>11819</v>
      </c>
      <c r="C3691" s="900" t="s">
        <v>11837</v>
      </c>
      <c r="D3691" s="905" t="s">
        <v>11840</v>
      </c>
    </row>
    <row r="3692" spans="1:4" ht="16.5">
      <c r="A3692" s="657" t="s">
        <v>974</v>
      </c>
      <c r="B3692" t="s">
        <v>11819</v>
      </c>
      <c r="C3692" s="900" t="s">
        <v>11837</v>
      </c>
      <c r="D3692" s="905" t="s">
        <v>11840</v>
      </c>
    </row>
    <row r="3693" spans="1:4" ht="16.5">
      <c r="A3693" s="657" t="s">
        <v>976</v>
      </c>
      <c r="B3693" t="s">
        <v>11819</v>
      </c>
      <c r="C3693" s="900" t="s">
        <v>11837</v>
      </c>
      <c r="D3693" s="905" t="s">
        <v>11840</v>
      </c>
    </row>
    <row r="3694" spans="1:4" ht="16.5">
      <c r="A3694" s="657" t="s">
        <v>978</v>
      </c>
      <c r="B3694" t="s">
        <v>11819</v>
      </c>
      <c r="C3694" s="900" t="s">
        <v>11837</v>
      </c>
      <c r="D3694" s="905" t="s">
        <v>11840</v>
      </c>
    </row>
    <row r="3695" spans="1:4" ht="16.5">
      <c r="A3695" s="657" t="s">
        <v>980</v>
      </c>
      <c r="B3695" t="s">
        <v>11819</v>
      </c>
      <c r="C3695" s="900" t="s">
        <v>11837</v>
      </c>
      <c r="D3695" s="905" t="s">
        <v>11840</v>
      </c>
    </row>
    <row r="3696" spans="1:4" ht="16.5">
      <c r="A3696" s="657" t="s">
        <v>982</v>
      </c>
      <c r="B3696" t="s">
        <v>11819</v>
      </c>
      <c r="C3696" s="900" t="s">
        <v>11837</v>
      </c>
      <c r="D3696" s="905" t="s">
        <v>11840</v>
      </c>
    </row>
    <row r="3697" spans="1:4" ht="16.5">
      <c r="A3697" s="657" t="s">
        <v>984</v>
      </c>
      <c r="B3697" t="s">
        <v>11819</v>
      </c>
      <c r="C3697" s="900" t="s">
        <v>11837</v>
      </c>
      <c r="D3697" s="905" t="s">
        <v>11840</v>
      </c>
    </row>
    <row r="3698" spans="1:4" ht="16.5">
      <c r="A3698" s="657" t="s">
        <v>986</v>
      </c>
      <c r="B3698" t="s">
        <v>11819</v>
      </c>
      <c r="C3698" s="900" t="s">
        <v>11837</v>
      </c>
      <c r="D3698" s="905" t="s">
        <v>11840</v>
      </c>
    </row>
    <row r="3699" spans="1:4" ht="16.5">
      <c r="A3699" s="657" t="s">
        <v>988</v>
      </c>
      <c r="B3699" t="s">
        <v>11819</v>
      </c>
      <c r="C3699" s="900" t="s">
        <v>11837</v>
      </c>
      <c r="D3699" s="905" t="s">
        <v>11840</v>
      </c>
    </row>
    <row r="3700" spans="1:4" ht="16.5">
      <c r="A3700" s="657" t="s">
        <v>990</v>
      </c>
      <c r="B3700" t="s">
        <v>11819</v>
      </c>
      <c r="C3700" s="900" t="s">
        <v>11837</v>
      </c>
      <c r="D3700" s="905" t="s">
        <v>11840</v>
      </c>
    </row>
    <row r="3701" spans="1:4" ht="16.5">
      <c r="A3701" s="657" t="s">
        <v>9335</v>
      </c>
      <c r="B3701" t="s">
        <v>11819</v>
      </c>
      <c r="C3701" s="900" t="s">
        <v>11837</v>
      </c>
      <c r="D3701" s="905" t="s">
        <v>11840</v>
      </c>
    </row>
    <row r="3702" spans="1:4" ht="16.5">
      <c r="A3702" s="657" t="s">
        <v>992</v>
      </c>
      <c r="B3702" t="s">
        <v>11819</v>
      </c>
      <c r="C3702" s="900" t="s">
        <v>11837</v>
      </c>
      <c r="D3702" s="905" t="s">
        <v>11840</v>
      </c>
    </row>
    <row r="3703" spans="1:4" ht="16.5">
      <c r="A3703" s="657" t="s">
        <v>9337</v>
      </c>
      <c r="B3703" t="s">
        <v>11819</v>
      </c>
      <c r="C3703" s="900" t="s">
        <v>11837</v>
      </c>
      <c r="D3703" s="905" t="s">
        <v>11840</v>
      </c>
    </row>
    <row r="3704" spans="1:4" ht="33">
      <c r="A3704" s="657" t="s">
        <v>994</v>
      </c>
      <c r="B3704" t="s">
        <v>11819</v>
      </c>
      <c r="C3704" s="900" t="s">
        <v>11837</v>
      </c>
      <c r="D3704" s="905" t="s">
        <v>11840</v>
      </c>
    </row>
    <row r="3705" spans="1:4" ht="16.5">
      <c r="A3705" s="657" t="s">
        <v>9339</v>
      </c>
      <c r="B3705" t="s">
        <v>11819</v>
      </c>
      <c r="C3705" s="900" t="s">
        <v>11837</v>
      </c>
      <c r="D3705" s="905" t="s">
        <v>11840</v>
      </c>
    </row>
    <row r="3706" spans="1:4" ht="16.5">
      <c r="A3706" s="657" t="s">
        <v>996</v>
      </c>
      <c r="B3706" t="s">
        <v>11819</v>
      </c>
      <c r="C3706" s="900" t="s">
        <v>11837</v>
      </c>
      <c r="D3706" s="905" t="s">
        <v>11840</v>
      </c>
    </row>
    <row r="3707" spans="1:4" ht="16.5">
      <c r="A3707" s="657" t="s">
        <v>9341</v>
      </c>
      <c r="B3707" t="s">
        <v>11819</v>
      </c>
      <c r="C3707" s="900" t="s">
        <v>11837</v>
      </c>
      <c r="D3707" s="905" t="s">
        <v>11840</v>
      </c>
    </row>
    <row r="3708" spans="1:4" ht="33">
      <c r="A3708" s="657" t="s">
        <v>998</v>
      </c>
      <c r="B3708" t="s">
        <v>11819</v>
      </c>
      <c r="C3708" s="900" t="s">
        <v>11837</v>
      </c>
      <c r="D3708" s="905" t="s">
        <v>11840</v>
      </c>
    </row>
    <row r="3709" spans="1:4" ht="33">
      <c r="A3709" s="657" t="s">
        <v>9343</v>
      </c>
      <c r="B3709" t="s">
        <v>11819</v>
      </c>
      <c r="C3709" s="900" t="s">
        <v>11837</v>
      </c>
      <c r="D3709" s="905" t="s">
        <v>11840</v>
      </c>
    </row>
    <row r="3710" spans="1:4" ht="16.5">
      <c r="A3710" s="657" t="s">
        <v>1000</v>
      </c>
      <c r="B3710" t="s">
        <v>11819</v>
      </c>
      <c r="C3710" s="900" t="s">
        <v>11837</v>
      </c>
      <c r="D3710" s="905" t="s">
        <v>11840</v>
      </c>
    </row>
    <row r="3711" spans="1:4" ht="16.5">
      <c r="A3711" s="657" t="s">
        <v>9345</v>
      </c>
      <c r="B3711" t="s">
        <v>11819</v>
      </c>
      <c r="C3711" s="900" t="s">
        <v>11837</v>
      </c>
      <c r="D3711" s="905" t="s">
        <v>11840</v>
      </c>
    </row>
    <row r="3712" spans="1:4" ht="16.5">
      <c r="A3712" s="657" t="s">
        <v>1002</v>
      </c>
      <c r="B3712" t="s">
        <v>11819</v>
      </c>
      <c r="C3712" s="900" t="s">
        <v>11837</v>
      </c>
      <c r="D3712" s="905" t="s">
        <v>11840</v>
      </c>
    </row>
    <row r="3713" spans="1:4" ht="33">
      <c r="A3713" s="657" t="s">
        <v>9347</v>
      </c>
      <c r="B3713" t="s">
        <v>11819</v>
      </c>
      <c r="C3713" s="900" t="s">
        <v>11837</v>
      </c>
      <c r="D3713" s="905" t="s">
        <v>11840</v>
      </c>
    </row>
    <row r="3714" spans="1:4" ht="16.5">
      <c r="A3714" s="657" t="s">
        <v>9349</v>
      </c>
      <c r="B3714" t="s">
        <v>11819</v>
      </c>
      <c r="C3714" s="900" t="s">
        <v>11837</v>
      </c>
      <c r="D3714" s="905" t="s">
        <v>11840</v>
      </c>
    </row>
    <row r="3715" spans="1:4" ht="33">
      <c r="A3715" s="657" t="s">
        <v>1004</v>
      </c>
      <c r="B3715" t="s">
        <v>11819</v>
      </c>
      <c r="C3715" s="900" t="s">
        <v>11837</v>
      </c>
      <c r="D3715" s="905" t="s">
        <v>11840</v>
      </c>
    </row>
    <row r="3716" spans="1:4" ht="16.5">
      <c r="A3716" s="657" t="s">
        <v>9351</v>
      </c>
      <c r="B3716" t="s">
        <v>11819</v>
      </c>
      <c r="C3716" s="900" t="s">
        <v>11837</v>
      </c>
      <c r="D3716" s="905" t="s">
        <v>11840</v>
      </c>
    </row>
    <row r="3717" spans="1:4" ht="33">
      <c r="A3717" s="657" t="s">
        <v>9353</v>
      </c>
      <c r="B3717" t="s">
        <v>11819</v>
      </c>
      <c r="C3717" s="900" t="s">
        <v>11837</v>
      </c>
      <c r="D3717" s="905" t="s">
        <v>11840</v>
      </c>
    </row>
    <row r="3718" spans="1:4" ht="33">
      <c r="A3718" s="657" t="s">
        <v>9355</v>
      </c>
      <c r="B3718" t="s">
        <v>11819</v>
      </c>
      <c r="C3718" s="900" t="s">
        <v>11837</v>
      </c>
      <c r="D3718" s="905" t="s">
        <v>11840</v>
      </c>
    </row>
    <row r="3719" spans="1:4" ht="33">
      <c r="A3719" s="657" t="s">
        <v>9357</v>
      </c>
      <c r="B3719" t="s">
        <v>11819</v>
      </c>
      <c r="C3719" s="900" t="s">
        <v>11837</v>
      </c>
      <c r="D3719" s="905" t="s">
        <v>11840</v>
      </c>
    </row>
    <row r="3720" spans="1:4" ht="33">
      <c r="A3720" s="657" t="s">
        <v>9359</v>
      </c>
      <c r="B3720" t="s">
        <v>11819</v>
      </c>
      <c r="C3720" s="900" t="s">
        <v>11837</v>
      </c>
      <c r="D3720" s="905" t="s">
        <v>11840</v>
      </c>
    </row>
    <row r="3721" spans="1:4" ht="33">
      <c r="A3721" s="657" t="s">
        <v>1006</v>
      </c>
      <c r="B3721" t="s">
        <v>11819</v>
      </c>
      <c r="C3721" s="900" t="s">
        <v>11837</v>
      </c>
      <c r="D3721" s="905" t="s">
        <v>11840</v>
      </c>
    </row>
    <row r="3722" spans="1:4" ht="33">
      <c r="A3722" s="657" t="s">
        <v>9361</v>
      </c>
      <c r="B3722" t="s">
        <v>11819</v>
      </c>
      <c r="C3722" s="900" t="s">
        <v>11837</v>
      </c>
      <c r="D3722" s="905" t="s">
        <v>11840</v>
      </c>
    </row>
    <row r="3723" spans="1:4" ht="33">
      <c r="A3723" s="657" t="s">
        <v>9363</v>
      </c>
      <c r="B3723" t="s">
        <v>11819</v>
      </c>
      <c r="C3723" s="900" t="s">
        <v>11837</v>
      </c>
      <c r="D3723" s="905" t="s">
        <v>11840</v>
      </c>
    </row>
    <row r="3724" spans="1:4" ht="33">
      <c r="A3724" s="657" t="s">
        <v>9365</v>
      </c>
      <c r="B3724" t="s">
        <v>11819</v>
      </c>
      <c r="C3724" s="900" t="s">
        <v>11837</v>
      </c>
      <c r="D3724" s="905" t="s">
        <v>11840</v>
      </c>
    </row>
    <row r="3725" spans="1:4" ht="33">
      <c r="A3725" s="657" t="s">
        <v>9367</v>
      </c>
      <c r="B3725" t="s">
        <v>11819</v>
      </c>
      <c r="C3725" s="900" t="s">
        <v>11837</v>
      </c>
      <c r="D3725" s="905" t="s">
        <v>11840</v>
      </c>
    </row>
    <row r="3726" spans="1:4" ht="33">
      <c r="A3726" s="657" t="s">
        <v>1008</v>
      </c>
      <c r="B3726" t="s">
        <v>11819</v>
      </c>
      <c r="C3726" s="900" t="s">
        <v>11837</v>
      </c>
      <c r="D3726" s="905" t="s">
        <v>11840</v>
      </c>
    </row>
    <row r="3727" spans="1:4" ht="16.5">
      <c r="A3727" s="657" t="s">
        <v>1010</v>
      </c>
      <c r="B3727" t="s">
        <v>11819</v>
      </c>
      <c r="C3727" s="900" t="s">
        <v>11837</v>
      </c>
      <c r="D3727" s="905" t="s">
        <v>11840</v>
      </c>
    </row>
    <row r="3728" spans="1:4" ht="16.5">
      <c r="A3728" s="657" t="s">
        <v>1012</v>
      </c>
      <c r="B3728" t="s">
        <v>11819</v>
      </c>
      <c r="C3728" s="900" t="s">
        <v>11837</v>
      </c>
      <c r="D3728" s="905" t="s">
        <v>11840</v>
      </c>
    </row>
    <row r="3729" spans="1:4" ht="16.5">
      <c r="A3729" s="657" t="s">
        <v>1014</v>
      </c>
      <c r="B3729" t="s">
        <v>11819</v>
      </c>
      <c r="C3729" s="900" t="s">
        <v>11837</v>
      </c>
      <c r="D3729" s="905" t="s">
        <v>11840</v>
      </c>
    </row>
    <row r="3730" spans="1:4" ht="16.5">
      <c r="A3730" s="657" t="s">
        <v>1016</v>
      </c>
      <c r="B3730" t="s">
        <v>11819</v>
      </c>
      <c r="C3730" s="900" t="s">
        <v>11837</v>
      </c>
      <c r="D3730" s="905" t="s">
        <v>11840</v>
      </c>
    </row>
    <row r="3731" spans="1:4" ht="33">
      <c r="A3731" s="657" t="s">
        <v>1018</v>
      </c>
      <c r="B3731" t="s">
        <v>11819</v>
      </c>
      <c r="C3731" s="900" t="s">
        <v>11837</v>
      </c>
      <c r="D3731" s="905" t="s">
        <v>11840</v>
      </c>
    </row>
    <row r="3732" spans="1:4" ht="33">
      <c r="A3732" s="657" t="s">
        <v>1020</v>
      </c>
      <c r="B3732" t="s">
        <v>11819</v>
      </c>
      <c r="C3732" s="900" t="s">
        <v>11837</v>
      </c>
      <c r="D3732" s="905" t="s">
        <v>11840</v>
      </c>
    </row>
    <row r="3733" spans="1:4" ht="33">
      <c r="A3733" s="657" t="s">
        <v>1022</v>
      </c>
      <c r="B3733" t="s">
        <v>11819</v>
      </c>
      <c r="C3733" s="900" t="s">
        <v>11837</v>
      </c>
      <c r="D3733" s="905" t="s">
        <v>11840</v>
      </c>
    </row>
    <row r="3734" spans="1:4" ht="16.5">
      <c r="A3734" s="657" t="s">
        <v>1024</v>
      </c>
      <c r="B3734" t="s">
        <v>11819</v>
      </c>
      <c r="C3734" s="900" t="s">
        <v>11837</v>
      </c>
      <c r="D3734" s="905" t="s">
        <v>11840</v>
      </c>
    </row>
    <row r="3735" spans="1:4" ht="16.5">
      <c r="A3735" s="657" t="s">
        <v>1026</v>
      </c>
      <c r="B3735" t="s">
        <v>11819</v>
      </c>
      <c r="C3735" s="900" t="s">
        <v>11837</v>
      </c>
      <c r="D3735" s="905" t="s">
        <v>11840</v>
      </c>
    </row>
    <row r="3736" spans="1:4" ht="33">
      <c r="A3736" s="657" t="s">
        <v>9369</v>
      </c>
      <c r="B3736" t="s">
        <v>11819</v>
      </c>
      <c r="C3736" s="900" t="s">
        <v>11837</v>
      </c>
      <c r="D3736" s="905" t="s">
        <v>11840</v>
      </c>
    </row>
    <row r="3737" spans="1:4" ht="33">
      <c r="A3737" s="657" t="s">
        <v>1028</v>
      </c>
      <c r="B3737" t="s">
        <v>11819</v>
      </c>
      <c r="C3737" s="900" t="s">
        <v>11837</v>
      </c>
      <c r="D3737" s="905" t="s">
        <v>11840</v>
      </c>
    </row>
    <row r="3738" spans="1:4" ht="33">
      <c r="A3738" s="657" t="s">
        <v>9371</v>
      </c>
      <c r="B3738" t="s">
        <v>11819</v>
      </c>
      <c r="C3738" s="900" t="s">
        <v>11837</v>
      </c>
      <c r="D3738" s="905" t="s">
        <v>11840</v>
      </c>
    </row>
    <row r="3739" spans="1:4" ht="33">
      <c r="A3739" s="657" t="s">
        <v>1030</v>
      </c>
      <c r="B3739" t="s">
        <v>11819</v>
      </c>
      <c r="C3739" s="900" t="s">
        <v>11837</v>
      </c>
      <c r="D3739" s="905" t="s">
        <v>11840</v>
      </c>
    </row>
    <row r="3740" spans="1:4" ht="16.5">
      <c r="A3740" s="657" t="s">
        <v>9373</v>
      </c>
      <c r="B3740" t="s">
        <v>11819</v>
      </c>
      <c r="C3740" s="900" t="s">
        <v>11837</v>
      </c>
      <c r="D3740" s="905" t="s">
        <v>11840</v>
      </c>
    </row>
    <row r="3741" spans="1:4" ht="33">
      <c r="A3741" s="657" t="s">
        <v>1032</v>
      </c>
      <c r="B3741" t="s">
        <v>11819</v>
      </c>
      <c r="C3741" s="900" t="s">
        <v>11837</v>
      </c>
      <c r="D3741" s="905" t="s">
        <v>11840</v>
      </c>
    </row>
    <row r="3742" spans="1:4" ht="33">
      <c r="A3742" s="657" t="s">
        <v>9375</v>
      </c>
      <c r="B3742" t="s">
        <v>11819</v>
      </c>
      <c r="C3742" s="900" t="s">
        <v>11837</v>
      </c>
      <c r="D3742" s="905" t="s">
        <v>11840</v>
      </c>
    </row>
    <row r="3743" spans="1:4" ht="33">
      <c r="A3743" s="657" t="s">
        <v>1034</v>
      </c>
      <c r="B3743" t="s">
        <v>11819</v>
      </c>
      <c r="C3743" s="900" t="s">
        <v>11837</v>
      </c>
      <c r="D3743" s="905" t="s">
        <v>11840</v>
      </c>
    </row>
    <row r="3744" spans="1:4" ht="33">
      <c r="A3744" s="657" t="s">
        <v>9377</v>
      </c>
      <c r="B3744" t="s">
        <v>11819</v>
      </c>
      <c r="C3744" s="900" t="s">
        <v>11837</v>
      </c>
      <c r="D3744" s="905" t="s">
        <v>11840</v>
      </c>
    </row>
    <row r="3745" spans="1:4" ht="33">
      <c r="A3745" s="657" t="s">
        <v>1036</v>
      </c>
      <c r="B3745" t="s">
        <v>11819</v>
      </c>
      <c r="C3745" s="900" t="s">
        <v>11837</v>
      </c>
      <c r="D3745" s="905" t="s">
        <v>11840</v>
      </c>
    </row>
    <row r="3746" spans="1:4" ht="16.5">
      <c r="A3746" s="657" t="s">
        <v>9379</v>
      </c>
      <c r="B3746" t="s">
        <v>11819</v>
      </c>
      <c r="C3746" s="900" t="s">
        <v>11837</v>
      </c>
      <c r="D3746" s="905" t="s">
        <v>11840</v>
      </c>
    </row>
    <row r="3747" spans="1:4" ht="33">
      <c r="A3747" s="657" t="s">
        <v>1038</v>
      </c>
      <c r="B3747" t="s">
        <v>11819</v>
      </c>
      <c r="C3747" s="900" t="s">
        <v>11837</v>
      </c>
      <c r="D3747" s="905" t="s">
        <v>11840</v>
      </c>
    </row>
    <row r="3748" spans="1:4" ht="33">
      <c r="A3748" s="657" t="s">
        <v>9381</v>
      </c>
      <c r="B3748" t="s">
        <v>11819</v>
      </c>
      <c r="C3748" s="900" t="s">
        <v>11837</v>
      </c>
      <c r="D3748" s="905" t="s">
        <v>11840</v>
      </c>
    </row>
    <row r="3749" spans="1:4" ht="33">
      <c r="A3749" s="657" t="s">
        <v>9383</v>
      </c>
      <c r="B3749" t="s">
        <v>11819</v>
      </c>
      <c r="C3749" s="900" t="s">
        <v>11837</v>
      </c>
      <c r="D3749" s="905" t="s">
        <v>11840</v>
      </c>
    </row>
    <row r="3750" spans="1:4" ht="33">
      <c r="A3750" s="657" t="s">
        <v>1040</v>
      </c>
      <c r="B3750" t="s">
        <v>11819</v>
      </c>
      <c r="C3750" s="900" t="s">
        <v>11837</v>
      </c>
      <c r="D3750" s="905" t="s">
        <v>11840</v>
      </c>
    </row>
    <row r="3751" spans="1:4" ht="33">
      <c r="A3751" s="657" t="s">
        <v>9385</v>
      </c>
      <c r="B3751" t="s">
        <v>11819</v>
      </c>
      <c r="C3751" s="900" t="s">
        <v>11837</v>
      </c>
      <c r="D3751" s="905" t="s">
        <v>11840</v>
      </c>
    </row>
    <row r="3752" spans="1:4" ht="33">
      <c r="A3752" s="657" t="s">
        <v>9387</v>
      </c>
      <c r="B3752" t="s">
        <v>11819</v>
      </c>
      <c r="C3752" s="900" t="s">
        <v>11837</v>
      </c>
      <c r="D3752" s="905" t="s">
        <v>11840</v>
      </c>
    </row>
    <row r="3753" spans="1:4" ht="33">
      <c r="A3753" s="657" t="s">
        <v>9389</v>
      </c>
      <c r="B3753" t="s">
        <v>11819</v>
      </c>
      <c r="C3753" s="900" t="s">
        <v>11837</v>
      </c>
      <c r="D3753" s="905" t="s">
        <v>11840</v>
      </c>
    </row>
    <row r="3754" spans="1:4" ht="33">
      <c r="A3754" s="657" t="s">
        <v>9391</v>
      </c>
      <c r="B3754" t="s">
        <v>11819</v>
      </c>
      <c r="C3754" s="900" t="s">
        <v>11837</v>
      </c>
      <c r="D3754" s="905" t="s">
        <v>11840</v>
      </c>
    </row>
    <row r="3755" spans="1:4" ht="33">
      <c r="A3755" s="657" t="s">
        <v>9393</v>
      </c>
      <c r="B3755" t="s">
        <v>11819</v>
      </c>
      <c r="C3755" s="900" t="s">
        <v>11837</v>
      </c>
      <c r="D3755" s="905" t="s">
        <v>11840</v>
      </c>
    </row>
    <row r="3756" spans="1:4" ht="33">
      <c r="A3756" s="657" t="s">
        <v>1042</v>
      </c>
      <c r="B3756" t="s">
        <v>11819</v>
      </c>
      <c r="C3756" s="900" t="s">
        <v>11837</v>
      </c>
      <c r="D3756" s="905" t="s">
        <v>11840</v>
      </c>
    </row>
    <row r="3757" spans="1:4" ht="33">
      <c r="A3757" s="657" t="s">
        <v>9395</v>
      </c>
      <c r="B3757" t="s">
        <v>11819</v>
      </c>
      <c r="C3757" s="900" t="s">
        <v>11837</v>
      </c>
      <c r="D3757" s="905" t="s">
        <v>11840</v>
      </c>
    </row>
    <row r="3758" spans="1:4" ht="33">
      <c r="A3758" s="657" t="s">
        <v>9397</v>
      </c>
      <c r="B3758" t="s">
        <v>11819</v>
      </c>
      <c r="C3758" s="900" t="s">
        <v>11837</v>
      </c>
      <c r="D3758" s="905" t="s">
        <v>11840</v>
      </c>
    </row>
    <row r="3759" spans="1:4" ht="33">
      <c r="A3759" s="657" t="s">
        <v>9399</v>
      </c>
      <c r="B3759" t="s">
        <v>11819</v>
      </c>
      <c r="C3759" s="900" t="s">
        <v>11837</v>
      </c>
      <c r="D3759" s="905" t="s">
        <v>11840</v>
      </c>
    </row>
    <row r="3760" spans="1:4" ht="33">
      <c r="A3760" s="657" t="s">
        <v>9401</v>
      </c>
      <c r="B3760" t="s">
        <v>11819</v>
      </c>
      <c r="C3760" s="900" t="s">
        <v>11837</v>
      </c>
      <c r="D3760" s="905" t="s">
        <v>11840</v>
      </c>
    </row>
    <row r="3761" spans="1:4" ht="33">
      <c r="A3761" s="657" t="s">
        <v>9403</v>
      </c>
      <c r="B3761" t="s">
        <v>11819</v>
      </c>
      <c r="C3761" s="900" t="s">
        <v>11837</v>
      </c>
      <c r="D3761" s="905" t="s">
        <v>11840</v>
      </c>
    </row>
    <row r="3762" spans="1:4" ht="33">
      <c r="A3762" s="657" t="s">
        <v>1044</v>
      </c>
      <c r="B3762" t="s">
        <v>11819</v>
      </c>
      <c r="C3762" s="900" t="s">
        <v>11837</v>
      </c>
      <c r="D3762" s="905" t="s">
        <v>11840</v>
      </c>
    </row>
    <row r="3763" spans="1:4" ht="16.5">
      <c r="A3763" s="657" t="s">
        <v>1046</v>
      </c>
      <c r="B3763" t="s">
        <v>11819</v>
      </c>
      <c r="C3763" s="900" t="s">
        <v>11837</v>
      </c>
      <c r="D3763" s="905" t="s">
        <v>11840</v>
      </c>
    </row>
    <row r="3764" spans="1:4" ht="33">
      <c r="A3764" s="657" t="s">
        <v>1048</v>
      </c>
      <c r="B3764" t="s">
        <v>11819</v>
      </c>
      <c r="C3764" s="900" t="s">
        <v>11837</v>
      </c>
      <c r="D3764" s="905" t="s">
        <v>11840</v>
      </c>
    </row>
    <row r="3765" spans="1:4" ht="33">
      <c r="A3765" s="657" t="s">
        <v>1050</v>
      </c>
      <c r="B3765" t="s">
        <v>11819</v>
      </c>
      <c r="C3765" s="900" t="s">
        <v>11837</v>
      </c>
      <c r="D3765" s="905" t="s">
        <v>11840</v>
      </c>
    </row>
    <row r="3766" spans="1:4" ht="33">
      <c r="A3766" s="657" t="s">
        <v>1052</v>
      </c>
      <c r="B3766" t="s">
        <v>11819</v>
      </c>
      <c r="C3766" s="900" t="s">
        <v>11837</v>
      </c>
      <c r="D3766" s="905" t="s">
        <v>11840</v>
      </c>
    </row>
    <row r="3767" spans="1:4" ht="33">
      <c r="A3767" s="657" t="s">
        <v>1054</v>
      </c>
      <c r="B3767" t="s">
        <v>11819</v>
      </c>
      <c r="C3767" s="900" t="s">
        <v>11837</v>
      </c>
      <c r="D3767" s="905" t="s">
        <v>11840</v>
      </c>
    </row>
    <row r="3768" spans="1:4" ht="33">
      <c r="A3768" s="657" t="s">
        <v>1056</v>
      </c>
      <c r="B3768" t="s">
        <v>11819</v>
      </c>
      <c r="C3768" s="900" t="s">
        <v>11837</v>
      </c>
      <c r="D3768" s="905" t="s">
        <v>11840</v>
      </c>
    </row>
    <row r="3769" spans="1:4" ht="33">
      <c r="A3769" s="657" t="s">
        <v>1058</v>
      </c>
      <c r="B3769" t="s">
        <v>11819</v>
      </c>
      <c r="C3769" s="900" t="s">
        <v>11837</v>
      </c>
      <c r="D3769" s="905" t="s">
        <v>11840</v>
      </c>
    </row>
    <row r="3770" spans="1:4" ht="33">
      <c r="A3770" s="657" t="s">
        <v>1060</v>
      </c>
      <c r="B3770" t="s">
        <v>11819</v>
      </c>
      <c r="C3770" s="900" t="s">
        <v>11837</v>
      </c>
      <c r="D3770" s="905" t="s">
        <v>11840</v>
      </c>
    </row>
    <row r="3771" spans="1:4" ht="33">
      <c r="A3771" s="657" t="s">
        <v>1062</v>
      </c>
      <c r="B3771" t="s">
        <v>11819</v>
      </c>
      <c r="C3771" s="900" t="s">
        <v>11837</v>
      </c>
      <c r="D3771" s="905" t="s">
        <v>11840</v>
      </c>
    </row>
    <row r="3772" spans="1:4" ht="33">
      <c r="A3772" s="657" t="s">
        <v>1064</v>
      </c>
      <c r="B3772" t="s">
        <v>11819</v>
      </c>
      <c r="C3772" s="900" t="s">
        <v>11837</v>
      </c>
      <c r="D3772" s="905" t="s">
        <v>11840</v>
      </c>
    </row>
    <row r="3773" spans="1:4" ht="33">
      <c r="A3773" s="657" t="s">
        <v>9405</v>
      </c>
      <c r="B3773" t="s">
        <v>11819</v>
      </c>
      <c r="C3773" s="900" t="s">
        <v>11837</v>
      </c>
      <c r="D3773" s="905" t="s">
        <v>11840</v>
      </c>
    </row>
    <row r="3774" spans="1:4" ht="33">
      <c r="A3774" s="657" t="s">
        <v>1066</v>
      </c>
      <c r="B3774" t="s">
        <v>11819</v>
      </c>
      <c r="C3774" s="900" t="s">
        <v>11837</v>
      </c>
      <c r="D3774" s="905" t="s">
        <v>11840</v>
      </c>
    </row>
    <row r="3775" spans="1:4" ht="33">
      <c r="A3775" s="657" t="s">
        <v>1068</v>
      </c>
      <c r="B3775" t="s">
        <v>11819</v>
      </c>
      <c r="C3775" s="900" t="s">
        <v>11837</v>
      </c>
      <c r="D3775" s="905" t="s">
        <v>11840</v>
      </c>
    </row>
    <row r="3776" spans="1:4" ht="33">
      <c r="A3776" s="657" t="s">
        <v>9407</v>
      </c>
      <c r="B3776" t="s">
        <v>11819</v>
      </c>
      <c r="C3776" s="900" t="s">
        <v>11837</v>
      </c>
      <c r="D3776" s="905" t="s">
        <v>11840</v>
      </c>
    </row>
    <row r="3777" spans="1:4" ht="33">
      <c r="A3777" s="657" t="s">
        <v>1070</v>
      </c>
      <c r="B3777" t="s">
        <v>11819</v>
      </c>
      <c r="C3777" s="900" t="s">
        <v>11837</v>
      </c>
      <c r="D3777" s="905" t="s">
        <v>11840</v>
      </c>
    </row>
    <row r="3778" spans="1:4" ht="33">
      <c r="A3778" s="657" t="s">
        <v>9409</v>
      </c>
      <c r="B3778" t="s">
        <v>11819</v>
      </c>
      <c r="C3778" s="900" t="s">
        <v>11837</v>
      </c>
      <c r="D3778" s="905" t="s">
        <v>11840</v>
      </c>
    </row>
    <row r="3779" spans="1:4" ht="33">
      <c r="A3779" s="657" t="s">
        <v>1072</v>
      </c>
      <c r="B3779" t="s">
        <v>11819</v>
      </c>
      <c r="C3779" s="900" t="s">
        <v>11837</v>
      </c>
      <c r="D3779" s="905" t="s">
        <v>11840</v>
      </c>
    </row>
    <row r="3780" spans="1:4" ht="33">
      <c r="A3780" s="657" t="s">
        <v>9411</v>
      </c>
      <c r="B3780" t="s">
        <v>11819</v>
      </c>
      <c r="C3780" s="900" t="s">
        <v>11837</v>
      </c>
      <c r="D3780" s="905" t="s">
        <v>11840</v>
      </c>
    </row>
    <row r="3781" spans="1:4" ht="33">
      <c r="A3781" s="657" t="s">
        <v>1074</v>
      </c>
      <c r="B3781" t="s">
        <v>11819</v>
      </c>
      <c r="C3781" s="900" t="s">
        <v>11837</v>
      </c>
      <c r="D3781" s="905" t="s">
        <v>11840</v>
      </c>
    </row>
    <row r="3782" spans="1:4" ht="33">
      <c r="A3782" s="657" t="s">
        <v>1076</v>
      </c>
      <c r="B3782" t="s">
        <v>11819</v>
      </c>
      <c r="C3782" s="900" t="s">
        <v>11837</v>
      </c>
      <c r="D3782" s="905" t="s">
        <v>11840</v>
      </c>
    </row>
    <row r="3783" spans="1:4" ht="33">
      <c r="A3783" s="657" t="s">
        <v>9413</v>
      </c>
      <c r="B3783" t="s">
        <v>11819</v>
      </c>
      <c r="C3783" s="900" t="s">
        <v>11837</v>
      </c>
      <c r="D3783" s="905" t="s">
        <v>11840</v>
      </c>
    </row>
    <row r="3784" spans="1:4" ht="33">
      <c r="A3784" s="657" t="s">
        <v>1078</v>
      </c>
      <c r="B3784" t="s">
        <v>11819</v>
      </c>
      <c r="C3784" s="900" t="s">
        <v>11837</v>
      </c>
      <c r="D3784" s="905" t="s">
        <v>11840</v>
      </c>
    </row>
    <row r="3785" spans="1:4" ht="33">
      <c r="A3785" s="657" t="s">
        <v>9415</v>
      </c>
      <c r="B3785" t="s">
        <v>11819</v>
      </c>
      <c r="C3785" s="900" t="s">
        <v>11837</v>
      </c>
      <c r="D3785" s="905" t="s">
        <v>11840</v>
      </c>
    </row>
    <row r="3786" spans="1:4" ht="33">
      <c r="A3786" s="657" t="s">
        <v>9417</v>
      </c>
      <c r="B3786" t="s">
        <v>11819</v>
      </c>
      <c r="C3786" s="900" t="s">
        <v>11837</v>
      </c>
      <c r="D3786" s="905" t="s">
        <v>11840</v>
      </c>
    </row>
    <row r="3787" spans="1:4" ht="33">
      <c r="A3787" s="657" t="s">
        <v>9419</v>
      </c>
      <c r="B3787" t="s">
        <v>11819</v>
      </c>
      <c r="C3787" s="900" t="s">
        <v>11837</v>
      </c>
      <c r="D3787" s="905" t="s">
        <v>11840</v>
      </c>
    </row>
    <row r="3788" spans="1:4" ht="33">
      <c r="A3788" s="657" t="s">
        <v>9421</v>
      </c>
      <c r="B3788" t="s">
        <v>11819</v>
      </c>
      <c r="C3788" s="900" t="s">
        <v>11837</v>
      </c>
      <c r="D3788" s="905" t="s">
        <v>11840</v>
      </c>
    </row>
    <row r="3789" spans="1:4" ht="33">
      <c r="A3789" s="657" t="s">
        <v>1080</v>
      </c>
      <c r="B3789" t="s">
        <v>11819</v>
      </c>
      <c r="C3789" s="900" t="s">
        <v>11837</v>
      </c>
      <c r="D3789" s="905" t="s">
        <v>11840</v>
      </c>
    </row>
    <row r="3790" spans="1:4" ht="33">
      <c r="A3790" s="657" t="s">
        <v>1082</v>
      </c>
      <c r="B3790" t="s">
        <v>11819</v>
      </c>
      <c r="C3790" s="900" t="s">
        <v>11837</v>
      </c>
      <c r="D3790" s="905" t="s">
        <v>11840</v>
      </c>
    </row>
    <row r="3791" spans="1:4" ht="33">
      <c r="A3791" s="657" t="s">
        <v>9423</v>
      </c>
      <c r="B3791" t="s">
        <v>11819</v>
      </c>
      <c r="C3791" s="900" t="s">
        <v>11837</v>
      </c>
      <c r="D3791" s="905" t="s">
        <v>11840</v>
      </c>
    </row>
    <row r="3792" spans="1:4" ht="33">
      <c r="A3792" s="657" t="s">
        <v>9425</v>
      </c>
      <c r="B3792" t="s">
        <v>11819</v>
      </c>
      <c r="C3792" s="900" t="s">
        <v>11837</v>
      </c>
      <c r="D3792" s="905" t="s">
        <v>11840</v>
      </c>
    </row>
    <row r="3793" spans="1:4" ht="33">
      <c r="A3793" s="657" t="s">
        <v>1084</v>
      </c>
      <c r="B3793" t="s">
        <v>11819</v>
      </c>
      <c r="C3793" s="900" t="s">
        <v>11837</v>
      </c>
      <c r="D3793" s="905" t="s">
        <v>11840</v>
      </c>
    </row>
    <row r="3794" spans="1:4" ht="33">
      <c r="A3794" s="657" t="s">
        <v>9427</v>
      </c>
      <c r="B3794" t="s">
        <v>11819</v>
      </c>
      <c r="C3794" s="900" t="s">
        <v>11837</v>
      </c>
      <c r="D3794" s="905" t="s">
        <v>11840</v>
      </c>
    </row>
    <row r="3795" spans="1:4" ht="33">
      <c r="A3795" s="657" t="s">
        <v>9429</v>
      </c>
      <c r="B3795" t="s">
        <v>11819</v>
      </c>
      <c r="C3795" s="900" t="s">
        <v>11837</v>
      </c>
      <c r="D3795" s="905" t="s">
        <v>11840</v>
      </c>
    </row>
    <row r="3796" spans="1:4" ht="16.5">
      <c r="A3796" s="657" t="s">
        <v>9431</v>
      </c>
      <c r="B3796" t="s">
        <v>11819</v>
      </c>
      <c r="C3796" s="900" t="s">
        <v>11837</v>
      </c>
      <c r="D3796" s="905" t="s">
        <v>11840</v>
      </c>
    </row>
    <row r="3797" spans="1:4" ht="16.5">
      <c r="A3797" s="657" t="s">
        <v>1086</v>
      </c>
      <c r="B3797" t="s">
        <v>11819</v>
      </c>
      <c r="C3797" s="900" t="s">
        <v>11837</v>
      </c>
      <c r="D3797" s="905" t="s">
        <v>11840</v>
      </c>
    </row>
    <row r="3798" spans="1:4" ht="16.5">
      <c r="A3798" s="657" t="s">
        <v>1088</v>
      </c>
      <c r="B3798" t="s">
        <v>11819</v>
      </c>
      <c r="C3798" s="900" t="s">
        <v>11837</v>
      </c>
      <c r="D3798" s="905" t="s">
        <v>11840</v>
      </c>
    </row>
    <row r="3799" spans="1:4" ht="33">
      <c r="A3799" s="657" t="s">
        <v>9434</v>
      </c>
      <c r="B3799" t="s">
        <v>11819</v>
      </c>
      <c r="C3799" s="900" t="s">
        <v>11837</v>
      </c>
      <c r="D3799" s="905" t="s">
        <v>11840</v>
      </c>
    </row>
    <row r="3800" spans="1:4" ht="33">
      <c r="A3800" s="657" t="s">
        <v>9436</v>
      </c>
      <c r="B3800" t="s">
        <v>11819</v>
      </c>
      <c r="C3800" s="900" t="s">
        <v>11837</v>
      </c>
      <c r="D3800" s="905" t="s">
        <v>11840</v>
      </c>
    </row>
    <row r="3801" spans="1:4" ht="33">
      <c r="A3801" s="657" t="s">
        <v>9438</v>
      </c>
      <c r="B3801" t="s">
        <v>11819</v>
      </c>
      <c r="C3801" s="900" t="s">
        <v>11837</v>
      </c>
      <c r="D3801" s="905" t="s">
        <v>11840</v>
      </c>
    </row>
    <row r="3802" spans="1:4" ht="16.5">
      <c r="A3802" s="657" t="s">
        <v>9442</v>
      </c>
      <c r="B3802" t="s">
        <v>11819</v>
      </c>
      <c r="C3802" s="900" t="s">
        <v>11837</v>
      </c>
      <c r="D3802" s="905" t="s">
        <v>11840</v>
      </c>
    </row>
    <row r="3803" spans="1:4" ht="16.5">
      <c r="A3803" s="657" t="s">
        <v>2158</v>
      </c>
      <c r="B3803" t="s">
        <v>11819</v>
      </c>
      <c r="C3803" s="900" t="s">
        <v>11837</v>
      </c>
      <c r="D3803" s="905" t="s">
        <v>11840</v>
      </c>
    </row>
    <row r="3804" spans="1:4" ht="16.5">
      <c r="A3804" s="657" t="s">
        <v>2160</v>
      </c>
      <c r="B3804" t="s">
        <v>11819</v>
      </c>
      <c r="C3804" s="900" t="s">
        <v>11837</v>
      </c>
      <c r="D3804" s="905" t="s">
        <v>11840</v>
      </c>
    </row>
    <row r="3805" spans="1:4" ht="16.5">
      <c r="A3805" s="657" t="s">
        <v>2162</v>
      </c>
      <c r="B3805" t="s">
        <v>11819</v>
      </c>
      <c r="C3805" s="900" t="s">
        <v>11837</v>
      </c>
      <c r="D3805" s="905" t="s">
        <v>11840</v>
      </c>
    </row>
    <row r="3806" spans="1:4" ht="16.5">
      <c r="A3806" s="657" t="s">
        <v>9447</v>
      </c>
      <c r="B3806" t="s">
        <v>11819</v>
      </c>
      <c r="C3806" s="900" t="s">
        <v>11837</v>
      </c>
      <c r="D3806" s="905" t="s">
        <v>11840</v>
      </c>
    </row>
    <row r="3807" spans="1:4" ht="16.5">
      <c r="A3807" s="657" t="s">
        <v>1090</v>
      </c>
      <c r="B3807" t="s">
        <v>11819</v>
      </c>
      <c r="C3807" s="900" t="s">
        <v>11837</v>
      </c>
      <c r="D3807" s="905" t="s">
        <v>11840</v>
      </c>
    </row>
    <row r="3808" spans="1:4" ht="33">
      <c r="A3808" s="657" t="s">
        <v>1092</v>
      </c>
      <c r="B3808" t="s">
        <v>11819</v>
      </c>
      <c r="C3808" s="900" t="s">
        <v>11837</v>
      </c>
      <c r="D3808" s="905" t="s">
        <v>11840</v>
      </c>
    </row>
    <row r="3809" spans="1:4" ht="33">
      <c r="A3809" s="657" t="s">
        <v>1094</v>
      </c>
      <c r="B3809" t="s">
        <v>11819</v>
      </c>
      <c r="C3809" s="900" t="s">
        <v>11837</v>
      </c>
      <c r="D3809" s="905" t="s">
        <v>11840</v>
      </c>
    </row>
    <row r="3810" spans="1:4" ht="33">
      <c r="A3810" s="657" t="s">
        <v>1096</v>
      </c>
      <c r="B3810" t="s">
        <v>11819</v>
      </c>
      <c r="C3810" s="900" t="s">
        <v>11837</v>
      </c>
      <c r="D3810" s="905" t="s">
        <v>11840</v>
      </c>
    </row>
    <row r="3811" spans="1:4" ht="16.5">
      <c r="A3811" s="657" t="s">
        <v>1098</v>
      </c>
      <c r="B3811" t="s">
        <v>11819</v>
      </c>
      <c r="C3811" s="900" t="s">
        <v>11837</v>
      </c>
      <c r="D3811" s="905" t="s">
        <v>11840</v>
      </c>
    </row>
    <row r="3812" spans="1:4" ht="16.5">
      <c r="A3812" s="657" t="s">
        <v>1100</v>
      </c>
      <c r="B3812" t="s">
        <v>11819</v>
      </c>
      <c r="C3812" s="900" t="s">
        <v>11837</v>
      </c>
      <c r="D3812" s="905" t="s">
        <v>11840</v>
      </c>
    </row>
    <row r="3813" spans="1:4" ht="33">
      <c r="A3813" s="657" t="s">
        <v>9449</v>
      </c>
      <c r="B3813" t="s">
        <v>11819</v>
      </c>
      <c r="C3813" s="900" t="s">
        <v>11837</v>
      </c>
      <c r="D3813" s="905" t="s">
        <v>11840</v>
      </c>
    </row>
    <row r="3814" spans="1:4" ht="33">
      <c r="A3814" s="657" t="s">
        <v>1102</v>
      </c>
      <c r="B3814" t="s">
        <v>11819</v>
      </c>
      <c r="C3814" s="900" t="s">
        <v>11837</v>
      </c>
      <c r="D3814" s="905" t="s">
        <v>11840</v>
      </c>
    </row>
    <row r="3815" spans="1:4" ht="33">
      <c r="A3815" s="657" t="s">
        <v>9451</v>
      </c>
      <c r="B3815" t="s">
        <v>11819</v>
      </c>
      <c r="C3815" s="900" t="s">
        <v>11837</v>
      </c>
      <c r="D3815" s="905" t="s">
        <v>11840</v>
      </c>
    </row>
    <row r="3816" spans="1:4" ht="33">
      <c r="A3816" s="657" t="s">
        <v>1104</v>
      </c>
      <c r="B3816" t="s">
        <v>11819</v>
      </c>
      <c r="C3816" s="900" t="s">
        <v>11837</v>
      </c>
      <c r="D3816" s="905" t="s">
        <v>11840</v>
      </c>
    </row>
    <row r="3817" spans="1:4" ht="16.5">
      <c r="A3817" s="657" t="s">
        <v>9453</v>
      </c>
      <c r="B3817" t="s">
        <v>11819</v>
      </c>
      <c r="C3817" s="900" t="s">
        <v>11837</v>
      </c>
      <c r="D3817" s="905" t="s">
        <v>11840</v>
      </c>
    </row>
    <row r="3818" spans="1:4" ht="33">
      <c r="A3818" s="657" t="s">
        <v>1106</v>
      </c>
      <c r="B3818" t="s">
        <v>11819</v>
      </c>
      <c r="C3818" s="900" t="s">
        <v>11837</v>
      </c>
      <c r="D3818" s="905" t="s">
        <v>11840</v>
      </c>
    </row>
    <row r="3819" spans="1:4" ht="33">
      <c r="A3819" s="657" t="s">
        <v>9455</v>
      </c>
      <c r="B3819" t="s">
        <v>11819</v>
      </c>
      <c r="C3819" s="900" t="s">
        <v>11837</v>
      </c>
      <c r="D3819" s="905" t="s">
        <v>11840</v>
      </c>
    </row>
    <row r="3820" spans="1:4" ht="33">
      <c r="A3820" s="657" t="s">
        <v>1108</v>
      </c>
      <c r="B3820" t="s">
        <v>11819</v>
      </c>
      <c r="C3820" s="900" t="s">
        <v>11837</v>
      </c>
      <c r="D3820" s="905" t="s">
        <v>11840</v>
      </c>
    </row>
    <row r="3821" spans="1:4" ht="33">
      <c r="A3821" s="657" t="s">
        <v>9457</v>
      </c>
      <c r="B3821" t="s">
        <v>11819</v>
      </c>
      <c r="C3821" s="900" t="s">
        <v>11837</v>
      </c>
      <c r="D3821" s="905" t="s">
        <v>11840</v>
      </c>
    </row>
    <row r="3822" spans="1:4" ht="33">
      <c r="A3822" s="657" t="s">
        <v>1110</v>
      </c>
      <c r="B3822" t="s">
        <v>11819</v>
      </c>
      <c r="C3822" s="900" t="s">
        <v>11837</v>
      </c>
      <c r="D3822" s="905" t="s">
        <v>11840</v>
      </c>
    </row>
    <row r="3823" spans="1:4" ht="16.5">
      <c r="A3823" s="657" t="s">
        <v>9459</v>
      </c>
      <c r="B3823" t="s">
        <v>11819</v>
      </c>
      <c r="C3823" s="900" t="s">
        <v>11837</v>
      </c>
      <c r="D3823" s="905" t="s">
        <v>11840</v>
      </c>
    </row>
    <row r="3824" spans="1:4" ht="33">
      <c r="A3824" s="657" t="s">
        <v>1112</v>
      </c>
      <c r="B3824" t="s">
        <v>11819</v>
      </c>
      <c r="C3824" s="900" t="s">
        <v>11837</v>
      </c>
      <c r="D3824" s="905" t="s">
        <v>11840</v>
      </c>
    </row>
    <row r="3825" spans="1:4" ht="33">
      <c r="A3825" s="657" t="s">
        <v>1114</v>
      </c>
      <c r="B3825" t="s">
        <v>11819</v>
      </c>
      <c r="C3825" s="900" t="s">
        <v>11837</v>
      </c>
      <c r="D3825" s="905" t="s">
        <v>11840</v>
      </c>
    </row>
    <row r="3826" spans="1:4" ht="33">
      <c r="A3826" s="657" t="s">
        <v>9461</v>
      </c>
      <c r="B3826" t="s">
        <v>11819</v>
      </c>
      <c r="C3826" s="900" t="s">
        <v>11837</v>
      </c>
      <c r="D3826" s="905" t="s">
        <v>11840</v>
      </c>
    </row>
    <row r="3827" spans="1:4" ht="33">
      <c r="A3827" s="657" t="s">
        <v>1116</v>
      </c>
      <c r="B3827" t="s">
        <v>11819</v>
      </c>
      <c r="C3827" s="900" t="s">
        <v>11837</v>
      </c>
      <c r="D3827" s="905" t="s">
        <v>11840</v>
      </c>
    </row>
    <row r="3828" spans="1:4" ht="33">
      <c r="A3828" s="657" t="s">
        <v>9463</v>
      </c>
      <c r="B3828" t="s">
        <v>11819</v>
      </c>
      <c r="C3828" s="900" t="s">
        <v>11837</v>
      </c>
      <c r="D3828" s="905" t="s">
        <v>11840</v>
      </c>
    </row>
    <row r="3829" spans="1:4" ht="33">
      <c r="A3829" s="657" t="s">
        <v>9465</v>
      </c>
      <c r="B3829" t="s">
        <v>11819</v>
      </c>
      <c r="C3829" s="900" t="s">
        <v>11837</v>
      </c>
      <c r="D3829" s="905" t="s">
        <v>11840</v>
      </c>
    </row>
    <row r="3830" spans="1:4" ht="33">
      <c r="A3830" s="657" t="s">
        <v>9467</v>
      </c>
      <c r="B3830" t="s">
        <v>11819</v>
      </c>
      <c r="C3830" s="900" t="s">
        <v>11837</v>
      </c>
      <c r="D3830" s="905" t="s">
        <v>11840</v>
      </c>
    </row>
    <row r="3831" spans="1:4" ht="33">
      <c r="A3831" s="657" t="s">
        <v>9469</v>
      </c>
      <c r="B3831" t="s">
        <v>11819</v>
      </c>
      <c r="C3831" s="900" t="s">
        <v>11837</v>
      </c>
      <c r="D3831" s="905" t="s">
        <v>11840</v>
      </c>
    </row>
    <row r="3832" spans="1:4" ht="33">
      <c r="A3832" s="657" t="s">
        <v>1118</v>
      </c>
      <c r="B3832" t="s">
        <v>11819</v>
      </c>
      <c r="C3832" s="900" t="s">
        <v>11837</v>
      </c>
      <c r="D3832" s="905" t="s">
        <v>11840</v>
      </c>
    </row>
    <row r="3833" spans="1:4" ht="33">
      <c r="A3833" s="657" t="s">
        <v>1120</v>
      </c>
      <c r="B3833" t="s">
        <v>11819</v>
      </c>
      <c r="C3833" s="900" t="s">
        <v>11837</v>
      </c>
      <c r="D3833" s="905" t="s">
        <v>11840</v>
      </c>
    </row>
    <row r="3834" spans="1:4" ht="33">
      <c r="A3834" s="657" t="s">
        <v>9471</v>
      </c>
      <c r="B3834" t="s">
        <v>11819</v>
      </c>
      <c r="C3834" s="900" t="s">
        <v>11837</v>
      </c>
      <c r="D3834" s="905" t="s">
        <v>11840</v>
      </c>
    </row>
    <row r="3835" spans="1:4" ht="33">
      <c r="A3835" s="657" t="s">
        <v>9473</v>
      </c>
      <c r="B3835" t="s">
        <v>11819</v>
      </c>
      <c r="C3835" s="900" t="s">
        <v>11837</v>
      </c>
      <c r="D3835" s="905" t="s">
        <v>11840</v>
      </c>
    </row>
    <row r="3836" spans="1:4" ht="33">
      <c r="A3836" s="657" t="s">
        <v>1122</v>
      </c>
      <c r="B3836" t="s">
        <v>11819</v>
      </c>
      <c r="C3836" s="900" t="s">
        <v>11837</v>
      </c>
      <c r="D3836" s="905" t="s">
        <v>11840</v>
      </c>
    </row>
    <row r="3837" spans="1:4" ht="33">
      <c r="A3837" s="657" t="s">
        <v>9475</v>
      </c>
      <c r="B3837" t="s">
        <v>11819</v>
      </c>
      <c r="C3837" s="900" t="s">
        <v>11837</v>
      </c>
      <c r="D3837" s="905" t="s">
        <v>11840</v>
      </c>
    </row>
    <row r="3838" spans="1:4" ht="33">
      <c r="A3838" s="657" t="s">
        <v>9477</v>
      </c>
      <c r="B3838" t="s">
        <v>11819</v>
      </c>
      <c r="C3838" s="900" t="s">
        <v>11837</v>
      </c>
      <c r="D3838" s="905" t="s">
        <v>11840</v>
      </c>
    </row>
    <row r="3839" spans="1:4" ht="33">
      <c r="A3839" s="657" t="s">
        <v>9479</v>
      </c>
      <c r="B3839" t="s">
        <v>11819</v>
      </c>
      <c r="C3839" s="900" t="s">
        <v>11837</v>
      </c>
      <c r="D3839" s="905" t="s">
        <v>11840</v>
      </c>
    </row>
    <row r="3840" spans="1:4" ht="16.5">
      <c r="A3840" s="657" t="s">
        <v>9481</v>
      </c>
      <c r="B3840" t="s">
        <v>11819</v>
      </c>
      <c r="C3840" s="900" t="s">
        <v>11837</v>
      </c>
      <c r="D3840" s="905" t="s">
        <v>11840</v>
      </c>
    </row>
    <row r="3841" spans="1:4" ht="33">
      <c r="A3841" s="657" t="s">
        <v>1124</v>
      </c>
      <c r="B3841" t="s">
        <v>11819</v>
      </c>
      <c r="C3841" s="900" t="s">
        <v>11837</v>
      </c>
      <c r="D3841" s="905" t="s">
        <v>11840</v>
      </c>
    </row>
    <row r="3842" spans="1:4" ht="33">
      <c r="A3842" s="657" t="s">
        <v>1126</v>
      </c>
      <c r="B3842" t="s">
        <v>11819</v>
      </c>
      <c r="C3842" s="900" t="s">
        <v>11837</v>
      </c>
      <c r="D3842" s="905" t="s">
        <v>11840</v>
      </c>
    </row>
    <row r="3843" spans="1:4" ht="33">
      <c r="A3843" s="657" t="s">
        <v>1128</v>
      </c>
      <c r="B3843" t="s">
        <v>11819</v>
      </c>
      <c r="C3843" s="900" t="s">
        <v>11837</v>
      </c>
      <c r="D3843" s="905" t="s">
        <v>11840</v>
      </c>
    </row>
    <row r="3844" spans="1:4" ht="33">
      <c r="A3844" s="657" t="s">
        <v>1130</v>
      </c>
      <c r="B3844" t="s">
        <v>11819</v>
      </c>
      <c r="C3844" s="900" t="s">
        <v>11837</v>
      </c>
      <c r="D3844" s="905" t="s">
        <v>11840</v>
      </c>
    </row>
    <row r="3845" spans="1:4" ht="33">
      <c r="A3845" s="657" t="s">
        <v>1132</v>
      </c>
      <c r="B3845" t="s">
        <v>11819</v>
      </c>
      <c r="C3845" s="900" t="s">
        <v>11837</v>
      </c>
      <c r="D3845" s="905" t="s">
        <v>11840</v>
      </c>
    </row>
    <row r="3846" spans="1:4" ht="33">
      <c r="A3846" s="657" t="s">
        <v>1134</v>
      </c>
      <c r="B3846" t="s">
        <v>11819</v>
      </c>
      <c r="C3846" s="900" t="s">
        <v>11837</v>
      </c>
      <c r="D3846" s="905" t="s">
        <v>11840</v>
      </c>
    </row>
    <row r="3847" spans="1:4" ht="33">
      <c r="A3847" s="657" t="s">
        <v>1136</v>
      </c>
      <c r="B3847" t="s">
        <v>11819</v>
      </c>
      <c r="C3847" s="900" t="s">
        <v>11837</v>
      </c>
      <c r="D3847" s="905" t="s">
        <v>11840</v>
      </c>
    </row>
    <row r="3848" spans="1:4" ht="33">
      <c r="A3848" s="657" t="s">
        <v>9483</v>
      </c>
      <c r="B3848" t="s">
        <v>11819</v>
      </c>
      <c r="C3848" s="900" t="s">
        <v>11837</v>
      </c>
      <c r="D3848" s="905" t="s">
        <v>11840</v>
      </c>
    </row>
    <row r="3849" spans="1:4" ht="33">
      <c r="A3849" s="657" t="s">
        <v>1138</v>
      </c>
      <c r="B3849" t="s">
        <v>11819</v>
      </c>
      <c r="C3849" s="900" t="s">
        <v>11837</v>
      </c>
      <c r="D3849" s="905" t="s">
        <v>11840</v>
      </c>
    </row>
    <row r="3850" spans="1:4" ht="33">
      <c r="A3850" s="657" t="s">
        <v>9485</v>
      </c>
      <c r="B3850" t="s">
        <v>11819</v>
      </c>
      <c r="C3850" s="900" t="s">
        <v>11837</v>
      </c>
      <c r="D3850" s="905" t="s">
        <v>11840</v>
      </c>
    </row>
    <row r="3851" spans="1:4" ht="33">
      <c r="A3851" s="657" t="s">
        <v>1140</v>
      </c>
      <c r="B3851" t="s">
        <v>11819</v>
      </c>
      <c r="C3851" s="900" t="s">
        <v>11837</v>
      </c>
      <c r="D3851" s="905" t="s">
        <v>11840</v>
      </c>
    </row>
    <row r="3852" spans="1:4" ht="16.5">
      <c r="A3852" s="657" t="s">
        <v>9487</v>
      </c>
      <c r="B3852" t="s">
        <v>11819</v>
      </c>
      <c r="C3852" s="900" t="s">
        <v>11837</v>
      </c>
      <c r="D3852" s="905" t="s">
        <v>11840</v>
      </c>
    </row>
    <row r="3853" spans="1:4" ht="33">
      <c r="A3853" s="657" t="s">
        <v>1142</v>
      </c>
      <c r="B3853" t="s">
        <v>11819</v>
      </c>
      <c r="C3853" s="900" t="s">
        <v>11837</v>
      </c>
      <c r="D3853" s="905" t="s">
        <v>11840</v>
      </c>
    </row>
    <row r="3854" spans="1:4" ht="33">
      <c r="A3854" s="657" t="s">
        <v>9489</v>
      </c>
      <c r="B3854" t="s">
        <v>11819</v>
      </c>
      <c r="C3854" s="900" t="s">
        <v>11837</v>
      </c>
      <c r="D3854" s="905" t="s">
        <v>11840</v>
      </c>
    </row>
    <row r="3855" spans="1:4" ht="33">
      <c r="A3855" s="657" t="s">
        <v>1144</v>
      </c>
      <c r="B3855" t="s">
        <v>11819</v>
      </c>
      <c r="C3855" s="900" t="s">
        <v>11837</v>
      </c>
      <c r="D3855" s="905" t="s">
        <v>11840</v>
      </c>
    </row>
    <row r="3856" spans="1:4" ht="33">
      <c r="A3856" s="657" t="s">
        <v>9491</v>
      </c>
      <c r="B3856" t="s">
        <v>11819</v>
      </c>
      <c r="C3856" s="900" t="s">
        <v>11837</v>
      </c>
      <c r="D3856" s="905" t="s">
        <v>11840</v>
      </c>
    </row>
    <row r="3857" spans="1:4" ht="33">
      <c r="A3857" s="657" t="s">
        <v>1146</v>
      </c>
      <c r="B3857" t="s">
        <v>11819</v>
      </c>
      <c r="C3857" s="900" t="s">
        <v>11837</v>
      </c>
      <c r="D3857" s="905" t="s">
        <v>11840</v>
      </c>
    </row>
    <row r="3858" spans="1:4" ht="33">
      <c r="A3858" s="657" t="s">
        <v>9493</v>
      </c>
      <c r="B3858" t="s">
        <v>11819</v>
      </c>
      <c r="C3858" s="900" t="s">
        <v>11837</v>
      </c>
      <c r="D3858" s="905" t="s">
        <v>11840</v>
      </c>
    </row>
    <row r="3859" spans="1:4" ht="33">
      <c r="A3859" s="657" t="s">
        <v>1148</v>
      </c>
      <c r="B3859" t="s">
        <v>11819</v>
      </c>
      <c r="C3859" s="900" t="s">
        <v>11837</v>
      </c>
      <c r="D3859" s="905" t="s">
        <v>11840</v>
      </c>
    </row>
    <row r="3860" spans="1:4" ht="33">
      <c r="A3860" s="657" t="s">
        <v>9495</v>
      </c>
      <c r="B3860" t="s">
        <v>11819</v>
      </c>
      <c r="C3860" s="900" t="s">
        <v>11837</v>
      </c>
      <c r="D3860" s="905" t="s">
        <v>11840</v>
      </c>
    </row>
    <row r="3861" spans="1:4" ht="33">
      <c r="A3861" s="657" t="s">
        <v>9497</v>
      </c>
      <c r="B3861" t="s">
        <v>11819</v>
      </c>
      <c r="C3861" s="900" t="s">
        <v>11837</v>
      </c>
      <c r="D3861" s="905" t="s">
        <v>11840</v>
      </c>
    </row>
    <row r="3862" spans="1:4" ht="33">
      <c r="A3862" s="657" t="s">
        <v>1150</v>
      </c>
      <c r="B3862" t="s">
        <v>11819</v>
      </c>
      <c r="C3862" s="900" t="s">
        <v>11837</v>
      </c>
      <c r="D3862" s="905" t="s">
        <v>11840</v>
      </c>
    </row>
    <row r="3863" spans="1:4" ht="33">
      <c r="A3863" s="657" t="s">
        <v>9499</v>
      </c>
      <c r="B3863" t="s">
        <v>11819</v>
      </c>
      <c r="C3863" s="900" t="s">
        <v>11837</v>
      </c>
      <c r="D3863" s="905" t="s">
        <v>11840</v>
      </c>
    </row>
    <row r="3864" spans="1:4" ht="33">
      <c r="A3864" s="657" t="s">
        <v>9501</v>
      </c>
      <c r="B3864" t="s">
        <v>11819</v>
      </c>
      <c r="C3864" s="900" t="s">
        <v>11837</v>
      </c>
      <c r="D3864" s="905" t="s">
        <v>11840</v>
      </c>
    </row>
    <row r="3865" spans="1:4" ht="33">
      <c r="A3865" s="657" t="s">
        <v>9503</v>
      </c>
      <c r="B3865" t="s">
        <v>11819</v>
      </c>
      <c r="C3865" s="900" t="s">
        <v>11837</v>
      </c>
      <c r="D3865" s="905" t="s">
        <v>11840</v>
      </c>
    </row>
    <row r="3866" spans="1:4" ht="33">
      <c r="A3866" s="657" t="s">
        <v>9505</v>
      </c>
      <c r="B3866" t="s">
        <v>11819</v>
      </c>
      <c r="C3866" s="900" t="s">
        <v>11837</v>
      </c>
      <c r="D3866" s="905" t="s">
        <v>11840</v>
      </c>
    </row>
    <row r="3867" spans="1:4" ht="33">
      <c r="A3867" s="657" t="s">
        <v>1152</v>
      </c>
      <c r="B3867" t="s">
        <v>11819</v>
      </c>
      <c r="C3867" s="900" t="s">
        <v>11837</v>
      </c>
      <c r="D3867" s="905" t="s">
        <v>11840</v>
      </c>
    </row>
    <row r="3868" spans="1:4" ht="33">
      <c r="A3868" s="657" t="s">
        <v>1154</v>
      </c>
      <c r="B3868" t="s">
        <v>11819</v>
      </c>
      <c r="C3868" s="900" t="s">
        <v>11837</v>
      </c>
      <c r="D3868" s="905" t="s">
        <v>11840</v>
      </c>
    </row>
    <row r="3869" spans="1:4" ht="33">
      <c r="A3869" s="657" t="s">
        <v>9507</v>
      </c>
      <c r="B3869" t="s">
        <v>11819</v>
      </c>
      <c r="C3869" s="900" t="s">
        <v>11837</v>
      </c>
      <c r="D3869" s="905" t="s">
        <v>11840</v>
      </c>
    </row>
    <row r="3870" spans="1:4" ht="33">
      <c r="A3870" s="657" t="s">
        <v>9509</v>
      </c>
      <c r="B3870" t="s">
        <v>11819</v>
      </c>
      <c r="C3870" s="900" t="s">
        <v>11837</v>
      </c>
      <c r="D3870" s="905" t="s">
        <v>11840</v>
      </c>
    </row>
    <row r="3871" spans="1:4" ht="33">
      <c r="A3871" s="657" t="s">
        <v>1156</v>
      </c>
      <c r="B3871" t="s">
        <v>11819</v>
      </c>
      <c r="C3871" s="900" t="s">
        <v>11837</v>
      </c>
      <c r="D3871" s="905" t="s">
        <v>11840</v>
      </c>
    </row>
    <row r="3872" spans="1:4" ht="33">
      <c r="A3872" s="657" t="s">
        <v>9511</v>
      </c>
      <c r="B3872" t="s">
        <v>11819</v>
      </c>
      <c r="C3872" s="900" t="s">
        <v>11837</v>
      </c>
      <c r="D3872" s="905" t="s">
        <v>11840</v>
      </c>
    </row>
    <row r="3873" spans="1:4" ht="33">
      <c r="A3873" s="657" t="s">
        <v>9513</v>
      </c>
      <c r="B3873" t="s">
        <v>11819</v>
      </c>
      <c r="C3873" s="900" t="s">
        <v>11837</v>
      </c>
      <c r="D3873" s="905" t="s">
        <v>11840</v>
      </c>
    </row>
    <row r="3874" spans="1:4" ht="16.5">
      <c r="A3874" s="657" t="s">
        <v>9515</v>
      </c>
      <c r="B3874" t="s">
        <v>11819</v>
      </c>
      <c r="C3874" s="900" t="s">
        <v>11837</v>
      </c>
      <c r="D3874" s="905" t="s">
        <v>11840</v>
      </c>
    </row>
    <row r="3875" spans="1:4" ht="33">
      <c r="A3875" s="657" t="s">
        <v>9517</v>
      </c>
      <c r="B3875" t="s">
        <v>11819</v>
      </c>
      <c r="C3875" s="900" t="s">
        <v>11837</v>
      </c>
      <c r="D3875" s="905" t="s">
        <v>11840</v>
      </c>
    </row>
    <row r="3876" spans="1:4" ht="33">
      <c r="A3876" s="657" t="s">
        <v>1158</v>
      </c>
      <c r="B3876" t="s">
        <v>11819</v>
      </c>
      <c r="C3876" s="900" t="s">
        <v>11837</v>
      </c>
      <c r="D3876" s="905" t="s">
        <v>11840</v>
      </c>
    </row>
    <row r="3877" spans="1:4" ht="33">
      <c r="A3877" s="657" t="s">
        <v>1160</v>
      </c>
      <c r="B3877" t="s">
        <v>11819</v>
      </c>
      <c r="C3877" s="900" t="s">
        <v>11837</v>
      </c>
      <c r="D3877" s="905" t="s">
        <v>11840</v>
      </c>
    </row>
    <row r="3878" spans="1:4" ht="33">
      <c r="A3878" s="657" t="s">
        <v>1162</v>
      </c>
      <c r="B3878" t="s">
        <v>11819</v>
      </c>
      <c r="C3878" s="900" t="s">
        <v>11837</v>
      </c>
      <c r="D3878" s="905" t="s">
        <v>11840</v>
      </c>
    </row>
    <row r="3879" spans="1:4" ht="33">
      <c r="A3879" s="657" t="s">
        <v>1164</v>
      </c>
      <c r="B3879" t="s">
        <v>11819</v>
      </c>
      <c r="C3879" s="900" t="s">
        <v>11837</v>
      </c>
      <c r="D3879" s="905" t="s">
        <v>11840</v>
      </c>
    </row>
    <row r="3880" spans="1:4" ht="33">
      <c r="A3880" s="657" t="s">
        <v>1166</v>
      </c>
      <c r="B3880" t="s">
        <v>11819</v>
      </c>
      <c r="C3880" s="900" t="s">
        <v>11837</v>
      </c>
      <c r="D3880" s="905" t="s">
        <v>11840</v>
      </c>
    </row>
    <row r="3881" spans="1:4" ht="33">
      <c r="A3881" s="657" t="s">
        <v>1168</v>
      </c>
      <c r="B3881" t="s">
        <v>11819</v>
      </c>
      <c r="C3881" s="900" t="s">
        <v>11837</v>
      </c>
      <c r="D3881" s="905" t="s">
        <v>11840</v>
      </c>
    </row>
    <row r="3882" spans="1:4" ht="33">
      <c r="A3882" s="657" t="s">
        <v>9519</v>
      </c>
      <c r="B3882" t="s">
        <v>11819</v>
      </c>
      <c r="C3882" s="900" t="s">
        <v>11837</v>
      </c>
      <c r="D3882" s="905" t="s">
        <v>11840</v>
      </c>
    </row>
    <row r="3883" spans="1:4" ht="33">
      <c r="A3883" s="657" t="s">
        <v>1170</v>
      </c>
      <c r="B3883" t="s">
        <v>11819</v>
      </c>
      <c r="C3883" s="900" t="s">
        <v>11837</v>
      </c>
      <c r="D3883" s="905" t="s">
        <v>11840</v>
      </c>
    </row>
    <row r="3884" spans="1:4" ht="33">
      <c r="A3884" s="657" t="s">
        <v>9521</v>
      </c>
      <c r="B3884" t="s">
        <v>11819</v>
      </c>
      <c r="C3884" s="900" t="s">
        <v>11837</v>
      </c>
      <c r="D3884" s="905" t="s">
        <v>11840</v>
      </c>
    </row>
    <row r="3885" spans="1:4" ht="33">
      <c r="A3885" s="657" t="s">
        <v>1172</v>
      </c>
      <c r="B3885" t="s">
        <v>11819</v>
      </c>
      <c r="C3885" s="900" t="s">
        <v>11837</v>
      </c>
      <c r="D3885" s="905" t="s">
        <v>11840</v>
      </c>
    </row>
    <row r="3886" spans="1:4" ht="33">
      <c r="A3886" s="657" t="s">
        <v>9523</v>
      </c>
      <c r="B3886" t="s">
        <v>11819</v>
      </c>
      <c r="C3886" s="900" t="s">
        <v>11837</v>
      </c>
      <c r="D3886" s="905" t="s">
        <v>11840</v>
      </c>
    </row>
    <row r="3887" spans="1:4" ht="33">
      <c r="A3887" s="657" t="s">
        <v>1174</v>
      </c>
      <c r="B3887" t="s">
        <v>11819</v>
      </c>
      <c r="C3887" s="900" t="s">
        <v>11837</v>
      </c>
      <c r="D3887" s="905" t="s">
        <v>11840</v>
      </c>
    </row>
    <row r="3888" spans="1:4" ht="33">
      <c r="A3888" s="657" t="s">
        <v>9525</v>
      </c>
      <c r="B3888" t="s">
        <v>11819</v>
      </c>
      <c r="C3888" s="900" t="s">
        <v>11837</v>
      </c>
      <c r="D3888" s="905" t="s">
        <v>11840</v>
      </c>
    </row>
    <row r="3889" spans="1:4" ht="33">
      <c r="A3889" s="657" t="s">
        <v>1176</v>
      </c>
      <c r="B3889" t="s">
        <v>11819</v>
      </c>
      <c r="C3889" s="900" t="s">
        <v>11837</v>
      </c>
      <c r="D3889" s="905" t="s">
        <v>11840</v>
      </c>
    </row>
    <row r="3890" spans="1:4" ht="33">
      <c r="A3890" s="657" t="s">
        <v>9527</v>
      </c>
      <c r="B3890" t="s">
        <v>11819</v>
      </c>
      <c r="C3890" s="900" t="s">
        <v>11837</v>
      </c>
      <c r="D3890" s="905" t="s">
        <v>11840</v>
      </c>
    </row>
    <row r="3891" spans="1:4" ht="33">
      <c r="A3891" s="657" t="s">
        <v>1178</v>
      </c>
      <c r="B3891" t="s">
        <v>11819</v>
      </c>
      <c r="C3891" s="900" t="s">
        <v>11837</v>
      </c>
      <c r="D3891" s="905" t="s">
        <v>11840</v>
      </c>
    </row>
    <row r="3892" spans="1:4" ht="33">
      <c r="A3892" s="657" t="s">
        <v>9529</v>
      </c>
      <c r="B3892" t="s">
        <v>11819</v>
      </c>
      <c r="C3892" s="900" t="s">
        <v>11837</v>
      </c>
      <c r="D3892" s="905" t="s">
        <v>11840</v>
      </c>
    </row>
    <row r="3893" spans="1:4" ht="33">
      <c r="A3893" s="657" t="s">
        <v>1180</v>
      </c>
      <c r="B3893" t="s">
        <v>11819</v>
      </c>
      <c r="C3893" s="900" t="s">
        <v>11837</v>
      </c>
      <c r="D3893" s="905" t="s">
        <v>11840</v>
      </c>
    </row>
    <row r="3894" spans="1:4" ht="33">
      <c r="A3894" s="657" t="s">
        <v>9531</v>
      </c>
      <c r="B3894" t="s">
        <v>11819</v>
      </c>
      <c r="C3894" s="900" t="s">
        <v>11837</v>
      </c>
      <c r="D3894" s="905" t="s">
        <v>11840</v>
      </c>
    </row>
    <row r="3895" spans="1:4" ht="33">
      <c r="A3895" s="657" t="s">
        <v>9533</v>
      </c>
      <c r="B3895" t="s">
        <v>11819</v>
      </c>
      <c r="C3895" s="900" t="s">
        <v>11837</v>
      </c>
      <c r="D3895" s="905" t="s">
        <v>11840</v>
      </c>
    </row>
    <row r="3896" spans="1:4" ht="33">
      <c r="A3896" s="657" t="s">
        <v>1182</v>
      </c>
      <c r="B3896" t="s">
        <v>11819</v>
      </c>
      <c r="C3896" s="900" t="s">
        <v>11837</v>
      </c>
      <c r="D3896" s="905" t="s">
        <v>11840</v>
      </c>
    </row>
    <row r="3897" spans="1:4" ht="33">
      <c r="A3897" s="657" t="s">
        <v>9535</v>
      </c>
      <c r="B3897" t="s">
        <v>11819</v>
      </c>
      <c r="C3897" s="900" t="s">
        <v>11837</v>
      </c>
      <c r="D3897" s="905" t="s">
        <v>11840</v>
      </c>
    </row>
    <row r="3898" spans="1:4" ht="33">
      <c r="A3898" s="657" t="s">
        <v>9537</v>
      </c>
      <c r="B3898" t="s">
        <v>11819</v>
      </c>
      <c r="C3898" s="900" t="s">
        <v>11837</v>
      </c>
      <c r="D3898" s="905" t="s">
        <v>11840</v>
      </c>
    </row>
    <row r="3899" spans="1:4" ht="33">
      <c r="A3899" s="657" t="s">
        <v>9539</v>
      </c>
      <c r="B3899" t="s">
        <v>11819</v>
      </c>
      <c r="C3899" s="900" t="s">
        <v>11837</v>
      </c>
      <c r="D3899" s="905" t="s">
        <v>11840</v>
      </c>
    </row>
    <row r="3900" spans="1:4" ht="33">
      <c r="A3900" s="657" t="s">
        <v>9541</v>
      </c>
      <c r="B3900" t="s">
        <v>11819</v>
      </c>
      <c r="C3900" s="900" t="s">
        <v>11837</v>
      </c>
      <c r="D3900" s="905" t="s">
        <v>11840</v>
      </c>
    </row>
    <row r="3901" spans="1:4" ht="33">
      <c r="A3901" s="657" t="s">
        <v>1184</v>
      </c>
      <c r="B3901" t="s">
        <v>11819</v>
      </c>
      <c r="C3901" s="900" t="s">
        <v>11837</v>
      </c>
      <c r="D3901" s="905" t="s">
        <v>11840</v>
      </c>
    </row>
    <row r="3902" spans="1:4" ht="33">
      <c r="A3902" s="657" t="s">
        <v>1186</v>
      </c>
      <c r="B3902" t="s">
        <v>11819</v>
      </c>
      <c r="C3902" s="900" t="s">
        <v>11837</v>
      </c>
      <c r="D3902" s="905" t="s">
        <v>11840</v>
      </c>
    </row>
    <row r="3903" spans="1:4" ht="33">
      <c r="A3903" s="657" t="s">
        <v>9543</v>
      </c>
      <c r="B3903" t="s">
        <v>11819</v>
      </c>
      <c r="C3903" s="900" t="s">
        <v>11837</v>
      </c>
      <c r="D3903" s="905" t="s">
        <v>11840</v>
      </c>
    </row>
    <row r="3904" spans="1:4" ht="33">
      <c r="A3904" s="657" t="s">
        <v>9545</v>
      </c>
      <c r="B3904" t="s">
        <v>11819</v>
      </c>
      <c r="C3904" s="900" t="s">
        <v>11837</v>
      </c>
      <c r="D3904" s="905" t="s">
        <v>11840</v>
      </c>
    </row>
    <row r="3905" spans="1:4" ht="33">
      <c r="A3905" s="657" t="s">
        <v>1188</v>
      </c>
      <c r="B3905" t="s">
        <v>11819</v>
      </c>
      <c r="C3905" s="900" t="s">
        <v>11837</v>
      </c>
      <c r="D3905" s="905" t="s">
        <v>11840</v>
      </c>
    </row>
    <row r="3906" spans="1:4" ht="33">
      <c r="A3906" s="657" t="s">
        <v>9547</v>
      </c>
      <c r="B3906" t="s">
        <v>11819</v>
      </c>
      <c r="C3906" s="900" t="s">
        <v>11837</v>
      </c>
      <c r="D3906" s="905" t="s">
        <v>11840</v>
      </c>
    </row>
    <row r="3908" spans="1:4" ht="16.5">
      <c r="A3908" s="663" t="s">
        <v>9550</v>
      </c>
      <c r="B3908" t="s">
        <v>11832</v>
      </c>
      <c r="C3908" s="900" t="s">
        <v>11837</v>
      </c>
      <c r="D3908" s="905" t="s">
        <v>11840</v>
      </c>
    </row>
    <row r="3909" spans="1:4" ht="16.5">
      <c r="A3909" s="665" t="s">
        <v>9552</v>
      </c>
      <c r="B3909" t="s">
        <v>11832</v>
      </c>
      <c r="C3909" s="900" t="s">
        <v>11837</v>
      </c>
      <c r="D3909" s="905" t="s">
        <v>11840</v>
      </c>
    </row>
    <row r="3910" spans="1:4" ht="16.5">
      <c r="A3910" s="663" t="s">
        <v>9554</v>
      </c>
      <c r="B3910" t="s">
        <v>11832</v>
      </c>
      <c r="C3910" s="900" t="s">
        <v>11837</v>
      </c>
      <c r="D3910" s="905" t="s">
        <v>11840</v>
      </c>
    </row>
    <row r="3911" spans="1:4" ht="16.5">
      <c r="A3911" s="665" t="s">
        <v>9556</v>
      </c>
      <c r="B3911" t="s">
        <v>11832</v>
      </c>
      <c r="C3911" s="900" t="s">
        <v>11837</v>
      </c>
      <c r="D3911" s="905" t="s">
        <v>11840</v>
      </c>
    </row>
    <row r="3912" spans="1:4" ht="16.5">
      <c r="A3912" s="663" t="s">
        <v>9558</v>
      </c>
      <c r="B3912" t="s">
        <v>11832</v>
      </c>
      <c r="C3912" s="900" t="s">
        <v>11837</v>
      </c>
      <c r="D3912" s="905" t="s">
        <v>11840</v>
      </c>
    </row>
    <row r="3913" spans="1:4" ht="16.5">
      <c r="A3913" s="665" t="s">
        <v>9561</v>
      </c>
      <c r="B3913" t="s">
        <v>11832</v>
      </c>
      <c r="C3913" s="900" t="s">
        <v>11837</v>
      </c>
      <c r="D3913" s="905" t="s">
        <v>11840</v>
      </c>
    </row>
    <row r="3914" spans="1:4" ht="16.5">
      <c r="A3914" s="663" t="s">
        <v>9563</v>
      </c>
      <c r="B3914" t="s">
        <v>11832</v>
      </c>
      <c r="C3914" s="900" t="s">
        <v>11837</v>
      </c>
      <c r="D3914" s="905" t="s">
        <v>11840</v>
      </c>
    </row>
    <row r="3915" spans="1:4" ht="16.5">
      <c r="A3915" s="665" t="s">
        <v>9565</v>
      </c>
      <c r="B3915" t="s">
        <v>11832</v>
      </c>
      <c r="C3915" s="900" t="s">
        <v>11837</v>
      </c>
      <c r="D3915" s="905" t="s">
        <v>11840</v>
      </c>
    </row>
    <row r="3916" spans="1:4" ht="16.5">
      <c r="A3916" s="663" t="s">
        <v>9567</v>
      </c>
      <c r="B3916" t="s">
        <v>11832</v>
      </c>
      <c r="C3916" s="900" t="s">
        <v>11837</v>
      </c>
      <c r="D3916" s="905" t="s">
        <v>11840</v>
      </c>
    </row>
    <row r="3917" spans="1:4" ht="16.5">
      <c r="A3917" s="665" t="s">
        <v>9569</v>
      </c>
      <c r="B3917" t="s">
        <v>11832</v>
      </c>
      <c r="C3917" s="900" t="s">
        <v>11837</v>
      </c>
      <c r="D3917" s="905" t="s">
        <v>11840</v>
      </c>
    </row>
    <row r="3918" spans="1:4" ht="16.5">
      <c r="A3918" s="663" t="s">
        <v>9571</v>
      </c>
      <c r="B3918" t="s">
        <v>11832</v>
      </c>
      <c r="C3918" s="900" t="s">
        <v>11837</v>
      </c>
      <c r="D3918" s="905" t="s">
        <v>11840</v>
      </c>
    </row>
    <row r="3919" spans="1:4" ht="16.5">
      <c r="A3919" s="665" t="s">
        <v>9574</v>
      </c>
      <c r="B3919" t="s">
        <v>11832</v>
      </c>
      <c r="C3919" s="900" t="s">
        <v>11837</v>
      </c>
      <c r="D3919" s="905" t="s">
        <v>11840</v>
      </c>
    </row>
    <row r="3920" spans="1:4" ht="16.5">
      <c r="A3920" s="663" t="s">
        <v>9576</v>
      </c>
      <c r="B3920" t="s">
        <v>11832</v>
      </c>
      <c r="C3920" s="900" t="s">
        <v>11837</v>
      </c>
      <c r="D3920" s="905" t="s">
        <v>11840</v>
      </c>
    </row>
    <row r="3921" spans="1:4" ht="16.5">
      <c r="A3921" s="665" t="s">
        <v>9578</v>
      </c>
      <c r="B3921" t="s">
        <v>11832</v>
      </c>
      <c r="C3921" s="900" t="s">
        <v>11837</v>
      </c>
      <c r="D3921" s="905" t="s">
        <v>11840</v>
      </c>
    </row>
    <row r="3922" spans="1:4" ht="16.5">
      <c r="A3922" s="663" t="s">
        <v>9580</v>
      </c>
      <c r="B3922" t="s">
        <v>11832</v>
      </c>
      <c r="C3922" s="900" t="s">
        <v>11837</v>
      </c>
      <c r="D3922" s="905" t="s">
        <v>11840</v>
      </c>
    </row>
    <row r="3923" spans="1:4" ht="16.5">
      <c r="A3923" s="665" t="s">
        <v>9582</v>
      </c>
      <c r="B3923" t="s">
        <v>11832</v>
      </c>
      <c r="C3923" s="900" t="s">
        <v>11837</v>
      </c>
      <c r="D3923" s="905" t="s">
        <v>11840</v>
      </c>
    </row>
    <row r="3924" spans="1:4" ht="16.5">
      <c r="A3924" s="663" t="s">
        <v>9584</v>
      </c>
      <c r="B3924" t="s">
        <v>11832</v>
      </c>
      <c r="C3924" s="900" t="s">
        <v>11837</v>
      </c>
      <c r="D3924" s="905" t="s">
        <v>11840</v>
      </c>
    </row>
    <row r="3925" spans="1:4" ht="16.5">
      <c r="A3925" s="665" t="s">
        <v>9586</v>
      </c>
      <c r="B3925" t="s">
        <v>11832</v>
      </c>
      <c r="C3925" s="900" t="s">
        <v>11837</v>
      </c>
      <c r="D3925" s="905" t="s">
        <v>11840</v>
      </c>
    </row>
    <row r="3926" spans="1:4" ht="16.5">
      <c r="A3926" s="663" t="s">
        <v>9588</v>
      </c>
      <c r="B3926" t="s">
        <v>11832</v>
      </c>
      <c r="C3926" s="900" t="s">
        <v>11837</v>
      </c>
      <c r="D3926" s="905" t="s">
        <v>11840</v>
      </c>
    </row>
    <row r="3927" spans="1:4" ht="16.5">
      <c r="A3927" s="665" t="s">
        <v>9590</v>
      </c>
      <c r="B3927" t="s">
        <v>11832</v>
      </c>
      <c r="C3927" s="900" t="s">
        <v>11837</v>
      </c>
      <c r="D3927" s="905" t="s">
        <v>11840</v>
      </c>
    </row>
    <row r="3928" spans="1:4" ht="16.5">
      <c r="A3928" s="663" t="s">
        <v>9592</v>
      </c>
      <c r="B3928" t="s">
        <v>11832</v>
      </c>
      <c r="C3928" s="900" t="s">
        <v>11837</v>
      </c>
      <c r="D3928" s="905" t="s">
        <v>11840</v>
      </c>
    </row>
    <row r="3929" spans="1:4" ht="16.5">
      <c r="A3929" s="665" t="s">
        <v>9594</v>
      </c>
      <c r="B3929" t="s">
        <v>11832</v>
      </c>
      <c r="C3929" s="900" t="s">
        <v>11837</v>
      </c>
      <c r="D3929" s="905" t="s">
        <v>11840</v>
      </c>
    </row>
    <row r="3930" spans="1:4" ht="16.5">
      <c r="A3930" s="663" t="s">
        <v>9596</v>
      </c>
      <c r="B3930" t="s">
        <v>11832</v>
      </c>
      <c r="C3930" s="900" t="s">
        <v>11837</v>
      </c>
      <c r="D3930" s="905" t="s">
        <v>11840</v>
      </c>
    </row>
    <row r="3931" spans="1:4" ht="16.5">
      <c r="A3931" s="665" t="s">
        <v>9598</v>
      </c>
      <c r="B3931" t="s">
        <v>11832</v>
      </c>
      <c r="C3931" s="900" t="s">
        <v>11837</v>
      </c>
      <c r="D3931" s="905" t="s">
        <v>11840</v>
      </c>
    </row>
    <row r="3932" spans="1:4" ht="16.5">
      <c r="A3932" s="663" t="s">
        <v>9600</v>
      </c>
      <c r="B3932" t="s">
        <v>11832</v>
      </c>
      <c r="C3932" s="900" t="s">
        <v>11837</v>
      </c>
      <c r="D3932" s="905" t="s">
        <v>11840</v>
      </c>
    </row>
    <row r="3933" spans="1:4" ht="16.5">
      <c r="A3933" s="665" t="s">
        <v>9602</v>
      </c>
      <c r="B3933" t="s">
        <v>11832</v>
      </c>
      <c r="C3933" s="900" t="s">
        <v>11837</v>
      </c>
      <c r="D3933" s="905" t="s">
        <v>11840</v>
      </c>
    </row>
    <row r="3934" spans="1:4" ht="16.5">
      <c r="A3934" s="663" t="s">
        <v>9604</v>
      </c>
      <c r="B3934" t="s">
        <v>11832</v>
      </c>
      <c r="C3934" s="900" t="s">
        <v>11837</v>
      </c>
      <c r="D3934" s="905" t="s">
        <v>11840</v>
      </c>
    </row>
    <row r="3935" spans="1:4" ht="16.5">
      <c r="A3935" s="665" t="s">
        <v>9606</v>
      </c>
      <c r="B3935" t="s">
        <v>11832</v>
      </c>
      <c r="C3935" s="900" t="s">
        <v>11837</v>
      </c>
      <c r="D3935" s="905" t="s">
        <v>11840</v>
      </c>
    </row>
    <row r="3936" spans="1:4" ht="16.5">
      <c r="A3936" s="663" t="s">
        <v>9608</v>
      </c>
      <c r="B3936" t="s">
        <v>11832</v>
      </c>
      <c r="C3936" s="900" t="s">
        <v>11837</v>
      </c>
      <c r="D3936" s="905" t="s">
        <v>11840</v>
      </c>
    </row>
    <row r="3937" spans="1:4" ht="16.5">
      <c r="A3937" s="665" t="s">
        <v>9610</v>
      </c>
      <c r="B3937" t="s">
        <v>11832</v>
      </c>
      <c r="C3937" s="900" t="s">
        <v>11837</v>
      </c>
      <c r="D3937" s="905" t="s">
        <v>11840</v>
      </c>
    </row>
    <row r="3938" spans="1:4" ht="16.5">
      <c r="A3938" s="663" t="s">
        <v>9612</v>
      </c>
      <c r="B3938" t="s">
        <v>11832</v>
      </c>
      <c r="C3938" s="900" t="s">
        <v>11837</v>
      </c>
      <c r="D3938" s="905" t="s">
        <v>11840</v>
      </c>
    </row>
    <row r="3939" spans="1:4" ht="16.5">
      <c r="A3939" s="665" t="s">
        <v>9614</v>
      </c>
      <c r="B3939" t="s">
        <v>11832</v>
      </c>
      <c r="C3939" s="900" t="s">
        <v>11837</v>
      </c>
      <c r="D3939" s="905" t="s">
        <v>11840</v>
      </c>
    </row>
    <row r="3940" spans="1:4" ht="16.5">
      <c r="A3940" s="663" t="s">
        <v>9616</v>
      </c>
      <c r="B3940" t="s">
        <v>11832</v>
      </c>
      <c r="C3940" s="900" t="s">
        <v>11837</v>
      </c>
      <c r="D3940" s="905" t="s">
        <v>11840</v>
      </c>
    </row>
    <row r="3941" spans="1:4" ht="16.5">
      <c r="A3941" s="665" t="s">
        <v>9618</v>
      </c>
      <c r="B3941" t="s">
        <v>11832</v>
      </c>
      <c r="C3941" s="900" t="s">
        <v>11837</v>
      </c>
      <c r="D3941" s="905" t="s">
        <v>11840</v>
      </c>
    </row>
    <row r="3942" spans="1:4" ht="16.5">
      <c r="A3942" s="663" t="s">
        <v>9620</v>
      </c>
      <c r="B3942" t="s">
        <v>11832</v>
      </c>
      <c r="C3942" s="900" t="s">
        <v>11837</v>
      </c>
      <c r="D3942" s="905" t="s">
        <v>11840</v>
      </c>
    </row>
    <row r="3943" spans="1:4" ht="16.5">
      <c r="A3943" s="665" t="s">
        <v>9622</v>
      </c>
      <c r="B3943" t="s">
        <v>11832</v>
      </c>
      <c r="C3943" s="900" t="s">
        <v>11837</v>
      </c>
      <c r="D3943" s="905" t="s">
        <v>11840</v>
      </c>
    </row>
    <row r="3944" spans="1:4" ht="16.5">
      <c r="A3944" s="663" t="s">
        <v>9624</v>
      </c>
      <c r="B3944" t="s">
        <v>11832</v>
      </c>
      <c r="C3944" s="900" t="s">
        <v>11837</v>
      </c>
      <c r="D3944" s="905" t="s">
        <v>11840</v>
      </c>
    </row>
    <row r="3945" spans="1:4" ht="16.5">
      <c r="A3945" s="665" t="s">
        <v>9626</v>
      </c>
      <c r="B3945" t="s">
        <v>11832</v>
      </c>
      <c r="C3945" s="900" t="s">
        <v>11837</v>
      </c>
      <c r="D3945" s="905" t="s">
        <v>11840</v>
      </c>
    </row>
    <row r="3946" spans="1:4" ht="16.5">
      <c r="A3946" s="663" t="s">
        <v>9628</v>
      </c>
      <c r="B3946" t="s">
        <v>11832</v>
      </c>
      <c r="C3946" s="900" t="s">
        <v>11837</v>
      </c>
      <c r="D3946" s="905" t="s">
        <v>11840</v>
      </c>
    </row>
    <row r="3947" spans="1:4" ht="16.5">
      <c r="A3947" s="665" t="s">
        <v>9630</v>
      </c>
      <c r="B3947" t="s">
        <v>11832</v>
      </c>
      <c r="C3947" s="900" t="s">
        <v>11837</v>
      </c>
      <c r="D3947" s="905" t="s">
        <v>11840</v>
      </c>
    </row>
    <row r="3948" spans="1:4" ht="16.5">
      <c r="A3948" s="663" t="s">
        <v>9632</v>
      </c>
      <c r="B3948" t="s">
        <v>11832</v>
      </c>
      <c r="C3948" s="900" t="s">
        <v>11837</v>
      </c>
      <c r="D3948" s="905" t="s">
        <v>11840</v>
      </c>
    </row>
    <row r="3949" spans="1:4" ht="16.5">
      <c r="A3949" s="665" t="s">
        <v>9634</v>
      </c>
      <c r="B3949" t="s">
        <v>11832</v>
      </c>
      <c r="C3949" s="900" t="s">
        <v>11837</v>
      </c>
      <c r="D3949" s="905" t="s">
        <v>11840</v>
      </c>
    </row>
    <row r="3950" spans="1:4" ht="16.5">
      <c r="A3950" s="663" t="s">
        <v>9636</v>
      </c>
      <c r="B3950" t="s">
        <v>11832</v>
      </c>
      <c r="C3950" s="900" t="s">
        <v>11837</v>
      </c>
      <c r="D3950" s="905" t="s">
        <v>11840</v>
      </c>
    </row>
    <row r="3951" spans="1:4" ht="16.5">
      <c r="A3951" s="665" t="s">
        <v>9638</v>
      </c>
      <c r="B3951" t="s">
        <v>11832</v>
      </c>
      <c r="C3951" s="900" t="s">
        <v>11837</v>
      </c>
      <c r="D3951" s="905" t="s">
        <v>11840</v>
      </c>
    </row>
    <row r="3952" spans="1:4" ht="16.5">
      <c r="A3952" s="663" t="s">
        <v>9640</v>
      </c>
      <c r="B3952" t="s">
        <v>11832</v>
      </c>
      <c r="C3952" s="900" t="s">
        <v>11837</v>
      </c>
      <c r="D3952" s="905" t="s">
        <v>11840</v>
      </c>
    </row>
    <row r="3953" spans="1:4" ht="16.5">
      <c r="A3953" s="665" t="s">
        <v>9643</v>
      </c>
      <c r="B3953" t="s">
        <v>11832</v>
      </c>
      <c r="C3953" s="900" t="s">
        <v>11837</v>
      </c>
      <c r="D3953" s="905" t="s">
        <v>11840</v>
      </c>
    </row>
    <row r="3954" spans="1:4" ht="16.5">
      <c r="A3954" s="663" t="s">
        <v>9645</v>
      </c>
      <c r="B3954" t="s">
        <v>11832</v>
      </c>
      <c r="C3954" s="900" t="s">
        <v>11837</v>
      </c>
      <c r="D3954" s="905" t="s">
        <v>11840</v>
      </c>
    </row>
    <row r="3955" spans="1:4" ht="16.5">
      <c r="A3955" s="665" t="s">
        <v>9647</v>
      </c>
      <c r="B3955" t="s">
        <v>11832</v>
      </c>
      <c r="C3955" s="900" t="s">
        <v>11837</v>
      </c>
      <c r="D3955" s="905" t="s">
        <v>11840</v>
      </c>
    </row>
    <row r="3956" spans="1:4" ht="16.5">
      <c r="A3956" s="663" t="s">
        <v>9649</v>
      </c>
      <c r="B3956" t="s">
        <v>11832</v>
      </c>
      <c r="C3956" s="900" t="s">
        <v>11837</v>
      </c>
      <c r="D3956" s="905" t="s">
        <v>11840</v>
      </c>
    </row>
    <row r="3957" spans="1:4" ht="16.5">
      <c r="A3957" s="665" t="s">
        <v>9651</v>
      </c>
      <c r="B3957" t="s">
        <v>11832</v>
      </c>
      <c r="C3957" s="900" t="s">
        <v>11837</v>
      </c>
      <c r="D3957" s="905" t="s">
        <v>11840</v>
      </c>
    </row>
    <row r="3958" spans="1:4" ht="16.5">
      <c r="A3958" s="663" t="s">
        <v>9653</v>
      </c>
      <c r="B3958" t="s">
        <v>11832</v>
      </c>
      <c r="C3958" s="900" t="s">
        <v>11837</v>
      </c>
      <c r="D3958" s="905" t="s">
        <v>11840</v>
      </c>
    </row>
    <row r="3959" spans="1:4" ht="16.5">
      <c r="A3959" s="665" t="s">
        <v>9655</v>
      </c>
      <c r="B3959" t="s">
        <v>11832</v>
      </c>
      <c r="C3959" s="900" t="s">
        <v>11837</v>
      </c>
      <c r="D3959" s="905" t="s">
        <v>11840</v>
      </c>
    </row>
    <row r="3960" spans="1:4" ht="16.5">
      <c r="A3960" s="663" t="s">
        <v>9657</v>
      </c>
      <c r="B3960" t="s">
        <v>11832</v>
      </c>
      <c r="C3960" s="900" t="s">
        <v>11837</v>
      </c>
      <c r="D3960" s="905" t="s">
        <v>11840</v>
      </c>
    </row>
    <row r="3961" spans="1:4" ht="16.5">
      <c r="A3961" s="665" t="s">
        <v>9659</v>
      </c>
      <c r="B3961" t="s">
        <v>11832</v>
      </c>
      <c r="C3961" s="900" t="s">
        <v>11837</v>
      </c>
      <c r="D3961" s="905" t="s">
        <v>11840</v>
      </c>
    </row>
    <row r="3962" spans="1:4" ht="16.5">
      <c r="A3962" s="663" t="s">
        <v>9661</v>
      </c>
      <c r="B3962" t="s">
        <v>11832</v>
      </c>
      <c r="C3962" s="900" t="s">
        <v>11837</v>
      </c>
      <c r="D3962" s="905" t="s">
        <v>11840</v>
      </c>
    </row>
    <row r="3963" spans="1:4" ht="16.5">
      <c r="A3963" s="665" t="s">
        <v>9663</v>
      </c>
      <c r="B3963" t="s">
        <v>11832</v>
      </c>
      <c r="C3963" s="900" t="s">
        <v>11837</v>
      </c>
      <c r="D3963" s="905" t="s">
        <v>11840</v>
      </c>
    </row>
    <row r="3964" spans="1:4" ht="16.5">
      <c r="A3964" s="663" t="s">
        <v>9665</v>
      </c>
      <c r="B3964" t="s">
        <v>11832</v>
      </c>
      <c r="C3964" s="900" t="s">
        <v>11837</v>
      </c>
      <c r="D3964" s="905" t="s">
        <v>11840</v>
      </c>
    </row>
    <row r="3965" spans="1:4" ht="16.5">
      <c r="A3965" s="665" t="s">
        <v>9667</v>
      </c>
      <c r="B3965" t="s">
        <v>11832</v>
      </c>
      <c r="C3965" s="900" t="s">
        <v>11837</v>
      </c>
      <c r="D3965" s="905" t="s">
        <v>11840</v>
      </c>
    </row>
    <row r="3966" spans="1:4" ht="16.5">
      <c r="A3966" s="663" t="s">
        <v>9669</v>
      </c>
      <c r="B3966" t="s">
        <v>11832</v>
      </c>
      <c r="C3966" s="900" t="s">
        <v>11837</v>
      </c>
      <c r="D3966" s="905" t="s">
        <v>11840</v>
      </c>
    </row>
    <row r="3967" spans="1:4" ht="16.5">
      <c r="A3967" s="665" t="s">
        <v>9671</v>
      </c>
      <c r="B3967" t="s">
        <v>11832</v>
      </c>
      <c r="C3967" s="900" t="s">
        <v>11837</v>
      </c>
      <c r="D3967" s="905" t="s">
        <v>11840</v>
      </c>
    </row>
    <row r="3968" spans="1:4" ht="16.5">
      <c r="A3968" s="663" t="s">
        <v>9673</v>
      </c>
      <c r="B3968" t="s">
        <v>11832</v>
      </c>
      <c r="C3968" s="900" t="s">
        <v>11837</v>
      </c>
      <c r="D3968" s="905" t="s">
        <v>11840</v>
      </c>
    </row>
    <row r="3969" spans="1:4" ht="16.5">
      <c r="A3969" s="665" t="s">
        <v>9675</v>
      </c>
      <c r="B3969" t="s">
        <v>11832</v>
      </c>
      <c r="C3969" s="900" t="s">
        <v>11837</v>
      </c>
      <c r="D3969" s="905" t="s">
        <v>11840</v>
      </c>
    </row>
    <row r="3970" spans="1:4" ht="16.5">
      <c r="A3970" s="663" t="s">
        <v>9677</v>
      </c>
      <c r="B3970" t="s">
        <v>11832</v>
      </c>
      <c r="C3970" s="900" t="s">
        <v>11837</v>
      </c>
      <c r="D3970" s="905" t="s">
        <v>11840</v>
      </c>
    </row>
    <row r="3971" spans="1:4" ht="16.5">
      <c r="A3971" s="665" t="s">
        <v>9679</v>
      </c>
      <c r="B3971" t="s">
        <v>11832</v>
      </c>
      <c r="C3971" s="900" t="s">
        <v>11837</v>
      </c>
      <c r="D3971" s="905" t="s">
        <v>11840</v>
      </c>
    </row>
    <row r="3972" spans="1:4" ht="16.5">
      <c r="A3972" s="663" t="s">
        <v>9681</v>
      </c>
      <c r="B3972" t="s">
        <v>11832</v>
      </c>
      <c r="C3972" s="900" t="s">
        <v>11837</v>
      </c>
      <c r="D3972" s="905" t="s">
        <v>11840</v>
      </c>
    </row>
    <row r="3973" spans="1:4" ht="16.5">
      <c r="A3973" s="665" t="s">
        <v>9683</v>
      </c>
      <c r="B3973" t="s">
        <v>11832</v>
      </c>
      <c r="C3973" s="900" t="s">
        <v>11837</v>
      </c>
      <c r="D3973" s="905" t="s">
        <v>11840</v>
      </c>
    </row>
    <row r="3974" spans="1:4" ht="16.5">
      <c r="A3974" s="663" t="s">
        <v>9685</v>
      </c>
      <c r="B3974" t="s">
        <v>11832</v>
      </c>
      <c r="C3974" s="900" t="s">
        <v>11837</v>
      </c>
      <c r="D3974" s="905" t="s">
        <v>11840</v>
      </c>
    </row>
    <row r="3975" spans="1:4" ht="16.5">
      <c r="A3975" s="665" t="s">
        <v>9687</v>
      </c>
      <c r="B3975" t="s">
        <v>11832</v>
      </c>
      <c r="C3975" s="900" t="s">
        <v>11837</v>
      </c>
      <c r="D3975" s="905" t="s">
        <v>11840</v>
      </c>
    </row>
    <row r="3976" spans="1:4" ht="16.5">
      <c r="A3976" s="663" t="s">
        <v>9689</v>
      </c>
      <c r="B3976" t="s">
        <v>11832</v>
      </c>
      <c r="C3976" s="900" t="s">
        <v>11837</v>
      </c>
      <c r="D3976" s="905" t="s">
        <v>11840</v>
      </c>
    </row>
    <row r="3977" spans="1:4" ht="16.5">
      <c r="A3977" s="665" t="s">
        <v>9691</v>
      </c>
      <c r="B3977" t="s">
        <v>11832</v>
      </c>
      <c r="C3977" s="900" t="s">
        <v>11837</v>
      </c>
      <c r="D3977" s="905" t="s">
        <v>11840</v>
      </c>
    </row>
    <row r="3978" spans="1:4" ht="16.5">
      <c r="A3978" s="663" t="s">
        <v>9693</v>
      </c>
      <c r="B3978" t="s">
        <v>11832</v>
      </c>
      <c r="C3978" s="900" t="s">
        <v>11837</v>
      </c>
      <c r="D3978" s="905" t="s">
        <v>11840</v>
      </c>
    </row>
    <row r="3979" spans="1:4" ht="16.5">
      <c r="A3979" s="665" t="s">
        <v>9695</v>
      </c>
      <c r="B3979" t="s">
        <v>11832</v>
      </c>
      <c r="C3979" s="900" t="s">
        <v>11837</v>
      </c>
      <c r="D3979" s="905" t="s">
        <v>11840</v>
      </c>
    </row>
    <row r="3980" spans="1:4" ht="16.5">
      <c r="A3980" s="663" t="s">
        <v>9697</v>
      </c>
      <c r="B3980" t="s">
        <v>11832</v>
      </c>
      <c r="C3980" s="900" t="s">
        <v>11837</v>
      </c>
      <c r="D3980" s="905" t="s">
        <v>11840</v>
      </c>
    </row>
    <row r="3981" spans="1:4" ht="16.5">
      <c r="A3981" s="665" t="s">
        <v>9699</v>
      </c>
      <c r="B3981" t="s">
        <v>11832</v>
      </c>
      <c r="C3981" s="900" t="s">
        <v>11837</v>
      </c>
      <c r="D3981" s="905" t="s">
        <v>11840</v>
      </c>
    </row>
    <row r="3982" spans="1:4" ht="16.5">
      <c r="A3982" s="663" t="s">
        <v>9701</v>
      </c>
      <c r="B3982" t="s">
        <v>11832</v>
      </c>
      <c r="C3982" s="900" t="s">
        <v>11837</v>
      </c>
      <c r="D3982" s="905" t="s">
        <v>11840</v>
      </c>
    </row>
    <row r="3983" spans="1:4" ht="16.5">
      <c r="A3983" s="665" t="s">
        <v>9703</v>
      </c>
      <c r="B3983" t="s">
        <v>11832</v>
      </c>
      <c r="C3983" s="900" t="s">
        <v>11837</v>
      </c>
      <c r="D3983" s="905" t="s">
        <v>11840</v>
      </c>
    </row>
    <row r="3984" spans="1:4" ht="16.5">
      <c r="A3984" s="663" t="s">
        <v>9705</v>
      </c>
      <c r="B3984" t="s">
        <v>11832</v>
      </c>
      <c r="C3984" s="900" t="s">
        <v>11837</v>
      </c>
      <c r="D3984" s="905" t="s">
        <v>11840</v>
      </c>
    </row>
    <row r="3985" spans="1:4" ht="16.5">
      <c r="A3985" s="665" t="s">
        <v>9707</v>
      </c>
      <c r="B3985" t="s">
        <v>11832</v>
      </c>
      <c r="C3985" s="900" t="s">
        <v>11837</v>
      </c>
      <c r="D3985" s="905" t="s">
        <v>11840</v>
      </c>
    </row>
    <row r="3986" spans="1:4" ht="16.5">
      <c r="A3986" s="663" t="s">
        <v>9709</v>
      </c>
      <c r="B3986" t="s">
        <v>11832</v>
      </c>
      <c r="C3986" s="900" t="s">
        <v>11837</v>
      </c>
      <c r="D3986" s="905" t="s">
        <v>11840</v>
      </c>
    </row>
    <row r="3987" spans="1:4" ht="16.5">
      <c r="A3987" s="665" t="s">
        <v>9711</v>
      </c>
      <c r="B3987" t="s">
        <v>11832</v>
      </c>
      <c r="C3987" s="900" t="s">
        <v>11837</v>
      </c>
      <c r="D3987" s="905" t="s">
        <v>11840</v>
      </c>
    </row>
    <row r="3988" spans="1:4" ht="16.5">
      <c r="A3988" s="663" t="s">
        <v>9713</v>
      </c>
      <c r="B3988" t="s">
        <v>11832</v>
      </c>
      <c r="C3988" s="900" t="s">
        <v>11837</v>
      </c>
      <c r="D3988" s="905" t="s">
        <v>11840</v>
      </c>
    </row>
    <row r="3989" spans="1:4" ht="16.5">
      <c r="A3989" s="665" t="s">
        <v>9715</v>
      </c>
      <c r="B3989" t="s">
        <v>11832</v>
      </c>
      <c r="C3989" s="900" t="s">
        <v>11837</v>
      </c>
      <c r="D3989" s="905" t="s">
        <v>11840</v>
      </c>
    </row>
    <row r="3990" spans="1:4" ht="16.5">
      <c r="A3990" s="663" t="s">
        <v>9717</v>
      </c>
      <c r="B3990" t="s">
        <v>11832</v>
      </c>
      <c r="C3990" s="900" t="s">
        <v>11837</v>
      </c>
      <c r="D3990" s="905" t="s">
        <v>11840</v>
      </c>
    </row>
    <row r="3991" spans="1:4" ht="16.5">
      <c r="A3991" s="665" t="s">
        <v>9719</v>
      </c>
      <c r="B3991" t="s">
        <v>11832</v>
      </c>
      <c r="C3991" s="900" t="s">
        <v>11837</v>
      </c>
      <c r="D3991" s="905" t="s">
        <v>11840</v>
      </c>
    </row>
    <row r="3992" spans="1:4" ht="16.5">
      <c r="A3992" s="663" t="s">
        <v>9721</v>
      </c>
      <c r="B3992" t="s">
        <v>11832</v>
      </c>
      <c r="C3992" s="900" t="s">
        <v>11837</v>
      </c>
      <c r="D3992" s="905" t="s">
        <v>11840</v>
      </c>
    </row>
    <row r="3993" spans="1:4" ht="16.5">
      <c r="A3993" s="665" t="s">
        <v>9723</v>
      </c>
      <c r="B3993" t="s">
        <v>11832</v>
      </c>
      <c r="C3993" s="900" t="s">
        <v>11837</v>
      </c>
      <c r="D3993" s="905" t="s">
        <v>11840</v>
      </c>
    </row>
    <row r="3994" spans="1:4" ht="16.5">
      <c r="A3994" s="663" t="s">
        <v>9725</v>
      </c>
      <c r="B3994" t="s">
        <v>11832</v>
      </c>
      <c r="C3994" s="900" t="s">
        <v>11837</v>
      </c>
      <c r="D3994" s="905" t="s">
        <v>11840</v>
      </c>
    </row>
    <row r="3995" spans="1:4" ht="16.5">
      <c r="A3995" s="665" t="s">
        <v>9727</v>
      </c>
      <c r="B3995" t="s">
        <v>11832</v>
      </c>
      <c r="C3995" s="900" t="s">
        <v>11837</v>
      </c>
      <c r="D3995" s="905" t="s">
        <v>11840</v>
      </c>
    </row>
    <row r="3996" spans="1:4" ht="16.5">
      <c r="A3996" s="663" t="s">
        <v>9729</v>
      </c>
      <c r="B3996" t="s">
        <v>11832</v>
      </c>
      <c r="C3996" s="900" t="s">
        <v>11837</v>
      </c>
      <c r="D3996" s="905" t="s">
        <v>11840</v>
      </c>
    </row>
    <row r="3997" spans="1:4" ht="16.5">
      <c r="A3997" s="665" t="s">
        <v>9731</v>
      </c>
      <c r="B3997" t="s">
        <v>11832</v>
      </c>
      <c r="C3997" s="900" t="s">
        <v>11837</v>
      </c>
      <c r="D3997" s="905" t="s">
        <v>11840</v>
      </c>
    </row>
    <row r="3998" spans="1:4" ht="16.5">
      <c r="A3998" s="663" t="s">
        <v>9733</v>
      </c>
      <c r="B3998" t="s">
        <v>11832</v>
      </c>
      <c r="C3998" s="900" t="s">
        <v>11837</v>
      </c>
      <c r="D3998" s="905" t="s">
        <v>11840</v>
      </c>
    </row>
    <row r="3999" spans="1:4" ht="16.5">
      <c r="A3999" s="665" t="s">
        <v>9735</v>
      </c>
      <c r="B3999" t="s">
        <v>11832</v>
      </c>
      <c r="C3999" s="900" t="s">
        <v>11837</v>
      </c>
      <c r="D3999" s="905" t="s">
        <v>11840</v>
      </c>
    </row>
    <row r="4000" spans="1:4" ht="16.5">
      <c r="A4000" s="663" t="s">
        <v>9738</v>
      </c>
      <c r="B4000" t="s">
        <v>11832</v>
      </c>
      <c r="C4000" s="900" t="s">
        <v>11837</v>
      </c>
      <c r="D4000" s="905" t="s">
        <v>11840</v>
      </c>
    </row>
    <row r="4001" spans="1:4" ht="16.5">
      <c r="A4001" s="665" t="s">
        <v>9740</v>
      </c>
      <c r="B4001" t="s">
        <v>11832</v>
      </c>
      <c r="C4001" s="900" t="s">
        <v>11837</v>
      </c>
      <c r="D4001" s="905" t="s">
        <v>11840</v>
      </c>
    </row>
    <row r="4002" spans="1:4" ht="16.5">
      <c r="A4002" s="663" t="s">
        <v>9742</v>
      </c>
      <c r="B4002" t="s">
        <v>11832</v>
      </c>
      <c r="C4002" s="900" t="s">
        <v>11837</v>
      </c>
      <c r="D4002" s="905" t="s">
        <v>11840</v>
      </c>
    </row>
    <row r="4003" spans="1:4" ht="16.5">
      <c r="A4003" s="665" t="s">
        <v>9744</v>
      </c>
      <c r="B4003" t="s">
        <v>11832</v>
      </c>
      <c r="C4003" s="900" t="s">
        <v>11837</v>
      </c>
      <c r="D4003" s="905" t="s">
        <v>11840</v>
      </c>
    </row>
    <row r="4004" spans="1:4" ht="16.5">
      <c r="A4004" s="663" t="s">
        <v>9746</v>
      </c>
      <c r="B4004" t="s">
        <v>11832</v>
      </c>
      <c r="C4004" s="900" t="s">
        <v>11837</v>
      </c>
      <c r="D4004" s="905" t="s">
        <v>11840</v>
      </c>
    </row>
    <row r="4005" spans="1:4" ht="16.5">
      <c r="A4005" s="665" t="s">
        <v>9748</v>
      </c>
      <c r="B4005" t="s">
        <v>11832</v>
      </c>
      <c r="C4005" s="900" t="s">
        <v>11837</v>
      </c>
      <c r="D4005" s="905" t="s">
        <v>11840</v>
      </c>
    </row>
    <row r="4006" spans="1:4" ht="16.5">
      <c r="A4006" s="663" t="s">
        <v>9750</v>
      </c>
      <c r="B4006" t="s">
        <v>11832</v>
      </c>
      <c r="C4006" s="900" t="s">
        <v>11837</v>
      </c>
      <c r="D4006" s="905" t="s">
        <v>11840</v>
      </c>
    </row>
    <row r="4007" spans="1:4" ht="16.5">
      <c r="A4007" s="665" t="s">
        <v>9752</v>
      </c>
      <c r="B4007" t="s">
        <v>11832</v>
      </c>
      <c r="C4007" s="900" t="s">
        <v>11837</v>
      </c>
      <c r="D4007" s="905" t="s">
        <v>11840</v>
      </c>
    </row>
    <row r="4008" spans="1:4" ht="16.5">
      <c r="A4008" s="663" t="s">
        <v>9754</v>
      </c>
      <c r="B4008" t="s">
        <v>11832</v>
      </c>
      <c r="C4008" s="900" t="s">
        <v>11837</v>
      </c>
      <c r="D4008" s="905" t="s">
        <v>11840</v>
      </c>
    </row>
    <row r="4009" spans="1:4" ht="16.5">
      <c r="A4009" s="665" t="s">
        <v>9756</v>
      </c>
      <c r="B4009" t="s">
        <v>11832</v>
      </c>
      <c r="C4009" s="900" t="s">
        <v>11837</v>
      </c>
      <c r="D4009" s="905" t="s">
        <v>11840</v>
      </c>
    </row>
    <row r="4010" spans="1:4" ht="16.5">
      <c r="A4010" s="663" t="s">
        <v>9758</v>
      </c>
      <c r="B4010" t="s">
        <v>11832</v>
      </c>
      <c r="C4010" s="900" t="s">
        <v>11837</v>
      </c>
      <c r="D4010" s="905" t="s">
        <v>11840</v>
      </c>
    </row>
    <row r="4011" spans="1:4" ht="16.5">
      <c r="A4011" s="665" t="s">
        <v>9760</v>
      </c>
      <c r="B4011" t="s">
        <v>11832</v>
      </c>
      <c r="C4011" s="900" t="s">
        <v>11837</v>
      </c>
      <c r="D4011" s="905" t="s">
        <v>11840</v>
      </c>
    </row>
    <row r="4012" spans="1:4" ht="16.5">
      <c r="A4012" s="663" t="s">
        <v>9762</v>
      </c>
      <c r="B4012" t="s">
        <v>11832</v>
      </c>
      <c r="C4012" s="900" t="s">
        <v>11837</v>
      </c>
      <c r="D4012" s="905" t="s">
        <v>11840</v>
      </c>
    </row>
    <row r="4013" spans="1:4" ht="16.5">
      <c r="A4013" s="665" t="s">
        <v>9764</v>
      </c>
      <c r="B4013" t="s">
        <v>11832</v>
      </c>
      <c r="C4013" s="900" t="s">
        <v>11837</v>
      </c>
      <c r="D4013" s="905" t="s">
        <v>11840</v>
      </c>
    </row>
    <row r="4014" spans="1:4" ht="16.5">
      <c r="A4014" s="663" t="s">
        <v>9766</v>
      </c>
      <c r="B4014" t="s">
        <v>11832</v>
      </c>
      <c r="C4014" s="900" t="s">
        <v>11837</v>
      </c>
      <c r="D4014" s="905" t="s">
        <v>11840</v>
      </c>
    </row>
    <row r="4015" spans="1:4" ht="16.5">
      <c r="A4015" s="665" t="s">
        <v>9768</v>
      </c>
      <c r="B4015" t="s">
        <v>11832</v>
      </c>
      <c r="C4015" s="900" t="s">
        <v>11837</v>
      </c>
      <c r="D4015" s="905" t="s">
        <v>11840</v>
      </c>
    </row>
    <row r="4016" spans="1:4" ht="16.5">
      <c r="A4016" s="663" t="s">
        <v>9770</v>
      </c>
      <c r="B4016" t="s">
        <v>11832</v>
      </c>
      <c r="C4016" s="900" t="s">
        <v>11837</v>
      </c>
      <c r="D4016" s="905" t="s">
        <v>11840</v>
      </c>
    </row>
    <row r="4017" spans="1:4" ht="16.5">
      <c r="A4017" s="665" t="s">
        <v>9772</v>
      </c>
      <c r="B4017" t="s">
        <v>11832</v>
      </c>
      <c r="C4017" s="900" t="s">
        <v>11837</v>
      </c>
      <c r="D4017" s="905" t="s">
        <v>11840</v>
      </c>
    </row>
    <row r="4018" spans="1:4" ht="16.5">
      <c r="A4018" s="663" t="s">
        <v>9774</v>
      </c>
      <c r="B4018" t="s">
        <v>11832</v>
      </c>
      <c r="C4018" s="900" t="s">
        <v>11837</v>
      </c>
      <c r="D4018" s="905" t="s">
        <v>11840</v>
      </c>
    </row>
    <row r="4019" spans="1:4" ht="16.5">
      <c r="A4019" s="665" t="s">
        <v>9776</v>
      </c>
      <c r="B4019" t="s">
        <v>11832</v>
      </c>
      <c r="C4019" s="900" t="s">
        <v>11837</v>
      </c>
      <c r="D4019" s="905" t="s">
        <v>11840</v>
      </c>
    </row>
    <row r="4020" spans="1:4" ht="16.5">
      <c r="A4020" s="663" t="s">
        <v>9778</v>
      </c>
      <c r="B4020" t="s">
        <v>11832</v>
      </c>
      <c r="C4020" s="900" t="s">
        <v>11837</v>
      </c>
      <c r="D4020" s="905" t="s">
        <v>11840</v>
      </c>
    </row>
    <row r="4021" spans="1:4" ht="16.5">
      <c r="A4021" s="665" t="s">
        <v>9780</v>
      </c>
      <c r="B4021" t="s">
        <v>11832</v>
      </c>
      <c r="C4021" s="900" t="s">
        <v>11837</v>
      </c>
      <c r="D4021" s="905" t="s">
        <v>11840</v>
      </c>
    </row>
    <row r="4022" spans="1:4" ht="16.5">
      <c r="A4022" s="663" t="s">
        <v>9782</v>
      </c>
      <c r="B4022" t="s">
        <v>11832</v>
      </c>
      <c r="C4022" s="900" t="s">
        <v>11837</v>
      </c>
      <c r="D4022" s="905" t="s">
        <v>11840</v>
      </c>
    </row>
    <row r="4023" spans="1:4" ht="16.5">
      <c r="A4023" s="665" t="s">
        <v>9784</v>
      </c>
      <c r="B4023" t="s">
        <v>11832</v>
      </c>
      <c r="C4023" s="900" t="s">
        <v>11837</v>
      </c>
      <c r="D4023" s="905" t="s">
        <v>11840</v>
      </c>
    </row>
    <row r="4024" spans="1:4" ht="16.5">
      <c r="A4024" s="663" t="s">
        <v>9786</v>
      </c>
      <c r="B4024" t="s">
        <v>11832</v>
      </c>
      <c r="C4024" s="900" t="s">
        <v>11837</v>
      </c>
      <c r="D4024" s="905" t="s">
        <v>11840</v>
      </c>
    </row>
    <row r="4025" spans="1:4" ht="16.5">
      <c r="A4025" s="665" t="s">
        <v>9788</v>
      </c>
      <c r="B4025" t="s">
        <v>11832</v>
      </c>
      <c r="C4025" s="900" t="s">
        <v>11837</v>
      </c>
      <c r="D4025" s="905" t="s">
        <v>11840</v>
      </c>
    </row>
    <row r="4026" spans="1:4" ht="16.5">
      <c r="A4026" s="663" t="s">
        <v>9790</v>
      </c>
      <c r="B4026" t="s">
        <v>11832</v>
      </c>
      <c r="C4026" s="900" t="s">
        <v>11837</v>
      </c>
      <c r="D4026" s="905" t="s">
        <v>11840</v>
      </c>
    </row>
    <row r="4027" spans="1:4" ht="16.5">
      <c r="A4027" s="665" t="s">
        <v>9792</v>
      </c>
      <c r="B4027" t="s">
        <v>11832</v>
      </c>
      <c r="C4027" s="900" t="s">
        <v>11837</v>
      </c>
      <c r="D4027" s="905" t="s">
        <v>11840</v>
      </c>
    </row>
    <row r="4028" spans="1:4" ht="16.5">
      <c r="A4028" s="663" t="s">
        <v>9794</v>
      </c>
      <c r="B4028" t="s">
        <v>11832</v>
      </c>
      <c r="C4028" s="900" t="s">
        <v>11837</v>
      </c>
      <c r="D4028" s="905" t="s">
        <v>11840</v>
      </c>
    </row>
    <row r="4029" spans="1:4" ht="16.5">
      <c r="A4029" s="665" t="s">
        <v>9796</v>
      </c>
      <c r="B4029" t="s">
        <v>11832</v>
      </c>
      <c r="C4029" s="900" t="s">
        <v>11837</v>
      </c>
      <c r="D4029" s="905" t="s">
        <v>11840</v>
      </c>
    </row>
    <row r="4030" spans="1:4" ht="16.5">
      <c r="A4030" s="663" t="s">
        <v>9798</v>
      </c>
      <c r="B4030" t="s">
        <v>11832</v>
      </c>
      <c r="C4030" s="900" t="s">
        <v>11837</v>
      </c>
      <c r="D4030" s="905" t="s">
        <v>11840</v>
      </c>
    </row>
    <row r="4031" spans="1:4" ht="16.5">
      <c r="A4031" s="665" t="s">
        <v>9800</v>
      </c>
      <c r="B4031" t="s">
        <v>11832</v>
      </c>
      <c r="C4031" s="900" t="s">
        <v>11837</v>
      </c>
      <c r="D4031" s="905" t="s">
        <v>11840</v>
      </c>
    </row>
    <row r="4032" spans="1:4" ht="16.5">
      <c r="A4032" s="663" t="s">
        <v>9802</v>
      </c>
      <c r="B4032" t="s">
        <v>11832</v>
      </c>
      <c r="C4032" s="900" t="s">
        <v>11837</v>
      </c>
      <c r="D4032" s="905" t="s">
        <v>11840</v>
      </c>
    </row>
    <row r="4033" spans="1:4" ht="16.5">
      <c r="A4033" s="665" t="s">
        <v>9804</v>
      </c>
      <c r="B4033" t="s">
        <v>11832</v>
      </c>
      <c r="C4033" s="900" t="s">
        <v>11837</v>
      </c>
      <c r="D4033" s="905" t="s">
        <v>11840</v>
      </c>
    </row>
    <row r="4034" spans="1:4" ht="16.5">
      <c r="A4034" s="663" t="s">
        <v>9806</v>
      </c>
      <c r="B4034" t="s">
        <v>11832</v>
      </c>
      <c r="C4034" s="900" t="s">
        <v>11837</v>
      </c>
      <c r="D4034" s="905" t="s">
        <v>11840</v>
      </c>
    </row>
    <row r="4035" spans="1:4" ht="16.5">
      <c r="A4035" s="665" t="s">
        <v>9808</v>
      </c>
      <c r="B4035" t="s">
        <v>11832</v>
      </c>
      <c r="C4035" s="900" t="s">
        <v>11837</v>
      </c>
      <c r="D4035" s="905" t="s">
        <v>11840</v>
      </c>
    </row>
    <row r="4036" spans="1:4" ht="16.5">
      <c r="A4036" s="663" t="s">
        <v>9810</v>
      </c>
      <c r="B4036" t="s">
        <v>11832</v>
      </c>
      <c r="C4036" s="900" t="s">
        <v>11837</v>
      </c>
      <c r="D4036" s="905" t="s">
        <v>11840</v>
      </c>
    </row>
    <row r="4037" spans="1:4" ht="16.5">
      <c r="A4037" s="665" t="s">
        <v>9812</v>
      </c>
      <c r="B4037" t="s">
        <v>11832</v>
      </c>
      <c r="C4037" s="900" t="s">
        <v>11837</v>
      </c>
      <c r="D4037" s="905" t="s">
        <v>11840</v>
      </c>
    </row>
    <row r="4038" spans="1:4" ht="16.5">
      <c r="A4038" s="663" t="s">
        <v>9813</v>
      </c>
      <c r="B4038" t="s">
        <v>11832</v>
      </c>
      <c r="C4038" s="900" t="s">
        <v>11837</v>
      </c>
      <c r="D4038" s="905" t="s">
        <v>11840</v>
      </c>
    </row>
    <row r="4039" spans="1:4" ht="16.5">
      <c r="A4039" s="665" t="s">
        <v>9814</v>
      </c>
      <c r="B4039" t="s">
        <v>11832</v>
      </c>
      <c r="C4039" s="900" t="s">
        <v>11837</v>
      </c>
      <c r="D4039" s="905" t="s">
        <v>11840</v>
      </c>
    </row>
    <row r="4040" spans="1:4" ht="16.5">
      <c r="A4040" s="663" t="s">
        <v>9815</v>
      </c>
      <c r="B4040" t="s">
        <v>11832</v>
      </c>
      <c r="C4040" s="900" t="s">
        <v>11837</v>
      </c>
      <c r="D4040" s="905" t="s">
        <v>11840</v>
      </c>
    </row>
    <row r="4041" spans="1:4" ht="16.5">
      <c r="A4041" s="665" t="s">
        <v>9816</v>
      </c>
      <c r="B4041" t="s">
        <v>11832</v>
      </c>
      <c r="C4041" s="900" t="s">
        <v>11837</v>
      </c>
      <c r="D4041" s="905" t="s">
        <v>11840</v>
      </c>
    </row>
    <row r="4042" spans="1:4" ht="16.5">
      <c r="A4042" s="663" t="s">
        <v>9817</v>
      </c>
      <c r="B4042" t="s">
        <v>11832</v>
      </c>
      <c r="C4042" s="900" t="s">
        <v>11837</v>
      </c>
      <c r="D4042" s="905" t="s">
        <v>11840</v>
      </c>
    </row>
    <row r="4043" spans="1:4" ht="16.5">
      <c r="A4043" s="665" t="s">
        <v>9818</v>
      </c>
      <c r="B4043" t="s">
        <v>11832</v>
      </c>
      <c r="C4043" s="900" t="s">
        <v>11837</v>
      </c>
      <c r="D4043" s="905" t="s">
        <v>11840</v>
      </c>
    </row>
    <row r="4044" spans="1:4" ht="16.5">
      <c r="A4044" s="663" t="s">
        <v>9819</v>
      </c>
      <c r="B4044" t="s">
        <v>11832</v>
      </c>
      <c r="C4044" s="900" t="s">
        <v>11837</v>
      </c>
      <c r="D4044" s="905" t="s">
        <v>11840</v>
      </c>
    </row>
    <row r="4045" spans="1:4" ht="16.5">
      <c r="A4045" s="665" t="s">
        <v>9820</v>
      </c>
      <c r="B4045" t="s">
        <v>11832</v>
      </c>
      <c r="C4045" s="900" t="s">
        <v>11837</v>
      </c>
      <c r="D4045" s="905" t="s">
        <v>11840</v>
      </c>
    </row>
    <row r="4046" spans="1:4" ht="16.5">
      <c r="A4046" s="663" t="s">
        <v>9821</v>
      </c>
      <c r="B4046" t="s">
        <v>11832</v>
      </c>
      <c r="C4046" s="900" t="s">
        <v>11837</v>
      </c>
      <c r="D4046" s="905" t="s">
        <v>11840</v>
      </c>
    </row>
    <row r="4047" spans="1:4" ht="16.5">
      <c r="A4047" s="665" t="s">
        <v>9822</v>
      </c>
      <c r="B4047" t="s">
        <v>11832</v>
      </c>
      <c r="C4047" s="900" t="s">
        <v>11837</v>
      </c>
      <c r="D4047" s="905" t="s">
        <v>11840</v>
      </c>
    </row>
    <row r="4048" spans="1:4" ht="16.5">
      <c r="A4048" s="663" t="s">
        <v>9823</v>
      </c>
      <c r="B4048" t="s">
        <v>11832</v>
      </c>
      <c r="C4048" s="900" t="s">
        <v>11837</v>
      </c>
      <c r="D4048" s="905" t="s">
        <v>11840</v>
      </c>
    </row>
    <row r="4049" spans="1:4" ht="16.5">
      <c r="A4049" s="665" t="s">
        <v>9824</v>
      </c>
      <c r="B4049" t="s">
        <v>11832</v>
      </c>
      <c r="C4049" s="900" t="s">
        <v>11837</v>
      </c>
      <c r="D4049" s="905" t="s">
        <v>11840</v>
      </c>
    </row>
    <row r="4050" spans="1:4" ht="16.5">
      <c r="A4050" s="663" t="s">
        <v>9825</v>
      </c>
      <c r="B4050" t="s">
        <v>11832</v>
      </c>
      <c r="C4050" s="900" t="s">
        <v>11837</v>
      </c>
      <c r="D4050" s="905" t="s">
        <v>11840</v>
      </c>
    </row>
    <row r="4051" spans="1:4" ht="16.5">
      <c r="A4051" s="665" t="s">
        <v>9826</v>
      </c>
      <c r="B4051" t="s">
        <v>11832</v>
      </c>
      <c r="C4051" s="900" t="s">
        <v>11837</v>
      </c>
      <c r="D4051" s="905" t="s">
        <v>11840</v>
      </c>
    </row>
    <row r="4052" spans="1:4" ht="16.5">
      <c r="A4052" s="663" t="s">
        <v>9827</v>
      </c>
      <c r="B4052" t="s">
        <v>11832</v>
      </c>
      <c r="C4052" s="900" t="s">
        <v>11837</v>
      </c>
      <c r="D4052" s="905" t="s">
        <v>11840</v>
      </c>
    </row>
    <row r="4053" spans="1:4" ht="16.5">
      <c r="A4053" s="665" t="s">
        <v>9828</v>
      </c>
      <c r="B4053" t="s">
        <v>11832</v>
      </c>
      <c r="C4053" s="900" t="s">
        <v>11837</v>
      </c>
      <c r="D4053" s="905" t="s">
        <v>11840</v>
      </c>
    </row>
    <row r="4054" spans="1:4" ht="16.5">
      <c r="A4054" s="663" t="s">
        <v>9829</v>
      </c>
      <c r="B4054" t="s">
        <v>11832</v>
      </c>
      <c r="C4054" s="900" t="s">
        <v>11837</v>
      </c>
      <c r="D4054" s="905" t="s">
        <v>11840</v>
      </c>
    </row>
    <row r="4055" spans="1:4" ht="16.5">
      <c r="A4055" s="665" t="s">
        <v>9830</v>
      </c>
      <c r="B4055" t="s">
        <v>11832</v>
      </c>
      <c r="C4055" s="900" t="s">
        <v>11837</v>
      </c>
      <c r="D4055" s="905" t="s">
        <v>11840</v>
      </c>
    </row>
    <row r="4056" spans="1:4" ht="16.5">
      <c r="A4056" s="663" t="s">
        <v>9831</v>
      </c>
      <c r="B4056" t="s">
        <v>11832</v>
      </c>
      <c r="C4056" s="900" t="s">
        <v>11837</v>
      </c>
      <c r="D4056" s="905" t="s">
        <v>11840</v>
      </c>
    </row>
    <row r="4057" spans="1:4" ht="16.5">
      <c r="A4057" s="665" t="s">
        <v>9832</v>
      </c>
      <c r="B4057" t="s">
        <v>11832</v>
      </c>
      <c r="C4057" s="900" t="s">
        <v>11837</v>
      </c>
      <c r="D4057" s="905" t="s">
        <v>11840</v>
      </c>
    </row>
    <row r="4058" spans="1:4" ht="16.5">
      <c r="A4058" s="663" t="s">
        <v>9833</v>
      </c>
      <c r="B4058" t="s">
        <v>11832</v>
      </c>
      <c r="C4058" s="900" t="s">
        <v>11837</v>
      </c>
      <c r="D4058" s="905" t="s">
        <v>11840</v>
      </c>
    </row>
    <row r="4059" spans="1:4" ht="16.5">
      <c r="A4059" s="665" t="s">
        <v>9834</v>
      </c>
      <c r="B4059" t="s">
        <v>11832</v>
      </c>
      <c r="C4059" s="900" t="s">
        <v>11837</v>
      </c>
      <c r="D4059" s="905" t="s">
        <v>11840</v>
      </c>
    </row>
    <row r="4060" spans="1:4" ht="16.5">
      <c r="A4060" s="663" t="s">
        <v>9835</v>
      </c>
      <c r="B4060" t="s">
        <v>11832</v>
      </c>
      <c r="C4060" s="900" t="s">
        <v>11837</v>
      </c>
      <c r="D4060" s="905" t="s">
        <v>11840</v>
      </c>
    </row>
    <row r="4061" spans="1:4" ht="16.5">
      <c r="A4061" s="665" t="s">
        <v>9836</v>
      </c>
      <c r="B4061" t="s">
        <v>11832</v>
      </c>
      <c r="C4061" s="900" t="s">
        <v>11837</v>
      </c>
      <c r="D4061" s="905" t="s">
        <v>11840</v>
      </c>
    </row>
    <row r="4062" spans="1:4" ht="16.5">
      <c r="A4062" s="663" t="s">
        <v>9837</v>
      </c>
      <c r="B4062" t="s">
        <v>11832</v>
      </c>
      <c r="C4062" s="900" t="s">
        <v>11837</v>
      </c>
      <c r="D4062" s="905" t="s">
        <v>11840</v>
      </c>
    </row>
    <row r="4063" spans="1:4" ht="16.5">
      <c r="A4063" s="665" t="s">
        <v>9838</v>
      </c>
      <c r="B4063" t="s">
        <v>11832</v>
      </c>
      <c r="C4063" s="900" t="s">
        <v>11837</v>
      </c>
      <c r="D4063" s="905" t="s">
        <v>11840</v>
      </c>
    </row>
    <row r="4064" spans="1:4" ht="16.5">
      <c r="A4064" s="663" t="s">
        <v>9839</v>
      </c>
      <c r="B4064" t="s">
        <v>11832</v>
      </c>
      <c r="C4064" s="900" t="s">
        <v>11837</v>
      </c>
      <c r="D4064" s="905" t="s">
        <v>11840</v>
      </c>
    </row>
    <row r="4065" spans="1:4" ht="16.5">
      <c r="A4065" s="665" t="s">
        <v>9840</v>
      </c>
      <c r="B4065" t="s">
        <v>11832</v>
      </c>
      <c r="C4065" s="900" t="s">
        <v>11837</v>
      </c>
      <c r="D4065" s="905" t="s">
        <v>11840</v>
      </c>
    </row>
    <row r="4066" spans="1:4" ht="16.5">
      <c r="A4066" s="663" t="s">
        <v>9841</v>
      </c>
      <c r="B4066" t="s">
        <v>11832</v>
      </c>
      <c r="C4066" s="900" t="s">
        <v>11837</v>
      </c>
      <c r="D4066" s="905" t="s">
        <v>11840</v>
      </c>
    </row>
    <row r="4067" spans="1:4" ht="16.5">
      <c r="A4067" s="665" t="s">
        <v>9842</v>
      </c>
      <c r="B4067" t="s">
        <v>11832</v>
      </c>
      <c r="C4067" s="900" t="s">
        <v>11837</v>
      </c>
      <c r="D4067" s="905" t="s">
        <v>11840</v>
      </c>
    </row>
    <row r="4068" spans="1:4" ht="16.5">
      <c r="A4068" s="663" t="s">
        <v>9843</v>
      </c>
      <c r="B4068" t="s">
        <v>11832</v>
      </c>
      <c r="C4068" s="900" t="s">
        <v>11837</v>
      </c>
      <c r="D4068" s="905" t="s">
        <v>11840</v>
      </c>
    </row>
    <row r="4069" spans="1:4" ht="16.5">
      <c r="A4069" s="665" t="s">
        <v>9844</v>
      </c>
      <c r="B4069" t="s">
        <v>11832</v>
      </c>
      <c r="C4069" s="900" t="s">
        <v>11837</v>
      </c>
      <c r="D4069" s="905" t="s">
        <v>11840</v>
      </c>
    </row>
    <row r="4070" spans="1:4" ht="16.5">
      <c r="A4070" s="663" t="s">
        <v>9845</v>
      </c>
      <c r="B4070" t="s">
        <v>11832</v>
      </c>
      <c r="C4070" s="900" t="s">
        <v>11837</v>
      </c>
      <c r="D4070" s="905" t="s">
        <v>11840</v>
      </c>
    </row>
    <row r="4071" spans="1:4" ht="16.5">
      <c r="A4071" s="665" t="s">
        <v>9846</v>
      </c>
      <c r="B4071" t="s">
        <v>11832</v>
      </c>
      <c r="C4071" s="900" t="s">
        <v>11837</v>
      </c>
      <c r="D4071" s="905" t="s">
        <v>11840</v>
      </c>
    </row>
    <row r="4072" spans="1:4" ht="16.5">
      <c r="A4072" s="663" t="s">
        <v>9847</v>
      </c>
      <c r="B4072" t="s">
        <v>11832</v>
      </c>
      <c r="C4072" s="900" t="s">
        <v>11837</v>
      </c>
      <c r="D4072" s="905" t="s">
        <v>11840</v>
      </c>
    </row>
    <row r="4073" spans="1:4" ht="16.5">
      <c r="A4073" s="665" t="s">
        <v>9848</v>
      </c>
      <c r="B4073" t="s">
        <v>11832</v>
      </c>
      <c r="C4073" s="900" t="s">
        <v>11837</v>
      </c>
      <c r="D4073" s="905" t="s">
        <v>11840</v>
      </c>
    </row>
    <row r="4074" spans="1:4" ht="16.5">
      <c r="A4074" s="663" t="s">
        <v>9849</v>
      </c>
      <c r="B4074" t="s">
        <v>11832</v>
      </c>
      <c r="C4074" s="900" t="s">
        <v>11837</v>
      </c>
      <c r="D4074" s="905" t="s">
        <v>11840</v>
      </c>
    </row>
    <row r="4075" spans="1:4" ht="16.5">
      <c r="A4075" s="665" t="s">
        <v>9850</v>
      </c>
      <c r="B4075" t="s">
        <v>11832</v>
      </c>
      <c r="C4075" s="900" t="s">
        <v>11837</v>
      </c>
      <c r="D4075" s="905" t="s">
        <v>11840</v>
      </c>
    </row>
    <row r="4076" spans="1:4" ht="16.5">
      <c r="A4076" s="663" t="s">
        <v>9851</v>
      </c>
      <c r="B4076" t="s">
        <v>11832</v>
      </c>
      <c r="C4076" s="900" t="s">
        <v>11837</v>
      </c>
      <c r="D4076" s="905" t="s">
        <v>11840</v>
      </c>
    </row>
    <row r="4077" spans="1:4" ht="16.5">
      <c r="A4077" s="665" t="s">
        <v>9852</v>
      </c>
      <c r="B4077" t="s">
        <v>11832</v>
      </c>
      <c r="C4077" s="900" t="s">
        <v>11837</v>
      </c>
      <c r="D4077" s="905" t="s">
        <v>11840</v>
      </c>
    </row>
    <row r="4078" spans="1:4" ht="16.5">
      <c r="A4078" s="663" t="s">
        <v>9853</v>
      </c>
      <c r="B4078" t="s">
        <v>11832</v>
      </c>
      <c r="C4078" s="900" t="s">
        <v>11837</v>
      </c>
      <c r="D4078" s="905" t="s">
        <v>11840</v>
      </c>
    </row>
    <row r="4079" spans="1:4" ht="16.5">
      <c r="A4079" s="665" t="s">
        <v>9854</v>
      </c>
      <c r="B4079" t="s">
        <v>11832</v>
      </c>
      <c r="C4079" s="900" t="s">
        <v>11837</v>
      </c>
      <c r="D4079" s="905" t="s">
        <v>11840</v>
      </c>
    </row>
    <row r="4080" spans="1:4" ht="16.5">
      <c r="A4080" s="663" t="s">
        <v>9855</v>
      </c>
      <c r="B4080" t="s">
        <v>11832</v>
      </c>
      <c r="C4080" s="900" t="s">
        <v>11837</v>
      </c>
      <c r="D4080" s="905" t="s">
        <v>11840</v>
      </c>
    </row>
    <row r="4081" spans="1:4" ht="16.5">
      <c r="A4081" s="665" t="s">
        <v>9856</v>
      </c>
      <c r="B4081" t="s">
        <v>11832</v>
      </c>
      <c r="C4081" s="900" t="s">
        <v>11837</v>
      </c>
      <c r="D4081" s="905" t="s">
        <v>11840</v>
      </c>
    </row>
    <row r="4082" spans="1:4" ht="16.5">
      <c r="A4082" s="663" t="s">
        <v>9857</v>
      </c>
      <c r="B4082" t="s">
        <v>11832</v>
      </c>
      <c r="C4082" s="900" t="s">
        <v>11837</v>
      </c>
      <c r="D4082" s="905" t="s">
        <v>11840</v>
      </c>
    </row>
    <row r="4083" spans="1:4" ht="16.5">
      <c r="A4083" s="665" t="s">
        <v>9858</v>
      </c>
      <c r="B4083" t="s">
        <v>11832</v>
      </c>
      <c r="C4083" s="900" t="s">
        <v>11837</v>
      </c>
      <c r="D4083" s="905" t="s">
        <v>11840</v>
      </c>
    </row>
    <row r="4084" spans="1:4" ht="16.5">
      <c r="A4084" s="663" t="s">
        <v>9859</v>
      </c>
      <c r="B4084" t="s">
        <v>11832</v>
      </c>
      <c r="C4084" s="900" t="s">
        <v>11837</v>
      </c>
      <c r="D4084" s="905" t="s">
        <v>11840</v>
      </c>
    </row>
    <row r="4085" spans="1:4" ht="16.5">
      <c r="A4085" s="665" t="s">
        <v>9860</v>
      </c>
      <c r="B4085" t="s">
        <v>11832</v>
      </c>
      <c r="C4085" s="900" t="s">
        <v>11837</v>
      </c>
      <c r="D4085" s="905" t="s">
        <v>11840</v>
      </c>
    </row>
    <row r="4086" spans="1:4" ht="16.5">
      <c r="A4086" s="663" t="s">
        <v>9861</v>
      </c>
      <c r="B4086" t="s">
        <v>11832</v>
      </c>
      <c r="C4086" s="900" t="s">
        <v>11837</v>
      </c>
      <c r="D4086" s="905" t="s">
        <v>11840</v>
      </c>
    </row>
    <row r="4087" spans="1:4" ht="16.5">
      <c r="A4087" s="665" t="s">
        <v>9862</v>
      </c>
      <c r="B4087" t="s">
        <v>11832</v>
      </c>
      <c r="C4087" s="900" t="s">
        <v>11837</v>
      </c>
      <c r="D4087" s="905" t="s">
        <v>11840</v>
      </c>
    </row>
    <row r="4088" spans="1:4" ht="16.5">
      <c r="A4088" s="663" t="s">
        <v>9863</v>
      </c>
      <c r="B4088" t="s">
        <v>11832</v>
      </c>
      <c r="C4088" s="900" t="s">
        <v>11837</v>
      </c>
      <c r="D4088" s="905" t="s">
        <v>11840</v>
      </c>
    </row>
    <row r="4089" spans="1:4" ht="16.5">
      <c r="A4089" s="665" t="s">
        <v>9864</v>
      </c>
      <c r="B4089" t="s">
        <v>11832</v>
      </c>
      <c r="C4089" s="900" t="s">
        <v>11837</v>
      </c>
      <c r="D4089" s="905" t="s">
        <v>11840</v>
      </c>
    </row>
    <row r="4090" spans="1:4" ht="16.5">
      <c r="A4090" s="663" t="s">
        <v>9865</v>
      </c>
      <c r="B4090" t="s">
        <v>11832</v>
      </c>
      <c r="C4090" s="900" t="s">
        <v>11837</v>
      </c>
      <c r="D4090" s="905" t="s">
        <v>11840</v>
      </c>
    </row>
    <row r="4091" spans="1:4" ht="16.5">
      <c r="A4091" s="665" t="s">
        <v>9866</v>
      </c>
      <c r="B4091" t="s">
        <v>11832</v>
      </c>
      <c r="C4091" s="900" t="s">
        <v>11837</v>
      </c>
      <c r="D4091" s="905" t="s">
        <v>11840</v>
      </c>
    </row>
    <row r="4092" spans="1:4" ht="16.5">
      <c r="A4092" s="663" t="s">
        <v>9868</v>
      </c>
      <c r="B4092" t="s">
        <v>11832</v>
      </c>
      <c r="C4092" s="900" t="s">
        <v>11837</v>
      </c>
      <c r="D4092" s="905" t="s">
        <v>11840</v>
      </c>
    </row>
    <row r="4093" spans="1:4" ht="16.5">
      <c r="A4093" s="665" t="s">
        <v>9870</v>
      </c>
      <c r="B4093" t="s">
        <v>11832</v>
      </c>
      <c r="C4093" s="900" t="s">
        <v>11837</v>
      </c>
      <c r="D4093" s="905" t="s">
        <v>11840</v>
      </c>
    </row>
    <row r="4094" spans="1:4" ht="16.5">
      <c r="A4094" s="663" t="s">
        <v>9872</v>
      </c>
      <c r="B4094" t="s">
        <v>11832</v>
      </c>
      <c r="C4094" s="900" t="s">
        <v>11837</v>
      </c>
      <c r="D4094" s="905" t="s">
        <v>11840</v>
      </c>
    </row>
    <row r="4095" spans="1:4" ht="16.5">
      <c r="A4095" s="665" t="s">
        <v>9874</v>
      </c>
      <c r="B4095" t="s">
        <v>11832</v>
      </c>
      <c r="C4095" s="900" t="s">
        <v>11837</v>
      </c>
      <c r="D4095" s="905" t="s">
        <v>11840</v>
      </c>
    </row>
    <row r="4096" spans="1:4" ht="16.5">
      <c r="A4096" s="663" t="s">
        <v>9875</v>
      </c>
      <c r="B4096" t="s">
        <v>11832</v>
      </c>
      <c r="C4096" s="900" t="s">
        <v>11837</v>
      </c>
      <c r="D4096" s="905" t="s">
        <v>11840</v>
      </c>
    </row>
    <row r="4097" spans="1:4" ht="16.5">
      <c r="A4097" s="665" t="s">
        <v>9876</v>
      </c>
      <c r="B4097" t="s">
        <v>11832</v>
      </c>
      <c r="C4097" s="900" t="s">
        <v>11837</v>
      </c>
      <c r="D4097" s="905" t="s">
        <v>11840</v>
      </c>
    </row>
    <row r="4098" spans="1:4" ht="16.5">
      <c r="A4098" s="663" t="s">
        <v>9878</v>
      </c>
      <c r="B4098" t="s">
        <v>11832</v>
      </c>
      <c r="C4098" s="900" t="s">
        <v>11837</v>
      </c>
      <c r="D4098" s="905" t="s">
        <v>11840</v>
      </c>
    </row>
    <row r="4099" spans="1:4" ht="16.5">
      <c r="A4099" s="665" t="s">
        <v>9880</v>
      </c>
      <c r="B4099" t="s">
        <v>11832</v>
      </c>
      <c r="C4099" s="900" t="s">
        <v>11837</v>
      </c>
      <c r="D4099" s="905" t="s">
        <v>11840</v>
      </c>
    </row>
    <row r="4100" spans="1:4" ht="16.5">
      <c r="A4100" s="663" t="s">
        <v>9881</v>
      </c>
      <c r="B4100" t="s">
        <v>11832</v>
      </c>
      <c r="C4100" s="900" t="s">
        <v>11837</v>
      </c>
      <c r="D4100" s="905" t="s">
        <v>11840</v>
      </c>
    </row>
    <row r="4101" spans="1:4" ht="16.5">
      <c r="A4101" s="665" t="s">
        <v>9882</v>
      </c>
      <c r="B4101" t="s">
        <v>11832</v>
      </c>
      <c r="C4101" s="900" t="s">
        <v>11837</v>
      </c>
      <c r="D4101" s="905" t="s">
        <v>11840</v>
      </c>
    </row>
    <row r="4102" spans="1:4" ht="16.5">
      <c r="A4102" s="663" t="s">
        <v>9883</v>
      </c>
      <c r="B4102" t="s">
        <v>11832</v>
      </c>
      <c r="C4102" s="900" t="s">
        <v>11837</v>
      </c>
      <c r="D4102" s="905" t="s">
        <v>11840</v>
      </c>
    </row>
    <row r="4103" spans="1:4" ht="16.5">
      <c r="A4103" s="665" t="s">
        <v>9884</v>
      </c>
      <c r="B4103" t="s">
        <v>11832</v>
      </c>
      <c r="C4103" s="900" t="s">
        <v>11837</v>
      </c>
      <c r="D4103" s="905" t="s">
        <v>11840</v>
      </c>
    </row>
    <row r="4104" spans="1:4" ht="16.5">
      <c r="A4104" s="663" t="s">
        <v>9885</v>
      </c>
      <c r="B4104" t="s">
        <v>11832</v>
      </c>
      <c r="C4104" s="900" t="s">
        <v>11837</v>
      </c>
      <c r="D4104" s="905" t="s">
        <v>11840</v>
      </c>
    </row>
    <row r="4105" spans="1:4" ht="16.5">
      <c r="A4105" s="665" t="s">
        <v>9886</v>
      </c>
      <c r="B4105" t="s">
        <v>11832</v>
      </c>
      <c r="C4105" s="900" t="s">
        <v>11837</v>
      </c>
      <c r="D4105" s="905" t="s">
        <v>11840</v>
      </c>
    </row>
    <row r="4106" spans="1:4" ht="16.5">
      <c r="A4106" s="663" t="s">
        <v>9887</v>
      </c>
      <c r="B4106" t="s">
        <v>11832</v>
      </c>
      <c r="C4106" s="900" t="s">
        <v>11837</v>
      </c>
      <c r="D4106" s="905" t="s">
        <v>11840</v>
      </c>
    </row>
    <row r="4107" spans="1:4" ht="16.5">
      <c r="A4107" s="665" t="s">
        <v>9888</v>
      </c>
      <c r="B4107" t="s">
        <v>11832</v>
      </c>
      <c r="C4107" s="900" t="s">
        <v>11837</v>
      </c>
      <c r="D4107" s="905" t="s">
        <v>11840</v>
      </c>
    </row>
    <row r="4108" spans="1:4" ht="16.5">
      <c r="A4108" s="663" t="s">
        <v>9890</v>
      </c>
      <c r="B4108" t="s">
        <v>11832</v>
      </c>
      <c r="C4108" s="900" t="s">
        <v>11837</v>
      </c>
      <c r="D4108" s="905" t="s">
        <v>11840</v>
      </c>
    </row>
    <row r="4109" spans="1:4" ht="16.5">
      <c r="A4109" s="665" t="s">
        <v>2222</v>
      </c>
      <c r="B4109" t="s">
        <v>11832</v>
      </c>
      <c r="C4109" s="900" t="s">
        <v>11837</v>
      </c>
      <c r="D4109" s="905" t="s">
        <v>11840</v>
      </c>
    </row>
    <row r="4110" spans="1:4" ht="16.5">
      <c r="A4110" s="663" t="s">
        <v>9894</v>
      </c>
      <c r="B4110" t="s">
        <v>11832</v>
      </c>
      <c r="C4110" s="900" t="s">
        <v>11837</v>
      </c>
      <c r="D4110" s="905" t="s">
        <v>11840</v>
      </c>
    </row>
    <row r="4111" spans="1:4" ht="16.5">
      <c r="A4111" s="665" t="s">
        <v>2216</v>
      </c>
      <c r="B4111" t="s">
        <v>11832</v>
      </c>
      <c r="C4111" s="900" t="s">
        <v>11837</v>
      </c>
      <c r="D4111" s="905" t="s">
        <v>11840</v>
      </c>
    </row>
    <row r="4112" spans="1:4" ht="16.5">
      <c r="A4112" s="663" t="s">
        <v>2214</v>
      </c>
      <c r="B4112" t="s">
        <v>11832</v>
      </c>
      <c r="C4112" s="900" t="s">
        <v>11837</v>
      </c>
      <c r="D4112" s="905" t="s">
        <v>11840</v>
      </c>
    </row>
    <row r="4113" spans="1:4" ht="16.5">
      <c r="A4113" s="665" t="s">
        <v>9897</v>
      </c>
      <c r="B4113" t="s">
        <v>11832</v>
      </c>
      <c r="C4113" s="900" t="s">
        <v>11837</v>
      </c>
      <c r="D4113" s="905" t="s">
        <v>11840</v>
      </c>
    </row>
    <row r="4114" spans="1:4" ht="16.5">
      <c r="A4114" s="663" t="s">
        <v>2218</v>
      </c>
      <c r="B4114" t="s">
        <v>11832</v>
      </c>
      <c r="C4114" s="900" t="s">
        <v>11837</v>
      </c>
      <c r="D4114" s="905" t="s">
        <v>11840</v>
      </c>
    </row>
    <row r="4115" spans="1:4" ht="16.5">
      <c r="A4115" s="665" t="s">
        <v>2220</v>
      </c>
      <c r="B4115" t="s">
        <v>11832</v>
      </c>
      <c r="C4115" s="900" t="s">
        <v>11837</v>
      </c>
      <c r="D4115" s="905" t="s">
        <v>11840</v>
      </c>
    </row>
    <row r="4116" spans="1:4" ht="16.5">
      <c r="A4116" s="665" t="s">
        <v>9901</v>
      </c>
      <c r="B4116" t="s">
        <v>11832</v>
      </c>
      <c r="C4116" s="900" t="s">
        <v>11837</v>
      </c>
      <c r="D4116" s="905" t="s">
        <v>11840</v>
      </c>
    </row>
    <row r="4117" spans="1:4" ht="16.5">
      <c r="A4117" s="663" t="s">
        <v>1419</v>
      </c>
      <c r="B4117" t="s">
        <v>11832</v>
      </c>
      <c r="C4117" s="900" t="s">
        <v>11837</v>
      </c>
      <c r="D4117" s="905" t="s">
        <v>11840</v>
      </c>
    </row>
    <row r="4118" spans="1:4" ht="16.5">
      <c r="A4118" s="665" t="s">
        <v>1425</v>
      </c>
      <c r="B4118" t="s">
        <v>11832</v>
      </c>
      <c r="C4118" s="900" t="s">
        <v>11837</v>
      </c>
      <c r="D4118" s="905" t="s">
        <v>11840</v>
      </c>
    </row>
    <row r="4119" spans="1:4" ht="16.5">
      <c r="A4119" s="663" t="s">
        <v>1428</v>
      </c>
      <c r="B4119" t="s">
        <v>11832</v>
      </c>
      <c r="C4119" s="900" t="s">
        <v>11837</v>
      </c>
      <c r="D4119" s="905" t="s">
        <v>11840</v>
      </c>
    </row>
    <row r="4120" spans="1:4" ht="16.5">
      <c r="A4120" s="665" t="s">
        <v>1431</v>
      </c>
      <c r="B4120" t="s">
        <v>11832</v>
      </c>
      <c r="C4120" s="900" t="s">
        <v>11837</v>
      </c>
      <c r="D4120" s="905" t="s">
        <v>11840</v>
      </c>
    </row>
    <row r="4121" spans="1:4" ht="16.5">
      <c r="A4121" s="663" t="s">
        <v>1434</v>
      </c>
      <c r="B4121" t="s">
        <v>11832</v>
      </c>
      <c r="C4121" s="900" t="s">
        <v>11837</v>
      </c>
      <c r="D4121" s="905" t="s">
        <v>11840</v>
      </c>
    </row>
    <row r="4122" spans="1:4" ht="16.5">
      <c r="A4122" s="665" t="s">
        <v>1437</v>
      </c>
      <c r="B4122" t="s">
        <v>11832</v>
      </c>
      <c r="C4122" s="900" t="s">
        <v>11837</v>
      </c>
      <c r="D4122" s="905" t="s">
        <v>11840</v>
      </c>
    </row>
    <row r="4123" spans="1:4" ht="16.5">
      <c r="A4123" s="663" t="s">
        <v>1441</v>
      </c>
      <c r="B4123" t="s">
        <v>11832</v>
      </c>
      <c r="C4123" s="900" t="s">
        <v>11837</v>
      </c>
      <c r="D4123" s="905" t="s">
        <v>11840</v>
      </c>
    </row>
    <row r="4124" spans="1:4" ht="16.5">
      <c r="A4124" s="665" t="s">
        <v>1443</v>
      </c>
      <c r="B4124" t="s">
        <v>11832</v>
      </c>
      <c r="C4124" s="900" t="s">
        <v>11837</v>
      </c>
      <c r="D4124" s="905" t="s">
        <v>11840</v>
      </c>
    </row>
    <row r="4125" spans="1:4" ht="16.5">
      <c r="A4125" s="663" t="s">
        <v>1445</v>
      </c>
      <c r="B4125" t="s">
        <v>11832</v>
      </c>
      <c r="C4125" s="900" t="s">
        <v>11837</v>
      </c>
      <c r="D4125" s="905" t="s">
        <v>11840</v>
      </c>
    </row>
    <row r="4126" spans="1:4" ht="16.5">
      <c r="A4126" s="665" t="s">
        <v>1447</v>
      </c>
      <c r="B4126" t="s">
        <v>11832</v>
      </c>
      <c r="C4126" s="900" t="s">
        <v>11837</v>
      </c>
      <c r="D4126" s="905" t="s">
        <v>11840</v>
      </c>
    </row>
    <row r="4127" spans="1:4" ht="16.5">
      <c r="A4127" s="663" t="s">
        <v>1449</v>
      </c>
      <c r="B4127" t="s">
        <v>11832</v>
      </c>
      <c r="C4127" s="900" t="s">
        <v>11837</v>
      </c>
      <c r="D4127" s="905" t="s">
        <v>11840</v>
      </c>
    </row>
    <row r="4128" spans="1:4" ht="16.5">
      <c r="A4128" s="665" t="s">
        <v>1453</v>
      </c>
      <c r="B4128" t="s">
        <v>11832</v>
      </c>
      <c r="C4128" s="900" t="s">
        <v>11837</v>
      </c>
      <c r="D4128" s="905" t="s">
        <v>11840</v>
      </c>
    </row>
    <row r="4129" spans="1:4" ht="16.5">
      <c r="A4129" s="663" t="s">
        <v>1455</v>
      </c>
      <c r="B4129" t="s">
        <v>11832</v>
      </c>
      <c r="C4129" s="900" t="s">
        <v>11837</v>
      </c>
      <c r="D4129" s="905" t="s">
        <v>11840</v>
      </c>
    </row>
    <row r="4130" spans="1:4" ht="16.5">
      <c r="A4130" s="665" t="s">
        <v>1457</v>
      </c>
      <c r="B4130" t="s">
        <v>11832</v>
      </c>
      <c r="C4130" s="900" t="s">
        <v>11837</v>
      </c>
      <c r="D4130" s="905" t="s">
        <v>11840</v>
      </c>
    </row>
    <row r="4131" spans="1:4" ht="16.5">
      <c r="A4131" s="663" t="s">
        <v>1459</v>
      </c>
      <c r="B4131" t="s">
        <v>11832</v>
      </c>
      <c r="C4131" s="900" t="s">
        <v>11837</v>
      </c>
      <c r="D4131" s="905" t="s">
        <v>11840</v>
      </c>
    </row>
    <row r="4132" spans="1:4" ht="16.5">
      <c r="A4132" s="665" t="s">
        <v>1461</v>
      </c>
      <c r="B4132" t="s">
        <v>11832</v>
      </c>
      <c r="C4132" s="900" t="s">
        <v>11837</v>
      </c>
      <c r="D4132" s="905" t="s">
        <v>11840</v>
      </c>
    </row>
    <row r="4133" spans="1:4" ht="16.5">
      <c r="A4133" s="663" t="s">
        <v>1465</v>
      </c>
      <c r="B4133" t="s">
        <v>11832</v>
      </c>
      <c r="C4133" s="900" t="s">
        <v>11837</v>
      </c>
      <c r="D4133" s="905" t="s">
        <v>11840</v>
      </c>
    </row>
    <row r="4134" spans="1:4" ht="16.5">
      <c r="A4134" s="665" t="s">
        <v>1467</v>
      </c>
      <c r="B4134" t="s">
        <v>11832</v>
      </c>
      <c r="C4134" s="900" t="s">
        <v>11837</v>
      </c>
      <c r="D4134" s="905" t="s">
        <v>11840</v>
      </c>
    </row>
    <row r="4135" spans="1:4" ht="16.5">
      <c r="A4135" s="663" t="s">
        <v>1469</v>
      </c>
      <c r="B4135" t="s">
        <v>11832</v>
      </c>
      <c r="C4135" s="900" t="s">
        <v>11837</v>
      </c>
      <c r="D4135" s="905" t="s">
        <v>11840</v>
      </c>
    </row>
    <row r="4136" spans="1:4" ht="16.5">
      <c r="A4136" s="665" t="s">
        <v>1471</v>
      </c>
      <c r="B4136" t="s">
        <v>11832</v>
      </c>
      <c r="C4136" s="900" t="s">
        <v>11837</v>
      </c>
      <c r="D4136" s="905" t="s">
        <v>11840</v>
      </c>
    </row>
    <row r="4137" spans="1:4" ht="16.5">
      <c r="A4137" s="663" t="s">
        <v>1473</v>
      </c>
      <c r="B4137" t="s">
        <v>11832</v>
      </c>
      <c r="C4137" s="900" t="s">
        <v>11837</v>
      </c>
      <c r="D4137" s="905" t="s">
        <v>11840</v>
      </c>
    </row>
    <row r="4138" spans="1:4" ht="16.5">
      <c r="A4138" s="665" t="s">
        <v>1477</v>
      </c>
      <c r="B4138" t="s">
        <v>11832</v>
      </c>
      <c r="C4138" s="900" t="s">
        <v>11837</v>
      </c>
      <c r="D4138" s="905" t="s">
        <v>11840</v>
      </c>
    </row>
    <row r="4139" spans="1:4" ht="16.5">
      <c r="A4139" s="663" t="s">
        <v>1479</v>
      </c>
      <c r="B4139" t="s">
        <v>11832</v>
      </c>
      <c r="C4139" s="900" t="s">
        <v>11837</v>
      </c>
      <c r="D4139" s="905" t="s">
        <v>11840</v>
      </c>
    </row>
    <row r="4140" spans="1:4" ht="16.5">
      <c r="A4140" s="665" t="s">
        <v>1481</v>
      </c>
      <c r="B4140" t="s">
        <v>11832</v>
      </c>
      <c r="C4140" s="900" t="s">
        <v>11837</v>
      </c>
      <c r="D4140" s="905" t="s">
        <v>11840</v>
      </c>
    </row>
    <row r="4141" spans="1:4" ht="16.5">
      <c r="A4141" s="663" t="s">
        <v>1483</v>
      </c>
      <c r="B4141" t="s">
        <v>11832</v>
      </c>
      <c r="C4141" s="900" t="s">
        <v>11837</v>
      </c>
      <c r="D4141" s="905" t="s">
        <v>11840</v>
      </c>
    </row>
    <row r="4142" spans="1:4" ht="16.5">
      <c r="A4142" s="665" t="s">
        <v>1485</v>
      </c>
      <c r="B4142" t="s">
        <v>11832</v>
      </c>
      <c r="C4142" s="900" t="s">
        <v>11837</v>
      </c>
      <c r="D4142" s="905" t="s">
        <v>11840</v>
      </c>
    </row>
    <row r="4143" spans="1:4" ht="16.5">
      <c r="A4143" s="663" t="s">
        <v>1489</v>
      </c>
      <c r="B4143" t="s">
        <v>11832</v>
      </c>
      <c r="C4143" s="900" t="s">
        <v>11837</v>
      </c>
      <c r="D4143" s="905" t="s">
        <v>11840</v>
      </c>
    </row>
    <row r="4144" spans="1:4" ht="16.5">
      <c r="A4144" s="665" t="s">
        <v>1491</v>
      </c>
      <c r="B4144" t="s">
        <v>11832</v>
      </c>
      <c r="C4144" s="900" t="s">
        <v>11837</v>
      </c>
      <c r="D4144" s="905" t="s">
        <v>11840</v>
      </c>
    </row>
    <row r="4145" spans="1:4" ht="16.5">
      <c r="A4145" s="663" t="s">
        <v>1493</v>
      </c>
      <c r="B4145" t="s">
        <v>11832</v>
      </c>
      <c r="C4145" s="900" t="s">
        <v>11837</v>
      </c>
      <c r="D4145" s="905" t="s">
        <v>11840</v>
      </c>
    </row>
    <row r="4146" spans="1:4" ht="16.5">
      <c r="A4146" s="665" t="s">
        <v>1495</v>
      </c>
      <c r="B4146" t="s">
        <v>11832</v>
      </c>
      <c r="C4146" s="900" t="s">
        <v>11837</v>
      </c>
      <c r="D4146" s="905" t="s">
        <v>11840</v>
      </c>
    </row>
    <row r="4147" spans="1:4" ht="16.5">
      <c r="A4147" s="663" t="s">
        <v>1497</v>
      </c>
      <c r="B4147" t="s">
        <v>11832</v>
      </c>
      <c r="C4147" s="900" t="s">
        <v>11837</v>
      </c>
      <c r="D4147" s="905" t="s">
        <v>11840</v>
      </c>
    </row>
    <row r="4148" spans="1:4" ht="16.5">
      <c r="A4148" s="665" t="s">
        <v>1501</v>
      </c>
      <c r="B4148" t="s">
        <v>11832</v>
      </c>
      <c r="C4148" s="900" t="s">
        <v>11837</v>
      </c>
      <c r="D4148" s="905" t="s">
        <v>11840</v>
      </c>
    </row>
    <row r="4149" spans="1:4" ht="16.5">
      <c r="A4149" s="663" t="s">
        <v>1503</v>
      </c>
      <c r="B4149" t="s">
        <v>11832</v>
      </c>
      <c r="C4149" s="900" t="s">
        <v>11837</v>
      </c>
      <c r="D4149" s="905" t="s">
        <v>11840</v>
      </c>
    </row>
    <row r="4150" spans="1:4" ht="16.5">
      <c r="A4150" s="665" t="s">
        <v>1505</v>
      </c>
      <c r="B4150" t="s">
        <v>11832</v>
      </c>
      <c r="C4150" s="900" t="s">
        <v>11837</v>
      </c>
      <c r="D4150" s="905" t="s">
        <v>11840</v>
      </c>
    </row>
    <row r="4151" spans="1:4" ht="16.5">
      <c r="A4151" s="663" t="s">
        <v>1507</v>
      </c>
      <c r="B4151" t="s">
        <v>11832</v>
      </c>
      <c r="C4151" s="900" t="s">
        <v>11837</v>
      </c>
      <c r="D4151" s="905" t="s">
        <v>11840</v>
      </c>
    </row>
    <row r="4152" spans="1:4" ht="16.5">
      <c r="A4152" s="665" t="s">
        <v>1509</v>
      </c>
      <c r="B4152" t="s">
        <v>11832</v>
      </c>
      <c r="C4152" s="900" t="s">
        <v>11837</v>
      </c>
      <c r="D4152" s="905" t="s">
        <v>11840</v>
      </c>
    </row>
    <row r="4153" spans="1:4" ht="16.5">
      <c r="A4153" s="663" t="s">
        <v>1513</v>
      </c>
      <c r="B4153" t="s">
        <v>11832</v>
      </c>
      <c r="C4153" s="900" t="s">
        <v>11837</v>
      </c>
      <c r="D4153" s="905" t="s">
        <v>11840</v>
      </c>
    </row>
    <row r="4154" spans="1:4" ht="16.5">
      <c r="A4154" s="665" t="s">
        <v>1515</v>
      </c>
      <c r="B4154" t="s">
        <v>11832</v>
      </c>
      <c r="C4154" s="900" t="s">
        <v>11837</v>
      </c>
      <c r="D4154" s="905" t="s">
        <v>11840</v>
      </c>
    </row>
    <row r="4155" spans="1:4" ht="16.5">
      <c r="A4155" s="663" t="s">
        <v>1517</v>
      </c>
      <c r="B4155" t="s">
        <v>11832</v>
      </c>
      <c r="C4155" s="900" t="s">
        <v>11837</v>
      </c>
      <c r="D4155" s="905" t="s">
        <v>11840</v>
      </c>
    </row>
    <row r="4156" spans="1:4" ht="16.5">
      <c r="A4156" s="665" t="s">
        <v>1519</v>
      </c>
      <c r="B4156" t="s">
        <v>11832</v>
      </c>
      <c r="C4156" s="900" t="s">
        <v>11837</v>
      </c>
      <c r="D4156" s="905" t="s">
        <v>11840</v>
      </c>
    </row>
    <row r="4157" spans="1:4" ht="16.5">
      <c r="A4157" s="663" t="s">
        <v>1521</v>
      </c>
      <c r="B4157" t="s">
        <v>11832</v>
      </c>
      <c r="C4157" s="900" t="s">
        <v>11837</v>
      </c>
      <c r="D4157" s="905" t="s">
        <v>11840</v>
      </c>
    </row>
    <row r="4158" spans="1:4" ht="16.5">
      <c r="A4158" s="665" t="s">
        <v>1525</v>
      </c>
      <c r="B4158" t="s">
        <v>11832</v>
      </c>
      <c r="C4158" s="900" t="s">
        <v>11837</v>
      </c>
      <c r="D4158" s="905" t="s">
        <v>11840</v>
      </c>
    </row>
    <row r="4159" spans="1:4" ht="16.5">
      <c r="A4159" s="663" t="s">
        <v>1527</v>
      </c>
      <c r="B4159" t="s">
        <v>11832</v>
      </c>
      <c r="C4159" s="900" t="s">
        <v>11837</v>
      </c>
      <c r="D4159" s="905" t="s">
        <v>11840</v>
      </c>
    </row>
    <row r="4160" spans="1:4" ht="16.5">
      <c r="A4160" s="665" t="s">
        <v>1529</v>
      </c>
      <c r="B4160" t="s">
        <v>11832</v>
      </c>
      <c r="C4160" s="900" t="s">
        <v>11837</v>
      </c>
      <c r="D4160" s="905" t="s">
        <v>11840</v>
      </c>
    </row>
    <row r="4161" spans="1:4" ht="16.5">
      <c r="A4161" s="663" t="s">
        <v>1531</v>
      </c>
      <c r="B4161" t="s">
        <v>11832</v>
      </c>
      <c r="C4161" s="900" t="s">
        <v>11837</v>
      </c>
      <c r="D4161" s="905" t="s">
        <v>11840</v>
      </c>
    </row>
    <row r="4162" spans="1:4" ht="16.5">
      <c r="A4162" s="665" t="s">
        <v>1534</v>
      </c>
      <c r="B4162" t="s">
        <v>11832</v>
      </c>
      <c r="C4162" s="900" t="s">
        <v>11837</v>
      </c>
      <c r="D4162" s="905" t="s">
        <v>11840</v>
      </c>
    </row>
    <row r="4163" spans="1:4" ht="16.5">
      <c r="A4163" s="663" t="s">
        <v>1536</v>
      </c>
      <c r="B4163" t="s">
        <v>11832</v>
      </c>
      <c r="C4163" s="900" t="s">
        <v>11837</v>
      </c>
      <c r="D4163" s="905" t="s">
        <v>11840</v>
      </c>
    </row>
    <row r="4164" spans="1:4" ht="16.5">
      <c r="A4164" s="665" t="s">
        <v>1538</v>
      </c>
      <c r="B4164" t="s">
        <v>11832</v>
      </c>
      <c r="C4164" s="900" t="s">
        <v>11837</v>
      </c>
      <c r="D4164" s="905" t="s">
        <v>11840</v>
      </c>
    </row>
    <row r="4165" spans="1:4" ht="16.5">
      <c r="A4165" s="663" t="s">
        <v>1540</v>
      </c>
      <c r="B4165" t="s">
        <v>11832</v>
      </c>
      <c r="C4165" s="900" t="s">
        <v>11837</v>
      </c>
      <c r="D4165" s="905" t="s">
        <v>11840</v>
      </c>
    </row>
    <row r="4166" spans="1:4" ht="16.5">
      <c r="A4166" s="665" t="s">
        <v>1542</v>
      </c>
      <c r="B4166" t="s">
        <v>11832</v>
      </c>
      <c r="C4166" s="900" t="s">
        <v>11837</v>
      </c>
      <c r="D4166" s="905" t="s">
        <v>11840</v>
      </c>
    </row>
    <row r="4167" spans="1:4" ht="16.5">
      <c r="A4167" s="663" t="s">
        <v>1544</v>
      </c>
      <c r="B4167" t="s">
        <v>11832</v>
      </c>
      <c r="C4167" s="900" t="s">
        <v>11837</v>
      </c>
      <c r="D4167" s="905" t="s">
        <v>11840</v>
      </c>
    </row>
    <row r="4168" spans="1:4" ht="16.5">
      <c r="A4168" s="665" t="s">
        <v>1546</v>
      </c>
      <c r="B4168" t="s">
        <v>11832</v>
      </c>
      <c r="C4168" s="900" t="s">
        <v>11837</v>
      </c>
      <c r="D4168" s="905" t="s">
        <v>11840</v>
      </c>
    </row>
    <row r="4169" spans="1:4" ht="16.5">
      <c r="A4169" s="663" t="s">
        <v>1548</v>
      </c>
      <c r="B4169" t="s">
        <v>11832</v>
      </c>
      <c r="C4169" s="900" t="s">
        <v>11837</v>
      </c>
      <c r="D4169" s="905" t="s">
        <v>11840</v>
      </c>
    </row>
    <row r="4170" spans="1:4" ht="16.5">
      <c r="A4170" s="665" t="s">
        <v>1550</v>
      </c>
      <c r="B4170" t="s">
        <v>11832</v>
      </c>
      <c r="C4170" s="900" t="s">
        <v>11837</v>
      </c>
      <c r="D4170" s="905" t="s">
        <v>11840</v>
      </c>
    </row>
    <row r="4171" spans="1:4" ht="16.5">
      <c r="A4171" s="663" t="s">
        <v>1552</v>
      </c>
      <c r="B4171" t="s">
        <v>11832</v>
      </c>
      <c r="C4171" s="900" t="s">
        <v>11837</v>
      </c>
      <c r="D4171" s="905" t="s">
        <v>11840</v>
      </c>
    </row>
    <row r="4172" spans="1:4" ht="16.5">
      <c r="A4172" s="665" t="s">
        <v>1554</v>
      </c>
      <c r="B4172" t="s">
        <v>11832</v>
      </c>
      <c r="C4172" s="900" t="s">
        <v>11837</v>
      </c>
      <c r="D4172" s="905" t="s">
        <v>11840</v>
      </c>
    </row>
    <row r="4173" spans="1:4" ht="16.5">
      <c r="A4173" s="663" t="s">
        <v>1556</v>
      </c>
      <c r="B4173" t="s">
        <v>11832</v>
      </c>
      <c r="C4173" s="900" t="s">
        <v>11837</v>
      </c>
      <c r="D4173" s="905" t="s">
        <v>11840</v>
      </c>
    </row>
    <row r="4174" spans="1:4" ht="16.5">
      <c r="A4174" s="665" t="s">
        <v>1558</v>
      </c>
      <c r="B4174" t="s">
        <v>11832</v>
      </c>
      <c r="C4174" s="900" t="s">
        <v>11837</v>
      </c>
      <c r="D4174" s="905" t="s">
        <v>11840</v>
      </c>
    </row>
    <row r="4175" spans="1:4" ht="16.5">
      <c r="A4175" s="663" t="s">
        <v>1560</v>
      </c>
      <c r="B4175" t="s">
        <v>11832</v>
      </c>
      <c r="C4175" s="900" t="s">
        <v>11837</v>
      </c>
      <c r="D4175" s="905" t="s">
        <v>11840</v>
      </c>
    </row>
    <row r="4176" spans="1:4" ht="16.5">
      <c r="A4176" s="665" t="s">
        <v>1562</v>
      </c>
      <c r="B4176" t="s">
        <v>11832</v>
      </c>
      <c r="C4176" s="900" t="s">
        <v>11837</v>
      </c>
      <c r="D4176" s="905" t="s">
        <v>11840</v>
      </c>
    </row>
    <row r="4177" spans="1:4" ht="16.5">
      <c r="A4177" s="663" t="s">
        <v>1564</v>
      </c>
      <c r="B4177" t="s">
        <v>11832</v>
      </c>
      <c r="C4177" s="900" t="s">
        <v>11837</v>
      </c>
      <c r="D4177" s="905" t="s">
        <v>11840</v>
      </c>
    </row>
    <row r="4178" spans="1:4" ht="16.5">
      <c r="A4178" s="665" t="s">
        <v>1566</v>
      </c>
      <c r="B4178" t="s">
        <v>11832</v>
      </c>
      <c r="C4178" s="900" t="s">
        <v>11837</v>
      </c>
      <c r="D4178" s="905" t="s">
        <v>11840</v>
      </c>
    </row>
    <row r="4179" spans="1:4" ht="16.5">
      <c r="A4179" s="663" t="s">
        <v>1568</v>
      </c>
      <c r="B4179" t="s">
        <v>11832</v>
      </c>
      <c r="C4179" s="900" t="s">
        <v>11837</v>
      </c>
      <c r="D4179" s="905" t="s">
        <v>11840</v>
      </c>
    </row>
    <row r="4180" spans="1:4" ht="16.5">
      <c r="A4180" s="665" t="s">
        <v>1570</v>
      </c>
      <c r="B4180" t="s">
        <v>11832</v>
      </c>
      <c r="C4180" s="900" t="s">
        <v>11837</v>
      </c>
      <c r="D4180" s="905" t="s">
        <v>11840</v>
      </c>
    </row>
    <row r="4181" spans="1:4" ht="16.5">
      <c r="A4181" s="663" t="s">
        <v>1572</v>
      </c>
      <c r="B4181" t="s">
        <v>11832</v>
      </c>
      <c r="C4181" s="900" t="s">
        <v>11837</v>
      </c>
      <c r="D4181" s="905" t="s">
        <v>11840</v>
      </c>
    </row>
    <row r="4182" spans="1:4" ht="16.5">
      <c r="A4182" s="665" t="s">
        <v>1574</v>
      </c>
      <c r="B4182" t="s">
        <v>11832</v>
      </c>
      <c r="C4182" s="900" t="s">
        <v>11837</v>
      </c>
      <c r="D4182" s="905" t="s">
        <v>11840</v>
      </c>
    </row>
    <row r="4183" spans="1:4" ht="16.5">
      <c r="A4183" s="663" t="s">
        <v>1576</v>
      </c>
      <c r="B4183" t="s">
        <v>11832</v>
      </c>
      <c r="C4183" s="900" t="s">
        <v>11837</v>
      </c>
      <c r="D4183" s="905" t="s">
        <v>11840</v>
      </c>
    </row>
    <row r="4184" spans="1:4" ht="16.5">
      <c r="A4184" s="665" t="s">
        <v>1578</v>
      </c>
      <c r="B4184" t="s">
        <v>11832</v>
      </c>
      <c r="C4184" s="900" t="s">
        <v>11837</v>
      </c>
      <c r="D4184" s="905" t="s">
        <v>11840</v>
      </c>
    </row>
    <row r="4185" spans="1:4" ht="16.5">
      <c r="A4185" s="663" t="s">
        <v>1580</v>
      </c>
      <c r="B4185" t="s">
        <v>11832</v>
      </c>
      <c r="C4185" s="900" t="s">
        <v>11837</v>
      </c>
      <c r="D4185" s="905" t="s">
        <v>11840</v>
      </c>
    </row>
    <row r="4186" spans="1:4" ht="16.5">
      <c r="A4186" s="665" t="s">
        <v>1582</v>
      </c>
      <c r="B4186" t="s">
        <v>11832</v>
      </c>
      <c r="C4186" s="900" t="s">
        <v>11837</v>
      </c>
      <c r="D4186" s="905" t="s">
        <v>11840</v>
      </c>
    </row>
    <row r="4187" spans="1:4" ht="16.5">
      <c r="A4187" s="663" t="s">
        <v>1584</v>
      </c>
      <c r="B4187" t="s">
        <v>11832</v>
      </c>
      <c r="C4187" s="900" t="s">
        <v>11837</v>
      </c>
      <c r="D4187" s="905" t="s">
        <v>11840</v>
      </c>
    </row>
    <row r="4188" spans="1:4" ht="16.5">
      <c r="A4188" s="665" t="s">
        <v>1586</v>
      </c>
      <c r="B4188" t="s">
        <v>11832</v>
      </c>
      <c r="C4188" s="900" t="s">
        <v>11837</v>
      </c>
      <c r="D4188" s="905" t="s">
        <v>11840</v>
      </c>
    </row>
    <row r="4189" spans="1:4" ht="16.5">
      <c r="A4189" s="663" t="s">
        <v>1588</v>
      </c>
      <c r="B4189" t="s">
        <v>11832</v>
      </c>
      <c r="C4189" s="900" t="s">
        <v>11837</v>
      </c>
      <c r="D4189" s="905" t="s">
        <v>11840</v>
      </c>
    </row>
    <row r="4190" spans="1:4" ht="16.5">
      <c r="A4190" s="665" t="s">
        <v>1590</v>
      </c>
      <c r="B4190" t="s">
        <v>11832</v>
      </c>
      <c r="C4190" s="900" t="s">
        <v>11837</v>
      </c>
      <c r="D4190" s="905" t="s">
        <v>11840</v>
      </c>
    </row>
    <row r="4191" spans="1:4" ht="16.5">
      <c r="A4191" s="663" t="s">
        <v>1592</v>
      </c>
      <c r="B4191" t="s">
        <v>11832</v>
      </c>
      <c r="C4191" s="900" t="s">
        <v>11837</v>
      </c>
      <c r="D4191" s="905" t="s">
        <v>11840</v>
      </c>
    </row>
    <row r="4192" spans="1:4" ht="16.5">
      <c r="A4192" s="665" t="s">
        <v>1594</v>
      </c>
      <c r="B4192" t="s">
        <v>11832</v>
      </c>
      <c r="C4192" s="900" t="s">
        <v>11837</v>
      </c>
      <c r="D4192" s="905" t="s">
        <v>11840</v>
      </c>
    </row>
    <row r="4193" spans="1:4" ht="16.5">
      <c r="A4193" s="663" t="s">
        <v>1596</v>
      </c>
      <c r="B4193" t="s">
        <v>11832</v>
      </c>
      <c r="C4193" s="900" t="s">
        <v>11837</v>
      </c>
      <c r="D4193" s="905" t="s">
        <v>11840</v>
      </c>
    </row>
    <row r="4194" spans="1:4" ht="16.5">
      <c r="A4194" s="665" t="s">
        <v>1598</v>
      </c>
      <c r="B4194" t="s">
        <v>11832</v>
      </c>
      <c r="C4194" s="900" t="s">
        <v>11837</v>
      </c>
      <c r="D4194" s="905" t="s">
        <v>11840</v>
      </c>
    </row>
    <row r="4195" spans="1:4" ht="16.5">
      <c r="A4195" s="663" t="s">
        <v>1600</v>
      </c>
      <c r="B4195" t="s">
        <v>11832</v>
      </c>
      <c r="C4195" s="900" t="s">
        <v>11837</v>
      </c>
      <c r="D4195" s="905" t="s">
        <v>11840</v>
      </c>
    </row>
    <row r="4196" spans="1:4" ht="16.5">
      <c r="A4196" s="665" t="s">
        <v>1602</v>
      </c>
      <c r="B4196" t="s">
        <v>11832</v>
      </c>
      <c r="C4196" s="900" t="s">
        <v>11837</v>
      </c>
      <c r="D4196" s="905" t="s">
        <v>11840</v>
      </c>
    </row>
    <row r="4197" spans="1:4" ht="16.5">
      <c r="A4197" s="663" t="s">
        <v>1604</v>
      </c>
      <c r="B4197" t="s">
        <v>11832</v>
      </c>
      <c r="C4197" s="900" t="s">
        <v>11837</v>
      </c>
      <c r="D4197" s="905" t="s">
        <v>11840</v>
      </c>
    </row>
    <row r="4198" spans="1:4" ht="16.5">
      <c r="A4198" s="665" t="s">
        <v>1606</v>
      </c>
      <c r="B4198" t="s">
        <v>11832</v>
      </c>
      <c r="C4198" s="900" t="s">
        <v>11837</v>
      </c>
      <c r="D4198" s="905" t="s">
        <v>11840</v>
      </c>
    </row>
    <row r="4199" spans="1:4" ht="16.5">
      <c r="A4199" s="663" t="s">
        <v>1608</v>
      </c>
      <c r="B4199" t="s">
        <v>11832</v>
      </c>
      <c r="C4199" s="900" t="s">
        <v>11837</v>
      </c>
      <c r="D4199" s="905" t="s">
        <v>11840</v>
      </c>
    </row>
    <row r="4200" spans="1:4" ht="16.5">
      <c r="A4200" s="665" t="s">
        <v>1610</v>
      </c>
      <c r="B4200" t="s">
        <v>11832</v>
      </c>
      <c r="C4200" s="900" t="s">
        <v>11837</v>
      </c>
      <c r="D4200" s="905" t="s">
        <v>11840</v>
      </c>
    </row>
    <row r="4201" spans="1:4" ht="16.5">
      <c r="A4201" s="663" t="s">
        <v>1612</v>
      </c>
      <c r="B4201" t="s">
        <v>11832</v>
      </c>
      <c r="C4201" s="900" t="s">
        <v>11837</v>
      </c>
      <c r="D4201" s="905" t="s">
        <v>11840</v>
      </c>
    </row>
    <row r="4202" spans="1:4" ht="16.5">
      <c r="A4202" s="665" t="s">
        <v>1614</v>
      </c>
      <c r="B4202" t="s">
        <v>11832</v>
      </c>
      <c r="C4202" s="900" t="s">
        <v>11837</v>
      </c>
      <c r="D4202" s="905" t="s">
        <v>11840</v>
      </c>
    </row>
    <row r="4203" spans="1:4" ht="16.5">
      <c r="A4203" s="663" t="s">
        <v>1616</v>
      </c>
      <c r="B4203" t="s">
        <v>11832</v>
      </c>
      <c r="C4203" s="900" t="s">
        <v>11837</v>
      </c>
      <c r="D4203" s="905" t="s">
        <v>11840</v>
      </c>
    </row>
    <row r="4204" spans="1:4" ht="16.5">
      <c r="A4204" s="665" t="s">
        <v>1618</v>
      </c>
      <c r="B4204" t="s">
        <v>11832</v>
      </c>
      <c r="C4204" s="900" t="s">
        <v>11837</v>
      </c>
      <c r="D4204" s="905" t="s">
        <v>11840</v>
      </c>
    </row>
    <row r="4205" spans="1:4" ht="16.5">
      <c r="A4205" s="663" t="s">
        <v>1620</v>
      </c>
      <c r="B4205" t="s">
        <v>11832</v>
      </c>
      <c r="C4205" s="900" t="s">
        <v>11837</v>
      </c>
      <c r="D4205" s="905" t="s">
        <v>11840</v>
      </c>
    </row>
    <row r="4206" spans="1:4" ht="16.5">
      <c r="A4206" s="665" t="s">
        <v>1622</v>
      </c>
      <c r="B4206" t="s">
        <v>11832</v>
      </c>
      <c r="C4206" s="900" t="s">
        <v>11837</v>
      </c>
      <c r="D4206" s="905" t="s">
        <v>11840</v>
      </c>
    </row>
    <row r="4207" spans="1:4" ht="16.5">
      <c r="A4207" s="663" t="s">
        <v>1625</v>
      </c>
      <c r="B4207" t="s">
        <v>11832</v>
      </c>
      <c r="C4207" s="900" t="s">
        <v>11837</v>
      </c>
      <c r="D4207" s="905" t="s">
        <v>11840</v>
      </c>
    </row>
    <row r="4208" spans="1:4" ht="16.5">
      <c r="A4208" s="665" t="s">
        <v>1627</v>
      </c>
      <c r="B4208" t="s">
        <v>11832</v>
      </c>
      <c r="C4208" s="900" t="s">
        <v>11837</v>
      </c>
      <c r="D4208" s="905" t="s">
        <v>11840</v>
      </c>
    </row>
    <row r="4209" spans="1:4" ht="16.5">
      <c r="A4209" s="663" t="s">
        <v>1629</v>
      </c>
      <c r="B4209" t="s">
        <v>11832</v>
      </c>
      <c r="C4209" s="900" t="s">
        <v>11837</v>
      </c>
      <c r="D4209" s="905" t="s">
        <v>11840</v>
      </c>
    </row>
    <row r="4210" spans="1:4" ht="16.5">
      <c r="A4210" s="665" t="s">
        <v>1631</v>
      </c>
      <c r="B4210" t="s">
        <v>11832</v>
      </c>
      <c r="C4210" s="900" t="s">
        <v>11837</v>
      </c>
      <c r="D4210" s="905" t="s">
        <v>11840</v>
      </c>
    </row>
    <row r="4211" spans="1:4" ht="16.5">
      <c r="A4211" s="663" t="s">
        <v>1633</v>
      </c>
      <c r="B4211" t="s">
        <v>11832</v>
      </c>
      <c r="C4211" s="900" t="s">
        <v>11837</v>
      </c>
      <c r="D4211" s="905" t="s">
        <v>11840</v>
      </c>
    </row>
    <row r="4212" spans="1:4" ht="16.5">
      <c r="A4212" s="665" t="s">
        <v>1635</v>
      </c>
      <c r="B4212" t="s">
        <v>11832</v>
      </c>
      <c r="C4212" s="900" t="s">
        <v>11837</v>
      </c>
      <c r="D4212" s="905" t="s">
        <v>11840</v>
      </c>
    </row>
    <row r="4213" spans="1:4" ht="16.5">
      <c r="A4213" s="663" t="s">
        <v>1637</v>
      </c>
      <c r="B4213" t="s">
        <v>11832</v>
      </c>
      <c r="C4213" s="900" t="s">
        <v>11837</v>
      </c>
      <c r="D4213" s="905" t="s">
        <v>11840</v>
      </c>
    </row>
    <row r="4214" spans="1:4" ht="16.5">
      <c r="A4214" s="665" t="s">
        <v>1639</v>
      </c>
      <c r="B4214" t="s">
        <v>11832</v>
      </c>
      <c r="C4214" s="900" t="s">
        <v>11837</v>
      </c>
      <c r="D4214" s="905" t="s">
        <v>11840</v>
      </c>
    </row>
    <row r="4215" spans="1:4" ht="16.5">
      <c r="A4215" s="663" t="s">
        <v>1641</v>
      </c>
      <c r="B4215" t="s">
        <v>11832</v>
      </c>
      <c r="C4215" s="900" t="s">
        <v>11837</v>
      </c>
      <c r="D4215" s="905" t="s">
        <v>11840</v>
      </c>
    </row>
    <row r="4216" spans="1:4" ht="16.5">
      <c r="A4216" s="665" t="s">
        <v>1643</v>
      </c>
      <c r="B4216" t="s">
        <v>11832</v>
      </c>
      <c r="C4216" s="900" t="s">
        <v>11837</v>
      </c>
      <c r="D4216" s="905" t="s">
        <v>11840</v>
      </c>
    </row>
    <row r="4217" spans="1:4" ht="16.5">
      <c r="A4217" s="663" t="s">
        <v>1645</v>
      </c>
      <c r="B4217" t="s">
        <v>11832</v>
      </c>
      <c r="C4217" s="900" t="s">
        <v>11837</v>
      </c>
      <c r="D4217" s="905" t="s">
        <v>11840</v>
      </c>
    </row>
    <row r="4218" spans="1:4" ht="16.5">
      <c r="A4218" s="665" t="s">
        <v>1647</v>
      </c>
      <c r="B4218" t="s">
        <v>11832</v>
      </c>
      <c r="C4218" s="900" t="s">
        <v>11837</v>
      </c>
      <c r="D4218" s="905" t="s">
        <v>11840</v>
      </c>
    </row>
    <row r="4219" spans="1:4" ht="16.5">
      <c r="A4219" s="663" t="s">
        <v>1649</v>
      </c>
      <c r="B4219" t="s">
        <v>11832</v>
      </c>
      <c r="C4219" s="900" t="s">
        <v>11837</v>
      </c>
      <c r="D4219" s="905" t="s">
        <v>11840</v>
      </c>
    </row>
    <row r="4220" spans="1:4" ht="16.5">
      <c r="A4220" s="665" t="s">
        <v>1651</v>
      </c>
      <c r="B4220" t="s">
        <v>11832</v>
      </c>
      <c r="C4220" s="900" t="s">
        <v>11837</v>
      </c>
      <c r="D4220" s="905" t="s">
        <v>11840</v>
      </c>
    </row>
    <row r="4221" spans="1:4" ht="16.5">
      <c r="A4221" s="663" t="s">
        <v>1653</v>
      </c>
      <c r="B4221" t="s">
        <v>11832</v>
      </c>
      <c r="C4221" s="900" t="s">
        <v>11837</v>
      </c>
      <c r="D4221" s="905" t="s">
        <v>11840</v>
      </c>
    </row>
    <row r="4222" spans="1:4" ht="16.5">
      <c r="A4222" s="665" t="s">
        <v>1655</v>
      </c>
      <c r="B4222" t="s">
        <v>11832</v>
      </c>
      <c r="C4222" s="900" t="s">
        <v>11837</v>
      </c>
      <c r="D4222" s="905" t="s">
        <v>11840</v>
      </c>
    </row>
    <row r="4223" spans="1:4" ht="16.5">
      <c r="A4223" s="663" t="s">
        <v>1657</v>
      </c>
      <c r="B4223" t="s">
        <v>11832</v>
      </c>
      <c r="C4223" s="900" t="s">
        <v>11837</v>
      </c>
      <c r="D4223" s="905" t="s">
        <v>11840</v>
      </c>
    </row>
    <row r="4224" spans="1:4" ht="16.5">
      <c r="A4224" s="665" t="s">
        <v>1659</v>
      </c>
      <c r="B4224" t="s">
        <v>11832</v>
      </c>
      <c r="C4224" s="900" t="s">
        <v>11837</v>
      </c>
      <c r="D4224" s="905" t="s">
        <v>11840</v>
      </c>
    </row>
    <row r="4225" spans="1:4" ht="16.5">
      <c r="A4225" s="663" t="s">
        <v>1661</v>
      </c>
      <c r="B4225" t="s">
        <v>11832</v>
      </c>
      <c r="C4225" s="900" t="s">
        <v>11837</v>
      </c>
      <c r="D4225" s="905" t="s">
        <v>11840</v>
      </c>
    </row>
    <row r="4226" spans="1:4" ht="16.5">
      <c r="A4226" s="665" t="s">
        <v>1663</v>
      </c>
      <c r="B4226" t="s">
        <v>11832</v>
      </c>
      <c r="C4226" s="900" t="s">
        <v>11837</v>
      </c>
      <c r="D4226" s="905" t="s">
        <v>11840</v>
      </c>
    </row>
    <row r="4227" spans="1:4" ht="16.5">
      <c r="A4227" s="663" t="s">
        <v>1665</v>
      </c>
      <c r="B4227" t="s">
        <v>11832</v>
      </c>
      <c r="C4227" s="900" t="s">
        <v>11837</v>
      </c>
      <c r="D4227" s="905" t="s">
        <v>11840</v>
      </c>
    </row>
    <row r="4228" spans="1:4" ht="16.5">
      <c r="A4228" s="665" t="s">
        <v>1667</v>
      </c>
      <c r="B4228" t="s">
        <v>11832</v>
      </c>
      <c r="C4228" s="900" t="s">
        <v>11837</v>
      </c>
      <c r="D4228" s="905" t="s">
        <v>11840</v>
      </c>
    </row>
    <row r="4229" spans="1:4" ht="16.5">
      <c r="A4229" s="663" t="s">
        <v>1669</v>
      </c>
      <c r="B4229" t="s">
        <v>11832</v>
      </c>
      <c r="C4229" s="900" t="s">
        <v>11837</v>
      </c>
      <c r="D4229" s="905" t="s">
        <v>11840</v>
      </c>
    </row>
    <row r="4230" spans="1:4" ht="16.5">
      <c r="A4230" s="665" t="s">
        <v>1671</v>
      </c>
      <c r="B4230" t="s">
        <v>11832</v>
      </c>
      <c r="C4230" s="900" t="s">
        <v>11837</v>
      </c>
      <c r="D4230" s="905" t="s">
        <v>11840</v>
      </c>
    </row>
    <row r="4231" spans="1:4" ht="16.5">
      <c r="A4231" s="663" t="s">
        <v>1673</v>
      </c>
      <c r="B4231" t="s">
        <v>11832</v>
      </c>
      <c r="C4231" s="900" t="s">
        <v>11837</v>
      </c>
      <c r="D4231" s="905" t="s">
        <v>11840</v>
      </c>
    </row>
    <row r="4233" spans="1:4" ht="16.5">
      <c r="A4233" s="663" t="s">
        <v>9919</v>
      </c>
      <c r="B4233" t="s">
        <v>11833</v>
      </c>
      <c r="C4233" s="900" t="s">
        <v>11837</v>
      </c>
      <c r="D4233" s="905" t="s">
        <v>11839</v>
      </c>
    </row>
    <row r="4234" spans="1:4" ht="16.5">
      <c r="A4234" s="663" t="s">
        <v>385</v>
      </c>
      <c r="B4234" t="s">
        <v>11833</v>
      </c>
      <c r="C4234" s="900" t="s">
        <v>11837</v>
      </c>
      <c r="D4234" s="905" t="s">
        <v>11839</v>
      </c>
    </row>
    <row r="4235" spans="1:4" ht="16.5">
      <c r="A4235" s="663" t="s">
        <v>418</v>
      </c>
      <c r="B4235" t="s">
        <v>11833</v>
      </c>
      <c r="C4235" s="900" t="s">
        <v>11837</v>
      </c>
      <c r="D4235" s="905" t="s">
        <v>11839</v>
      </c>
    </row>
    <row r="4236" spans="1:4" ht="16.5">
      <c r="A4236" s="663" t="s">
        <v>391</v>
      </c>
      <c r="B4236" t="s">
        <v>11833</v>
      </c>
      <c r="C4236" s="900" t="s">
        <v>11837</v>
      </c>
      <c r="D4236" s="905" t="s">
        <v>11839</v>
      </c>
    </row>
    <row r="4237" spans="1:4" ht="16.5">
      <c r="A4237" s="663" t="s">
        <v>393</v>
      </c>
      <c r="B4237" t="s">
        <v>11833</v>
      </c>
      <c r="C4237" s="900" t="s">
        <v>11837</v>
      </c>
      <c r="D4237" s="905" t="s">
        <v>11839</v>
      </c>
    </row>
    <row r="4238" spans="1:4" ht="16.5">
      <c r="A4238" s="663" t="s">
        <v>389</v>
      </c>
      <c r="B4238" t="s">
        <v>11833</v>
      </c>
      <c r="C4238" s="900" t="s">
        <v>11837</v>
      </c>
      <c r="D4238" s="905" t="s">
        <v>11839</v>
      </c>
    </row>
    <row r="4239" spans="1:4" ht="16.5">
      <c r="A4239" s="663" t="s">
        <v>388</v>
      </c>
      <c r="B4239" t="s">
        <v>11833</v>
      </c>
      <c r="C4239" s="900" t="s">
        <v>11837</v>
      </c>
      <c r="D4239" s="905" t="s">
        <v>11839</v>
      </c>
    </row>
    <row r="4240" spans="1:4" ht="16.5">
      <c r="A4240" s="663" t="s">
        <v>9935</v>
      </c>
      <c r="B4240" t="s">
        <v>11833</v>
      </c>
      <c r="C4240" s="900" t="s">
        <v>11837</v>
      </c>
      <c r="D4240" s="905" t="s">
        <v>11839</v>
      </c>
    </row>
    <row r="4241" spans="1:4" ht="16.5">
      <c r="A4241" s="663" t="s">
        <v>373</v>
      </c>
      <c r="B4241" t="s">
        <v>11833</v>
      </c>
      <c r="C4241" s="900" t="s">
        <v>11837</v>
      </c>
      <c r="D4241" s="905" t="s">
        <v>11839</v>
      </c>
    </row>
    <row r="4242" spans="1:4" ht="16.5">
      <c r="A4242" s="663" t="s">
        <v>414</v>
      </c>
      <c r="B4242" t="s">
        <v>11833</v>
      </c>
      <c r="C4242" s="900" t="s">
        <v>11837</v>
      </c>
      <c r="D4242" s="905" t="s">
        <v>11839</v>
      </c>
    </row>
    <row r="4243" spans="1:4" ht="16.5">
      <c r="A4243" s="663" t="s">
        <v>415</v>
      </c>
      <c r="B4243" t="s">
        <v>11833</v>
      </c>
      <c r="C4243" s="900" t="s">
        <v>11837</v>
      </c>
      <c r="D4243" s="905" t="s">
        <v>11839</v>
      </c>
    </row>
    <row r="4244" spans="1:4" ht="16.5">
      <c r="A4244" s="663" t="s">
        <v>9942</v>
      </c>
      <c r="B4244" t="s">
        <v>11833</v>
      </c>
      <c r="C4244" s="900" t="s">
        <v>11837</v>
      </c>
      <c r="D4244" s="905" t="s">
        <v>11839</v>
      </c>
    </row>
    <row r="4245" spans="1:4" ht="16.5">
      <c r="A4245" s="663" t="s">
        <v>380</v>
      </c>
      <c r="B4245" t="s">
        <v>11833</v>
      </c>
      <c r="C4245" s="900" t="s">
        <v>11837</v>
      </c>
      <c r="D4245" s="905" t="s">
        <v>11839</v>
      </c>
    </row>
    <row r="4246" spans="1:4" ht="16.5">
      <c r="A4246" s="663" t="s">
        <v>433</v>
      </c>
      <c r="B4246" t="s">
        <v>11833</v>
      </c>
      <c r="C4246" s="900" t="s">
        <v>11837</v>
      </c>
      <c r="D4246" s="905" t="s">
        <v>11839</v>
      </c>
    </row>
    <row r="4247" spans="1:4" ht="16.5">
      <c r="A4247" s="663" t="s">
        <v>410</v>
      </c>
      <c r="B4247" t="s">
        <v>11833</v>
      </c>
      <c r="C4247" s="900" t="s">
        <v>11837</v>
      </c>
      <c r="D4247" s="905" t="s">
        <v>11839</v>
      </c>
    </row>
    <row r="4248" spans="1:4" ht="16.5">
      <c r="A4248" s="663" t="s">
        <v>370</v>
      </c>
      <c r="B4248" t="s">
        <v>11833</v>
      </c>
      <c r="C4248" s="900" t="s">
        <v>11837</v>
      </c>
      <c r="D4248" s="905" t="s">
        <v>11839</v>
      </c>
    </row>
    <row r="4249" spans="1:4" ht="16.5">
      <c r="A4249" s="663" t="s">
        <v>9955</v>
      </c>
      <c r="B4249" t="s">
        <v>11833</v>
      </c>
      <c r="C4249" s="900" t="s">
        <v>11837</v>
      </c>
      <c r="D4249" s="905" t="s">
        <v>11839</v>
      </c>
    </row>
    <row r="4250" spans="1:4" ht="16.5">
      <c r="A4250" s="663" t="s">
        <v>379</v>
      </c>
      <c r="B4250" t="s">
        <v>11833</v>
      </c>
      <c r="C4250" s="900" t="s">
        <v>11837</v>
      </c>
      <c r="D4250" s="905" t="s">
        <v>11839</v>
      </c>
    </row>
    <row r="4251" spans="1:4" ht="16.5">
      <c r="A4251" s="663" t="s">
        <v>378</v>
      </c>
      <c r="B4251" t="s">
        <v>11833</v>
      </c>
      <c r="C4251" s="900" t="s">
        <v>11837</v>
      </c>
      <c r="D4251" s="905" t="s">
        <v>11839</v>
      </c>
    </row>
    <row r="4252" spans="1:4" ht="16.5">
      <c r="A4252" s="663" t="s">
        <v>9962</v>
      </c>
      <c r="B4252" t="s">
        <v>11833</v>
      </c>
      <c r="C4252" s="900" t="s">
        <v>11837</v>
      </c>
      <c r="D4252" s="905" t="s">
        <v>11839</v>
      </c>
    </row>
    <row r="4253" spans="1:4" ht="16.5">
      <c r="A4253" s="663" t="s">
        <v>9966</v>
      </c>
      <c r="B4253" t="s">
        <v>11833</v>
      </c>
      <c r="C4253" s="900" t="s">
        <v>11837</v>
      </c>
      <c r="D4253" s="905" t="s">
        <v>11839</v>
      </c>
    </row>
    <row r="4254" spans="1:4" ht="16.5">
      <c r="A4254" s="663" t="s">
        <v>377</v>
      </c>
      <c r="B4254" t="s">
        <v>11833</v>
      </c>
      <c r="C4254" s="900" t="s">
        <v>11837</v>
      </c>
      <c r="D4254" s="905" t="s">
        <v>11839</v>
      </c>
    </row>
    <row r="4255" spans="1:4" ht="16.5">
      <c r="A4255" s="663" t="s">
        <v>9970</v>
      </c>
      <c r="B4255" t="s">
        <v>11833</v>
      </c>
      <c r="C4255" s="900" t="s">
        <v>11837</v>
      </c>
      <c r="D4255" s="905" t="s">
        <v>11839</v>
      </c>
    </row>
    <row r="4256" spans="1:4" ht="16.5">
      <c r="A4256" s="663" t="s">
        <v>375</v>
      </c>
      <c r="B4256" t="s">
        <v>11833</v>
      </c>
      <c r="C4256" s="900" t="s">
        <v>11837</v>
      </c>
      <c r="D4256" s="905" t="s">
        <v>11839</v>
      </c>
    </row>
    <row r="4257" spans="1:4" ht="16.5">
      <c r="A4257" s="663" t="s">
        <v>334</v>
      </c>
      <c r="B4257" t="s">
        <v>11833</v>
      </c>
      <c r="C4257" s="900" t="s">
        <v>11837</v>
      </c>
      <c r="D4257" s="905" t="s">
        <v>11839</v>
      </c>
    </row>
    <row r="4258" spans="1:4" ht="16.5">
      <c r="A4258" s="663" t="s">
        <v>340</v>
      </c>
      <c r="B4258" t="s">
        <v>11833</v>
      </c>
      <c r="C4258" s="900" t="s">
        <v>11837</v>
      </c>
      <c r="D4258" s="905" t="s">
        <v>11839</v>
      </c>
    </row>
    <row r="4259" spans="1:4" ht="16.5">
      <c r="A4259" s="663" t="s">
        <v>342</v>
      </c>
      <c r="B4259" t="s">
        <v>11833</v>
      </c>
      <c r="C4259" s="900" t="s">
        <v>11837</v>
      </c>
      <c r="D4259" s="905" t="s">
        <v>11839</v>
      </c>
    </row>
    <row r="4260" spans="1:4" ht="16.5">
      <c r="A4260" s="663" t="s">
        <v>344</v>
      </c>
      <c r="B4260" t="s">
        <v>11833</v>
      </c>
      <c r="C4260" s="900" t="s">
        <v>11837</v>
      </c>
      <c r="D4260" s="905" t="s">
        <v>11839</v>
      </c>
    </row>
    <row r="4261" spans="1:4" ht="16.5">
      <c r="A4261" s="663" t="s">
        <v>346</v>
      </c>
      <c r="B4261" t="s">
        <v>11833</v>
      </c>
      <c r="C4261" s="900" t="s">
        <v>11837</v>
      </c>
      <c r="D4261" s="905" t="s">
        <v>11839</v>
      </c>
    </row>
    <row r="4262" spans="1:4" ht="16.5">
      <c r="A4262" s="663" t="s">
        <v>348</v>
      </c>
      <c r="B4262" t="s">
        <v>11833</v>
      </c>
      <c r="C4262" s="900" t="s">
        <v>11837</v>
      </c>
      <c r="D4262" s="905" t="s">
        <v>11839</v>
      </c>
    </row>
    <row r="4263" spans="1:4" ht="16.5">
      <c r="A4263" s="663" t="s">
        <v>395</v>
      </c>
      <c r="B4263" t="s">
        <v>11833</v>
      </c>
      <c r="C4263" s="900" t="s">
        <v>11837</v>
      </c>
      <c r="D4263" s="905" t="s">
        <v>11839</v>
      </c>
    </row>
    <row r="4264" spans="1:4" ht="16.5">
      <c r="A4264" s="663" t="s">
        <v>352</v>
      </c>
      <c r="B4264" t="s">
        <v>11833</v>
      </c>
      <c r="C4264" s="900" t="s">
        <v>11837</v>
      </c>
      <c r="D4264" s="905" t="s">
        <v>11839</v>
      </c>
    </row>
    <row r="4265" spans="1:4" ht="16.5">
      <c r="A4265" s="663" t="s">
        <v>350</v>
      </c>
      <c r="B4265" t="s">
        <v>11833</v>
      </c>
      <c r="C4265" s="900" t="s">
        <v>11837</v>
      </c>
      <c r="D4265" s="905" t="s">
        <v>11839</v>
      </c>
    </row>
    <row r="4266" spans="1:4" ht="16.5">
      <c r="A4266" s="663" t="s">
        <v>353</v>
      </c>
      <c r="B4266" t="s">
        <v>11833</v>
      </c>
      <c r="C4266" s="900" t="s">
        <v>11837</v>
      </c>
      <c r="D4266" s="905" t="s">
        <v>11839</v>
      </c>
    </row>
    <row r="4267" spans="1:4" ht="16.5">
      <c r="A4267" s="663" t="s">
        <v>9985</v>
      </c>
      <c r="B4267" t="s">
        <v>11833</v>
      </c>
      <c r="C4267" s="900" t="s">
        <v>11837</v>
      </c>
      <c r="D4267" s="905" t="s">
        <v>11839</v>
      </c>
    </row>
    <row r="4268" spans="1:4" ht="16.5">
      <c r="A4268" s="663" t="s">
        <v>356</v>
      </c>
      <c r="B4268" t="s">
        <v>11833</v>
      </c>
      <c r="C4268" s="900" t="s">
        <v>11837</v>
      </c>
      <c r="D4268" s="905" t="s">
        <v>11839</v>
      </c>
    </row>
    <row r="4269" spans="1:4" ht="16.5">
      <c r="A4269" s="663" t="s">
        <v>358</v>
      </c>
      <c r="B4269" t="s">
        <v>11833</v>
      </c>
      <c r="C4269" s="900" t="s">
        <v>11837</v>
      </c>
      <c r="D4269" s="905" t="s">
        <v>11839</v>
      </c>
    </row>
    <row r="4270" spans="1:4" ht="16.5">
      <c r="A4270" s="663" t="s">
        <v>361</v>
      </c>
      <c r="B4270" t="s">
        <v>11833</v>
      </c>
      <c r="C4270" s="900" t="s">
        <v>11837</v>
      </c>
      <c r="D4270" s="905" t="s">
        <v>11839</v>
      </c>
    </row>
    <row r="4271" spans="1:4" ht="16.5">
      <c r="A4271" s="663" t="s">
        <v>363</v>
      </c>
      <c r="B4271" t="s">
        <v>11833</v>
      </c>
      <c r="C4271" s="900" t="s">
        <v>11837</v>
      </c>
      <c r="D4271" s="905" t="s">
        <v>11839</v>
      </c>
    </row>
    <row r="4272" spans="1:4" ht="16.5">
      <c r="A4272" s="663" t="s">
        <v>365</v>
      </c>
      <c r="B4272" t="s">
        <v>11833</v>
      </c>
      <c r="C4272" s="900" t="s">
        <v>11837</v>
      </c>
      <c r="D4272" s="905" t="s">
        <v>11839</v>
      </c>
    </row>
    <row r="4273" spans="1:4" ht="16.5">
      <c r="A4273" s="663" t="s">
        <v>367</v>
      </c>
      <c r="B4273" t="s">
        <v>11833</v>
      </c>
      <c r="C4273" s="900" t="s">
        <v>11837</v>
      </c>
      <c r="D4273" s="905" t="s">
        <v>11839</v>
      </c>
    </row>
    <row r="4275" spans="1:4" ht="16.5">
      <c r="A4275" s="662" t="s">
        <v>674</v>
      </c>
      <c r="B4275" t="s">
        <v>11834</v>
      </c>
      <c r="C4275" s="900" t="s">
        <v>11837</v>
      </c>
      <c r="D4275" s="905" t="s">
        <v>11838</v>
      </c>
    </row>
    <row r="4276" spans="1:4" ht="16.5">
      <c r="A4276" s="663" t="s">
        <v>290</v>
      </c>
      <c r="B4276" t="s">
        <v>11834</v>
      </c>
      <c r="C4276" s="900" t="s">
        <v>11837</v>
      </c>
      <c r="D4276" s="905" t="s">
        <v>11838</v>
      </c>
    </row>
    <row r="4277" spans="1:4" ht="16.5">
      <c r="A4277" s="663" t="s">
        <v>292</v>
      </c>
      <c r="B4277" t="s">
        <v>11834</v>
      </c>
      <c r="C4277" s="900" t="s">
        <v>11837</v>
      </c>
      <c r="D4277" s="905" t="s">
        <v>11838</v>
      </c>
    </row>
    <row r="4278" spans="1:4" ht="16.5">
      <c r="A4278" s="663" t="s">
        <v>294</v>
      </c>
      <c r="B4278" t="s">
        <v>11834</v>
      </c>
      <c r="C4278" s="900" t="s">
        <v>11837</v>
      </c>
      <c r="D4278" s="905" t="s">
        <v>11838</v>
      </c>
    </row>
    <row r="4279" spans="1:4" ht="16.5">
      <c r="A4279" s="663" t="s">
        <v>296</v>
      </c>
      <c r="B4279" t="s">
        <v>11834</v>
      </c>
      <c r="C4279" s="900" t="s">
        <v>11837</v>
      </c>
      <c r="D4279" s="905" t="s">
        <v>11838</v>
      </c>
    </row>
    <row r="4280" spans="1:4" ht="16.5">
      <c r="A4280" s="663" t="s">
        <v>298</v>
      </c>
      <c r="B4280" t="s">
        <v>11834</v>
      </c>
      <c r="C4280" s="900" t="s">
        <v>11837</v>
      </c>
      <c r="D4280" s="905" t="s">
        <v>11838</v>
      </c>
    </row>
    <row r="4281" spans="1:4" ht="16.5">
      <c r="A4281" s="663" t="s">
        <v>300</v>
      </c>
      <c r="B4281" t="s">
        <v>11834</v>
      </c>
      <c r="C4281" s="900" t="s">
        <v>11837</v>
      </c>
      <c r="D4281" s="905" t="s">
        <v>11838</v>
      </c>
    </row>
    <row r="4282" spans="1:4" ht="16.5">
      <c r="A4282" s="663" t="s">
        <v>302</v>
      </c>
      <c r="B4282" t="s">
        <v>11834</v>
      </c>
      <c r="C4282" s="900" t="s">
        <v>11837</v>
      </c>
      <c r="D4282" s="905" t="s">
        <v>11838</v>
      </c>
    </row>
    <row r="4283" spans="1:4" ht="16.5">
      <c r="A4283" s="663" t="s">
        <v>304</v>
      </c>
      <c r="B4283" t="s">
        <v>11834</v>
      </c>
      <c r="C4283" s="900" t="s">
        <v>11837</v>
      </c>
      <c r="D4283" s="905" t="s">
        <v>11838</v>
      </c>
    </row>
    <row r="4284" spans="1:4" ht="16.5">
      <c r="A4284" s="663" t="s">
        <v>9999</v>
      </c>
      <c r="B4284" t="s">
        <v>11834</v>
      </c>
      <c r="C4284" s="900" t="s">
        <v>11837</v>
      </c>
      <c r="D4284" s="905" t="s">
        <v>11838</v>
      </c>
    </row>
    <row r="4285" spans="1:4" ht="16.5">
      <c r="A4285" s="663" t="s">
        <v>307</v>
      </c>
      <c r="B4285" t="s">
        <v>11834</v>
      </c>
      <c r="C4285" s="900" t="s">
        <v>11837</v>
      </c>
      <c r="D4285" s="905" t="s">
        <v>11838</v>
      </c>
    </row>
    <row r="4286" spans="1:4" ht="16.5">
      <c r="A4286" s="663" t="s">
        <v>309</v>
      </c>
      <c r="B4286" t="s">
        <v>11834</v>
      </c>
      <c r="C4286" s="900" t="s">
        <v>11837</v>
      </c>
      <c r="D4286" s="905" t="s">
        <v>11838</v>
      </c>
    </row>
    <row r="4287" spans="1:4" ht="16.5">
      <c r="A4287" s="663" t="s">
        <v>311</v>
      </c>
      <c r="B4287" t="s">
        <v>11834</v>
      </c>
      <c r="C4287" s="900" t="s">
        <v>11837</v>
      </c>
      <c r="D4287" s="905" t="s">
        <v>11838</v>
      </c>
    </row>
    <row r="4288" spans="1:4" ht="16.5">
      <c r="A4288" s="663" t="s">
        <v>313</v>
      </c>
      <c r="B4288" t="s">
        <v>11834</v>
      </c>
      <c r="C4288" s="900" t="s">
        <v>11837</v>
      </c>
      <c r="D4288" s="905" t="s">
        <v>11838</v>
      </c>
    </row>
    <row r="4289" spans="1:4" ht="16.5">
      <c r="A4289" s="663" t="s">
        <v>315</v>
      </c>
      <c r="B4289" t="s">
        <v>11834</v>
      </c>
      <c r="C4289" s="900" t="s">
        <v>11837</v>
      </c>
      <c r="D4289" s="905" t="s">
        <v>11838</v>
      </c>
    </row>
    <row r="4290" spans="1:4" ht="16.5">
      <c r="A4290" s="663" t="s">
        <v>317</v>
      </c>
      <c r="B4290" t="s">
        <v>11834</v>
      </c>
      <c r="C4290" s="900" t="s">
        <v>11837</v>
      </c>
      <c r="D4290" s="905" t="s">
        <v>11838</v>
      </c>
    </row>
    <row r="4291" spans="1:4" ht="16.5">
      <c r="A4291" s="663" t="s">
        <v>319</v>
      </c>
      <c r="B4291" t="s">
        <v>11834</v>
      </c>
      <c r="C4291" s="900" t="s">
        <v>11837</v>
      </c>
      <c r="D4291" s="905" t="s">
        <v>11838</v>
      </c>
    </row>
    <row r="4292" spans="1:4" ht="16.5">
      <c r="A4292" s="663" t="s">
        <v>321</v>
      </c>
      <c r="B4292" t="s">
        <v>11834</v>
      </c>
      <c r="C4292" s="900" t="s">
        <v>11837</v>
      </c>
      <c r="D4292" s="905" t="s">
        <v>11838</v>
      </c>
    </row>
    <row r="4293" spans="1:4" ht="16.5">
      <c r="A4293" s="663" t="s">
        <v>323</v>
      </c>
      <c r="B4293" t="s">
        <v>11834</v>
      </c>
      <c r="C4293" s="900" t="s">
        <v>11837</v>
      </c>
      <c r="D4293" s="905" t="s">
        <v>11838</v>
      </c>
    </row>
    <row r="4294" spans="1:4" ht="16.5">
      <c r="A4294" s="663" t="s">
        <v>10002</v>
      </c>
      <c r="B4294" t="s">
        <v>11834</v>
      </c>
      <c r="C4294" s="900" t="s">
        <v>11837</v>
      </c>
      <c r="D4294" s="905" t="s">
        <v>11838</v>
      </c>
    </row>
    <row r="4295" spans="1:4" ht="16.5">
      <c r="A4295" s="663" t="s">
        <v>10004</v>
      </c>
      <c r="B4295" t="s">
        <v>11834</v>
      </c>
      <c r="C4295" s="900" t="s">
        <v>11837</v>
      </c>
      <c r="D4295" s="905" t="s">
        <v>11838</v>
      </c>
    </row>
    <row r="4296" spans="1:4" ht="16.5">
      <c r="A4296" s="663" t="s">
        <v>10006</v>
      </c>
      <c r="B4296" t="s">
        <v>11834</v>
      </c>
      <c r="C4296" s="900" t="s">
        <v>11837</v>
      </c>
      <c r="D4296" s="905" t="s">
        <v>11838</v>
      </c>
    </row>
    <row r="4297" spans="1:4" ht="16.5">
      <c r="A4297" s="663" t="s">
        <v>10008</v>
      </c>
      <c r="B4297" t="s">
        <v>11834</v>
      </c>
      <c r="C4297" s="900" t="s">
        <v>11837</v>
      </c>
      <c r="D4297" s="905" t="s">
        <v>11838</v>
      </c>
    </row>
    <row r="4298" spans="1:4" ht="16.5">
      <c r="A4298" s="663" t="s">
        <v>10010</v>
      </c>
      <c r="B4298" t="s">
        <v>11834</v>
      </c>
      <c r="C4298" s="900" t="s">
        <v>11837</v>
      </c>
      <c r="D4298" s="905" t="s">
        <v>11838</v>
      </c>
    </row>
    <row r="4299" spans="1:4" ht="16.5">
      <c r="A4299" s="663" t="s">
        <v>10012</v>
      </c>
      <c r="B4299" t="s">
        <v>11834</v>
      </c>
      <c r="C4299" s="900" t="s">
        <v>11837</v>
      </c>
      <c r="D4299" s="905" t="s">
        <v>11838</v>
      </c>
    </row>
    <row r="4300" spans="1:4" ht="16.5">
      <c r="A4300" s="663" t="s">
        <v>10014</v>
      </c>
      <c r="B4300" t="s">
        <v>11834</v>
      </c>
      <c r="C4300" s="900" t="s">
        <v>11837</v>
      </c>
      <c r="D4300" s="905" t="s">
        <v>11838</v>
      </c>
    </row>
    <row r="4301" spans="1:4" ht="16.5">
      <c r="A4301" s="663" t="s">
        <v>10016</v>
      </c>
      <c r="B4301" t="s">
        <v>11834</v>
      </c>
      <c r="C4301" s="900" t="s">
        <v>11837</v>
      </c>
      <c r="D4301" s="905" t="s">
        <v>11838</v>
      </c>
    </row>
    <row r="4302" spans="1:4" ht="16.5">
      <c r="A4302" s="663" t="s">
        <v>10018</v>
      </c>
      <c r="B4302" t="s">
        <v>11834</v>
      </c>
      <c r="C4302" s="900" t="s">
        <v>11837</v>
      </c>
      <c r="D4302" s="905" t="s">
        <v>11838</v>
      </c>
    </row>
    <row r="4303" spans="1:4" ht="16.5">
      <c r="A4303" s="663" t="s">
        <v>10020</v>
      </c>
      <c r="B4303" t="s">
        <v>11834</v>
      </c>
      <c r="C4303" s="900" t="s">
        <v>11837</v>
      </c>
      <c r="D4303" s="905" t="s">
        <v>11838</v>
      </c>
    </row>
    <row r="4304" spans="1:4" ht="16.5">
      <c r="A4304" s="663" t="s">
        <v>10022</v>
      </c>
      <c r="B4304" t="s">
        <v>11834</v>
      </c>
      <c r="C4304" s="900" t="s">
        <v>11837</v>
      </c>
      <c r="D4304" s="905" t="s">
        <v>11838</v>
      </c>
    </row>
    <row r="4305" spans="1:4" ht="16.5">
      <c r="A4305" s="663" t="s">
        <v>10024</v>
      </c>
      <c r="B4305" t="s">
        <v>11834</v>
      </c>
      <c r="C4305" s="900" t="s">
        <v>11837</v>
      </c>
      <c r="D4305" s="905" t="s">
        <v>11838</v>
      </c>
    </row>
    <row r="4306" spans="1:4" ht="16.5">
      <c r="A4306" s="663" t="s">
        <v>10026</v>
      </c>
      <c r="B4306" t="s">
        <v>11834</v>
      </c>
      <c r="C4306" s="900" t="s">
        <v>11837</v>
      </c>
      <c r="D4306" s="905" t="s">
        <v>11838</v>
      </c>
    </row>
    <row r="4307" spans="1:4" ht="16.5">
      <c r="A4307" s="663" t="s">
        <v>10028</v>
      </c>
      <c r="B4307" t="s">
        <v>11834</v>
      </c>
      <c r="C4307" s="900" t="s">
        <v>11837</v>
      </c>
      <c r="D4307" s="905" t="s">
        <v>11838</v>
      </c>
    </row>
    <row r="4308" spans="1:4" ht="16.5">
      <c r="A4308" s="663" t="s">
        <v>10030</v>
      </c>
      <c r="B4308" t="s">
        <v>11834</v>
      </c>
      <c r="C4308" s="900" t="s">
        <v>11837</v>
      </c>
      <c r="D4308" s="905" t="s">
        <v>11838</v>
      </c>
    </row>
    <row r="4309" spans="1:4" ht="16.5">
      <c r="A4309" s="663" t="s">
        <v>10032</v>
      </c>
      <c r="B4309" t="s">
        <v>11834</v>
      </c>
      <c r="C4309" s="900" t="s">
        <v>11837</v>
      </c>
      <c r="D4309" s="905" t="s">
        <v>11838</v>
      </c>
    </row>
    <row r="4310" spans="1:4" ht="16.5">
      <c r="A4310" s="663" t="s">
        <v>10034</v>
      </c>
      <c r="B4310" t="s">
        <v>11834</v>
      </c>
      <c r="C4310" s="900" t="s">
        <v>11837</v>
      </c>
      <c r="D4310" s="905" t="s">
        <v>11838</v>
      </c>
    </row>
    <row r="4311" spans="1:4" ht="16.5">
      <c r="A4311" s="663" t="s">
        <v>10036</v>
      </c>
      <c r="B4311" t="s">
        <v>11834</v>
      </c>
      <c r="C4311" s="900" t="s">
        <v>11837</v>
      </c>
      <c r="D4311" s="905" t="s">
        <v>11838</v>
      </c>
    </row>
    <row r="4312" spans="1:4" ht="16.5">
      <c r="A4312" s="663" t="s">
        <v>10038</v>
      </c>
      <c r="B4312" t="s">
        <v>11834</v>
      </c>
      <c r="C4312" s="900" t="s">
        <v>11837</v>
      </c>
      <c r="D4312" s="905" t="s">
        <v>11838</v>
      </c>
    </row>
    <row r="4313" spans="1:4" ht="16.5">
      <c r="A4313" s="663" t="s">
        <v>10040</v>
      </c>
      <c r="B4313" t="s">
        <v>11834</v>
      </c>
      <c r="C4313" s="900" t="s">
        <v>11837</v>
      </c>
      <c r="D4313" s="905" t="s">
        <v>11838</v>
      </c>
    </row>
    <row r="4314" spans="1:4" ht="16.5">
      <c r="A4314" s="663" t="s">
        <v>10042</v>
      </c>
      <c r="B4314" t="s">
        <v>11834</v>
      </c>
      <c r="C4314" s="900" t="s">
        <v>11837</v>
      </c>
      <c r="D4314" s="905" t="s">
        <v>11838</v>
      </c>
    </row>
    <row r="4315" spans="1:4" ht="16.5">
      <c r="A4315" s="663" t="s">
        <v>10044</v>
      </c>
      <c r="B4315" t="s">
        <v>11834</v>
      </c>
      <c r="C4315" s="900" t="s">
        <v>11837</v>
      </c>
      <c r="D4315" s="905" t="s">
        <v>11838</v>
      </c>
    </row>
    <row r="4316" spans="1:4" ht="16.5">
      <c r="A4316" s="663" t="s">
        <v>10046</v>
      </c>
      <c r="B4316" t="s">
        <v>11834</v>
      </c>
      <c r="C4316" s="900" t="s">
        <v>11837</v>
      </c>
      <c r="D4316" s="905" t="s">
        <v>11838</v>
      </c>
    </row>
    <row r="4317" spans="1:4" ht="16.5">
      <c r="A4317" s="663" t="s">
        <v>10048</v>
      </c>
      <c r="B4317" t="s">
        <v>11834</v>
      </c>
      <c r="C4317" s="900" t="s">
        <v>11837</v>
      </c>
      <c r="D4317" s="905" t="s">
        <v>11838</v>
      </c>
    </row>
    <row r="4318" spans="1:4" ht="16.5">
      <c r="A4318" s="663" t="s">
        <v>10050</v>
      </c>
      <c r="B4318" t="s">
        <v>11834</v>
      </c>
      <c r="C4318" s="900" t="s">
        <v>11837</v>
      </c>
      <c r="D4318" s="905" t="s">
        <v>11838</v>
      </c>
    </row>
    <row r="4319" spans="1:4" ht="16.5">
      <c r="A4319" s="663" t="s">
        <v>10052</v>
      </c>
      <c r="B4319" t="s">
        <v>11834</v>
      </c>
      <c r="C4319" s="900" t="s">
        <v>11837</v>
      </c>
      <c r="D4319" s="905" t="s">
        <v>11838</v>
      </c>
    </row>
    <row r="4320" spans="1:4" ht="16.5">
      <c r="A4320" s="663" t="s">
        <v>10054</v>
      </c>
      <c r="B4320" t="s">
        <v>11834</v>
      </c>
      <c r="C4320" s="900" t="s">
        <v>11837</v>
      </c>
      <c r="D4320" s="905" t="s">
        <v>11838</v>
      </c>
    </row>
    <row r="4321" spans="1:4" ht="16.5">
      <c r="A4321" s="663" t="s">
        <v>166</v>
      </c>
      <c r="B4321" t="s">
        <v>11834</v>
      </c>
      <c r="C4321" s="900" t="s">
        <v>11837</v>
      </c>
      <c r="D4321" s="905" t="s">
        <v>11838</v>
      </c>
    </row>
    <row r="4322" spans="1:4" ht="16.5">
      <c r="A4322" s="663" t="s">
        <v>169</v>
      </c>
      <c r="B4322" t="s">
        <v>11834</v>
      </c>
      <c r="C4322" s="900" t="s">
        <v>11837</v>
      </c>
      <c r="D4322" s="905" t="s">
        <v>11838</v>
      </c>
    </row>
    <row r="4323" spans="1:4" ht="16.5">
      <c r="A4323" s="663" t="s">
        <v>171</v>
      </c>
      <c r="B4323" t="s">
        <v>11834</v>
      </c>
      <c r="C4323" s="900" t="s">
        <v>11837</v>
      </c>
      <c r="D4323" s="905" t="s">
        <v>11838</v>
      </c>
    </row>
    <row r="4324" spans="1:4" ht="16.5">
      <c r="A4324" s="663" t="s">
        <v>173</v>
      </c>
      <c r="B4324" t="s">
        <v>11834</v>
      </c>
      <c r="C4324" s="900" t="s">
        <v>11837</v>
      </c>
      <c r="D4324" s="905" t="s">
        <v>11838</v>
      </c>
    </row>
    <row r="4325" spans="1:4" ht="16.5">
      <c r="A4325" s="663" t="s">
        <v>175</v>
      </c>
      <c r="B4325" t="s">
        <v>11834</v>
      </c>
      <c r="C4325" s="900" t="s">
        <v>11837</v>
      </c>
      <c r="D4325" s="905" t="s">
        <v>11838</v>
      </c>
    </row>
    <row r="4326" spans="1:4" ht="16.5">
      <c r="A4326" s="663" t="s">
        <v>177</v>
      </c>
      <c r="B4326" t="s">
        <v>11834</v>
      </c>
      <c r="C4326" s="900" t="s">
        <v>11837</v>
      </c>
      <c r="D4326" s="905" t="s">
        <v>11838</v>
      </c>
    </row>
    <row r="4327" spans="1:4" ht="16.5">
      <c r="A4327" s="663" t="s">
        <v>179</v>
      </c>
      <c r="B4327" t="s">
        <v>11834</v>
      </c>
      <c r="C4327" s="900" t="s">
        <v>11837</v>
      </c>
      <c r="D4327" s="905" t="s">
        <v>11838</v>
      </c>
    </row>
    <row r="4328" spans="1:4" ht="16.5">
      <c r="A4328" s="663" t="s">
        <v>181</v>
      </c>
      <c r="B4328" t="s">
        <v>11834</v>
      </c>
      <c r="C4328" s="900" t="s">
        <v>11837</v>
      </c>
      <c r="D4328" s="905" t="s">
        <v>11838</v>
      </c>
    </row>
    <row r="4329" spans="1:4" ht="16.5">
      <c r="A4329" s="663" t="s">
        <v>10066</v>
      </c>
      <c r="B4329" t="s">
        <v>11834</v>
      </c>
      <c r="C4329" s="900" t="s">
        <v>11837</v>
      </c>
      <c r="D4329" s="905" t="s">
        <v>11838</v>
      </c>
    </row>
    <row r="4330" spans="1:4" ht="16.5">
      <c r="A4330" s="663" t="s">
        <v>199</v>
      </c>
      <c r="B4330" t="s">
        <v>11834</v>
      </c>
      <c r="C4330" s="900" t="s">
        <v>11837</v>
      </c>
      <c r="D4330" s="905" t="s">
        <v>11838</v>
      </c>
    </row>
    <row r="4331" spans="1:4" ht="16.5">
      <c r="A4331" s="663" t="s">
        <v>201</v>
      </c>
      <c r="B4331" t="s">
        <v>11834</v>
      </c>
      <c r="C4331" s="900" t="s">
        <v>11837</v>
      </c>
      <c r="D4331" s="905" t="s">
        <v>11838</v>
      </c>
    </row>
    <row r="4332" spans="1:4" ht="16.5">
      <c r="A4332" s="663" t="s">
        <v>203</v>
      </c>
      <c r="B4332" t="s">
        <v>11834</v>
      </c>
      <c r="C4332" s="900" t="s">
        <v>11837</v>
      </c>
      <c r="D4332" s="905" t="s">
        <v>11838</v>
      </c>
    </row>
    <row r="4333" spans="1:4" ht="16.5">
      <c r="A4333" s="663" t="s">
        <v>205</v>
      </c>
      <c r="B4333" t="s">
        <v>11834</v>
      </c>
      <c r="C4333" s="900" t="s">
        <v>11837</v>
      </c>
      <c r="D4333" s="905" t="s">
        <v>11838</v>
      </c>
    </row>
    <row r="4334" spans="1:4" ht="16.5">
      <c r="A4334" s="663" t="s">
        <v>207</v>
      </c>
      <c r="B4334" t="s">
        <v>11834</v>
      </c>
      <c r="C4334" s="900" t="s">
        <v>11837</v>
      </c>
      <c r="D4334" s="905" t="s">
        <v>11838</v>
      </c>
    </row>
    <row r="4335" spans="1:4" ht="16.5">
      <c r="A4335" s="663" t="s">
        <v>209</v>
      </c>
      <c r="B4335" t="s">
        <v>11834</v>
      </c>
      <c r="C4335" s="900" t="s">
        <v>11837</v>
      </c>
      <c r="D4335" s="905" t="s">
        <v>11838</v>
      </c>
    </row>
    <row r="4336" spans="1:4" ht="16.5">
      <c r="A4336" s="663" t="s">
        <v>211</v>
      </c>
      <c r="B4336" t="s">
        <v>11834</v>
      </c>
      <c r="C4336" s="900" t="s">
        <v>11837</v>
      </c>
      <c r="D4336" s="905" t="s">
        <v>11838</v>
      </c>
    </row>
    <row r="4337" spans="1:4" ht="16.5">
      <c r="A4337" s="663" t="s">
        <v>213</v>
      </c>
      <c r="B4337" t="s">
        <v>11834</v>
      </c>
      <c r="C4337" s="900" t="s">
        <v>11837</v>
      </c>
      <c r="D4337" s="905" t="s">
        <v>11838</v>
      </c>
    </row>
    <row r="4338" spans="1:4" ht="16.5">
      <c r="A4338" s="663" t="s">
        <v>215</v>
      </c>
      <c r="B4338" t="s">
        <v>11834</v>
      </c>
      <c r="C4338" s="900" t="s">
        <v>11837</v>
      </c>
      <c r="D4338" s="905" t="s">
        <v>11838</v>
      </c>
    </row>
    <row r="4339" spans="1:4" ht="16.5">
      <c r="A4339" s="663" t="s">
        <v>218</v>
      </c>
      <c r="B4339" t="s">
        <v>11834</v>
      </c>
      <c r="C4339" s="900" t="s">
        <v>11837</v>
      </c>
      <c r="D4339" s="905" t="s">
        <v>11838</v>
      </c>
    </row>
    <row r="4340" spans="1:4" ht="16.5">
      <c r="A4340" s="663" t="s">
        <v>219</v>
      </c>
      <c r="B4340" t="s">
        <v>11834</v>
      </c>
      <c r="C4340" s="900" t="s">
        <v>11837</v>
      </c>
      <c r="D4340" s="905" t="s">
        <v>11838</v>
      </c>
    </row>
    <row r="4341" spans="1:4" ht="16.5">
      <c r="A4341" s="663" t="s">
        <v>220</v>
      </c>
      <c r="B4341" t="s">
        <v>11834</v>
      </c>
      <c r="C4341" s="900" t="s">
        <v>11837</v>
      </c>
      <c r="D4341" s="905" t="s">
        <v>11838</v>
      </c>
    </row>
    <row r="4342" spans="1:4" ht="16.5">
      <c r="A4342" s="663" t="s">
        <v>221</v>
      </c>
      <c r="B4342" t="s">
        <v>11834</v>
      </c>
      <c r="C4342" s="900" t="s">
        <v>11837</v>
      </c>
      <c r="D4342" s="905" t="s">
        <v>11838</v>
      </c>
    </row>
    <row r="4343" spans="1:4" ht="16.5">
      <c r="A4343" s="663" t="s">
        <v>222</v>
      </c>
      <c r="B4343" t="s">
        <v>11834</v>
      </c>
      <c r="C4343" s="900" t="s">
        <v>11837</v>
      </c>
      <c r="D4343" s="905" t="s">
        <v>11838</v>
      </c>
    </row>
    <row r="4344" spans="1:4" ht="16.5">
      <c r="A4344" s="663" t="s">
        <v>223</v>
      </c>
      <c r="B4344" t="s">
        <v>11834</v>
      </c>
      <c r="C4344" s="900" t="s">
        <v>11837</v>
      </c>
      <c r="D4344" s="905" t="s">
        <v>11838</v>
      </c>
    </row>
    <row r="4345" spans="1:4" ht="16.5">
      <c r="A4345" s="663" t="s">
        <v>224</v>
      </c>
      <c r="B4345" t="s">
        <v>11834</v>
      </c>
      <c r="C4345" s="900" t="s">
        <v>11837</v>
      </c>
      <c r="D4345" s="905" t="s">
        <v>11838</v>
      </c>
    </row>
    <row r="4346" spans="1:4" ht="16.5">
      <c r="A4346" s="663" t="s">
        <v>225</v>
      </c>
      <c r="B4346" t="s">
        <v>11834</v>
      </c>
      <c r="C4346" s="900" t="s">
        <v>11837</v>
      </c>
      <c r="D4346" s="905" t="s">
        <v>11838</v>
      </c>
    </row>
    <row r="4347" spans="1:4" ht="16.5">
      <c r="A4347" s="663" t="s">
        <v>10086</v>
      </c>
      <c r="B4347" t="s">
        <v>11834</v>
      </c>
      <c r="C4347" s="900" t="s">
        <v>11837</v>
      </c>
      <c r="D4347" s="905" t="s">
        <v>11838</v>
      </c>
    </row>
    <row r="4348" spans="1:4" ht="16.5">
      <c r="A4348" s="663" t="s">
        <v>184</v>
      </c>
      <c r="B4348" t="s">
        <v>11834</v>
      </c>
      <c r="C4348" s="900" t="s">
        <v>11837</v>
      </c>
      <c r="D4348" s="905" t="s">
        <v>11838</v>
      </c>
    </row>
    <row r="4349" spans="1:4" ht="16.5">
      <c r="A4349" s="663" t="s">
        <v>186</v>
      </c>
      <c r="B4349" t="s">
        <v>11834</v>
      </c>
      <c r="C4349" s="900" t="s">
        <v>11837</v>
      </c>
      <c r="D4349" s="905" t="s">
        <v>11838</v>
      </c>
    </row>
    <row r="4350" spans="1:4" ht="16.5">
      <c r="A4350" s="663" t="s">
        <v>188</v>
      </c>
      <c r="B4350" t="s">
        <v>11834</v>
      </c>
      <c r="C4350" s="900" t="s">
        <v>11837</v>
      </c>
      <c r="D4350" s="905" t="s">
        <v>11838</v>
      </c>
    </row>
    <row r="4351" spans="1:4" ht="16.5">
      <c r="A4351" s="663" t="s">
        <v>190</v>
      </c>
      <c r="B4351" t="s">
        <v>11834</v>
      </c>
      <c r="C4351" s="900" t="s">
        <v>11837</v>
      </c>
      <c r="D4351" s="905" t="s">
        <v>11838</v>
      </c>
    </row>
    <row r="4352" spans="1:4" ht="16.5">
      <c r="A4352" s="663" t="s">
        <v>192</v>
      </c>
      <c r="B4352" t="s">
        <v>11834</v>
      </c>
      <c r="C4352" s="900" t="s">
        <v>11837</v>
      </c>
      <c r="D4352" s="905" t="s">
        <v>11838</v>
      </c>
    </row>
    <row r="4353" spans="1:4" ht="16.5">
      <c r="A4353" s="663" t="s">
        <v>194</v>
      </c>
      <c r="B4353" t="s">
        <v>11834</v>
      </c>
      <c r="C4353" s="900" t="s">
        <v>11837</v>
      </c>
      <c r="D4353" s="905" t="s">
        <v>11838</v>
      </c>
    </row>
    <row r="4354" spans="1:4" ht="16.5">
      <c r="A4354" s="663" t="s">
        <v>196</v>
      </c>
      <c r="B4354" t="s">
        <v>11834</v>
      </c>
      <c r="C4354" s="900" t="s">
        <v>11837</v>
      </c>
      <c r="D4354" s="905" t="s">
        <v>11838</v>
      </c>
    </row>
    <row r="4355" spans="1:4" ht="16.5">
      <c r="A4355" s="663" t="s">
        <v>10090</v>
      </c>
      <c r="B4355" t="s">
        <v>11834</v>
      </c>
      <c r="C4355" s="900" t="s">
        <v>11837</v>
      </c>
      <c r="D4355" s="905" t="s">
        <v>11838</v>
      </c>
    </row>
    <row r="4356" spans="1:4" ht="16.5">
      <c r="A4356" s="662" t="s">
        <v>674</v>
      </c>
      <c r="C4356" s="900" t="s">
        <v>11837</v>
      </c>
      <c r="D4356" s="905" t="s">
        <v>11838</v>
      </c>
    </row>
    <row r="4357" spans="1:4" ht="16.5">
      <c r="A4357" s="663" t="s">
        <v>10094</v>
      </c>
      <c r="B4357" t="s">
        <v>11835</v>
      </c>
      <c r="C4357" s="900" t="s">
        <v>11837</v>
      </c>
      <c r="D4357" s="905" t="s">
        <v>11838</v>
      </c>
    </row>
    <row r="4358" spans="1:4" ht="16.5">
      <c r="A4358" s="663" t="s">
        <v>10096</v>
      </c>
      <c r="B4358" t="s">
        <v>11835</v>
      </c>
      <c r="C4358" s="900" t="s">
        <v>11837</v>
      </c>
      <c r="D4358" s="905" t="s">
        <v>11838</v>
      </c>
    </row>
    <row r="4359" spans="1:4" ht="16.5">
      <c r="A4359" s="663" t="s">
        <v>10098</v>
      </c>
      <c r="B4359" t="s">
        <v>11835</v>
      </c>
      <c r="C4359" s="900" t="s">
        <v>11837</v>
      </c>
      <c r="D4359" s="905" t="s">
        <v>11838</v>
      </c>
    </row>
    <row r="4360" spans="1:4" ht="16.5">
      <c r="A4360" s="663" t="s">
        <v>10100</v>
      </c>
      <c r="B4360" t="s">
        <v>11835</v>
      </c>
      <c r="C4360" s="900" t="s">
        <v>11837</v>
      </c>
      <c r="D4360" s="905" t="s">
        <v>11838</v>
      </c>
    </row>
    <row r="4361" spans="1:4" ht="16.5">
      <c r="A4361" s="663" t="s">
        <v>10102</v>
      </c>
      <c r="B4361" t="s">
        <v>11835</v>
      </c>
      <c r="C4361" s="900" t="s">
        <v>11837</v>
      </c>
      <c r="D4361" s="905" t="s">
        <v>11838</v>
      </c>
    </row>
    <row r="4362" spans="1:4" ht="16.5">
      <c r="A4362" s="663" t="s">
        <v>10104</v>
      </c>
      <c r="B4362" t="s">
        <v>11835</v>
      </c>
      <c r="C4362" s="900" t="s">
        <v>11837</v>
      </c>
      <c r="D4362" s="905" t="s">
        <v>11838</v>
      </c>
    </row>
    <row r="4363" spans="1:4" ht="16.5">
      <c r="A4363" s="663" t="s">
        <v>10106</v>
      </c>
      <c r="B4363" t="s">
        <v>11835</v>
      </c>
      <c r="C4363" s="900" t="s">
        <v>11837</v>
      </c>
      <c r="D4363" s="905" t="s">
        <v>11838</v>
      </c>
    </row>
    <row r="4364" spans="1:4" ht="16.5">
      <c r="A4364" s="663" t="s">
        <v>10108</v>
      </c>
      <c r="B4364" t="s">
        <v>11835</v>
      </c>
      <c r="C4364" s="900" t="s">
        <v>11837</v>
      </c>
      <c r="D4364" s="905" t="s">
        <v>11838</v>
      </c>
    </row>
    <row r="4365" spans="1:4" ht="16.5">
      <c r="A4365" s="663" t="s">
        <v>10110</v>
      </c>
      <c r="B4365" t="s">
        <v>11835</v>
      </c>
      <c r="C4365" s="900" t="s">
        <v>11837</v>
      </c>
      <c r="D4365" s="905" t="s">
        <v>11838</v>
      </c>
    </row>
    <row r="4366" spans="1:4" ht="16.5">
      <c r="A4366" s="663" t="s">
        <v>10112</v>
      </c>
      <c r="B4366" t="s">
        <v>11835</v>
      </c>
      <c r="C4366" s="900" t="s">
        <v>11837</v>
      </c>
      <c r="D4366" s="905" t="s">
        <v>11838</v>
      </c>
    </row>
    <row r="4367" spans="1:4" ht="16.5">
      <c r="A4367" s="663" t="s">
        <v>10114</v>
      </c>
      <c r="B4367" t="s">
        <v>11835</v>
      </c>
      <c r="C4367" s="900" t="s">
        <v>11837</v>
      </c>
      <c r="D4367" s="905" t="s">
        <v>11838</v>
      </c>
    </row>
    <row r="4368" spans="1:4" ht="16.5">
      <c r="A4368" s="663" t="s">
        <v>10116</v>
      </c>
      <c r="B4368" t="s">
        <v>11835</v>
      </c>
      <c r="C4368" s="900" t="s">
        <v>11837</v>
      </c>
      <c r="D4368" s="905" t="s">
        <v>11838</v>
      </c>
    </row>
    <row r="4369" spans="1:4" ht="16.5">
      <c r="A4369" s="663" t="s">
        <v>10118</v>
      </c>
      <c r="B4369" t="s">
        <v>11835</v>
      </c>
      <c r="C4369" s="900" t="s">
        <v>11837</v>
      </c>
      <c r="D4369" s="905" t="s">
        <v>11838</v>
      </c>
    </row>
    <row r="4370" spans="1:4" ht="16.5">
      <c r="A4370" s="663" t="s">
        <v>10120</v>
      </c>
      <c r="B4370" t="s">
        <v>11835</v>
      </c>
      <c r="C4370" s="900" t="s">
        <v>11837</v>
      </c>
      <c r="D4370" s="905" t="s">
        <v>11838</v>
      </c>
    </row>
    <row r="4371" spans="1:4" ht="16.5">
      <c r="A4371" s="663" t="s">
        <v>10122</v>
      </c>
      <c r="B4371" t="s">
        <v>11835</v>
      </c>
      <c r="C4371" s="900" t="s">
        <v>11837</v>
      </c>
      <c r="D4371" s="905" t="s">
        <v>11838</v>
      </c>
    </row>
    <row r="4372" spans="1:4" ht="16.5">
      <c r="A4372" s="663" t="s">
        <v>10124</v>
      </c>
      <c r="B4372" t="s">
        <v>11835</v>
      </c>
      <c r="C4372" s="900" t="s">
        <v>11837</v>
      </c>
      <c r="D4372" s="905" t="s">
        <v>11838</v>
      </c>
    </row>
    <row r="4373" spans="1:4" ht="16.5">
      <c r="A4373" s="663" t="s">
        <v>10126</v>
      </c>
      <c r="B4373" t="s">
        <v>11835</v>
      </c>
      <c r="C4373" s="900" t="s">
        <v>11837</v>
      </c>
      <c r="D4373" s="905" t="s">
        <v>11838</v>
      </c>
    </row>
    <row r="4374" spans="1:4" ht="16.5">
      <c r="A4374" s="663" t="s">
        <v>10128</v>
      </c>
      <c r="B4374" t="s">
        <v>11835</v>
      </c>
      <c r="C4374" s="900" t="s">
        <v>11837</v>
      </c>
      <c r="D4374" s="905" t="s">
        <v>11838</v>
      </c>
    </row>
    <row r="4375" spans="1:4" ht="16.5">
      <c r="A4375" s="663" t="s">
        <v>10130</v>
      </c>
      <c r="B4375" t="s">
        <v>11835</v>
      </c>
      <c r="C4375" s="900" t="s">
        <v>11837</v>
      </c>
      <c r="D4375" s="905" t="s">
        <v>11838</v>
      </c>
    </row>
    <row r="4376" spans="1:4" ht="16.5">
      <c r="A4376" s="663" t="s">
        <v>10132</v>
      </c>
      <c r="B4376" t="s">
        <v>11835</v>
      </c>
      <c r="C4376" s="900" t="s">
        <v>11837</v>
      </c>
      <c r="D4376" s="905" t="s">
        <v>11838</v>
      </c>
    </row>
    <row r="4377" spans="1:4" ht="16.5">
      <c r="A4377" s="663" t="s">
        <v>10134</v>
      </c>
      <c r="B4377" t="s">
        <v>11835</v>
      </c>
      <c r="C4377" s="900" t="s">
        <v>11837</v>
      </c>
      <c r="D4377" s="905" t="s">
        <v>11838</v>
      </c>
    </row>
    <row r="4378" spans="1:4" ht="16.5">
      <c r="A4378" s="663" t="s">
        <v>10136</v>
      </c>
      <c r="B4378" t="s">
        <v>11835</v>
      </c>
      <c r="C4378" s="900" t="s">
        <v>11837</v>
      </c>
      <c r="D4378" s="905" t="s">
        <v>11838</v>
      </c>
    </row>
    <row r="4379" spans="1:4" ht="16.5">
      <c r="A4379" s="663" t="s">
        <v>10138</v>
      </c>
      <c r="B4379" t="s">
        <v>11835</v>
      </c>
      <c r="C4379" s="900" t="s">
        <v>11837</v>
      </c>
      <c r="D4379" s="905" t="s">
        <v>11838</v>
      </c>
    </row>
    <row r="4380" spans="1:4" ht="16.5">
      <c r="A4380" s="663" t="s">
        <v>10140</v>
      </c>
      <c r="B4380" t="s">
        <v>11835</v>
      </c>
      <c r="C4380" s="900" t="s">
        <v>11837</v>
      </c>
      <c r="D4380" s="905" t="s">
        <v>11838</v>
      </c>
    </row>
    <row r="4381" spans="1:4" ht="16.5">
      <c r="A4381" s="663" t="s">
        <v>10142</v>
      </c>
      <c r="B4381" t="s">
        <v>11835</v>
      </c>
      <c r="C4381" s="900" t="s">
        <v>11837</v>
      </c>
      <c r="D4381" s="905" t="s">
        <v>11838</v>
      </c>
    </row>
    <row r="4382" spans="1:4" ht="16.5">
      <c r="A4382" s="663" t="s">
        <v>10144</v>
      </c>
      <c r="B4382" t="s">
        <v>11835</v>
      </c>
      <c r="C4382" s="900" t="s">
        <v>11837</v>
      </c>
      <c r="D4382" s="905" t="s">
        <v>11838</v>
      </c>
    </row>
    <row r="4383" spans="1:4" ht="16.5">
      <c r="A4383" s="663" t="s">
        <v>10146</v>
      </c>
      <c r="B4383" t="s">
        <v>11835</v>
      </c>
      <c r="C4383" s="900" t="s">
        <v>11837</v>
      </c>
      <c r="D4383" s="905" t="s">
        <v>11838</v>
      </c>
    </row>
    <row r="4384" spans="1:4" ht="16.5">
      <c r="A4384" s="663" t="s">
        <v>10148</v>
      </c>
      <c r="B4384" t="s">
        <v>11835</v>
      </c>
      <c r="C4384" s="900" t="s">
        <v>11837</v>
      </c>
      <c r="D4384" s="905" t="s">
        <v>11838</v>
      </c>
    </row>
    <row r="4385" spans="1:4" ht="16.5">
      <c r="A4385" s="663" t="s">
        <v>10150</v>
      </c>
      <c r="B4385" t="s">
        <v>11835</v>
      </c>
      <c r="C4385" s="900" t="s">
        <v>11837</v>
      </c>
      <c r="D4385" s="905" t="s">
        <v>11838</v>
      </c>
    </row>
    <row r="4386" spans="1:4" ht="16.5">
      <c r="A4386" s="663" t="s">
        <v>10152</v>
      </c>
      <c r="B4386" t="s">
        <v>11835</v>
      </c>
      <c r="C4386" s="900" t="s">
        <v>11837</v>
      </c>
      <c r="D4386" s="905" t="s">
        <v>11838</v>
      </c>
    </row>
    <row r="4387" spans="1:4" ht="16.5">
      <c r="A4387" s="663" t="s">
        <v>10154</v>
      </c>
      <c r="B4387" t="s">
        <v>11835</v>
      </c>
      <c r="C4387" s="900" t="s">
        <v>11837</v>
      </c>
      <c r="D4387" s="905" t="s">
        <v>11838</v>
      </c>
    </row>
    <row r="4388" spans="1:4" ht="16.5">
      <c r="A4388" s="663" t="s">
        <v>10156</v>
      </c>
      <c r="B4388" t="s">
        <v>11835</v>
      </c>
      <c r="C4388" s="900" t="s">
        <v>11837</v>
      </c>
      <c r="D4388" s="905" t="s">
        <v>11838</v>
      </c>
    </row>
    <row r="4389" spans="1:4" ht="16.5">
      <c r="A4389" s="663" t="s">
        <v>10158</v>
      </c>
      <c r="B4389" t="s">
        <v>11835</v>
      </c>
      <c r="C4389" s="900" t="s">
        <v>11837</v>
      </c>
      <c r="D4389" s="905" t="s">
        <v>11838</v>
      </c>
    </row>
    <row r="4390" spans="1:4" ht="16.5">
      <c r="A4390" s="663" t="s">
        <v>10160</v>
      </c>
      <c r="B4390" t="s">
        <v>11835</v>
      </c>
      <c r="C4390" s="900" t="s">
        <v>11837</v>
      </c>
      <c r="D4390" s="905" t="s">
        <v>11838</v>
      </c>
    </row>
    <row r="4391" spans="1:4" ht="16.5">
      <c r="A4391" s="663" t="s">
        <v>10162</v>
      </c>
      <c r="B4391" t="s">
        <v>11835</v>
      </c>
      <c r="C4391" s="900" t="s">
        <v>11837</v>
      </c>
      <c r="D4391" s="905" t="s">
        <v>11838</v>
      </c>
    </row>
    <row r="4392" spans="1:4" ht="16.5">
      <c r="A4392" s="663" t="s">
        <v>10164</v>
      </c>
      <c r="B4392" t="s">
        <v>11835</v>
      </c>
      <c r="C4392" s="900" t="s">
        <v>11837</v>
      </c>
      <c r="D4392" s="905" t="s">
        <v>11838</v>
      </c>
    </row>
    <row r="4393" spans="1:4" ht="16.5">
      <c r="A4393" s="663" t="s">
        <v>10166</v>
      </c>
      <c r="B4393" t="s">
        <v>11835</v>
      </c>
      <c r="C4393" s="900" t="s">
        <v>11837</v>
      </c>
      <c r="D4393" s="905" t="s">
        <v>11838</v>
      </c>
    </row>
    <row r="4394" spans="1:4" ht="16.5">
      <c r="A4394" s="663" t="s">
        <v>10168</v>
      </c>
      <c r="B4394" t="s">
        <v>11835</v>
      </c>
      <c r="C4394" s="900" t="s">
        <v>11837</v>
      </c>
      <c r="D4394" s="905" t="s">
        <v>11838</v>
      </c>
    </row>
    <row r="4395" spans="1:4" ht="16.5">
      <c r="A4395" s="663" t="s">
        <v>10170</v>
      </c>
      <c r="B4395" t="s">
        <v>11835</v>
      </c>
      <c r="C4395" s="900" t="s">
        <v>11837</v>
      </c>
      <c r="D4395" s="905" t="s">
        <v>11838</v>
      </c>
    </row>
    <row r="4396" spans="1:4" ht="16.5">
      <c r="A4396" s="663" t="s">
        <v>10172</v>
      </c>
      <c r="B4396" t="s">
        <v>11835</v>
      </c>
      <c r="C4396" s="900" t="s">
        <v>11837</v>
      </c>
      <c r="D4396" s="905" t="s">
        <v>11838</v>
      </c>
    </row>
    <row r="4397" spans="1:4" ht="16.5">
      <c r="A4397" s="663" t="s">
        <v>10174</v>
      </c>
      <c r="B4397" t="s">
        <v>11835</v>
      </c>
      <c r="C4397" s="900" t="s">
        <v>11837</v>
      </c>
      <c r="D4397" s="905" t="s">
        <v>11838</v>
      </c>
    </row>
    <row r="4398" spans="1:4" ht="16.5">
      <c r="A4398" s="663" t="s">
        <v>10176</v>
      </c>
      <c r="B4398" t="s">
        <v>11835</v>
      </c>
      <c r="C4398" s="900" t="s">
        <v>11837</v>
      </c>
      <c r="D4398" s="905" t="s">
        <v>11838</v>
      </c>
    </row>
    <row r="4399" spans="1:4" ht="16.5">
      <c r="A4399" s="663" t="s">
        <v>10178</v>
      </c>
      <c r="B4399" t="s">
        <v>11835</v>
      </c>
      <c r="C4399" s="900" t="s">
        <v>11837</v>
      </c>
      <c r="D4399" s="905" t="s">
        <v>11838</v>
      </c>
    </row>
    <row r="4400" spans="1:4" ht="16.5">
      <c r="A4400" s="663" t="s">
        <v>10180</v>
      </c>
      <c r="B4400" t="s">
        <v>11835</v>
      </c>
      <c r="C4400" s="900" t="s">
        <v>11837</v>
      </c>
      <c r="D4400" s="905" t="s">
        <v>11838</v>
      </c>
    </row>
    <row r="4401" spans="1:4" ht="16.5">
      <c r="A4401" s="663" t="s">
        <v>10182</v>
      </c>
      <c r="B4401" t="s">
        <v>11835</v>
      </c>
      <c r="C4401" s="900" t="s">
        <v>11837</v>
      </c>
      <c r="D4401" s="905" t="s">
        <v>11838</v>
      </c>
    </row>
    <row r="4402" spans="1:4" ht="16.5">
      <c r="A4402" s="663" t="s">
        <v>10184</v>
      </c>
      <c r="B4402" t="s">
        <v>11835</v>
      </c>
      <c r="C4402" s="900" t="s">
        <v>11837</v>
      </c>
      <c r="D4402" s="905" t="s">
        <v>11838</v>
      </c>
    </row>
    <row r="4403" spans="1:4" ht="16.5">
      <c r="A4403" s="663" t="s">
        <v>10186</v>
      </c>
      <c r="B4403" t="s">
        <v>11835</v>
      </c>
      <c r="C4403" s="900" t="s">
        <v>11837</v>
      </c>
      <c r="D4403" s="905" t="s">
        <v>11838</v>
      </c>
    </row>
    <row r="4404" spans="1:4" ht="16.5">
      <c r="A4404" s="663" t="s">
        <v>10188</v>
      </c>
      <c r="B4404" t="s">
        <v>11835</v>
      </c>
      <c r="C4404" s="900" t="s">
        <v>11837</v>
      </c>
      <c r="D4404" s="905" t="s">
        <v>11838</v>
      </c>
    </row>
    <row r="4405" spans="1:4" ht="16.5">
      <c r="A4405" s="663" t="s">
        <v>10190</v>
      </c>
      <c r="B4405" t="s">
        <v>11835</v>
      </c>
      <c r="C4405" s="900" t="s">
        <v>11837</v>
      </c>
      <c r="D4405" s="905" t="s">
        <v>11838</v>
      </c>
    </row>
    <row r="4406" spans="1:4" ht="16.5">
      <c r="A4406" s="663" t="s">
        <v>10192</v>
      </c>
      <c r="B4406" t="s">
        <v>11835</v>
      </c>
      <c r="C4406" s="900" t="s">
        <v>11837</v>
      </c>
      <c r="D4406" s="905" t="s">
        <v>11838</v>
      </c>
    </row>
    <row r="4407" spans="1:4" ht="16.5">
      <c r="A4407" s="663" t="s">
        <v>10194</v>
      </c>
      <c r="B4407" t="s">
        <v>11835</v>
      </c>
      <c r="C4407" s="900" t="s">
        <v>11837</v>
      </c>
      <c r="D4407" s="905" t="s">
        <v>11838</v>
      </c>
    </row>
    <row r="4408" spans="1:4" ht="16.5">
      <c r="A4408" s="663" t="s">
        <v>10196</v>
      </c>
      <c r="B4408" t="s">
        <v>11835</v>
      </c>
      <c r="C4408" s="900" t="s">
        <v>11837</v>
      </c>
      <c r="D4408" s="905" t="s">
        <v>11838</v>
      </c>
    </row>
    <row r="4409" spans="1:4" ht="16.5">
      <c r="A4409" s="663" t="s">
        <v>10198</v>
      </c>
      <c r="B4409" t="s">
        <v>11835</v>
      </c>
      <c r="C4409" s="900" t="s">
        <v>11837</v>
      </c>
      <c r="D4409" s="905" t="s">
        <v>11838</v>
      </c>
    </row>
    <row r="4410" spans="1:4" ht="16.5">
      <c r="A4410" s="663" t="s">
        <v>10200</v>
      </c>
      <c r="B4410" t="s">
        <v>11835</v>
      </c>
      <c r="C4410" s="900" t="s">
        <v>11837</v>
      </c>
      <c r="D4410" s="905" t="s">
        <v>11838</v>
      </c>
    </row>
    <row r="4411" spans="1:4" ht="16.5">
      <c r="A4411" s="663" t="s">
        <v>10202</v>
      </c>
      <c r="B4411" t="s">
        <v>11835</v>
      </c>
      <c r="C4411" s="900" t="s">
        <v>11837</v>
      </c>
      <c r="D4411" s="905" t="s">
        <v>11838</v>
      </c>
    </row>
    <row r="4412" spans="1:4" ht="16.5">
      <c r="A4412" s="663" t="s">
        <v>10204</v>
      </c>
      <c r="B4412" t="s">
        <v>11835</v>
      </c>
      <c r="C4412" s="900" t="s">
        <v>11837</v>
      </c>
      <c r="D4412" s="905" t="s">
        <v>11838</v>
      </c>
    </row>
    <row r="4413" spans="1:4" ht="16.5">
      <c r="A4413" s="663" t="s">
        <v>10206</v>
      </c>
      <c r="B4413" t="s">
        <v>11835</v>
      </c>
      <c r="C4413" s="900" t="s">
        <v>11837</v>
      </c>
      <c r="D4413" s="905" t="s">
        <v>11838</v>
      </c>
    </row>
    <row r="4414" spans="1:4" ht="16.5">
      <c r="A4414" s="663" t="s">
        <v>10208</v>
      </c>
      <c r="B4414" t="s">
        <v>11835</v>
      </c>
      <c r="C4414" s="900" t="s">
        <v>11837</v>
      </c>
      <c r="D4414" s="905" t="s">
        <v>11838</v>
      </c>
    </row>
    <row r="4415" spans="1:4" ht="16.5">
      <c r="A4415" s="663" t="s">
        <v>10210</v>
      </c>
      <c r="B4415" t="s">
        <v>11835</v>
      </c>
      <c r="C4415" s="900" t="s">
        <v>11837</v>
      </c>
      <c r="D4415" s="905" t="s">
        <v>11838</v>
      </c>
    </row>
    <row r="4416" spans="1:4" ht="16.5">
      <c r="A4416" s="663" t="s">
        <v>10212</v>
      </c>
      <c r="B4416" t="s">
        <v>11835</v>
      </c>
      <c r="C4416" s="900" t="s">
        <v>11837</v>
      </c>
      <c r="D4416" s="905" t="s">
        <v>11838</v>
      </c>
    </row>
    <row r="4417" spans="1:4" ht="16.5">
      <c r="A4417" s="663" t="s">
        <v>10214</v>
      </c>
      <c r="B4417" t="s">
        <v>11835</v>
      </c>
      <c r="C4417" s="900" t="s">
        <v>11837</v>
      </c>
      <c r="D4417" s="905" t="s">
        <v>11838</v>
      </c>
    </row>
    <row r="4418" spans="1:4" ht="16.5">
      <c r="A4418" s="663" t="s">
        <v>10216</v>
      </c>
      <c r="B4418" t="s">
        <v>11835</v>
      </c>
      <c r="C4418" s="900" t="s">
        <v>11837</v>
      </c>
      <c r="D4418" s="905" t="s">
        <v>11838</v>
      </c>
    </row>
    <row r="4419" spans="1:4" ht="16.5">
      <c r="A4419" s="663" t="s">
        <v>10218</v>
      </c>
      <c r="B4419" t="s">
        <v>11835</v>
      </c>
      <c r="C4419" s="900" t="s">
        <v>11837</v>
      </c>
      <c r="D4419" s="905" t="s">
        <v>11838</v>
      </c>
    </row>
    <row r="4420" spans="1:4" ht="16.5">
      <c r="A4420" s="663" t="s">
        <v>10220</v>
      </c>
      <c r="B4420" t="s">
        <v>11835</v>
      </c>
      <c r="C4420" s="900" t="s">
        <v>11837</v>
      </c>
      <c r="D4420" s="905" t="s">
        <v>11838</v>
      </c>
    </row>
    <row r="4421" spans="1:4" ht="16.5">
      <c r="A4421" s="663" t="s">
        <v>10222</v>
      </c>
      <c r="B4421" t="s">
        <v>11835</v>
      </c>
      <c r="C4421" s="900" t="s">
        <v>11837</v>
      </c>
      <c r="D4421" s="905" t="s">
        <v>11838</v>
      </c>
    </row>
    <row r="4422" spans="1:4" ht="16.5">
      <c r="A4422" s="663" t="s">
        <v>10224</v>
      </c>
      <c r="B4422" t="s">
        <v>11835</v>
      </c>
      <c r="C4422" s="900" t="s">
        <v>11837</v>
      </c>
      <c r="D4422" s="905" t="s">
        <v>11838</v>
      </c>
    </row>
    <row r="4423" spans="1:4" ht="16.5">
      <c r="A4423" s="663" t="s">
        <v>10226</v>
      </c>
      <c r="B4423" t="s">
        <v>11835</v>
      </c>
      <c r="C4423" s="900" t="s">
        <v>11837</v>
      </c>
      <c r="D4423" s="905" t="s">
        <v>11838</v>
      </c>
    </row>
    <row r="4424" spans="1:4" ht="16.5">
      <c r="A4424" s="663" t="s">
        <v>10228</v>
      </c>
      <c r="B4424" t="s">
        <v>11835</v>
      </c>
      <c r="C4424" s="900" t="s">
        <v>11837</v>
      </c>
      <c r="D4424" s="905" t="s">
        <v>11838</v>
      </c>
    </row>
    <row r="4425" spans="1:4" ht="16.5">
      <c r="A4425" s="663" t="s">
        <v>10230</v>
      </c>
      <c r="B4425" t="s">
        <v>11835</v>
      </c>
      <c r="C4425" s="900" t="s">
        <v>11837</v>
      </c>
      <c r="D4425" s="905" t="s">
        <v>11838</v>
      </c>
    </row>
    <row r="4426" spans="1:4" ht="16.5">
      <c r="A4426" s="663" t="s">
        <v>10232</v>
      </c>
      <c r="B4426" t="s">
        <v>11835</v>
      </c>
      <c r="C4426" s="900" t="s">
        <v>11837</v>
      </c>
      <c r="D4426" s="905" t="s">
        <v>11838</v>
      </c>
    </row>
    <row r="4427" spans="1:4" ht="16.5">
      <c r="A4427" s="663" t="s">
        <v>10234</v>
      </c>
      <c r="B4427" t="s">
        <v>11835</v>
      </c>
      <c r="C4427" s="900" t="s">
        <v>11837</v>
      </c>
      <c r="D4427" s="905" t="s">
        <v>11838</v>
      </c>
    </row>
    <row r="4428" spans="1:4" ht="16.5">
      <c r="A4428" s="663" t="s">
        <v>10236</v>
      </c>
      <c r="B4428" t="s">
        <v>11835</v>
      </c>
      <c r="C4428" s="900" t="s">
        <v>11837</v>
      </c>
      <c r="D4428" s="905" t="s">
        <v>11838</v>
      </c>
    </row>
    <row r="4429" spans="1:4" ht="16.5">
      <c r="A4429" s="663" t="s">
        <v>10238</v>
      </c>
      <c r="B4429" t="s">
        <v>11835</v>
      </c>
      <c r="C4429" s="900" t="s">
        <v>11837</v>
      </c>
      <c r="D4429" s="905" t="s">
        <v>11838</v>
      </c>
    </row>
    <row r="4430" spans="1:4" ht="16.5">
      <c r="A4430" s="663" t="s">
        <v>10240</v>
      </c>
      <c r="B4430" t="s">
        <v>11835</v>
      </c>
      <c r="C4430" s="900" t="s">
        <v>11837</v>
      </c>
      <c r="D4430" s="905" t="s">
        <v>11838</v>
      </c>
    </row>
    <row r="4431" spans="1:4" ht="16.5">
      <c r="A4431" s="663" t="s">
        <v>10242</v>
      </c>
      <c r="B4431" t="s">
        <v>11835</v>
      </c>
      <c r="C4431" s="900" t="s">
        <v>11837</v>
      </c>
      <c r="D4431" s="905" t="s">
        <v>11838</v>
      </c>
    </row>
    <row r="4432" spans="1:4" ht="16.5">
      <c r="A4432" s="663" t="s">
        <v>10244</v>
      </c>
      <c r="B4432" t="s">
        <v>11835</v>
      </c>
      <c r="C4432" s="900" t="s">
        <v>11837</v>
      </c>
      <c r="D4432" s="905" t="s">
        <v>11838</v>
      </c>
    </row>
    <row r="4433" spans="1:4" ht="16.5">
      <c r="A4433" s="663" t="s">
        <v>10246</v>
      </c>
      <c r="B4433" t="s">
        <v>11835</v>
      </c>
      <c r="C4433" s="900" t="s">
        <v>11837</v>
      </c>
      <c r="D4433" s="905" t="s">
        <v>11838</v>
      </c>
    </row>
    <row r="4434" spans="1:4" ht="16.5">
      <c r="A4434" s="663" t="s">
        <v>10248</v>
      </c>
      <c r="B4434" t="s">
        <v>11835</v>
      </c>
      <c r="C4434" s="900" t="s">
        <v>11837</v>
      </c>
      <c r="D4434" s="905" t="s">
        <v>11838</v>
      </c>
    </row>
    <row r="4435" spans="1:4" ht="16.5">
      <c r="A4435" s="663" t="s">
        <v>10250</v>
      </c>
      <c r="B4435" t="s">
        <v>11835</v>
      </c>
      <c r="C4435" s="900" t="s">
        <v>11837</v>
      </c>
      <c r="D4435" s="905" t="s">
        <v>11838</v>
      </c>
    </row>
    <row r="4436" spans="1:4" ht="16.5">
      <c r="A4436" s="663" t="s">
        <v>10252</v>
      </c>
      <c r="B4436" t="s">
        <v>11835</v>
      </c>
      <c r="C4436" s="900" t="s">
        <v>11837</v>
      </c>
      <c r="D4436" s="905" t="s">
        <v>11838</v>
      </c>
    </row>
    <row r="4437" spans="1:4" ht="16.5">
      <c r="A4437" s="663" t="s">
        <v>10254</v>
      </c>
      <c r="B4437" t="s">
        <v>11835</v>
      </c>
      <c r="C4437" s="900" t="s">
        <v>11837</v>
      </c>
      <c r="D4437" s="905" t="s">
        <v>11838</v>
      </c>
    </row>
    <row r="4438" spans="1:4" ht="16.5">
      <c r="A4438" s="663" t="s">
        <v>10256</v>
      </c>
      <c r="B4438" t="s">
        <v>11835</v>
      </c>
      <c r="C4438" s="900" t="s">
        <v>11837</v>
      </c>
      <c r="D4438" s="905" t="s">
        <v>11838</v>
      </c>
    </row>
    <row r="4439" spans="1:4" ht="16.5">
      <c r="A4439" s="663" t="s">
        <v>10258</v>
      </c>
      <c r="B4439" t="s">
        <v>11835</v>
      </c>
      <c r="C4439" s="900" t="s">
        <v>11837</v>
      </c>
      <c r="D4439" s="905" t="s">
        <v>11838</v>
      </c>
    </row>
    <row r="4440" spans="1:4" ht="16.5">
      <c r="A4440" s="663" t="s">
        <v>10260</v>
      </c>
      <c r="B4440" t="s">
        <v>11835</v>
      </c>
      <c r="C4440" s="900" t="s">
        <v>11837</v>
      </c>
      <c r="D4440" s="905" t="s">
        <v>11838</v>
      </c>
    </row>
    <row r="4441" spans="1:4" ht="16.5">
      <c r="A4441" s="663" t="s">
        <v>10262</v>
      </c>
      <c r="B4441" t="s">
        <v>11835</v>
      </c>
      <c r="C4441" s="900" t="s">
        <v>11837</v>
      </c>
      <c r="D4441" s="905" t="s">
        <v>11838</v>
      </c>
    </row>
    <row r="4442" spans="1:4" ht="16.5">
      <c r="A4442" s="663" t="s">
        <v>10264</v>
      </c>
      <c r="B4442" t="s">
        <v>11835</v>
      </c>
      <c r="C4442" s="900" t="s">
        <v>11837</v>
      </c>
      <c r="D4442" s="905" t="s">
        <v>11838</v>
      </c>
    </row>
    <row r="4443" spans="1:4" ht="16.5">
      <c r="A4443" s="663" t="s">
        <v>10266</v>
      </c>
      <c r="B4443" t="s">
        <v>11835</v>
      </c>
      <c r="C4443" s="900" t="s">
        <v>11837</v>
      </c>
      <c r="D4443" s="905" t="s">
        <v>11838</v>
      </c>
    </row>
    <row r="4444" spans="1:4" ht="16.5">
      <c r="A4444" s="663" t="s">
        <v>10268</v>
      </c>
      <c r="B4444" t="s">
        <v>11835</v>
      </c>
      <c r="C4444" s="900" t="s">
        <v>11837</v>
      </c>
      <c r="D4444" s="905" t="s">
        <v>11838</v>
      </c>
    </row>
    <row r="4445" spans="1:4" ht="16.5">
      <c r="A4445" s="663" t="s">
        <v>10270</v>
      </c>
      <c r="B4445" t="s">
        <v>11835</v>
      </c>
      <c r="C4445" s="900" t="s">
        <v>11837</v>
      </c>
      <c r="D4445" s="905" t="s">
        <v>11838</v>
      </c>
    </row>
    <row r="4446" spans="1:4" ht="16.5">
      <c r="A4446" s="663" t="s">
        <v>10272</v>
      </c>
      <c r="B4446" t="s">
        <v>11835</v>
      </c>
      <c r="C4446" s="900" t="s">
        <v>11837</v>
      </c>
      <c r="D4446" s="905" t="s">
        <v>11838</v>
      </c>
    </row>
    <row r="4447" spans="1:4" ht="16.5">
      <c r="A4447" s="663" t="s">
        <v>10274</v>
      </c>
      <c r="B4447" t="s">
        <v>11835</v>
      </c>
      <c r="C4447" s="900" t="s">
        <v>11837</v>
      </c>
      <c r="D4447" s="905" t="s">
        <v>11838</v>
      </c>
    </row>
    <row r="4448" spans="1:4" ht="16.5">
      <c r="A4448" s="663" t="s">
        <v>10276</v>
      </c>
      <c r="B4448" t="s">
        <v>11835</v>
      </c>
      <c r="C4448" s="900" t="s">
        <v>11837</v>
      </c>
      <c r="D4448" s="905" t="s">
        <v>11838</v>
      </c>
    </row>
    <row r="4449" spans="1:4" ht="16.5">
      <c r="A4449" s="663" t="s">
        <v>10278</v>
      </c>
      <c r="B4449" t="s">
        <v>11835</v>
      </c>
      <c r="C4449" s="900" t="s">
        <v>11837</v>
      </c>
      <c r="D4449" s="905" t="s">
        <v>11838</v>
      </c>
    </row>
    <row r="4450" spans="1:4" ht="16.5">
      <c r="A4450" s="663" t="s">
        <v>10280</v>
      </c>
      <c r="B4450" t="s">
        <v>11835</v>
      </c>
      <c r="C4450" s="900" t="s">
        <v>11837</v>
      </c>
      <c r="D4450" s="905" t="s">
        <v>11838</v>
      </c>
    </row>
    <row r="4451" spans="1:4" ht="16.5">
      <c r="A4451" s="663" t="s">
        <v>10282</v>
      </c>
      <c r="B4451" t="s">
        <v>11835</v>
      </c>
      <c r="C4451" s="900" t="s">
        <v>11837</v>
      </c>
      <c r="D4451" s="905" t="s">
        <v>11838</v>
      </c>
    </row>
    <row r="4452" spans="1:4" ht="16.5">
      <c r="A4452" s="663" t="s">
        <v>10284</v>
      </c>
      <c r="B4452" t="s">
        <v>11835</v>
      </c>
      <c r="C4452" s="900" t="s">
        <v>11837</v>
      </c>
      <c r="D4452" s="905" t="s">
        <v>11838</v>
      </c>
    </row>
    <row r="4453" spans="1:4" ht="16.5">
      <c r="A4453" s="663" t="s">
        <v>10286</v>
      </c>
      <c r="B4453" t="s">
        <v>11835</v>
      </c>
      <c r="C4453" s="900" t="s">
        <v>11837</v>
      </c>
      <c r="D4453" s="905" t="s">
        <v>11838</v>
      </c>
    </row>
    <row r="4454" spans="1:4" ht="16.5">
      <c r="A4454" s="663" t="s">
        <v>10288</v>
      </c>
      <c r="B4454" t="s">
        <v>11835</v>
      </c>
      <c r="C4454" s="900" t="s">
        <v>11837</v>
      </c>
      <c r="D4454" s="905" t="s">
        <v>11838</v>
      </c>
    </row>
    <row r="4455" spans="1:4" ht="16.5">
      <c r="A4455" s="663" t="s">
        <v>10290</v>
      </c>
      <c r="B4455" t="s">
        <v>11835</v>
      </c>
      <c r="C4455" s="900" t="s">
        <v>11837</v>
      </c>
      <c r="D4455" s="905" t="s">
        <v>11838</v>
      </c>
    </row>
    <row r="4456" spans="1:4" ht="16.5">
      <c r="A4456" s="663" t="s">
        <v>10292</v>
      </c>
      <c r="B4456" t="s">
        <v>11835</v>
      </c>
      <c r="C4456" s="900" t="s">
        <v>11837</v>
      </c>
      <c r="D4456" s="905" t="s">
        <v>11838</v>
      </c>
    </row>
    <row r="4457" spans="1:4" ht="16.5">
      <c r="A4457" s="663" t="s">
        <v>10294</v>
      </c>
      <c r="B4457" t="s">
        <v>11835</v>
      </c>
      <c r="C4457" s="900" t="s">
        <v>11837</v>
      </c>
      <c r="D4457" s="905" t="s">
        <v>11838</v>
      </c>
    </row>
    <row r="4458" spans="1:4" ht="16.5">
      <c r="A4458" s="663" t="s">
        <v>10296</v>
      </c>
      <c r="B4458" t="s">
        <v>11835</v>
      </c>
      <c r="C4458" s="900" t="s">
        <v>11837</v>
      </c>
      <c r="D4458" s="905" t="s">
        <v>11838</v>
      </c>
    </row>
    <row r="4459" spans="1:4" ht="16.5">
      <c r="A4459" s="663" t="s">
        <v>10298</v>
      </c>
      <c r="B4459" t="s">
        <v>11835</v>
      </c>
      <c r="C4459" s="900" t="s">
        <v>11837</v>
      </c>
      <c r="D4459" s="905" t="s">
        <v>11838</v>
      </c>
    </row>
    <row r="4460" spans="1:4" ht="16.5">
      <c r="A4460" s="663" t="s">
        <v>10300</v>
      </c>
      <c r="B4460" t="s">
        <v>11835</v>
      </c>
      <c r="C4460" s="900" t="s">
        <v>11837</v>
      </c>
      <c r="D4460" s="905" t="s">
        <v>11838</v>
      </c>
    </row>
    <row r="4461" spans="1:4" ht="16.5">
      <c r="A4461" s="663" t="s">
        <v>10302</v>
      </c>
      <c r="B4461" t="s">
        <v>11835</v>
      </c>
      <c r="C4461" s="900" t="s">
        <v>11837</v>
      </c>
      <c r="D4461" s="905" t="s">
        <v>11838</v>
      </c>
    </row>
    <row r="4462" spans="1:4" ht="16.5">
      <c r="A4462" s="663" t="s">
        <v>10304</v>
      </c>
      <c r="B4462" t="s">
        <v>11835</v>
      </c>
      <c r="C4462" s="900" t="s">
        <v>11837</v>
      </c>
      <c r="D4462" s="905" t="s">
        <v>11838</v>
      </c>
    </row>
    <row r="4463" spans="1:4" ht="16.5">
      <c r="A4463" s="663" t="s">
        <v>10306</v>
      </c>
      <c r="B4463" t="s">
        <v>11835</v>
      </c>
      <c r="C4463" s="900" t="s">
        <v>11837</v>
      </c>
      <c r="D4463" s="905" t="s">
        <v>11838</v>
      </c>
    </row>
    <row r="4464" spans="1:4" ht="16.5">
      <c r="A4464" s="663" t="s">
        <v>10308</v>
      </c>
      <c r="B4464" t="s">
        <v>11835</v>
      </c>
      <c r="C4464" s="900" t="s">
        <v>11837</v>
      </c>
      <c r="D4464" s="905" t="s">
        <v>11838</v>
      </c>
    </row>
    <row r="4465" spans="1:4" ht="16.5">
      <c r="A4465" s="663" t="s">
        <v>10310</v>
      </c>
      <c r="B4465" t="s">
        <v>11835</v>
      </c>
      <c r="C4465" s="900" t="s">
        <v>11837</v>
      </c>
      <c r="D4465" s="905" t="s">
        <v>11838</v>
      </c>
    </row>
    <row r="4466" spans="1:4" ht="16.5">
      <c r="A4466" s="663" t="s">
        <v>10312</v>
      </c>
      <c r="B4466" t="s">
        <v>11835</v>
      </c>
      <c r="C4466" s="900" t="s">
        <v>11837</v>
      </c>
      <c r="D4466" s="905" t="s">
        <v>11838</v>
      </c>
    </row>
    <row r="4467" spans="1:4" ht="16.5">
      <c r="A4467" s="663" t="s">
        <v>10314</v>
      </c>
      <c r="B4467" t="s">
        <v>11835</v>
      </c>
      <c r="C4467" s="900" t="s">
        <v>11837</v>
      </c>
      <c r="D4467" s="905" t="s">
        <v>11838</v>
      </c>
    </row>
    <row r="4468" spans="1:4" ht="16.5">
      <c r="A4468" s="663" t="s">
        <v>10316</v>
      </c>
      <c r="B4468" t="s">
        <v>11835</v>
      </c>
      <c r="C4468" s="900" t="s">
        <v>11837</v>
      </c>
      <c r="D4468" s="905" t="s">
        <v>11838</v>
      </c>
    </row>
    <row r="4469" spans="1:4" ht="16.5">
      <c r="A4469" s="663" t="s">
        <v>10318</v>
      </c>
      <c r="B4469" t="s">
        <v>11835</v>
      </c>
      <c r="C4469" s="900" t="s">
        <v>11837</v>
      </c>
      <c r="D4469" s="905" t="s">
        <v>11838</v>
      </c>
    </row>
    <row r="4470" spans="1:4" ht="16.5">
      <c r="A4470" s="663" t="s">
        <v>10321</v>
      </c>
      <c r="B4470" t="s">
        <v>11835</v>
      </c>
      <c r="C4470" s="900" t="s">
        <v>11837</v>
      </c>
      <c r="D4470" s="905" t="s">
        <v>11838</v>
      </c>
    </row>
    <row r="4471" spans="1:4" ht="16.5">
      <c r="A4471" s="663" t="s">
        <v>10323</v>
      </c>
      <c r="B4471" t="s">
        <v>11835</v>
      </c>
      <c r="C4471" s="900" t="s">
        <v>11837</v>
      </c>
      <c r="D4471" s="905" t="s">
        <v>11838</v>
      </c>
    </row>
    <row r="4472" spans="1:4" ht="16.5">
      <c r="A4472" s="663" t="s">
        <v>10325</v>
      </c>
      <c r="B4472" t="s">
        <v>11835</v>
      </c>
      <c r="C4472" s="900" t="s">
        <v>11837</v>
      </c>
      <c r="D4472" s="905" t="s">
        <v>11838</v>
      </c>
    </row>
    <row r="4473" spans="1:4" ht="16.5">
      <c r="A4473" s="663" t="s">
        <v>10327</v>
      </c>
      <c r="B4473" t="s">
        <v>11835</v>
      </c>
      <c r="C4473" s="900" t="s">
        <v>11837</v>
      </c>
      <c r="D4473" s="905" t="s">
        <v>11838</v>
      </c>
    </row>
    <row r="4474" spans="1:4" ht="16.5">
      <c r="A4474" s="663" t="s">
        <v>10329</v>
      </c>
      <c r="B4474" t="s">
        <v>11835</v>
      </c>
      <c r="C4474" s="900" t="s">
        <v>11837</v>
      </c>
      <c r="D4474" s="905" t="s">
        <v>11838</v>
      </c>
    </row>
    <row r="4475" spans="1:4" ht="16.5">
      <c r="A4475" s="663" t="s">
        <v>10331</v>
      </c>
      <c r="B4475" t="s">
        <v>11835</v>
      </c>
      <c r="C4475" s="900" t="s">
        <v>11837</v>
      </c>
      <c r="D4475" s="905" t="s">
        <v>11838</v>
      </c>
    </row>
    <row r="4476" spans="1:4" ht="16.5">
      <c r="A4476" s="663" t="s">
        <v>10333</v>
      </c>
      <c r="B4476" t="s">
        <v>11835</v>
      </c>
      <c r="C4476" s="900" t="s">
        <v>11837</v>
      </c>
      <c r="D4476" s="905" t="s">
        <v>11838</v>
      </c>
    </row>
    <row r="4477" spans="1:4" ht="16.5">
      <c r="A4477" s="663" t="s">
        <v>10335</v>
      </c>
      <c r="B4477" t="s">
        <v>11835</v>
      </c>
      <c r="C4477" s="900" t="s">
        <v>11837</v>
      </c>
      <c r="D4477" s="905" t="s">
        <v>11838</v>
      </c>
    </row>
    <row r="4478" spans="1:4" ht="16.5">
      <c r="A4478" s="663" t="s">
        <v>10337</v>
      </c>
      <c r="B4478" t="s">
        <v>11835</v>
      </c>
      <c r="C4478" s="900" t="s">
        <v>11837</v>
      </c>
      <c r="D4478" s="905" t="s">
        <v>11838</v>
      </c>
    </row>
    <row r="4479" spans="1:4" ht="16.5">
      <c r="A4479" s="663" t="s">
        <v>10339</v>
      </c>
      <c r="B4479" t="s">
        <v>11835</v>
      </c>
      <c r="C4479" s="900" t="s">
        <v>11837</v>
      </c>
      <c r="D4479" s="905" t="s">
        <v>11838</v>
      </c>
    </row>
    <row r="4480" spans="1:4" ht="16.5">
      <c r="A4480" s="663" t="s">
        <v>10341</v>
      </c>
      <c r="B4480" t="s">
        <v>11835</v>
      </c>
      <c r="C4480" s="900" t="s">
        <v>11837</v>
      </c>
      <c r="D4480" s="905" t="s">
        <v>11838</v>
      </c>
    </row>
    <row r="4481" spans="1:4" ht="16.5">
      <c r="A4481" s="663" t="s">
        <v>10343</v>
      </c>
      <c r="B4481" t="s">
        <v>11835</v>
      </c>
      <c r="C4481" s="900" t="s">
        <v>11837</v>
      </c>
      <c r="D4481" s="905" t="s">
        <v>11838</v>
      </c>
    </row>
    <row r="4482" spans="1:4" ht="16.5">
      <c r="A4482" s="663" t="s">
        <v>10345</v>
      </c>
      <c r="B4482" t="s">
        <v>11835</v>
      </c>
      <c r="C4482" s="900" t="s">
        <v>11837</v>
      </c>
      <c r="D4482" s="905" t="s">
        <v>11838</v>
      </c>
    </row>
    <row r="4483" spans="1:4" ht="16.5">
      <c r="A4483" s="663" t="s">
        <v>10347</v>
      </c>
      <c r="B4483" t="s">
        <v>11835</v>
      </c>
      <c r="C4483" s="900" t="s">
        <v>11837</v>
      </c>
      <c r="D4483" s="905" t="s">
        <v>11838</v>
      </c>
    </row>
    <row r="4484" spans="1:4" ht="16.5">
      <c r="A4484" s="663" t="s">
        <v>10350</v>
      </c>
      <c r="B4484" t="s">
        <v>11835</v>
      </c>
      <c r="C4484" s="900" t="s">
        <v>11837</v>
      </c>
      <c r="D4484" s="905" t="s">
        <v>11838</v>
      </c>
    </row>
    <row r="4485" spans="1:4" ht="16.5">
      <c r="A4485" s="663" t="s">
        <v>10352</v>
      </c>
      <c r="B4485" t="s">
        <v>11835</v>
      </c>
      <c r="C4485" s="900" t="s">
        <v>11837</v>
      </c>
      <c r="D4485" s="905" t="s">
        <v>11838</v>
      </c>
    </row>
    <row r="4486" spans="1:4" ht="16.5">
      <c r="A4486" s="663" t="s">
        <v>10354</v>
      </c>
      <c r="B4486" t="s">
        <v>11835</v>
      </c>
      <c r="C4486" s="900" t="s">
        <v>11837</v>
      </c>
      <c r="D4486" s="905" t="s">
        <v>11838</v>
      </c>
    </row>
    <row r="4487" spans="1:4" ht="16.5">
      <c r="A4487" s="663" t="s">
        <v>10356</v>
      </c>
      <c r="B4487" t="s">
        <v>11835</v>
      </c>
      <c r="C4487" s="900" t="s">
        <v>11837</v>
      </c>
      <c r="D4487" s="905" t="s">
        <v>11838</v>
      </c>
    </row>
    <row r="4488" spans="1:4" ht="16.5">
      <c r="A4488" s="663" t="s">
        <v>10358</v>
      </c>
      <c r="B4488" t="s">
        <v>11835</v>
      </c>
      <c r="C4488" s="900" t="s">
        <v>11837</v>
      </c>
      <c r="D4488" s="905" t="s">
        <v>11838</v>
      </c>
    </row>
    <row r="4489" spans="1:4" ht="16.5">
      <c r="A4489" s="663" t="s">
        <v>10360</v>
      </c>
      <c r="B4489" t="s">
        <v>11835</v>
      </c>
      <c r="C4489" s="900" t="s">
        <v>11837</v>
      </c>
      <c r="D4489" s="905" t="s">
        <v>11838</v>
      </c>
    </row>
    <row r="4490" spans="1:4" ht="16.5">
      <c r="A4490" s="663" t="s">
        <v>10362</v>
      </c>
      <c r="B4490" t="s">
        <v>11835</v>
      </c>
      <c r="C4490" s="900" t="s">
        <v>11837</v>
      </c>
      <c r="D4490" s="905" t="s">
        <v>11838</v>
      </c>
    </row>
    <row r="4491" spans="1:4" ht="16.5">
      <c r="A4491" s="663" t="s">
        <v>10364</v>
      </c>
      <c r="B4491" t="s">
        <v>11835</v>
      </c>
      <c r="C4491" s="900" t="s">
        <v>11837</v>
      </c>
      <c r="D4491" s="905" t="s">
        <v>11838</v>
      </c>
    </row>
    <row r="4492" spans="1:4" ht="16.5">
      <c r="A4492" s="663" t="s">
        <v>10366</v>
      </c>
      <c r="B4492" t="s">
        <v>11835</v>
      </c>
      <c r="C4492" s="900" t="s">
        <v>11837</v>
      </c>
      <c r="D4492" s="905" t="s">
        <v>11838</v>
      </c>
    </row>
    <row r="4493" spans="1:4" ht="16.5">
      <c r="A4493" s="663" t="s">
        <v>10368</v>
      </c>
      <c r="B4493" t="s">
        <v>11835</v>
      </c>
      <c r="C4493" s="900" t="s">
        <v>11837</v>
      </c>
      <c r="D4493" s="905" t="s">
        <v>11838</v>
      </c>
    </row>
    <row r="4494" spans="1:4" ht="16.5">
      <c r="A4494" s="663" t="s">
        <v>10370</v>
      </c>
      <c r="B4494" t="s">
        <v>11835</v>
      </c>
      <c r="C4494" s="900" t="s">
        <v>11837</v>
      </c>
      <c r="D4494" s="905" t="s">
        <v>11838</v>
      </c>
    </row>
    <row r="4495" spans="1:4" ht="16.5">
      <c r="A4495" s="663" t="s">
        <v>2137</v>
      </c>
      <c r="B4495" t="s">
        <v>11835</v>
      </c>
      <c r="C4495" s="900" t="s">
        <v>11837</v>
      </c>
      <c r="D4495" s="905" t="s">
        <v>11838</v>
      </c>
    </row>
    <row r="4496" spans="1:4" ht="16.5">
      <c r="A4496" s="663" t="s">
        <v>10372</v>
      </c>
      <c r="B4496" t="s">
        <v>11835</v>
      </c>
      <c r="C4496" s="900" t="s">
        <v>11837</v>
      </c>
      <c r="D4496" s="905" t="s">
        <v>11838</v>
      </c>
    </row>
    <row r="4497" spans="1:4" ht="16.5">
      <c r="A4497" s="663" t="s">
        <v>10374</v>
      </c>
      <c r="B4497" t="s">
        <v>11835</v>
      </c>
      <c r="C4497" s="900" t="s">
        <v>11837</v>
      </c>
      <c r="D4497" s="905" t="s">
        <v>11838</v>
      </c>
    </row>
    <row r="4498" spans="1:4" ht="16.5">
      <c r="A4498" s="663" t="s">
        <v>10376</v>
      </c>
      <c r="B4498" t="s">
        <v>11835</v>
      </c>
      <c r="C4498" s="900" t="s">
        <v>11837</v>
      </c>
      <c r="D4498" s="905" t="s">
        <v>11838</v>
      </c>
    </row>
    <row r="4499" spans="1:4" ht="16.5">
      <c r="A4499" s="663" t="s">
        <v>10378</v>
      </c>
      <c r="B4499" t="s">
        <v>11835</v>
      </c>
      <c r="C4499" s="900" t="s">
        <v>11837</v>
      </c>
      <c r="D4499" s="905" t="s">
        <v>11838</v>
      </c>
    </row>
    <row r="4500" spans="1:4" ht="16.5">
      <c r="A4500" s="663" t="s">
        <v>10380</v>
      </c>
      <c r="B4500" t="s">
        <v>11835</v>
      </c>
      <c r="C4500" s="900" t="s">
        <v>11837</v>
      </c>
      <c r="D4500" s="905" t="s">
        <v>11838</v>
      </c>
    </row>
    <row r="4501" spans="1:4" ht="16.5">
      <c r="A4501" s="663" t="s">
        <v>10382</v>
      </c>
      <c r="B4501" t="s">
        <v>11835</v>
      </c>
      <c r="C4501" s="900" t="s">
        <v>11837</v>
      </c>
      <c r="D4501" s="905" t="s">
        <v>11838</v>
      </c>
    </row>
    <row r="4502" spans="1:4" ht="16.5">
      <c r="A4502" s="663" t="s">
        <v>10384</v>
      </c>
      <c r="B4502" t="s">
        <v>11835</v>
      </c>
      <c r="C4502" s="900" t="s">
        <v>11837</v>
      </c>
      <c r="D4502" s="905" t="s">
        <v>11838</v>
      </c>
    </row>
    <row r="4503" spans="1:4" ht="16.5">
      <c r="A4503" s="663" t="s">
        <v>10386</v>
      </c>
      <c r="B4503" t="s">
        <v>11835</v>
      </c>
      <c r="C4503" s="900" t="s">
        <v>11837</v>
      </c>
      <c r="D4503" s="905" t="s">
        <v>11838</v>
      </c>
    </row>
    <row r="4504" spans="1:4" ht="16.5">
      <c r="A4504" s="663" t="s">
        <v>10388</v>
      </c>
      <c r="B4504" t="s">
        <v>11835</v>
      </c>
      <c r="C4504" s="900" t="s">
        <v>11837</v>
      </c>
      <c r="D4504" s="905" t="s">
        <v>11838</v>
      </c>
    </row>
    <row r="4505" spans="1:4" ht="16.5">
      <c r="A4505" s="663" t="s">
        <v>10390</v>
      </c>
      <c r="B4505" t="s">
        <v>11835</v>
      </c>
      <c r="C4505" s="900" t="s">
        <v>11837</v>
      </c>
      <c r="D4505" s="905" t="s">
        <v>11838</v>
      </c>
    </row>
    <row r="4506" spans="1:4" ht="16.5">
      <c r="A4506" s="663" t="s">
        <v>10392</v>
      </c>
      <c r="B4506" t="s">
        <v>11835</v>
      </c>
      <c r="C4506" s="900" t="s">
        <v>11837</v>
      </c>
      <c r="D4506" s="905" t="s">
        <v>11838</v>
      </c>
    </row>
    <row r="4507" spans="1:4" ht="16.5">
      <c r="A4507" s="663" t="s">
        <v>10394</v>
      </c>
      <c r="B4507" t="s">
        <v>11835</v>
      </c>
      <c r="C4507" s="900" t="s">
        <v>11837</v>
      </c>
      <c r="D4507" s="905" t="s">
        <v>11838</v>
      </c>
    </row>
    <row r="4508" spans="1:4" ht="16.5">
      <c r="A4508" s="663" t="s">
        <v>10396</v>
      </c>
      <c r="B4508" t="s">
        <v>11835</v>
      </c>
      <c r="C4508" s="900" t="s">
        <v>11837</v>
      </c>
      <c r="D4508" s="905" t="s">
        <v>11838</v>
      </c>
    </row>
    <row r="4509" spans="1:4" ht="16.5">
      <c r="A4509" s="663" t="s">
        <v>10398</v>
      </c>
      <c r="B4509" t="s">
        <v>11835</v>
      </c>
      <c r="C4509" s="900" t="s">
        <v>11837</v>
      </c>
      <c r="D4509" s="905" t="s">
        <v>11838</v>
      </c>
    </row>
    <row r="4510" spans="1:4" ht="16.5">
      <c r="A4510" s="663" t="s">
        <v>10400</v>
      </c>
      <c r="B4510" t="s">
        <v>11835</v>
      </c>
      <c r="C4510" s="900" t="s">
        <v>11837</v>
      </c>
      <c r="D4510" s="905" t="s">
        <v>11838</v>
      </c>
    </row>
    <row r="4511" spans="1:4" ht="16.5">
      <c r="A4511" s="663" t="s">
        <v>10402</v>
      </c>
      <c r="B4511" t="s">
        <v>11835</v>
      </c>
      <c r="C4511" s="900" t="s">
        <v>11837</v>
      </c>
      <c r="D4511" s="905" t="s">
        <v>11838</v>
      </c>
    </row>
    <row r="4512" spans="1:4" ht="16.5">
      <c r="A4512" s="663" t="s">
        <v>10403</v>
      </c>
      <c r="B4512" t="s">
        <v>11835</v>
      </c>
      <c r="C4512" s="900" t="s">
        <v>11837</v>
      </c>
      <c r="D4512" s="905" t="s">
        <v>11838</v>
      </c>
    </row>
    <row r="4513" spans="1:4" ht="16.5">
      <c r="A4513" s="663" t="s">
        <v>10405</v>
      </c>
      <c r="B4513" t="s">
        <v>11835</v>
      </c>
      <c r="C4513" s="900" t="s">
        <v>11837</v>
      </c>
      <c r="D4513" s="905" t="s">
        <v>11838</v>
      </c>
    </row>
    <row r="4514" spans="1:4" ht="16.5">
      <c r="A4514" s="663" t="s">
        <v>10407</v>
      </c>
      <c r="B4514" t="s">
        <v>11835</v>
      </c>
      <c r="C4514" s="900" t="s">
        <v>11837</v>
      </c>
      <c r="D4514" s="905" t="s">
        <v>11838</v>
      </c>
    </row>
    <row r="4515" spans="1:4" ht="16.5">
      <c r="A4515" s="663" t="s">
        <v>10409</v>
      </c>
      <c r="B4515" t="s">
        <v>11835</v>
      </c>
      <c r="C4515" s="900" t="s">
        <v>11837</v>
      </c>
      <c r="D4515" s="905" t="s">
        <v>11838</v>
      </c>
    </row>
    <row r="4516" spans="1:4" ht="16.5">
      <c r="A4516" s="663" t="s">
        <v>10411</v>
      </c>
      <c r="B4516" t="s">
        <v>11835</v>
      </c>
      <c r="C4516" s="900" t="s">
        <v>11837</v>
      </c>
      <c r="D4516" s="905" t="s">
        <v>11838</v>
      </c>
    </row>
    <row r="4517" spans="1:4" ht="16.5">
      <c r="A4517" s="663" t="s">
        <v>10413</v>
      </c>
      <c r="B4517" t="s">
        <v>11835</v>
      </c>
      <c r="C4517" s="900" t="s">
        <v>11837</v>
      </c>
      <c r="D4517" s="905" t="s">
        <v>11838</v>
      </c>
    </row>
    <row r="4518" spans="1:4" ht="16.5">
      <c r="A4518" s="663" t="s">
        <v>10415</v>
      </c>
      <c r="B4518" t="s">
        <v>11835</v>
      </c>
      <c r="C4518" s="900" t="s">
        <v>11837</v>
      </c>
      <c r="D4518" s="905" t="s">
        <v>11838</v>
      </c>
    </row>
    <row r="4519" spans="1:4" ht="16.5">
      <c r="A4519" s="663" t="s">
        <v>10417</v>
      </c>
      <c r="B4519" t="s">
        <v>11835</v>
      </c>
      <c r="C4519" s="900" t="s">
        <v>11837</v>
      </c>
      <c r="D4519" s="905" t="s">
        <v>11838</v>
      </c>
    </row>
    <row r="4520" spans="1:4" ht="16.5">
      <c r="A4520" s="663" t="s">
        <v>10419</v>
      </c>
      <c r="B4520" t="s">
        <v>11835</v>
      </c>
      <c r="C4520" s="900" t="s">
        <v>11837</v>
      </c>
      <c r="D4520" s="905" t="s">
        <v>11838</v>
      </c>
    </row>
    <row r="4521" spans="1:4" ht="16.5">
      <c r="A4521" s="663" t="s">
        <v>10421</v>
      </c>
      <c r="B4521" t="s">
        <v>11835</v>
      </c>
      <c r="C4521" s="900" t="s">
        <v>11837</v>
      </c>
      <c r="D4521" s="905" t="s">
        <v>11838</v>
      </c>
    </row>
    <row r="4522" spans="1:4" ht="16.5">
      <c r="A4522" s="663" t="s">
        <v>10423</v>
      </c>
      <c r="B4522" t="s">
        <v>11835</v>
      </c>
      <c r="C4522" s="900" t="s">
        <v>11837</v>
      </c>
      <c r="D4522" s="905" t="s">
        <v>11838</v>
      </c>
    </row>
    <row r="4523" spans="1:4" ht="16.5">
      <c r="A4523" s="663" t="s">
        <v>10425</v>
      </c>
      <c r="B4523" t="s">
        <v>11835</v>
      </c>
      <c r="C4523" s="900" t="s">
        <v>11837</v>
      </c>
      <c r="D4523" s="905" t="s">
        <v>11838</v>
      </c>
    </row>
    <row r="4524" spans="1:4" ht="16.5">
      <c r="A4524" s="663" t="s">
        <v>10427</v>
      </c>
      <c r="B4524" t="s">
        <v>11835</v>
      </c>
      <c r="C4524" s="900" t="s">
        <v>11837</v>
      </c>
      <c r="D4524" s="905" t="s">
        <v>11838</v>
      </c>
    </row>
    <row r="4525" spans="1:4" ht="16.5">
      <c r="A4525" s="663" t="s">
        <v>10429</v>
      </c>
      <c r="B4525" t="s">
        <v>11835</v>
      </c>
      <c r="C4525" s="900" t="s">
        <v>11837</v>
      </c>
      <c r="D4525" s="905" t="s">
        <v>11838</v>
      </c>
    </row>
    <row r="4526" spans="1:4" ht="16.5">
      <c r="A4526" s="663" t="s">
        <v>10431</v>
      </c>
      <c r="B4526" t="s">
        <v>11835</v>
      </c>
      <c r="C4526" s="900" t="s">
        <v>11837</v>
      </c>
      <c r="D4526" s="905" t="s">
        <v>11838</v>
      </c>
    </row>
    <row r="4527" spans="1:4" ht="16.5">
      <c r="A4527" s="663" t="s">
        <v>10433</v>
      </c>
      <c r="B4527" t="s">
        <v>11835</v>
      </c>
      <c r="C4527" s="900" t="s">
        <v>11837</v>
      </c>
      <c r="D4527" s="905" t="s">
        <v>11838</v>
      </c>
    </row>
    <row r="4528" spans="1:4" ht="16.5">
      <c r="A4528" s="663" t="s">
        <v>2140</v>
      </c>
      <c r="B4528" t="s">
        <v>11835</v>
      </c>
      <c r="C4528" s="900" t="s">
        <v>11837</v>
      </c>
      <c r="D4528" s="905" t="s">
        <v>11838</v>
      </c>
    </row>
    <row r="4529" spans="1:4" ht="16.5">
      <c r="A4529" s="663" t="s">
        <v>10436</v>
      </c>
      <c r="B4529" t="s">
        <v>11835</v>
      </c>
      <c r="C4529" s="900" t="s">
        <v>11837</v>
      </c>
      <c r="D4529" s="905" t="s">
        <v>11838</v>
      </c>
    </row>
    <row r="4530" spans="1:4" ht="16.5">
      <c r="A4530" s="663" t="s">
        <v>10438</v>
      </c>
      <c r="B4530" t="s">
        <v>11835</v>
      </c>
      <c r="C4530" s="900" t="s">
        <v>11837</v>
      </c>
      <c r="D4530" s="905" t="s">
        <v>11838</v>
      </c>
    </row>
    <row r="4531" spans="1:4" ht="16.5">
      <c r="A4531" s="663" t="s">
        <v>10440</v>
      </c>
      <c r="B4531" t="s">
        <v>11835</v>
      </c>
      <c r="C4531" s="900" t="s">
        <v>11837</v>
      </c>
      <c r="D4531" s="905" t="s">
        <v>11838</v>
      </c>
    </row>
    <row r="4532" spans="1:4" ht="16.5">
      <c r="A4532" s="663" t="s">
        <v>10442</v>
      </c>
      <c r="B4532" t="s">
        <v>11835</v>
      </c>
      <c r="C4532" s="900" t="s">
        <v>11837</v>
      </c>
      <c r="D4532" s="905" t="s">
        <v>11838</v>
      </c>
    </row>
    <row r="4533" spans="1:4" ht="16.5">
      <c r="A4533" s="663" t="s">
        <v>10444</v>
      </c>
      <c r="B4533" t="s">
        <v>11835</v>
      </c>
      <c r="C4533" s="900" t="s">
        <v>11837</v>
      </c>
      <c r="D4533" s="905" t="s">
        <v>11838</v>
      </c>
    </row>
    <row r="4534" spans="1:4" ht="16.5">
      <c r="A4534" s="663" t="s">
        <v>10446</v>
      </c>
      <c r="B4534" t="s">
        <v>11835</v>
      </c>
      <c r="C4534" s="900" t="s">
        <v>11837</v>
      </c>
      <c r="D4534" s="905" t="s">
        <v>11838</v>
      </c>
    </row>
    <row r="4535" spans="1:4" ht="16.5">
      <c r="A4535" s="663" t="s">
        <v>10448</v>
      </c>
      <c r="B4535" t="s">
        <v>11835</v>
      </c>
      <c r="C4535" s="900" t="s">
        <v>11837</v>
      </c>
      <c r="D4535" s="905" t="s">
        <v>11838</v>
      </c>
    </row>
    <row r="4536" spans="1:4" ht="16.5">
      <c r="A4536" s="663" t="s">
        <v>10450</v>
      </c>
      <c r="B4536" t="s">
        <v>11835</v>
      </c>
      <c r="C4536" s="900" t="s">
        <v>11837</v>
      </c>
      <c r="D4536" s="905" t="s">
        <v>11838</v>
      </c>
    </row>
    <row r="4537" spans="1:4" ht="16.5">
      <c r="A4537" s="663" t="s">
        <v>10452</v>
      </c>
      <c r="B4537" t="s">
        <v>11835</v>
      </c>
      <c r="C4537" s="900" t="s">
        <v>11837</v>
      </c>
      <c r="D4537" s="905" t="s">
        <v>11838</v>
      </c>
    </row>
    <row r="4538" spans="1:4" ht="16.5">
      <c r="A4538" s="663" t="s">
        <v>10454</v>
      </c>
      <c r="B4538" t="s">
        <v>11835</v>
      </c>
      <c r="C4538" s="900" t="s">
        <v>11837</v>
      </c>
      <c r="D4538" s="905" t="s">
        <v>11838</v>
      </c>
    </row>
    <row r="4539" spans="1:4" ht="16.5">
      <c r="A4539" s="663" t="s">
        <v>10456</v>
      </c>
      <c r="B4539" t="s">
        <v>11835</v>
      </c>
      <c r="C4539" s="900" t="s">
        <v>11837</v>
      </c>
      <c r="D4539" s="905" t="s">
        <v>11838</v>
      </c>
    </row>
    <row r="4540" spans="1:4" ht="16.5">
      <c r="A4540" s="663" t="s">
        <v>10458</v>
      </c>
      <c r="B4540" t="s">
        <v>11835</v>
      </c>
      <c r="C4540" s="900" t="s">
        <v>11837</v>
      </c>
      <c r="D4540" s="905" t="s">
        <v>11838</v>
      </c>
    </row>
    <row r="4541" spans="1:4" ht="16.5">
      <c r="A4541" s="663" t="s">
        <v>10460</v>
      </c>
      <c r="B4541" t="s">
        <v>11835</v>
      </c>
      <c r="C4541" s="900" t="s">
        <v>11837</v>
      </c>
      <c r="D4541" s="905" t="s">
        <v>11838</v>
      </c>
    </row>
    <row r="4542" spans="1:4" ht="16.5">
      <c r="A4542" s="663" t="s">
        <v>10462</v>
      </c>
      <c r="B4542" t="s">
        <v>11835</v>
      </c>
      <c r="C4542" s="900" t="s">
        <v>11837</v>
      </c>
      <c r="D4542" s="905" t="s">
        <v>11838</v>
      </c>
    </row>
    <row r="4543" spans="1:4" ht="16.5">
      <c r="A4543" s="663" t="s">
        <v>10464</v>
      </c>
      <c r="B4543" t="s">
        <v>11835</v>
      </c>
      <c r="C4543" s="900" t="s">
        <v>11837</v>
      </c>
      <c r="D4543" s="905" t="s">
        <v>11838</v>
      </c>
    </row>
    <row r="4544" spans="1:4" ht="16.5">
      <c r="A4544" s="663" t="s">
        <v>10466</v>
      </c>
      <c r="B4544" t="s">
        <v>11835</v>
      </c>
      <c r="C4544" s="900" t="s">
        <v>11837</v>
      </c>
      <c r="D4544" s="905" t="s">
        <v>11838</v>
      </c>
    </row>
    <row r="4545" spans="1:4" ht="16.5">
      <c r="A4545" s="663" t="s">
        <v>10468</v>
      </c>
      <c r="B4545" t="s">
        <v>11835</v>
      </c>
      <c r="C4545" s="900" t="s">
        <v>11837</v>
      </c>
      <c r="D4545" s="905" t="s">
        <v>11838</v>
      </c>
    </row>
    <row r="4546" spans="1:4" ht="16.5">
      <c r="A4546" s="663" t="s">
        <v>10470</v>
      </c>
      <c r="B4546" t="s">
        <v>11835</v>
      </c>
      <c r="C4546" s="900" t="s">
        <v>11837</v>
      </c>
      <c r="D4546" s="905" t="s">
        <v>11838</v>
      </c>
    </row>
    <row r="4547" spans="1:4" ht="16.5">
      <c r="A4547" s="663" t="s">
        <v>10472</v>
      </c>
      <c r="B4547" t="s">
        <v>11835</v>
      </c>
      <c r="C4547" s="900" t="s">
        <v>11837</v>
      </c>
      <c r="D4547" s="905" t="s">
        <v>11838</v>
      </c>
    </row>
    <row r="4548" spans="1:4" ht="16.5">
      <c r="A4548" s="663" t="s">
        <v>10474</v>
      </c>
      <c r="B4548" t="s">
        <v>11835</v>
      </c>
      <c r="C4548" s="900" t="s">
        <v>11837</v>
      </c>
      <c r="D4548" s="905" t="s">
        <v>11838</v>
      </c>
    </row>
    <row r="4549" spans="1:4" ht="16.5">
      <c r="A4549" s="663" t="s">
        <v>10476</v>
      </c>
      <c r="B4549" t="s">
        <v>11835</v>
      </c>
      <c r="C4549" s="900" t="s">
        <v>11837</v>
      </c>
      <c r="D4549" s="905" t="s">
        <v>11838</v>
      </c>
    </row>
    <row r="4550" spans="1:4" ht="16.5">
      <c r="A4550" s="663" t="s">
        <v>10478</v>
      </c>
      <c r="B4550" t="s">
        <v>11835</v>
      </c>
      <c r="C4550" s="900" t="s">
        <v>11837</v>
      </c>
      <c r="D4550" s="905" t="s">
        <v>11838</v>
      </c>
    </row>
    <row r="4551" spans="1:4" ht="16.5">
      <c r="A4551" s="663" t="s">
        <v>10480</v>
      </c>
      <c r="B4551" t="s">
        <v>11835</v>
      </c>
      <c r="C4551" s="900" t="s">
        <v>11837</v>
      </c>
      <c r="D4551" s="905" t="s">
        <v>11838</v>
      </c>
    </row>
    <row r="4552" spans="1:4" ht="16.5">
      <c r="A4552" s="663" t="s">
        <v>10482</v>
      </c>
      <c r="B4552" t="s">
        <v>11835</v>
      </c>
      <c r="C4552" s="900" t="s">
        <v>11837</v>
      </c>
      <c r="D4552" s="905" t="s">
        <v>11838</v>
      </c>
    </row>
    <row r="4553" spans="1:4" ht="16.5">
      <c r="A4553" s="663" t="s">
        <v>10484</v>
      </c>
      <c r="B4553" t="s">
        <v>11835</v>
      </c>
      <c r="C4553" s="900" t="s">
        <v>11837</v>
      </c>
      <c r="D4553" s="905" t="s">
        <v>11838</v>
      </c>
    </row>
    <row r="4554" spans="1:4" ht="16.5">
      <c r="A4554" s="663" t="s">
        <v>10486</v>
      </c>
      <c r="B4554" t="s">
        <v>11835</v>
      </c>
      <c r="C4554" s="900" t="s">
        <v>11837</v>
      </c>
      <c r="D4554" s="905" t="s">
        <v>11838</v>
      </c>
    </row>
    <row r="4555" spans="1:4" ht="16.5">
      <c r="A4555" s="663" t="s">
        <v>10488</v>
      </c>
      <c r="B4555" t="s">
        <v>11835</v>
      </c>
      <c r="C4555" s="900" t="s">
        <v>11837</v>
      </c>
      <c r="D4555" s="905" t="s">
        <v>11838</v>
      </c>
    </row>
    <row r="4556" spans="1:4" ht="16.5">
      <c r="A4556" s="663" t="s">
        <v>10490</v>
      </c>
      <c r="B4556" t="s">
        <v>11835</v>
      </c>
      <c r="C4556" s="900" t="s">
        <v>11837</v>
      </c>
      <c r="D4556" s="905" t="s">
        <v>11838</v>
      </c>
    </row>
    <row r="4557" spans="1:4" ht="16.5">
      <c r="A4557" s="663" t="s">
        <v>10492</v>
      </c>
      <c r="B4557" t="s">
        <v>11835</v>
      </c>
      <c r="C4557" s="900" t="s">
        <v>11837</v>
      </c>
      <c r="D4557" s="905" t="s">
        <v>11838</v>
      </c>
    </row>
    <row r="4558" spans="1:4" ht="16.5">
      <c r="A4558" s="663" t="s">
        <v>10494</v>
      </c>
      <c r="B4558" t="s">
        <v>11835</v>
      </c>
      <c r="C4558" s="900" t="s">
        <v>11837</v>
      </c>
      <c r="D4558" s="905" t="s">
        <v>11838</v>
      </c>
    </row>
    <row r="4559" spans="1:4" ht="16.5">
      <c r="A4559" s="663" t="s">
        <v>10496</v>
      </c>
      <c r="B4559" t="s">
        <v>11835</v>
      </c>
      <c r="C4559" s="900" t="s">
        <v>11837</v>
      </c>
      <c r="D4559" s="905" t="s">
        <v>11838</v>
      </c>
    </row>
    <row r="4560" spans="1:4" ht="16.5">
      <c r="A4560" s="663" t="s">
        <v>10498</v>
      </c>
      <c r="B4560" t="s">
        <v>11835</v>
      </c>
      <c r="C4560" s="900" t="s">
        <v>11837</v>
      </c>
      <c r="D4560" s="905" t="s">
        <v>11838</v>
      </c>
    </row>
    <row r="4561" spans="1:4" ht="16.5">
      <c r="A4561" s="663" t="s">
        <v>10500</v>
      </c>
      <c r="B4561" t="s">
        <v>11835</v>
      </c>
      <c r="C4561" s="900" t="s">
        <v>11837</v>
      </c>
      <c r="D4561" s="905" t="s">
        <v>11838</v>
      </c>
    </row>
    <row r="4562" spans="1:4" ht="16.5">
      <c r="A4562" s="663" t="s">
        <v>10502</v>
      </c>
      <c r="B4562" t="s">
        <v>11835</v>
      </c>
      <c r="C4562" s="900" t="s">
        <v>11837</v>
      </c>
      <c r="D4562" s="905" t="s">
        <v>11838</v>
      </c>
    </row>
    <row r="4563" spans="1:4" ht="16.5">
      <c r="A4563" s="663" t="s">
        <v>10504</v>
      </c>
      <c r="B4563" t="s">
        <v>11835</v>
      </c>
      <c r="C4563" s="900" t="s">
        <v>11837</v>
      </c>
      <c r="D4563" s="905" t="s">
        <v>11838</v>
      </c>
    </row>
    <row r="4564" spans="1:4" ht="16.5">
      <c r="A4564" s="663" t="s">
        <v>10506</v>
      </c>
      <c r="B4564" t="s">
        <v>11835</v>
      </c>
      <c r="C4564" s="900" t="s">
        <v>11837</v>
      </c>
      <c r="D4564" s="905" t="s">
        <v>11838</v>
      </c>
    </row>
    <row r="4565" spans="1:4" ht="16.5">
      <c r="A4565" s="663" t="s">
        <v>10508</v>
      </c>
      <c r="B4565" t="s">
        <v>11835</v>
      </c>
      <c r="C4565" s="900" t="s">
        <v>11837</v>
      </c>
      <c r="D4565" s="905" t="s">
        <v>11838</v>
      </c>
    </row>
    <row r="4566" spans="1:4" ht="16.5">
      <c r="A4566" s="663" t="s">
        <v>10510</v>
      </c>
      <c r="B4566" t="s">
        <v>11835</v>
      </c>
      <c r="C4566" s="900" t="s">
        <v>11837</v>
      </c>
      <c r="D4566" s="905" t="s">
        <v>11838</v>
      </c>
    </row>
    <row r="4567" spans="1:4" ht="16.5">
      <c r="A4567" s="663" t="s">
        <v>10512</v>
      </c>
      <c r="B4567" t="s">
        <v>11835</v>
      </c>
      <c r="C4567" s="900" t="s">
        <v>11837</v>
      </c>
      <c r="D4567" s="905" t="s">
        <v>11838</v>
      </c>
    </row>
    <row r="4568" spans="1:4" ht="16.5">
      <c r="A4568" s="663" t="s">
        <v>10514</v>
      </c>
      <c r="B4568" t="s">
        <v>11835</v>
      </c>
      <c r="C4568" s="900" t="s">
        <v>11837</v>
      </c>
      <c r="D4568" s="905" t="s">
        <v>11838</v>
      </c>
    </row>
    <row r="4569" spans="1:4" ht="16.5">
      <c r="A4569" s="663" t="s">
        <v>10516</v>
      </c>
      <c r="B4569" t="s">
        <v>11835</v>
      </c>
      <c r="C4569" s="900" t="s">
        <v>11837</v>
      </c>
      <c r="D4569" s="905" t="s">
        <v>11838</v>
      </c>
    </row>
    <row r="4570" spans="1:4" ht="16.5">
      <c r="A4570" s="663" t="s">
        <v>10518</v>
      </c>
      <c r="B4570" t="s">
        <v>11835</v>
      </c>
      <c r="C4570" s="900" t="s">
        <v>11837</v>
      </c>
      <c r="D4570" s="905" t="s">
        <v>11838</v>
      </c>
    </row>
    <row r="4571" spans="1:4" ht="16.5">
      <c r="A4571" s="663" t="s">
        <v>10520</v>
      </c>
      <c r="B4571" t="s">
        <v>11835</v>
      </c>
      <c r="C4571" s="900" t="s">
        <v>11837</v>
      </c>
      <c r="D4571" s="905" t="s">
        <v>11838</v>
      </c>
    </row>
    <row r="4572" spans="1:4" ht="16.5">
      <c r="A4572" s="663" t="s">
        <v>10522</v>
      </c>
      <c r="B4572" t="s">
        <v>11835</v>
      </c>
      <c r="C4572" s="900" t="s">
        <v>11837</v>
      </c>
      <c r="D4572" s="905" t="s">
        <v>11838</v>
      </c>
    </row>
    <row r="4573" spans="1:4" ht="16.5">
      <c r="A4573" s="663" t="s">
        <v>10524</v>
      </c>
      <c r="B4573" t="s">
        <v>11835</v>
      </c>
      <c r="C4573" s="900" t="s">
        <v>11837</v>
      </c>
      <c r="D4573" s="905" t="s">
        <v>11838</v>
      </c>
    </row>
    <row r="4574" spans="1:4" ht="16.5">
      <c r="A4574" s="663" t="s">
        <v>10526</v>
      </c>
      <c r="B4574" t="s">
        <v>11835</v>
      </c>
      <c r="C4574" s="900" t="s">
        <v>11837</v>
      </c>
      <c r="D4574" s="905" t="s">
        <v>11838</v>
      </c>
    </row>
    <row r="4575" spans="1:4" ht="16.5">
      <c r="A4575" s="663" t="s">
        <v>10528</v>
      </c>
      <c r="B4575" t="s">
        <v>11835</v>
      </c>
      <c r="C4575" s="900" t="s">
        <v>11837</v>
      </c>
      <c r="D4575" s="905" t="s">
        <v>11838</v>
      </c>
    </row>
    <row r="4576" spans="1:4" ht="16.5">
      <c r="A4576" s="663" t="s">
        <v>10530</v>
      </c>
      <c r="B4576" t="s">
        <v>11835</v>
      </c>
      <c r="C4576" s="900" t="s">
        <v>11837</v>
      </c>
      <c r="D4576" s="905" t="s">
        <v>11838</v>
      </c>
    </row>
    <row r="4577" spans="1:4" ht="16.5">
      <c r="A4577" s="663" t="s">
        <v>10532</v>
      </c>
      <c r="B4577" t="s">
        <v>11835</v>
      </c>
      <c r="C4577" s="900" t="s">
        <v>11837</v>
      </c>
      <c r="D4577" s="905" t="s">
        <v>11838</v>
      </c>
    </row>
    <row r="4578" spans="1:4" ht="16.5">
      <c r="A4578" s="663" t="s">
        <v>10534</v>
      </c>
      <c r="B4578" t="s">
        <v>11835</v>
      </c>
      <c r="C4578" s="900" t="s">
        <v>11837</v>
      </c>
      <c r="D4578" s="905" t="s">
        <v>11838</v>
      </c>
    </row>
    <row r="4579" spans="1:4" ht="16.5">
      <c r="A4579" s="663" t="s">
        <v>10536</v>
      </c>
      <c r="B4579" t="s">
        <v>11835</v>
      </c>
      <c r="C4579" s="900" t="s">
        <v>11837</v>
      </c>
      <c r="D4579" s="905" t="s">
        <v>11838</v>
      </c>
    </row>
    <row r="4580" spans="1:4" ht="16.5">
      <c r="A4580" s="663" t="s">
        <v>10538</v>
      </c>
      <c r="B4580" t="s">
        <v>11835</v>
      </c>
      <c r="C4580" s="900" t="s">
        <v>11837</v>
      </c>
      <c r="D4580" s="905" t="s">
        <v>11838</v>
      </c>
    </row>
    <row r="4581" spans="1:4" ht="16.5">
      <c r="A4581" s="663" t="s">
        <v>10540</v>
      </c>
      <c r="B4581" t="s">
        <v>11835</v>
      </c>
      <c r="C4581" s="900" t="s">
        <v>11837</v>
      </c>
      <c r="D4581" s="905" t="s">
        <v>11838</v>
      </c>
    </row>
    <row r="4582" spans="1:4" ht="16.5">
      <c r="A4582" s="663" t="s">
        <v>10542</v>
      </c>
      <c r="B4582" t="s">
        <v>11835</v>
      </c>
      <c r="C4582" s="900" t="s">
        <v>11837</v>
      </c>
      <c r="D4582" s="905" t="s">
        <v>11838</v>
      </c>
    </row>
    <row r="4583" spans="1:4" ht="16.5">
      <c r="A4583" s="663" t="s">
        <v>10545</v>
      </c>
      <c r="B4583" t="s">
        <v>11835</v>
      </c>
      <c r="C4583" s="900" t="s">
        <v>11837</v>
      </c>
      <c r="D4583" s="905" t="s">
        <v>11838</v>
      </c>
    </row>
    <row r="4584" spans="1:4" ht="16.5">
      <c r="A4584" s="663" t="s">
        <v>238</v>
      </c>
      <c r="B4584" t="s">
        <v>11835</v>
      </c>
      <c r="C4584" s="900" t="s">
        <v>11837</v>
      </c>
      <c r="D4584" s="905" t="s">
        <v>11838</v>
      </c>
    </row>
    <row r="4585" spans="1:4" ht="16.5">
      <c r="A4585" s="663" t="s">
        <v>10548</v>
      </c>
      <c r="B4585" t="s">
        <v>11835</v>
      </c>
      <c r="C4585" s="900" t="s">
        <v>11837</v>
      </c>
      <c r="D4585" s="905" t="s">
        <v>11838</v>
      </c>
    </row>
    <row r="4586" spans="1:4" ht="16.5">
      <c r="A4586" s="663" t="s">
        <v>10550</v>
      </c>
      <c r="B4586" t="s">
        <v>11835</v>
      </c>
      <c r="C4586" s="900" t="s">
        <v>11837</v>
      </c>
      <c r="D4586" s="905" t="s">
        <v>11838</v>
      </c>
    </row>
    <row r="4587" spans="1:4" ht="16.5">
      <c r="A4587" s="663" t="s">
        <v>10552</v>
      </c>
      <c r="B4587" t="s">
        <v>11835</v>
      </c>
      <c r="C4587" s="900" t="s">
        <v>11837</v>
      </c>
      <c r="D4587" s="905" t="s">
        <v>11838</v>
      </c>
    </row>
    <row r="4588" spans="1:4" ht="16.5">
      <c r="A4588" s="663" t="s">
        <v>245</v>
      </c>
      <c r="B4588" t="s">
        <v>11835</v>
      </c>
      <c r="C4588" s="900" t="s">
        <v>11837</v>
      </c>
      <c r="D4588" s="905" t="s">
        <v>11838</v>
      </c>
    </row>
    <row r="4589" spans="1:4" ht="16.5">
      <c r="A4589" s="663" t="s">
        <v>242</v>
      </c>
      <c r="B4589" t="s">
        <v>11835</v>
      </c>
      <c r="C4589" s="900" t="s">
        <v>11837</v>
      </c>
      <c r="D4589" s="905" t="s">
        <v>11838</v>
      </c>
    </row>
    <row r="4590" spans="1:4" ht="16.5">
      <c r="A4590" s="663" t="s">
        <v>234</v>
      </c>
      <c r="B4590" t="s">
        <v>11835</v>
      </c>
      <c r="C4590" s="900" t="s">
        <v>11837</v>
      </c>
      <c r="D4590" s="905" t="s">
        <v>11838</v>
      </c>
    </row>
    <row r="4591" spans="1:4" ht="16.5">
      <c r="A4591" s="663" t="s">
        <v>10557</v>
      </c>
      <c r="B4591" t="s">
        <v>11835</v>
      </c>
      <c r="C4591" s="900" t="s">
        <v>11837</v>
      </c>
      <c r="D4591" s="905" t="s">
        <v>11838</v>
      </c>
    </row>
    <row r="4592" spans="1:4" ht="16.5">
      <c r="A4592" s="663" t="s">
        <v>10559</v>
      </c>
      <c r="B4592" t="s">
        <v>11835</v>
      </c>
      <c r="C4592" s="900" t="s">
        <v>11837</v>
      </c>
      <c r="D4592" s="905" t="s">
        <v>11838</v>
      </c>
    </row>
    <row r="4593" spans="1:4" ht="16.5">
      <c r="A4593" s="663" t="s">
        <v>10561</v>
      </c>
      <c r="B4593" t="s">
        <v>11835</v>
      </c>
      <c r="C4593" s="900" t="s">
        <v>11837</v>
      </c>
      <c r="D4593" s="905" t="s">
        <v>11838</v>
      </c>
    </row>
    <row r="4594" spans="1:4" ht="16.5">
      <c r="A4594" s="663" t="s">
        <v>249</v>
      </c>
      <c r="B4594" t="s">
        <v>11835</v>
      </c>
      <c r="C4594" s="900" t="s">
        <v>11837</v>
      </c>
      <c r="D4594" s="905" t="s">
        <v>11838</v>
      </c>
    </row>
    <row r="4595" spans="1:4" ht="16.5">
      <c r="A4595" s="663" t="s">
        <v>257</v>
      </c>
      <c r="B4595" t="s">
        <v>11835</v>
      </c>
      <c r="C4595" s="900" t="s">
        <v>11837</v>
      </c>
      <c r="D4595" s="905" t="s">
        <v>11838</v>
      </c>
    </row>
    <row r="4596" spans="1:4" ht="16.5">
      <c r="A4596" s="663" t="s">
        <v>253</v>
      </c>
      <c r="B4596" t="s">
        <v>11835</v>
      </c>
      <c r="C4596" s="900" t="s">
        <v>11837</v>
      </c>
      <c r="D4596" s="905" t="s">
        <v>11838</v>
      </c>
    </row>
    <row r="4597" spans="1:4" ht="16.5">
      <c r="A4597" s="663" t="s">
        <v>255</v>
      </c>
      <c r="B4597" t="s">
        <v>11835</v>
      </c>
      <c r="C4597" s="900" t="s">
        <v>11837</v>
      </c>
      <c r="D4597" s="905" t="s">
        <v>11838</v>
      </c>
    </row>
    <row r="4598" spans="1:4" ht="16.5">
      <c r="A4598" s="663" t="s">
        <v>251</v>
      </c>
      <c r="B4598" t="s">
        <v>11835</v>
      </c>
      <c r="C4598" s="900" t="s">
        <v>11837</v>
      </c>
      <c r="D4598" s="905" t="s">
        <v>11838</v>
      </c>
    </row>
    <row r="4599" spans="1:4" ht="16.5">
      <c r="A4599" s="663" t="s">
        <v>10568</v>
      </c>
      <c r="B4599" t="s">
        <v>11835</v>
      </c>
      <c r="C4599" s="900" t="s">
        <v>11837</v>
      </c>
      <c r="D4599" s="905" t="s">
        <v>11838</v>
      </c>
    </row>
    <row r="4600" spans="1:4" ht="16.5">
      <c r="A4600" s="663" t="s">
        <v>10570</v>
      </c>
      <c r="B4600" t="s">
        <v>11835</v>
      </c>
      <c r="C4600" s="900" t="s">
        <v>11837</v>
      </c>
      <c r="D4600" s="905" t="s">
        <v>11838</v>
      </c>
    </row>
    <row r="4601" spans="1:4" ht="16.5">
      <c r="A4601" s="663" t="s">
        <v>10574</v>
      </c>
      <c r="B4601" t="s">
        <v>11835</v>
      </c>
      <c r="C4601" s="900" t="s">
        <v>11837</v>
      </c>
      <c r="D4601" s="905" t="s">
        <v>11838</v>
      </c>
    </row>
    <row r="4602" spans="1:4" ht="16.5">
      <c r="A4602" s="663" t="s">
        <v>10576</v>
      </c>
      <c r="B4602" t="s">
        <v>11835</v>
      </c>
      <c r="C4602" s="900" t="s">
        <v>11837</v>
      </c>
      <c r="D4602" s="905" t="s">
        <v>11838</v>
      </c>
    </row>
    <row r="4603" spans="1:4" ht="16.5">
      <c r="A4603" s="663" t="s">
        <v>10578</v>
      </c>
      <c r="B4603" t="s">
        <v>11835</v>
      </c>
      <c r="C4603" s="900" t="s">
        <v>11837</v>
      </c>
      <c r="D4603" s="905" t="s">
        <v>11838</v>
      </c>
    </row>
    <row r="4604" spans="1:4" ht="16.5">
      <c r="A4604" s="663" t="s">
        <v>10580</v>
      </c>
      <c r="B4604" t="s">
        <v>11835</v>
      </c>
      <c r="C4604" s="900" t="s">
        <v>11837</v>
      </c>
      <c r="D4604" s="905" t="s">
        <v>11838</v>
      </c>
    </row>
    <row r="4605" spans="1:4" ht="16.5">
      <c r="A4605" s="663" t="s">
        <v>10582</v>
      </c>
      <c r="B4605" t="s">
        <v>11835</v>
      </c>
      <c r="C4605" s="900" t="s">
        <v>11837</v>
      </c>
      <c r="D4605" s="905" t="s">
        <v>11838</v>
      </c>
    </row>
    <row r="4606" spans="1:4" ht="16.5">
      <c r="A4606" s="663" t="s">
        <v>10584</v>
      </c>
      <c r="B4606" t="s">
        <v>11835</v>
      </c>
      <c r="C4606" s="900" t="s">
        <v>11837</v>
      </c>
      <c r="D4606" s="905" t="s">
        <v>11838</v>
      </c>
    </row>
    <row r="4607" spans="1:4" ht="16.5">
      <c r="A4607" s="663" t="s">
        <v>10586</v>
      </c>
      <c r="B4607" t="s">
        <v>11835</v>
      </c>
      <c r="C4607" s="900" t="s">
        <v>11837</v>
      </c>
      <c r="D4607" s="905" t="s">
        <v>11838</v>
      </c>
    </row>
    <row r="4608" spans="1:4" ht="16.5">
      <c r="A4608" s="663" t="s">
        <v>10588</v>
      </c>
      <c r="B4608" t="s">
        <v>11835</v>
      </c>
      <c r="C4608" s="900" t="s">
        <v>11837</v>
      </c>
      <c r="D4608" s="905" t="s">
        <v>11838</v>
      </c>
    </row>
    <row r="4609" spans="1:4" ht="16.5">
      <c r="A4609" s="663" t="s">
        <v>10590</v>
      </c>
      <c r="B4609" t="s">
        <v>11835</v>
      </c>
      <c r="C4609" s="900" t="s">
        <v>11837</v>
      </c>
      <c r="D4609" s="905" t="s">
        <v>11838</v>
      </c>
    </row>
    <row r="4610" spans="1:4" ht="16.5">
      <c r="A4610" s="663" t="s">
        <v>10592</v>
      </c>
      <c r="B4610" t="s">
        <v>11835</v>
      </c>
      <c r="C4610" s="900" t="s">
        <v>11837</v>
      </c>
      <c r="D4610" s="905" t="s">
        <v>11838</v>
      </c>
    </row>
    <row r="4611" spans="1:4" ht="16.5">
      <c r="A4611" s="663" t="s">
        <v>10594</v>
      </c>
      <c r="B4611" t="s">
        <v>11835</v>
      </c>
      <c r="C4611" s="900" t="s">
        <v>11837</v>
      </c>
      <c r="D4611" s="905" t="s">
        <v>11838</v>
      </c>
    </row>
    <row r="4612" spans="1:4" ht="16.5">
      <c r="A4612" s="663" t="s">
        <v>10596</v>
      </c>
      <c r="B4612" t="s">
        <v>11835</v>
      </c>
      <c r="C4612" s="900" t="s">
        <v>11837</v>
      </c>
      <c r="D4612" s="905" t="s">
        <v>11838</v>
      </c>
    </row>
    <row r="4613" spans="1:4" ht="16.5">
      <c r="A4613" s="662" t="s">
        <v>674</v>
      </c>
      <c r="C4613" s="900" t="s">
        <v>11837</v>
      </c>
      <c r="D4613" s="905" t="s">
        <v>11838</v>
      </c>
    </row>
    <row r="4614" spans="1:4" ht="16.5">
      <c r="A4614" s="663" t="s">
        <v>10600</v>
      </c>
      <c r="B4614" t="s">
        <v>11836</v>
      </c>
      <c r="C4614" s="900" t="s">
        <v>11837</v>
      </c>
      <c r="D4614" s="905" t="s">
        <v>11838</v>
      </c>
    </row>
    <row r="4615" spans="1:4" ht="16.5">
      <c r="A4615" s="663" t="s">
        <v>10602</v>
      </c>
      <c r="B4615" t="s">
        <v>11836</v>
      </c>
      <c r="C4615" s="900" t="s">
        <v>11837</v>
      </c>
      <c r="D4615" s="905" t="s">
        <v>11838</v>
      </c>
    </row>
    <row r="4616" spans="1:4" ht="16.5">
      <c r="A4616" s="663" t="s">
        <v>10604</v>
      </c>
      <c r="B4616" t="s">
        <v>11836</v>
      </c>
      <c r="C4616" s="900" t="s">
        <v>11837</v>
      </c>
      <c r="D4616" s="905" t="s">
        <v>11838</v>
      </c>
    </row>
    <row r="4617" spans="1:4" ht="16.5">
      <c r="A4617" s="663" t="s">
        <v>666</v>
      </c>
      <c r="B4617" t="s">
        <v>11836</v>
      </c>
      <c r="C4617" s="900" t="s">
        <v>11837</v>
      </c>
      <c r="D4617" s="905" t="s">
        <v>11838</v>
      </c>
    </row>
    <row r="4618" spans="1:4" ht="16.5">
      <c r="A4618" s="663" t="s">
        <v>667</v>
      </c>
      <c r="B4618" t="s">
        <v>11836</v>
      </c>
      <c r="C4618" s="900" t="s">
        <v>11837</v>
      </c>
      <c r="D4618" s="905" t="s">
        <v>11838</v>
      </c>
    </row>
    <row r="4619" spans="1:4" ht="16.5">
      <c r="A4619" s="663" t="s">
        <v>668</v>
      </c>
      <c r="B4619" t="s">
        <v>11836</v>
      </c>
      <c r="C4619" s="900" t="s">
        <v>11837</v>
      </c>
      <c r="D4619" s="905" t="s">
        <v>11838</v>
      </c>
    </row>
    <row r="4620" spans="1:4" ht="16.5">
      <c r="A4620" s="663" t="s">
        <v>10609</v>
      </c>
      <c r="B4620" t="s">
        <v>11836</v>
      </c>
      <c r="C4620" s="900" t="s">
        <v>11837</v>
      </c>
      <c r="D4620" s="905" t="s">
        <v>11838</v>
      </c>
    </row>
    <row r="4621" spans="1:4" ht="16.5">
      <c r="A4621" s="663" t="s">
        <v>10611</v>
      </c>
      <c r="B4621" t="s">
        <v>11836</v>
      </c>
      <c r="C4621" s="900" t="s">
        <v>11837</v>
      </c>
      <c r="D4621" s="905" t="s">
        <v>11838</v>
      </c>
    </row>
    <row r="4622" spans="1:4" ht="16.5">
      <c r="A4622" s="663" t="s">
        <v>10614</v>
      </c>
      <c r="B4622" t="s">
        <v>11836</v>
      </c>
      <c r="C4622" s="900" t="s">
        <v>11837</v>
      </c>
      <c r="D4622" s="905" t="s">
        <v>11838</v>
      </c>
    </row>
    <row r="4623" spans="1:4" ht="16.5">
      <c r="A4623" s="663" t="s">
        <v>10616</v>
      </c>
      <c r="B4623" t="s">
        <v>11836</v>
      </c>
      <c r="C4623" s="900" t="s">
        <v>11837</v>
      </c>
      <c r="D4623" s="905" t="s">
        <v>11838</v>
      </c>
    </row>
    <row r="4624" spans="1:4" ht="16.5">
      <c r="A4624" s="663" t="s">
        <v>10618</v>
      </c>
      <c r="B4624" t="s">
        <v>11836</v>
      </c>
      <c r="C4624" s="900" t="s">
        <v>11837</v>
      </c>
      <c r="D4624" s="905" t="s">
        <v>11838</v>
      </c>
    </row>
    <row r="4625" spans="1:4" ht="16.5">
      <c r="A4625" s="663" t="s">
        <v>10620</v>
      </c>
      <c r="B4625" t="s">
        <v>11836</v>
      </c>
      <c r="C4625" s="900" t="s">
        <v>11837</v>
      </c>
      <c r="D4625" s="905" t="s">
        <v>11838</v>
      </c>
    </row>
    <row r="4626" spans="1:4" ht="16.5">
      <c r="A4626" s="663" t="s">
        <v>10622</v>
      </c>
      <c r="B4626" t="s">
        <v>11836</v>
      </c>
      <c r="C4626" s="900" t="s">
        <v>11837</v>
      </c>
      <c r="D4626" s="905" t="s">
        <v>11838</v>
      </c>
    </row>
    <row r="4627" spans="1:4" ht="16.5">
      <c r="A4627" s="663" t="s">
        <v>10624</v>
      </c>
      <c r="B4627" t="s">
        <v>11836</v>
      </c>
      <c r="C4627" s="900" t="s">
        <v>11837</v>
      </c>
      <c r="D4627" s="905" t="s">
        <v>11838</v>
      </c>
    </row>
    <row r="4628" spans="1:4" ht="16.5">
      <c r="A4628" s="663" t="s">
        <v>10626</v>
      </c>
      <c r="B4628" t="s">
        <v>11836</v>
      </c>
      <c r="C4628" s="900" t="s">
        <v>11837</v>
      </c>
      <c r="D4628" s="905" t="s">
        <v>11838</v>
      </c>
    </row>
    <row r="4629" spans="1:4" ht="16.5">
      <c r="A4629" s="663" t="s">
        <v>10628</v>
      </c>
      <c r="B4629" t="s">
        <v>11836</v>
      </c>
      <c r="C4629" s="900" t="s">
        <v>11837</v>
      </c>
      <c r="D4629" s="905" t="s">
        <v>11838</v>
      </c>
    </row>
    <row r="4630" spans="1:4" ht="16.5">
      <c r="A4630" s="663" t="s">
        <v>10631</v>
      </c>
      <c r="B4630" t="s">
        <v>11836</v>
      </c>
      <c r="C4630" s="900" t="s">
        <v>11837</v>
      </c>
      <c r="D4630" s="905" t="s">
        <v>11838</v>
      </c>
    </row>
    <row r="4631" spans="1:4" ht="16.5">
      <c r="A4631" s="663" t="s">
        <v>650</v>
      </c>
      <c r="B4631" t="s">
        <v>11836</v>
      </c>
      <c r="C4631" s="900" t="s">
        <v>11837</v>
      </c>
      <c r="D4631" s="905" t="s">
        <v>11838</v>
      </c>
    </row>
    <row r="4632" spans="1:4" ht="16.5">
      <c r="A4632" s="663" t="s">
        <v>652</v>
      </c>
      <c r="B4632" t="s">
        <v>11836</v>
      </c>
      <c r="C4632" s="900" t="s">
        <v>11837</v>
      </c>
      <c r="D4632" s="905" t="s">
        <v>11838</v>
      </c>
    </row>
    <row r="4633" spans="1:4" ht="16.5">
      <c r="A4633" s="663" t="s">
        <v>654</v>
      </c>
      <c r="B4633" t="s">
        <v>11836</v>
      </c>
      <c r="C4633" s="900" t="s">
        <v>11837</v>
      </c>
      <c r="D4633" s="905" t="s">
        <v>11838</v>
      </c>
    </row>
    <row r="4634" spans="1:4" ht="16.5">
      <c r="A4634" s="663" t="s">
        <v>656</v>
      </c>
      <c r="B4634" t="s">
        <v>11836</v>
      </c>
      <c r="C4634" s="900" t="s">
        <v>11837</v>
      </c>
      <c r="D4634" s="905" t="s">
        <v>11838</v>
      </c>
    </row>
    <row r="4635" spans="1:4" ht="16.5">
      <c r="A4635" s="663" t="s">
        <v>658</v>
      </c>
      <c r="B4635" t="s">
        <v>11836</v>
      </c>
      <c r="C4635" s="900" t="s">
        <v>11837</v>
      </c>
      <c r="D4635" s="905" t="s">
        <v>11838</v>
      </c>
    </row>
    <row r="4636" spans="1:4" ht="16.5">
      <c r="A4636" s="663" t="s">
        <v>10638</v>
      </c>
      <c r="B4636" t="s">
        <v>11836</v>
      </c>
      <c r="C4636" s="900" t="s">
        <v>11837</v>
      </c>
      <c r="D4636" s="905" t="s">
        <v>11838</v>
      </c>
    </row>
    <row r="4637" spans="1:4" ht="16.5">
      <c r="A4637" s="663" t="s">
        <v>10640</v>
      </c>
      <c r="B4637" t="s">
        <v>11836</v>
      </c>
      <c r="C4637" s="900" t="s">
        <v>11837</v>
      </c>
      <c r="D4637" s="905" t="s">
        <v>11838</v>
      </c>
    </row>
    <row r="4638" spans="1:4" ht="16.5">
      <c r="A4638" s="663" t="s">
        <v>660</v>
      </c>
      <c r="B4638" t="s">
        <v>11836</v>
      </c>
      <c r="C4638" s="900" t="s">
        <v>11837</v>
      </c>
      <c r="D4638" s="905" t="s">
        <v>11838</v>
      </c>
    </row>
    <row r="4639" spans="1:4" ht="16.5">
      <c r="A4639" s="663" t="s">
        <v>10645</v>
      </c>
      <c r="B4639" t="s">
        <v>11836</v>
      </c>
      <c r="C4639" s="900" t="s">
        <v>11837</v>
      </c>
      <c r="D4639" s="905" t="s">
        <v>11838</v>
      </c>
    </row>
    <row r="4640" spans="1:4" ht="16.5">
      <c r="A4640" s="663" t="s">
        <v>10647</v>
      </c>
      <c r="B4640" t="s">
        <v>11836</v>
      </c>
      <c r="C4640" s="900" t="s">
        <v>11837</v>
      </c>
      <c r="D4640" s="905" t="s">
        <v>11838</v>
      </c>
    </row>
    <row r="4641" spans="1:4" ht="16.5">
      <c r="A4641" s="663" t="s">
        <v>10649</v>
      </c>
      <c r="B4641" t="s">
        <v>11836</v>
      </c>
      <c r="C4641" s="900" t="s">
        <v>11837</v>
      </c>
      <c r="D4641" s="905" t="s">
        <v>11838</v>
      </c>
    </row>
    <row r="4642" spans="1:4" ht="16.5">
      <c r="A4642" s="663" t="s">
        <v>10651</v>
      </c>
      <c r="B4642" t="s">
        <v>11836</v>
      </c>
      <c r="C4642" s="900" t="s">
        <v>11837</v>
      </c>
      <c r="D4642" s="905" t="s">
        <v>11838</v>
      </c>
    </row>
    <row r="4643" spans="1:4" ht="16.5">
      <c r="A4643" s="663" t="s">
        <v>10653</v>
      </c>
      <c r="B4643" t="s">
        <v>11836</v>
      </c>
      <c r="C4643" s="900" t="s">
        <v>11837</v>
      </c>
      <c r="D4643" s="905" t="s">
        <v>11838</v>
      </c>
    </row>
    <row r="4644" spans="1:4" ht="16.5">
      <c r="A4644" s="663" t="s">
        <v>638</v>
      </c>
      <c r="B4644" t="s">
        <v>11836</v>
      </c>
      <c r="C4644" s="900" t="s">
        <v>11837</v>
      </c>
      <c r="D4644" s="905" t="s">
        <v>11838</v>
      </c>
    </row>
    <row r="4645" spans="1:4" ht="16.5">
      <c r="A4645" s="663" t="s">
        <v>640</v>
      </c>
      <c r="B4645" t="s">
        <v>11836</v>
      </c>
      <c r="C4645" s="900" t="s">
        <v>11837</v>
      </c>
      <c r="D4645" s="905" t="s">
        <v>11838</v>
      </c>
    </row>
    <row r="4646" spans="1:4" ht="16.5">
      <c r="A4646" s="663" t="s">
        <v>642</v>
      </c>
      <c r="B4646" t="s">
        <v>11836</v>
      </c>
      <c r="C4646" s="900" t="s">
        <v>11837</v>
      </c>
      <c r="D4646" s="905" t="s">
        <v>11838</v>
      </c>
    </row>
    <row r="4647" spans="1:4" ht="16.5">
      <c r="A4647" s="663" t="s">
        <v>644</v>
      </c>
      <c r="B4647" t="s">
        <v>11836</v>
      </c>
      <c r="C4647" s="900" t="s">
        <v>11837</v>
      </c>
      <c r="D4647" s="905" t="s">
        <v>11838</v>
      </c>
    </row>
    <row r="4648" spans="1:4" ht="16.5">
      <c r="A4648" s="663" t="s">
        <v>10655</v>
      </c>
      <c r="B4648" t="s">
        <v>11836</v>
      </c>
      <c r="C4648" s="900" t="s">
        <v>11837</v>
      </c>
      <c r="D4648" s="905" t="s">
        <v>11838</v>
      </c>
    </row>
    <row r="4649" spans="1:4" ht="16.5">
      <c r="A4649" s="663" t="s">
        <v>626</v>
      </c>
      <c r="B4649" t="s">
        <v>11836</v>
      </c>
      <c r="C4649" s="900" t="s">
        <v>11837</v>
      </c>
      <c r="D4649" s="905" t="s">
        <v>11838</v>
      </c>
    </row>
    <row r="4650" spans="1:4" ht="16.5">
      <c r="A4650" s="663" t="s">
        <v>629</v>
      </c>
      <c r="B4650" t="s">
        <v>11836</v>
      </c>
      <c r="C4650" s="900" t="s">
        <v>11837</v>
      </c>
      <c r="D4650" s="905" t="s">
        <v>11838</v>
      </c>
    </row>
    <row r="4651" spans="1:4" ht="16.5">
      <c r="A4651" s="663" t="s">
        <v>631</v>
      </c>
      <c r="B4651" t="s">
        <v>11836</v>
      </c>
      <c r="C4651" s="900" t="s">
        <v>11837</v>
      </c>
      <c r="D4651" s="905" t="s">
        <v>11838</v>
      </c>
    </row>
    <row r="4652" spans="1:4" ht="16.5">
      <c r="A4652" s="663" t="s">
        <v>633</v>
      </c>
      <c r="B4652" t="s">
        <v>11836</v>
      </c>
      <c r="C4652" s="900" t="s">
        <v>11837</v>
      </c>
      <c r="D4652" s="905" t="s">
        <v>11838</v>
      </c>
    </row>
    <row r="4653" spans="1:4" ht="16.5">
      <c r="A4653" s="663" t="s">
        <v>10661</v>
      </c>
      <c r="B4653" t="s">
        <v>11836</v>
      </c>
      <c r="C4653" s="900" t="s">
        <v>11837</v>
      </c>
      <c r="D4653" s="905" t="s">
        <v>11838</v>
      </c>
    </row>
    <row r="4654" spans="1:4" ht="16.5">
      <c r="A4654" s="663" t="s">
        <v>10663</v>
      </c>
      <c r="B4654" t="s">
        <v>11836</v>
      </c>
      <c r="C4654" s="900" t="s">
        <v>11837</v>
      </c>
      <c r="D4654" s="905" t="s">
        <v>11838</v>
      </c>
    </row>
    <row r="4655" spans="1:4" ht="16.5">
      <c r="A4655" s="663" t="s">
        <v>10665</v>
      </c>
      <c r="B4655" t="s">
        <v>11836</v>
      </c>
      <c r="C4655" s="900" t="s">
        <v>11837</v>
      </c>
      <c r="D4655" s="905" t="s">
        <v>11838</v>
      </c>
    </row>
    <row r="4656" spans="1:4" ht="16.5">
      <c r="A4656" s="663" t="s">
        <v>10667</v>
      </c>
      <c r="B4656" t="s">
        <v>11836</v>
      </c>
      <c r="C4656" s="900" t="s">
        <v>11837</v>
      </c>
      <c r="D4656" s="905" t="s">
        <v>11838</v>
      </c>
    </row>
    <row r="4657" spans="1:4" ht="16.5">
      <c r="A4657" s="663" t="s">
        <v>10669</v>
      </c>
      <c r="B4657" t="s">
        <v>11836</v>
      </c>
      <c r="C4657" s="900" t="s">
        <v>11837</v>
      </c>
      <c r="D4657" s="905" t="s">
        <v>11838</v>
      </c>
    </row>
    <row r="4658" spans="1:4" ht="16.5">
      <c r="A4658" s="663" t="s">
        <v>10671</v>
      </c>
      <c r="B4658" t="s">
        <v>11836</v>
      </c>
      <c r="C4658" s="900" t="s">
        <v>11837</v>
      </c>
      <c r="D4658" s="905" t="s">
        <v>11838</v>
      </c>
    </row>
    <row r="4659" spans="1:4" ht="16.5">
      <c r="A4659" s="663" t="s">
        <v>10673</v>
      </c>
      <c r="B4659" t="s">
        <v>11836</v>
      </c>
      <c r="C4659" s="900" t="s">
        <v>11837</v>
      </c>
      <c r="D4659" s="905" t="s">
        <v>11838</v>
      </c>
    </row>
    <row r="4660" spans="1:4" ht="16.5">
      <c r="A4660" s="663" t="s">
        <v>10675</v>
      </c>
      <c r="B4660" t="s">
        <v>11836</v>
      </c>
      <c r="C4660" s="900" t="s">
        <v>11837</v>
      </c>
      <c r="D4660" s="905" t="s">
        <v>11838</v>
      </c>
    </row>
    <row r="4661" spans="1:4" ht="16.5">
      <c r="A4661" s="663" t="s">
        <v>10677</v>
      </c>
      <c r="B4661" t="s">
        <v>11836</v>
      </c>
      <c r="C4661" s="900" t="s">
        <v>11837</v>
      </c>
      <c r="D4661" s="905" t="s">
        <v>11838</v>
      </c>
    </row>
    <row r="4662" spans="1:4" ht="16.5">
      <c r="A4662" s="663" t="s">
        <v>10679</v>
      </c>
      <c r="B4662" t="s">
        <v>11836</v>
      </c>
      <c r="C4662" s="900" t="s">
        <v>11837</v>
      </c>
      <c r="D4662" s="905" t="s">
        <v>11838</v>
      </c>
    </row>
    <row r="4663" spans="1:4" ht="16.5">
      <c r="A4663" s="663" t="s">
        <v>10681</v>
      </c>
      <c r="B4663" t="s">
        <v>11836</v>
      </c>
      <c r="C4663" s="900" t="s">
        <v>11837</v>
      </c>
      <c r="D4663" s="905" t="s">
        <v>11838</v>
      </c>
    </row>
    <row r="4664" spans="1:4" ht="16.5">
      <c r="A4664" s="663" t="s">
        <v>10683</v>
      </c>
      <c r="B4664" t="s">
        <v>11836</v>
      </c>
      <c r="C4664" s="900" t="s">
        <v>11837</v>
      </c>
      <c r="D4664" s="905" t="s">
        <v>11838</v>
      </c>
    </row>
    <row r="4665" spans="1:4" ht="16.5">
      <c r="A4665" s="663" t="s">
        <v>10685</v>
      </c>
      <c r="B4665" t="s">
        <v>11836</v>
      </c>
      <c r="C4665" s="900" t="s">
        <v>11837</v>
      </c>
      <c r="D4665" s="905" t="s">
        <v>11838</v>
      </c>
    </row>
    <row r="4666" spans="1:4" ht="16.5">
      <c r="A4666" s="663" t="s">
        <v>10687</v>
      </c>
      <c r="B4666" t="s">
        <v>11836</v>
      </c>
      <c r="C4666" s="900" t="s">
        <v>11837</v>
      </c>
      <c r="D4666" s="905" t="s">
        <v>11838</v>
      </c>
    </row>
    <row r="4667" spans="1:4" ht="16.5">
      <c r="A4667" s="663" t="s">
        <v>10689</v>
      </c>
      <c r="B4667" t="s">
        <v>11836</v>
      </c>
      <c r="C4667" s="900" t="s">
        <v>11837</v>
      </c>
      <c r="D4667" s="905" t="s">
        <v>11838</v>
      </c>
    </row>
    <row r="4668" spans="1:4" ht="16.5">
      <c r="A4668" s="663" t="s">
        <v>10691</v>
      </c>
      <c r="B4668" t="s">
        <v>11836</v>
      </c>
      <c r="C4668" s="900" t="s">
        <v>11837</v>
      </c>
      <c r="D4668" s="905" t="s">
        <v>11838</v>
      </c>
    </row>
    <row r="4669" spans="1:4" ht="16.5">
      <c r="A4669" s="663" t="s">
        <v>10693</v>
      </c>
      <c r="B4669" t="s">
        <v>11836</v>
      </c>
      <c r="C4669" s="900" t="s">
        <v>11837</v>
      </c>
      <c r="D4669" s="905" t="s">
        <v>11838</v>
      </c>
    </row>
    <row r="4670" spans="1:4" ht="16.5">
      <c r="A4670" s="663" t="s">
        <v>10695</v>
      </c>
      <c r="B4670" t="s">
        <v>11836</v>
      </c>
      <c r="C4670" s="900" t="s">
        <v>11837</v>
      </c>
      <c r="D4670" s="905" t="s">
        <v>11838</v>
      </c>
    </row>
    <row r="4671" spans="1:4" ht="16.5">
      <c r="A4671" s="663" t="s">
        <v>10697</v>
      </c>
      <c r="B4671" t="s">
        <v>11836</v>
      </c>
      <c r="C4671" s="900" t="s">
        <v>11837</v>
      </c>
      <c r="D4671" s="905" t="s">
        <v>11838</v>
      </c>
    </row>
    <row r="4672" spans="1:4" ht="16.5">
      <c r="A4672" s="663" t="s">
        <v>10699</v>
      </c>
      <c r="B4672" t="s">
        <v>11836</v>
      </c>
      <c r="C4672" s="900" t="s">
        <v>11837</v>
      </c>
      <c r="D4672" s="905" t="s">
        <v>11838</v>
      </c>
    </row>
    <row r="4673" spans="1:4" ht="16.5">
      <c r="A4673" s="663" t="s">
        <v>10701</v>
      </c>
      <c r="B4673" t="s">
        <v>11836</v>
      </c>
      <c r="C4673" s="900" t="s">
        <v>11837</v>
      </c>
      <c r="D4673" s="905" t="s">
        <v>11838</v>
      </c>
    </row>
    <row r="4674" spans="1:4" ht="16.5">
      <c r="A4674" s="663" t="s">
        <v>10705</v>
      </c>
      <c r="B4674" t="s">
        <v>11836</v>
      </c>
      <c r="C4674" s="900" t="s">
        <v>11837</v>
      </c>
      <c r="D4674" s="905" t="s">
        <v>11838</v>
      </c>
    </row>
    <row r="4675" spans="1:4" ht="16.5">
      <c r="A4675" s="663" t="s">
        <v>10707</v>
      </c>
      <c r="B4675" t="s">
        <v>11836</v>
      </c>
      <c r="C4675" s="900" t="s">
        <v>11837</v>
      </c>
      <c r="D4675" s="905" t="s">
        <v>11838</v>
      </c>
    </row>
    <row r="4676" spans="1:4" ht="16.5">
      <c r="A4676" s="663" t="s">
        <v>10709</v>
      </c>
      <c r="B4676" t="s">
        <v>11836</v>
      </c>
      <c r="C4676" s="900" t="s">
        <v>11837</v>
      </c>
      <c r="D4676" s="905" t="s">
        <v>11838</v>
      </c>
    </row>
    <row r="4677" spans="1:4" ht="16.5">
      <c r="A4677" s="663" t="s">
        <v>10711</v>
      </c>
      <c r="B4677" t="s">
        <v>11836</v>
      </c>
      <c r="C4677" s="900" t="s">
        <v>11837</v>
      </c>
      <c r="D4677" s="905" t="s">
        <v>11838</v>
      </c>
    </row>
    <row r="4678" spans="1:4" ht="16.5">
      <c r="A4678" s="663" t="s">
        <v>10713</v>
      </c>
      <c r="B4678" t="s">
        <v>11836</v>
      </c>
      <c r="C4678" s="900" t="s">
        <v>11837</v>
      </c>
      <c r="D4678" s="905" t="s">
        <v>11838</v>
      </c>
    </row>
    <row r="4679" spans="1:4" ht="16.5">
      <c r="A4679" s="663" t="s">
        <v>10716</v>
      </c>
      <c r="B4679" t="s">
        <v>11836</v>
      </c>
      <c r="C4679" s="900" t="s">
        <v>11837</v>
      </c>
      <c r="D4679" s="905" t="s">
        <v>11838</v>
      </c>
    </row>
    <row r="4680" spans="1:4" ht="16.5">
      <c r="A4680" s="663" t="s">
        <v>10718</v>
      </c>
      <c r="B4680" t="s">
        <v>11836</v>
      </c>
      <c r="C4680" s="900" t="s">
        <v>11837</v>
      </c>
      <c r="D4680" s="905" t="s">
        <v>11838</v>
      </c>
    </row>
    <row r="4681" spans="1:4" ht="16.5">
      <c r="A4681" s="663" t="s">
        <v>10720</v>
      </c>
      <c r="B4681" t="s">
        <v>11836</v>
      </c>
      <c r="C4681" s="900" t="s">
        <v>11837</v>
      </c>
      <c r="D4681" s="905" t="s">
        <v>11838</v>
      </c>
    </row>
    <row r="4682" spans="1:4" ht="16.5">
      <c r="A4682" s="663" t="s">
        <v>10722</v>
      </c>
      <c r="B4682" t="s">
        <v>11836</v>
      </c>
      <c r="C4682" s="900" t="s">
        <v>11837</v>
      </c>
      <c r="D4682" s="905" t="s">
        <v>11838</v>
      </c>
    </row>
    <row r="4683" spans="1:4" ht="16.5">
      <c r="A4683" s="663" t="s">
        <v>10724</v>
      </c>
      <c r="B4683" t="s">
        <v>11836</v>
      </c>
      <c r="C4683" s="900" t="s">
        <v>11837</v>
      </c>
      <c r="D4683" s="905" t="s">
        <v>11838</v>
      </c>
    </row>
    <row r="4684" spans="1:4" ht="16.5">
      <c r="A4684" s="663" t="s">
        <v>10726</v>
      </c>
      <c r="B4684" t="s">
        <v>11836</v>
      </c>
      <c r="C4684" s="900" t="s">
        <v>11837</v>
      </c>
      <c r="D4684" s="905" t="s">
        <v>11838</v>
      </c>
    </row>
    <row r="4685" spans="1:4" ht="16.5">
      <c r="A4685" s="663" t="s">
        <v>10727</v>
      </c>
      <c r="B4685" t="s">
        <v>11836</v>
      </c>
      <c r="C4685" s="900" t="s">
        <v>11837</v>
      </c>
      <c r="D4685" s="905" t="s">
        <v>11838</v>
      </c>
    </row>
    <row r="4686" spans="1:4" ht="16.5">
      <c r="A4686" s="663" t="s">
        <v>10729</v>
      </c>
      <c r="B4686" t="s">
        <v>11836</v>
      </c>
      <c r="C4686" s="900" t="s">
        <v>11837</v>
      </c>
      <c r="D4686" s="905" t="s">
        <v>11838</v>
      </c>
    </row>
    <row r="4687" spans="1:4" ht="16.5">
      <c r="A4687" s="663" t="s">
        <v>10731</v>
      </c>
      <c r="B4687" t="s">
        <v>11836</v>
      </c>
      <c r="C4687" s="900" t="s">
        <v>11837</v>
      </c>
      <c r="D4687" s="905" t="s">
        <v>11838</v>
      </c>
    </row>
    <row r="4688" spans="1:4" ht="16.5">
      <c r="A4688" s="663" t="s">
        <v>10733</v>
      </c>
      <c r="B4688" t="s">
        <v>11836</v>
      </c>
      <c r="C4688" s="900" t="s">
        <v>11837</v>
      </c>
      <c r="D4688" s="905" t="s">
        <v>11838</v>
      </c>
    </row>
    <row r="4689" spans="1:4" ht="16.5">
      <c r="A4689" s="663" t="s">
        <v>2168</v>
      </c>
      <c r="B4689" t="s">
        <v>11836</v>
      </c>
      <c r="C4689" s="900" t="s">
        <v>11837</v>
      </c>
      <c r="D4689" s="905" t="s">
        <v>11838</v>
      </c>
    </row>
    <row r="4690" spans="1:4" ht="16.5">
      <c r="A4690" s="663" t="s">
        <v>10735</v>
      </c>
      <c r="B4690" t="s">
        <v>11836</v>
      </c>
      <c r="C4690" s="900" t="s">
        <v>11837</v>
      </c>
      <c r="D4690" s="905" t="s">
        <v>11838</v>
      </c>
    </row>
    <row r="4692" spans="1:4" ht="16.5">
      <c r="A4692" s="662" t="s">
        <v>674</v>
      </c>
      <c r="B4692" t="s">
        <v>11826</v>
      </c>
      <c r="C4692" s="900" t="s">
        <v>11837</v>
      </c>
      <c r="D4692" s="905" t="s">
        <v>11838</v>
      </c>
    </row>
    <row r="4693" spans="1:4" ht="16.5">
      <c r="A4693" s="663" t="s">
        <v>10740</v>
      </c>
      <c r="B4693" t="s">
        <v>11826</v>
      </c>
      <c r="C4693" s="900" t="s">
        <v>11837</v>
      </c>
      <c r="D4693" s="905" t="s">
        <v>11838</v>
      </c>
    </row>
    <row r="4694" spans="1:4" ht="16.5">
      <c r="A4694" s="663" t="s">
        <v>10742</v>
      </c>
      <c r="B4694" t="s">
        <v>11826</v>
      </c>
      <c r="C4694" s="900" t="s">
        <v>11837</v>
      </c>
      <c r="D4694" s="905" t="s">
        <v>11838</v>
      </c>
    </row>
    <row r="4695" spans="1:4" ht="16.5">
      <c r="A4695" s="663" t="s">
        <v>10744</v>
      </c>
      <c r="B4695" t="s">
        <v>11826</v>
      </c>
      <c r="C4695" s="900" t="s">
        <v>11837</v>
      </c>
      <c r="D4695" s="905" t="s">
        <v>11838</v>
      </c>
    </row>
    <row r="4696" spans="1:4" ht="16.5">
      <c r="A4696" s="663" t="s">
        <v>2269</v>
      </c>
      <c r="B4696" t="s">
        <v>11826</v>
      </c>
      <c r="C4696" s="900" t="s">
        <v>11837</v>
      </c>
      <c r="D4696" s="905" t="s">
        <v>11838</v>
      </c>
    </row>
    <row r="4697" spans="1:4" ht="16.5">
      <c r="A4697" s="663" t="s">
        <v>10747</v>
      </c>
      <c r="B4697" t="s">
        <v>11826</v>
      </c>
      <c r="C4697" s="900" t="s">
        <v>11837</v>
      </c>
      <c r="D4697" s="905" t="s">
        <v>11838</v>
      </c>
    </row>
    <row r="4698" spans="1:4" ht="16.5">
      <c r="A4698" s="663" t="s">
        <v>10749</v>
      </c>
      <c r="B4698" t="s">
        <v>11826</v>
      </c>
      <c r="C4698" s="900" t="s">
        <v>11837</v>
      </c>
      <c r="D4698" s="905" t="s">
        <v>11838</v>
      </c>
    </row>
    <row r="4699" spans="1:4" ht="16.5">
      <c r="A4699" s="663" t="s">
        <v>10751</v>
      </c>
      <c r="B4699" t="s">
        <v>11826</v>
      </c>
      <c r="C4699" s="900" t="s">
        <v>11837</v>
      </c>
      <c r="D4699" s="905" t="s">
        <v>11838</v>
      </c>
    </row>
    <row r="4700" spans="1:4" ht="16.5">
      <c r="A4700" s="663" t="s">
        <v>10753</v>
      </c>
      <c r="B4700" t="s">
        <v>11826</v>
      </c>
      <c r="C4700" s="900" t="s">
        <v>11837</v>
      </c>
      <c r="D4700" s="905" t="s">
        <v>11838</v>
      </c>
    </row>
    <row r="4701" spans="1:4" ht="16.5">
      <c r="A4701" s="663" t="s">
        <v>10755</v>
      </c>
      <c r="B4701" t="s">
        <v>11826</v>
      </c>
      <c r="C4701" s="900" t="s">
        <v>11837</v>
      </c>
      <c r="D4701" s="905" t="s">
        <v>11838</v>
      </c>
    </row>
    <row r="4702" spans="1:4" ht="16.5">
      <c r="A4702" s="663" t="s">
        <v>10757</v>
      </c>
      <c r="B4702" t="s">
        <v>11826</v>
      </c>
      <c r="C4702" s="900" t="s">
        <v>11837</v>
      </c>
      <c r="D4702" s="905" t="s">
        <v>11838</v>
      </c>
    </row>
    <row r="4703" spans="1:4" ht="16.5">
      <c r="A4703" s="663" t="s">
        <v>10759</v>
      </c>
      <c r="B4703" t="s">
        <v>11826</v>
      </c>
      <c r="C4703" s="900" t="s">
        <v>11837</v>
      </c>
      <c r="D4703" s="905" t="s">
        <v>11838</v>
      </c>
    </row>
    <row r="4704" spans="1:4" ht="16.5">
      <c r="A4704" s="663" t="s">
        <v>10761</v>
      </c>
      <c r="B4704" t="s">
        <v>11826</v>
      </c>
      <c r="C4704" s="900" t="s">
        <v>11837</v>
      </c>
      <c r="D4704" s="905" t="s">
        <v>11838</v>
      </c>
    </row>
    <row r="4705" spans="1:4" ht="16.5">
      <c r="A4705" s="663" t="s">
        <v>10763</v>
      </c>
      <c r="B4705" t="s">
        <v>11826</v>
      </c>
      <c r="C4705" s="900" t="s">
        <v>11837</v>
      </c>
      <c r="D4705" s="905" t="s">
        <v>11838</v>
      </c>
    </row>
    <row r="4706" spans="1:4" ht="16.5">
      <c r="A4706" s="663" t="s">
        <v>10765</v>
      </c>
      <c r="B4706" t="s">
        <v>11826</v>
      </c>
      <c r="C4706" s="900" t="s">
        <v>11837</v>
      </c>
      <c r="D4706" s="905" t="s">
        <v>11838</v>
      </c>
    </row>
    <row r="4707" spans="1:4" ht="16.5">
      <c r="A4707" s="663" t="s">
        <v>10767</v>
      </c>
      <c r="B4707" t="s">
        <v>11826</v>
      </c>
      <c r="C4707" s="900" t="s">
        <v>11837</v>
      </c>
      <c r="D4707" s="905" t="s">
        <v>11838</v>
      </c>
    </row>
    <row r="4708" spans="1:4" ht="16.5">
      <c r="A4708" s="663" t="s">
        <v>10769</v>
      </c>
      <c r="B4708" t="s">
        <v>11826</v>
      </c>
      <c r="C4708" s="900" t="s">
        <v>11837</v>
      </c>
      <c r="D4708" s="905" t="s">
        <v>11838</v>
      </c>
    </row>
    <row r="4709" spans="1:4" ht="16.5">
      <c r="A4709" s="663" t="s">
        <v>10771</v>
      </c>
      <c r="B4709" t="s">
        <v>11826</v>
      </c>
      <c r="C4709" s="900" t="s">
        <v>11837</v>
      </c>
      <c r="D4709" s="905" t="s">
        <v>11838</v>
      </c>
    </row>
    <row r="4710" spans="1:4" ht="16.5">
      <c r="A4710" s="663" t="s">
        <v>10773</v>
      </c>
      <c r="B4710" t="s">
        <v>11826</v>
      </c>
      <c r="C4710" s="900" t="s">
        <v>11837</v>
      </c>
      <c r="D4710" s="905" t="s">
        <v>11838</v>
      </c>
    </row>
    <row r="4711" spans="1:4" ht="16.5">
      <c r="A4711" s="663" t="s">
        <v>10775</v>
      </c>
      <c r="B4711" t="s">
        <v>11826</v>
      </c>
      <c r="C4711" s="900" t="s">
        <v>11837</v>
      </c>
      <c r="D4711" s="905" t="s">
        <v>11838</v>
      </c>
    </row>
    <row r="4712" spans="1:4" ht="16.5">
      <c r="A4712" s="663" t="s">
        <v>10777</v>
      </c>
      <c r="B4712" t="s">
        <v>11826</v>
      </c>
      <c r="C4712" s="900" t="s">
        <v>11837</v>
      </c>
      <c r="D4712" s="905" t="s">
        <v>11838</v>
      </c>
    </row>
    <row r="4713" spans="1:4" ht="16.5">
      <c r="A4713" s="663" t="s">
        <v>10781</v>
      </c>
      <c r="B4713" t="s">
        <v>11826</v>
      </c>
      <c r="C4713" s="900" t="s">
        <v>11837</v>
      </c>
      <c r="D4713" s="905" t="s">
        <v>11838</v>
      </c>
    </row>
    <row r="4714" spans="1:4" ht="16.5">
      <c r="A4714" s="663" t="s">
        <v>10783</v>
      </c>
      <c r="B4714" t="s">
        <v>11826</v>
      </c>
      <c r="C4714" s="900" t="s">
        <v>11837</v>
      </c>
      <c r="D4714" s="905" t="s">
        <v>11838</v>
      </c>
    </row>
    <row r="4715" spans="1:4" ht="16.5">
      <c r="A4715" s="663" t="s">
        <v>2238</v>
      </c>
      <c r="B4715" t="s">
        <v>11826</v>
      </c>
      <c r="C4715" s="900" t="s">
        <v>11837</v>
      </c>
      <c r="D4715" s="905" t="s">
        <v>11838</v>
      </c>
    </row>
    <row r="4716" spans="1:4" ht="16.5">
      <c r="A4716" s="663" t="s">
        <v>2242</v>
      </c>
      <c r="B4716" t="s">
        <v>11826</v>
      </c>
      <c r="C4716" s="900" t="s">
        <v>11837</v>
      </c>
      <c r="D4716" s="905" t="s">
        <v>11838</v>
      </c>
    </row>
    <row r="4717" spans="1:4" ht="16.5">
      <c r="A4717" s="663" t="s">
        <v>2246</v>
      </c>
      <c r="B4717" t="s">
        <v>11826</v>
      </c>
      <c r="C4717" s="900" t="s">
        <v>11837</v>
      </c>
      <c r="D4717" s="905" t="s">
        <v>11838</v>
      </c>
    </row>
    <row r="4718" spans="1:4" ht="16.5">
      <c r="A4718" s="663" t="s">
        <v>2250</v>
      </c>
      <c r="B4718" t="s">
        <v>11826</v>
      </c>
      <c r="C4718" s="900" t="s">
        <v>11837</v>
      </c>
      <c r="D4718" s="905" t="s">
        <v>11838</v>
      </c>
    </row>
    <row r="4719" spans="1:4" ht="16.5">
      <c r="A4719" s="663" t="s">
        <v>2254</v>
      </c>
      <c r="B4719" t="s">
        <v>11826</v>
      </c>
      <c r="C4719" s="900" t="s">
        <v>11837</v>
      </c>
      <c r="D4719" s="905" t="s">
        <v>11838</v>
      </c>
    </row>
    <row r="4720" spans="1:4" ht="16.5">
      <c r="A4720" s="663" t="s">
        <v>2258</v>
      </c>
      <c r="B4720" t="s">
        <v>11826</v>
      </c>
      <c r="C4720" s="900" t="s">
        <v>11837</v>
      </c>
      <c r="D4720" s="905" t="s">
        <v>11838</v>
      </c>
    </row>
    <row r="4721" spans="1:4" ht="16.5">
      <c r="A4721" s="663" t="s">
        <v>10791</v>
      </c>
      <c r="B4721" t="s">
        <v>11826</v>
      </c>
      <c r="C4721" s="900" t="s">
        <v>11837</v>
      </c>
      <c r="D4721" s="905" t="s">
        <v>11838</v>
      </c>
    </row>
    <row r="4722" spans="1:4" ht="16.5">
      <c r="A4722" s="663" t="s">
        <v>10793</v>
      </c>
      <c r="B4722" t="s">
        <v>11826</v>
      </c>
      <c r="C4722" s="900" t="s">
        <v>11837</v>
      </c>
      <c r="D4722" s="905" t="s">
        <v>11838</v>
      </c>
    </row>
    <row r="4723" spans="1:4" ht="16.5">
      <c r="A4723" s="663" t="s">
        <v>10795</v>
      </c>
      <c r="B4723" t="s">
        <v>11826</v>
      </c>
      <c r="C4723" s="900" t="s">
        <v>11837</v>
      </c>
      <c r="D4723" s="905" t="s">
        <v>11838</v>
      </c>
    </row>
    <row r="4724" spans="1:4" ht="16.5">
      <c r="A4724" s="663" t="s">
        <v>10797</v>
      </c>
      <c r="B4724" t="s">
        <v>11826</v>
      </c>
      <c r="C4724" s="900" t="s">
        <v>11837</v>
      </c>
      <c r="D4724" s="905" t="s">
        <v>11838</v>
      </c>
    </row>
    <row r="4725" spans="1:4" ht="16.5">
      <c r="A4725" s="663" t="s">
        <v>10799</v>
      </c>
      <c r="B4725" t="s">
        <v>11826</v>
      </c>
      <c r="C4725" s="900" t="s">
        <v>11837</v>
      </c>
      <c r="D4725" s="905" t="s">
        <v>11838</v>
      </c>
    </row>
    <row r="4726" spans="1:4" ht="16.5">
      <c r="A4726" s="663" t="s">
        <v>10801</v>
      </c>
      <c r="B4726" t="s">
        <v>11826</v>
      </c>
      <c r="C4726" s="900" t="s">
        <v>11837</v>
      </c>
      <c r="D4726" s="905" t="s">
        <v>11838</v>
      </c>
    </row>
    <row r="4727" spans="1:4" ht="16.5">
      <c r="A4727" s="663" t="s">
        <v>10803</v>
      </c>
      <c r="B4727" t="s">
        <v>11826</v>
      </c>
      <c r="C4727" s="900" t="s">
        <v>11837</v>
      </c>
      <c r="D4727" s="905" t="s">
        <v>11838</v>
      </c>
    </row>
    <row r="4728" spans="1:4" ht="16.5">
      <c r="A4728" s="663" t="s">
        <v>10805</v>
      </c>
      <c r="B4728" t="s">
        <v>11826</v>
      </c>
      <c r="C4728" s="900" t="s">
        <v>11837</v>
      </c>
      <c r="D4728" s="905" t="s">
        <v>11838</v>
      </c>
    </row>
    <row r="4729" spans="1:4" ht="16.5">
      <c r="A4729" s="663" t="s">
        <v>10807</v>
      </c>
      <c r="B4729" t="s">
        <v>11826</v>
      </c>
      <c r="C4729" s="900" t="s">
        <v>11837</v>
      </c>
      <c r="D4729" s="905" t="s">
        <v>11838</v>
      </c>
    </row>
    <row r="4730" spans="1:4" ht="16.5">
      <c r="A4730" s="663" t="s">
        <v>10809</v>
      </c>
      <c r="B4730" t="s">
        <v>11826</v>
      </c>
      <c r="C4730" s="900" t="s">
        <v>11837</v>
      </c>
      <c r="D4730" s="905" t="s">
        <v>11838</v>
      </c>
    </row>
    <row r="4731" spans="1:4" ht="16.5">
      <c r="A4731" s="663" t="s">
        <v>10811</v>
      </c>
      <c r="B4731" t="s">
        <v>11826</v>
      </c>
      <c r="C4731" s="900" t="s">
        <v>11837</v>
      </c>
      <c r="D4731" s="905" t="s">
        <v>11838</v>
      </c>
    </row>
    <row r="4732" spans="1:4" ht="16.5">
      <c r="A4732" s="663" t="s">
        <v>10813</v>
      </c>
      <c r="B4732" t="s">
        <v>11826</v>
      </c>
      <c r="C4732" s="900" t="s">
        <v>11837</v>
      </c>
      <c r="D4732" s="905" t="s">
        <v>11838</v>
      </c>
    </row>
    <row r="4733" spans="1:4" ht="16.5">
      <c r="A4733" s="663" t="s">
        <v>10817</v>
      </c>
      <c r="B4733" t="s">
        <v>11826</v>
      </c>
      <c r="C4733" s="900" t="s">
        <v>11837</v>
      </c>
      <c r="D4733" s="905" t="s">
        <v>11838</v>
      </c>
    </row>
    <row r="4734" spans="1:4" ht="16.5">
      <c r="A4734" s="663" t="s">
        <v>10819</v>
      </c>
      <c r="B4734" t="s">
        <v>11826</v>
      </c>
      <c r="C4734" s="900" t="s">
        <v>11837</v>
      </c>
      <c r="D4734" s="905" t="s">
        <v>11838</v>
      </c>
    </row>
    <row r="4735" spans="1:4" ht="16.5">
      <c r="A4735" s="663" t="s">
        <v>10821</v>
      </c>
      <c r="B4735" t="s">
        <v>11826</v>
      </c>
      <c r="C4735" s="900" t="s">
        <v>11837</v>
      </c>
      <c r="D4735" s="905" t="s">
        <v>11838</v>
      </c>
    </row>
    <row r="4736" spans="1:4" ht="16.5">
      <c r="A4736" s="663" t="s">
        <v>10823</v>
      </c>
      <c r="B4736" t="s">
        <v>11826</v>
      </c>
      <c r="C4736" s="900" t="s">
        <v>11837</v>
      </c>
      <c r="D4736" s="905" t="s">
        <v>11838</v>
      </c>
    </row>
    <row r="4737" spans="1:4" ht="16.5">
      <c r="A4737" s="663" t="s">
        <v>10825</v>
      </c>
      <c r="B4737" t="s">
        <v>11826</v>
      </c>
      <c r="C4737" s="900" t="s">
        <v>11837</v>
      </c>
      <c r="D4737" s="905" t="s">
        <v>11838</v>
      </c>
    </row>
    <row r="4738" spans="1:4" ht="16.5">
      <c r="A4738" s="663" t="s">
        <v>10827</v>
      </c>
      <c r="B4738" t="s">
        <v>11826</v>
      </c>
      <c r="C4738" s="900" t="s">
        <v>11837</v>
      </c>
      <c r="D4738" s="905" t="s">
        <v>11838</v>
      </c>
    </row>
    <row r="4739" spans="1:4" ht="16.5">
      <c r="A4739" s="663" t="s">
        <v>10829</v>
      </c>
      <c r="B4739" t="s">
        <v>11826</v>
      </c>
      <c r="C4739" s="900" t="s">
        <v>11837</v>
      </c>
      <c r="D4739" s="905" t="s">
        <v>11838</v>
      </c>
    </row>
    <row r="4740" spans="1:4" ht="16.5">
      <c r="A4740" s="663" t="s">
        <v>10831</v>
      </c>
      <c r="B4740" t="s">
        <v>11826</v>
      </c>
      <c r="C4740" s="900" t="s">
        <v>11837</v>
      </c>
      <c r="D4740" s="905" t="s">
        <v>11838</v>
      </c>
    </row>
    <row r="4741" spans="1:4" ht="16.5">
      <c r="A4741" s="663" t="s">
        <v>10833</v>
      </c>
      <c r="B4741" t="s">
        <v>11826</v>
      </c>
      <c r="C4741" s="900" t="s">
        <v>11837</v>
      </c>
      <c r="D4741" s="905" t="s">
        <v>11838</v>
      </c>
    </row>
    <row r="4742" spans="1:4" ht="16.5">
      <c r="A4742" s="663" t="s">
        <v>10835</v>
      </c>
      <c r="B4742" t="s">
        <v>11826</v>
      </c>
      <c r="C4742" s="900" t="s">
        <v>11837</v>
      </c>
      <c r="D4742" s="905" t="s">
        <v>11838</v>
      </c>
    </row>
    <row r="4743" spans="1:4" ht="16.5">
      <c r="A4743" s="663" t="s">
        <v>10837</v>
      </c>
      <c r="B4743" t="s">
        <v>11826</v>
      </c>
      <c r="C4743" s="900" t="s">
        <v>11837</v>
      </c>
      <c r="D4743" s="905" t="s">
        <v>11838</v>
      </c>
    </row>
    <row r="4744" spans="1:4" ht="16.5">
      <c r="A4744" s="663" t="s">
        <v>10839</v>
      </c>
      <c r="B4744" t="s">
        <v>11826</v>
      </c>
      <c r="C4744" s="900" t="s">
        <v>11837</v>
      </c>
      <c r="D4744" s="905" t="s">
        <v>11838</v>
      </c>
    </row>
    <row r="4745" spans="1:4" ht="16.5">
      <c r="A4745" s="663" t="s">
        <v>10841</v>
      </c>
      <c r="B4745" t="s">
        <v>11826</v>
      </c>
      <c r="C4745" s="900" t="s">
        <v>11837</v>
      </c>
      <c r="D4745" s="905" t="s">
        <v>11838</v>
      </c>
    </row>
    <row r="4746" spans="1:4" ht="16.5">
      <c r="A4746" s="663" t="s">
        <v>10843</v>
      </c>
      <c r="B4746" t="s">
        <v>11826</v>
      </c>
      <c r="C4746" s="900" t="s">
        <v>11837</v>
      </c>
      <c r="D4746" s="905" t="s">
        <v>11838</v>
      </c>
    </row>
    <row r="4747" spans="1:4" ht="16.5">
      <c r="A4747" s="663" t="s">
        <v>2125</v>
      </c>
      <c r="B4747" t="s">
        <v>11826</v>
      </c>
      <c r="C4747" s="900" t="s">
        <v>11837</v>
      </c>
      <c r="D4747" s="905" t="s">
        <v>11838</v>
      </c>
    </row>
    <row r="4748" spans="1:4" ht="16.5">
      <c r="A4748" s="663" t="s">
        <v>2239</v>
      </c>
      <c r="B4748" t="s">
        <v>11826</v>
      </c>
      <c r="C4748" s="900" t="s">
        <v>11837</v>
      </c>
      <c r="D4748" s="905" t="s">
        <v>11838</v>
      </c>
    </row>
    <row r="4749" spans="1:4" ht="16.5">
      <c r="A4749" s="663" t="s">
        <v>2243</v>
      </c>
      <c r="B4749" t="s">
        <v>11826</v>
      </c>
      <c r="C4749" s="900" t="s">
        <v>11837</v>
      </c>
      <c r="D4749" s="905" t="s">
        <v>11838</v>
      </c>
    </row>
    <row r="4750" spans="1:4" ht="16.5">
      <c r="A4750" s="663" t="s">
        <v>2247</v>
      </c>
      <c r="B4750" t="s">
        <v>11826</v>
      </c>
      <c r="C4750" s="900" t="s">
        <v>11837</v>
      </c>
      <c r="D4750" s="905" t="s">
        <v>11838</v>
      </c>
    </row>
    <row r="4751" spans="1:4" ht="16.5">
      <c r="A4751" s="663" t="s">
        <v>2251</v>
      </c>
      <c r="B4751" t="s">
        <v>11826</v>
      </c>
      <c r="C4751" s="900" t="s">
        <v>11837</v>
      </c>
      <c r="D4751" s="905" t="s">
        <v>11838</v>
      </c>
    </row>
    <row r="4752" spans="1:4" ht="16.5">
      <c r="A4752" s="663" t="s">
        <v>2255</v>
      </c>
      <c r="B4752" t="s">
        <v>11826</v>
      </c>
      <c r="C4752" s="900" t="s">
        <v>11837</v>
      </c>
      <c r="D4752" s="905" t="s">
        <v>11838</v>
      </c>
    </row>
    <row r="4753" spans="1:4" ht="16.5">
      <c r="A4753" s="663" t="s">
        <v>2259</v>
      </c>
      <c r="B4753" t="s">
        <v>11826</v>
      </c>
      <c r="C4753" s="900" t="s">
        <v>11837</v>
      </c>
      <c r="D4753" s="905" t="s">
        <v>11838</v>
      </c>
    </row>
    <row r="4754" spans="1:4" ht="16.5">
      <c r="A4754" s="663" t="s">
        <v>2262</v>
      </c>
      <c r="B4754" t="s">
        <v>11826</v>
      </c>
      <c r="C4754" s="900" t="s">
        <v>11837</v>
      </c>
      <c r="D4754" s="905" t="s">
        <v>11838</v>
      </c>
    </row>
    <row r="4755" spans="1:4" ht="16.5">
      <c r="A4755" s="663" t="s">
        <v>2266</v>
      </c>
      <c r="B4755" t="s">
        <v>11826</v>
      </c>
      <c r="C4755" s="900" t="s">
        <v>11837</v>
      </c>
      <c r="D4755" s="905" t="s">
        <v>11838</v>
      </c>
    </row>
    <row r="4756" spans="1:4" ht="16.5">
      <c r="A4756" s="663" t="s">
        <v>2270</v>
      </c>
      <c r="B4756" t="s">
        <v>11826</v>
      </c>
      <c r="C4756" s="900" t="s">
        <v>11837</v>
      </c>
      <c r="D4756" s="905" t="s">
        <v>11838</v>
      </c>
    </row>
    <row r="4757" spans="1:4" ht="16.5">
      <c r="A4757" s="663" t="s">
        <v>2273</v>
      </c>
      <c r="B4757" t="s">
        <v>11826</v>
      </c>
      <c r="C4757" s="900" t="s">
        <v>11837</v>
      </c>
      <c r="D4757" s="905" t="s">
        <v>11838</v>
      </c>
    </row>
    <row r="4758" spans="1:4" ht="16.5">
      <c r="A4758" s="663" t="s">
        <v>2276</v>
      </c>
      <c r="B4758" t="s">
        <v>11826</v>
      </c>
      <c r="C4758" s="900" t="s">
        <v>11837</v>
      </c>
      <c r="D4758" s="905" t="s">
        <v>11838</v>
      </c>
    </row>
    <row r="4759" spans="1:4" ht="16.5">
      <c r="A4759" s="663" t="s">
        <v>2281</v>
      </c>
      <c r="B4759" t="s">
        <v>11826</v>
      </c>
      <c r="C4759" s="900" t="s">
        <v>11837</v>
      </c>
      <c r="D4759" s="905" t="s">
        <v>11838</v>
      </c>
    </row>
    <row r="4760" spans="1:4" ht="16.5">
      <c r="A4760" s="663" t="s">
        <v>10859</v>
      </c>
      <c r="B4760" t="s">
        <v>11826</v>
      </c>
      <c r="C4760" s="900" t="s">
        <v>11837</v>
      </c>
      <c r="D4760" s="905" t="s">
        <v>11838</v>
      </c>
    </row>
    <row r="4761" spans="1:4" ht="16.5">
      <c r="A4761" s="663" t="s">
        <v>2286</v>
      </c>
      <c r="B4761" t="s">
        <v>11826</v>
      </c>
      <c r="C4761" s="900" t="s">
        <v>11837</v>
      </c>
      <c r="D4761" s="905" t="s">
        <v>11838</v>
      </c>
    </row>
    <row r="4762" spans="1:4" ht="16.5">
      <c r="A4762" s="663" t="s">
        <v>10862</v>
      </c>
      <c r="B4762" t="s">
        <v>11826</v>
      </c>
      <c r="C4762" s="900" t="s">
        <v>11837</v>
      </c>
      <c r="D4762" s="905" t="s">
        <v>11838</v>
      </c>
    </row>
    <row r="4763" spans="1:4" ht="16.5">
      <c r="A4763" s="663" t="s">
        <v>2289</v>
      </c>
      <c r="B4763" t="s">
        <v>11826</v>
      </c>
      <c r="C4763" s="900" t="s">
        <v>11837</v>
      </c>
      <c r="D4763" s="905" t="s">
        <v>11838</v>
      </c>
    </row>
    <row r="4764" spans="1:4" ht="16.5">
      <c r="A4764" s="663" t="s">
        <v>2294</v>
      </c>
      <c r="B4764" t="s">
        <v>11826</v>
      </c>
      <c r="C4764" s="900" t="s">
        <v>11837</v>
      </c>
      <c r="D4764" s="905" t="s">
        <v>11838</v>
      </c>
    </row>
    <row r="4765" spans="1:4" ht="16.5">
      <c r="A4765" s="663" t="s">
        <v>10866</v>
      </c>
      <c r="B4765" t="s">
        <v>11826</v>
      </c>
      <c r="C4765" s="900" t="s">
        <v>11837</v>
      </c>
      <c r="D4765" s="905" t="s">
        <v>11838</v>
      </c>
    </row>
    <row r="4766" spans="1:4" ht="16.5">
      <c r="A4766" s="663" t="s">
        <v>10868</v>
      </c>
      <c r="B4766" t="s">
        <v>11826</v>
      </c>
      <c r="C4766" s="900" t="s">
        <v>11837</v>
      </c>
      <c r="D4766" s="905" t="s">
        <v>11838</v>
      </c>
    </row>
    <row r="4767" spans="1:4" ht="16.5">
      <c r="A4767" s="663" t="s">
        <v>10870</v>
      </c>
      <c r="B4767" t="s">
        <v>11826</v>
      </c>
      <c r="C4767" s="900" t="s">
        <v>11837</v>
      </c>
      <c r="D4767" s="905" t="s">
        <v>11838</v>
      </c>
    </row>
    <row r="4768" spans="1:4" ht="16.5">
      <c r="A4768" s="663" t="s">
        <v>10874</v>
      </c>
      <c r="B4768" t="s">
        <v>11826</v>
      </c>
      <c r="C4768" s="900" t="s">
        <v>11837</v>
      </c>
      <c r="D4768" s="905" t="s">
        <v>11838</v>
      </c>
    </row>
    <row r="4769" spans="1:4" ht="16.5">
      <c r="A4769" s="663" t="s">
        <v>2240</v>
      </c>
      <c r="B4769" t="s">
        <v>11826</v>
      </c>
      <c r="C4769" s="900" t="s">
        <v>11837</v>
      </c>
      <c r="D4769" s="905" t="s">
        <v>11838</v>
      </c>
    </row>
    <row r="4770" spans="1:4" ht="16.5">
      <c r="A4770" s="663" t="s">
        <v>2244</v>
      </c>
      <c r="B4770" t="s">
        <v>11826</v>
      </c>
      <c r="C4770" s="900" t="s">
        <v>11837</v>
      </c>
      <c r="D4770" s="905" t="s">
        <v>11838</v>
      </c>
    </row>
    <row r="4771" spans="1:4" ht="16.5">
      <c r="A4771" s="663" t="s">
        <v>2248</v>
      </c>
      <c r="B4771" t="s">
        <v>11826</v>
      </c>
      <c r="C4771" s="900" t="s">
        <v>11837</v>
      </c>
      <c r="D4771" s="905" t="s">
        <v>11838</v>
      </c>
    </row>
    <row r="4772" spans="1:4" ht="16.5">
      <c r="A4772" s="663" t="s">
        <v>2252</v>
      </c>
      <c r="B4772" t="s">
        <v>11826</v>
      </c>
      <c r="C4772" s="900" t="s">
        <v>11837</v>
      </c>
      <c r="D4772" s="905" t="s">
        <v>11838</v>
      </c>
    </row>
    <row r="4773" spans="1:4" ht="16.5">
      <c r="A4773" s="663" t="s">
        <v>10880</v>
      </c>
      <c r="B4773" t="s">
        <v>11826</v>
      </c>
      <c r="C4773" s="900" t="s">
        <v>11837</v>
      </c>
      <c r="D4773" s="905" t="s">
        <v>11838</v>
      </c>
    </row>
    <row r="4774" spans="1:4" ht="16.5">
      <c r="A4774" s="663" t="s">
        <v>2256</v>
      </c>
      <c r="B4774" t="s">
        <v>11826</v>
      </c>
      <c r="C4774" s="900" t="s">
        <v>11837</v>
      </c>
      <c r="D4774" s="905" t="s">
        <v>11838</v>
      </c>
    </row>
    <row r="4775" spans="1:4" ht="16.5">
      <c r="A4775" s="663" t="s">
        <v>2260</v>
      </c>
      <c r="B4775" t="s">
        <v>11826</v>
      </c>
      <c r="C4775" s="900" t="s">
        <v>11837</v>
      </c>
      <c r="D4775" s="905" t="s">
        <v>11838</v>
      </c>
    </row>
    <row r="4776" spans="1:4" ht="16.5">
      <c r="A4776" s="663" t="s">
        <v>2263</v>
      </c>
      <c r="B4776" t="s">
        <v>11826</v>
      </c>
      <c r="C4776" s="900" t="s">
        <v>11837</v>
      </c>
      <c r="D4776" s="905" t="s">
        <v>11838</v>
      </c>
    </row>
    <row r="4777" spans="1:4" ht="16.5">
      <c r="A4777" s="663" t="s">
        <v>2267</v>
      </c>
      <c r="B4777" t="s">
        <v>11826</v>
      </c>
      <c r="C4777" s="900" t="s">
        <v>11837</v>
      </c>
      <c r="D4777" s="905" t="s">
        <v>11838</v>
      </c>
    </row>
    <row r="4778" spans="1:4" ht="16.5">
      <c r="A4778" s="663" t="s">
        <v>2271</v>
      </c>
      <c r="B4778" t="s">
        <v>11826</v>
      </c>
      <c r="C4778" s="900" t="s">
        <v>11837</v>
      </c>
      <c r="D4778" s="905" t="s">
        <v>11838</v>
      </c>
    </row>
    <row r="4779" spans="1:4" ht="16.5">
      <c r="A4779" s="663" t="s">
        <v>2274</v>
      </c>
      <c r="B4779" t="s">
        <v>11826</v>
      </c>
      <c r="C4779" s="900" t="s">
        <v>11837</v>
      </c>
      <c r="D4779" s="905" t="s">
        <v>11838</v>
      </c>
    </row>
    <row r="4780" spans="1:4" ht="16.5">
      <c r="A4780" s="663" t="s">
        <v>2277</v>
      </c>
      <c r="B4780" t="s">
        <v>11826</v>
      </c>
      <c r="C4780" s="900" t="s">
        <v>11837</v>
      </c>
      <c r="D4780" s="905" t="s">
        <v>11838</v>
      </c>
    </row>
    <row r="4781" spans="1:4" ht="16.5">
      <c r="A4781" s="663" t="s">
        <v>10889</v>
      </c>
      <c r="B4781" t="s">
        <v>11826</v>
      </c>
      <c r="C4781" s="900" t="s">
        <v>11837</v>
      </c>
      <c r="D4781" s="905" t="s">
        <v>11838</v>
      </c>
    </row>
    <row r="4782" spans="1:4" ht="16.5">
      <c r="A4782" s="663" t="s">
        <v>10891</v>
      </c>
      <c r="B4782" t="s">
        <v>11826</v>
      </c>
      <c r="C4782" s="900" t="s">
        <v>11837</v>
      </c>
      <c r="D4782" s="905" t="s">
        <v>11838</v>
      </c>
    </row>
    <row r="4783" spans="1:4" ht="16.5">
      <c r="A4783" s="663" t="s">
        <v>2282</v>
      </c>
      <c r="B4783" t="s">
        <v>11826</v>
      </c>
      <c r="C4783" s="900" t="s">
        <v>11837</v>
      </c>
      <c r="D4783" s="905" t="s">
        <v>11838</v>
      </c>
    </row>
    <row r="4784" spans="1:4" ht="16.5">
      <c r="A4784" s="663" t="s">
        <v>2287</v>
      </c>
      <c r="B4784" t="s">
        <v>11826</v>
      </c>
      <c r="C4784" s="900" t="s">
        <v>11837</v>
      </c>
      <c r="D4784" s="905" t="s">
        <v>11838</v>
      </c>
    </row>
    <row r="4785" spans="1:4" ht="16.5">
      <c r="A4785" s="663" t="s">
        <v>2290</v>
      </c>
      <c r="B4785" t="s">
        <v>11826</v>
      </c>
      <c r="C4785" s="900" t="s">
        <v>11837</v>
      </c>
      <c r="D4785" s="905" t="s">
        <v>11838</v>
      </c>
    </row>
    <row r="4786" spans="1:4" ht="16.5">
      <c r="A4786" s="663" t="s">
        <v>10896</v>
      </c>
      <c r="B4786" t="s">
        <v>11826</v>
      </c>
      <c r="C4786" s="900" t="s">
        <v>11837</v>
      </c>
      <c r="D4786" s="905" t="s">
        <v>11838</v>
      </c>
    </row>
    <row r="4787" spans="1:4" ht="16.5">
      <c r="A4787" s="663" t="s">
        <v>2295</v>
      </c>
      <c r="B4787" t="s">
        <v>11826</v>
      </c>
      <c r="C4787" s="900" t="s">
        <v>11837</v>
      </c>
      <c r="D4787" s="905" t="s">
        <v>11838</v>
      </c>
    </row>
    <row r="4788" spans="1:4" ht="16.5">
      <c r="A4788" s="663" t="s">
        <v>2298</v>
      </c>
      <c r="B4788" t="s">
        <v>11826</v>
      </c>
      <c r="C4788" s="900" t="s">
        <v>11837</v>
      </c>
      <c r="D4788" s="905" t="s">
        <v>11838</v>
      </c>
    </row>
    <row r="4789" spans="1:4" ht="16.5">
      <c r="A4789" s="663" t="s">
        <v>2300</v>
      </c>
      <c r="B4789" t="s">
        <v>11826</v>
      </c>
      <c r="C4789" s="900" t="s">
        <v>11837</v>
      </c>
      <c r="D4789" s="905" t="s">
        <v>11838</v>
      </c>
    </row>
    <row r="4790" spans="1:4" ht="16.5">
      <c r="A4790" s="663" t="s">
        <v>2303</v>
      </c>
      <c r="B4790" t="s">
        <v>11826</v>
      </c>
      <c r="C4790" s="900" t="s">
        <v>11837</v>
      </c>
      <c r="D4790" s="905" t="s">
        <v>11838</v>
      </c>
    </row>
    <row r="4791" spans="1:4" ht="16.5">
      <c r="A4791" s="663" t="s">
        <v>2308</v>
      </c>
      <c r="B4791" t="s">
        <v>11826</v>
      </c>
      <c r="C4791" s="900" t="s">
        <v>11837</v>
      </c>
      <c r="D4791" s="905" t="s">
        <v>11838</v>
      </c>
    </row>
    <row r="4792" spans="1:4" ht="16.5">
      <c r="A4792" s="663" t="s">
        <v>2312</v>
      </c>
      <c r="B4792" t="s">
        <v>11826</v>
      </c>
      <c r="C4792" s="900" t="s">
        <v>11837</v>
      </c>
      <c r="D4792" s="905" t="s">
        <v>11838</v>
      </c>
    </row>
    <row r="4793" spans="1:4" ht="16.5">
      <c r="A4793" s="663" t="s">
        <v>2316</v>
      </c>
      <c r="B4793" t="s">
        <v>11826</v>
      </c>
      <c r="C4793" s="900" t="s">
        <v>11837</v>
      </c>
      <c r="D4793" s="905" t="s">
        <v>11838</v>
      </c>
    </row>
    <row r="4794" spans="1:4" ht="16.5">
      <c r="A4794" s="663" t="s">
        <v>2320</v>
      </c>
      <c r="B4794" t="s">
        <v>11826</v>
      </c>
      <c r="C4794" s="900" t="s">
        <v>11837</v>
      </c>
      <c r="D4794" s="905" t="s">
        <v>11838</v>
      </c>
    </row>
    <row r="4795" spans="1:4" ht="16.5">
      <c r="A4795" s="663" t="s">
        <v>10906</v>
      </c>
      <c r="B4795" t="s">
        <v>11826</v>
      </c>
      <c r="C4795" s="900" t="s">
        <v>11837</v>
      </c>
      <c r="D4795" s="905" t="s">
        <v>11838</v>
      </c>
    </row>
    <row r="4796" spans="1:4" ht="16.5">
      <c r="A4796" s="663" t="s">
        <v>2326</v>
      </c>
      <c r="B4796" t="s">
        <v>11826</v>
      </c>
      <c r="C4796" s="900" t="s">
        <v>11837</v>
      </c>
      <c r="D4796" s="905" t="s">
        <v>11838</v>
      </c>
    </row>
    <row r="4797" spans="1:4" ht="16.5">
      <c r="A4797" s="663" t="s">
        <v>2330</v>
      </c>
      <c r="B4797" t="s">
        <v>11826</v>
      </c>
      <c r="C4797" s="900" t="s">
        <v>11837</v>
      </c>
      <c r="D4797" s="905" t="s">
        <v>11838</v>
      </c>
    </row>
    <row r="4798" spans="1:4" ht="16.5">
      <c r="A4798" s="663" t="s">
        <v>2333</v>
      </c>
      <c r="B4798" t="s">
        <v>11826</v>
      </c>
      <c r="C4798" s="900" t="s">
        <v>11837</v>
      </c>
      <c r="D4798" s="905" t="s">
        <v>11838</v>
      </c>
    </row>
    <row r="4799" spans="1:4" ht="16.5">
      <c r="A4799" s="663" t="s">
        <v>2336</v>
      </c>
      <c r="B4799" t="s">
        <v>11826</v>
      </c>
      <c r="C4799" s="900" t="s">
        <v>11837</v>
      </c>
      <c r="D4799" s="905" t="s">
        <v>11838</v>
      </c>
    </row>
    <row r="4800" spans="1:4" ht="16.5">
      <c r="A4800" s="663" t="s">
        <v>10912</v>
      </c>
      <c r="B4800" t="s">
        <v>11826</v>
      </c>
      <c r="C4800" s="900" t="s">
        <v>11837</v>
      </c>
      <c r="D4800" s="905" t="s">
        <v>11838</v>
      </c>
    </row>
    <row r="4801" spans="1:4" ht="16.5">
      <c r="A4801" s="663" t="s">
        <v>2338</v>
      </c>
      <c r="B4801" t="s">
        <v>11826</v>
      </c>
      <c r="C4801" s="900" t="s">
        <v>11837</v>
      </c>
      <c r="D4801" s="905" t="s">
        <v>11838</v>
      </c>
    </row>
    <row r="4802" spans="1:4" ht="16.5">
      <c r="A4802" s="663" t="s">
        <v>2340</v>
      </c>
      <c r="B4802" t="s">
        <v>11826</v>
      </c>
      <c r="C4802" s="900" t="s">
        <v>11837</v>
      </c>
      <c r="D4802" s="905" t="s">
        <v>11838</v>
      </c>
    </row>
    <row r="4803" spans="1:4" ht="16.5">
      <c r="A4803" s="663" t="s">
        <v>2342</v>
      </c>
      <c r="B4803" t="s">
        <v>11826</v>
      </c>
      <c r="C4803" s="900" t="s">
        <v>11837</v>
      </c>
      <c r="D4803" s="905" t="s">
        <v>11838</v>
      </c>
    </row>
    <row r="4804" spans="1:4" ht="16.5">
      <c r="A4804" s="663" t="s">
        <v>2344</v>
      </c>
      <c r="B4804" t="s">
        <v>11826</v>
      </c>
      <c r="C4804" s="900" t="s">
        <v>11837</v>
      </c>
      <c r="D4804" s="905" t="s">
        <v>11838</v>
      </c>
    </row>
    <row r="4805" spans="1:4" ht="16.5">
      <c r="A4805" s="663" t="s">
        <v>2346</v>
      </c>
      <c r="B4805" t="s">
        <v>11826</v>
      </c>
      <c r="C4805" s="900" t="s">
        <v>11837</v>
      </c>
      <c r="D4805" s="905" t="s">
        <v>11838</v>
      </c>
    </row>
    <row r="4806" spans="1:4" ht="16.5">
      <c r="A4806" s="663" t="s">
        <v>2348</v>
      </c>
      <c r="B4806" t="s">
        <v>11826</v>
      </c>
      <c r="C4806" s="900" t="s">
        <v>11837</v>
      </c>
      <c r="D4806" s="905" t="s">
        <v>11838</v>
      </c>
    </row>
    <row r="4807" spans="1:4" ht="16.5">
      <c r="A4807" s="663" t="s">
        <v>2350</v>
      </c>
      <c r="B4807" t="s">
        <v>11826</v>
      </c>
      <c r="C4807" s="900" t="s">
        <v>11837</v>
      </c>
      <c r="D4807" s="905" t="s">
        <v>11838</v>
      </c>
    </row>
    <row r="4808" spans="1:4" ht="16.5">
      <c r="A4808" s="663" t="s">
        <v>2352</v>
      </c>
      <c r="B4808" t="s">
        <v>11826</v>
      </c>
      <c r="C4808" s="900" t="s">
        <v>11837</v>
      </c>
      <c r="D4808" s="905" t="s">
        <v>11838</v>
      </c>
    </row>
    <row r="4809" spans="1:4" ht="16.5">
      <c r="A4809" s="663" t="s">
        <v>2353</v>
      </c>
      <c r="B4809" t="s">
        <v>11826</v>
      </c>
      <c r="C4809" s="900" t="s">
        <v>11837</v>
      </c>
      <c r="D4809" s="905" t="s">
        <v>11838</v>
      </c>
    </row>
    <row r="4810" spans="1:4" ht="16.5">
      <c r="A4810" s="663" t="s">
        <v>2354</v>
      </c>
      <c r="B4810" t="s">
        <v>11826</v>
      </c>
      <c r="C4810" s="900" t="s">
        <v>11837</v>
      </c>
      <c r="D4810" s="905" t="s">
        <v>11838</v>
      </c>
    </row>
    <row r="4811" spans="1:4" ht="16.5">
      <c r="A4811" s="663" t="s">
        <v>10924</v>
      </c>
      <c r="B4811" t="s">
        <v>11826</v>
      </c>
      <c r="C4811" s="900" t="s">
        <v>11837</v>
      </c>
      <c r="D4811" s="905" t="s">
        <v>11838</v>
      </c>
    </row>
    <row r="4812" spans="1:4" ht="16.5">
      <c r="A4812" s="663" t="s">
        <v>10926</v>
      </c>
      <c r="B4812" t="s">
        <v>11826</v>
      </c>
      <c r="C4812" s="900" t="s">
        <v>11837</v>
      </c>
      <c r="D4812" s="905" t="s">
        <v>11838</v>
      </c>
    </row>
    <row r="4813" spans="1:4" ht="16.5">
      <c r="A4813" s="663" t="s">
        <v>10928</v>
      </c>
      <c r="B4813" t="s">
        <v>11826</v>
      </c>
      <c r="C4813" s="900" t="s">
        <v>11837</v>
      </c>
      <c r="D4813" s="905" t="s">
        <v>11838</v>
      </c>
    </row>
    <row r="4814" spans="1:4" ht="16.5">
      <c r="A4814" s="663" t="s">
        <v>10930</v>
      </c>
      <c r="B4814" t="s">
        <v>11826</v>
      </c>
      <c r="C4814" s="900" t="s">
        <v>11837</v>
      </c>
      <c r="D4814" s="905" t="s">
        <v>11838</v>
      </c>
    </row>
    <row r="4815" spans="1:4" ht="16.5">
      <c r="A4815" s="663" t="s">
        <v>10932</v>
      </c>
      <c r="B4815" t="s">
        <v>11826</v>
      </c>
      <c r="C4815" s="900" t="s">
        <v>11837</v>
      </c>
      <c r="D4815" s="905" t="s">
        <v>11838</v>
      </c>
    </row>
    <row r="4816" spans="1:4" ht="16.5">
      <c r="A4816" s="663" t="s">
        <v>2356</v>
      </c>
      <c r="B4816" t="s">
        <v>11826</v>
      </c>
      <c r="C4816" s="900" t="s">
        <v>11837</v>
      </c>
      <c r="D4816" s="905" t="s">
        <v>11838</v>
      </c>
    </row>
    <row r="4817" spans="1:4" ht="16.5">
      <c r="A4817" s="663" t="s">
        <v>2358</v>
      </c>
      <c r="B4817" t="s">
        <v>11826</v>
      </c>
      <c r="C4817" s="900" t="s">
        <v>11837</v>
      </c>
      <c r="D4817" s="905" t="s">
        <v>11838</v>
      </c>
    </row>
    <row r="4818" spans="1:4" ht="16.5">
      <c r="A4818" s="663" t="s">
        <v>2360</v>
      </c>
      <c r="B4818" t="s">
        <v>11826</v>
      </c>
      <c r="C4818" s="900" t="s">
        <v>11837</v>
      </c>
      <c r="D4818" s="905" t="s">
        <v>11838</v>
      </c>
    </row>
    <row r="4819" spans="1:4" ht="16.5">
      <c r="A4819" s="663" t="s">
        <v>10937</v>
      </c>
      <c r="B4819" t="s">
        <v>11826</v>
      </c>
      <c r="C4819" s="900" t="s">
        <v>11837</v>
      </c>
      <c r="D4819" s="905" t="s">
        <v>11838</v>
      </c>
    </row>
    <row r="4820" spans="1:4" ht="16.5">
      <c r="A4820" s="663" t="s">
        <v>10939</v>
      </c>
      <c r="B4820" t="s">
        <v>11826</v>
      </c>
      <c r="C4820" s="900" t="s">
        <v>11837</v>
      </c>
      <c r="D4820" s="905" t="s">
        <v>11838</v>
      </c>
    </row>
    <row r="4821" spans="1:4" ht="16.5">
      <c r="A4821" s="663" t="s">
        <v>2361</v>
      </c>
      <c r="B4821" t="s">
        <v>11826</v>
      </c>
      <c r="C4821" s="900" t="s">
        <v>11837</v>
      </c>
      <c r="D4821" s="905" t="s">
        <v>11838</v>
      </c>
    </row>
    <row r="4822" spans="1:4" ht="16.5">
      <c r="A4822" s="663" t="s">
        <v>2363</v>
      </c>
      <c r="B4822" t="s">
        <v>11826</v>
      </c>
      <c r="C4822" s="900" t="s">
        <v>11837</v>
      </c>
      <c r="D4822" s="905" t="s">
        <v>11838</v>
      </c>
    </row>
    <row r="4823" spans="1:4" ht="16.5">
      <c r="A4823" s="663" t="s">
        <v>10943</v>
      </c>
      <c r="B4823" t="s">
        <v>11826</v>
      </c>
      <c r="C4823" s="900" t="s">
        <v>11837</v>
      </c>
      <c r="D4823" s="905" t="s">
        <v>11838</v>
      </c>
    </row>
    <row r="4824" spans="1:4" ht="16.5">
      <c r="A4824" s="663" t="s">
        <v>2365</v>
      </c>
      <c r="B4824" t="s">
        <v>11826</v>
      </c>
      <c r="C4824" s="900" t="s">
        <v>11837</v>
      </c>
      <c r="D4824" s="905" t="s">
        <v>11838</v>
      </c>
    </row>
    <row r="4825" spans="1:4" ht="16.5">
      <c r="A4825" s="663" t="s">
        <v>2367</v>
      </c>
      <c r="B4825" t="s">
        <v>11826</v>
      </c>
      <c r="C4825" s="900" t="s">
        <v>11837</v>
      </c>
      <c r="D4825" s="905" t="s">
        <v>11838</v>
      </c>
    </row>
    <row r="4826" spans="1:4" ht="16.5">
      <c r="A4826" s="663" t="s">
        <v>2368</v>
      </c>
      <c r="B4826" t="s">
        <v>11826</v>
      </c>
      <c r="C4826" s="900" t="s">
        <v>11837</v>
      </c>
      <c r="D4826" s="905" t="s">
        <v>11838</v>
      </c>
    </row>
    <row r="4827" spans="1:4" ht="16.5">
      <c r="A4827" s="663" t="s">
        <v>10948</v>
      </c>
      <c r="B4827" t="s">
        <v>11826</v>
      </c>
      <c r="C4827" s="900" t="s">
        <v>11837</v>
      </c>
      <c r="D4827" s="905" t="s">
        <v>11838</v>
      </c>
    </row>
    <row r="4828" spans="1:4" ht="16.5">
      <c r="A4828" s="663" t="s">
        <v>2369</v>
      </c>
      <c r="B4828" t="s">
        <v>11826</v>
      </c>
      <c r="C4828" s="900" t="s">
        <v>11837</v>
      </c>
      <c r="D4828" s="905" t="s">
        <v>11838</v>
      </c>
    </row>
    <row r="4829" spans="1:4" ht="16.5">
      <c r="A4829" s="663" t="s">
        <v>2371</v>
      </c>
      <c r="B4829" t="s">
        <v>11826</v>
      </c>
      <c r="C4829" s="900" t="s">
        <v>11837</v>
      </c>
      <c r="D4829" s="905" t="s">
        <v>11838</v>
      </c>
    </row>
    <row r="4830" spans="1:4" ht="16.5">
      <c r="A4830" s="663" t="s">
        <v>10952</v>
      </c>
      <c r="B4830" t="s">
        <v>11826</v>
      </c>
      <c r="C4830" s="900" t="s">
        <v>11837</v>
      </c>
      <c r="D4830" s="905" t="s">
        <v>11838</v>
      </c>
    </row>
    <row r="4831" spans="1:4" ht="16.5">
      <c r="A4831" s="663" t="s">
        <v>10954</v>
      </c>
      <c r="B4831" t="s">
        <v>11826</v>
      </c>
      <c r="C4831" s="900" t="s">
        <v>11837</v>
      </c>
      <c r="D4831" s="905" t="s">
        <v>11838</v>
      </c>
    </row>
    <row r="4832" spans="1:4" ht="16.5">
      <c r="A4832" s="663" t="s">
        <v>10956</v>
      </c>
      <c r="B4832" t="s">
        <v>11826</v>
      </c>
      <c r="C4832" s="900" t="s">
        <v>11837</v>
      </c>
      <c r="D4832" s="905" t="s">
        <v>11838</v>
      </c>
    </row>
    <row r="4833" spans="1:4" ht="16.5">
      <c r="A4833" s="663" t="s">
        <v>10958</v>
      </c>
      <c r="B4833" t="s">
        <v>11826</v>
      </c>
      <c r="C4833" s="900" t="s">
        <v>11837</v>
      </c>
      <c r="D4833" s="905" t="s">
        <v>11838</v>
      </c>
    </row>
    <row r="4834" spans="1:4" ht="16.5">
      <c r="A4834" s="663" t="s">
        <v>10960</v>
      </c>
      <c r="B4834" t="s">
        <v>11826</v>
      </c>
      <c r="C4834" s="900" t="s">
        <v>11837</v>
      </c>
      <c r="D4834" s="905" t="s">
        <v>11838</v>
      </c>
    </row>
    <row r="4835" spans="1:4" ht="16.5">
      <c r="A4835" s="663" t="s">
        <v>10962</v>
      </c>
      <c r="B4835" t="s">
        <v>11826</v>
      </c>
      <c r="C4835" s="900" t="s">
        <v>11837</v>
      </c>
      <c r="D4835" s="905" t="s">
        <v>11838</v>
      </c>
    </row>
    <row r="4836" spans="1:4" ht="16.5">
      <c r="A4836" s="663" t="s">
        <v>10964</v>
      </c>
      <c r="B4836" t="s">
        <v>11826</v>
      </c>
      <c r="C4836" s="900" t="s">
        <v>11837</v>
      </c>
      <c r="D4836" s="905" t="s">
        <v>11838</v>
      </c>
    </row>
    <row r="4837" spans="1:4" ht="16.5">
      <c r="A4837" s="663" t="s">
        <v>2335</v>
      </c>
      <c r="B4837" t="s">
        <v>11826</v>
      </c>
      <c r="C4837" s="900" t="s">
        <v>11837</v>
      </c>
      <c r="D4837" s="905" t="s">
        <v>11838</v>
      </c>
    </row>
    <row r="4838" spans="1:4" ht="16.5">
      <c r="A4838" s="663" t="s">
        <v>2332</v>
      </c>
      <c r="B4838" t="s">
        <v>11826</v>
      </c>
      <c r="C4838" s="900" t="s">
        <v>11837</v>
      </c>
      <c r="D4838" s="905" t="s">
        <v>11838</v>
      </c>
    </row>
    <row r="4839" spans="1:4" ht="16.5">
      <c r="A4839" s="663" t="s">
        <v>10970</v>
      </c>
      <c r="B4839" t="s">
        <v>11826</v>
      </c>
      <c r="C4839" s="900" t="s">
        <v>11837</v>
      </c>
      <c r="D4839" s="905" t="s">
        <v>11838</v>
      </c>
    </row>
    <row r="4840" spans="1:4" ht="16.5">
      <c r="A4840" s="663" t="s">
        <v>10972</v>
      </c>
      <c r="B4840" t="s">
        <v>11826</v>
      </c>
      <c r="C4840" s="900" t="s">
        <v>11837</v>
      </c>
      <c r="D4840" s="905" t="s">
        <v>11838</v>
      </c>
    </row>
    <row r="4841" spans="1:4" ht="16.5">
      <c r="A4841" s="663" t="s">
        <v>10974</v>
      </c>
      <c r="B4841" t="s">
        <v>11826</v>
      </c>
      <c r="C4841" s="900" t="s">
        <v>11837</v>
      </c>
      <c r="D4841" s="905" t="s">
        <v>11838</v>
      </c>
    </row>
    <row r="4842" spans="1:4" ht="16.5">
      <c r="A4842" s="663" t="s">
        <v>10976</v>
      </c>
      <c r="B4842" t="s">
        <v>11826</v>
      </c>
      <c r="C4842" s="900" t="s">
        <v>11837</v>
      </c>
      <c r="D4842" s="905" t="s">
        <v>11838</v>
      </c>
    </row>
    <row r="4843" spans="1:4" ht="16.5">
      <c r="A4843" s="663" t="s">
        <v>10978</v>
      </c>
      <c r="B4843" t="s">
        <v>11826</v>
      </c>
      <c r="C4843" s="900" t="s">
        <v>11837</v>
      </c>
      <c r="D4843" s="905" t="s">
        <v>11838</v>
      </c>
    </row>
    <row r="4844" spans="1:4" ht="16.5">
      <c r="A4844" s="663" t="s">
        <v>2307</v>
      </c>
      <c r="B4844" t="s">
        <v>11826</v>
      </c>
      <c r="C4844" s="900" t="s">
        <v>11837</v>
      </c>
      <c r="D4844" s="905" t="s">
        <v>11838</v>
      </c>
    </row>
    <row r="4845" spans="1:4" ht="16.5">
      <c r="A4845" s="663" t="s">
        <v>10981</v>
      </c>
      <c r="B4845" t="s">
        <v>11826</v>
      </c>
      <c r="C4845" s="900" t="s">
        <v>11837</v>
      </c>
      <c r="D4845" s="905" t="s">
        <v>11838</v>
      </c>
    </row>
    <row r="4846" spans="1:4" ht="16.5">
      <c r="A4846" s="663" t="s">
        <v>10983</v>
      </c>
      <c r="B4846" t="s">
        <v>11826</v>
      </c>
      <c r="C4846" s="900" t="s">
        <v>11837</v>
      </c>
      <c r="D4846" s="905" t="s">
        <v>11838</v>
      </c>
    </row>
    <row r="4847" spans="1:4" ht="16.5">
      <c r="A4847" s="663" t="s">
        <v>10985</v>
      </c>
      <c r="B4847" t="s">
        <v>11826</v>
      </c>
      <c r="C4847" s="900" t="s">
        <v>11837</v>
      </c>
      <c r="D4847" s="905" t="s">
        <v>11838</v>
      </c>
    </row>
    <row r="4848" spans="1:4" ht="16.5">
      <c r="A4848" s="663" t="s">
        <v>10987</v>
      </c>
      <c r="B4848" t="s">
        <v>11826</v>
      </c>
      <c r="C4848" s="900" t="s">
        <v>11837</v>
      </c>
      <c r="D4848" s="905" t="s">
        <v>11838</v>
      </c>
    </row>
    <row r="4849" spans="1:4" ht="16.5">
      <c r="A4849" s="663" t="s">
        <v>10989</v>
      </c>
      <c r="B4849" t="s">
        <v>11826</v>
      </c>
      <c r="C4849" s="900" t="s">
        <v>11837</v>
      </c>
      <c r="D4849" s="905" t="s">
        <v>11838</v>
      </c>
    </row>
    <row r="4850" spans="1:4" ht="16.5">
      <c r="A4850" s="663" t="s">
        <v>10991</v>
      </c>
      <c r="B4850" t="s">
        <v>11826</v>
      </c>
      <c r="C4850" s="900" t="s">
        <v>11837</v>
      </c>
      <c r="D4850" s="905" t="s">
        <v>11838</v>
      </c>
    </row>
    <row r="4851" spans="1:4" ht="16.5">
      <c r="A4851" s="663" t="s">
        <v>10993</v>
      </c>
      <c r="B4851" t="s">
        <v>11826</v>
      </c>
      <c r="C4851" s="900" t="s">
        <v>11837</v>
      </c>
      <c r="D4851" s="905" t="s">
        <v>11838</v>
      </c>
    </row>
    <row r="4852" spans="1:4" ht="16.5">
      <c r="A4852" s="663" t="s">
        <v>10995</v>
      </c>
      <c r="B4852" t="s">
        <v>11826</v>
      </c>
      <c r="C4852" s="900" t="s">
        <v>11837</v>
      </c>
      <c r="D4852" s="905" t="s">
        <v>11838</v>
      </c>
    </row>
    <row r="4853" spans="1:4" ht="16.5">
      <c r="A4853" s="663" t="s">
        <v>10997</v>
      </c>
      <c r="B4853" t="s">
        <v>11826</v>
      </c>
      <c r="C4853" s="900" t="s">
        <v>11837</v>
      </c>
      <c r="D4853" s="905" t="s">
        <v>11838</v>
      </c>
    </row>
    <row r="4854" spans="1:4" ht="16.5">
      <c r="A4854" s="663" t="s">
        <v>10999</v>
      </c>
      <c r="B4854" t="s">
        <v>11826</v>
      </c>
      <c r="C4854" s="900" t="s">
        <v>11837</v>
      </c>
      <c r="D4854" s="905" t="s">
        <v>11838</v>
      </c>
    </row>
    <row r="4855" spans="1:4" ht="16.5">
      <c r="A4855" s="663" t="s">
        <v>11001</v>
      </c>
      <c r="B4855" t="s">
        <v>11826</v>
      </c>
      <c r="C4855" s="900" t="s">
        <v>11837</v>
      </c>
      <c r="D4855" s="905" t="s">
        <v>11838</v>
      </c>
    </row>
    <row r="4856" spans="1:4" ht="16.5">
      <c r="A4856" s="663" t="s">
        <v>2318</v>
      </c>
      <c r="B4856" t="s">
        <v>11826</v>
      </c>
      <c r="C4856" s="900" t="s">
        <v>11837</v>
      </c>
      <c r="D4856" s="905" t="s">
        <v>11838</v>
      </c>
    </row>
    <row r="4857" spans="1:4" ht="16.5">
      <c r="A4857" s="663" t="s">
        <v>2314</v>
      </c>
      <c r="B4857" t="s">
        <v>11826</v>
      </c>
      <c r="C4857" s="900" t="s">
        <v>11837</v>
      </c>
      <c r="D4857" s="905" t="s">
        <v>11838</v>
      </c>
    </row>
    <row r="4858" spans="1:4" ht="16.5">
      <c r="A4858" s="663" t="s">
        <v>11005</v>
      </c>
      <c r="B4858" t="s">
        <v>11826</v>
      </c>
      <c r="C4858" s="900" t="s">
        <v>11837</v>
      </c>
      <c r="D4858" s="905" t="s">
        <v>11838</v>
      </c>
    </row>
    <row r="4859" spans="1:4" ht="16.5">
      <c r="A4859" s="663" t="s">
        <v>11007</v>
      </c>
      <c r="B4859" t="s">
        <v>11826</v>
      </c>
      <c r="C4859" s="900" t="s">
        <v>11837</v>
      </c>
      <c r="D4859" s="905" t="s">
        <v>11838</v>
      </c>
    </row>
    <row r="4860" spans="1:4" ht="16.5">
      <c r="A4860" s="663" t="s">
        <v>11009</v>
      </c>
      <c r="B4860" t="s">
        <v>11826</v>
      </c>
      <c r="C4860" s="900" t="s">
        <v>11837</v>
      </c>
      <c r="D4860" s="905" t="s">
        <v>11838</v>
      </c>
    </row>
    <row r="4861" spans="1:4" ht="16.5">
      <c r="A4861" s="663" t="s">
        <v>11011</v>
      </c>
      <c r="B4861" t="s">
        <v>11826</v>
      </c>
      <c r="C4861" s="900" t="s">
        <v>11837</v>
      </c>
      <c r="D4861" s="905" t="s">
        <v>11838</v>
      </c>
    </row>
    <row r="4862" spans="1:4" ht="16.5">
      <c r="A4862" s="663" t="s">
        <v>2328</v>
      </c>
      <c r="B4862" t="s">
        <v>11826</v>
      </c>
      <c r="C4862" s="900" t="s">
        <v>11837</v>
      </c>
      <c r="D4862" s="905" t="s">
        <v>11838</v>
      </c>
    </row>
    <row r="4863" spans="1:4" ht="16.5">
      <c r="A4863" s="663" t="s">
        <v>11014</v>
      </c>
      <c r="B4863" t="s">
        <v>11826</v>
      </c>
      <c r="C4863" s="900" t="s">
        <v>11837</v>
      </c>
      <c r="D4863" s="905" t="s">
        <v>11838</v>
      </c>
    </row>
    <row r="4864" spans="1:4" ht="16.5">
      <c r="A4864" s="663" t="s">
        <v>11016</v>
      </c>
      <c r="B4864" t="s">
        <v>11826</v>
      </c>
      <c r="C4864" s="900" t="s">
        <v>11837</v>
      </c>
      <c r="D4864" s="905" t="s">
        <v>11838</v>
      </c>
    </row>
    <row r="4865" spans="1:4" ht="16.5">
      <c r="A4865" s="663" t="s">
        <v>2310</v>
      </c>
      <c r="B4865" t="s">
        <v>11826</v>
      </c>
      <c r="C4865" s="900" t="s">
        <v>11837</v>
      </c>
      <c r="D4865" s="905" t="s">
        <v>11838</v>
      </c>
    </row>
    <row r="4866" spans="1:4" ht="16.5">
      <c r="A4866" s="663" t="s">
        <v>11019</v>
      </c>
      <c r="B4866" t="s">
        <v>11826</v>
      </c>
      <c r="C4866" s="900" t="s">
        <v>11837</v>
      </c>
      <c r="D4866" s="905" t="s">
        <v>11838</v>
      </c>
    </row>
    <row r="4867" spans="1:4" ht="16.5">
      <c r="A4867" s="663" t="s">
        <v>2324</v>
      </c>
      <c r="B4867" t="s">
        <v>11826</v>
      </c>
      <c r="C4867" s="900" t="s">
        <v>11837</v>
      </c>
      <c r="D4867" s="905" t="s">
        <v>11838</v>
      </c>
    </row>
    <row r="4868" spans="1:4" ht="16.5">
      <c r="A4868" s="663" t="s">
        <v>11022</v>
      </c>
      <c r="B4868" t="s">
        <v>11826</v>
      </c>
      <c r="C4868" s="900" t="s">
        <v>11837</v>
      </c>
      <c r="D4868" s="905" t="s">
        <v>11838</v>
      </c>
    </row>
    <row r="4869" spans="1:4" ht="16.5">
      <c r="A4869" s="663" t="s">
        <v>11024</v>
      </c>
      <c r="B4869" t="s">
        <v>11826</v>
      </c>
      <c r="C4869" s="900" t="s">
        <v>11837</v>
      </c>
      <c r="D4869" s="905" t="s">
        <v>11838</v>
      </c>
    </row>
    <row r="4870" spans="1:4" ht="16.5">
      <c r="A4870" s="663" t="s">
        <v>11026</v>
      </c>
      <c r="B4870" t="s">
        <v>11826</v>
      </c>
      <c r="C4870" s="900" t="s">
        <v>11837</v>
      </c>
      <c r="D4870" s="905" t="s">
        <v>11838</v>
      </c>
    </row>
    <row r="4871" spans="1:4" ht="16.5">
      <c r="A4871" s="663" t="s">
        <v>11028</v>
      </c>
      <c r="B4871" t="s">
        <v>11826</v>
      </c>
      <c r="C4871" s="900" t="s">
        <v>11837</v>
      </c>
      <c r="D4871" s="905" t="s">
        <v>11838</v>
      </c>
    </row>
    <row r="4872" spans="1:4" ht="16.5">
      <c r="A4872" s="663" t="s">
        <v>11030</v>
      </c>
      <c r="B4872" t="s">
        <v>11826</v>
      </c>
      <c r="C4872" s="900" t="s">
        <v>11837</v>
      </c>
      <c r="D4872" s="905" t="s">
        <v>11838</v>
      </c>
    </row>
    <row r="4873" spans="1:4" ht="16.5">
      <c r="A4873" s="663" t="s">
        <v>11032</v>
      </c>
      <c r="B4873" t="s">
        <v>11826</v>
      </c>
      <c r="C4873" s="900" t="s">
        <v>11837</v>
      </c>
      <c r="D4873" s="905" t="s">
        <v>11838</v>
      </c>
    </row>
    <row r="4874" spans="1:4" ht="16.5">
      <c r="A4874" s="663" t="s">
        <v>11034</v>
      </c>
      <c r="B4874" t="s">
        <v>11826</v>
      </c>
      <c r="C4874" s="900" t="s">
        <v>11837</v>
      </c>
      <c r="D4874" s="905" t="s">
        <v>11838</v>
      </c>
    </row>
    <row r="4875" spans="1:4" ht="16.5">
      <c r="A4875" s="663" t="s">
        <v>11037</v>
      </c>
      <c r="B4875" t="s">
        <v>11826</v>
      </c>
      <c r="C4875" s="900" t="s">
        <v>11837</v>
      </c>
      <c r="D4875" s="905" t="s">
        <v>11838</v>
      </c>
    </row>
    <row r="4876" spans="1:4" ht="16.5">
      <c r="A4876" s="663" t="s">
        <v>2279</v>
      </c>
      <c r="B4876" t="s">
        <v>11826</v>
      </c>
      <c r="C4876" s="900" t="s">
        <v>11837</v>
      </c>
      <c r="D4876" s="905" t="s">
        <v>11838</v>
      </c>
    </row>
    <row r="4877" spans="1:4" ht="16.5">
      <c r="A4877" s="663" t="s">
        <v>1758</v>
      </c>
      <c r="B4877" t="s">
        <v>11826</v>
      </c>
      <c r="C4877" s="900" t="s">
        <v>11837</v>
      </c>
      <c r="D4877" s="905" t="s">
        <v>11838</v>
      </c>
    </row>
    <row r="4878" spans="1:4" ht="16.5">
      <c r="A4878" s="663" t="s">
        <v>2322</v>
      </c>
      <c r="B4878" t="s">
        <v>11826</v>
      </c>
      <c r="C4878" s="900" t="s">
        <v>11837</v>
      </c>
      <c r="D4878" s="905" t="s">
        <v>11838</v>
      </c>
    </row>
    <row r="4879" spans="1:4" ht="16.5">
      <c r="A4879" s="663" t="s">
        <v>1753</v>
      </c>
      <c r="B4879" t="s">
        <v>11826</v>
      </c>
      <c r="C4879" s="900" t="s">
        <v>11837</v>
      </c>
      <c r="D4879" s="905" t="s">
        <v>11838</v>
      </c>
    </row>
    <row r="4880" spans="1:4" ht="16.5">
      <c r="A4880" s="663" t="s">
        <v>2284</v>
      </c>
      <c r="B4880" t="s">
        <v>11826</v>
      </c>
      <c r="C4880" s="900" t="s">
        <v>11837</v>
      </c>
      <c r="D4880" s="905" t="s">
        <v>11838</v>
      </c>
    </row>
    <row r="4881" spans="1:4" ht="16.5">
      <c r="A4881" s="663" t="s">
        <v>1741</v>
      </c>
      <c r="B4881" t="s">
        <v>11826</v>
      </c>
      <c r="C4881" s="900" t="s">
        <v>11837</v>
      </c>
      <c r="D4881" s="905" t="s">
        <v>11838</v>
      </c>
    </row>
    <row r="4882" spans="1:4" ht="16.5">
      <c r="A4882" s="663" t="s">
        <v>2292</v>
      </c>
      <c r="B4882" t="s">
        <v>11826</v>
      </c>
      <c r="C4882" s="900" t="s">
        <v>11837</v>
      </c>
      <c r="D4882" s="905" t="s">
        <v>11838</v>
      </c>
    </row>
    <row r="4883" spans="1:4" ht="16.5">
      <c r="A4883" s="663" t="s">
        <v>1729</v>
      </c>
      <c r="B4883" t="s">
        <v>11826</v>
      </c>
      <c r="C4883" s="900" t="s">
        <v>11837</v>
      </c>
      <c r="D4883" s="905" t="s">
        <v>11838</v>
      </c>
    </row>
    <row r="4884" spans="1:4" ht="16.5">
      <c r="A4884" s="663" t="s">
        <v>1743</v>
      </c>
      <c r="B4884" t="s">
        <v>11826</v>
      </c>
      <c r="C4884" s="900" t="s">
        <v>11837</v>
      </c>
      <c r="D4884" s="905" t="s">
        <v>11838</v>
      </c>
    </row>
    <row r="4885" spans="1:4" ht="16.5">
      <c r="A4885" s="663" t="s">
        <v>1715</v>
      </c>
      <c r="B4885" t="s">
        <v>11826</v>
      </c>
      <c r="C4885" s="900" t="s">
        <v>11837</v>
      </c>
      <c r="D4885" s="905" t="s">
        <v>11838</v>
      </c>
    </row>
    <row r="4886" spans="1:4" ht="16.5">
      <c r="A4886" s="663" t="s">
        <v>2305</v>
      </c>
      <c r="B4886" t="s">
        <v>11826</v>
      </c>
      <c r="C4886" s="900" t="s">
        <v>11837</v>
      </c>
      <c r="D4886" s="905" t="s">
        <v>11838</v>
      </c>
    </row>
    <row r="4887" spans="1:4" ht="16.5">
      <c r="A4887" s="663" t="s">
        <v>1747</v>
      </c>
      <c r="B4887" t="s">
        <v>11826</v>
      </c>
      <c r="C4887" s="900" t="s">
        <v>11837</v>
      </c>
      <c r="D4887" s="905" t="s">
        <v>11838</v>
      </c>
    </row>
    <row r="4888" spans="1:4" ht="16.5">
      <c r="A4888" s="663" t="s">
        <v>1733</v>
      </c>
      <c r="B4888" t="s">
        <v>11826</v>
      </c>
      <c r="C4888" s="900" t="s">
        <v>11837</v>
      </c>
      <c r="D4888" s="905" t="s">
        <v>11838</v>
      </c>
    </row>
    <row r="4889" spans="1:4" ht="16.5">
      <c r="A4889" s="663" t="s">
        <v>1720</v>
      </c>
      <c r="B4889" t="s">
        <v>11826</v>
      </c>
      <c r="C4889" s="900" t="s">
        <v>11837</v>
      </c>
      <c r="D4889" s="905" t="s">
        <v>11838</v>
      </c>
    </row>
    <row r="4890" spans="1:4" ht="16.5">
      <c r="A4890" s="663" t="s">
        <v>1751</v>
      </c>
      <c r="B4890" t="s">
        <v>11826</v>
      </c>
      <c r="C4890" s="900" t="s">
        <v>11837</v>
      </c>
      <c r="D4890" s="905" t="s">
        <v>11838</v>
      </c>
    </row>
    <row r="4891" spans="1:4" ht="16.5">
      <c r="A4891" s="663" t="s">
        <v>1737</v>
      </c>
      <c r="B4891" t="s">
        <v>11826</v>
      </c>
      <c r="C4891" s="900" t="s">
        <v>11837</v>
      </c>
      <c r="D4891" s="905" t="s">
        <v>11838</v>
      </c>
    </row>
    <row r="4892" spans="1:4" ht="16.5">
      <c r="A4892" s="663" t="s">
        <v>1724</v>
      </c>
      <c r="B4892" t="s">
        <v>11826</v>
      </c>
      <c r="C4892" s="900" t="s">
        <v>11837</v>
      </c>
      <c r="D4892" s="905" t="s">
        <v>11838</v>
      </c>
    </row>
    <row r="4893" spans="1:4" ht="16.5">
      <c r="A4893" s="663" t="s">
        <v>2040</v>
      </c>
      <c r="B4893" t="s">
        <v>11826</v>
      </c>
      <c r="C4893" s="900" t="s">
        <v>11837</v>
      </c>
      <c r="D4893" s="905" t="s">
        <v>11838</v>
      </c>
    </row>
    <row r="4894" spans="1:4" ht="16.5">
      <c r="A4894" s="663" t="s">
        <v>2038</v>
      </c>
      <c r="B4894" t="s">
        <v>11826</v>
      </c>
      <c r="C4894" s="900" t="s">
        <v>11837</v>
      </c>
      <c r="D4894" s="905" t="s">
        <v>11838</v>
      </c>
    </row>
    <row r="4895" spans="1:4" ht="16.5">
      <c r="A4895" s="663" t="s">
        <v>2044</v>
      </c>
      <c r="B4895" t="s">
        <v>11826</v>
      </c>
      <c r="C4895" s="900" t="s">
        <v>11837</v>
      </c>
      <c r="D4895" s="905" t="s">
        <v>11838</v>
      </c>
    </row>
    <row r="4896" spans="1:4" ht="16.5">
      <c r="A4896" s="663" t="s">
        <v>2046</v>
      </c>
      <c r="B4896" t="s">
        <v>11826</v>
      </c>
      <c r="C4896" s="900" t="s">
        <v>11837</v>
      </c>
      <c r="D4896" s="905" t="s">
        <v>11838</v>
      </c>
    </row>
    <row r="4897" spans="1:4" ht="16.5">
      <c r="A4897" s="663" t="s">
        <v>2042</v>
      </c>
      <c r="B4897" t="s">
        <v>11826</v>
      </c>
      <c r="C4897" s="900" t="s">
        <v>11837</v>
      </c>
      <c r="D4897" s="905" t="s">
        <v>11838</v>
      </c>
    </row>
    <row r="4898" spans="1:4" ht="16.5">
      <c r="A4898" s="663" t="s">
        <v>2062</v>
      </c>
      <c r="B4898" t="s">
        <v>11826</v>
      </c>
      <c r="C4898" s="900" t="s">
        <v>11837</v>
      </c>
      <c r="D4898" s="905" t="s">
        <v>11838</v>
      </c>
    </row>
    <row r="4899" spans="1:4" ht="16.5">
      <c r="A4899" s="663" t="s">
        <v>11041</v>
      </c>
      <c r="B4899" t="s">
        <v>11826</v>
      </c>
      <c r="C4899" s="900" t="s">
        <v>11837</v>
      </c>
      <c r="D4899" s="905" t="s">
        <v>11838</v>
      </c>
    </row>
    <row r="4900" spans="1:4" ht="16.5">
      <c r="A4900" s="663" t="s">
        <v>2064</v>
      </c>
      <c r="B4900" t="s">
        <v>11826</v>
      </c>
      <c r="C4900" s="900" t="s">
        <v>11837</v>
      </c>
      <c r="D4900" s="905" t="s">
        <v>11838</v>
      </c>
    </row>
    <row r="4901" spans="1:4" ht="16.5">
      <c r="A4901" s="663" t="s">
        <v>11043</v>
      </c>
      <c r="B4901" t="s">
        <v>11826</v>
      </c>
      <c r="C4901" s="900" t="s">
        <v>11837</v>
      </c>
      <c r="D4901" s="905" t="s">
        <v>11838</v>
      </c>
    </row>
    <row r="4902" spans="1:4" ht="16.5">
      <c r="A4902" s="663" t="s">
        <v>11045</v>
      </c>
      <c r="B4902" t="s">
        <v>11826</v>
      </c>
      <c r="C4902" s="900" t="s">
        <v>11837</v>
      </c>
      <c r="D4902" s="905" t="s">
        <v>11838</v>
      </c>
    </row>
    <row r="4903" spans="1:4" ht="16.5">
      <c r="A4903" s="663" t="s">
        <v>11047</v>
      </c>
      <c r="B4903" t="s">
        <v>11826</v>
      </c>
      <c r="C4903" s="900" t="s">
        <v>11837</v>
      </c>
      <c r="D4903" s="905" t="s">
        <v>11838</v>
      </c>
    </row>
    <row r="4904" spans="1:4" ht="16.5">
      <c r="A4904" s="663" t="s">
        <v>11049</v>
      </c>
      <c r="B4904" t="s">
        <v>11826</v>
      </c>
      <c r="C4904" s="900" t="s">
        <v>11837</v>
      </c>
      <c r="D4904" s="905" t="s">
        <v>11838</v>
      </c>
    </row>
    <row r="4905" spans="1:4" ht="16.5">
      <c r="A4905" s="663" t="s">
        <v>11051</v>
      </c>
      <c r="B4905" t="s">
        <v>11826</v>
      </c>
      <c r="C4905" s="900" t="s">
        <v>11837</v>
      </c>
      <c r="D4905" s="905" t="s">
        <v>11838</v>
      </c>
    </row>
    <row r="4906" spans="1:4" ht="16.5">
      <c r="A4906" s="663" t="s">
        <v>11053</v>
      </c>
      <c r="B4906" t="s">
        <v>11826</v>
      </c>
      <c r="C4906" s="900" t="s">
        <v>11837</v>
      </c>
      <c r="D4906" s="905" t="s">
        <v>11838</v>
      </c>
    </row>
    <row r="4907" spans="1:4" ht="16.5">
      <c r="A4907" s="663" t="s">
        <v>11055</v>
      </c>
      <c r="B4907" t="s">
        <v>11826</v>
      </c>
      <c r="C4907" s="900" t="s">
        <v>11837</v>
      </c>
      <c r="D4907" s="905" t="s">
        <v>11838</v>
      </c>
    </row>
    <row r="4908" spans="1:4" ht="16.5">
      <c r="A4908" s="663" t="s">
        <v>11057</v>
      </c>
      <c r="B4908" t="s">
        <v>11826</v>
      </c>
      <c r="C4908" s="900" t="s">
        <v>11837</v>
      </c>
      <c r="D4908" s="905" t="s">
        <v>11838</v>
      </c>
    </row>
    <row r="4909" spans="1:4" ht="16.5">
      <c r="A4909" s="663" t="s">
        <v>11059</v>
      </c>
      <c r="B4909" t="s">
        <v>11826</v>
      </c>
      <c r="C4909" s="900" t="s">
        <v>11837</v>
      </c>
      <c r="D4909" s="905" t="s">
        <v>11838</v>
      </c>
    </row>
    <row r="4910" spans="1:4" ht="16.5">
      <c r="A4910" s="663" t="s">
        <v>11061</v>
      </c>
      <c r="B4910" t="s">
        <v>11826</v>
      </c>
      <c r="C4910" s="900" t="s">
        <v>11837</v>
      </c>
      <c r="D4910" s="905" t="s">
        <v>11838</v>
      </c>
    </row>
    <row r="4911" spans="1:4" ht="16.5">
      <c r="A4911" s="663" t="s">
        <v>11063</v>
      </c>
      <c r="B4911" t="s">
        <v>11826</v>
      </c>
      <c r="C4911" s="900" t="s">
        <v>11837</v>
      </c>
      <c r="D4911" s="905" t="s">
        <v>11838</v>
      </c>
    </row>
    <row r="4912" spans="1:4" ht="16.5">
      <c r="A4912" s="663" t="s">
        <v>11065</v>
      </c>
      <c r="B4912" t="s">
        <v>11826</v>
      </c>
      <c r="C4912" s="900" t="s">
        <v>11837</v>
      </c>
      <c r="D4912" s="905" t="s">
        <v>11838</v>
      </c>
    </row>
    <row r="4913" spans="1:4" ht="16.5">
      <c r="A4913" s="663" t="s">
        <v>11067</v>
      </c>
      <c r="B4913" t="s">
        <v>11826</v>
      </c>
      <c r="C4913" s="900" t="s">
        <v>11837</v>
      </c>
      <c r="D4913" s="905" t="s">
        <v>11838</v>
      </c>
    </row>
    <row r="4914" spans="1:4" ht="16.5">
      <c r="A4914" s="663" t="s">
        <v>2066</v>
      </c>
      <c r="B4914" t="s">
        <v>11826</v>
      </c>
      <c r="C4914" s="900" t="s">
        <v>11837</v>
      </c>
      <c r="D4914" s="905" t="s">
        <v>11838</v>
      </c>
    </row>
    <row r="4915" spans="1:4" ht="16.5">
      <c r="A4915" s="663" t="s">
        <v>2068</v>
      </c>
      <c r="B4915" t="s">
        <v>11826</v>
      </c>
      <c r="C4915" s="900" t="s">
        <v>11837</v>
      </c>
      <c r="D4915" s="905" t="s">
        <v>11838</v>
      </c>
    </row>
    <row r="4916" spans="1:4" ht="16.5">
      <c r="A4916" s="663" t="s">
        <v>11069</v>
      </c>
      <c r="B4916" t="s">
        <v>11826</v>
      </c>
      <c r="C4916" s="900" t="s">
        <v>11837</v>
      </c>
      <c r="D4916" s="905" t="s">
        <v>11838</v>
      </c>
    </row>
    <row r="4917" spans="1:4" ht="16.5">
      <c r="A4917" s="663" t="s">
        <v>2070</v>
      </c>
      <c r="B4917" t="s">
        <v>11826</v>
      </c>
      <c r="C4917" s="900" t="s">
        <v>11837</v>
      </c>
      <c r="D4917" s="905" t="s">
        <v>11838</v>
      </c>
    </row>
    <row r="4918" spans="1:4" ht="16.5">
      <c r="A4918" s="663" t="s">
        <v>11071</v>
      </c>
      <c r="B4918" t="s">
        <v>11826</v>
      </c>
      <c r="C4918" s="900" t="s">
        <v>11837</v>
      </c>
      <c r="D4918" s="905" t="s">
        <v>11838</v>
      </c>
    </row>
    <row r="4919" spans="1:4" ht="16.5">
      <c r="A4919" s="663" t="s">
        <v>2072</v>
      </c>
      <c r="B4919" t="s">
        <v>11826</v>
      </c>
      <c r="C4919" s="900" t="s">
        <v>11837</v>
      </c>
      <c r="D4919" s="905" t="s">
        <v>11838</v>
      </c>
    </row>
    <row r="4920" spans="1:4" ht="16.5">
      <c r="A4920" s="663" t="s">
        <v>11073</v>
      </c>
      <c r="B4920" t="s">
        <v>11826</v>
      </c>
      <c r="C4920" s="900" t="s">
        <v>11837</v>
      </c>
      <c r="D4920" s="905" t="s">
        <v>11838</v>
      </c>
    </row>
    <row r="4921" spans="1:4" ht="16.5">
      <c r="A4921" s="663" t="s">
        <v>11075</v>
      </c>
      <c r="B4921" t="s">
        <v>11826</v>
      </c>
      <c r="C4921" s="900" t="s">
        <v>11837</v>
      </c>
      <c r="D4921" s="905" t="s">
        <v>11838</v>
      </c>
    </row>
    <row r="4922" spans="1:4" ht="16.5">
      <c r="A4922" s="663" t="s">
        <v>11077</v>
      </c>
      <c r="B4922" t="s">
        <v>11826</v>
      </c>
      <c r="C4922" s="900" t="s">
        <v>11837</v>
      </c>
      <c r="D4922" s="905" t="s">
        <v>11838</v>
      </c>
    </row>
    <row r="4923" spans="1:4" ht="16.5">
      <c r="A4923" s="663" t="s">
        <v>2074</v>
      </c>
      <c r="B4923" t="s">
        <v>11826</v>
      </c>
      <c r="C4923" s="900" t="s">
        <v>11837</v>
      </c>
      <c r="D4923" s="905" t="s">
        <v>11838</v>
      </c>
    </row>
    <row r="4924" spans="1:4" ht="16.5">
      <c r="A4924" s="663" t="s">
        <v>11078</v>
      </c>
      <c r="B4924" t="s">
        <v>11826</v>
      </c>
      <c r="C4924" s="900" t="s">
        <v>11837</v>
      </c>
      <c r="D4924" s="905" t="s">
        <v>11838</v>
      </c>
    </row>
    <row r="4925" spans="1:4" ht="16.5">
      <c r="A4925" s="663" t="s">
        <v>11080</v>
      </c>
      <c r="B4925" t="s">
        <v>11826</v>
      </c>
      <c r="C4925" s="900" t="s">
        <v>11837</v>
      </c>
      <c r="D4925" s="905" t="s">
        <v>11838</v>
      </c>
    </row>
    <row r="4926" spans="1:4" ht="16.5">
      <c r="A4926" s="663" t="s">
        <v>11082</v>
      </c>
      <c r="B4926" t="s">
        <v>11826</v>
      </c>
      <c r="C4926" s="900" t="s">
        <v>11837</v>
      </c>
      <c r="D4926" s="905" t="s">
        <v>11838</v>
      </c>
    </row>
    <row r="4927" spans="1:4" ht="16.5">
      <c r="A4927" s="663" t="s">
        <v>11084</v>
      </c>
      <c r="B4927" t="s">
        <v>11826</v>
      </c>
      <c r="C4927" s="900" t="s">
        <v>11837</v>
      </c>
      <c r="D4927" s="905" t="s">
        <v>11838</v>
      </c>
    </row>
    <row r="4928" spans="1:4" ht="16.5">
      <c r="A4928" s="663" t="s">
        <v>11086</v>
      </c>
      <c r="B4928" t="s">
        <v>11826</v>
      </c>
      <c r="C4928" s="900" t="s">
        <v>11837</v>
      </c>
      <c r="D4928" s="905" t="s">
        <v>11838</v>
      </c>
    </row>
    <row r="4929" spans="1:4" ht="16.5">
      <c r="A4929" s="663" t="s">
        <v>2076</v>
      </c>
      <c r="B4929" t="s">
        <v>11826</v>
      </c>
      <c r="C4929" s="900" t="s">
        <v>11837</v>
      </c>
      <c r="D4929" s="905" t="s">
        <v>11838</v>
      </c>
    </row>
    <row r="4930" spans="1:4" ht="16.5">
      <c r="A4930" s="663" t="s">
        <v>11088</v>
      </c>
      <c r="B4930" t="s">
        <v>11826</v>
      </c>
      <c r="C4930" s="900" t="s">
        <v>11837</v>
      </c>
      <c r="D4930" s="905" t="s">
        <v>11838</v>
      </c>
    </row>
    <row r="4931" spans="1:4" ht="16.5">
      <c r="A4931" s="663" t="s">
        <v>11090</v>
      </c>
      <c r="B4931" t="s">
        <v>11826</v>
      </c>
      <c r="C4931" s="900" t="s">
        <v>11837</v>
      </c>
      <c r="D4931" s="905" t="s">
        <v>11838</v>
      </c>
    </row>
    <row r="4932" spans="1:4" ht="16.5">
      <c r="A4932" s="663" t="s">
        <v>11092</v>
      </c>
      <c r="B4932" t="s">
        <v>11826</v>
      </c>
      <c r="C4932" s="900" t="s">
        <v>11837</v>
      </c>
      <c r="D4932" s="905" t="s">
        <v>11838</v>
      </c>
    </row>
    <row r="4933" spans="1:4" ht="16.5">
      <c r="A4933" s="663" t="s">
        <v>11094</v>
      </c>
      <c r="B4933" t="s">
        <v>11826</v>
      </c>
      <c r="C4933" s="900" t="s">
        <v>11837</v>
      </c>
      <c r="D4933" s="905" t="s">
        <v>11838</v>
      </c>
    </row>
    <row r="4934" spans="1:4" ht="16.5">
      <c r="A4934" s="663" t="s">
        <v>2048</v>
      </c>
      <c r="B4934" t="s">
        <v>11826</v>
      </c>
      <c r="C4934" s="900" t="s">
        <v>11837</v>
      </c>
      <c r="D4934" s="905" t="s">
        <v>11838</v>
      </c>
    </row>
    <row r="4935" spans="1:4" ht="16.5">
      <c r="A4935" s="663" t="s">
        <v>2050</v>
      </c>
      <c r="B4935" t="s">
        <v>11826</v>
      </c>
      <c r="C4935" s="900" t="s">
        <v>11837</v>
      </c>
      <c r="D4935" s="905" t="s">
        <v>11838</v>
      </c>
    </row>
    <row r="4936" spans="1:4" ht="16.5">
      <c r="A4936" s="663" t="s">
        <v>2052</v>
      </c>
      <c r="B4936" t="s">
        <v>11826</v>
      </c>
      <c r="C4936" s="900" t="s">
        <v>11837</v>
      </c>
      <c r="D4936" s="905" t="s">
        <v>11838</v>
      </c>
    </row>
    <row r="4937" spans="1:4" ht="16.5">
      <c r="A4937" s="663" t="s">
        <v>2054</v>
      </c>
      <c r="B4937" t="s">
        <v>11826</v>
      </c>
      <c r="C4937" s="900" t="s">
        <v>11837</v>
      </c>
      <c r="D4937" s="905" t="s">
        <v>11838</v>
      </c>
    </row>
    <row r="4938" spans="1:4" ht="16.5">
      <c r="A4938" s="663" t="s">
        <v>2056</v>
      </c>
      <c r="B4938" t="s">
        <v>11826</v>
      </c>
      <c r="C4938" s="900" t="s">
        <v>11837</v>
      </c>
      <c r="D4938" s="905" t="s">
        <v>11838</v>
      </c>
    </row>
    <row r="4939" spans="1:4" ht="16.5">
      <c r="A4939" s="663" t="s">
        <v>2060</v>
      </c>
      <c r="B4939" t="s">
        <v>11826</v>
      </c>
      <c r="C4939" s="900" t="s">
        <v>11837</v>
      </c>
      <c r="D4939" s="905" t="s">
        <v>11838</v>
      </c>
    </row>
    <row r="4940" spans="1:4" ht="16.5">
      <c r="A4940" s="663" t="s">
        <v>2058</v>
      </c>
      <c r="B4940" t="s">
        <v>11826</v>
      </c>
      <c r="C4940" s="900" t="s">
        <v>11837</v>
      </c>
      <c r="D4940" s="905" t="s">
        <v>11838</v>
      </c>
    </row>
    <row r="4941" spans="1:4" ht="16.5">
      <c r="A4941" s="663" t="s">
        <v>11098</v>
      </c>
      <c r="B4941" t="s">
        <v>11826</v>
      </c>
      <c r="C4941" s="900" t="s">
        <v>11837</v>
      </c>
      <c r="D4941" s="905" t="s">
        <v>11838</v>
      </c>
    </row>
    <row r="4942" spans="1:4" ht="16.5">
      <c r="A4942" s="663" t="s">
        <v>11100</v>
      </c>
      <c r="B4942" t="s">
        <v>11826</v>
      </c>
      <c r="C4942" s="900" t="s">
        <v>11837</v>
      </c>
      <c r="D4942" s="905" t="s">
        <v>11838</v>
      </c>
    </row>
    <row r="4943" spans="1:4" ht="16.5">
      <c r="A4943" s="663" t="s">
        <v>11102</v>
      </c>
      <c r="B4943" t="s">
        <v>11826</v>
      </c>
      <c r="C4943" s="900" t="s">
        <v>11837</v>
      </c>
      <c r="D4943" s="905" t="s">
        <v>11838</v>
      </c>
    </row>
    <row r="4944" spans="1:4" ht="16.5">
      <c r="A4944" s="663" t="s">
        <v>11104</v>
      </c>
      <c r="B4944" t="s">
        <v>11826</v>
      </c>
      <c r="C4944" s="900" t="s">
        <v>11837</v>
      </c>
      <c r="D4944" s="905" t="s">
        <v>11838</v>
      </c>
    </row>
    <row r="4945" spans="1:4" ht="16.5">
      <c r="A4945" s="663" t="s">
        <v>1899</v>
      </c>
      <c r="B4945" t="s">
        <v>11826</v>
      </c>
      <c r="C4945" s="900" t="s">
        <v>11837</v>
      </c>
      <c r="D4945" s="905" t="s">
        <v>11838</v>
      </c>
    </row>
    <row r="4946" spans="1:4" ht="16.5">
      <c r="A4946" s="663" t="s">
        <v>1903</v>
      </c>
      <c r="B4946" t="s">
        <v>11826</v>
      </c>
      <c r="C4946" s="900" t="s">
        <v>11837</v>
      </c>
      <c r="D4946" s="905" t="s">
        <v>11838</v>
      </c>
    </row>
    <row r="4947" spans="1:4" ht="16.5">
      <c r="A4947" s="663" t="s">
        <v>11106</v>
      </c>
      <c r="B4947" t="s">
        <v>11826</v>
      </c>
      <c r="C4947" s="900" t="s">
        <v>11837</v>
      </c>
      <c r="D4947" s="905" t="s">
        <v>11838</v>
      </c>
    </row>
    <row r="4948" spans="1:4" ht="16.5">
      <c r="A4948" s="663" t="s">
        <v>1912</v>
      </c>
      <c r="B4948" t="s">
        <v>11826</v>
      </c>
      <c r="C4948" s="900" t="s">
        <v>11837</v>
      </c>
      <c r="D4948" s="905" t="s">
        <v>11838</v>
      </c>
    </row>
    <row r="4949" spans="1:4" ht="16.5">
      <c r="A4949" s="663" t="s">
        <v>11108</v>
      </c>
      <c r="B4949" t="s">
        <v>11826</v>
      </c>
      <c r="C4949" s="900" t="s">
        <v>11837</v>
      </c>
      <c r="D4949" s="905" t="s">
        <v>11838</v>
      </c>
    </row>
    <row r="4950" spans="1:4" ht="16.5">
      <c r="A4950" s="663" t="s">
        <v>11110</v>
      </c>
      <c r="B4950" t="s">
        <v>11826</v>
      </c>
      <c r="C4950" s="900" t="s">
        <v>11837</v>
      </c>
      <c r="D4950" s="905" t="s">
        <v>11838</v>
      </c>
    </row>
    <row r="4951" spans="1:4" ht="16.5">
      <c r="A4951" s="663" t="s">
        <v>11112</v>
      </c>
      <c r="B4951" t="s">
        <v>11826</v>
      </c>
      <c r="C4951" s="900" t="s">
        <v>11837</v>
      </c>
      <c r="D4951" s="905" t="s">
        <v>11838</v>
      </c>
    </row>
    <row r="4952" spans="1:4" ht="16.5">
      <c r="A4952" s="663" t="s">
        <v>11114</v>
      </c>
      <c r="B4952" t="s">
        <v>11826</v>
      </c>
      <c r="C4952" s="900" t="s">
        <v>11837</v>
      </c>
      <c r="D4952" s="905" t="s">
        <v>11838</v>
      </c>
    </row>
    <row r="4953" spans="1:4" ht="16.5">
      <c r="A4953" s="663" t="s">
        <v>11116</v>
      </c>
      <c r="B4953" t="s">
        <v>11826</v>
      </c>
      <c r="C4953" s="900" t="s">
        <v>11837</v>
      </c>
      <c r="D4953" s="905" t="s">
        <v>11838</v>
      </c>
    </row>
    <row r="4954" spans="1:4" ht="16.5">
      <c r="A4954" s="663" t="s">
        <v>11118</v>
      </c>
      <c r="B4954" t="s">
        <v>11826</v>
      </c>
      <c r="C4954" s="900" t="s">
        <v>11837</v>
      </c>
      <c r="D4954" s="905" t="s">
        <v>11838</v>
      </c>
    </row>
    <row r="4955" spans="1:4" ht="16.5">
      <c r="A4955" s="663" t="s">
        <v>1891</v>
      </c>
      <c r="B4955" t="s">
        <v>11826</v>
      </c>
      <c r="C4955" s="900" t="s">
        <v>11837</v>
      </c>
      <c r="D4955" s="905" t="s">
        <v>11838</v>
      </c>
    </row>
    <row r="4956" spans="1:4" ht="16.5">
      <c r="A4956" s="663" t="s">
        <v>1877</v>
      </c>
      <c r="B4956" t="s">
        <v>11826</v>
      </c>
      <c r="C4956" s="900" t="s">
        <v>11837</v>
      </c>
      <c r="D4956" s="905" t="s">
        <v>11838</v>
      </c>
    </row>
    <row r="4957" spans="1:4" ht="16.5">
      <c r="A4957" s="663" t="s">
        <v>1881</v>
      </c>
      <c r="B4957" t="s">
        <v>11826</v>
      </c>
      <c r="C4957" s="900" t="s">
        <v>11837</v>
      </c>
      <c r="D4957" s="905" t="s">
        <v>11838</v>
      </c>
    </row>
    <row r="4958" spans="1:4" ht="16.5">
      <c r="A4958" s="663" t="s">
        <v>11120</v>
      </c>
      <c r="B4958" t="s">
        <v>11826</v>
      </c>
      <c r="C4958" s="900" t="s">
        <v>11837</v>
      </c>
      <c r="D4958" s="905" t="s">
        <v>11838</v>
      </c>
    </row>
    <row r="4959" spans="1:4" ht="16.5">
      <c r="A4959" s="663" t="s">
        <v>11122</v>
      </c>
      <c r="B4959" t="s">
        <v>11826</v>
      </c>
      <c r="C4959" s="900" t="s">
        <v>11837</v>
      </c>
      <c r="D4959" s="905" t="s">
        <v>11838</v>
      </c>
    </row>
    <row r="4960" spans="1:4" ht="16.5">
      <c r="A4960" s="663" t="s">
        <v>11124</v>
      </c>
      <c r="B4960" t="s">
        <v>11826</v>
      </c>
      <c r="C4960" s="900" t="s">
        <v>11837</v>
      </c>
      <c r="D4960" s="905" t="s">
        <v>11838</v>
      </c>
    </row>
    <row r="4961" spans="1:4" ht="16.5">
      <c r="A4961" s="663" t="s">
        <v>1910</v>
      </c>
      <c r="B4961" t="s">
        <v>11826</v>
      </c>
      <c r="C4961" s="900" t="s">
        <v>11837</v>
      </c>
      <c r="D4961" s="905" t="s">
        <v>11838</v>
      </c>
    </row>
    <row r="4962" spans="1:4" ht="16.5">
      <c r="A4962" s="663" t="s">
        <v>11126</v>
      </c>
      <c r="B4962" t="s">
        <v>11826</v>
      </c>
      <c r="C4962" s="900" t="s">
        <v>11837</v>
      </c>
      <c r="D4962" s="905" t="s">
        <v>11838</v>
      </c>
    </row>
    <row r="4963" spans="1:4" ht="16.5">
      <c r="A4963" s="663" t="s">
        <v>1920</v>
      </c>
      <c r="B4963" t="s">
        <v>11826</v>
      </c>
      <c r="C4963" s="900" t="s">
        <v>11837</v>
      </c>
      <c r="D4963" s="905" t="s">
        <v>11838</v>
      </c>
    </row>
    <row r="4964" spans="1:4" ht="16.5">
      <c r="A4964" s="663" t="s">
        <v>11128</v>
      </c>
      <c r="B4964" t="s">
        <v>11826</v>
      </c>
      <c r="C4964" s="900" t="s">
        <v>11837</v>
      </c>
      <c r="D4964" s="905" t="s">
        <v>11838</v>
      </c>
    </row>
    <row r="4965" spans="1:4" ht="16.5">
      <c r="A4965" s="663" t="s">
        <v>11130</v>
      </c>
      <c r="B4965" t="s">
        <v>11826</v>
      </c>
      <c r="C4965" s="900" t="s">
        <v>11837</v>
      </c>
      <c r="D4965" s="905" t="s">
        <v>11838</v>
      </c>
    </row>
    <row r="4966" spans="1:4" ht="16.5">
      <c r="A4966" s="663" t="s">
        <v>11132</v>
      </c>
      <c r="B4966" t="s">
        <v>11826</v>
      </c>
      <c r="C4966" s="900" t="s">
        <v>11837</v>
      </c>
      <c r="D4966" s="905" t="s">
        <v>11838</v>
      </c>
    </row>
    <row r="4967" spans="1:4" ht="16.5">
      <c r="A4967" s="663" t="s">
        <v>11134</v>
      </c>
      <c r="B4967" t="s">
        <v>11826</v>
      </c>
      <c r="C4967" s="900" t="s">
        <v>11837</v>
      </c>
      <c r="D4967" s="905" t="s">
        <v>11838</v>
      </c>
    </row>
    <row r="4968" spans="1:4" ht="16.5">
      <c r="A4968" s="663" t="s">
        <v>1924</v>
      </c>
      <c r="B4968" t="s">
        <v>11826</v>
      </c>
      <c r="C4968" s="900" t="s">
        <v>11837</v>
      </c>
      <c r="D4968" s="905" t="s">
        <v>11838</v>
      </c>
    </row>
    <row r="4969" spans="1:4" ht="16.5">
      <c r="A4969" s="663" t="s">
        <v>1930</v>
      </c>
      <c r="B4969" t="s">
        <v>11826</v>
      </c>
      <c r="C4969" s="900" t="s">
        <v>11837</v>
      </c>
      <c r="D4969" s="905" t="s">
        <v>11838</v>
      </c>
    </row>
    <row r="4970" spans="1:4" ht="16.5">
      <c r="A4970" s="663" t="s">
        <v>11136</v>
      </c>
      <c r="B4970" t="s">
        <v>11826</v>
      </c>
      <c r="C4970" s="900" t="s">
        <v>11837</v>
      </c>
      <c r="D4970" s="905" t="s">
        <v>11838</v>
      </c>
    </row>
    <row r="4971" spans="1:4" ht="16.5">
      <c r="A4971" s="663" t="s">
        <v>11138</v>
      </c>
      <c r="B4971" t="s">
        <v>11826</v>
      </c>
      <c r="C4971" s="900" t="s">
        <v>11837</v>
      </c>
      <c r="D4971" s="905" t="s">
        <v>11838</v>
      </c>
    </row>
    <row r="4972" spans="1:4" ht="16.5">
      <c r="A4972" s="663" t="s">
        <v>11140</v>
      </c>
      <c r="B4972" t="s">
        <v>11826</v>
      </c>
      <c r="C4972" s="900" t="s">
        <v>11837</v>
      </c>
      <c r="D4972" s="905" t="s">
        <v>11838</v>
      </c>
    </row>
    <row r="4973" spans="1:4" ht="16.5">
      <c r="A4973" s="663" t="s">
        <v>11142</v>
      </c>
      <c r="B4973" t="s">
        <v>11826</v>
      </c>
      <c r="C4973" s="900" t="s">
        <v>11837</v>
      </c>
      <c r="D4973" s="905" t="s">
        <v>11838</v>
      </c>
    </row>
    <row r="4974" spans="1:4" ht="16.5">
      <c r="A4974" s="663" t="s">
        <v>1827</v>
      </c>
      <c r="B4974" t="s">
        <v>11826</v>
      </c>
      <c r="C4974" s="900" t="s">
        <v>11837</v>
      </c>
      <c r="D4974" s="905" t="s">
        <v>11838</v>
      </c>
    </row>
    <row r="4975" spans="1:4" ht="16.5">
      <c r="A4975" s="663" t="s">
        <v>11144</v>
      </c>
      <c r="B4975" t="s">
        <v>11826</v>
      </c>
      <c r="C4975" s="900" t="s">
        <v>11837</v>
      </c>
      <c r="D4975" s="905" t="s">
        <v>11838</v>
      </c>
    </row>
    <row r="4976" spans="1:4" ht="16.5">
      <c r="A4976" s="663" t="s">
        <v>11146</v>
      </c>
      <c r="B4976" t="s">
        <v>11826</v>
      </c>
      <c r="C4976" s="900" t="s">
        <v>11837</v>
      </c>
      <c r="D4976" s="905" t="s">
        <v>11838</v>
      </c>
    </row>
    <row r="4977" spans="1:4" ht="16.5">
      <c r="A4977" s="663" t="s">
        <v>11148</v>
      </c>
      <c r="B4977" t="s">
        <v>11826</v>
      </c>
      <c r="C4977" s="900" t="s">
        <v>11837</v>
      </c>
      <c r="D4977" s="905" t="s">
        <v>11838</v>
      </c>
    </row>
    <row r="4978" spans="1:4" ht="16.5">
      <c r="A4978" s="663" t="s">
        <v>11150</v>
      </c>
      <c r="B4978" t="s">
        <v>11826</v>
      </c>
      <c r="C4978" s="900" t="s">
        <v>11837</v>
      </c>
      <c r="D4978" s="905" t="s">
        <v>11838</v>
      </c>
    </row>
    <row r="4979" spans="1:4" ht="16.5">
      <c r="A4979" s="663" t="s">
        <v>11152</v>
      </c>
      <c r="B4979" t="s">
        <v>11826</v>
      </c>
      <c r="C4979" s="900" t="s">
        <v>11837</v>
      </c>
      <c r="D4979" s="905" t="s">
        <v>11838</v>
      </c>
    </row>
    <row r="4980" spans="1:4" ht="16.5">
      <c r="A4980" s="663" t="s">
        <v>11154</v>
      </c>
      <c r="B4980" t="s">
        <v>11826</v>
      </c>
      <c r="C4980" s="900" t="s">
        <v>11837</v>
      </c>
      <c r="D4980" s="905" t="s">
        <v>11838</v>
      </c>
    </row>
    <row r="4981" spans="1:4" ht="16.5">
      <c r="A4981" s="663" t="s">
        <v>11156</v>
      </c>
      <c r="B4981" t="s">
        <v>11826</v>
      </c>
      <c r="C4981" s="900" t="s">
        <v>11837</v>
      </c>
      <c r="D4981" s="905" t="s">
        <v>11838</v>
      </c>
    </row>
    <row r="4982" spans="1:4" ht="16.5">
      <c r="A4982" s="663" t="s">
        <v>11158</v>
      </c>
      <c r="B4982" t="s">
        <v>11826</v>
      </c>
      <c r="C4982" s="900" t="s">
        <v>11837</v>
      </c>
      <c r="D4982" s="905" t="s">
        <v>11838</v>
      </c>
    </row>
    <row r="4983" spans="1:4" ht="16.5">
      <c r="A4983" s="663" t="s">
        <v>1831</v>
      </c>
      <c r="B4983" t="s">
        <v>11826</v>
      </c>
      <c r="C4983" s="900" t="s">
        <v>11837</v>
      </c>
      <c r="D4983" s="905" t="s">
        <v>11838</v>
      </c>
    </row>
    <row r="4984" spans="1:4" ht="16.5">
      <c r="A4984" s="663" t="s">
        <v>11160</v>
      </c>
      <c r="B4984" t="s">
        <v>11826</v>
      </c>
      <c r="C4984" s="900" t="s">
        <v>11837</v>
      </c>
      <c r="D4984" s="905" t="s">
        <v>11838</v>
      </c>
    </row>
    <row r="4985" spans="1:4" ht="16.5">
      <c r="A4985" s="663" t="s">
        <v>11162</v>
      </c>
      <c r="B4985" t="s">
        <v>11826</v>
      </c>
      <c r="C4985" s="900" t="s">
        <v>11837</v>
      </c>
      <c r="D4985" s="905" t="s">
        <v>11838</v>
      </c>
    </row>
    <row r="4986" spans="1:4" ht="16.5">
      <c r="A4986" s="663" t="s">
        <v>11164</v>
      </c>
      <c r="B4986" t="s">
        <v>11826</v>
      </c>
      <c r="C4986" s="900" t="s">
        <v>11837</v>
      </c>
      <c r="D4986" s="905" t="s">
        <v>11838</v>
      </c>
    </row>
    <row r="4987" spans="1:4" ht="16.5">
      <c r="A4987" s="663" t="s">
        <v>1835</v>
      </c>
      <c r="B4987" t="s">
        <v>11826</v>
      </c>
      <c r="C4987" s="900" t="s">
        <v>11837</v>
      </c>
      <c r="D4987" s="905" t="s">
        <v>11838</v>
      </c>
    </row>
    <row r="4988" spans="1:4" ht="16.5">
      <c r="A4988" s="663" t="s">
        <v>11166</v>
      </c>
      <c r="B4988" t="s">
        <v>11826</v>
      </c>
      <c r="C4988" s="900" t="s">
        <v>11837</v>
      </c>
      <c r="D4988" s="905" t="s">
        <v>11838</v>
      </c>
    </row>
    <row r="4989" spans="1:4" ht="16.5">
      <c r="A4989" s="663" t="s">
        <v>1843</v>
      </c>
      <c r="B4989" t="s">
        <v>11826</v>
      </c>
      <c r="C4989" s="900" t="s">
        <v>11837</v>
      </c>
      <c r="D4989" s="905" t="s">
        <v>11838</v>
      </c>
    </row>
    <row r="4990" spans="1:4" ht="16.5">
      <c r="A4990" s="663" t="s">
        <v>11168</v>
      </c>
      <c r="B4990" t="s">
        <v>11826</v>
      </c>
      <c r="C4990" s="900" t="s">
        <v>11837</v>
      </c>
      <c r="D4990" s="905" t="s">
        <v>11838</v>
      </c>
    </row>
    <row r="4991" spans="1:4" ht="16.5">
      <c r="A4991" s="663" t="s">
        <v>1849</v>
      </c>
      <c r="B4991" t="s">
        <v>11826</v>
      </c>
      <c r="C4991" s="900" t="s">
        <v>11837</v>
      </c>
      <c r="D4991" s="905" t="s">
        <v>11838</v>
      </c>
    </row>
    <row r="4992" spans="1:4" ht="16.5">
      <c r="A4992" s="663" t="s">
        <v>11171</v>
      </c>
      <c r="B4992" t="s">
        <v>11826</v>
      </c>
      <c r="C4992" s="900" t="s">
        <v>11837</v>
      </c>
      <c r="D4992" s="905" t="s">
        <v>11838</v>
      </c>
    </row>
    <row r="4993" spans="1:4" ht="16.5">
      <c r="A4993" s="663" t="s">
        <v>11173</v>
      </c>
      <c r="B4993" t="s">
        <v>11826</v>
      </c>
      <c r="C4993" s="900" t="s">
        <v>11837</v>
      </c>
      <c r="D4993" s="905" t="s">
        <v>11838</v>
      </c>
    </row>
    <row r="4994" spans="1:4" ht="16.5">
      <c r="A4994" s="663" t="s">
        <v>11175</v>
      </c>
      <c r="B4994" t="s">
        <v>11826</v>
      </c>
      <c r="C4994" s="900" t="s">
        <v>11837</v>
      </c>
      <c r="D4994" s="905" t="s">
        <v>11838</v>
      </c>
    </row>
    <row r="4995" spans="1:4" ht="16.5">
      <c r="A4995" s="663" t="s">
        <v>11177</v>
      </c>
      <c r="B4995" t="s">
        <v>11826</v>
      </c>
      <c r="C4995" s="900" t="s">
        <v>11837</v>
      </c>
      <c r="D4995" s="905" t="s">
        <v>11838</v>
      </c>
    </row>
    <row r="4996" spans="1:4" ht="16.5">
      <c r="A4996" s="663" t="s">
        <v>1853</v>
      </c>
      <c r="B4996" t="s">
        <v>11826</v>
      </c>
      <c r="C4996" s="900" t="s">
        <v>11837</v>
      </c>
      <c r="D4996" s="905" t="s">
        <v>11838</v>
      </c>
    </row>
    <row r="4997" spans="1:4" ht="16.5">
      <c r="A4997" s="663" t="s">
        <v>11179</v>
      </c>
      <c r="B4997" t="s">
        <v>11826</v>
      </c>
      <c r="C4997" s="900" t="s">
        <v>11837</v>
      </c>
      <c r="D4997" s="905" t="s">
        <v>11838</v>
      </c>
    </row>
    <row r="4998" spans="1:4" ht="16.5">
      <c r="A4998" s="663" t="s">
        <v>1857</v>
      </c>
      <c r="B4998" t="s">
        <v>11826</v>
      </c>
      <c r="C4998" s="900" t="s">
        <v>11837</v>
      </c>
      <c r="D4998" s="905" t="s">
        <v>11838</v>
      </c>
    </row>
    <row r="4999" spans="1:4" ht="16.5">
      <c r="A4999" s="663" t="s">
        <v>11181</v>
      </c>
      <c r="B4999" t="s">
        <v>11826</v>
      </c>
      <c r="C4999" s="900" t="s">
        <v>11837</v>
      </c>
      <c r="D4999" s="905" t="s">
        <v>11838</v>
      </c>
    </row>
    <row r="5000" spans="1:4" ht="16.5">
      <c r="A5000" s="663" t="s">
        <v>1865</v>
      </c>
      <c r="B5000" t="s">
        <v>11826</v>
      </c>
      <c r="C5000" s="900" t="s">
        <v>11837</v>
      </c>
      <c r="D5000" s="905" t="s">
        <v>11838</v>
      </c>
    </row>
    <row r="5001" spans="1:4" ht="16.5">
      <c r="A5001" s="663" t="s">
        <v>11183</v>
      </c>
      <c r="B5001" t="s">
        <v>11826</v>
      </c>
      <c r="C5001" s="900" t="s">
        <v>11837</v>
      </c>
      <c r="D5001" s="905" t="s">
        <v>11838</v>
      </c>
    </row>
    <row r="5002" spans="1:4" ht="16.5">
      <c r="A5002" s="663" t="s">
        <v>1869</v>
      </c>
      <c r="B5002" t="s">
        <v>11826</v>
      </c>
      <c r="C5002" s="900" t="s">
        <v>11837</v>
      </c>
      <c r="D5002" s="905" t="s">
        <v>11838</v>
      </c>
    </row>
    <row r="5003" spans="1:4" ht="16.5">
      <c r="A5003" s="663" t="s">
        <v>1873</v>
      </c>
      <c r="B5003" t="s">
        <v>11826</v>
      </c>
      <c r="C5003" s="900" t="s">
        <v>11837</v>
      </c>
      <c r="D5003" s="905" t="s">
        <v>11838</v>
      </c>
    </row>
    <row r="5004" spans="1:4" ht="16.5">
      <c r="A5004" s="663" t="s">
        <v>11185</v>
      </c>
      <c r="B5004" t="s">
        <v>11826</v>
      </c>
      <c r="C5004" s="900" t="s">
        <v>11837</v>
      </c>
      <c r="D5004" s="905" t="s">
        <v>11838</v>
      </c>
    </row>
    <row r="5005" spans="1:4" ht="16.5">
      <c r="A5005" s="663" t="s">
        <v>11187</v>
      </c>
      <c r="B5005" t="s">
        <v>11826</v>
      </c>
      <c r="C5005" s="900" t="s">
        <v>11837</v>
      </c>
      <c r="D5005" s="905" t="s">
        <v>11838</v>
      </c>
    </row>
    <row r="5006" spans="1:4" ht="16.5">
      <c r="A5006" s="663" t="s">
        <v>1885</v>
      </c>
      <c r="B5006" t="s">
        <v>11826</v>
      </c>
      <c r="C5006" s="900" t="s">
        <v>11837</v>
      </c>
      <c r="D5006" s="905" t="s">
        <v>11838</v>
      </c>
    </row>
    <row r="5007" spans="1:4" ht="16.5">
      <c r="A5007" s="663" t="s">
        <v>1887</v>
      </c>
      <c r="B5007" t="s">
        <v>11826</v>
      </c>
      <c r="C5007" s="900" t="s">
        <v>11837</v>
      </c>
      <c r="D5007" s="905" t="s">
        <v>11838</v>
      </c>
    </row>
    <row r="5008" spans="1:4" ht="16.5">
      <c r="A5008" s="663" t="s">
        <v>11189</v>
      </c>
      <c r="B5008" t="s">
        <v>11826</v>
      </c>
      <c r="C5008" s="900" t="s">
        <v>11837</v>
      </c>
      <c r="D5008" s="905" t="s">
        <v>11838</v>
      </c>
    </row>
    <row r="5009" spans="1:4" ht="16.5">
      <c r="A5009" s="663" t="s">
        <v>11191</v>
      </c>
      <c r="B5009" t="s">
        <v>11826</v>
      </c>
      <c r="C5009" s="900" t="s">
        <v>11837</v>
      </c>
      <c r="D5009" s="905" t="s">
        <v>11838</v>
      </c>
    </row>
    <row r="5010" spans="1:4" ht="16.5">
      <c r="A5010" s="663" t="s">
        <v>11193</v>
      </c>
      <c r="B5010" t="s">
        <v>11826</v>
      </c>
      <c r="C5010" s="900" t="s">
        <v>11837</v>
      </c>
      <c r="D5010" s="905" t="s">
        <v>11838</v>
      </c>
    </row>
    <row r="5011" spans="1:4" ht="16.5">
      <c r="A5011" s="663" t="s">
        <v>11195</v>
      </c>
      <c r="B5011" t="s">
        <v>11826</v>
      </c>
      <c r="C5011" s="900" t="s">
        <v>11837</v>
      </c>
      <c r="D5011" s="905" t="s">
        <v>11838</v>
      </c>
    </row>
    <row r="5012" spans="1:4" ht="16.5">
      <c r="A5012" s="663" t="s">
        <v>11197</v>
      </c>
      <c r="B5012" t="s">
        <v>11826</v>
      </c>
      <c r="C5012" s="900" t="s">
        <v>11837</v>
      </c>
      <c r="D5012" s="905" t="s">
        <v>11838</v>
      </c>
    </row>
    <row r="5013" spans="1:4" ht="16.5">
      <c r="A5013" s="663" t="s">
        <v>11199</v>
      </c>
      <c r="B5013" t="s">
        <v>11826</v>
      </c>
      <c r="C5013" s="900" t="s">
        <v>11837</v>
      </c>
      <c r="D5013" s="905" t="s">
        <v>11838</v>
      </c>
    </row>
    <row r="5014" spans="1:4" ht="16.5">
      <c r="A5014" s="663" t="s">
        <v>1916</v>
      </c>
      <c r="B5014" t="s">
        <v>11826</v>
      </c>
      <c r="C5014" s="900" t="s">
        <v>11837</v>
      </c>
      <c r="D5014" s="905" t="s">
        <v>11838</v>
      </c>
    </row>
    <row r="5015" spans="1:4" ht="16.5">
      <c r="A5015" s="663" t="s">
        <v>11201</v>
      </c>
      <c r="B5015" t="s">
        <v>11826</v>
      </c>
      <c r="C5015" s="900" t="s">
        <v>11837</v>
      </c>
      <c r="D5015" s="905" t="s">
        <v>11838</v>
      </c>
    </row>
    <row r="5016" spans="1:4" ht="16.5">
      <c r="A5016" s="663" t="s">
        <v>11203</v>
      </c>
      <c r="B5016" t="s">
        <v>11826</v>
      </c>
      <c r="C5016" s="900" t="s">
        <v>11837</v>
      </c>
      <c r="D5016" s="905" t="s">
        <v>11838</v>
      </c>
    </row>
    <row r="5017" spans="1:4" ht="16.5">
      <c r="A5017" s="663" t="s">
        <v>1932</v>
      </c>
      <c r="B5017" t="s">
        <v>11826</v>
      </c>
      <c r="C5017" s="900" t="s">
        <v>11837</v>
      </c>
      <c r="D5017" s="905" t="s">
        <v>11838</v>
      </c>
    </row>
    <row r="5018" spans="1:4" ht="16.5">
      <c r="A5018" s="663" t="s">
        <v>11205</v>
      </c>
      <c r="B5018" t="s">
        <v>11826</v>
      </c>
      <c r="C5018" s="900" t="s">
        <v>11837</v>
      </c>
      <c r="D5018" s="905" t="s">
        <v>11838</v>
      </c>
    </row>
    <row r="5019" spans="1:4" ht="16.5">
      <c r="A5019" s="663" t="s">
        <v>11207</v>
      </c>
      <c r="B5019" t="s">
        <v>11826</v>
      </c>
      <c r="C5019" s="900" t="s">
        <v>11837</v>
      </c>
      <c r="D5019" s="905" t="s">
        <v>11838</v>
      </c>
    </row>
    <row r="5020" spans="1:4" ht="16.5">
      <c r="A5020" s="663" t="s">
        <v>11209</v>
      </c>
      <c r="B5020" t="s">
        <v>11826</v>
      </c>
      <c r="C5020" s="900" t="s">
        <v>11837</v>
      </c>
      <c r="D5020" s="905" t="s">
        <v>11838</v>
      </c>
    </row>
    <row r="5021" spans="1:4" ht="16.5">
      <c r="A5021" s="663" t="s">
        <v>1944</v>
      </c>
      <c r="B5021" t="s">
        <v>11826</v>
      </c>
      <c r="C5021" s="900" t="s">
        <v>11837</v>
      </c>
      <c r="D5021" s="905" t="s">
        <v>11838</v>
      </c>
    </row>
    <row r="5022" spans="1:4" ht="16.5">
      <c r="A5022" s="663" t="s">
        <v>1940</v>
      </c>
      <c r="B5022" t="s">
        <v>11826</v>
      </c>
      <c r="C5022" s="900" t="s">
        <v>11837</v>
      </c>
      <c r="D5022" s="905" t="s">
        <v>11838</v>
      </c>
    </row>
    <row r="5023" spans="1:4" ht="16.5">
      <c r="A5023" s="663" t="s">
        <v>1949</v>
      </c>
      <c r="B5023" t="s">
        <v>11826</v>
      </c>
      <c r="C5023" s="900" t="s">
        <v>11837</v>
      </c>
      <c r="D5023" s="905" t="s">
        <v>11838</v>
      </c>
    </row>
    <row r="5024" spans="1:4" ht="16.5">
      <c r="A5024" s="663" t="s">
        <v>1936</v>
      </c>
      <c r="B5024" t="s">
        <v>11826</v>
      </c>
      <c r="C5024" s="900" t="s">
        <v>11837</v>
      </c>
      <c r="D5024" s="905" t="s">
        <v>11838</v>
      </c>
    </row>
    <row r="5025" spans="1:4" ht="16.5">
      <c r="A5025" s="663" t="s">
        <v>1731</v>
      </c>
      <c r="B5025" t="s">
        <v>11826</v>
      </c>
      <c r="C5025" s="900" t="s">
        <v>11837</v>
      </c>
      <c r="D5025" s="905" t="s">
        <v>11838</v>
      </c>
    </row>
    <row r="5026" spans="1:4" ht="16.5">
      <c r="A5026" s="663" t="s">
        <v>1727</v>
      </c>
      <c r="B5026" t="s">
        <v>11826</v>
      </c>
      <c r="C5026" s="900" t="s">
        <v>11837</v>
      </c>
      <c r="D5026" s="905" t="s">
        <v>11838</v>
      </c>
    </row>
    <row r="5027" spans="1:4" ht="16.5">
      <c r="A5027" s="663" t="s">
        <v>1735</v>
      </c>
      <c r="B5027" t="s">
        <v>11826</v>
      </c>
      <c r="C5027" s="900" t="s">
        <v>11837</v>
      </c>
      <c r="D5027" s="905" t="s">
        <v>11838</v>
      </c>
    </row>
    <row r="5028" spans="1:4" ht="16.5">
      <c r="A5028" s="663" t="s">
        <v>1739</v>
      </c>
      <c r="B5028" t="s">
        <v>11826</v>
      </c>
      <c r="C5028" s="900" t="s">
        <v>11837</v>
      </c>
      <c r="D5028" s="905" t="s">
        <v>11838</v>
      </c>
    </row>
    <row r="5029" spans="1:4" ht="16.5">
      <c r="A5029" s="663" t="s">
        <v>11212</v>
      </c>
      <c r="B5029" t="s">
        <v>11826</v>
      </c>
      <c r="C5029" s="900" t="s">
        <v>11837</v>
      </c>
      <c r="D5029" s="905" t="s">
        <v>11838</v>
      </c>
    </row>
    <row r="5030" spans="1:4" ht="16.5">
      <c r="A5030" s="663" t="s">
        <v>11214</v>
      </c>
      <c r="B5030" t="s">
        <v>11826</v>
      </c>
      <c r="C5030" s="900" t="s">
        <v>11837</v>
      </c>
      <c r="D5030" s="905" t="s">
        <v>11838</v>
      </c>
    </row>
    <row r="5031" spans="1:4" ht="16.5">
      <c r="A5031" s="663" t="s">
        <v>1745</v>
      </c>
      <c r="B5031" t="s">
        <v>11826</v>
      </c>
      <c r="C5031" s="900" t="s">
        <v>11837</v>
      </c>
      <c r="D5031" s="905" t="s">
        <v>11838</v>
      </c>
    </row>
    <row r="5032" spans="1:4" ht="16.5">
      <c r="A5032" s="663" t="s">
        <v>11216</v>
      </c>
      <c r="B5032" t="s">
        <v>11826</v>
      </c>
      <c r="C5032" s="900" t="s">
        <v>11837</v>
      </c>
      <c r="D5032" s="905" t="s">
        <v>11838</v>
      </c>
    </row>
    <row r="5033" spans="1:4" ht="16.5">
      <c r="A5033" s="663" t="s">
        <v>1749</v>
      </c>
      <c r="B5033" t="s">
        <v>11826</v>
      </c>
      <c r="C5033" s="900" t="s">
        <v>11837</v>
      </c>
      <c r="D5033" s="905" t="s">
        <v>11838</v>
      </c>
    </row>
    <row r="5034" spans="1:4" ht="16.5">
      <c r="A5034" s="663" t="s">
        <v>11218</v>
      </c>
      <c r="B5034" t="s">
        <v>11826</v>
      </c>
      <c r="C5034" s="900" t="s">
        <v>11837</v>
      </c>
      <c r="D5034" s="905" t="s">
        <v>11838</v>
      </c>
    </row>
    <row r="5035" spans="1:4" ht="16.5">
      <c r="A5035" s="663" t="s">
        <v>11220</v>
      </c>
      <c r="B5035" t="s">
        <v>11826</v>
      </c>
      <c r="C5035" s="900" t="s">
        <v>11837</v>
      </c>
      <c r="D5035" s="905" t="s">
        <v>11838</v>
      </c>
    </row>
    <row r="5036" spans="1:4" ht="16.5">
      <c r="A5036" s="663" t="s">
        <v>11222</v>
      </c>
      <c r="B5036" t="s">
        <v>11826</v>
      </c>
      <c r="C5036" s="900" t="s">
        <v>11837</v>
      </c>
      <c r="D5036" s="905" t="s">
        <v>11838</v>
      </c>
    </row>
    <row r="5037" spans="1:4" ht="16.5">
      <c r="A5037" s="663" t="s">
        <v>11224</v>
      </c>
      <c r="B5037" t="s">
        <v>11826</v>
      </c>
      <c r="C5037" s="900" t="s">
        <v>11837</v>
      </c>
      <c r="D5037" s="905" t="s">
        <v>11838</v>
      </c>
    </row>
    <row r="5038" spans="1:4" ht="16.5">
      <c r="A5038" s="663" t="s">
        <v>11226</v>
      </c>
      <c r="B5038" t="s">
        <v>11826</v>
      </c>
      <c r="C5038" s="900" t="s">
        <v>11837</v>
      </c>
      <c r="D5038" s="905" t="s">
        <v>11838</v>
      </c>
    </row>
    <row r="5039" spans="1:4" ht="16.5">
      <c r="A5039" s="663" t="s">
        <v>1812</v>
      </c>
      <c r="B5039" t="s">
        <v>11826</v>
      </c>
      <c r="C5039" s="900" t="s">
        <v>11837</v>
      </c>
      <c r="D5039" s="905" t="s">
        <v>11838</v>
      </c>
    </row>
    <row r="5040" spans="1:4" ht="16.5">
      <c r="A5040" s="663" t="s">
        <v>11228</v>
      </c>
      <c r="B5040" t="s">
        <v>11826</v>
      </c>
      <c r="C5040" s="900" t="s">
        <v>11837</v>
      </c>
      <c r="D5040" s="905" t="s">
        <v>11838</v>
      </c>
    </row>
    <row r="5041" spans="1:4" ht="16.5">
      <c r="A5041" s="663" t="s">
        <v>11230</v>
      </c>
      <c r="B5041" t="s">
        <v>11826</v>
      </c>
      <c r="C5041" s="900" t="s">
        <v>11837</v>
      </c>
      <c r="D5041" s="905" t="s">
        <v>11838</v>
      </c>
    </row>
    <row r="5042" spans="1:4" ht="16.5">
      <c r="A5042" s="663" t="s">
        <v>11232</v>
      </c>
      <c r="B5042" t="s">
        <v>11826</v>
      </c>
      <c r="C5042" s="900" t="s">
        <v>11837</v>
      </c>
      <c r="D5042" s="905" t="s">
        <v>11838</v>
      </c>
    </row>
    <row r="5043" spans="1:4" ht="16.5">
      <c r="A5043" s="663" t="s">
        <v>11234</v>
      </c>
      <c r="B5043" t="s">
        <v>11826</v>
      </c>
      <c r="C5043" s="900" t="s">
        <v>11837</v>
      </c>
      <c r="D5043" s="905" t="s">
        <v>11838</v>
      </c>
    </row>
    <row r="5044" spans="1:4" ht="16.5">
      <c r="A5044" s="663" t="s">
        <v>1755</v>
      </c>
      <c r="B5044" t="s">
        <v>11826</v>
      </c>
      <c r="C5044" s="900" t="s">
        <v>11837</v>
      </c>
      <c r="D5044" s="905" t="s">
        <v>11838</v>
      </c>
    </row>
    <row r="5045" spans="1:4" ht="16.5">
      <c r="A5045" s="663" t="s">
        <v>11236</v>
      </c>
      <c r="B5045" t="s">
        <v>11826</v>
      </c>
      <c r="C5045" s="900" t="s">
        <v>11837</v>
      </c>
      <c r="D5045" s="905" t="s">
        <v>11838</v>
      </c>
    </row>
    <row r="5046" spans="1:4" ht="16.5">
      <c r="A5046" s="663" t="s">
        <v>11238</v>
      </c>
      <c r="B5046" t="s">
        <v>11826</v>
      </c>
      <c r="C5046" s="900" t="s">
        <v>11837</v>
      </c>
      <c r="D5046" s="905" t="s">
        <v>11838</v>
      </c>
    </row>
    <row r="5047" spans="1:4" ht="16.5">
      <c r="A5047" s="663" t="s">
        <v>11240</v>
      </c>
      <c r="B5047" t="s">
        <v>11826</v>
      </c>
      <c r="C5047" s="900" t="s">
        <v>11837</v>
      </c>
      <c r="D5047" s="905" t="s">
        <v>11838</v>
      </c>
    </row>
    <row r="5048" spans="1:4" ht="16.5">
      <c r="A5048" s="663" t="s">
        <v>1760</v>
      </c>
      <c r="B5048" t="s">
        <v>11826</v>
      </c>
      <c r="C5048" s="900" t="s">
        <v>11837</v>
      </c>
      <c r="D5048" s="905" t="s">
        <v>11838</v>
      </c>
    </row>
    <row r="5049" spans="1:4" ht="16.5">
      <c r="A5049" s="663" t="s">
        <v>11242</v>
      </c>
      <c r="B5049" t="s">
        <v>11826</v>
      </c>
      <c r="C5049" s="900" t="s">
        <v>11837</v>
      </c>
      <c r="D5049" s="905" t="s">
        <v>11838</v>
      </c>
    </row>
    <row r="5050" spans="1:4" ht="16.5">
      <c r="A5050" s="663" t="s">
        <v>1763</v>
      </c>
      <c r="B5050" t="s">
        <v>11826</v>
      </c>
      <c r="C5050" s="900" t="s">
        <v>11837</v>
      </c>
      <c r="D5050" s="905" t="s">
        <v>11838</v>
      </c>
    </row>
    <row r="5051" spans="1:4" ht="16.5">
      <c r="A5051" s="663" t="s">
        <v>1768</v>
      </c>
      <c r="B5051" t="s">
        <v>11826</v>
      </c>
      <c r="C5051" s="900" t="s">
        <v>11837</v>
      </c>
      <c r="D5051" s="905" t="s">
        <v>11838</v>
      </c>
    </row>
    <row r="5052" spans="1:4" ht="16.5">
      <c r="A5052" s="663" t="s">
        <v>1777</v>
      </c>
      <c r="B5052" t="s">
        <v>11826</v>
      </c>
      <c r="C5052" s="900" t="s">
        <v>11837</v>
      </c>
      <c r="D5052" s="905" t="s">
        <v>11838</v>
      </c>
    </row>
    <row r="5053" spans="1:4" ht="16.5">
      <c r="A5053" s="663" t="s">
        <v>1781</v>
      </c>
      <c r="B5053" t="s">
        <v>11826</v>
      </c>
      <c r="C5053" s="900" t="s">
        <v>11837</v>
      </c>
      <c r="D5053" s="905" t="s">
        <v>11838</v>
      </c>
    </row>
    <row r="5054" spans="1:4" ht="16.5">
      <c r="A5054" s="663" t="s">
        <v>11244</v>
      </c>
      <c r="B5054" t="s">
        <v>11826</v>
      </c>
      <c r="C5054" s="900" t="s">
        <v>11837</v>
      </c>
      <c r="D5054" s="905" t="s">
        <v>11838</v>
      </c>
    </row>
    <row r="5055" spans="1:4" ht="16.5">
      <c r="A5055" s="663" t="s">
        <v>11246</v>
      </c>
      <c r="B5055" t="s">
        <v>11826</v>
      </c>
      <c r="C5055" s="900" t="s">
        <v>11837</v>
      </c>
      <c r="D5055" s="905" t="s">
        <v>11838</v>
      </c>
    </row>
    <row r="5056" spans="1:4" ht="16.5">
      <c r="A5056" s="663" t="s">
        <v>11248</v>
      </c>
      <c r="B5056" t="s">
        <v>11826</v>
      </c>
      <c r="C5056" s="900" t="s">
        <v>11837</v>
      </c>
      <c r="D5056" s="905" t="s">
        <v>11838</v>
      </c>
    </row>
    <row r="5057" spans="1:4" ht="16.5">
      <c r="A5057" s="663" t="s">
        <v>11250</v>
      </c>
      <c r="B5057" t="s">
        <v>11826</v>
      </c>
      <c r="C5057" s="900" t="s">
        <v>11837</v>
      </c>
      <c r="D5057" s="905" t="s">
        <v>11838</v>
      </c>
    </row>
    <row r="5058" spans="1:4" ht="16.5">
      <c r="A5058" s="663" t="s">
        <v>11252</v>
      </c>
      <c r="B5058" t="s">
        <v>11826</v>
      </c>
      <c r="C5058" s="900" t="s">
        <v>11837</v>
      </c>
      <c r="D5058" s="905" t="s">
        <v>11838</v>
      </c>
    </row>
    <row r="5059" spans="1:4" ht="16.5">
      <c r="A5059" s="663" t="s">
        <v>11254</v>
      </c>
      <c r="B5059" t="s">
        <v>11826</v>
      </c>
      <c r="C5059" s="900" t="s">
        <v>11837</v>
      </c>
      <c r="D5059" s="905" t="s">
        <v>11838</v>
      </c>
    </row>
    <row r="5060" spans="1:4" ht="16.5">
      <c r="A5060" s="663" t="s">
        <v>1773</v>
      </c>
      <c r="B5060" t="s">
        <v>11826</v>
      </c>
      <c r="C5060" s="900" t="s">
        <v>11837</v>
      </c>
      <c r="D5060" s="905" t="s">
        <v>11838</v>
      </c>
    </row>
    <row r="5061" spans="1:4" ht="16.5">
      <c r="A5061" s="663" t="s">
        <v>11256</v>
      </c>
      <c r="B5061" t="s">
        <v>11826</v>
      </c>
      <c r="C5061" s="900" t="s">
        <v>11837</v>
      </c>
      <c r="D5061" s="905" t="s">
        <v>11838</v>
      </c>
    </row>
    <row r="5062" spans="1:4" ht="16.5">
      <c r="A5062" s="663" t="s">
        <v>1787</v>
      </c>
      <c r="B5062" t="s">
        <v>11826</v>
      </c>
      <c r="C5062" s="900" t="s">
        <v>11837</v>
      </c>
      <c r="D5062" s="905" t="s">
        <v>11838</v>
      </c>
    </row>
    <row r="5063" spans="1:4" ht="16.5">
      <c r="A5063" s="663" t="s">
        <v>1783</v>
      </c>
      <c r="B5063" t="s">
        <v>11826</v>
      </c>
      <c r="C5063" s="900" t="s">
        <v>11837</v>
      </c>
      <c r="D5063" s="905" t="s">
        <v>11838</v>
      </c>
    </row>
    <row r="5064" spans="1:4" ht="16.5">
      <c r="A5064" s="663" t="s">
        <v>11258</v>
      </c>
      <c r="B5064" t="s">
        <v>11826</v>
      </c>
      <c r="C5064" s="900" t="s">
        <v>11837</v>
      </c>
      <c r="D5064" s="905" t="s">
        <v>11838</v>
      </c>
    </row>
    <row r="5065" spans="1:4" ht="16.5">
      <c r="A5065" s="663" t="s">
        <v>1799</v>
      </c>
      <c r="B5065" t="s">
        <v>11826</v>
      </c>
      <c r="C5065" s="900" t="s">
        <v>11837</v>
      </c>
      <c r="D5065" s="905" t="s">
        <v>11838</v>
      </c>
    </row>
    <row r="5066" spans="1:4" ht="16.5">
      <c r="A5066" s="663" t="s">
        <v>1804</v>
      </c>
      <c r="B5066" t="s">
        <v>11826</v>
      </c>
      <c r="C5066" s="900" t="s">
        <v>11837</v>
      </c>
      <c r="D5066" s="905" t="s">
        <v>11838</v>
      </c>
    </row>
    <row r="5067" spans="1:4" ht="16.5">
      <c r="A5067" s="663" t="s">
        <v>1808</v>
      </c>
      <c r="B5067" t="s">
        <v>11826</v>
      </c>
      <c r="C5067" s="900" t="s">
        <v>11837</v>
      </c>
      <c r="D5067" s="905" t="s">
        <v>11838</v>
      </c>
    </row>
    <row r="5068" spans="1:4" ht="16.5">
      <c r="A5068" s="663" t="s">
        <v>1817</v>
      </c>
      <c r="B5068" t="s">
        <v>11826</v>
      </c>
      <c r="C5068" s="900" t="s">
        <v>11837</v>
      </c>
      <c r="D5068" s="905" t="s">
        <v>11838</v>
      </c>
    </row>
    <row r="5069" spans="1:4" ht="16.5">
      <c r="A5069" s="663" t="s">
        <v>11260</v>
      </c>
      <c r="B5069" t="s">
        <v>11826</v>
      </c>
      <c r="C5069" s="900" t="s">
        <v>11837</v>
      </c>
      <c r="D5069" s="905" t="s">
        <v>11838</v>
      </c>
    </row>
    <row r="5070" spans="1:4" ht="16.5">
      <c r="A5070" s="663" t="s">
        <v>11262</v>
      </c>
      <c r="B5070" t="s">
        <v>11826</v>
      </c>
      <c r="C5070" s="900" t="s">
        <v>11837</v>
      </c>
      <c r="D5070" s="905" t="s">
        <v>11838</v>
      </c>
    </row>
    <row r="5071" spans="1:4" ht="16.5">
      <c r="A5071" s="663" t="s">
        <v>11264</v>
      </c>
      <c r="B5071" t="s">
        <v>11826</v>
      </c>
      <c r="C5071" s="900" t="s">
        <v>11837</v>
      </c>
      <c r="D5071" s="905" t="s">
        <v>11838</v>
      </c>
    </row>
    <row r="5072" spans="1:4" ht="16.5">
      <c r="A5072" s="663" t="s">
        <v>11266</v>
      </c>
      <c r="B5072" t="s">
        <v>11826</v>
      </c>
      <c r="C5072" s="900" t="s">
        <v>11837</v>
      </c>
      <c r="D5072" s="905" t="s">
        <v>11838</v>
      </c>
    </row>
    <row r="5073" spans="1:4" ht="16.5">
      <c r="A5073" s="663" t="s">
        <v>11268</v>
      </c>
      <c r="B5073" t="s">
        <v>11826</v>
      </c>
      <c r="C5073" s="900" t="s">
        <v>11837</v>
      </c>
      <c r="D5073" s="905" t="s">
        <v>11838</v>
      </c>
    </row>
    <row r="5074" spans="1:4" ht="16.5">
      <c r="A5074" s="663" t="s">
        <v>1815</v>
      </c>
      <c r="B5074" t="s">
        <v>11826</v>
      </c>
      <c r="C5074" s="900" t="s">
        <v>11837</v>
      </c>
      <c r="D5074" s="905" t="s">
        <v>11838</v>
      </c>
    </row>
    <row r="5075" spans="1:4" ht="16.5">
      <c r="A5075" s="663" t="s">
        <v>1793</v>
      </c>
      <c r="B5075" t="s">
        <v>11826</v>
      </c>
      <c r="C5075" s="900" t="s">
        <v>11837</v>
      </c>
      <c r="D5075" s="905" t="s">
        <v>11838</v>
      </c>
    </row>
    <row r="5076" spans="1:4" ht="16.5">
      <c r="A5076" s="663" t="s">
        <v>1795</v>
      </c>
      <c r="B5076" t="s">
        <v>11826</v>
      </c>
      <c r="C5076" s="900" t="s">
        <v>11837</v>
      </c>
      <c r="D5076" s="905" t="s">
        <v>11838</v>
      </c>
    </row>
    <row r="5077" spans="1:4" ht="16.5">
      <c r="A5077" s="663" t="s">
        <v>1822</v>
      </c>
      <c r="B5077" t="s">
        <v>11826</v>
      </c>
      <c r="C5077" s="900" t="s">
        <v>11837</v>
      </c>
      <c r="D5077" s="905" t="s">
        <v>11838</v>
      </c>
    </row>
    <row r="5078" spans="1:4" ht="16.5">
      <c r="A5078" s="663" t="s">
        <v>11272</v>
      </c>
      <c r="B5078" t="s">
        <v>11826</v>
      </c>
      <c r="C5078" s="900" t="s">
        <v>11837</v>
      </c>
      <c r="D5078" s="905" t="s">
        <v>11838</v>
      </c>
    </row>
    <row r="5079" spans="1:4" ht="16.5">
      <c r="A5079" s="663" t="s">
        <v>1692</v>
      </c>
      <c r="B5079" t="s">
        <v>11826</v>
      </c>
      <c r="C5079" s="900" t="s">
        <v>11837</v>
      </c>
      <c r="D5079" s="905" t="s">
        <v>11838</v>
      </c>
    </row>
    <row r="5080" spans="1:4" ht="16.5">
      <c r="A5080" s="663" t="s">
        <v>1697</v>
      </c>
      <c r="B5080" t="s">
        <v>11826</v>
      </c>
      <c r="C5080" s="900" t="s">
        <v>11837</v>
      </c>
      <c r="D5080" s="905" t="s">
        <v>11838</v>
      </c>
    </row>
    <row r="5081" spans="1:4" ht="16.5">
      <c r="A5081" s="663" t="s">
        <v>1708</v>
      </c>
      <c r="B5081" t="s">
        <v>11826</v>
      </c>
      <c r="C5081" s="900" t="s">
        <v>11837</v>
      </c>
      <c r="D5081" s="905" t="s">
        <v>11838</v>
      </c>
    </row>
    <row r="5082" spans="1:4" ht="16.5">
      <c r="A5082" s="663" t="s">
        <v>1710</v>
      </c>
      <c r="B5082" t="s">
        <v>11826</v>
      </c>
      <c r="C5082" s="900" t="s">
        <v>11837</v>
      </c>
      <c r="D5082" s="905" t="s">
        <v>11838</v>
      </c>
    </row>
    <row r="5083" spans="1:4" ht="16.5">
      <c r="A5083" s="663" t="s">
        <v>1712</v>
      </c>
      <c r="B5083" t="s">
        <v>11826</v>
      </c>
      <c r="C5083" s="900" t="s">
        <v>11837</v>
      </c>
      <c r="D5083" s="905" t="s">
        <v>11838</v>
      </c>
    </row>
    <row r="5084" spans="1:4" ht="16.5">
      <c r="A5084" s="663" t="s">
        <v>1701</v>
      </c>
      <c r="B5084" t="s">
        <v>11826</v>
      </c>
      <c r="C5084" s="900" t="s">
        <v>11837</v>
      </c>
      <c r="D5084" s="905" t="s">
        <v>11838</v>
      </c>
    </row>
    <row r="5085" spans="1:4" ht="16.5">
      <c r="A5085" s="663" t="s">
        <v>11274</v>
      </c>
      <c r="B5085" t="s">
        <v>11826</v>
      </c>
      <c r="C5085" s="900" t="s">
        <v>11837</v>
      </c>
      <c r="D5085" s="905" t="s">
        <v>11838</v>
      </c>
    </row>
    <row r="5086" spans="1:4" ht="16.5">
      <c r="A5086" s="663" t="s">
        <v>11276</v>
      </c>
      <c r="B5086" t="s">
        <v>11826</v>
      </c>
      <c r="C5086" s="900" t="s">
        <v>11837</v>
      </c>
      <c r="D5086" s="905" t="s">
        <v>11838</v>
      </c>
    </row>
    <row r="5087" spans="1:4" ht="16.5">
      <c r="A5087" s="663" t="s">
        <v>1704</v>
      </c>
      <c r="B5087" t="s">
        <v>11826</v>
      </c>
      <c r="C5087" s="900" t="s">
        <v>11837</v>
      </c>
      <c r="D5087" s="905" t="s">
        <v>11838</v>
      </c>
    </row>
    <row r="5088" spans="1:4" ht="16.5">
      <c r="A5088" s="663" t="s">
        <v>11278</v>
      </c>
      <c r="B5088" t="s">
        <v>11826</v>
      </c>
      <c r="C5088" s="900" t="s">
        <v>11837</v>
      </c>
      <c r="D5088" s="905" t="s">
        <v>11838</v>
      </c>
    </row>
    <row r="5089" spans="1:4" ht="16.5">
      <c r="A5089" s="663" t="s">
        <v>11280</v>
      </c>
      <c r="B5089" t="s">
        <v>11826</v>
      </c>
      <c r="C5089" s="900" t="s">
        <v>11837</v>
      </c>
      <c r="D5089" s="905" t="s">
        <v>11838</v>
      </c>
    </row>
    <row r="5090" spans="1:4" ht="16.5">
      <c r="A5090" s="663" t="s">
        <v>1861</v>
      </c>
      <c r="B5090" t="s">
        <v>11826</v>
      </c>
      <c r="C5090" s="900" t="s">
        <v>11837</v>
      </c>
      <c r="D5090" s="905" t="s">
        <v>11838</v>
      </c>
    </row>
    <row r="5091" spans="1:4" ht="16.5">
      <c r="A5091" s="663" t="s">
        <v>11282</v>
      </c>
      <c r="B5091" t="s">
        <v>11826</v>
      </c>
      <c r="C5091" s="900" t="s">
        <v>11837</v>
      </c>
      <c r="D5091" s="905" t="s">
        <v>11838</v>
      </c>
    </row>
    <row r="5092" spans="1:4" ht="16.5">
      <c r="A5092" s="663" t="s">
        <v>11284</v>
      </c>
      <c r="B5092" t="s">
        <v>11826</v>
      </c>
      <c r="C5092" s="900" t="s">
        <v>11837</v>
      </c>
      <c r="D5092" s="905" t="s">
        <v>11838</v>
      </c>
    </row>
    <row r="5093" spans="1:4" ht="16.5">
      <c r="A5093" s="663" t="s">
        <v>11286</v>
      </c>
      <c r="B5093" t="s">
        <v>11826</v>
      </c>
      <c r="C5093" s="900" t="s">
        <v>11837</v>
      </c>
      <c r="D5093" s="905" t="s">
        <v>11838</v>
      </c>
    </row>
    <row r="5094" spans="1:4" ht="16.5">
      <c r="A5094" s="663" t="s">
        <v>11288</v>
      </c>
      <c r="B5094" t="s">
        <v>11826</v>
      </c>
      <c r="C5094" s="900" t="s">
        <v>11837</v>
      </c>
      <c r="D5094" s="905" t="s">
        <v>11838</v>
      </c>
    </row>
    <row r="5095" spans="1:4" ht="16.5">
      <c r="A5095" s="663" t="s">
        <v>1706</v>
      </c>
      <c r="B5095" t="s">
        <v>11826</v>
      </c>
      <c r="C5095" s="900" t="s">
        <v>11837</v>
      </c>
      <c r="D5095" s="905" t="s">
        <v>11838</v>
      </c>
    </row>
    <row r="5096" spans="1:4" ht="16.5">
      <c r="A5096" s="663" t="s">
        <v>11290</v>
      </c>
      <c r="B5096" t="s">
        <v>11826</v>
      </c>
      <c r="C5096" s="900" t="s">
        <v>11837</v>
      </c>
      <c r="D5096" s="905" t="s">
        <v>11838</v>
      </c>
    </row>
    <row r="5097" spans="1:4" ht="16.5">
      <c r="A5097" s="663" t="s">
        <v>11293</v>
      </c>
      <c r="B5097" t="s">
        <v>11826</v>
      </c>
      <c r="C5097" s="900" t="s">
        <v>11837</v>
      </c>
      <c r="D5097" s="905" t="s">
        <v>11838</v>
      </c>
    </row>
    <row r="5098" spans="1:4" ht="16.5">
      <c r="A5098" s="663" t="s">
        <v>11295</v>
      </c>
      <c r="B5098" t="s">
        <v>11826</v>
      </c>
      <c r="C5098" s="900" t="s">
        <v>11837</v>
      </c>
      <c r="D5098" s="905" t="s">
        <v>11838</v>
      </c>
    </row>
    <row r="5099" spans="1:4" ht="16.5">
      <c r="A5099" s="663" t="s">
        <v>1722</v>
      </c>
      <c r="B5099" t="s">
        <v>11826</v>
      </c>
      <c r="C5099" s="900" t="s">
        <v>11837</v>
      </c>
      <c r="D5099" s="905" t="s">
        <v>11838</v>
      </c>
    </row>
    <row r="5100" spans="1:4" ht="16.5">
      <c r="A5100" s="663" t="s">
        <v>11297</v>
      </c>
      <c r="B5100" t="s">
        <v>11826</v>
      </c>
      <c r="C5100" s="900" t="s">
        <v>11837</v>
      </c>
      <c r="D5100" s="905" t="s">
        <v>11838</v>
      </c>
    </row>
    <row r="5101" spans="1:4" ht="16.5">
      <c r="A5101" s="663" t="s">
        <v>11299</v>
      </c>
      <c r="B5101" t="s">
        <v>11826</v>
      </c>
      <c r="C5101" s="900" t="s">
        <v>11837</v>
      </c>
      <c r="D5101" s="905" t="s">
        <v>11838</v>
      </c>
    </row>
    <row r="5102" spans="1:4" ht="16.5">
      <c r="A5102" s="663" t="s">
        <v>1718</v>
      </c>
      <c r="B5102" t="s">
        <v>11826</v>
      </c>
      <c r="C5102" s="900" t="s">
        <v>11837</v>
      </c>
      <c r="D5102" s="905" t="s">
        <v>11838</v>
      </c>
    </row>
    <row r="5103" spans="1:4" ht="16.5">
      <c r="A5103" s="663" t="s">
        <v>11301</v>
      </c>
      <c r="B5103" t="s">
        <v>11826</v>
      </c>
      <c r="C5103" s="900" t="s">
        <v>11837</v>
      </c>
      <c r="D5103" s="905" t="s">
        <v>11838</v>
      </c>
    </row>
    <row r="5104" spans="1:4" ht="16.5">
      <c r="A5104" s="663" t="s">
        <v>11303</v>
      </c>
      <c r="B5104" t="s">
        <v>11826</v>
      </c>
      <c r="C5104" s="900" t="s">
        <v>11837</v>
      </c>
      <c r="D5104" s="905" t="s">
        <v>11838</v>
      </c>
    </row>
    <row r="5105" spans="1:4" ht="16.5">
      <c r="A5105" s="663" t="s">
        <v>11305</v>
      </c>
      <c r="B5105" t="s">
        <v>11826</v>
      </c>
      <c r="C5105" s="900" t="s">
        <v>11837</v>
      </c>
      <c r="D5105" s="905" t="s">
        <v>11838</v>
      </c>
    </row>
    <row r="5106" spans="1:4" ht="16.5">
      <c r="A5106" s="663" t="s">
        <v>11307</v>
      </c>
      <c r="B5106" t="s">
        <v>11826</v>
      </c>
      <c r="C5106" s="900" t="s">
        <v>11837</v>
      </c>
      <c r="D5106" s="905" t="s">
        <v>11838</v>
      </c>
    </row>
    <row r="5107" spans="1:4" ht="16.5">
      <c r="A5107" s="663" t="s">
        <v>11309</v>
      </c>
      <c r="B5107" t="s">
        <v>11826</v>
      </c>
      <c r="C5107" s="900" t="s">
        <v>11837</v>
      </c>
      <c r="D5107" s="905" t="s">
        <v>11838</v>
      </c>
    </row>
    <row r="5108" spans="1:4" ht="16.5">
      <c r="A5108" s="663" t="s">
        <v>11311</v>
      </c>
      <c r="B5108" t="s">
        <v>11826</v>
      </c>
      <c r="C5108" s="900" t="s">
        <v>11837</v>
      </c>
      <c r="D5108" s="905" t="s">
        <v>11838</v>
      </c>
    </row>
    <row r="5109" spans="1:4" ht="16.5">
      <c r="A5109" s="663" t="s">
        <v>2079</v>
      </c>
      <c r="B5109" t="s">
        <v>11826</v>
      </c>
      <c r="C5109" s="900" t="s">
        <v>11837</v>
      </c>
      <c r="D5109" s="905" t="s">
        <v>11838</v>
      </c>
    </row>
    <row r="5110" spans="1:4" ht="16.5">
      <c r="A5110" s="663" t="s">
        <v>2081</v>
      </c>
      <c r="B5110" t="s">
        <v>11826</v>
      </c>
      <c r="C5110" s="900" t="s">
        <v>11837</v>
      </c>
      <c r="D5110" s="905" t="s">
        <v>11838</v>
      </c>
    </row>
    <row r="5111" spans="1:4" ht="16.5">
      <c r="A5111" s="663" t="s">
        <v>2083</v>
      </c>
      <c r="B5111" t="s">
        <v>11826</v>
      </c>
      <c r="C5111" s="900" t="s">
        <v>11837</v>
      </c>
      <c r="D5111" s="905" t="s">
        <v>11838</v>
      </c>
    </row>
    <row r="5112" spans="1:4" ht="16.5">
      <c r="A5112" s="663" t="s">
        <v>11315</v>
      </c>
      <c r="B5112" t="s">
        <v>11826</v>
      </c>
      <c r="C5112" s="900" t="s">
        <v>11837</v>
      </c>
      <c r="D5112" s="905" t="s">
        <v>11838</v>
      </c>
    </row>
    <row r="5113" spans="1:4" ht="16.5">
      <c r="A5113" s="663" t="s">
        <v>2123</v>
      </c>
      <c r="B5113" t="s">
        <v>11826</v>
      </c>
      <c r="C5113" s="900" t="s">
        <v>11837</v>
      </c>
      <c r="D5113" s="905" t="s">
        <v>11838</v>
      </c>
    </row>
    <row r="5114" spans="1:4" ht="16.5">
      <c r="A5114" s="663" t="s">
        <v>1779</v>
      </c>
      <c r="B5114" t="s">
        <v>11826</v>
      </c>
      <c r="C5114" s="900" t="s">
        <v>11837</v>
      </c>
      <c r="D5114" s="905" t="s">
        <v>11838</v>
      </c>
    </row>
    <row r="5115" spans="1:4" ht="16.5">
      <c r="A5115" s="663" t="s">
        <v>2183</v>
      </c>
      <c r="B5115" t="s">
        <v>11826</v>
      </c>
      <c r="C5115" s="900" t="s">
        <v>11837</v>
      </c>
      <c r="D5115" s="905" t="s">
        <v>11838</v>
      </c>
    </row>
    <row r="5116" spans="1:4" ht="16.5">
      <c r="A5116" s="663" t="s">
        <v>11317</v>
      </c>
      <c r="B5116" t="s">
        <v>11826</v>
      </c>
      <c r="C5116" s="900" t="s">
        <v>11837</v>
      </c>
      <c r="D5116" s="905" t="s">
        <v>11838</v>
      </c>
    </row>
    <row r="5117" spans="1:4" ht="16.5">
      <c r="A5117" s="663" t="s">
        <v>1983</v>
      </c>
      <c r="B5117" t="s">
        <v>11826</v>
      </c>
      <c r="C5117" s="900" t="s">
        <v>11837</v>
      </c>
      <c r="D5117" s="905" t="s">
        <v>11838</v>
      </c>
    </row>
    <row r="5118" spans="1:4" ht="16.5">
      <c r="A5118" s="663" t="s">
        <v>2119</v>
      </c>
      <c r="B5118" t="s">
        <v>11826</v>
      </c>
      <c r="C5118" s="900" t="s">
        <v>11837</v>
      </c>
      <c r="D5118" s="905" t="s">
        <v>11838</v>
      </c>
    </row>
    <row r="5119" spans="1:4" ht="16.5">
      <c r="A5119" s="663" t="s">
        <v>2000</v>
      </c>
      <c r="B5119" t="s">
        <v>11826</v>
      </c>
      <c r="C5119" s="900" t="s">
        <v>11837</v>
      </c>
      <c r="D5119" s="905" t="s">
        <v>11838</v>
      </c>
    </row>
    <row r="5120" spans="1:4" ht="16.5">
      <c r="A5120" s="663" t="s">
        <v>1901</v>
      </c>
      <c r="B5120" t="s">
        <v>11826</v>
      </c>
      <c r="C5120" s="900" t="s">
        <v>11837</v>
      </c>
      <c r="D5120" s="905" t="s">
        <v>11838</v>
      </c>
    </row>
    <row r="5121" spans="1:4" ht="16.5">
      <c r="A5121" s="663" t="s">
        <v>11319</v>
      </c>
      <c r="B5121" t="s">
        <v>11826</v>
      </c>
      <c r="C5121" s="900" t="s">
        <v>11837</v>
      </c>
      <c r="D5121" s="905" t="s">
        <v>11838</v>
      </c>
    </row>
    <row r="5122" spans="1:4" ht="16.5">
      <c r="A5122" s="663" t="s">
        <v>1934</v>
      </c>
      <c r="B5122" t="s">
        <v>11826</v>
      </c>
      <c r="C5122" s="900" t="s">
        <v>11837</v>
      </c>
      <c r="D5122" s="905" t="s">
        <v>11838</v>
      </c>
    </row>
    <row r="5123" spans="1:4" ht="16.5">
      <c r="A5123" s="663" t="s">
        <v>1938</v>
      </c>
      <c r="B5123" t="s">
        <v>11826</v>
      </c>
      <c r="C5123" s="900" t="s">
        <v>11837</v>
      </c>
      <c r="D5123" s="905" t="s">
        <v>11838</v>
      </c>
    </row>
    <row r="5124" spans="1:4" ht="16.5">
      <c r="A5124" s="663" t="s">
        <v>1942</v>
      </c>
      <c r="B5124" t="s">
        <v>11826</v>
      </c>
      <c r="C5124" s="900" t="s">
        <v>11837</v>
      </c>
      <c r="D5124" s="905" t="s">
        <v>11838</v>
      </c>
    </row>
    <row r="5125" spans="1:4" ht="16.5">
      <c r="A5125" s="663" t="s">
        <v>11321</v>
      </c>
      <c r="B5125" t="s">
        <v>11826</v>
      </c>
      <c r="C5125" s="900" t="s">
        <v>11837</v>
      </c>
      <c r="D5125" s="905" t="s">
        <v>11838</v>
      </c>
    </row>
    <row r="5126" spans="1:4" ht="16.5">
      <c r="A5126" s="663" t="s">
        <v>2034</v>
      </c>
      <c r="B5126" t="s">
        <v>11826</v>
      </c>
      <c r="C5126" s="900" t="s">
        <v>11837</v>
      </c>
      <c r="D5126" s="905" t="s">
        <v>11838</v>
      </c>
    </row>
    <row r="5127" spans="1:4" ht="16.5">
      <c r="A5127" s="663" t="s">
        <v>11323</v>
      </c>
      <c r="B5127" t="s">
        <v>11826</v>
      </c>
      <c r="C5127" s="900" t="s">
        <v>11837</v>
      </c>
      <c r="D5127" s="905" t="s">
        <v>11838</v>
      </c>
    </row>
    <row r="5128" spans="1:4" ht="16.5">
      <c r="A5128" s="663" t="s">
        <v>11325</v>
      </c>
      <c r="B5128" t="s">
        <v>11826</v>
      </c>
      <c r="C5128" s="900" t="s">
        <v>11837</v>
      </c>
      <c r="D5128" s="905" t="s">
        <v>11838</v>
      </c>
    </row>
    <row r="5129" spans="1:4" ht="16.5">
      <c r="A5129" s="663" t="s">
        <v>11327</v>
      </c>
      <c r="B5129" t="s">
        <v>11826</v>
      </c>
      <c r="C5129" s="900" t="s">
        <v>11837</v>
      </c>
      <c r="D5129" s="905" t="s">
        <v>11838</v>
      </c>
    </row>
    <row r="5130" spans="1:4" ht="16.5">
      <c r="A5130" s="663" t="s">
        <v>11329</v>
      </c>
      <c r="B5130" t="s">
        <v>11826</v>
      </c>
      <c r="C5130" s="900" t="s">
        <v>11837</v>
      </c>
      <c r="D5130" s="905" t="s">
        <v>11838</v>
      </c>
    </row>
    <row r="5131" spans="1:4" ht="16.5">
      <c r="A5131" s="663" t="s">
        <v>11331</v>
      </c>
      <c r="B5131" t="s">
        <v>11826</v>
      </c>
      <c r="C5131" s="900" t="s">
        <v>11837</v>
      </c>
      <c r="D5131" s="905" t="s">
        <v>11838</v>
      </c>
    </row>
    <row r="5132" spans="1:4" ht="16.5">
      <c r="A5132" s="663" t="s">
        <v>11333</v>
      </c>
      <c r="B5132" t="s">
        <v>11826</v>
      </c>
      <c r="C5132" s="900" t="s">
        <v>11837</v>
      </c>
      <c r="D5132" s="905" t="s">
        <v>11838</v>
      </c>
    </row>
    <row r="5133" spans="1:4" ht="16.5">
      <c r="A5133" s="663" t="s">
        <v>11335</v>
      </c>
      <c r="B5133" t="s">
        <v>11826</v>
      </c>
      <c r="C5133" s="900" t="s">
        <v>11837</v>
      </c>
      <c r="D5133" s="905" t="s">
        <v>11838</v>
      </c>
    </row>
    <row r="5134" spans="1:4" ht="16.5">
      <c r="A5134" s="663" t="s">
        <v>1771</v>
      </c>
      <c r="B5134" t="s">
        <v>11826</v>
      </c>
      <c r="C5134" s="900" t="s">
        <v>11837</v>
      </c>
      <c r="D5134" s="905" t="s">
        <v>11838</v>
      </c>
    </row>
    <row r="5135" spans="1:4" ht="16.5">
      <c r="A5135" s="663" t="s">
        <v>1775</v>
      </c>
      <c r="B5135" t="s">
        <v>11826</v>
      </c>
      <c r="C5135" s="900" t="s">
        <v>11837</v>
      </c>
      <c r="D5135" s="905" t="s">
        <v>11838</v>
      </c>
    </row>
    <row r="5136" spans="1:4" ht="16.5">
      <c r="A5136" s="663" t="s">
        <v>1806</v>
      </c>
      <c r="B5136" t="s">
        <v>11826</v>
      </c>
      <c r="C5136" s="900" t="s">
        <v>11837</v>
      </c>
      <c r="D5136" s="905" t="s">
        <v>11838</v>
      </c>
    </row>
    <row r="5137" spans="1:4" ht="16.5">
      <c r="A5137" s="663" t="s">
        <v>2087</v>
      </c>
      <c r="B5137" t="s">
        <v>11826</v>
      </c>
      <c r="C5137" s="900" t="s">
        <v>11837</v>
      </c>
      <c r="D5137" s="905" t="s">
        <v>11838</v>
      </c>
    </row>
    <row r="5138" spans="1:4" ht="16.5">
      <c r="A5138" s="663" t="s">
        <v>2004</v>
      </c>
      <c r="B5138" t="s">
        <v>11826</v>
      </c>
      <c r="C5138" s="900" t="s">
        <v>11837</v>
      </c>
      <c r="D5138" s="905" t="s">
        <v>11838</v>
      </c>
    </row>
    <row r="5139" spans="1:4" ht="16.5">
      <c r="A5139" s="663" t="s">
        <v>2006</v>
      </c>
      <c r="B5139" t="s">
        <v>11826</v>
      </c>
      <c r="C5139" s="900" t="s">
        <v>11837</v>
      </c>
      <c r="D5139" s="905" t="s">
        <v>11838</v>
      </c>
    </row>
    <row r="5140" spans="1:4" ht="16.5">
      <c r="A5140" s="663" t="s">
        <v>11337</v>
      </c>
      <c r="B5140" t="s">
        <v>11826</v>
      </c>
      <c r="C5140" s="900" t="s">
        <v>11837</v>
      </c>
      <c r="D5140" s="905" t="s">
        <v>11838</v>
      </c>
    </row>
    <row r="5141" spans="1:4" ht="16.5">
      <c r="A5141" s="663" t="s">
        <v>1951</v>
      </c>
      <c r="B5141" t="s">
        <v>11826</v>
      </c>
      <c r="C5141" s="900" t="s">
        <v>11837</v>
      </c>
      <c r="D5141" s="905" t="s">
        <v>11838</v>
      </c>
    </row>
    <row r="5142" spans="1:4" ht="16.5">
      <c r="A5142" s="663" t="s">
        <v>1946</v>
      </c>
      <c r="B5142" t="s">
        <v>11826</v>
      </c>
      <c r="C5142" s="900" t="s">
        <v>11837</v>
      </c>
      <c r="D5142" s="905" t="s">
        <v>11838</v>
      </c>
    </row>
    <row r="5143" spans="1:4" ht="16.5">
      <c r="A5143" s="663" t="s">
        <v>11339</v>
      </c>
      <c r="B5143" t="s">
        <v>11826</v>
      </c>
      <c r="C5143" s="900" t="s">
        <v>11837</v>
      </c>
      <c r="D5143" s="905" t="s">
        <v>11838</v>
      </c>
    </row>
    <row r="5144" spans="1:4" ht="16.5">
      <c r="A5144" s="663" t="s">
        <v>11341</v>
      </c>
      <c r="B5144" t="s">
        <v>11826</v>
      </c>
      <c r="C5144" s="900" t="s">
        <v>11837</v>
      </c>
      <c r="D5144" s="905" t="s">
        <v>11838</v>
      </c>
    </row>
    <row r="5145" spans="1:4" ht="16.5">
      <c r="A5145" s="663" t="s">
        <v>1837</v>
      </c>
      <c r="B5145" t="s">
        <v>11826</v>
      </c>
      <c r="C5145" s="900" t="s">
        <v>11837</v>
      </c>
      <c r="D5145" s="905" t="s">
        <v>11838</v>
      </c>
    </row>
    <row r="5146" spans="1:4" ht="16.5">
      <c r="A5146" s="663" t="s">
        <v>11343</v>
      </c>
      <c r="B5146" t="s">
        <v>11826</v>
      </c>
      <c r="C5146" s="900" t="s">
        <v>11837</v>
      </c>
      <c r="D5146" s="905" t="s">
        <v>11838</v>
      </c>
    </row>
    <row r="5147" spans="1:4" ht="16.5">
      <c r="A5147" s="663" t="s">
        <v>1847</v>
      </c>
      <c r="B5147" t="s">
        <v>11826</v>
      </c>
      <c r="C5147" s="900" t="s">
        <v>11837</v>
      </c>
      <c r="D5147" s="905" t="s">
        <v>11838</v>
      </c>
    </row>
    <row r="5148" spans="1:4" ht="16.5">
      <c r="A5148" s="663" t="s">
        <v>1845</v>
      </c>
      <c r="B5148" t="s">
        <v>11826</v>
      </c>
      <c r="C5148" s="900" t="s">
        <v>11837</v>
      </c>
      <c r="D5148" s="905" t="s">
        <v>11838</v>
      </c>
    </row>
    <row r="5149" spans="1:4" ht="16.5">
      <c r="A5149" s="663" t="s">
        <v>11345</v>
      </c>
      <c r="B5149" t="s">
        <v>11826</v>
      </c>
      <c r="C5149" s="900" t="s">
        <v>11837</v>
      </c>
      <c r="D5149" s="905" t="s">
        <v>11838</v>
      </c>
    </row>
    <row r="5150" spans="1:4" ht="16.5">
      <c r="A5150" s="663" t="s">
        <v>11347</v>
      </c>
      <c r="B5150" t="s">
        <v>11826</v>
      </c>
      <c r="C5150" s="900" t="s">
        <v>11837</v>
      </c>
      <c r="D5150" s="905" t="s">
        <v>11838</v>
      </c>
    </row>
    <row r="5151" spans="1:4" ht="16.5">
      <c r="A5151" s="663" t="s">
        <v>1829</v>
      </c>
      <c r="B5151" t="s">
        <v>11826</v>
      </c>
      <c r="C5151" s="900" t="s">
        <v>11837</v>
      </c>
      <c r="D5151" s="905" t="s">
        <v>11838</v>
      </c>
    </row>
    <row r="5152" spans="1:4" ht="16.5">
      <c r="A5152" s="663" t="s">
        <v>1785</v>
      </c>
      <c r="B5152" t="s">
        <v>11826</v>
      </c>
      <c r="C5152" s="900" t="s">
        <v>11837</v>
      </c>
      <c r="D5152" s="905" t="s">
        <v>11838</v>
      </c>
    </row>
    <row r="5153" spans="1:4" ht="16.5">
      <c r="A5153" s="663" t="s">
        <v>11349</v>
      </c>
      <c r="B5153" t="s">
        <v>11826</v>
      </c>
      <c r="C5153" s="900" t="s">
        <v>11837</v>
      </c>
      <c r="D5153" s="905" t="s">
        <v>11838</v>
      </c>
    </row>
    <row r="5154" spans="1:4" ht="16.5">
      <c r="A5154" s="663" t="s">
        <v>11351</v>
      </c>
      <c r="B5154" t="s">
        <v>11826</v>
      </c>
      <c r="C5154" s="900" t="s">
        <v>11837</v>
      </c>
      <c r="D5154" s="905" t="s">
        <v>11838</v>
      </c>
    </row>
    <row r="5155" spans="1:4" ht="16.5">
      <c r="A5155" s="663" t="s">
        <v>11353</v>
      </c>
      <c r="B5155" t="s">
        <v>11826</v>
      </c>
      <c r="C5155" s="900" t="s">
        <v>11837</v>
      </c>
      <c r="D5155" s="905" t="s">
        <v>11838</v>
      </c>
    </row>
    <row r="5156" spans="1:4" ht="16.5">
      <c r="A5156" s="663" t="s">
        <v>132</v>
      </c>
      <c r="B5156" t="s">
        <v>11826</v>
      </c>
      <c r="C5156" s="900" t="s">
        <v>11837</v>
      </c>
      <c r="D5156" s="905" t="s">
        <v>11838</v>
      </c>
    </row>
    <row r="5157" spans="1:4" ht="16.5">
      <c r="A5157" s="663" t="s">
        <v>2127</v>
      </c>
      <c r="B5157" t="s">
        <v>11826</v>
      </c>
      <c r="C5157" s="900" t="s">
        <v>11837</v>
      </c>
      <c r="D5157" s="905" t="s">
        <v>11838</v>
      </c>
    </row>
    <row r="5158" spans="1:4" ht="16.5">
      <c r="A5158" s="663" t="s">
        <v>134</v>
      </c>
      <c r="B5158" t="s">
        <v>11826</v>
      </c>
      <c r="C5158" s="900" t="s">
        <v>11837</v>
      </c>
      <c r="D5158" s="905" t="s">
        <v>11838</v>
      </c>
    </row>
    <row r="5159" spans="1:4" ht="16.5">
      <c r="A5159" s="663" t="s">
        <v>11355</v>
      </c>
      <c r="B5159" t="s">
        <v>11826</v>
      </c>
      <c r="C5159" s="900" t="s">
        <v>11837</v>
      </c>
      <c r="D5159" s="905" t="s">
        <v>11838</v>
      </c>
    </row>
    <row r="5160" spans="1:4" ht="16.5">
      <c r="A5160" s="663" t="s">
        <v>1905</v>
      </c>
      <c r="B5160" t="s">
        <v>11826</v>
      </c>
      <c r="C5160" s="900" t="s">
        <v>11837</v>
      </c>
      <c r="D5160" s="905" t="s">
        <v>11838</v>
      </c>
    </row>
    <row r="5161" spans="1:4" ht="16.5">
      <c r="A5161" s="663" t="s">
        <v>1907</v>
      </c>
      <c r="B5161" t="s">
        <v>11826</v>
      </c>
      <c r="C5161" s="900" t="s">
        <v>11837</v>
      </c>
      <c r="D5161" s="905" t="s">
        <v>11838</v>
      </c>
    </row>
    <row r="5162" spans="1:4" ht="16.5">
      <c r="A5162" s="663" t="s">
        <v>1990</v>
      </c>
      <c r="B5162" t="s">
        <v>11826</v>
      </c>
      <c r="C5162" s="900" t="s">
        <v>11837</v>
      </c>
      <c r="D5162" s="905" t="s">
        <v>11838</v>
      </c>
    </row>
    <row r="5163" spans="1:4" ht="16.5">
      <c r="A5163" s="663" t="s">
        <v>1998</v>
      </c>
      <c r="B5163" t="s">
        <v>11826</v>
      </c>
      <c r="C5163" s="900" t="s">
        <v>11837</v>
      </c>
      <c r="D5163" s="905" t="s">
        <v>11838</v>
      </c>
    </row>
    <row r="5164" spans="1:4" ht="16.5">
      <c r="A5164" s="663" t="s">
        <v>11357</v>
      </c>
      <c r="B5164" t="s">
        <v>11826</v>
      </c>
      <c r="C5164" s="900" t="s">
        <v>11837</v>
      </c>
      <c r="D5164" s="905" t="s">
        <v>11838</v>
      </c>
    </row>
    <row r="5165" spans="1:4" ht="16.5">
      <c r="A5165" s="663" t="s">
        <v>1992</v>
      </c>
      <c r="B5165" t="s">
        <v>11826</v>
      </c>
      <c r="C5165" s="900" t="s">
        <v>11837</v>
      </c>
      <c r="D5165" s="905" t="s">
        <v>11838</v>
      </c>
    </row>
    <row r="5166" spans="1:4" ht="16.5">
      <c r="A5166" s="663" t="s">
        <v>11360</v>
      </c>
      <c r="B5166" t="s">
        <v>11826</v>
      </c>
      <c r="C5166" s="900" t="s">
        <v>11837</v>
      </c>
      <c r="D5166" s="905" t="s">
        <v>11838</v>
      </c>
    </row>
    <row r="5167" spans="1:4" ht="16.5">
      <c r="A5167" s="663" t="s">
        <v>2002</v>
      </c>
      <c r="B5167" t="s">
        <v>11826</v>
      </c>
      <c r="C5167" s="900" t="s">
        <v>11837</v>
      </c>
      <c r="D5167" s="905" t="s">
        <v>11838</v>
      </c>
    </row>
    <row r="5168" spans="1:4" ht="16.5">
      <c r="A5168" s="663" t="s">
        <v>11362</v>
      </c>
      <c r="B5168" t="s">
        <v>11826</v>
      </c>
      <c r="C5168" s="900" t="s">
        <v>11837</v>
      </c>
      <c r="D5168" s="905" t="s">
        <v>11838</v>
      </c>
    </row>
    <row r="5169" spans="1:4" ht="16.5">
      <c r="A5169" s="663" t="s">
        <v>2089</v>
      </c>
      <c r="B5169" t="s">
        <v>11826</v>
      </c>
      <c r="C5169" s="900" t="s">
        <v>11837</v>
      </c>
      <c r="D5169" s="905" t="s">
        <v>11838</v>
      </c>
    </row>
    <row r="5170" spans="1:4" ht="16.5">
      <c r="A5170" s="663" t="s">
        <v>2091</v>
      </c>
      <c r="B5170" t="s">
        <v>11826</v>
      </c>
      <c r="C5170" s="900" t="s">
        <v>11837</v>
      </c>
      <c r="D5170" s="905" t="s">
        <v>11838</v>
      </c>
    </row>
    <row r="5171" spans="1:4" ht="16.5">
      <c r="A5171" s="663" t="s">
        <v>2026</v>
      </c>
      <c r="B5171" t="s">
        <v>11826</v>
      </c>
      <c r="C5171" s="900" t="s">
        <v>11837</v>
      </c>
      <c r="D5171" s="905" t="s">
        <v>11838</v>
      </c>
    </row>
    <row r="5172" spans="1:4" ht="16.5">
      <c r="A5172" s="663" t="s">
        <v>2028</v>
      </c>
      <c r="B5172" t="s">
        <v>11826</v>
      </c>
      <c r="C5172" s="900" t="s">
        <v>11837</v>
      </c>
      <c r="D5172" s="905" t="s">
        <v>11838</v>
      </c>
    </row>
    <row r="5173" spans="1:4" ht="16.5">
      <c r="A5173" s="663" t="s">
        <v>2024</v>
      </c>
      <c r="B5173" t="s">
        <v>11826</v>
      </c>
      <c r="C5173" s="900" t="s">
        <v>11837</v>
      </c>
      <c r="D5173" s="905" t="s">
        <v>11838</v>
      </c>
    </row>
    <row r="5174" spans="1:4" ht="16.5">
      <c r="A5174" s="663" t="s">
        <v>2030</v>
      </c>
      <c r="B5174" t="s">
        <v>11826</v>
      </c>
      <c r="C5174" s="900" t="s">
        <v>11837</v>
      </c>
      <c r="D5174" s="905" t="s">
        <v>11838</v>
      </c>
    </row>
    <row r="5175" spans="1:4" ht="16.5">
      <c r="A5175" s="663" t="s">
        <v>2032</v>
      </c>
      <c r="B5175" t="s">
        <v>11826</v>
      </c>
      <c r="C5175" s="900" t="s">
        <v>11837</v>
      </c>
      <c r="D5175" s="905" t="s">
        <v>11838</v>
      </c>
    </row>
    <row r="5176" spans="1:4" ht="16.5">
      <c r="A5176" s="663" t="s">
        <v>1841</v>
      </c>
      <c r="B5176" t="s">
        <v>11826</v>
      </c>
      <c r="C5176" s="900" t="s">
        <v>11837</v>
      </c>
      <c r="D5176" s="905" t="s">
        <v>11838</v>
      </c>
    </row>
    <row r="5177" spans="1:4" ht="16.5">
      <c r="A5177" s="663" t="s">
        <v>1833</v>
      </c>
      <c r="B5177" t="s">
        <v>11826</v>
      </c>
      <c r="C5177" s="900" t="s">
        <v>11837</v>
      </c>
      <c r="D5177" s="905" t="s">
        <v>11838</v>
      </c>
    </row>
    <row r="5178" spans="1:4" ht="16.5">
      <c r="A5178" s="663" t="s">
        <v>136</v>
      </c>
      <c r="B5178" t="s">
        <v>11826</v>
      </c>
      <c r="C5178" s="900" t="s">
        <v>11837</v>
      </c>
      <c r="D5178" s="905" t="s">
        <v>11838</v>
      </c>
    </row>
    <row r="5179" spans="1:4" ht="16.5">
      <c r="A5179" s="663" t="s">
        <v>1985</v>
      </c>
      <c r="B5179" t="s">
        <v>11826</v>
      </c>
      <c r="C5179" s="900" t="s">
        <v>11837</v>
      </c>
      <c r="D5179" s="905" t="s">
        <v>11838</v>
      </c>
    </row>
    <row r="5180" spans="1:4" ht="16.5">
      <c r="A5180" s="663" t="s">
        <v>11366</v>
      </c>
      <c r="B5180" t="s">
        <v>11826</v>
      </c>
      <c r="C5180" s="900" t="s">
        <v>11837</v>
      </c>
      <c r="D5180" s="905" t="s">
        <v>11838</v>
      </c>
    </row>
    <row r="5181" spans="1:4" ht="16.5">
      <c r="A5181" s="663" t="s">
        <v>11368</v>
      </c>
      <c r="B5181" t="s">
        <v>11826</v>
      </c>
      <c r="C5181" s="900" t="s">
        <v>11837</v>
      </c>
      <c r="D5181" s="905" t="s">
        <v>11838</v>
      </c>
    </row>
    <row r="5182" spans="1:4" ht="16.5">
      <c r="A5182" s="663" t="s">
        <v>11370</v>
      </c>
      <c r="B5182" t="s">
        <v>11826</v>
      </c>
      <c r="C5182" s="900" t="s">
        <v>11837</v>
      </c>
      <c r="D5182" s="905" t="s">
        <v>11838</v>
      </c>
    </row>
    <row r="5183" spans="1:4" ht="16.5">
      <c r="A5183" s="663" t="s">
        <v>11372</v>
      </c>
      <c r="B5183" t="s">
        <v>11826</v>
      </c>
      <c r="C5183" s="900" t="s">
        <v>11837</v>
      </c>
      <c r="D5183" s="905" t="s">
        <v>11838</v>
      </c>
    </row>
    <row r="5184" spans="1:4" ht="16.5">
      <c r="A5184" s="663" t="s">
        <v>11374</v>
      </c>
      <c r="B5184" t="s">
        <v>11826</v>
      </c>
      <c r="C5184" s="900" t="s">
        <v>11837</v>
      </c>
      <c r="D5184" s="905" t="s">
        <v>11838</v>
      </c>
    </row>
    <row r="5185" spans="1:4" ht="16.5">
      <c r="A5185" s="663" t="s">
        <v>1962</v>
      </c>
      <c r="B5185" t="s">
        <v>11826</v>
      </c>
      <c r="C5185" s="900" t="s">
        <v>11837</v>
      </c>
      <c r="D5185" s="905" t="s">
        <v>11838</v>
      </c>
    </row>
    <row r="5186" spans="1:4" ht="16.5">
      <c r="A5186" s="663" t="s">
        <v>11376</v>
      </c>
      <c r="B5186" t="s">
        <v>11826</v>
      </c>
      <c r="C5186" s="900" t="s">
        <v>11837</v>
      </c>
      <c r="D5186" s="905" t="s">
        <v>11838</v>
      </c>
    </row>
    <row r="5187" spans="1:4" ht="16.5">
      <c r="A5187" s="663" t="s">
        <v>1966</v>
      </c>
      <c r="B5187" t="s">
        <v>11826</v>
      </c>
      <c r="C5187" s="900" t="s">
        <v>11837</v>
      </c>
      <c r="D5187" s="905" t="s">
        <v>11838</v>
      </c>
    </row>
    <row r="5188" spans="1:4" ht="16.5">
      <c r="A5188" s="663" t="s">
        <v>11378</v>
      </c>
      <c r="B5188" t="s">
        <v>11826</v>
      </c>
      <c r="C5188" s="900" t="s">
        <v>11837</v>
      </c>
      <c r="D5188" s="905" t="s">
        <v>11838</v>
      </c>
    </row>
    <row r="5189" spans="1:4" ht="16.5">
      <c r="A5189" s="663" t="s">
        <v>11380</v>
      </c>
      <c r="B5189" t="s">
        <v>11826</v>
      </c>
      <c r="C5189" s="900" t="s">
        <v>11837</v>
      </c>
      <c r="D5189" s="905" t="s">
        <v>11838</v>
      </c>
    </row>
    <row r="5190" spans="1:4" ht="16.5">
      <c r="A5190" s="663" t="s">
        <v>11382</v>
      </c>
      <c r="B5190" t="s">
        <v>11826</v>
      </c>
      <c r="C5190" s="900" t="s">
        <v>11837</v>
      </c>
      <c r="D5190" s="905" t="s">
        <v>11838</v>
      </c>
    </row>
    <row r="5191" spans="1:4" ht="16.5">
      <c r="A5191" s="663" t="s">
        <v>11384</v>
      </c>
      <c r="B5191" t="s">
        <v>11826</v>
      </c>
      <c r="C5191" s="900" t="s">
        <v>11837</v>
      </c>
      <c r="D5191" s="905" t="s">
        <v>11838</v>
      </c>
    </row>
    <row r="5192" spans="1:4" ht="16.5">
      <c r="A5192" s="663" t="s">
        <v>11386</v>
      </c>
      <c r="B5192" t="s">
        <v>11826</v>
      </c>
      <c r="C5192" s="900" t="s">
        <v>11837</v>
      </c>
      <c r="D5192" s="905" t="s">
        <v>11838</v>
      </c>
    </row>
    <row r="5193" spans="1:4" ht="16.5">
      <c r="A5193" s="663" t="s">
        <v>11388</v>
      </c>
      <c r="B5193" t="s">
        <v>11826</v>
      </c>
      <c r="C5193" s="900" t="s">
        <v>11837</v>
      </c>
      <c r="D5193" s="905" t="s">
        <v>11838</v>
      </c>
    </row>
    <row r="5194" spans="1:4" ht="16.5">
      <c r="A5194" s="663" t="s">
        <v>11390</v>
      </c>
      <c r="B5194" t="s">
        <v>11826</v>
      </c>
      <c r="C5194" s="900" t="s">
        <v>11837</v>
      </c>
      <c r="D5194" s="905" t="s">
        <v>11838</v>
      </c>
    </row>
    <row r="5195" spans="1:4" ht="16.5">
      <c r="A5195" s="663" t="s">
        <v>11392</v>
      </c>
      <c r="B5195" t="s">
        <v>11826</v>
      </c>
      <c r="C5195" s="900" t="s">
        <v>11837</v>
      </c>
      <c r="D5195" s="905" t="s">
        <v>11838</v>
      </c>
    </row>
    <row r="5196" spans="1:4" ht="16.5">
      <c r="A5196" s="663" t="s">
        <v>1981</v>
      </c>
      <c r="B5196" t="s">
        <v>11826</v>
      </c>
      <c r="C5196" s="900" t="s">
        <v>11837</v>
      </c>
      <c r="D5196" s="905" t="s">
        <v>11838</v>
      </c>
    </row>
    <row r="5197" spans="1:4" ht="16.5">
      <c r="A5197" s="663" t="s">
        <v>11395</v>
      </c>
      <c r="B5197" t="s">
        <v>11826</v>
      </c>
      <c r="C5197" s="900" t="s">
        <v>11837</v>
      </c>
      <c r="D5197" s="905" t="s">
        <v>11838</v>
      </c>
    </row>
    <row r="5198" spans="1:4" ht="16.5">
      <c r="A5198" s="663" t="s">
        <v>11397</v>
      </c>
      <c r="B5198" t="s">
        <v>11826</v>
      </c>
      <c r="C5198" s="900" t="s">
        <v>11837</v>
      </c>
      <c r="D5198" s="905" t="s">
        <v>11838</v>
      </c>
    </row>
    <row r="5199" spans="1:4" ht="16.5">
      <c r="A5199" s="663" t="s">
        <v>11399</v>
      </c>
      <c r="B5199" t="s">
        <v>11826</v>
      </c>
      <c r="C5199" s="900" t="s">
        <v>11837</v>
      </c>
      <c r="D5199" s="905" t="s">
        <v>11838</v>
      </c>
    </row>
    <row r="5200" spans="1:4" ht="16.5">
      <c r="A5200" s="663" t="s">
        <v>11401</v>
      </c>
      <c r="B5200" t="s">
        <v>11826</v>
      </c>
      <c r="C5200" s="900" t="s">
        <v>11837</v>
      </c>
      <c r="D5200" s="905" t="s">
        <v>11838</v>
      </c>
    </row>
    <row r="5201" spans="1:4" ht="16.5">
      <c r="A5201" s="663" t="s">
        <v>11403</v>
      </c>
      <c r="B5201" t="s">
        <v>11826</v>
      </c>
      <c r="C5201" s="900" t="s">
        <v>11837</v>
      </c>
      <c r="D5201" s="905" t="s">
        <v>11838</v>
      </c>
    </row>
    <row r="5202" spans="1:4" ht="16.5">
      <c r="A5202" s="663" t="s">
        <v>1973</v>
      </c>
      <c r="B5202" t="s">
        <v>11826</v>
      </c>
      <c r="C5202" s="900" t="s">
        <v>11837</v>
      </c>
      <c r="D5202" s="905" t="s">
        <v>11838</v>
      </c>
    </row>
    <row r="5203" spans="1:4" ht="16.5">
      <c r="A5203" s="663" t="s">
        <v>1975</v>
      </c>
      <c r="B5203" t="s">
        <v>11826</v>
      </c>
      <c r="C5203" s="900" t="s">
        <v>11837</v>
      </c>
      <c r="D5203" s="905" t="s">
        <v>11838</v>
      </c>
    </row>
    <row r="5204" spans="1:4" ht="16.5">
      <c r="A5204" s="663" t="s">
        <v>11405</v>
      </c>
      <c r="B5204" t="s">
        <v>11826</v>
      </c>
      <c r="C5204" s="900" t="s">
        <v>11837</v>
      </c>
      <c r="D5204" s="905" t="s">
        <v>11838</v>
      </c>
    </row>
    <row r="5205" spans="1:4" ht="16.5">
      <c r="A5205" s="663" t="s">
        <v>11407</v>
      </c>
      <c r="B5205" t="s">
        <v>11826</v>
      </c>
      <c r="C5205" s="900" t="s">
        <v>11837</v>
      </c>
      <c r="D5205" s="905" t="s">
        <v>11838</v>
      </c>
    </row>
    <row r="5206" spans="1:4" ht="16.5">
      <c r="A5206" s="663" t="s">
        <v>11409</v>
      </c>
      <c r="B5206" t="s">
        <v>11826</v>
      </c>
      <c r="C5206" s="900" t="s">
        <v>11837</v>
      </c>
      <c r="D5206" s="905" t="s">
        <v>11838</v>
      </c>
    </row>
    <row r="5207" spans="1:4" ht="16.5">
      <c r="A5207" s="663" t="s">
        <v>11411</v>
      </c>
      <c r="B5207" t="s">
        <v>11826</v>
      </c>
      <c r="C5207" s="900" t="s">
        <v>11837</v>
      </c>
      <c r="D5207" s="905" t="s">
        <v>11838</v>
      </c>
    </row>
    <row r="5208" spans="1:4" ht="16.5">
      <c r="A5208" s="663" t="s">
        <v>11413</v>
      </c>
      <c r="B5208" t="s">
        <v>11826</v>
      </c>
      <c r="C5208" s="900" t="s">
        <v>11837</v>
      </c>
      <c r="D5208" s="905" t="s">
        <v>11838</v>
      </c>
    </row>
    <row r="5209" spans="1:4" ht="16.5">
      <c r="A5209" s="663" t="s">
        <v>11415</v>
      </c>
      <c r="B5209" t="s">
        <v>11826</v>
      </c>
      <c r="C5209" s="900" t="s">
        <v>11837</v>
      </c>
      <c r="D5209" s="905" t="s">
        <v>11838</v>
      </c>
    </row>
    <row r="5210" spans="1:4" ht="16.5">
      <c r="A5210" s="663" t="s">
        <v>11417</v>
      </c>
      <c r="B5210" t="s">
        <v>11826</v>
      </c>
      <c r="C5210" s="900" t="s">
        <v>11837</v>
      </c>
      <c r="D5210" s="905" t="s">
        <v>11838</v>
      </c>
    </row>
    <row r="5211" spans="1:4" ht="16.5">
      <c r="A5211" s="663" t="s">
        <v>11419</v>
      </c>
      <c r="B5211" t="s">
        <v>11826</v>
      </c>
      <c r="C5211" s="900" t="s">
        <v>11837</v>
      </c>
      <c r="D5211" s="905" t="s">
        <v>11838</v>
      </c>
    </row>
    <row r="5212" spans="1:4" ht="16.5">
      <c r="A5212" s="663" t="s">
        <v>11421</v>
      </c>
      <c r="B5212" t="s">
        <v>11826</v>
      </c>
      <c r="C5212" s="900" t="s">
        <v>11837</v>
      </c>
      <c r="D5212" s="905" t="s">
        <v>11838</v>
      </c>
    </row>
    <row r="5213" spans="1:4" ht="16.5">
      <c r="A5213" s="663" t="s">
        <v>11423</v>
      </c>
      <c r="B5213" t="s">
        <v>11826</v>
      </c>
      <c r="C5213" s="900" t="s">
        <v>11837</v>
      </c>
      <c r="D5213" s="905" t="s">
        <v>11838</v>
      </c>
    </row>
    <row r="5214" spans="1:4" ht="16.5">
      <c r="A5214" s="663" t="s">
        <v>11425</v>
      </c>
      <c r="B5214" t="s">
        <v>11826</v>
      </c>
      <c r="C5214" s="900" t="s">
        <v>11837</v>
      </c>
      <c r="D5214" s="905" t="s">
        <v>11838</v>
      </c>
    </row>
    <row r="5215" spans="1:4" ht="16.5">
      <c r="A5215" s="663" t="s">
        <v>11427</v>
      </c>
      <c r="B5215" t="s">
        <v>11826</v>
      </c>
      <c r="C5215" s="900" t="s">
        <v>11837</v>
      </c>
      <c r="D5215" s="905" t="s">
        <v>11838</v>
      </c>
    </row>
    <row r="5216" spans="1:4" ht="16.5">
      <c r="A5216" s="663" t="s">
        <v>11429</v>
      </c>
      <c r="B5216" t="s">
        <v>11826</v>
      </c>
      <c r="C5216" s="900" t="s">
        <v>11837</v>
      </c>
      <c r="D5216" s="905" t="s">
        <v>11838</v>
      </c>
    </row>
    <row r="5217" spans="1:4" ht="16.5">
      <c r="A5217" s="663" t="s">
        <v>11431</v>
      </c>
      <c r="B5217" t="s">
        <v>11826</v>
      </c>
      <c r="C5217" s="900" t="s">
        <v>11837</v>
      </c>
      <c r="D5217" s="905" t="s">
        <v>11838</v>
      </c>
    </row>
    <row r="5218" spans="1:4" ht="16.5">
      <c r="A5218" s="663" t="s">
        <v>1977</v>
      </c>
      <c r="B5218" t="s">
        <v>11826</v>
      </c>
      <c r="C5218" s="900" t="s">
        <v>11837</v>
      </c>
      <c r="D5218" s="905" t="s">
        <v>11838</v>
      </c>
    </row>
    <row r="5219" spans="1:4" ht="16.5">
      <c r="A5219" s="663" t="s">
        <v>11433</v>
      </c>
      <c r="B5219" t="s">
        <v>11826</v>
      </c>
      <c r="C5219" s="900" t="s">
        <v>11837</v>
      </c>
      <c r="D5219" s="905" t="s">
        <v>11838</v>
      </c>
    </row>
    <row r="5220" spans="1:4" ht="16.5">
      <c r="A5220" s="663" t="s">
        <v>11435</v>
      </c>
      <c r="B5220" t="s">
        <v>11826</v>
      </c>
      <c r="C5220" s="900" t="s">
        <v>11837</v>
      </c>
      <c r="D5220" s="905" t="s">
        <v>11838</v>
      </c>
    </row>
    <row r="5221" spans="1:4" ht="16.5">
      <c r="A5221" s="663" t="s">
        <v>11437</v>
      </c>
      <c r="B5221" t="s">
        <v>11826</v>
      </c>
      <c r="C5221" s="900" t="s">
        <v>11837</v>
      </c>
      <c r="D5221" s="905" t="s">
        <v>11838</v>
      </c>
    </row>
    <row r="5222" spans="1:4" ht="16.5">
      <c r="A5222" s="663" t="s">
        <v>11439</v>
      </c>
      <c r="B5222" t="s">
        <v>11826</v>
      </c>
      <c r="C5222" s="900" t="s">
        <v>11837</v>
      </c>
      <c r="D5222" s="905" t="s">
        <v>11838</v>
      </c>
    </row>
    <row r="5223" spans="1:4" ht="16.5">
      <c r="A5223" s="663" t="s">
        <v>1979</v>
      </c>
      <c r="B5223" t="s">
        <v>11826</v>
      </c>
      <c r="C5223" s="900" t="s">
        <v>11837</v>
      </c>
      <c r="D5223" s="905" t="s">
        <v>11838</v>
      </c>
    </row>
    <row r="5224" spans="1:4" ht="16.5">
      <c r="A5224" s="663" t="s">
        <v>11441</v>
      </c>
      <c r="B5224" t="s">
        <v>11826</v>
      </c>
      <c r="C5224" s="900" t="s">
        <v>11837</v>
      </c>
      <c r="D5224" s="905" t="s">
        <v>11838</v>
      </c>
    </row>
    <row r="5225" spans="1:4" ht="16.5">
      <c r="A5225" s="663" t="s">
        <v>1987</v>
      </c>
      <c r="B5225" t="s">
        <v>11826</v>
      </c>
      <c r="C5225" s="900" t="s">
        <v>11837</v>
      </c>
      <c r="D5225" s="905" t="s">
        <v>11838</v>
      </c>
    </row>
    <row r="5226" spans="1:4" ht="16.5">
      <c r="A5226" s="663" t="s">
        <v>11443</v>
      </c>
      <c r="B5226" t="s">
        <v>11826</v>
      </c>
      <c r="C5226" s="900" t="s">
        <v>11837</v>
      </c>
      <c r="D5226" s="905" t="s">
        <v>11838</v>
      </c>
    </row>
    <row r="5227" spans="1:4" ht="16.5">
      <c r="A5227" s="663" t="s">
        <v>11445</v>
      </c>
      <c r="B5227" t="s">
        <v>11826</v>
      </c>
      <c r="C5227" s="900" t="s">
        <v>11837</v>
      </c>
      <c r="D5227" s="905" t="s">
        <v>11838</v>
      </c>
    </row>
    <row r="5228" spans="1:4" ht="16.5">
      <c r="A5228" s="663" t="s">
        <v>11447</v>
      </c>
      <c r="B5228" t="s">
        <v>11826</v>
      </c>
      <c r="C5228" s="900" t="s">
        <v>11837</v>
      </c>
      <c r="D5228" s="905" t="s">
        <v>11838</v>
      </c>
    </row>
    <row r="5229" spans="1:4" ht="16.5">
      <c r="A5229" s="663" t="s">
        <v>11449</v>
      </c>
      <c r="B5229" t="s">
        <v>11826</v>
      </c>
      <c r="C5229" s="900" t="s">
        <v>11837</v>
      </c>
      <c r="D5229" s="905" t="s">
        <v>11838</v>
      </c>
    </row>
    <row r="5230" spans="1:4" ht="16.5">
      <c r="A5230" s="663" t="s">
        <v>1954</v>
      </c>
      <c r="B5230" t="s">
        <v>11826</v>
      </c>
      <c r="C5230" s="900" t="s">
        <v>11837</v>
      </c>
      <c r="D5230" s="905" t="s">
        <v>11838</v>
      </c>
    </row>
    <row r="5231" spans="1:4" ht="16.5">
      <c r="A5231" s="663" t="s">
        <v>1958</v>
      </c>
      <c r="B5231" t="s">
        <v>11826</v>
      </c>
      <c r="C5231" s="900" t="s">
        <v>11837</v>
      </c>
      <c r="D5231" s="905" t="s">
        <v>11838</v>
      </c>
    </row>
    <row r="5232" spans="1:4" ht="16.5">
      <c r="A5232" s="663" t="s">
        <v>2085</v>
      </c>
      <c r="B5232" t="s">
        <v>11826</v>
      </c>
      <c r="C5232" s="900" t="s">
        <v>11837</v>
      </c>
      <c r="D5232" s="905" t="s">
        <v>11838</v>
      </c>
    </row>
    <row r="5233" spans="1:4" ht="16.5">
      <c r="A5233" s="663" t="s">
        <v>2095</v>
      </c>
      <c r="B5233" t="s">
        <v>11826</v>
      </c>
      <c r="C5233" s="900" t="s">
        <v>11837</v>
      </c>
      <c r="D5233" s="905" t="s">
        <v>11838</v>
      </c>
    </row>
    <row r="5234" spans="1:4" ht="16.5">
      <c r="A5234" s="663" t="s">
        <v>11451</v>
      </c>
      <c r="B5234" t="s">
        <v>11826</v>
      </c>
      <c r="C5234" s="900" t="s">
        <v>11837</v>
      </c>
      <c r="D5234" s="905" t="s">
        <v>11838</v>
      </c>
    </row>
    <row r="5235" spans="1:4" ht="16.5">
      <c r="A5235" s="663" t="s">
        <v>2093</v>
      </c>
      <c r="B5235" t="s">
        <v>11826</v>
      </c>
      <c r="C5235" s="900" t="s">
        <v>11837</v>
      </c>
      <c r="D5235" s="905" t="s">
        <v>11838</v>
      </c>
    </row>
    <row r="5236" spans="1:4" ht="16.5">
      <c r="A5236" s="663" t="s">
        <v>1956</v>
      </c>
      <c r="B5236" t="s">
        <v>11826</v>
      </c>
      <c r="C5236" s="900" t="s">
        <v>11837</v>
      </c>
      <c r="D5236" s="905" t="s">
        <v>11838</v>
      </c>
    </row>
    <row r="5237" spans="1:4" ht="16.5">
      <c r="A5237" s="663" t="s">
        <v>2098</v>
      </c>
      <c r="B5237" t="s">
        <v>11826</v>
      </c>
      <c r="C5237" s="900" t="s">
        <v>11837</v>
      </c>
      <c r="D5237" s="905" t="s">
        <v>11838</v>
      </c>
    </row>
    <row r="5238" spans="1:4" ht="16.5">
      <c r="A5238" s="663" t="s">
        <v>11453</v>
      </c>
      <c r="B5238" t="s">
        <v>11826</v>
      </c>
      <c r="C5238" s="900" t="s">
        <v>11837</v>
      </c>
      <c r="D5238" s="905" t="s">
        <v>11838</v>
      </c>
    </row>
    <row r="5239" spans="1:4" ht="16.5">
      <c r="A5239" s="663" t="s">
        <v>2011</v>
      </c>
      <c r="B5239" t="s">
        <v>11826</v>
      </c>
      <c r="C5239" s="900" t="s">
        <v>11837</v>
      </c>
      <c r="D5239" s="905" t="s">
        <v>11838</v>
      </c>
    </row>
    <row r="5240" spans="1:4" ht="16.5">
      <c r="A5240" s="663" t="s">
        <v>2021</v>
      </c>
      <c r="B5240" t="s">
        <v>11826</v>
      </c>
      <c r="C5240" s="900" t="s">
        <v>11837</v>
      </c>
      <c r="D5240" s="905" t="s">
        <v>11838</v>
      </c>
    </row>
    <row r="5241" spans="1:4" ht="16.5">
      <c r="A5241" s="663" t="s">
        <v>2013</v>
      </c>
      <c r="B5241" t="s">
        <v>11826</v>
      </c>
      <c r="C5241" s="900" t="s">
        <v>11837</v>
      </c>
      <c r="D5241" s="905" t="s">
        <v>11838</v>
      </c>
    </row>
    <row r="5242" spans="1:4" ht="16.5">
      <c r="A5242" s="663" t="s">
        <v>2017</v>
      </c>
      <c r="B5242" t="s">
        <v>11826</v>
      </c>
      <c r="C5242" s="900" t="s">
        <v>11837</v>
      </c>
      <c r="D5242" s="905" t="s">
        <v>11838</v>
      </c>
    </row>
    <row r="5243" spans="1:4" ht="16.5">
      <c r="A5243" s="663" t="s">
        <v>11455</v>
      </c>
      <c r="B5243" t="s">
        <v>11826</v>
      </c>
      <c r="C5243" s="900" t="s">
        <v>11837</v>
      </c>
      <c r="D5243" s="905" t="s">
        <v>11838</v>
      </c>
    </row>
    <row r="5244" spans="1:4" ht="16.5">
      <c r="A5244" s="663" t="s">
        <v>2019</v>
      </c>
      <c r="B5244" t="s">
        <v>11826</v>
      </c>
      <c r="C5244" s="900" t="s">
        <v>11837</v>
      </c>
      <c r="D5244" s="905" t="s">
        <v>11838</v>
      </c>
    </row>
    <row r="5245" spans="1:4" ht="16.5">
      <c r="A5245" s="663" t="s">
        <v>2015</v>
      </c>
      <c r="B5245" t="s">
        <v>11826</v>
      </c>
      <c r="C5245" s="900" t="s">
        <v>11837</v>
      </c>
      <c r="D5245" s="905" t="s">
        <v>11838</v>
      </c>
    </row>
    <row r="5246" spans="1:4" ht="16.5">
      <c r="A5246" s="663" t="s">
        <v>2108</v>
      </c>
      <c r="B5246" t="s">
        <v>11826</v>
      </c>
      <c r="C5246" s="900" t="s">
        <v>11837</v>
      </c>
      <c r="D5246" s="905" t="s">
        <v>11838</v>
      </c>
    </row>
    <row r="5247" spans="1:4" ht="16.5">
      <c r="A5247" s="663" t="s">
        <v>1914</v>
      </c>
      <c r="B5247" t="s">
        <v>11826</v>
      </c>
      <c r="C5247" s="900" t="s">
        <v>11837</v>
      </c>
      <c r="D5247" s="905" t="s">
        <v>11838</v>
      </c>
    </row>
    <row r="5248" spans="1:4" ht="16.5">
      <c r="A5248" s="663" t="s">
        <v>2009</v>
      </c>
      <c r="B5248" t="s">
        <v>11826</v>
      </c>
      <c r="C5248" s="900" t="s">
        <v>11837</v>
      </c>
      <c r="D5248" s="905" t="s">
        <v>11838</v>
      </c>
    </row>
    <row r="5249" spans="1:4" ht="16.5">
      <c r="A5249" s="663" t="s">
        <v>11457</v>
      </c>
      <c r="B5249" t="s">
        <v>11826</v>
      </c>
      <c r="C5249" s="900" t="s">
        <v>11837</v>
      </c>
      <c r="D5249" s="905" t="s">
        <v>11838</v>
      </c>
    </row>
    <row r="5250" spans="1:4" ht="16.5">
      <c r="A5250" s="663" t="s">
        <v>1960</v>
      </c>
      <c r="B5250" t="s">
        <v>11826</v>
      </c>
      <c r="C5250" s="900" t="s">
        <v>11837</v>
      </c>
      <c r="D5250" s="905" t="s">
        <v>11838</v>
      </c>
    </row>
    <row r="5251" spans="1:4" ht="16.5">
      <c r="A5251" s="663" t="s">
        <v>1839</v>
      </c>
      <c r="B5251" t="s">
        <v>11826</v>
      </c>
      <c r="C5251" s="900" t="s">
        <v>11837</v>
      </c>
      <c r="D5251" s="905" t="s">
        <v>11838</v>
      </c>
    </row>
    <row r="5252" spans="1:4" ht="16.5">
      <c r="A5252" s="663" t="s">
        <v>1918</v>
      </c>
      <c r="B5252" t="s">
        <v>11826</v>
      </c>
      <c r="C5252" s="900" t="s">
        <v>11837</v>
      </c>
      <c r="D5252" s="905" t="s">
        <v>11838</v>
      </c>
    </row>
    <row r="5253" spans="1:4" ht="16.5">
      <c r="A5253" s="663" t="s">
        <v>1994</v>
      </c>
      <c r="B5253" t="s">
        <v>11826</v>
      </c>
      <c r="C5253" s="900" t="s">
        <v>11837</v>
      </c>
      <c r="D5253" s="905" t="s">
        <v>11838</v>
      </c>
    </row>
    <row r="5254" spans="1:4" ht="16.5">
      <c r="A5254" s="663" t="s">
        <v>11459</v>
      </c>
      <c r="B5254" t="s">
        <v>11826</v>
      </c>
      <c r="C5254" s="900" t="s">
        <v>11837</v>
      </c>
      <c r="D5254" s="905" t="s">
        <v>11838</v>
      </c>
    </row>
    <row r="5255" spans="1:4" ht="16.5">
      <c r="A5255" s="663" t="s">
        <v>11461</v>
      </c>
      <c r="B5255" t="s">
        <v>11826</v>
      </c>
      <c r="C5255" s="900" t="s">
        <v>11837</v>
      </c>
      <c r="D5255" s="905" t="s">
        <v>11838</v>
      </c>
    </row>
    <row r="5256" spans="1:4" ht="16.5">
      <c r="A5256" s="663" t="s">
        <v>11463</v>
      </c>
      <c r="B5256" t="s">
        <v>11826</v>
      </c>
      <c r="C5256" s="900" t="s">
        <v>11837</v>
      </c>
      <c r="D5256" s="905" t="s">
        <v>11838</v>
      </c>
    </row>
    <row r="5257" spans="1:4" ht="16.5">
      <c r="A5257" s="663" t="s">
        <v>2121</v>
      </c>
      <c r="B5257" t="s">
        <v>11826</v>
      </c>
      <c r="C5257" s="900" t="s">
        <v>11837</v>
      </c>
      <c r="D5257" s="905" t="s">
        <v>11838</v>
      </c>
    </row>
    <row r="5258" spans="1:4" ht="16.5">
      <c r="A5258" s="663" t="s">
        <v>11465</v>
      </c>
      <c r="B5258" t="s">
        <v>11826</v>
      </c>
      <c r="C5258" s="900" t="s">
        <v>11837</v>
      </c>
      <c r="D5258" s="905" t="s">
        <v>11838</v>
      </c>
    </row>
    <row r="5259" spans="1:4" ht="16.5">
      <c r="A5259" s="663" t="s">
        <v>11467</v>
      </c>
      <c r="B5259" t="s">
        <v>11826</v>
      </c>
      <c r="C5259" s="900" t="s">
        <v>11837</v>
      </c>
      <c r="D5259" s="905" t="s">
        <v>11838</v>
      </c>
    </row>
    <row r="5260" spans="1:4" ht="16.5">
      <c r="A5260" s="663" t="s">
        <v>2109</v>
      </c>
      <c r="B5260" t="s">
        <v>11826</v>
      </c>
      <c r="C5260" s="900" t="s">
        <v>11837</v>
      </c>
      <c r="D5260" s="905" t="s">
        <v>11838</v>
      </c>
    </row>
    <row r="5261" spans="1:4" ht="16.5">
      <c r="A5261" s="663" t="s">
        <v>11469</v>
      </c>
      <c r="B5261" t="s">
        <v>11826</v>
      </c>
      <c r="C5261" s="900" t="s">
        <v>11837</v>
      </c>
      <c r="D5261" s="905" t="s">
        <v>11838</v>
      </c>
    </row>
    <row r="5262" spans="1:4" ht="16.5">
      <c r="A5262" s="663" t="s">
        <v>1922</v>
      </c>
      <c r="B5262" t="s">
        <v>11826</v>
      </c>
      <c r="C5262" s="900" t="s">
        <v>11837</v>
      </c>
      <c r="D5262" s="905" t="s">
        <v>11838</v>
      </c>
    </row>
    <row r="5263" spans="1:4" ht="16.5">
      <c r="A5263" s="663" t="s">
        <v>1964</v>
      </c>
      <c r="B5263" t="s">
        <v>11826</v>
      </c>
      <c r="C5263" s="900" t="s">
        <v>11837</v>
      </c>
      <c r="D5263" s="905" t="s">
        <v>11838</v>
      </c>
    </row>
    <row r="5264" spans="1:4" ht="16.5">
      <c r="A5264" s="663" t="s">
        <v>2111</v>
      </c>
      <c r="B5264" t="s">
        <v>11826</v>
      </c>
      <c r="C5264" s="900" t="s">
        <v>11837</v>
      </c>
      <c r="D5264" s="905" t="s">
        <v>11838</v>
      </c>
    </row>
    <row r="5265" spans="1:4" ht="16.5">
      <c r="A5265" s="663" t="s">
        <v>11471</v>
      </c>
      <c r="B5265" t="s">
        <v>11826</v>
      </c>
      <c r="C5265" s="900" t="s">
        <v>11837</v>
      </c>
      <c r="D5265" s="905" t="s">
        <v>11838</v>
      </c>
    </row>
    <row r="5266" spans="1:4" ht="16.5">
      <c r="A5266" s="663" t="s">
        <v>11473</v>
      </c>
      <c r="B5266" t="s">
        <v>11826</v>
      </c>
      <c r="C5266" s="900" t="s">
        <v>11837</v>
      </c>
      <c r="D5266" s="905" t="s">
        <v>11838</v>
      </c>
    </row>
    <row r="5267" spans="1:4" ht="16.5">
      <c r="A5267" s="663" t="s">
        <v>2113</v>
      </c>
      <c r="B5267" t="s">
        <v>11826</v>
      </c>
      <c r="C5267" s="900" t="s">
        <v>11837</v>
      </c>
      <c r="D5267" s="905" t="s">
        <v>11838</v>
      </c>
    </row>
    <row r="5268" spans="1:4" ht="16.5">
      <c r="A5268" s="663" t="s">
        <v>11475</v>
      </c>
      <c r="B5268" t="s">
        <v>11826</v>
      </c>
      <c r="C5268" s="900" t="s">
        <v>11837</v>
      </c>
      <c r="D5268" s="905" t="s">
        <v>11838</v>
      </c>
    </row>
    <row r="5269" spans="1:4" ht="16.5">
      <c r="A5269" s="663" t="s">
        <v>11477</v>
      </c>
      <c r="B5269" t="s">
        <v>11826</v>
      </c>
      <c r="C5269" s="900" t="s">
        <v>11837</v>
      </c>
      <c r="D5269" s="905" t="s">
        <v>11838</v>
      </c>
    </row>
    <row r="5270" spans="1:4" ht="16.5">
      <c r="A5270" s="663" t="s">
        <v>11479</v>
      </c>
      <c r="B5270" t="s">
        <v>11826</v>
      </c>
      <c r="C5270" s="900" t="s">
        <v>11837</v>
      </c>
      <c r="D5270" s="905" t="s">
        <v>11838</v>
      </c>
    </row>
    <row r="5271" spans="1:4" ht="16.5">
      <c r="A5271" s="663" t="s">
        <v>11481</v>
      </c>
      <c r="B5271" t="s">
        <v>11826</v>
      </c>
      <c r="C5271" s="900" t="s">
        <v>11837</v>
      </c>
      <c r="D5271" s="905" t="s">
        <v>11838</v>
      </c>
    </row>
    <row r="5272" spans="1:4" ht="16.5">
      <c r="A5272" s="663" t="s">
        <v>2115</v>
      </c>
      <c r="B5272" t="s">
        <v>11826</v>
      </c>
      <c r="C5272" s="900" t="s">
        <v>11837</v>
      </c>
      <c r="D5272" s="905" t="s">
        <v>11838</v>
      </c>
    </row>
    <row r="5273" spans="1:4" ht="16.5">
      <c r="A5273" s="663" t="s">
        <v>2117</v>
      </c>
      <c r="B5273" t="s">
        <v>11826</v>
      </c>
      <c r="C5273" s="900" t="s">
        <v>11837</v>
      </c>
      <c r="D5273" s="905" t="s">
        <v>11838</v>
      </c>
    </row>
    <row r="5274" spans="1:4" ht="16.5">
      <c r="A5274" s="663" t="s">
        <v>11483</v>
      </c>
      <c r="B5274" t="s">
        <v>11826</v>
      </c>
      <c r="C5274" s="900" t="s">
        <v>11837</v>
      </c>
      <c r="D5274" s="905" t="s">
        <v>11838</v>
      </c>
    </row>
    <row r="5275" spans="1:4" ht="16.5">
      <c r="A5275" s="663" t="s">
        <v>11485</v>
      </c>
      <c r="B5275" t="s">
        <v>11826</v>
      </c>
      <c r="C5275" s="900" t="s">
        <v>11837</v>
      </c>
      <c r="D5275" s="905" t="s">
        <v>11838</v>
      </c>
    </row>
    <row r="5276" spans="1:4" ht="16.5">
      <c r="A5276" s="663" t="s">
        <v>11487</v>
      </c>
      <c r="B5276" t="s">
        <v>11826</v>
      </c>
      <c r="C5276" s="900" t="s">
        <v>11837</v>
      </c>
      <c r="D5276" s="905" t="s">
        <v>11838</v>
      </c>
    </row>
    <row r="5277" spans="1:4" ht="16.5">
      <c r="A5277" s="663" t="s">
        <v>11489</v>
      </c>
      <c r="B5277" t="s">
        <v>11826</v>
      </c>
      <c r="C5277" s="900" t="s">
        <v>11837</v>
      </c>
      <c r="D5277" s="905" t="s">
        <v>11838</v>
      </c>
    </row>
    <row r="5278" spans="1:4" ht="16.5">
      <c r="A5278" s="663" t="s">
        <v>11491</v>
      </c>
      <c r="B5278" t="s">
        <v>11826</v>
      </c>
      <c r="C5278" s="900" t="s">
        <v>11837</v>
      </c>
      <c r="D5278" s="905" t="s">
        <v>11838</v>
      </c>
    </row>
    <row r="5279" spans="1:4" ht="16.5">
      <c r="A5279" s="663" t="s">
        <v>2100</v>
      </c>
      <c r="B5279" t="s">
        <v>11826</v>
      </c>
      <c r="C5279" s="900" t="s">
        <v>11837</v>
      </c>
      <c r="D5279" s="905" t="s">
        <v>11838</v>
      </c>
    </row>
    <row r="5280" spans="1:4" ht="16.5">
      <c r="A5280" s="663" t="s">
        <v>11493</v>
      </c>
      <c r="B5280" t="s">
        <v>11826</v>
      </c>
      <c r="C5280" s="900" t="s">
        <v>11837</v>
      </c>
      <c r="D5280" s="905" t="s">
        <v>11838</v>
      </c>
    </row>
    <row r="5281" spans="1:4" ht="16.5">
      <c r="A5281" s="663" t="s">
        <v>2102</v>
      </c>
      <c r="B5281" t="s">
        <v>11826</v>
      </c>
      <c r="C5281" s="900" t="s">
        <v>11837</v>
      </c>
      <c r="D5281" s="905" t="s">
        <v>11838</v>
      </c>
    </row>
    <row r="5282" spans="1:4" ht="16.5">
      <c r="A5282" s="663" t="s">
        <v>2104</v>
      </c>
      <c r="B5282" t="s">
        <v>11826</v>
      </c>
      <c r="C5282" s="900" t="s">
        <v>11837</v>
      </c>
      <c r="D5282" s="905" t="s">
        <v>11838</v>
      </c>
    </row>
    <row r="5283" spans="1:4" ht="16.5">
      <c r="A5283" s="663" t="s">
        <v>2106</v>
      </c>
      <c r="B5283" t="s">
        <v>11826</v>
      </c>
      <c r="C5283" s="900" t="s">
        <v>11837</v>
      </c>
      <c r="D5283" s="905" t="s">
        <v>11838</v>
      </c>
    </row>
    <row r="5284" spans="1:4" ht="16.5">
      <c r="A5284" s="663" t="s">
        <v>11495</v>
      </c>
      <c r="B5284" t="s">
        <v>11826</v>
      </c>
      <c r="C5284" s="900" t="s">
        <v>11837</v>
      </c>
      <c r="D5284" s="905" t="s">
        <v>11838</v>
      </c>
    </row>
    <row r="5285" spans="1:4" ht="16.5">
      <c r="A5285" s="663" t="s">
        <v>11497</v>
      </c>
      <c r="B5285" t="s">
        <v>11826</v>
      </c>
      <c r="C5285" s="900" t="s">
        <v>11837</v>
      </c>
      <c r="D5285" s="905" t="s">
        <v>11838</v>
      </c>
    </row>
    <row r="5286" spans="1:4" ht="16.5">
      <c r="A5286" s="663" t="s">
        <v>11499</v>
      </c>
      <c r="B5286" t="s">
        <v>11826</v>
      </c>
      <c r="C5286" s="900" t="s">
        <v>11837</v>
      </c>
      <c r="D5286" s="905" t="s">
        <v>11838</v>
      </c>
    </row>
    <row r="5287" spans="1:4" ht="16.5">
      <c r="A5287" s="663" t="s">
        <v>11501</v>
      </c>
      <c r="B5287" t="s">
        <v>11826</v>
      </c>
      <c r="C5287" s="900" t="s">
        <v>11837</v>
      </c>
      <c r="D5287" s="905" t="s">
        <v>11838</v>
      </c>
    </row>
    <row r="5288" spans="1:4" ht="16.5">
      <c r="A5288" s="663" t="s">
        <v>1996</v>
      </c>
      <c r="B5288" t="s">
        <v>11826</v>
      </c>
      <c r="C5288" s="900" t="s">
        <v>11837</v>
      </c>
      <c r="D5288" s="905" t="s">
        <v>11838</v>
      </c>
    </row>
    <row r="5289" spans="1:4" ht="16.5">
      <c r="A5289" s="663" t="s">
        <v>11503</v>
      </c>
      <c r="B5289" t="s">
        <v>11826</v>
      </c>
      <c r="C5289" s="900" t="s">
        <v>11837</v>
      </c>
      <c r="D5289" s="905" t="s">
        <v>11838</v>
      </c>
    </row>
    <row r="5290" spans="1:4" ht="16.5">
      <c r="A5290" s="663" t="s">
        <v>11505</v>
      </c>
      <c r="B5290" t="s">
        <v>11826</v>
      </c>
      <c r="C5290" s="900" t="s">
        <v>11837</v>
      </c>
      <c r="D5290" s="905" t="s">
        <v>11838</v>
      </c>
    </row>
    <row r="5291" spans="1:4" ht="16.5">
      <c r="A5291" s="663" t="s">
        <v>1688</v>
      </c>
      <c r="B5291" t="s">
        <v>11826</v>
      </c>
      <c r="C5291" s="900" t="s">
        <v>11837</v>
      </c>
      <c r="D5291" s="905" t="s">
        <v>11838</v>
      </c>
    </row>
    <row r="5292" spans="1:4" ht="16.5">
      <c r="A5292" s="663" t="s">
        <v>11508</v>
      </c>
      <c r="B5292" t="s">
        <v>11826</v>
      </c>
      <c r="C5292" s="900" t="s">
        <v>11837</v>
      </c>
      <c r="D5292" s="905" t="s">
        <v>11838</v>
      </c>
    </row>
    <row r="5293" spans="1:4" ht="16.5">
      <c r="A5293" s="663" t="s">
        <v>1695</v>
      </c>
      <c r="B5293" t="s">
        <v>11826</v>
      </c>
      <c r="C5293" s="900" t="s">
        <v>11837</v>
      </c>
      <c r="D5293" s="905" t="s">
        <v>11838</v>
      </c>
    </row>
    <row r="5294" spans="1:4" ht="16.5">
      <c r="A5294" s="663" t="s">
        <v>1699</v>
      </c>
      <c r="B5294" t="s">
        <v>11826</v>
      </c>
      <c r="C5294" s="900" t="s">
        <v>11837</v>
      </c>
      <c r="D5294" s="905" t="s">
        <v>11838</v>
      </c>
    </row>
    <row r="5295" spans="1:4" ht="16.5">
      <c r="A5295" s="663" t="s">
        <v>11510</v>
      </c>
      <c r="B5295" t="s">
        <v>11826</v>
      </c>
      <c r="C5295" s="900" t="s">
        <v>11837</v>
      </c>
      <c r="D5295" s="905" t="s">
        <v>11838</v>
      </c>
    </row>
    <row r="5296" spans="1:4" ht="16.5">
      <c r="A5296" s="663" t="s">
        <v>11512</v>
      </c>
      <c r="B5296" t="s">
        <v>11826</v>
      </c>
      <c r="C5296" s="900" t="s">
        <v>11837</v>
      </c>
      <c r="D5296" s="905" t="s">
        <v>11838</v>
      </c>
    </row>
    <row r="5297" spans="1:4" ht="16.5">
      <c r="A5297" s="663" t="s">
        <v>11514</v>
      </c>
      <c r="B5297" t="s">
        <v>11826</v>
      </c>
      <c r="C5297" s="900" t="s">
        <v>11837</v>
      </c>
      <c r="D5297" s="905" t="s">
        <v>11838</v>
      </c>
    </row>
    <row r="5298" spans="1:4" ht="16.5">
      <c r="A5298" s="663" t="s">
        <v>11516</v>
      </c>
      <c r="B5298" t="s">
        <v>11826</v>
      </c>
      <c r="C5298" s="900" t="s">
        <v>11837</v>
      </c>
      <c r="D5298" s="905" t="s">
        <v>11838</v>
      </c>
    </row>
    <row r="5299" spans="1:4" ht="16.5">
      <c r="A5299" s="663" t="s">
        <v>11518</v>
      </c>
      <c r="B5299" t="s">
        <v>11826</v>
      </c>
      <c r="C5299" s="900" t="s">
        <v>11837</v>
      </c>
      <c r="D5299" s="905" t="s">
        <v>11838</v>
      </c>
    </row>
    <row r="5300" spans="1:4" ht="16.5">
      <c r="A5300" s="663" t="s">
        <v>11520</v>
      </c>
      <c r="B5300" t="s">
        <v>11826</v>
      </c>
      <c r="C5300" s="900" t="s">
        <v>11837</v>
      </c>
      <c r="D5300" s="905" t="s">
        <v>11838</v>
      </c>
    </row>
    <row r="5301" spans="1:4" ht="16.5">
      <c r="A5301" s="663" t="s">
        <v>11522</v>
      </c>
      <c r="B5301" t="s">
        <v>11826</v>
      </c>
      <c r="C5301" s="900" t="s">
        <v>11837</v>
      </c>
      <c r="D5301" s="905" t="s">
        <v>11838</v>
      </c>
    </row>
    <row r="5302" spans="1:4" ht="16.5">
      <c r="A5302" s="663" t="s">
        <v>11524</v>
      </c>
      <c r="B5302" t="s">
        <v>11826</v>
      </c>
      <c r="C5302" s="900" t="s">
        <v>11837</v>
      </c>
      <c r="D5302" s="905" t="s">
        <v>11838</v>
      </c>
    </row>
    <row r="5303" spans="1:4" ht="16.5">
      <c r="A5303" s="663" t="s">
        <v>11526</v>
      </c>
      <c r="B5303" t="s">
        <v>11826</v>
      </c>
      <c r="C5303" s="900" t="s">
        <v>11837</v>
      </c>
      <c r="D5303" s="905" t="s">
        <v>11838</v>
      </c>
    </row>
    <row r="5304" spans="1:4" ht="16.5">
      <c r="A5304" s="663" t="s">
        <v>11528</v>
      </c>
      <c r="B5304" t="s">
        <v>11826</v>
      </c>
      <c r="C5304" s="900" t="s">
        <v>11837</v>
      </c>
      <c r="D5304" s="905" t="s">
        <v>11838</v>
      </c>
    </row>
    <row r="5305" spans="1:4" ht="16.5">
      <c r="A5305" s="663" t="s">
        <v>11530</v>
      </c>
      <c r="B5305" t="s">
        <v>11826</v>
      </c>
      <c r="C5305" s="900" t="s">
        <v>11837</v>
      </c>
      <c r="D5305" s="905" t="s">
        <v>11838</v>
      </c>
    </row>
    <row r="5306" spans="1:4" ht="16.5">
      <c r="A5306" s="663" t="s">
        <v>11532</v>
      </c>
      <c r="B5306" t="s">
        <v>11826</v>
      </c>
      <c r="C5306" s="900" t="s">
        <v>11837</v>
      </c>
      <c r="D5306" s="905" t="s">
        <v>11838</v>
      </c>
    </row>
    <row r="5307" spans="1:4" ht="16.5">
      <c r="A5307" s="663" t="s">
        <v>11534</v>
      </c>
      <c r="B5307" t="s">
        <v>11826</v>
      </c>
      <c r="C5307" s="900" t="s">
        <v>11837</v>
      </c>
      <c r="D5307" s="905" t="s">
        <v>11838</v>
      </c>
    </row>
    <row r="5308" spans="1:4" ht="16.5">
      <c r="A5308" s="663" t="s">
        <v>11536</v>
      </c>
      <c r="B5308" t="s">
        <v>11826</v>
      </c>
      <c r="C5308" s="900" t="s">
        <v>11837</v>
      </c>
      <c r="D5308" s="905" t="s">
        <v>11838</v>
      </c>
    </row>
    <row r="5309" spans="1:4" ht="16.5">
      <c r="A5309" s="663" t="s">
        <v>11538</v>
      </c>
      <c r="B5309" t="s">
        <v>11826</v>
      </c>
      <c r="C5309" s="900" t="s">
        <v>11837</v>
      </c>
      <c r="D5309" s="905" t="s">
        <v>11838</v>
      </c>
    </row>
    <row r="5310" spans="1:4" ht="16.5">
      <c r="A5310" s="663" t="s">
        <v>11540</v>
      </c>
      <c r="B5310" t="s">
        <v>11826</v>
      </c>
      <c r="C5310" s="900" t="s">
        <v>11837</v>
      </c>
      <c r="D5310" s="905" t="s">
        <v>11838</v>
      </c>
    </row>
    <row r="5311" spans="1:4" ht="16.5">
      <c r="A5311" s="663" t="s">
        <v>11542</v>
      </c>
      <c r="B5311" t="s">
        <v>11826</v>
      </c>
      <c r="C5311" s="900" t="s">
        <v>11837</v>
      </c>
      <c r="D5311" s="905" t="s">
        <v>11838</v>
      </c>
    </row>
    <row r="5312" spans="1:4" ht="16.5">
      <c r="A5312" s="663" t="s">
        <v>11544</v>
      </c>
      <c r="B5312" t="s">
        <v>11826</v>
      </c>
      <c r="C5312" s="900" t="s">
        <v>11837</v>
      </c>
      <c r="D5312" s="905" t="s">
        <v>11838</v>
      </c>
    </row>
    <row r="5313" spans="1:4" ht="16.5">
      <c r="A5313" s="663" t="s">
        <v>11546</v>
      </c>
      <c r="B5313" t="s">
        <v>11826</v>
      </c>
      <c r="C5313" s="900" t="s">
        <v>11837</v>
      </c>
      <c r="D5313" s="905" t="s">
        <v>11838</v>
      </c>
    </row>
    <row r="5314" spans="1:4" ht="16.5">
      <c r="A5314" s="663" t="s">
        <v>11548</v>
      </c>
      <c r="B5314" t="s">
        <v>11826</v>
      </c>
      <c r="C5314" s="900" t="s">
        <v>11837</v>
      </c>
      <c r="D5314" s="905" t="s">
        <v>11838</v>
      </c>
    </row>
    <row r="5315" spans="1:4" ht="16.5">
      <c r="A5315" s="663" t="s">
        <v>11552</v>
      </c>
      <c r="B5315" t="s">
        <v>11826</v>
      </c>
      <c r="C5315" s="900" t="s">
        <v>11837</v>
      </c>
      <c r="D5315" s="905" t="s">
        <v>11838</v>
      </c>
    </row>
    <row r="5316" spans="1:4" ht="16.5">
      <c r="A5316" s="663" t="s">
        <v>11554</v>
      </c>
      <c r="B5316" t="s">
        <v>11826</v>
      </c>
      <c r="C5316" s="900" t="s">
        <v>11837</v>
      </c>
      <c r="D5316" s="905" t="s">
        <v>11838</v>
      </c>
    </row>
    <row r="5317" spans="1:4" ht="16.5">
      <c r="A5317" s="663" t="s">
        <v>11556</v>
      </c>
      <c r="B5317" t="s">
        <v>11826</v>
      </c>
      <c r="C5317" s="900" t="s">
        <v>11837</v>
      </c>
      <c r="D5317" s="905" t="s">
        <v>11838</v>
      </c>
    </row>
    <row r="5318" spans="1:4" ht="16.5">
      <c r="A5318" s="663" t="s">
        <v>11558</v>
      </c>
      <c r="B5318" t="s">
        <v>11826</v>
      </c>
      <c r="C5318" s="900" t="s">
        <v>11837</v>
      </c>
      <c r="D5318" s="905" t="s">
        <v>11838</v>
      </c>
    </row>
    <row r="5319" spans="1:4" ht="16.5">
      <c r="A5319" s="663" t="s">
        <v>1893</v>
      </c>
      <c r="B5319" t="s">
        <v>11826</v>
      </c>
      <c r="C5319" s="900" t="s">
        <v>11837</v>
      </c>
      <c r="D5319" s="905" t="s">
        <v>11838</v>
      </c>
    </row>
    <row r="5320" spans="1:4" ht="16.5">
      <c r="A5320" s="663" t="s">
        <v>11560</v>
      </c>
      <c r="B5320" t="s">
        <v>11826</v>
      </c>
      <c r="C5320" s="900" t="s">
        <v>11837</v>
      </c>
      <c r="D5320" s="905" t="s">
        <v>11838</v>
      </c>
    </row>
    <row r="5321" spans="1:4" ht="16.5">
      <c r="A5321" s="663" t="s">
        <v>1895</v>
      </c>
      <c r="B5321" t="s">
        <v>11826</v>
      </c>
      <c r="C5321" s="900" t="s">
        <v>11837</v>
      </c>
      <c r="D5321" s="905" t="s">
        <v>11838</v>
      </c>
    </row>
    <row r="5322" spans="1:4" ht="16.5">
      <c r="A5322" s="663" t="s">
        <v>11562</v>
      </c>
      <c r="B5322" t="s">
        <v>11826</v>
      </c>
      <c r="C5322" s="900" t="s">
        <v>11837</v>
      </c>
      <c r="D5322" s="905" t="s">
        <v>11838</v>
      </c>
    </row>
    <row r="5323" spans="1:4" ht="16.5">
      <c r="A5323" s="663" t="s">
        <v>1889</v>
      </c>
      <c r="B5323" t="s">
        <v>11826</v>
      </c>
      <c r="C5323" s="900" t="s">
        <v>11837</v>
      </c>
      <c r="D5323" s="905" t="s">
        <v>11838</v>
      </c>
    </row>
    <row r="5324" spans="1:4" ht="16.5">
      <c r="A5324" s="663" t="s">
        <v>11564</v>
      </c>
      <c r="B5324" t="s">
        <v>11826</v>
      </c>
      <c r="C5324" s="900" t="s">
        <v>11837</v>
      </c>
      <c r="D5324" s="905" t="s">
        <v>11838</v>
      </c>
    </row>
    <row r="5325" spans="1:4" ht="16.5">
      <c r="A5325" s="663" t="s">
        <v>11566</v>
      </c>
      <c r="B5325" t="s">
        <v>11826</v>
      </c>
      <c r="C5325" s="900" t="s">
        <v>11837</v>
      </c>
      <c r="D5325" s="905" t="s">
        <v>11838</v>
      </c>
    </row>
    <row r="5326" spans="1:4" ht="16.5">
      <c r="A5326" s="663" t="s">
        <v>11568</v>
      </c>
      <c r="B5326" t="s">
        <v>11826</v>
      </c>
      <c r="C5326" s="900" t="s">
        <v>11837</v>
      </c>
      <c r="D5326" s="905" t="s">
        <v>11838</v>
      </c>
    </row>
    <row r="5327" spans="1:4" ht="16.5">
      <c r="A5327" s="663" t="s">
        <v>11570</v>
      </c>
      <c r="B5327" t="s">
        <v>11826</v>
      </c>
      <c r="C5327" s="900" t="s">
        <v>11837</v>
      </c>
      <c r="D5327" s="905" t="s">
        <v>11838</v>
      </c>
    </row>
    <row r="5328" spans="1:4" ht="16.5">
      <c r="A5328" s="663" t="s">
        <v>11572</v>
      </c>
      <c r="B5328" t="s">
        <v>11826</v>
      </c>
      <c r="C5328" s="900" t="s">
        <v>11837</v>
      </c>
      <c r="D5328" s="905" t="s">
        <v>11838</v>
      </c>
    </row>
    <row r="5329" spans="1:4" ht="16.5">
      <c r="A5329" s="663" t="s">
        <v>11574</v>
      </c>
      <c r="B5329" t="s">
        <v>11826</v>
      </c>
      <c r="C5329" s="900" t="s">
        <v>11837</v>
      </c>
      <c r="D5329" s="905" t="s">
        <v>11838</v>
      </c>
    </row>
    <row r="5330" spans="1:4" ht="16.5">
      <c r="A5330" s="663" t="s">
        <v>1897</v>
      </c>
      <c r="B5330" t="s">
        <v>11826</v>
      </c>
      <c r="C5330" s="900" t="s">
        <v>11837</v>
      </c>
      <c r="D5330" s="905" t="s">
        <v>11838</v>
      </c>
    </row>
    <row r="5331" spans="1:4" ht="16.5">
      <c r="A5331" s="663" t="s">
        <v>1766</v>
      </c>
      <c r="B5331" t="s">
        <v>11826</v>
      </c>
      <c r="C5331" s="900" t="s">
        <v>11837</v>
      </c>
      <c r="D5331" s="905" t="s">
        <v>11838</v>
      </c>
    </row>
    <row r="5332" spans="1:4" ht="16.5">
      <c r="A5332" s="663" t="s">
        <v>1810</v>
      </c>
      <c r="B5332" t="s">
        <v>11826</v>
      </c>
      <c r="C5332" s="900" t="s">
        <v>11837</v>
      </c>
      <c r="D5332" s="905" t="s">
        <v>11838</v>
      </c>
    </row>
    <row r="5333" spans="1:4" ht="16.5">
      <c r="A5333" s="663" t="s">
        <v>11578</v>
      </c>
      <c r="B5333" t="s">
        <v>11826</v>
      </c>
      <c r="C5333" s="900" t="s">
        <v>11837</v>
      </c>
      <c r="D5333" s="905" t="s">
        <v>11838</v>
      </c>
    </row>
    <row r="5334" spans="1:4" ht="16.5">
      <c r="A5334" s="663" t="s">
        <v>98</v>
      </c>
      <c r="B5334" t="s">
        <v>11826</v>
      </c>
      <c r="C5334" s="900" t="s">
        <v>11837</v>
      </c>
      <c r="D5334" s="905" t="s">
        <v>11838</v>
      </c>
    </row>
    <row r="5335" spans="1:4" ht="16.5">
      <c r="A5335" s="663" t="s">
        <v>11581</v>
      </c>
      <c r="B5335" t="s">
        <v>11826</v>
      </c>
      <c r="C5335" s="900" t="s">
        <v>11837</v>
      </c>
      <c r="D5335" s="905" t="s">
        <v>11838</v>
      </c>
    </row>
    <row r="5336" spans="1:4" ht="16.5">
      <c r="A5336" s="663" t="s">
        <v>11583</v>
      </c>
      <c r="B5336" t="s">
        <v>11826</v>
      </c>
      <c r="C5336" s="900" t="s">
        <v>11837</v>
      </c>
      <c r="D5336" s="905" t="s">
        <v>11838</v>
      </c>
    </row>
    <row r="5337" spans="1:4" ht="16.5">
      <c r="A5337" s="663" t="s">
        <v>88</v>
      </c>
      <c r="B5337" t="s">
        <v>11826</v>
      </c>
      <c r="C5337" s="900" t="s">
        <v>11837</v>
      </c>
      <c r="D5337" s="905" t="s">
        <v>11838</v>
      </c>
    </row>
    <row r="5338" spans="1:4" ht="16.5">
      <c r="A5338" s="663" t="s">
        <v>11586</v>
      </c>
      <c r="B5338" t="s">
        <v>11826</v>
      </c>
      <c r="C5338" s="900" t="s">
        <v>11837</v>
      </c>
      <c r="D5338" s="905" t="s">
        <v>11838</v>
      </c>
    </row>
    <row r="5339" spans="1:4" ht="16.5">
      <c r="A5339" s="663" t="s">
        <v>90</v>
      </c>
      <c r="B5339" t="s">
        <v>11826</v>
      </c>
      <c r="C5339" s="900" t="s">
        <v>11837</v>
      </c>
      <c r="D5339" s="905" t="s">
        <v>11838</v>
      </c>
    </row>
    <row r="5340" spans="1:4" ht="16.5">
      <c r="A5340" s="663" t="s">
        <v>11589</v>
      </c>
      <c r="B5340" t="s">
        <v>11826</v>
      </c>
      <c r="C5340" s="900" t="s">
        <v>11837</v>
      </c>
      <c r="D5340" s="905" t="s">
        <v>11838</v>
      </c>
    </row>
    <row r="5341" spans="1:4" ht="16.5">
      <c r="A5341" s="663" t="s">
        <v>92</v>
      </c>
      <c r="B5341" t="s">
        <v>11826</v>
      </c>
      <c r="C5341" s="900" t="s">
        <v>11837</v>
      </c>
      <c r="D5341" s="905" t="s">
        <v>11838</v>
      </c>
    </row>
    <row r="5342" spans="1:4" ht="16.5">
      <c r="A5342" s="663" t="s">
        <v>11592</v>
      </c>
      <c r="B5342" t="s">
        <v>11826</v>
      </c>
      <c r="C5342" s="900" t="s">
        <v>11837</v>
      </c>
      <c r="D5342" s="905" t="s">
        <v>11838</v>
      </c>
    </row>
    <row r="5343" spans="1:4" ht="16.5">
      <c r="A5343" s="663" t="s">
        <v>94</v>
      </c>
      <c r="B5343" t="s">
        <v>11826</v>
      </c>
      <c r="C5343" s="900" t="s">
        <v>11837</v>
      </c>
      <c r="D5343" s="905" t="s">
        <v>11838</v>
      </c>
    </row>
    <row r="5344" spans="1:4" ht="16.5">
      <c r="A5344" s="663" t="s">
        <v>11595</v>
      </c>
      <c r="B5344" t="s">
        <v>11826</v>
      </c>
      <c r="C5344" s="900" t="s">
        <v>11837</v>
      </c>
      <c r="D5344" s="905" t="s">
        <v>11838</v>
      </c>
    </row>
    <row r="5345" spans="1:4" ht="16.5">
      <c r="A5345" s="663" t="s">
        <v>96</v>
      </c>
      <c r="B5345" t="s">
        <v>11826</v>
      </c>
      <c r="C5345" s="900" t="s">
        <v>11837</v>
      </c>
      <c r="D5345" s="905" t="s">
        <v>11838</v>
      </c>
    </row>
    <row r="5346" spans="1:4" ht="16.5">
      <c r="A5346" s="663" t="s">
        <v>11598</v>
      </c>
      <c r="B5346" t="s">
        <v>11826</v>
      </c>
      <c r="C5346" s="900" t="s">
        <v>11837</v>
      </c>
      <c r="D5346" s="905" t="s">
        <v>11838</v>
      </c>
    </row>
    <row r="5347" spans="1:4" ht="16.5">
      <c r="A5347" s="663" t="s">
        <v>11600</v>
      </c>
      <c r="B5347" t="s">
        <v>11826</v>
      </c>
      <c r="C5347" s="900" t="s">
        <v>11837</v>
      </c>
      <c r="D5347" s="905" t="s">
        <v>11838</v>
      </c>
    </row>
    <row r="5348" spans="1:4" ht="16.5">
      <c r="A5348" s="663" t="s">
        <v>112</v>
      </c>
      <c r="B5348" t="s">
        <v>11826</v>
      </c>
      <c r="C5348" s="900" t="s">
        <v>11837</v>
      </c>
      <c r="D5348" s="905" t="s">
        <v>11838</v>
      </c>
    </row>
    <row r="5349" spans="1:4" ht="16.5">
      <c r="A5349" s="663" t="s">
        <v>125</v>
      </c>
      <c r="B5349" t="s">
        <v>11826</v>
      </c>
      <c r="C5349" s="900" t="s">
        <v>11837</v>
      </c>
      <c r="D5349" s="905" t="s">
        <v>11838</v>
      </c>
    </row>
    <row r="5350" spans="1:4" ht="16.5">
      <c r="A5350" s="663" t="s">
        <v>123</v>
      </c>
      <c r="B5350" t="s">
        <v>11826</v>
      </c>
      <c r="C5350" s="900" t="s">
        <v>11837</v>
      </c>
      <c r="D5350" s="905" t="s">
        <v>11838</v>
      </c>
    </row>
    <row r="5351" spans="1:4" ht="16.5">
      <c r="A5351" s="663" t="s">
        <v>116</v>
      </c>
      <c r="B5351" t="s">
        <v>11826</v>
      </c>
      <c r="C5351" s="900" t="s">
        <v>11837</v>
      </c>
      <c r="D5351" s="905" t="s">
        <v>11838</v>
      </c>
    </row>
    <row r="5352" spans="1:4" ht="16.5">
      <c r="A5352" s="663" t="s">
        <v>114</v>
      </c>
      <c r="B5352" t="s">
        <v>11826</v>
      </c>
      <c r="C5352" s="900" t="s">
        <v>11837</v>
      </c>
      <c r="D5352" s="905" t="s">
        <v>11838</v>
      </c>
    </row>
    <row r="5353" spans="1:4" ht="16.5">
      <c r="A5353" s="663" t="s">
        <v>101</v>
      </c>
      <c r="B5353" t="s">
        <v>11826</v>
      </c>
      <c r="C5353" s="900" t="s">
        <v>11837</v>
      </c>
      <c r="D5353" s="905" t="s">
        <v>11838</v>
      </c>
    </row>
    <row r="5354" spans="1:4" ht="16.5">
      <c r="A5354" s="663" t="s">
        <v>103</v>
      </c>
      <c r="B5354" t="s">
        <v>11826</v>
      </c>
      <c r="C5354" s="900" t="s">
        <v>11837</v>
      </c>
      <c r="D5354" s="905" t="s">
        <v>11838</v>
      </c>
    </row>
    <row r="5355" spans="1:4" ht="16.5">
      <c r="A5355" s="663" t="s">
        <v>105</v>
      </c>
      <c r="B5355" t="s">
        <v>11826</v>
      </c>
      <c r="C5355" s="900" t="s">
        <v>11837</v>
      </c>
      <c r="D5355" s="905" t="s">
        <v>11838</v>
      </c>
    </row>
    <row r="5356" spans="1:4" ht="16.5">
      <c r="A5356" s="663" t="s">
        <v>107</v>
      </c>
      <c r="B5356" t="s">
        <v>11826</v>
      </c>
      <c r="C5356" s="900" t="s">
        <v>11837</v>
      </c>
      <c r="D5356" s="905" t="s">
        <v>11838</v>
      </c>
    </row>
    <row r="5357" spans="1:4" ht="16.5">
      <c r="A5357" s="663" t="s">
        <v>11608</v>
      </c>
      <c r="B5357" t="s">
        <v>11826</v>
      </c>
      <c r="C5357" s="900" t="s">
        <v>11837</v>
      </c>
      <c r="D5357" s="905" t="s">
        <v>11838</v>
      </c>
    </row>
    <row r="5358" spans="1:4" ht="16.5">
      <c r="A5358" s="663" t="s">
        <v>11610</v>
      </c>
      <c r="B5358" t="s">
        <v>11826</v>
      </c>
      <c r="C5358" s="900" t="s">
        <v>11837</v>
      </c>
      <c r="D5358" s="905" t="s">
        <v>11838</v>
      </c>
    </row>
    <row r="5359" spans="1:4" ht="16.5">
      <c r="A5359" s="663" t="s">
        <v>11612</v>
      </c>
      <c r="B5359" t="s">
        <v>11826</v>
      </c>
      <c r="C5359" s="900" t="s">
        <v>11837</v>
      </c>
      <c r="D5359" s="905" t="s">
        <v>11838</v>
      </c>
    </row>
    <row r="5360" spans="1:4" ht="16.5">
      <c r="A5360" s="663" t="s">
        <v>11614</v>
      </c>
      <c r="B5360" t="s">
        <v>11826</v>
      </c>
      <c r="C5360" s="900" t="s">
        <v>11837</v>
      </c>
      <c r="D5360" s="905" t="s">
        <v>11838</v>
      </c>
    </row>
    <row r="5361" spans="1:4" ht="16.5">
      <c r="A5361" s="663" t="s">
        <v>11616</v>
      </c>
      <c r="B5361" t="s">
        <v>11826</v>
      </c>
      <c r="C5361" s="900" t="s">
        <v>11837</v>
      </c>
      <c r="D5361" s="905" t="s">
        <v>11838</v>
      </c>
    </row>
    <row r="5362" spans="1:4" ht="16.5">
      <c r="A5362" s="663" t="s">
        <v>118</v>
      </c>
      <c r="B5362" t="s">
        <v>11826</v>
      </c>
      <c r="C5362" s="900" t="s">
        <v>11837</v>
      </c>
      <c r="D5362" s="905" t="s">
        <v>11838</v>
      </c>
    </row>
    <row r="5363" spans="1:4" ht="16.5">
      <c r="A5363" s="663" t="s">
        <v>11618</v>
      </c>
      <c r="B5363" t="s">
        <v>11826</v>
      </c>
      <c r="C5363" s="900" t="s">
        <v>11837</v>
      </c>
      <c r="D5363" s="905" t="s">
        <v>11838</v>
      </c>
    </row>
    <row r="5364" spans="1:4" ht="16.5">
      <c r="A5364" s="663" t="s">
        <v>11619</v>
      </c>
      <c r="B5364" t="s">
        <v>11826</v>
      </c>
      <c r="C5364" s="900" t="s">
        <v>11837</v>
      </c>
      <c r="D5364" s="905" t="s">
        <v>11838</v>
      </c>
    </row>
    <row r="5365" spans="1:4" ht="16.5">
      <c r="A5365" s="663" t="s">
        <v>11621</v>
      </c>
      <c r="B5365" t="s">
        <v>11826</v>
      </c>
      <c r="C5365" s="900" t="s">
        <v>11837</v>
      </c>
      <c r="D5365" s="905" t="s">
        <v>11838</v>
      </c>
    </row>
    <row r="5366" spans="1:4" ht="16.5">
      <c r="A5366" s="663" t="s">
        <v>127</v>
      </c>
      <c r="B5366" t="s">
        <v>11826</v>
      </c>
      <c r="C5366" s="900" t="s">
        <v>11837</v>
      </c>
      <c r="D5366" s="905" t="s">
        <v>11838</v>
      </c>
    </row>
    <row r="5367" spans="1:4" ht="16.5">
      <c r="A5367" s="663" t="s">
        <v>11623</v>
      </c>
      <c r="B5367" t="s">
        <v>11826</v>
      </c>
      <c r="C5367" s="900" t="s">
        <v>11837</v>
      </c>
      <c r="D5367" s="905" t="s">
        <v>11838</v>
      </c>
    </row>
    <row r="5368" spans="1:4" ht="16.5">
      <c r="A5368" s="663" t="s">
        <v>11625</v>
      </c>
      <c r="B5368" t="s">
        <v>11826</v>
      </c>
      <c r="C5368" s="900" t="s">
        <v>11837</v>
      </c>
      <c r="D5368" s="905" t="s">
        <v>11838</v>
      </c>
    </row>
    <row r="5369" spans="1:4" ht="16.5">
      <c r="A5369" s="663" t="s">
        <v>11627</v>
      </c>
      <c r="B5369" t="s">
        <v>11826</v>
      </c>
      <c r="C5369" s="900" t="s">
        <v>11837</v>
      </c>
      <c r="D5369" s="905" t="s">
        <v>11838</v>
      </c>
    </row>
    <row r="5370" spans="1:4" ht="16.5">
      <c r="A5370" s="663" t="s">
        <v>11629</v>
      </c>
      <c r="B5370" t="s">
        <v>11826</v>
      </c>
      <c r="C5370" s="900" t="s">
        <v>11837</v>
      </c>
      <c r="D5370" s="905" t="s">
        <v>11838</v>
      </c>
    </row>
    <row r="5371" spans="1:4" ht="16.5">
      <c r="A5371" s="663" t="s">
        <v>11633</v>
      </c>
      <c r="B5371" t="s">
        <v>11826</v>
      </c>
      <c r="C5371" s="900" t="s">
        <v>11837</v>
      </c>
      <c r="D5371" s="905" t="s">
        <v>11838</v>
      </c>
    </row>
    <row r="5372" spans="1:4" ht="16.5">
      <c r="A5372" s="663" t="s">
        <v>11635</v>
      </c>
      <c r="B5372" t="s">
        <v>11826</v>
      </c>
      <c r="C5372" s="900" t="s">
        <v>11837</v>
      </c>
      <c r="D5372" s="905" t="s">
        <v>11838</v>
      </c>
    </row>
    <row r="5373" spans="1:4" ht="16.5">
      <c r="A5373" s="663" t="s">
        <v>11637</v>
      </c>
      <c r="B5373" t="s">
        <v>11826</v>
      </c>
      <c r="C5373" s="900" t="s">
        <v>11837</v>
      </c>
      <c r="D5373" s="905" t="s">
        <v>11838</v>
      </c>
    </row>
    <row r="5374" spans="1:4" ht="16.5">
      <c r="A5374" s="663" t="s">
        <v>11639</v>
      </c>
      <c r="B5374" t="s">
        <v>11826</v>
      </c>
      <c r="C5374" s="900" t="s">
        <v>11837</v>
      </c>
      <c r="D5374" s="905" t="s">
        <v>11838</v>
      </c>
    </row>
    <row r="5375" spans="1:4" ht="16.5">
      <c r="A5375" s="663" t="s">
        <v>11641</v>
      </c>
      <c r="B5375" t="s">
        <v>11826</v>
      </c>
      <c r="C5375" s="900" t="s">
        <v>11837</v>
      </c>
      <c r="D5375" s="905" t="s">
        <v>11838</v>
      </c>
    </row>
    <row r="5376" spans="1:4" ht="16.5">
      <c r="A5376" s="663" t="s">
        <v>11643</v>
      </c>
      <c r="B5376" t="s">
        <v>11826</v>
      </c>
      <c r="C5376" s="900" t="s">
        <v>11837</v>
      </c>
      <c r="D5376" s="905" t="s">
        <v>11838</v>
      </c>
    </row>
    <row r="5377" spans="1:4" ht="16.5">
      <c r="A5377" s="663" t="s">
        <v>11645</v>
      </c>
      <c r="B5377" t="s">
        <v>11826</v>
      </c>
      <c r="C5377" s="900" t="s">
        <v>11837</v>
      </c>
      <c r="D5377" s="905" t="s">
        <v>11838</v>
      </c>
    </row>
    <row r="5378" spans="1:4" ht="16.5">
      <c r="A5378" s="663" t="s">
        <v>11647</v>
      </c>
      <c r="B5378" t="s">
        <v>11826</v>
      </c>
      <c r="C5378" s="900" t="s">
        <v>11837</v>
      </c>
      <c r="D5378" s="905" t="s">
        <v>11838</v>
      </c>
    </row>
    <row r="5379" spans="1:4" ht="16.5">
      <c r="A5379" s="663" t="s">
        <v>11649</v>
      </c>
      <c r="B5379" t="s">
        <v>11826</v>
      </c>
      <c r="C5379" s="900" t="s">
        <v>11837</v>
      </c>
      <c r="D5379" s="905" t="s">
        <v>11838</v>
      </c>
    </row>
    <row r="5380" spans="1:4" ht="16.5">
      <c r="A5380" s="663" t="s">
        <v>11651</v>
      </c>
      <c r="B5380" t="s">
        <v>11826</v>
      </c>
      <c r="C5380" s="900" t="s">
        <v>11837</v>
      </c>
      <c r="D5380" s="905" t="s">
        <v>11838</v>
      </c>
    </row>
    <row r="5381" spans="1:4" ht="16.5">
      <c r="A5381" s="663" t="s">
        <v>11653</v>
      </c>
      <c r="B5381" t="s">
        <v>11826</v>
      </c>
      <c r="C5381" s="900" t="s">
        <v>11837</v>
      </c>
      <c r="D5381" s="905" t="s">
        <v>11838</v>
      </c>
    </row>
    <row r="5382" spans="1:4" ht="16.5">
      <c r="A5382" s="663" t="s">
        <v>11655</v>
      </c>
      <c r="B5382" t="s">
        <v>11826</v>
      </c>
      <c r="C5382" s="900" t="s">
        <v>11837</v>
      </c>
      <c r="D5382" s="905" t="s">
        <v>11838</v>
      </c>
    </row>
    <row r="5383" spans="1:4" ht="16.5">
      <c r="A5383" s="663" t="s">
        <v>11657</v>
      </c>
      <c r="B5383" t="s">
        <v>11826</v>
      </c>
      <c r="C5383" s="900" t="s">
        <v>11837</v>
      </c>
      <c r="D5383" s="905" t="s">
        <v>11838</v>
      </c>
    </row>
    <row r="5384" spans="1:4" ht="16.5">
      <c r="A5384" s="663" t="s">
        <v>11659</v>
      </c>
      <c r="B5384" t="s">
        <v>11826</v>
      </c>
      <c r="C5384" s="900" t="s">
        <v>11837</v>
      </c>
      <c r="D5384" s="905" t="s">
        <v>11838</v>
      </c>
    </row>
    <row r="5385" spans="1:4" ht="16.5">
      <c r="A5385" s="663" t="s">
        <v>11661</v>
      </c>
      <c r="B5385" t="s">
        <v>11826</v>
      </c>
      <c r="C5385" s="900" t="s">
        <v>11837</v>
      </c>
      <c r="D5385" s="905" t="s">
        <v>11838</v>
      </c>
    </row>
    <row r="5386" spans="1:4" ht="16.5">
      <c r="A5386" s="663" t="s">
        <v>11663</v>
      </c>
      <c r="B5386" t="s">
        <v>11826</v>
      </c>
      <c r="C5386" s="900" t="s">
        <v>11837</v>
      </c>
      <c r="D5386" s="905" t="s">
        <v>11838</v>
      </c>
    </row>
    <row r="5387" spans="1:4" ht="16.5">
      <c r="A5387" s="663" t="s">
        <v>11667</v>
      </c>
      <c r="B5387" t="s">
        <v>11826</v>
      </c>
      <c r="C5387" s="900" t="s">
        <v>11837</v>
      </c>
      <c r="D5387" s="905" t="s">
        <v>11838</v>
      </c>
    </row>
    <row r="5388" spans="1:4" ht="16.5">
      <c r="A5388" s="663" t="s">
        <v>11669</v>
      </c>
      <c r="B5388" t="s">
        <v>11826</v>
      </c>
      <c r="C5388" s="900" t="s">
        <v>11837</v>
      </c>
      <c r="D5388" s="905" t="s">
        <v>11838</v>
      </c>
    </row>
    <row r="5389" spans="1:4" ht="16.5">
      <c r="A5389" s="663" t="s">
        <v>1859</v>
      </c>
      <c r="B5389" t="s">
        <v>11826</v>
      </c>
      <c r="C5389" s="900" t="s">
        <v>11837</v>
      </c>
      <c r="D5389" s="905" t="s">
        <v>11838</v>
      </c>
    </row>
    <row r="5390" spans="1:4" ht="16.5">
      <c r="A5390" s="663" t="s">
        <v>1863</v>
      </c>
      <c r="B5390" t="s">
        <v>11826</v>
      </c>
      <c r="C5390" s="900" t="s">
        <v>11837</v>
      </c>
      <c r="D5390" s="905" t="s">
        <v>11838</v>
      </c>
    </row>
    <row r="5391" spans="1:4" ht="16.5">
      <c r="A5391" s="663" t="s">
        <v>11673</v>
      </c>
      <c r="B5391" t="s">
        <v>11826</v>
      </c>
      <c r="C5391" s="900" t="s">
        <v>11837</v>
      </c>
      <c r="D5391" s="905" t="s">
        <v>11838</v>
      </c>
    </row>
    <row r="5392" spans="1:4" ht="16.5">
      <c r="A5392" s="663" t="s">
        <v>11675</v>
      </c>
      <c r="B5392" t="s">
        <v>11826</v>
      </c>
      <c r="C5392" s="900" t="s">
        <v>11837</v>
      </c>
      <c r="D5392" s="905" t="s">
        <v>11838</v>
      </c>
    </row>
    <row r="5393" spans="1:4" ht="16.5">
      <c r="A5393" s="663" t="s">
        <v>11677</v>
      </c>
      <c r="B5393" t="s">
        <v>11826</v>
      </c>
      <c r="C5393" s="900" t="s">
        <v>11837</v>
      </c>
      <c r="D5393" s="905" t="s">
        <v>11838</v>
      </c>
    </row>
    <row r="5394" spans="1:4" ht="16.5">
      <c r="A5394" s="663" t="s">
        <v>11679</v>
      </c>
      <c r="B5394" t="s">
        <v>11826</v>
      </c>
      <c r="C5394" s="900" t="s">
        <v>11837</v>
      </c>
      <c r="D5394" s="905" t="s">
        <v>11838</v>
      </c>
    </row>
    <row r="5395" spans="1:4" ht="16.5">
      <c r="A5395" s="663" t="s">
        <v>11681</v>
      </c>
      <c r="B5395" t="s">
        <v>11826</v>
      </c>
      <c r="C5395" s="900" t="s">
        <v>11837</v>
      </c>
      <c r="D5395" s="905" t="s">
        <v>11838</v>
      </c>
    </row>
    <row r="5396" spans="1:4" ht="16.5">
      <c r="A5396" s="663" t="s">
        <v>11683</v>
      </c>
      <c r="B5396" t="s">
        <v>11826</v>
      </c>
      <c r="C5396" s="900" t="s">
        <v>11837</v>
      </c>
      <c r="D5396" s="905" t="s">
        <v>11838</v>
      </c>
    </row>
    <row r="5397" spans="1:4" ht="16.5">
      <c r="A5397" s="663" t="s">
        <v>11685</v>
      </c>
      <c r="B5397" t="s">
        <v>11826</v>
      </c>
      <c r="C5397" s="900" t="s">
        <v>11837</v>
      </c>
      <c r="D5397" s="905" t="s">
        <v>11838</v>
      </c>
    </row>
    <row r="5398" spans="1:4" ht="16.5">
      <c r="A5398" s="663" t="s">
        <v>11687</v>
      </c>
      <c r="B5398" t="s">
        <v>11826</v>
      </c>
      <c r="C5398" s="900" t="s">
        <v>11837</v>
      </c>
      <c r="D5398" s="905" t="s">
        <v>11838</v>
      </c>
    </row>
    <row r="5399" spans="1:4" ht="16.5">
      <c r="A5399" s="663" t="s">
        <v>11689</v>
      </c>
      <c r="B5399" t="s">
        <v>11826</v>
      </c>
      <c r="C5399" s="900" t="s">
        <v>11837</v>
      </c>
      <c r="D5399" s="905" t="s">
        <v>11838</v>
      </c>
    </row>
    <row r="5400" spans="1:4" ht="16.5">
      <c r="A5400" s="663" t="s">
        <v>11691</v>
      </c>
      <c r="B5400" t="s">
        <v>11826</v>
      </c>
      <c r="C5400" s="900" t="s">
        <v>11837</v>
      </c>
      <c r="D5400" s="905" t="s">
        <v>11838</v>
      </c>
    </row>
    <row r="5401" spans="1:4" ht="16.5">
      <c r="A5401" s="663" t="s">
        <v>11693</v>
      </c>
      <c r="B5401" t="s">
        <v>11826</v>
      </c>
      <c r="C5401" s="900" t="s">
        <v>11837</v>
      </c>
      <c r="D5401" s="905" t="s">
        <v>11838</v>
      </c>
    </row>
    <row r="5402" spans="1:4" ht="16.5">
      <c r="A5402" s="663" t="s">
        <v>11695</v>
      </c>
      <c r="B5402" t="s">
        <v>11826</v>
      </c>
      <c r="C5402" s="900" t="s">
        <v>11837</v>
      </c>
      <c r="D5402" s="905" t="s">
        <v>11838</v>
      </c>
    </row>
    <row r="5403" spans="1:4" ht="16.5">
      <c r="A5403" s="663" t="s">
        <v>1855</v>
      </c>
      <c r="B5403" t="s">
        <v>11826</v>
      </c>
      <c r="C5403" s="900" t="s">
        <v>11837</v>
      </c>
      <c r="D5403" s="905" t="s">
        <v>11838</v>
      </c>
    </row>
    <row r="5404" spans="1:4" ht="16.5">
      <c r="A5404" s="663" t="s">
        <v>11697</v>
      </c>
      <c r="B5404" t="s">
        <v>11826</v>
      </c>
      <c r="C5404" s="900" t="s">
        <v>11837</v>
      </c>
      <c r="D5404" s="905" t="s">
        <v>11838</v>
      </c>
    </row>
    <row r="5405" spans="1:4" ht="16.5">
      <c r="A5405" s="663" t="s">
        <v>11699</v>
      </c>
      <c r="B5405" t="s">
        <v>11826</v>
      </c>
      <c r="C5405" s="900" t="s">
        <v>11837</v>
      </c>
      <c r="D5405" s="905" t="s">
        <v>11838</v>
      </c>
    </row>
    <row r="5406" spans="1:4" ht="16.5">
      <c r="A5406" s="663" t="s">
        <v>11701</v>
      </c>
      <c r="B5406" t="s">
        <v>11826</v>
      </c>
      <c r="C5406" s="900" t="s">
        <v>11837</v>
      </c>
      <c r="D5406" s="905" t="s">
        <v>11838</v>
      </c>
    </row>
    <row r="5407" spans="1:4" ht="16.5">
      <c r="A5407" s="663" t="s">
        <v>11703</v>
      </c>
      <c r="B5407" t="s">
        <v>11826</v>
      </c>
      <c r="C5407" s="900" t="s">
        <v>11837</v>
      </c>
      <c r="D5407" s="905" t="s">
        <v>11838</v>
      </c>
    </row>
    <row r="5408" spans="1:4" ht="16.5">
      <c r="A5408" s="663" t="s">
        <v>11705</v>
      </c>
      <c r="B5408" t="s">
        <v>11826</v>
      </c>
      <c r="C5408" s="900" t="s">
        <v>11837</v>
      </c>
      <c r="D5408" s="905" t="s">
        <v>11838</v>
      </c>
    </row>
    <row r="5409" spans="1:4" ht="16.5">
      <c r="A5409" s="663" t="s">
        <v>1927</v>
      </c>
      <c r="B5409" t="s">
        <v>11826</v>
      </c>
      <c r="C5409" s="900" t="s">
        <v>11837</v>
      </c>
      <c r="D5409" s="905" t="s">
        <v>11838</v>
      </c>
    </row>
    <row r="5410" spans="1:4" ht="16.5">
      <c r="A5410" s="663" t="s">
        <v>11709</v>
      </c>
      <c r="B5410" t="s">
        <v>11826</v>
      </c>
      <c r="C5410" s="900" t="s">
        <v>11837</v>
      </c>
      <c r="D5410" s="905" t="s">
        <v>11838</v>
      </c>
    </row>
    <row r="5411" spans="1:4" ht="16.5">
      <c r="A5411" s="663" t="s">
        <v>11711</v>
      </c>
      <c r="B5411" t="s">
        <v>11826</v>
      </c>
      <c r="C5411" s="900" t="s">
        <v>11837</v>
      </c>
      <c r="D5411" s="905" t="s">
        <v>11838</v>
      </c>
    </row>
    <row r="5412" spans="1:4" ht="16.5">
      <c r="A5412" s="663" t="s">
        <v>11713</v>
      </c>
      <c r="B5412" t="s">
        <v>11826</v>
      </c>
      <c r="C5412" s="900" t="s">
        <v>11837</v>
      </c>
      <c r="D5412" s="905" t="s">
        <v>11838</v>
      </c>
    </row>
    <row r="5413" spans="1:4" ht="16.5">
      <c r="A5413" s="663" t="s">
        <v>11715</v>
      </c>
      <c r="B5413" t="s">
        <v>11826</v>
      </c>
      <c r="C5413" s="900" t="s">
        <v>11837</v>
      </c>
      <c r="D5413" s="905" t="s">
        <v>11838</v>
      </c>
    </row>
    <row r="5414" spans="1:4" ht="16.5">
      <c r="A5414" s="663" t="s">
        <v>11717</v>
      </c>
      <c r="B5414" t="s">
        <v>11826</v>
      </c>
      <c r="C5414" s="900" t="s">
        <v>11837</v>
      </c>
      <c r="D5414" s="905" t="s">
        <v>11838</v>
      </c>
    </row>
    <row r="5415" spans="1:4" ht="16.5">
      <c r="A5415" s="663" t="s">
        <v>11719</v>
      </c>
      <c r="B5415" t="s">
        <v>11826</v>
      </c>
      <c r="C5415" s="900" t="s">
        <v>11837</v>
      </c>
      <c r="D5415" s="905" t="s">
        <v>11838</v>
      </c>
    </row>
    <row r="5416" spans="1:4" ht="16.5">
      <c r="A5416" s="663" t="s">
        <v>11721</v>
      </c>
      <c r="B5416" t="s">
        <v>11826</v>
      </c>
      <c r="C5416" s="900" t="s">
        <v>11837</v>
      </c>
      <c r="D5416" s="905" t="s">
        <v>11838</v>
      </c>
    </row>
    <row r="5417" spans="1:4" ht="16.5">
      <c r="A5417" s="663" t="s">
        <v>11723</v>
      </c>
      <c r="B5417" t="s">
        <v>11826</v>
      </c>
      <c r="C5417" s="900" t="s">
        <v>11837</v>
      </c>
      <c r="D5417" s="905" t="s">
        <v>11838</v>
      </c>
    </row>
    <row r="5418" spans="1:4" ht="16.5">
      <c r="A5418" s="663" t="s">
        <v>11725</v>
      </c>
      <c r="B5418" t="s">
        <v>11826</v>
      </c>
      <c r="C5418" s="900" t="s">
        <v>11837</v>
      </c>
      <c r="D5418" s="905" t="s">
        <v>11838</v>
      </c>
    </row>
    <row r="5419" spans="1:4" ht="16.5">
      <c r="A5419" s="663" t="s">
        <v>11727</v>
      </c>
      <c r="B5419" t="s">
        <v>11826</v>
      </c>
      <c r="C5419" s="900" t="s">
        <v>11837</v>
      </c>
      <c r="D5419" s="905" t="s">
        <v>11838</v>
      </c>
    </row>
    <row r="5420" spans="1:4" ht="16.5">
      <c r="A5420" s="663" t="s">
        <v>11729</v>
      </c>
      <c r="B5420" t="s">
        <v>11826</v>
      </c>
      <c r="C5420" s="900" t="s">
        <v>11837</v>
      </c>
      <c r="D5420" s="905" t="s">
        <v>11838</v>
      </c>
    </row>
    <row r="5421" spans="1:4" ht="16.5">
      <c r="A5421" s="663" t="s">
        <v>11731</v>
      </c>
      <c r="B5421" t="s">
        <v>11826</v>
      </c>
      <c r="C5421" s="900" t="s">
        <v>11837</v>
      </c>
      <c r="D5421" s="905" t="s">
        <v>11838</v>
      </c>
    </row>
    <row r="5422" spans="1:4" ht="16.5">
      <c r="A5422" s="663" t="s">
        <v>11733</v>
      </c>
      <c r="B5422" t="s">
        <v>11826</v>
      </c>
      <c r="C5422" s="900" t="s">
        <v>11837</v>
      </c>
      <c r="D5422" s="905" t="s">
        <v>11838</v>
      </c>
    </row>
    <row r="5423" spans="1:4" ht="16.5">
      <c r="A5423" s="663" t="s">
        <v>11735</v>
      </c>
      <c r="B5423" t="s">
        <v>11826</v>
      </c>
      <c r="C5423" s="900" t="s">
        <v>11837</v>
      </c>
      <c r="D5423" s="905" t="s">
        <v>11838</v>
      </c>
    </row>
    <row r="5424" spans="1:4" ht="16.5">
      <c r="A5424" s="663" t="s">
        <v>11737</v>
      </c>
      <c r="B5424" t="s">
        <v>11826</v>
      </c>
      <c r="C5424" s="900" t="s">
        <v>11837</v>
      </c>
      <c r="D5424" s="905" t="s">
        <v>11838</v>
      </c>
    </row>
    <row r="5425" spans="1:4" ht="16.5">
      <c r="A5425" s="663" t="s">
        <v>11739</v>
      </c>
      <c r="B5425" t="s">
        <v>11826</v>
      </c>
      <c r="C5425" s="900" t="s">
        <v>11837</v>
      </c>
      <c r="D5425" s="905" t="s">
        <v>11838</v>
      </c>
    </row>
    <row r="5426" spans="1:4" ht="16.5">
      <c r="A5426" s="663" t="s">
        <v>11741</v>
      </c>
      <c r="B5426" t="s">
        <v>11826</v>
      </c>
      <c r="C5426" s="900" t="s">
        <v>11837</v>
      </c>
      <c r="D5426" s="905" t="s">
        <v>11838</v>
      </c>
    </row>
    <row r="5427" spans="1:4" ht="16.5">
      <c r="A5427" s="663" t="s">
        <v>11743</v>
      </c>
      <c r="B5427" t="s">
        <v>11826</v>
      </c>
      <c r="C5427" s="900" t="s">
        <v>11837</v>
      </c>
      <c r="D5427" s="905" t="s">
        <v>11838</v>
      </c>
    </row>
    <row r="5428" spans="1:4" ht="16.5">
      <c r="A5428" s="663" t="s">
        <v>11745</v>
      </c>
      <c r="B5428" t="s">
        <v>11826</v>
      </c>
      <c r="C5428" s="900" t="s">
        <v>11837</v>
      </c>
      <c r="D5428" s="905" t="s">
        <v>11838</v>
      </c>
    </row>
    <row r="5429" spans="1:4" ht="16.5">
      <c r="A5429" s="663" t="s">
        <v>11747</v>
      </c>
      <c r="B5429" t="s">
        <v>11826</v>
      </c>
      <c r="C5429" s="900" t="s">
        <v>11837</v>
      </c>
      <c r="D5429" s="905" t="s">
        <v>11838</v>
      </c>
    </row>
    <row r="5430" spans="1:4" ht="16.5">
      <c r="A5430" s="663" t="s">
        <v>11749</v>
      </c>
      <c r="B5430" t="s">
        <v>11826</v>
      </c>
      <c r="C5430" s="900" t="s">
        <v>11837</v>
      </c>
      <c r="D5430" s="905" t="s">
        <v>11838</v>
      </c>
    </row>
    <row r="5431" spans="1:4" ht="16.5">
      <c r="A5431" s="663" t="s">
        <v>2133</v>
      </c>
      <c r="B5431" t="s">
        <v>11826</v>
      </c>
      <c r="C5431" s="900" t="s">
        <v>11837</v>
      </c>
      <c r="D5431" s="905" t="s">
        <v>11838</v>
      </c>
    </row>
    <row r="5432" spans="1:4" ht="16.5">
      <c r="A5432" s="663" t="s">
        <v>2144</v>
      </c>
      <c r="B5432" t="s">
        <v>11826</v>
      </c>
      <c r="C5432" s="900" t="s">
        <v>11837</v>
      </c>
      <c r="D5432" s="905" t="s">
        <v>11838</v>
      </c>
    </row>
    <row r="5433" spans="1:4" ht="16.5">
      <c r="A5433" s="663" t="s">
        <v>11752</v>
      </c>
      <c r="B5433" t="s">
        <v>11826</v>
      </c>
      <c r="C5433" s="900" t="s">
        <v>11837</v>
      </c>
      <c r="D5433" s="905" t="s">
        <v>11838</v>
      </c>
    </row>
    <row r="5434" spans="1:4" ht="16.5">
      <c r="A5434" s="663" t="s">
        <v>11754</v>
      </c>
      <c r="B5434" t="s">
        <v>11826</v>
      </c>
      <c r="C5434" s="900" t="s">
        <v>11837</v>
      </c>
      <c r="D5434" s="905" t="s">
        <v>11838</v>
      </c>
    </row>
    <row r="5435" spans="1:4" ht="16.5">
      <c r="A5435" s="663" t="s">
        <v>11756</v>
      </c>
      <c r="B5435" t="s">
        <v>11826</v>
      </c>
      <c r="C5435" s="900" t="s">
        <v>11837</v>
      </c>
      <c r="D5435" s="905" t="s">
        <v>11838</v>
      </c>
    </row>
    <row r="5436" spans="1:4" ht="16.5">
      <c r="A5436" s="663" t="s">
        <v>11760</v>
      </c>
      <c r="B5436" t="s">
        <v>11826</v>
      </c>
      <c r="C5436" s="900" t="s">
        <v>11837</v>
      </c>
      <c r="D5436" s="905" t="s">
        <v>11838</v>
      </c>
    </row>
    <row r="5437" spans="1:4" ht="16.5">
      <c r="A5437" s="663" t="s">
        <v>11762</v>
      </c>
      <c r="B5437" t="s">
        <v>11826</v>
      </c>
      <c r="C5437" s="900" t="s">
        <v>11837</v>
      </c>
      <c r="D5437" s="905" t="s">
        <v>11838</v>
      </c>
    </row>
    <row r="5438" spans="1:4" ht="16.5">
      <c r="A5438" s="663" t="s">
        <v>2179</v>
      </c>
      <c r="B5438" t="s">
        <v>11826</v>
      </c>
      <c r="C5438" s="900" t="s">
        <v>11837</v>
      </c>
      <c r="D5438" s="905" t="s">
        <v>11838</v>
      </c>
    </row>
    <row r="5439" spans="1:4" ht="16.5">
      <c r="A5439" s="663" t="s">
        <v>11764</v>
      </c>
      <c r="B5439" t="s">
        <v>11826</v>
      </c>
      <c r="C5439" s="900" t="s">
        <v>11837</v>
      </c>
      <c r="D5439" s="905" t="s">
        <v>11838</v>
      </c>
    </row>
    <row r="5440" spans="1:4" ht="16.5">
      <c r="A5440" s="663" t="s">
        <v>11766</v>
      </c>
      <c r="B5440" t="s">
        <v>11826</v>
      </c>
      <c r="C5440" s="900" t="s">
        <v>11837</v>
      </c>
      <c r="D5440" s="905" t="s">
        <v>11838</v>
      </c>
    </row>
    <row r="5441" spans="1:4" ht="16.5">
      <c r="A5441" s="663" t="s">
        <v>11768</v>
      </c>
      <c r="B5441" t="s">
        <v>11826</v>
      </c>
      <c r="C5441" s="900" t="s">
        <v>11837</v>
      </c>
      <c r="D5441" s="905" t="s">
        <v>11838</v>
      </c>
    </row>
    <row r="5442" spans="1:4" ht="16.5">
      <c r="A5442" s="663" t="s">
        <v>11770</v>
      </c>
      <c r="B5442" t="s">
        <v>11826</v>
      </c>
      <c r="C5442" s="900" t="s">
        <v>11837</v>
      </c>
      <c r="D5442" s="905" t="s">
        <v>11838</v>
      </c>
    </row>
    <row r="5443" spans="1:4" ht="16.5">
      <c r="A5443" s="663" t="s">
        <v>11772</v>
      </c>
      <c r="B5443" t="s">
        <v>11826</v>
      </c>
      <c r="C5443" s="900" t="s">
        <v>11837</v>
      </c>
      <c r="D5443" s="905" t="s">
        <v>11838</v>
      </c>
    </row>
    <row r="5444" spans="1:4" ht="16.5">
      <c r="A5444" s="663" t="s">
        <v>11774</v>
      </c>
      <c r="B5444" t="s">
        <v>11826</v>
      </c>
      <c r="C5444" s="900" t="s">
        <v>11837</v>
      </c>
      <c r="D5444" s="905" t="s">
        <v>11838</v>
      </c>
    </row>
    <row r="5445" spans="1:4" ht="16.5">
      <c r="A5445" s="663" t="s">
        <v>11776</v>
      </c>
      <c r="B5445" t="s">
        <v>11826</v>
      </c>
      <c r="C5445" s="900" t="s">
        <v>11837</v>
      </c>
      <c r="D5445" s="905" t="s">
        <v>11838</v>
      </c>
    </row>
    <row r="5446" spans="1:4" ht="16.5">
      <c r="A5446" s="663" t="s">
        <v>1867</v>
      </c>
      <c r="B5446" t="s">
        <v>11826</v>
      </c>
      <c r="C5446" s="900" t="s">
        <v>11837</v>
      </c>
      <c r="D5446" s="905" t="s">
        <v>11838</v>
      </c>
    </row>
    <row r="5447" spans="1:4" ht="16.5">
      <c r="A5447" s="663" t="s">
        <v>11779</v>
      </c>
      <c r="B5447" t="s">
        <v>11826</v>
      </c>
      <c r="C5447" s="900" t="s">
        <v>11837</v>
      </c>
      <c r="D5447" s="905" t="s">
        <v>11838</v>
      </c>
    </row>
    <row r="5448" spans="1:4" ht="16.5">
      <c r="A5448" s="663" t="s">
        <v>11781</v>
      </c>
      <c r="B5448" t="s">
        <v>11826</v>
      </c>
      <c r="C5448" s="900" t="s">
        <v>11837</v>
      </c>
      <c r="D5448" s="905" t="s">
        <v>11838</v>
      </c>
    </row>
    <row r="5449" spans="1:4" ht="16.5">
      <c r="A5449" s="663" t="s">
        <v>11783</v>
      </c>
      <c r="B5449" t="s">
        <v>11826</v>
      </c>
      <c r="C5449" s="900" t="s">
        <v>11837</v>
      </c>
      <c r="D5449" s="905" t="s">
        <v>11838</v>
      </c>
    </row>
    <row r="5450" spans="1:4" ht="16.5">
      <c r="A5450" s="663" t="s">
        <v>11785</v>
      </c>
      <c r="B5450" t="s">
        <v>11826</v>
      </c>
      <c r="C5450" s="900" t="s">
        <v>11837</v>
      </c>
      <c r="D5450" s="905" t="s">
        <v>11838</v>
      </c>
    </row>
    <row r="5451" spans="1:4" ht="16.5">
      <c r="A5451" s="663" t="s">
        <v>11787</v>
      </c>
      <c r="B5451" t="s">
        <v>11826</v>
      </c>
      <c r="C5451" s="900" t="s">
        <v>11837</v>
      </c>
      <c r="D5451" s="905" t="s">
        <v>11838</v>
      </c>
    </row>
    <row r="5452" spans="1:4" ht="16.5">
      <c r="A5452" s="663" t="s">
        <v>1851</v>
      </c>
      <c r="B5452" t="s">
        <v>11826</v>
      </c>
      <c r="C5452" s="900" t="s">
        <v>11837</v>
      </c>
      <c r="D5452" s="905" t="s">
        <v>11838</v>
      </c>
    </row>
    <row r="5453" spans="1:4" ht="16.5">
      <c r="A5453" s="663" t="s">
        <v>11789</v>
      </c>
      <c r="B5453" t="s">
        <v>11826</v>
      </c>
      <c r="C5453" s="900" t="s">
        <v>11837</v>
      </c>
      <c r="D5453" s="905" t="s">
        <v>11838</v>
      </c>
    </row>
    <row r="5454" spans="1:4" ht="16.5">
      <c r="A5454" s="663" t="s">
        <v>11791</v>
      </c>
      <c r="B5454" t="s">
        <v>11826</v>
      </c>
      <c r="C5454" s="900" t="s">
        <v>11837</v>
      </c>
      <c r="D5454" s="905" t="s">
        <v>11838</v>
      </c>
    </row>
    <row r="5455" spans="1:4" ht="16.5">
      <c r="A5455" s="663" t="s">
        <v>11793</v>
      </c>
      <c r="B5455" t="s">
        <v>11826</v>
      </c>
      <c r="C5455" s="900" t="s">
        <v>11837</v>
      </c>
      <c r="D5455" s="905" t="s">
        <v>11838</v>
      </c>
    </row>
    <row r="5456" spans="1:4" ht="16.5">
      <c r="A5456" s="663" t="s">
        <v>1820</v>
      </c>
      <c r="B5456" t="s">
        <v>11826</v>
      </c>
      <c r="C5456" s="900" t="s">
        <v>11837</v>
      </c>
      <c r="D5456" s="905" t="s">
        <v>11838</v>
      </c>
    </row>
    <row r="5457" spans="1:4" ht="16.5">
      <c r="A5457" s="663" t="s">
        <v>1824</v>
      </c>
      <c r="B5457" t="s">
        <v>11826</v>
      </c>
      <c r="C5457" s="900" t="s">
        <v>11837</v>
      </c>
      <c r="D5457" s="905" t="s">
        <v>11838</v>
      </c>
    </row>
    <row r="5458" spans="1:4" ht="16.5">
      <c r="A5458" s="663" t="s">
        <v>11795</v>
      </c>
      <c r="B5458" t="s">
        <v>11826</v>
      </c>
      <c r="C5458" s="900" t="s">
        <v>11837</v>
      </c>
      <c r="D5458" s="905" t="s">
        <v>11838</v>
      </c>
    </row>
    <row r="5459" spans="1:4" ht="16.5">
      <c r="A5459" s="663" t="s">
        <v>1875</v>
      </c>
      <c r="B5459" t="s">
        <v>11826</v>
      </c>
      <c r="C5459" s="900" t="s">
        <v>11837</v>
      </c>
      <c r="D5459" s="905" t="s">
        <v>11838</v>
      </c>
    </row>
    <row r="5460" spans="1:4" ht="16.5">
      <c r="A5460" s="663" t="s">
        <v>11797</v>
      </c>
      <c r="B5460" t="s">
        <v>11826</v>
      </c>
      <c r="C5460" s="900" t="s">
        <v>11837</v>
      </c>
      <c r="D5460" s="905" t="s">
        <v>11838</v>
      </c>
    </row>
    <row r="5461" spans="1:4" ht="16.5">
      <c r="A5461" s="663" t="s">
        <v>1879</v>
      </c>
      <c r="B5461" t="s">
        <v>11826</v>
      </c>
      <c r="C5461" s="900" t="s">
        <v>11837</v>
      </c>
      <c r="D5461" s="905" t="s">
        <v>11838</v>
      </c>
    </row>
    <row r="5462" spans="1:4" ht="16.5">
      <c r="A5462" s="663" t="s">
        <v>1883</v>
      </c>
      <c r="B5462" t="s">
        <v>11826</v>
      </c>
      <c r="C5462" s="900" t="s">
        <v>11837</v>
      </c>
      <c r="D5462" s="905" t="s">
        <v>11838</v>
      </c>
    </row>
    <row r="5463" spans="1:4" ht="16.5">
      <c r="A5463" s="663" t="s">
        <v>11799</v>
      </c>
      <c r="B5463" t="s">
        <v>11826</v>
      </c>
      <c r="C5463" s="900" t="s">
        <v>11837</v>
      </c>
      <c r="D5463" s="905" t="s">
        <v>11838</v>
      </c>
    </row>
    <row r="5464" spans="1:4" ht="16.5">
      <c r="A5464" s="663" t="s">
        <v>11801</v>
      </c>
      <c r="B5464" t="s">
        <v>11826</v>
      </c>
      <c r="C5464" s="900" t="s">
        <v>11837</v>
      </c>
      <c r="D5464" s="905" t="s">
        <v>11838</v>
      </c>
    </row>
    <row r="5465" spans="1:4" ht="16.5">
      <c r="A5465" s="663" t="s">
        <v>1871</v>
      </c>
      <c r="B5465" t="s">
        <v>11826</v>
      </c>
      <c r="C5465" s="900" t="s">
        <v>11837</v>
      </c>
      <c r="D5465" s="905" t="s">
        <v>11838</v>
      </c>
    </row>
    <row r="5466" spans="1:4" ht="16.5">
      <c r="A5466" s="663" t="s">
        <v>11805</v>
      </c>
      <c r="B5466" t="s">
        <v>11826</v>
      </c>
      <c r="C5466" s="900" t="s">
        <v>11837</v>
      </c>
      <c r="D5466" s="905" t="s">
        <v>11838</v>
      </c>
    </row>
  </sheetData>
  <mergeCells count="6">
    <mergeCell ref="A34:A35"/>
    <mergeCell ref="A94:A95"/>
    <mergeCell ref="A186:A187"/>
    <mergeCell ref="A238:A239"/>
    <mergeCell ref="A406:A409"/>
    <mergeCell ref="A455:A458"/>
  </mergeCells>
  <phoneticPr fontId="8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2000"/>
  <sheetViews>
    <sheetView showGridLines="0" topLeftCell="A242" workbookViewId="0">
      <selection activeCell="A255" sqref="A255"/>
    </sheetView>
  </sheetViews>
  <sheetFormatPr defaultColWidth="12.5703125" defaultRowHeight="15" customHeight="1"/>
  <sheetData>
    <row r="1" spans="1:5" ht="15" customHeight="1">
      <c r="A1" s="1" t="str">
        <f ca="1">IFERROR(__xludf.DUMMYFUNCTION("importrange(""https://docs.google.com/spreadsheets/d/1Bx-DkPv89asn-FMnTnBoP4QImCsI8ushHhSUGhYiPJM"",""TỒN KHO!A:E"")"),"MÃ HÀNG")</f>
        <v>MÃ HÀNG</v>
      </c>
      <c r="B1" s="2" t="str">
        <f ca="1">IFERROR(__xludf.DUMMYFUNCTION("""COMPUTED_VALUE"""),"HN")</f>
        <v>HN</v>
      </c>
      <c r="C1" s="2" t="str">
        <f ca="1">IFERROR(__xludf.DUMMYFUNCTION("""COMPUTED_VALUE"""),"ALL")</f>
        <v>ALL</v>
      </c>
      <c r="D1" s="2" t="str">
        <f ca="1">IFERROR(__xludf.DUMMYFUNCTION("""COMPUTED_VALUE"""),"&lt;&gt;HCM")</f>
        <v>&lt;&gt;HCM</v>
      </c>
      <c r="E1" s="2" t="str">
        <f ca="1">IFERROR(__xludf.DUMMYFUNCTION("""COMPUTED_VALUE"""),"HCM")</f>
        <v>HCM</v>
      </c>
    </row>
    <row r="2" spans="1:5">
      <c r="A2" s="2" t="str">
        <f ca="1">IFERROR(__xludf.DUMMYFUNCTION("""COMPUTED_VALUE"""),"BBCG")</f>
        <v>BBCG</v>
      </c>
      <c r="B2" s="2">
        <f ca="1">IFERROR(__xludf.DUMMYFUNCTION("""COMPUTED_VALUE"""),50)</f>
        <v>50</v>
      </c>
      <c r="C2" s="2">
        <f ca="1">IFERROR(__xludf.DUMMYFUNCTION("""COMPUTED_VALUE"""),50)</f>
        <v>50</v>
      </c>
      <c r="D2" s="2">
        <f ca="1">IFERROR(__xludf.DUMMYFUNCTION("""COMPUTED_VALUE"""),50)</f>
        <v>50</v>
      </c>
      <c r="E2" s="2">
        <f ca="1">IFERROR(__xludf.DUMMYFUNCTION("""COMPUTED_VALUE"""),0)</f>
        <v>0</v>
      </c>
    </row>
    <row r="3" spans="1:5">
      <c r="A3" s="2" t="str">
        <f ca="1">IFERROR(__xludf.DUMMYFUNCTION("""COMPUTED_VALUE"""),"BBVTT")</f>
        <v>BBVTT</v>
      </c>
      <c r="B3" s="2">
        <f ca="1">IFERROR(__xludf.DUMMYFUNCTION("""COMPUTED_VALUE"""),1655)</f>
        <v>1655</v>
      </c>
      <c r="C3" s="2">
        <f ca="1">IFERROR(__xludf.DUMMYFUNCTION("""COMPUTED_VALUE"""),1655)</f>
        <v>1655</v>
      </c>
      <c r="D3" s="2">
        <f ca="1">IFERROR(__xludf.DUMMYFUNCTION("""COMPUTED_VALUE"""),1655)</f>
        <v>1655</v>
      </c>
      <c r="E3" s="2">
        <f ca="1">IFERROR(__xludf.DUMMYFUNCTION("""COMPUTED_VALUE"""),0)</f>
        <v>0</v>
      </c>
    </row>
    <row r="4" spans="1:5">
      <c r="A4" s="2" t="str">
        <f ca="1">IFERROR(__xludf.DUMMYFUNCTION("""COMPUTED_VALUE"""),"BCGY11T")</f>
        <v>BCGY11T</v>
      </c>
      <c r="B4" s="2">
        <f ca="1">IFERROR(__xludf.DUMMYFUNCTION("""COMPUTED_VALUE"""),40)</f>
        <v>40</v>
      </c>
      <c r="C4" s="2">
        <f ca="1">IFERROR(__xludf.DUMMYFUNCTION("""COMPUTED_VALUE"""),40)</f>
        <v>40</v>
      </c>
      <c r="D4" s="2">
        <f ca="1">IFERROR(__xludf.DUMMYFUNCTION("""COMPUTED_VALUE"""),40)</f>
        <v>40</v>
      </c>
      <c r="E4" s="2">
        <f ca="1">IFERROR(__xludf.DUMMYFUNCTION("""COMPUTED_VALUE"""),0)</f>
        <v>0</v>
      </c>
    </row>
    <row r="5" spans="1:5">
      <c r="A5" s="2" t="str">
        <f ca="1">IFERROR(__xludf.DUMMYFUNCTION("""COMPUTED_VALUE"""),"BCGY11TCV")</f>
        <v>BCGY11TCV</v>
      </c>
      <c r="B5" s="2">
        <f ca="1">IFERROR(__xludf.DUMMYFUNCTION("""COMPUTED_VALUE"""),155)</f>
        <v>155</v>
      </c>
      <c r="C5" s="2">
        <f ca="1">IFERROR(__xludf.DUMMYFUNCTION("""COMPUTED_VALUE"""),155)</f>
        <v>155</v>
      </c>
      <c r="D5" s="2">
        <f ca="1">IFERROR(__xludf.DUMMYFUNCTION("""COMPUTED_VALUE"""),155)</f>
        <v>155</v>
      </c>
      <c r="E5" s="2">
        <f ca="1">IFERROR(__xludf.DUMMYFUNCTION("""COMPUTED_VALUE"""),0)</f>
        <v>0</v>
      </c>
    </row>
    <row r="6" spans="1:5">
      <c r="A6" s="2" t="str">
        <f ca="1">IFERROR(__xludf.DUMMYFUNCTION("""COMPUTED_VALUE"""),"BCGY18T")</f>
        <v>BCGY18T</v>
      </c>
      <c r="B6" s="2">
        <f ca="1">IFERROR(__xludf.DUMMYFUNCTION("""COMPUTED_VALUE"""),310)</f>
        <v>310</v>
      </c>
      <c r="C6" s="2">
        <f ca="1">IFERROR(__xludf.DUMMYFUNCTION("""COMPUTED_VALUE"""),314)</f>
        <v>314</v>
      </c>
      <c r="D6" s="2">
        <f ca="1">IFERROR(__xludf.DUMMYFUNCTION("""COMPUTED_VALUE"""),310)</f>
        <v>310</v>
      </c>
      <c r="E6" s="2">
        <f ca="1">IFERROR(__xludf.DUMMYFUNCTION("""COMPUTED_VALUE"""),4)</f>
        <v>4</v>
      </c>
    </row>
    <row r="7" spans="1:5">
      <c r="A7" s="2" t="str">
        <f ca="1">IFERROR(__xludf.DUMMYFUNCTION("""COMPUTED_VALUE"""),"BCGY18TCV")</f>
        <v>BCGY18TCV</v>
      </c>
      <c r="B7" s="2">
        <f ca="1">IFERROR(__xludf.DUMMYFUNCTION("""COMPUTED_VALUE"""),103)</f>
        <v>103</v>
      </c>
      <c r="C7" s="2">
        <f ca="1">IFERROR(__xludf.DUMMYFUNCTION("""COMPUTED_VALUE"""),103)</f>
        <v>103</v>
      </c>
      <c r="D7" s="2">
        <f ca="1">IFERROR(__xludf.DUMMYFUNCTION("""COMPUTED_VALUE"""),103)</f>
        <v>103</v>
      </c>
      <c r="E7" s="2">
        <f ca="1">IFERROR(__xludf.DUMMYFUNCTION("""COMPUTED_VALUE"""),0)</f>
        <v>0</v>
      </c>
    </row>
    <row r="8" spans="1:5">
      <c r="A8" s="2" t="str">
        <f ca="1">IFERROR(__xludf.DUMMYFUNCTION("""COMPUTED_VALUE"""),"BCGY22T")</f>
        <v>BCGY22T</v>
      </c>
      <c r="B8" s="2">
        <f ca="1">IFERROR(__xludf.DUMMYFUNCTION("""COMPUTED_VALUE"""),78)</f>
        <v>78</v>
      </c>
      <c r="C8" s="2">
        <f ca="1">IFERROR(__xludf.DUMMYFUNCTION("""COMPUTED_VALUE"""),78)</f>
        <v>78</v>
      </c>
      <c r="D8" s="2">
        <f ca="1">IFERROR(__xludf.DUMMYFUNCTION("""COMPUTED_VALUE"""),78)</f>
        <v>78</v>
      </c>
      <c r="E8" s="2">
        <f ca="1">IFERROR(__xludf.DUMMYFUNCTION("""COMPUTED_VALUE"""),0)</f>
        <v>0</v>
      </c>
    </row>
    <row r="9" spans="1:5">
      <c r="A9" s="2" t="str">
        <f ca="1">IFERROR(__xludf.DUMMYFUNCTION("""COMPUTED_VALUE"""),"BCGY22TCV")</f>
        <v>BCGY22TCV</v>
      </c>
      <c r="B9" s="2">
        <f ca="1">IFERROR(__xludf.DUMMYFUNCTION("""COMPUTED_VALUE"""),155)</f>
        <v>155</v>
      </c>
      <c r="C9" s="2">
        <f ca="1">IFERROR(__xludf.DUMMYFUNCTION("""COMPUTED_VALUE"""),205)</f>
        <v>205</v>
      </c>
      <c r="D9" s="2">
        <f ca="1">IFERROR(__xludf.DUMMYFUNCTION("""COMPUTED_VALUE"""),155)</f>
        <v>155</v>
      </c>
      <c r="E9" s="2">
        <f ca="1">IFERROR(__xludf.DUMMYFUNCTION("""COMPUTED_VALUE"""),50)</f>
        <v>50</v>
      </c>
    </row>
    <row r="10" spans="1:5">
      <c r="A10" s="2" t="str">
        <f ca="1">IFERROR(__xludf.DUMMYFUNCTION("""COMPUTED_VALUE"""),"BCGY33T")</f>
        <v>BCGY33T</v>
      </c>
      <c r="B10" s="2">
        <f ca="1">IFERROR(__xludf.DUMMYFUNCTION("""COMPUTED_VALUE"""),77)</f>
        <v>77</v>
      </c>
      <c r="C10" s="2">
        <f ca="1">IFERROR(__xludf.DUMMYFUNCTION("""COMPUTED_VALUE"""),77)</f>
        <v>77</v>
      </c>
      <c r="D10" s="2">
        <f ca="1">IFERROR(__xludf.DUMMYFUNCTION("""COMPUTED_VALUE"""),77)</f>
        <v>77</v>
      </c>
      <c r="E10" s="2">
        <f ca="1">IFERROR(__xludf.DUMMYFUNCTION("""COMPUTED_VALUE"""),0)</f>
        <v>0</v>
      </c>
    </row>
    <row r="11" spans="1:5">
      <c r="A11" s="2" t="str">
        <f ca="1">IFERROR(__xludf.DUMMYFUNCTION("""COMPUTED_VALUE"""),"BCGY33TCV")</f>
        <v>BCGY33TCV</v>
      </c>
      <c r="B11" s="2">
        <f ca="1">IFERROR(__xludf.DUMMYFUNCTION("""COMPUTED_VALUE"""),273)</f>
        <v>273</v>
      </c>
      <c r="C11" s="2">
        <f ca="1">IFERROR(__xludf.DUMMYFUNCTION("""COMPUTED_VALUE"""),323)</f>
        <v>323</v>
      </c>
      <c r="D11" s="2">
        <f ca="1">IFERROR(__xludf.DUMMYFUNCTION("""COMPUTED_VALUE"""),273)</f>
        <v>273</v>
      </c>
      <c r="E11" s="2">
        <f ca="1">IFERROR(__xludf.DUMMYFUNCTION("""COMPUTED_VALUE"""),50)</f>
        <v>50</v>
      </c>
    </row>
    <row r="12" spans="1:5">
      <c r="A12" s="2" t="str">
        <f ca="1">IFERROR(__xludf.DUMMYFUNCTION("""COMPUTED_VALUE"""),"BCGY37T")</f>
        <v>BCGY37T</v>
      </c>
      <c r="B12" s="2">
        <f ca="1">IFERROR(__xludf.DUMMYFUNCTION("""COMPUTED_VALUE"""),70)</f>
        <v>70</v>
      </c>
      <c r="C12" s="2">
        <f ca="1">IFERROR(__xludf.DUMMYFUNCTION("""COMPUTED_VALUE"""),70)</f>
        <v>70</v>
      </c>
      <c r="D12" s="2">
        <f ca="1">IFERROR(__xludf.DUMMYFUNCTION("""COMPUTED_VALUE"""),70)</f>
        <v>70</v>
      </c>
      <c r="E12" s="2">
        <f ca="1">IFERROR(__xludf.DUMMYFUNCTION("""COMPUTED_VALUE"""),0)</f>
        <v>0</v>
      </c>
    </row>
    <row r="13" spans="1:5">
      <c r="A13" s="2" t="str">
        <f ca="1">IFERROR(__xludf.DUMMYFUNCTION("""COMPUTED_VALUE"""),"BCGY37TCV")</f>
        <v>BCGY37TCV</v>
      </c>
      <c r="B13" s="2">
        <f ca="1">IFERROR(__xludf.DUMMYFUNCTION("""COMPUTED_VALUE"""),39)</f>
        <v>39</v>
      </c>
      <c r="C13" s="2">
        <f ca="1">IFERROR(__xludf.DUMMYFUNCTION("""COMPUTED_VALUE"""),39)</f>
        <v>39</v>
      </c>
      <c r="D13" s="2">
        <f ca="1">IFERROR(__xludf.DUMMYFUNCTION("""COMPUTED_VALUE"""),39)</f>
        <v>39</v>
      </c>
      <c r="E13" s="2">
        <f ca="1">IFERROR(__xludf.DUMMYFUNCTION("""COMPUTED_VALUE"""),0)</f>
        <v>0</v>
      </c>
    </row>
    <row r="14" spans="1:5">
      <c r="A14" s="2" t="str">
        <f ca="1">IFERROR(__xludf.DUMMYFUNCTION("""COMPUTED_VALUE"""),"BCGY40T")</f>
        <v>BCGY40T</v>
      </c>
      <c r="B14" s="2">
        <f ca="1">IFERROR(__xludf.DUMMYFUNCTION("""COMPUTED_VALUE"""),122)</f>
        <v>122</v>
      </c>
      <c r="C14" s="2">
        <f ca="1">IFERROR(__xludf.DUMMYFUNCTION("""COMPUTED_VALUE"""),122)</f>
        <v>122</v>
      </c>
      <c r="D14" s="2">
        <f ca="1">IFERROR(__xludf.DUMMYFUNCTION("""COMPUTED_VALUE"""),122)</f>
        <v>122</v>
      </c>
      <c r="E14" s="2">
        <f ca="1">IFERROR(__xludf.DUMMYFUNCTION("""COMPUTED_VALUE"""),0)</f>
        <v>0</v>
      </c>
    </row>
    <row r="15" spans="1:5">
      <c r="A15" s="2" t="str">
        <f ca="1">IFERROR(__xludf.DUMMYFUNCTION("""COMPUTED_VALUE"""),"BCGY40TCV")</f>
        <v>BCGY40TCV</v>
      </c>
      <c r="B15" s="2">
        <f ca="1">IFERROR(__xludf.DUMMYFUNCTION("""COMPUTED_VALUE"""),31)</f>
        <v>31</v>
      </c>
      <c r="C15" s="2">
        <f ca="1">IFERROR(__xludf.DUMMYFUNCTION("""COMPUTED_VALUE"""),31)</f>
        <v>31</v>
      </c>
      <c r="D15" s="2">
        <f ca="1">IFERROR(__xludf.DUMMYFUNCTION("""COMPUTED_VALUE"""),31)</f>
        <v>31</v>
      </c>
      <c r="E15" s="2">
        <f ca="1">IFERROR(__xludf.DUMMYFUNCTION("""COMPUTED_VALUE"""),0)</f>
        <v>0</v>
      </c>
    </row>
    <row r="16" spans="1:5">
      <c r="A16" s="2" t="str">
        <f ca="1">IFERROR(__xludf.DUMMYFUNCTION("""COMPUTED_VALUE"""),"BCGY72T")</f>
        <v>BCGY72T</v>
      </c>
      <c r="B16" s="2">
        <f ca="1">IFERROR(__xludf.DUMMYFUNCTION("""COMPUTED_VALUE"""),87)</f>
        <v>87</v>
      </c>
      <c r="C16" s="2">
        <f ca="1">IFERROR(__xludf.DUMMYFUNCTION("""COMPUTED_VALUE"""),118)</f>
        <v>118</v>
      </c>
      <c r="D16" s="2">
        <f ca="1">IFERROR(__xludf.DUMMYFUNCTION("""COMPUTED_VALUE"""),87)</f>
        <v>87</v>
      </c>
      <c r="E16" s="2">
        <f ca="1">IFERROR(__xludf.DUMMYFUNCTION("""COMPUTED_VALUE"""),31)</f>
        <v>31</v>
      </c>
    </row>
    <row r="17" spans="1:5">
      <c r="A17" s="2" t="str">
        <f ca="1">IFERROR(__xludf.DUMMYFUNCTION("""COMPUTED_VALUE"""),"BCGY72TCV")</f>
        <v>BCGY72TCV</v>
      </c>
      <c r="B17" s="2">
        <f ca="1">IFERROR(__xludf.DUMMYFUNCTION("""COMPUTED_VALUE"""),44)</f>
        <v>44</v>
      </c>
      <c r="C17" s="2">
        <f ca="1">IFERROR(__xludf.DUMMYFUNCTION("""COMPUTED_VALUE"""),64)</f>
        <v>64</v>
      </c>
      <c r="D17" s="2">
        <f ca="1">IFERROR(__xludf.DUMMYFUNCTION("""COMPUTED_VALUE"""),44)</f>
        <v>44</v>
      </c>
      <c r="E17" s="2">
        <f ca="1">IFERROR(__xludf.DUMMYFUNCTION("""COMPUTED_VALUE"""),20)</f>
        <v>20</v>
      </c>
    </row>
    <row r="18" spans="1:5">
      <c r="A18" s="2" t="str">
        <f ca="1">IFERROR(__xludf.DUMMYFUNCTION("""COMPUTED_VALUE"""),"BCGY73T")</f>
        <v>BCGY73T</v>
      </c>
      <c r="B18" s="2">
        <f ca="1">IFERROR(__xludf.DUMMYFUNCTION("""COMPUTED_VALUE"""),261)</f>
        <v>261</v>
      </c>
      <c r="C18" s="2">
        <f ca="1">IFERROR(__xludf.DUMMYFUNCTION("""COMPUTED_VALUE"""),274)</f>
        <v>274</v>
      </c>
      <c r="D18" s="2">
        <f ca="1">IFERROR(__xludf.DUMMYFUNCTION("""COMPUTED_VALUE"""),261)</f>
        <v>261</v>
      </c>
      <c r="E18" s="2">
        <f ca="1">IFERROR(__xludf.DUMMYFUNCTION("""COMPUTED_VALUE"""),13)</f>
        <v>13</v>
      </c>
    </row>
    <row r="19" spans="1:5">
      <c r="A19" s="2" t="str">
        <f ca="1">IFERROR(__xludf.DUMMYFUNCTION("""COMPUTED_VALUE"""),"BCGY73TCV")</f>
        <v>BCGY73TCV</v>
      </c>
      <c r="B19" s="2">
        <f ca="1">IFERROR(__xludf.DUMMYFUNCTION("""COMPUTED_VALUE"""),69)</f>
        <v>69</v>
      </c>
      <c r="C19" s="2">
        <f ca="1">IFERROR(__xludf.DUMMYFUNCTION("""COMPUTED_VALUE"""),108)</f>
        <v>108</v>
      </c>
      <c r="D19" s="2">
        <f ca="1">IFERROR(__xludf.DUMMYFUNCTION("""COMPUTED_VALUE"""),69)</f>
        <v>69</v>
      </c>
      <c r="E19" s="2">
        <f ca="1">IFERROR(__xludf.DUMMYFUNCTION("""COMPUTED_VALUE"""),39)</f>
        <v>39</v>
      </c>
    </row>
    <row r="20" spans="1:5">
      <c r="A20" s="2" t="str">
        <f ca="1">IFERROR(__xludf.DUMMYFUNCTION("""COMPUTED_VALUE"""),"BCGY75T")</f>
        <v>BCGY75T</v>
      </c>
      <c r="B20" s="2">
        <f ca="1">IFERROR(__xludf.DUMMYFUNCTION("""COMPUTED_VALUE"""),63)</f>
        <v>63</v>
      </c>
      <c r="C20" s="2">
        <f ca="1">IFERROR(__xludf.DUMMYFUNCTION("""COMPUTED_VALUE"""),78)</f>
        <v>78</v>
      </c>
      <c r="D20" s="2">
        <f ca="1">IFERROR(__xludf.DUMMYFUNCTION("""COMPUTED_VALUE"""),63)</f>
        <v>63</v>
      </c>
      <c r="E20" s="2">
        <f ca="1">IFERROR(__xludf.DUMMYFUNCTION("""COMPUTED_VALUE"""),15)</f>
        <v>15</v>
      </c>
    </row>
    <row r="21" spans="1:5">
      <c r="A21" s="2" t="str">
        <f ca="1">IFERROR(__xludf.DUMMYFUNCTION("""COMPUTED_VALUE"""),"BCGY75TCV")</f>
        <v>BCGY75TCV</v>
      </c>
      <c r="B21" s="2">
        <f ca="1">IFERROR(__xludf.DUMMYFUNCTION("""COMPUTED_VALUE"""),48)</f>
        <v>48</v>
      </c>
      <c r="C21" s="2">
        <f ca="1">IFERROR(__xludf.DUMMYFUNCTION("""COMPUTED_VALUE"""),53)</f>
        <v>53</v>
      </c>
      <c r="D21" s="2">
        <f ca="1">IFERROR(__xludf.DUMMYFUNCTION("""COMPUTED_VALUE"""),48)</f>
        <v>48</v>
      </c>
      <c r="E21" s="2">
        <f ca="1">IFERROR(__xludf.DUMMYFUNCTION("""COMPUTED_VALUE"""),5)</f>
        <v>5</v>
      </c>
    </row>
    <row r="22" spans="1:5">
      <c r="A22" s="2" t="str">
        <f ca="1">IFERROR(__xludf.DUMMYFUNCTION("""COMPUTED_VALUE"""),"BCTRANG")</f>
        <v>BCTRANG</v>
      </c>
      <c r="B22" s="2">
        <f ca="1">IFERROR(__xludf.DUMMYFUNCTION("""COMPUTED_VALUE"""),7297.17)</f>
        <v>7297.17</v>
      </c>
      <c r="C22" s="2">
        <f ca="1">IFERROR(__xludf.DUMMYFUNCTION("""COMPUTED_VALUE"""),8345.97)</f>
        <v>8345.9699999999993</v>
      </c>
      <c r="D22" s="2">
        <f ca="1">IFERROR(__xludf.DUMMYFUNCTION("""COMPUTED_VALUE"""),7297.17)</f>
        <v>7297.17</v>
      </c>
      <c r="E22" s="2">
        <f ca="1">IFERROR(__xludf.DUMMYFUNCTION("""COMPUTED_VALUE"""),1048.8)</f>
        <v>1048.8</v>
      </c>
    </row>
    <row r="23" spans="1:5">
      <c r="A23" s="2" t="str">
        <f ca="1">IFERROR(__xludf.DUMMYFUNCTION("""COMPUTED_VALUE"""),"BDNEKC102A")</f>
        <v>BDNEKC102A</v>
      </c>
      <c r="B23" s="2">
        <f ca="1">IFERROR(__xludf.DUMMYFUNCTION("""COMPUTED_VALUE"""),38)</f>
        <v>38</v>
      </c>
      <c r="C23" s="2">
        <f ca="1">IFERROR(__xludf.DUMMYFUNCTION("""COMPUTED_VALUE"""),38)</f>
        <v>38</v>
      </c>
      <c r="D23" s="2">
        <f ca="1">IFERROR(__xludf.DUMMYFUNCTION("""COMPUTED_VALUE"""),38)</f>
        <v>38</v>
      </c>
      <c r="E23" s="2">
        <f ca="1">IFERROR(__xludf.DUMMYFUNCTION("""COMPUTED_VALUE"""),0)</f>
        <v>0</v>
      </c>
    </row>
    <row r="24" spans="1:5" ht="12.75">
      <c r="A24" s="2" t="str">
        <f ca="1">IFERROR(__xludf.DUMMYFUNCTION("""COMPUTED_VALUE"""),"BDNEKC102C")</f>
        <v>BDNEKC102C</v>
      </c>
      <c r="B24" s="2">
        <f ca="1">IFERROR(__xludf.DUMMYFUNCTION("""COMPUTED_VALUE"""),30)</f>
        <v>30</v>
      </c>
      <c r="C24" s="2">
        <f ca="1">IFERROR(__xludf.DUMMYFUNCTION("""COMPUTED_VALUE"""),30)</f>
        <v>30</v>
      </c>
      <c r="D24" s="2">
        <f ca="1">IFERROR(__xludf.DUMMYFUNCTION("""COMPUTED_VALUE"""),30)</f>
        <v>30</v>
      </c>
      <c r="E24" s="2">
        <f ca="1">IFERROR(__xludf.DUMMYFUNCTION("""COMPUTED_VALUE"""),0)</f>
        <v>0</v>
      </c>
    </row>
    <row r="25" spans="1:5" ht="12.75">
      <c r="A25" s="2" t="str">
        <f ca="1">IFERROR(__xludf.DUMMYFUNCTION("""COMPUTED_VALUE"""),"BKDH89X30")</f>
        <v>BKDH89X30</v>
      </c>
      <c r="B25" s="2">
        <f ca="1">IFERROR(__xludf.DUMMYFUNCTION("""COMPUTED_VALUE"""),4)</f>
        <v>4</v>
      </c>
      <c r="C25" s="2">
        <f ca="1">IFERROR(__xludf.DUMMYFUNCTION("""COMPUTED_VALUE"""),4)</f>
        <v>4</v>
      </c>
      <c r="D25" s="2">
        <f ca="1">IFERROR(__xludf.DUMMYFUNCTION("""COMPUTED_VALUE"""),4)</f>
        <v>4</v>
      </c>
      <c r="E25" s="2">
        <f ca="1">IFERROR(__xludf.DUMMYFUNCTION("""COMPUTED_VALUE"""),0)</f>
        <v>0</v>
      </c>
    </row>
    <row r="26" spans="1:5" ht="12.75">
      <c r="A26" s="2" t="str">
        <f ca="1">IFERROR(__xludf.DUMMYFUNCTION("""COMPUTED_VALUE"""),"BM4060")</f>
        <v>BM4060</v>
      </c>
      <c r="B26" s="2">
        <f ca="1">IFERROR(__xludf.DUMMYFUNCTION("""COMPUTED_VALUE"""),266)</f>
        <v>266</v>
      </c>
      <c r="C26" s="2">
        <f ca="1">IFERROR(__xludf.DUMMYFUNCTION("""COMPUTED_VALUE"""),266)</f>
        <v>266</v>
      </c>
      <c r="D26" s="2">
        <f ca="1">IFERROR(__xludf.DUMMYFUNCTION("""COMPUTED_VALUE"""),266)</f>
        <v>266</v>
      </c>
      <c r="E26" s="2">
        <f ca="1">IFERROR(__xludf.DUMMYFUNCTION("""COMPUTED_VALUE"""),0)</f>
        <v>0</v>
      </c>
    </row>
    <row r="27" spans="1:5" ht="12.75">
      <c r="A27" s="2" t="str">
        <f ca="1">IFERROR(__xludf.DUMMYFUNCTION("""COMPUTED_VALUE"""),"BM6080")</f>
        <v>BM6080</v>
      </c>
      <c r="B27" s="2">
        <f ca="1">IFERROR(__xludf.DUMMYFUNCTION("""COMPUTED_VALUE"""),243)</f>
        <v>243</v>
      </c>
      <c r="C27" s="2">
        <f ca="1">IFERROR(__xludf.DUMMYFUNCTION("""COMPUTED_VALUE"""),256)</f>
        <v>256</v>
      </c>
      <c r="D27" s="2">
        <f ca="1">IFERROR(__xludf.DUMMYFUNCTION("""COMPUTED_VALUE"""),243)</f>
        <v>243</v>
      </c>
      <c r="E27" s="2">
        <f ca="1">IFERROR(__xludf.DUMMYFUNCTION("""COMPUTED_VALUE"""),13)</f>
        <v>13</v>
      </c>
    </row>
    <row r="28" spans="1:5" ht="12.75">
      <c r="A28" s="2" t="str">
        <f ca="1">IFERROR(__xludf.DUMMYFUNCTION("""COMPUTED_VALUE"""),"BOMCS")</f>
        <v>BOMCS</v>
      </c>
      <c r="B28" s="2">
        <f ca="1">IFERROR(__xludf.DUMMYFUNCTION("""COMPUTED_VALUE"""),10)</f>
        <v>10</v>
      </c>
      <c r="C28" s="2">
        <f ca="1">IFERROR(__xludf.DUMMYFUNCTION("""COMPUTED_VALUE"""),10)</f>
        <v>10</v>
      </c>
      <c r="D28" s="2">
        <f ca="1">IFERROR(__xludf.DUMMYFUNCTION("""COMPUTED_VALUE"""),10)</f>
        <v>10</v>
      </c>
      <c r="E28" s="2">
        <f ca="1">IFERROR(__xludf.DUMMYFUNCTION("""COMPUTED_VALUE"""),0)</f>
        <v>0</v>
      </c>
    </row>
    <row r="29" spans="1:5" ht="12.75">
      <c r="A29" s="2" t="str">
        <f ca="1">IFERROR(__xludf.DUMMYFUNCTION("""COMPUTED_VALUE"""),"BTTO43X50CB")</f>
        <v>BTTO43X50CB</v>
      </c>
      <c r="B29" s="2">
        <f ca="1">IFERROR(__xludf.DUMMYFUNCTION("""COMPUTED_VALUE"""),11)</f>
        <v>11</v>
      </c>
      <c r="C29" s="2">
        <f ca="1">IFERROR(__xludf.DUMMYFUNCTION("""COMPUTED_VALUE"""),11)</f>
        <v>11</v>
      </c>
      <c r="D29" s="2">
        <f ca="1">IFERROR(__xludf.DUMMYFUNCTION("""COMPUTED_VALUE"""),11)</f>
        <v>11</v>
      </c>
      <c r="E29" s="2">
        <f ca="1">IFERROR(__xludf.DUMMYFUNCTION("""COMPUTED_VALUE"""),0)</f>
        <v>0</v>
      </c>
    </row>
    <row r="30" spans="1:5" ht="12.75">
      <c r="A30" s="2" t="str">
        <f ca="1">IFERROR(__xludf.DUMMYFUNCTION("""COMPUTED_VALUE"""),"C02BCMĐ01")</f>
        <v>C02BCMĐ01</v>
      </c>
      <c r="B30" s="2">
        <f ca="1">IFERROR(__xludf.DUMMYFUNCTION("""COMPUTED_VALUE"""),1)</f>
        <v>1</v>
      </c>
      <c r="C30" s="2">
        <f ca="1">IFERROR(__xludf.DUMMYFUNCTION("""COMPUTED_VALUE"""),1)</f>
        <v>1</v>
      </c>
      <c r="D30" s="2">
        <f ca="1">IFERROR(__xludf.DUMMYFUNCTION("""COMPUTED_VALUE"""),1)</f>
        <v>1</v>
      </c>
      <c r="E30" s="2">
        <f ca="1">IFERROR(__xludf.DUMMYFUNCTION("""COMPUTED_VALUE"""),0)</f>
        <v>0</v>
      </c>
    </row>
    <row r="31" spans="1:5" ht="12.75">
      <c r="A31" s="2" t="str">
        <f ca="1">IFERROR(__xludf.DUMMYFUNCTION("""COMPUTED_VALUE"""),"C02BCMĐ02")</f>
        <v>C02BCMĐ02</v>
      </c>
      <c r="B31" s="2">
        <f ca="1">IFERROR(__xludf.DUMMYFUNCTION("""COMPUTED_VALUE"""),1)</f>
        <v>1</v>
      </c>
      <c r="C31" s="2">
        <f ca="1">IFERROR(__xludf.DUMMYFUNCTION("""COMPUTED_VALUE"""),1)</f>
        <v>1</v>
      </c>
      <c r="D31" s="2">
        <f ca="1">IFERROR(__xludf.DUMMYFUNCTION("""COMPUTED_VALUE"""),1)</f>
        <v>1</v>
      </c>
      <c r="E31" s="2">
        <f ca="1">IFERROR(__xludf.DUMMYFUNCTION("""COMPUTED_VALUE"""),0)</f>
        <v>0</v>
      </c>
    </row>
    <row r="32" spans="1:5" ht="12.75">
      <c r="A32" s="2" t="str">
        <f ca="1">IFERROR(__xludf.DUMMYFUNCTION("""COMPUTED_VALUE"""),"CAOSUGC")</f>
        <v>CAOSUGC</v>
      </c>
      <c r="B32" s="2">
        <f ca="1">IFERROR(__xludf.DUMMYFUNCTION("""COMPUTED_VALUE"""),10)</f>
        <v>10</v>
      </c>
      <c r="C32" s="2">
        <f ca="1">IFERROR(__xludf.DUMMYFUNCTION("""COMPUTED_VALUE"""),10)</f>
        <v>10</v>
      </c>
      <c r="D32" s="2">
        <f ca="1">IFERROR(__xludf.DUMMYFUNCTION("""COMPUTED_VALUE"""),10)</f>
        <v>10</v>
      </c>
      <c r="E32" s="2">
        <f ca="1">IFERROR(__xludf.DUMMYFUNCTION("""COMPUTED_VALUE"""),0)</f>
        <v>0</v>
      </c>
    </row>
    <row r="33" spans="1:5" ht="12.75">
      <c r="A33" s="2" t="str">
        <f ca="1">IFERROR(__xludf.DUMMYFUNCTION("""COMPUTED_VALUE"""),"CAPMAU")</f>
        <v>CAPMAU</v>
      </c>
      <c r="B33" s="2">
        <f ca="1">IFERROR(__xludf.DUMMYFUNCTION("""COMPUTED_VALUE"""),99965103.9)</f>
        <v>99965103.900000006</v>
      </c>
      <c r="C33" s="2">
        <f ca="1">IFERROR(__xludf.DUMMYFUNCTION("""COMPUTED_VALUE"""),99966109.9)</f>
        <v>99966109.900000006</v>
      </c>
      <c r="D33" s="2">
        <f ca="1">IFERROR(__xludf.DUMMYFUNCTION("""COMPUTED_VALUE"""),99966060.9)</f>
        <v>99966060.900000006</v>
      </c>
      <c r="E33" s="2">
        <f ca="1">IFERROR(__xludf.DUMMYFUNCTION("""COMPUTED_VALUE"""),49)</f>
        <v>49</v>
      </c>
    </row>
    <row r="34" spans="1:5" ht="12.75">
      <c r="A34" s="2" t="str">
        <f ca="1">IFERROR(__xludf.DUMMYFUNCTION("""COMPUTED_VALUE"""),"CATALOGAERO")</f>
        <v>CATALOGAERO</v>
      </c>
      <c r="B34" s="2">
        <f ca="1">IFERROR(__xludf.DUMMYFUNCTION("""COMPUTED_VALUE"""),100)</f>
        <v>100</v>
      </c>
      <c r="C34" s="2">
        <f ca="1">IFERROR(__xludf.DUMMYFUNCTION("""COMPUTED_VALUE"""),100)</f>
        <v>100</v>
      </c>
      <c r="D34" s="2">
        <f ca="1">IFERROR(__xludf.DUMMYFUNCTION("""COMPUTED_VALUE"""),100)</f>
        <v>100</v>
      </c>
      <c r="E34" s="2">
        <f ca="1">IFERROR(__xludf.DUMMYFUNCTION("""COMPUTED_VALUE"""),0)</f>
        <v>0</v>
      </c>
    </row>
    <row r="35" spans="1:5" ht="12.75">
      <c r="A35" s="2" t="str">
        <f ca="1">IFERROR(__xludf.DUMMYFUNCTION("""COMPUTED_VALUE"""),"CATALOGBOTHAN")</f>
        <v>CATALOGBOTHAN</v>
      </c>
      <c r="B35" s="2">
        <f ca="1">IFERROR(__xludf.DUMMYFUNCTION("""COMPUTED_VALUE"""),20)</f>
        <v>20</v>
      </c>
      <c r="C35" s="2">
        <f ca="1">IFERROR(__xludf.DUMMYFUNCTION("""COMPUTED_VALUE"""),20)</f>
        <v>20</v>
      </c>
      <c r="D35" s="2">
        <f ca="1">IFERROR(__xludf.DUMMYFUNCTION("""COMPUTED_VALUE"""),20)</f>
        <v>20</v>
      </c>
      <c r="E35" s="2">
        <f ca="1">IFERROR(__xludf.DUMMYFUNCTION("""COMPUTED_VALUE"""),0)</f>
        <v>0</v>
      </c>
    </row>
    <row r="36" spans="1:5" ht="12.75">
      <c r="A36" s="2" t="str">
        <f ca="1">IFERROR(__xludf.DUMMYFUNCTION("""COMPUTED_VALUE"""),"CATALOGODRB")</f>
        <v>CATALOGODRB</v>
      </c>
      <c r="B36" s="2">
        <f ca="1">IFERROR(__xludf.DUMMYFUNCTION("""COMPUTED_VALUE"""),139)</f>
        <v>139</v>
      </c>
      <c r="C36" s="2">
        <f ca="1">IFERROR(__xludf.DUMMYFUNCTION("""COMPUTED_VALUE"""),139)</f>
        <v>139</v>
      </c>
      <c r="D36" s="2">
        <f ca="1">IFERROR(__xludf.DUMMYFUNCTION("""COMPUTED_VALUE"""),139)</f>
        <v>139</v>
      </c>
      <c r="E36" s="2">
        <f ca="1">IFERROR(__xludf.DUMMYFUNCTION("""COMPUTED_VALUE"""),0)</f>
        <v>0</v>
      </c>
    </row>
    <row r="37" spans="1:5" ht="12.75">
      <c r="A37" s="2" t="str">
        <f ca="1">IFERROR(__xludf.DUMMYFUNCTION("""COMPUTED_VALUE"""),"CATALOGODTP")</f>
        <v>CATALOGODTP</v>
      </c>
      <c r="B37" s="2">
        <f ca="1">IFERROR(__xludf.DUMMYFUNCTION("""COMPUTED_VALUE"""),3013)</f>
        <v>3013</v>
      </c>
      <c r="C37" s="2">
        <f ca="1">IFERROR(__xludf.DUMMYFUNCTION("""COMPUTED_VALUE"""),3013)</f>
        <v>3013</v>
      </c>
      <c r="D37" s="2">
        <f ca="1">IFERROR(__xludf.DUMMYFUNCTION("""COMPUTED_VALUE"""),3013)</f>
        <v>3013</v>
      </c>
      <c r="E37" s="2">
        <f ca="1">IFERROR(__xludf.DUMMYFUNCTION("""COMPUTED_VALUE"""),0)</f>
        <v>0</v>
      </c>
    </row>
    <row r="38" spans="1:5" ht="12.75">
      <c r="A38" s="2" t="str">
        <f ca="1">IFERROR(__xludf.DUMMYFUNCTION("""COMPUTED_VALUE"""),"CATALOGTAISEIVN")</f>
        <v>CATALOGTAISEIVN</v>
      </c>
      <c r="B38" s="2">
        <f ca="1">IFERROR(__xludf.DUMMYFUNCTION("""COMPUTED_VALUE"""),190)</f>
        <v>190</v>
      </c>
      <c r="C38" s="2">
        <f ca="1">IFERROR(__xludf.DUMMYFUNCTION("""COMPUTED_VALUE"""),1190)</f>
        <v>1190</v>
      </c>
      <c r="D38" s="2">
        <f ca="1">IFERROR(__xludf.DUMMYFUNCTION("""COMPUTED_VALUE"""),1190)</f>
        <v>1190</v>
      </c>
      <c r="E38" s="2">
        <f ca="1">IFERROR(__xludf.DUMMYFUNCTION("""COMPUTED_VALUE"""),0)</f>
        <v>0</v>
      </c>
    </row>
    <row r="39" spans="1:5" ht="12.75">
      <c r="A39" s="2" t="str">
        <f ca="1">IFERROR(__xludf.DUMMYFUNCTION("""COMPUTED_VALUE"""),"CUQUATYYS15")</f>
        <v>CUQUATYYS15</v>
      </c>
      <c r="B39" s="2">
        <f ca="1">IFERROR(__xludf.DUMMYFUNCTION("""COMPUTED_VALUE"""),4)</f>
        <v>4</v>
      </c>
      <c r="C39" s="2">
        <f ca="1">IFERROR(__xludf.DUMMYFUNCTION("""COMPUTED_VALUE"""),4)</f>
        <v>4</v>
      </c>
      <c r="D39" s="2">
        <f ca="1">IFERROR(__xludf.DUMMYFUNCTION("""COMPUTED_VALUE"""),4)</f>
        <v>4</v>
      </c>
      <c r="E39" s="2">
        <f ca="1">IFERROR(__xludf.DUMMYFUNCTION("""COMPUTED_VALUE"""),0)</f>
        <v>0</v>
      </c>
    </row>
    <row r="40" spans="1:5" ht="12.75">
      <c r="A40" s="2" t="str">
        <f ca="1">IFERROR(__xludf.DUMMYFUNCTION("""COMPUTED_VALUE"""),"DAN09")</f>
        <v>DAN09</v>
      </c>
      <c r="B40" s="2">
        <f ca="1">IFERROR(__xludf.DUMMYFUNCTION("""COMPUTED_VALUE"""),240)</f>
        <v>240</v>
      </c>
      <c r="C40" s="2">
        <f ca="1">IFERROR(__xludf.DUMMYFUNCTION("""COMPUTED_VALUE"""),240)</f>
        <v>240</v>
      </c>
      <c r="D40" s="2">
        <f ca="1">IFERROR(__xludf.DUMMYFUNCTION("""COMPUTED_VALUE"""),240)</f>
        <v>240</v>
      </c>
      <c r="E40" s="2">
        <f ca="1">IFERROR(__xludf.DUMMYFUNCTION("""COMPUTED_VALUE"""),0)</f>
        <v>0</v>
      </c>
    </row>
    <row r="41" spans="1:5" ht="12.75">
      <c r="A41" s="2" t="str">
        <f ca="1">IFERROR(__xludf.DUMMYFUNCTION("""COMPUTED_VALUE"""),"DAN11C")</f>
        <v>DAN11C</v>
      </c>
      <c r="B41" s="2">
        <f ca="1">IFERROR(__xludf.DUMMYFUNCTION("""COMPUTED_VALUE"""),43)</f>
        <v>43</v>
      </c>
      <c r="C41" s="2">
        <f ca="1">IFERROR(__xludf.DUMMYFUNCTION("""COMPUTED_VALUE"""),43)</f>
        <v>43</v>
      </c>
      <c r="D41" s="2">
        <f ca="1">IFERROR(__xludf.DUMMYFUNCTION("""COMPUTED_VALUE"""),43)</f>
        <v>43</v>
      </c>
      <c r="E41" s="2">
        <f ca="1">IFERROR(__xludf.DUMMYFUNCTION("""COMPUTED_VALUE"""),0)</f>
        <v>0</v>
      </c>
    </row>
    <row r="42" spans="1:5" ht="12.75">
      <c r="A42" s="2" t="str">
        <f ca="1">IFERROR(__xludf.DUMMYFUNCTION("""COMPUTED_VALUE"""),"DAN2.5HPBLUE")</f>
        <v>DAN2.5HPBLUE</v>
      </c>
      <c r="B42" s="2">
        <f ca="1">IFERROR(__xludf.DUMMYFUNCTION("""COMPUTED_VALUE"""),1)</f>
        <v>1</v>
      </c>
      <c r="C42" s="2">
        <f ca="1">IFERROR(__xludf.DUMMYFUNCTION("""COMPUTED_VALUE"""),1)</f>
        <v>1</v>
      </c>
      <c r="D42" s="2">
        <f ca="1">IFERROR(__xludf.DUMMYFUNCTION("""COMPUTED_VALUE"""),1)</f>
        <v>1</v>
      </c>
      <c r="E42" s="2">
        <f ca="1">IFERROR(__xludf.DUMMYFUNCTION("""COMPUTED_VALUE"""),0)</f>
        <v>0</v>
      </c>
    </row>
    <row r="43" spans="1:5" ht="12.75">
      <c r="A43" s="2" t="str">
        <f ca="1">IFERROR(__xludf.DUMMYFUNCTION("""COMPUTED_VALUE"""),"DAN3HPSB")</f>
        <v>DAN3HPSB</v>
      </c>
      <c r="B43" s="2">
        <f ca="1">IFERROR(__xludf.DUMMYFUNCTION("""COMPUTED_VALUE"""),2)</f>
        <v>2</v>
      </c>
      <c r="C43" s="2">
        <f ca="1">IFERROR(__xludf.DUMMYFUNCTION("""COMPUTED_VALUE"""),2)</f>
        <v>2</v>
      </c>
      <c r="D43" s="2">
        <f ca="1">IFERROR(__xludf.DUMMYFUNCTION("""COMPUTED_VALUE"""),2)</f>
        <v>2</v>
      </c>
      <c r="E43" s="2">
        <f ca="1">IFERROR(__xludf.DUMMYFUNCTION("""COMPUTED_VALUE"""),0)</f>
        <v>0</v>
      </c>
    </row>
    <row r="44" spans="1:5" ht="12.75">
      <c r="A44" s="2" t="str">
        <f ca="1">IFERROR(__xludf.DUMMYFUNCTION("""COMPUTED_VALUE"""),"DAN3HPSB2q")</f>
        <v>DAN3HPSB2q</v>
      </c>
      <c r="B44" s="2">
        <f ca="1">IFERROR(__xludf.DUMMYFUNCTION("""COMPUTED_VALUE"""),1)</f>
        <v>1</v>
      </c>
      <c r="C44" s="2">
        <f ca="1">IFERROR(__xludf.DUMMYFUNCTION("""COMPUTED_VALUE"""),1)</f>
        <v>1</v>
      </c>
      <c r="D44" s="2">
        <f ca="1">IFERROR(__xludf.DUMMYFUNCTION("""COMPUTED_VALUE"""),1)</f>
        <v>1</v>
      </c>
      <c r="E44" s="2">
        <f ca="1">IFERROR(__xludf.DUMMYFUNCTION("""COMPUTED_VALUE"""),0)</f>
        <v>0</v>
      </c>
    </row>
    <row r="45" spans="1:5" ht="12.75">
      <c r="A45" s="2" t="str">
        <f ca="1">IFERROR(__xludf.DUMMYFUNCTION("""COMPUTED_VALUE"""),"DANDN34CQ")</f>
        <v>DANDN34CQ</v>
      </c>
      <c r="B45" s="2">
        <f ca="1">IFERROR(__xludf.DUMMYFUNCTION("""COMPUTED_VALUE"""),47)</f>
        <v>47</v>
      </c>
      <c r="C45" s="2">
        <f ca="1">IFERROR(__xludf.DUMMYFUNCTION("""COMPUTED_VALUE"""),47)</f>
        <v>47</v>
      </c>
      <c r="D45" s="2">
        <f ca="1">IFERROR(__xludf.DUMMYFUNCTION("""COMPUTED_VALUE"""),47)</f>
        <v>47</v>
      </c>
      <c r="E45" s="2">
        <f ca="1">IFERROR(__xludf.DUMMYFUNCTION("""COMPUTED_VALUE"""),0)</f>
        <v>0</v>
      </c>
    </row>
    <row r="46" spans="1:5" ht="12.75">
      <c r="A46" s="2" t="str">
        <f ca="1">IFERROR(__xludf.DUMMYFUNCTION("""COMPUTED_VALUE"""),"DANDN34KQ")</f>
        <v>DANDN34KQ</v>
      </c>
      <c r="B46" s="2">
        <f ca="1">IFERROR(__xludf.DUMMYFUNCTION("""COMPUTED_VALUE"""),43)</f>
        <v>43</v>
      </c>
      <c r="C46" s="2">
        <f ca="1">IFERROR(__xludf.DUMMYFUNCTION("""COMPUTED_VALUE"""),43)</f>
        <v>43</v>
      </c>
      <c r="D46" s="2">
        <f ca="1">IFERROR(__xludf.DUMMYFUNCTION("""COMPUTED_VALUE"""),43)</f>
        <v>43</v>
      </c>
      <c r="E46" s="2">
        <f ca="1">IFERROR(__xludf.DUMMYFUNCTION("""COMPUTED_VALUE"""),0)</f>
        <v>0</v>
      </c>
    </row>
    <row r="47" spans="1:5" ht="12.75">
      <c r="A47" s="2" t="str">
        <f ca="1">IFERROR(__xludf.DUMMYFUNCTION("""COMPUTED_VALUE"""),"DANDN44CQ")</f>
        <v>DANDN44CQ</v>
      </c>
      <c r="B47" s="2">
        <f ca="1">IFERROR(__xludf.DUMMYFUNCTION("""COMPUTED_VALUE"""),1)</f>
        <v>1</v>
      </c>
      <c r="C47" s="2">
        <f ca="1">IFERROR(__xludf.DUMMYFUNCTION("""COMPUTED_VALUE"""),1)</f>
        <v>1</v>
      </c>
      <c r="D47" s="2">
        <f ca="1">IFERROR(__xludf.DUMMYFUNCTION("""COMPUTED_VALUE"""),1)</f>
        <v>1</v>
      </c>
      <c r="E47" s="2">
        <f ca="1">IFERROR(__xludf.DUMMYFUNCTION("""COMPUTED_VALUE"""),0)</f>
        <v>0</v>
      </c>
    </row>
    <row r="48" spans="1:5" ht="12.75">
      <c r="A48" s="2" t="str">
        <f ca="1">IFERROR(__xludf.DUMMYFUNCTION("""COMPUTED_VALUE"""),"DANDN44KQ")</f>
        <v>DANDN44KQ</v>
      </c>
      <c r="B48" s="2">
        <f ca="1">IFERROR(__xludf.DUMMYFUNCTION("""COMPUTED_VALUE"""),10)</f>
        <v>10</v>
      </c>
      <c r="C48" s="2">
        <f ca="1">IFERROR(__xludf.DUMMYFUNCTION("""COMPUTED_VALUE"""),10)</f>
        <v>10</v>
      </c>
      <c r="D48" s="2">
        <f ca="1">IFERROR(__xludf.DUMMYFUNCTION("""COMPUTED_VALUE"""),10)</f>
        <v>10</v>
      </c>
      <c r="E48" s="2">
        <f ca="1">IFERROR(__xludf.DUMMYFUNCTION("""COMPUTED_VALUE"""),0)</f>
        <v>0</v>
      </c>
    </row>
    <row r="49" spans="1:5" ht="12.75">
      <c r="A49" s="2" t="str">
        <f ca="1">IFERROR(__xludf.DUMMYFUNCTION("""COMPUTED_VALUE"""),"DANN07C")</f>
        <v>DANN07C</v>
      </c>
      <c r="B49" s="2">
        <f ca="1">IFERROR(__xludf.DUMMYFUNCTION("""COMPUTED_VALUE"""),50)</f>
        <v>50</v>
      </c>
      <c r="C49" s="2">
        <f ca="1">IFERROR(__xludf.DUMMYFUNCTION("""COMPUTED_VALUE"""),50)</f>
        <v>50</v>
      </c>
      <c r="D49" s="2">
        <f ca="1">IFERROR(__xludf.DUMMYFUNCTION("""COMPUTED_VALUE"""),50)</f>
        <v>50</v>
      </c>
      <c r="E49" s="2">
        <f ca="1">IFERROR(__xludf.DUMMYFUNCTION("""COMPUTED_VALUE"""),0)</f>
        <v>0</v>
      </c>
    </row>
    <row r="50" spans="1:5" ht="12.75">
      <c r="A50" s="2" t="str">
        <f ca="1">IFERROR(__xludf.DUMMYFUNCTION("""COMPUTED_VALUE"""),"DANN08C")</f>
        <v>DANN08C</v>
      </c>
      <c r="B50" s="2">
        <f ca="1">IFERROR(__xludf.DUMMYFUNCTION("""COMPUTED_VALUE"""),14)</f>
        <v>14</v>
      </c>
      <c r="C50" s="2">
        <f ca="1">IFERROR(__xludf.DUMMYFUNCTION("""COMPUTED_VALUE"""),14)</f>
        <v>14</v>
      </c>
      <c r="D50" s="2">
        <f ca="1">IFERROR(__xludf.DUMMYFUNCTION("""COMPUTED_VALUE"""),14)</f>
        <v>14</v>
      </c>
      <c r="E50" s="2">
        <f ca="1">IFERROR(__xludf.DUMMYFUNCTION("""COMPUTED_VALUE"""),0)</f>
        <v>0</v>
      </c>
    </row>
    <row r="51" spans="1:5" ht="12.75">
      <c r="A51" s="2" t="str">
        <f ca="1">IFERROR(__xludf.DUMMYFUNCTION("""COMPUTED_VALUE"""),"DANNONG3HP")</f>
        <v>DANNONG3HP</v>
      </c>
      <c r="B51" s="2">
        <f ca="1">IFERROR(__xludf.DUMMYFUNCTION("""COMPUTED_VALUE"""),1)</f>
        <v>1</v>
      </c>
      <c r="C51" s="2">
        <f ca="1">IFERROR(__xludf.DUMMYFUNCTION("""COMPUTED_VALUE"""),1)</f>
        <v>1</v>
      </c>
      <c r="D51" s="2">
        <f ca="1">IFERROR(__xludf.DUMMYFUNCTION("""COMPUTED_VALUE"""),1)</f>
        <v>1</v>
      </c>
      <c r="E51" s="2">
        <f ca="1">IFERROR(__xludf.DUMMYFUNCTION("""COMPUTED_VALUE"""),0)</f>
        <v>0</v>
      </c>
    </row>
    <row r="52" spans="1:5" ht="12.75">
      <c r="A52" s="2" t="str">
        <f ca="1">IFERROR(__xludf.DUMMYFUNCTION("""COMPUTED_VALUE"""),"DAU3GSCN")</f>
        <v>DAU3GSCN</v>
      </c>
      <c r="B52" s="2">
        <f ca="1">IFERROR(__xludf.DUMMYFUNCTION("""COMPUTED_VALUE"""),4)</f>
        <v>4</v>
      </c>
      <c r="C52" s="2">
        <f ca="1">IFERROR(__xludf.DUMMYFUNCTION("""COMPUTED_VALUE"""),4)</f>
        <v>4</v>
      </c>
      <c r="D52" s="2">
        <f ca="1">IFERROR(__xludf.DUMMYFUNCTION("""COMPUTED_VALUE"""),4)</f>
        <v>4</v>
      </c>
      <c r="E52" s="2">
        <f ca="1">IFERROR(__xludf.DUMMYFUNCTION("""COMPUTED_VALUE"""),0)</f>
        <v>0</v>
      </c>
    </row>
    <row r="53" spans="1:5" ht="12.75">
      <c r="A53" s="2" t="str">
        <f ca="1">IFERROR(__xludf.DUMMYFUNCTION("""COMPUTED_VALUE"""),"DAU3GSXS")</f>
        <v>DAU3GSXS</v>
      </c>
      <c r="B53" s="2">
        <f ca="1">IFERROR(__xludf.DUMMYFUNCTION("""COMPUTED_VALUE"""),2)</f>
        <v>2</v>
      </c>
      <c r="C53" s="2">
        <f ca="1">IFERROR(__xludf.DUMMYFUNCTION("""COMPUTED_VALUE"""),2)</f>
        <v>2</v>
      </c>
      <c r="D53" s="2">
        <f ca="1">IFERROR(__xludf.DUMMYFUNCTION("""COMPUTED_VALUE"""),2)</f>
        <v>2</v>
      </c>
      <c r="E53" s="2">
        <f ca="1">IFERROR(__xludf.DUMMYFUNCTION("""COMPUTED_VALUE"""),0)</f>
        <v>0</v>
      </c>
    </row>
    <row r="54" spans="1:5" ht="12.75">
      <c r="A54" s="2" t="str">
        <f ca="1">IFERROR(__xludf.DUMMYFUNCTION("""COMPUTED_VALUE"""),"DAU4GSXS")</f>
        <v>DAU4GSXS</v>
      </c>
      <c r="B54" s="2">
        <f ca="1">IFERROR(__xludf.DUMMYFUNCTION("""COMPUTED_VALUE"""),2)</f>
        <v>2</v>
      </c>
      <c r="C54" s="2">
        <f ca="1">IFERROR(__xludf.DUMMYFUNCTION("""COMPUTED_VALUE"""),2)</f>
        <v>2</v>
      </c>
      <c r="D54" s="2">
        <f ca="1">IFERROR(__xludf.DUMMYFUNCTION("""COMPUTED_VALUE"""),2)</f>
        <v>2</v>
      </c>
      <c r="E54" s="2">
        <f ca="1">IFERROR(__xludf.DUMMYFUNCTION("""COMPUTED_VALUE"""),0)</f>
        <v>0</v>
      </c>
    </row>
    <row r="55" spans="1:5" ht="12.75">
      <c r="A55" s="2" t="str">
        <f ca="1">IFERROR(__xludf.DUMMYFUNCTION("""COMPUTED_VALUE"""),"DAU5GSCS")</f>
        <v>DAU5GSCS</v>
      </c>
      <c r="B55" s="2">
        <f ca="1">IFERROR(__xludf.DUMMYFUNCTION("""COMPUTED_VALUE"""),1.4)</f>
        <v>1.4</v>
      </c>
      <c r="C55" s="2">
        <f ca="1">IFERROR(__xludf.DUMMYFUNCTION("""COMPUTED_VALUE"""),1.4)</f>
        <v>1.4</v>
      </c>
      <c r="D55" s="2">
        <f ca="1">IFERROR(__xludf.DUMMYFUNCTION("""COMPUTED_VALUE"""),1.4)</f>
        <v>1.4</v>
      </c>
      <c r="E55" s="2">
        <f ca="1">IFERROR(__xludf.DUMMYFUNCTION("""COMPUTED_VALUE"""),0)</f>
        <v>0</v>
      </c>
    </row>
    <row r="56" spans="1:5" ht="12.75">
      <c r="A56" s="2" t="str">
        <f ca="1">IFERROR(__xludf.DUMMYFUNCTION("""COMPUTED_VALUE"""),"DAU5GSXN4L")</f>
        <v>DAU5GSXN4L</v>
      </c>
      <c r="B56" s="2">
        <f ca="1">IFERROR(__xludf.DUMMYFUNCTION("""COMPUTED_VALUE"""),5)</f>
        <v>5</v>
      </c>
      <c r="C56" s="2">
        <f ca="1">IFERROR(__xludf.DUMMYFUNCTION("""COMPUTED_VALUE"""),5)</f>
        <v>5</v>
      </c>
      <c r="D56" s="2">
        <f ca="1">IFERROR(__xludf.DUMMYFUNCTION("""COMPUTED_VALUE"""),5)</f>
        <v>5</v>
      </c>
      <c r="E56" s="2">
        <f ca="1">IFERROR(__xludf.DUMMYFUNCTION("""COMPUTED_VALUE"""),0)</f>
        <v>0</v>
      </c>
    </row>
    <row r="57" spans="1:5" ht="12.75">
      <c r="A57" s="2" t="str">
        <f ca="1">IFERROR(__xludf.DUMMYFUNCTION("""COMPUTED_VALUE"""),"DAUKA46XS")</f>
        <v>DAUKA46XS</v>
      </c>
      <c r="B57" s="2">
        <f ca="1">IFERROR(__xludf.DUMMYFUNCTION("""COMPUTED_VALUE"""),110)</f>
        <v>110</v>
      </c>
      <c r="C57" s="2">
        <f ca="1">IFERROR(__xludf.DUMMYFUNCTION("""COMPUTED_VALUE"""),110)</f>
        <v>110</v>
      </c>
      <c r="D57" s="2">
        <f ca="1">IFERROR(__xludf.DUMMYFUNCTION("""COMPUTED_VALUE"""),110)</f>
        <v>110</v>
      </c>
      <c r="E57" s="2">
        <f ca="1">IFERROR(__xludf.DUMMYFUNCTION("""COMPUTED_VALUE"""),0)</f>
        <v>0</v>
      </c>
    </row>
    <row r="58" spans="1:5" ht="12.75">
      <c r="A58" s="2" t="str">
        <f ca="1">IFERROR(__xludf.DUMMYFUNCTION("""COMPUTED_VALUE"""),"DAYCBN")</f>
        <v>DAYCBN</v>
      </c>
      <c r="B58" s="2">
        <f ca="1">IFERROR(__xludf.DUMMYFUNCTION("""COMPUTED_VALUE"""),17)</f>
        <v>17</v>
      </c>
      <c r="C58" s="2">
        <f ca="1">IFERROR(__xludf.DUMMYFUNCTION("""COMPUTED_VALUE"""),17)</f>
        <v>17</v>
      </c>
      <c r="D58" s="2">
        <f ca="1">IFERROR(__xludf.DUMMYFUNCTION("""COMPUTED_VALUE"""),17)</f>
        <v>17</v>
      </c>
      <c r="E58" s="2">
        <f ca="1">IFERROR(__xludf.DUMMYFUNCTION("""COMPUTED_VALUE"""),0)</f>
        <v>0</v>
      </c>
    </row>
    <row r="59" spans="1:5" ht="12.75">
      <c r="A59" s="2" t="str">
        <f ca="1">IFERROR(__xludf.DUMMYFUNCTION("""COMPUTED_VALUE"""),"DHD")</f>
        <v>DHD</v>
      </c>
      <c r="B59" s="2">
        <f ca="1">IFERROR(__xludf.DUMMYFUNCTION("""COMPUTED_VALUE"""),6)</f>
        <v>6</v>
      </c>
      <c r="C59" s="2">
        <f ca="1">IFERROR(__xludf.DUMMYFUNCTION("""COMPUTED_VALUE"""),6)</f>
        <v>6</v>
      </c>
      <c r="D59" s="2">
        <f ca="1">IFERROR(__xludf.DUMMYFUNCTION("""COMPUTED_VALUE"""),6)</f>
        <v>6</v>
      </c>
      <c r="E59" s="2">
        <f ca="1">IFERROR(__xludf.DUMMYFUNCTION("""COMPUTED_VALUE"""),0)</f>
        <v>0</v>
      </c>
    </row>
    <row r="60" spans="1:5" ht="12.75">
      <c r="A60" s="2" t="str">
        <f ca="1">IFERROR(__xludf.DUMMYFUNCTION("""COMPUTED_VALUE"""),"DHMEHC9000")</f>
        <v>DHMEHC9000</v>
      </c>
      <c r="B60" s="2">
        <f ca="1">IFERROR(__xludf.DUMMYFUNCTION("""COMPUTED_VALUE"""),1)</f>
        <v>1</v>
      </c>
      <c r="C60" s="2">
        <f ca="1">IFERROR(__xludf.DUMMYFUNCTION("""COMPUTED_VALUE"""),1)</f>
        <v>1</v>
      </c>
      <c r="D60" s="2">
        <f ca="1">IFERROR(__xludf.DUMMYFUNCTION("""COMPUTED_VALUE"""),1)</f>
        <v>1</v>
      </c>
      <c r="E60" s="2">
        <f ca="1">IFERROR(__xludf.DUMMYFUNCTION("""COMPUTED_VALUE"""),0)</f>
        <v>0</v>
      </c>
    </row>
    <row r="61" spans="1:5" ht="12.75">
      <c r="A61" s="2" t="str">
        <f ca="1">IFERROR(__xludf.DUMMYFUNCTION("""COMPUTED_VALUE"""),"DLTSDD-1.3/7-1p-1300W")</f>
        <v>DLTSDD-1.3/7-1p-1300W</v>
      </c>
      <c r="B61" s="2">
        <f ca="1">IFERROR(__xludf.DUMMYFUNCTION("""COMPUTED_VALUE"""),4)</f>
        <v>4</v>
      </c>
      <c r="C61" s="2">
        <f ca="1">IFERROR(__xludf.DUMMYFUNCTION("""COMPUTED_VALUE"""),4)</f>
        <v>4</v>
      </c>
      <c r="D61" s="2">
        <f ca="1">IFERROR(__xludf.DUMMYFUNCTION("""COMPUTED_VALUE"""),4)</f>
        <v>4</v>
      </c>
      <c r="E61" s="2">
        <f ca="1">IFERROR(__xludf.DUMMYFUNCTION("""COMPUTED_VALUE"""),0)</f>
        <v>0</v>
      </c>
    </row>
    <row r="62" spans="1:5" ht="12.75">
      <c r="A62" s="2" t="str">
        <f ca="1">IFERROR(__xludf.DUMMYFUNCTION("""COMPUTED_VALUE"""),"DLTSDE0.9/5-1p-900W")</f>
        <v>DLTSDE0.9/5-1p-900W</v>
      </c>
      <c r="B62" s="2">
        <f ca="1">IFERROR(__xludf.DUMMYFUNCTION("""COMPUTED_VALUE"""),1)</f>
        <v>1</v>
      </c>
      <c r="C62" s="2">
        <f ca="1">IFERROR(__xludf.DUMMYFUNCTION("""COMPUTED_VALUE"""),1)</f>
        <v>1</v>
      </c>
      <c r="D62" s="2">
        <f ca="1">IFERROR(__xludf.DUMMYFUNCTION("""COMPUTED_VALUE"""),1)</f>
        <v>1</v>
      </c>
      <c r="E62" s="2">
        <f ca="1">IFERROR(__xludf.DUMMYFUNCTION("""COMPUTED_VALUE"""),0)</f>
        <v>0</v>
      </c>
    </row>
    <row r="63" spans="1:5" ht="12.75">
      <c r="A63" s="2" t="str">
        <f ca="1">IFERROR(__xludf.DUMMYFUNCTION("""COMPUTED_VALUE"""),"DLTSDE1.35/7.5-1350W")</f>
        <v>DLTSDE1.35/7.5-1350W</v>
      </c>
      <c r="B63" s="2">
        <f ca="1">IFERROR(__xludf.DUMMYFUNCTION("""COMPUTED_VALUE"""),8)</f>
        <v>8</v>
      </c>
      <c r="C63" s="2">
        <f ca="1">IFERROR(__xludf.DUMMYFUNCTION("""COMPUTED_VALUE"""),8)</f>
        <v>8</v>
      </c>
      <c r="D63" s="2">
        <f ca="1">IFERROR(__xludf.DUMMYFUNCTION("""COMPUTED_VALUE"""),8)</f>
        <v>8</v>
      </c>
      <c r="E63" s="2">
        <f ca="1">IFERROR(__xludf.DUMMYFUNCTION("""COMPUTED_VALUE"""),0)</f>
        <v>0</v>
      </c>
    </row>
    <row r="64" spans="1:5" ht="12.75">
      <c r="A64" s="2" t="str">
        <f ca="1">IFERROR(__xludf.DUMMYFUNCTION("""COMPUTED_VALUE"""),"DNG-VALUE-1.5-R410A")</f>
        <v>DNG-VALUE-1.5-R410A</v>
      </c>
      <c r="B64" s="2">
        <f ca="1">IFERROR(__xludf.DUMMYFUNCTION("""COMPUTED_VALUE"""),0.5)</f>
        <v>0.5</v>
      </c>
      <c r="C64" s="2">
        <f ca="1">IFERROR(__xludf.DUMMYFUNCTION("""COMPUTED_VALUE"""),0.5)</f>
        <v>0.5</v>
      </c>
      <c r="D64" s="2">
        <f ca="1">IFERROR(__xludf.DUMMYFUNCTION("""COMPUTED_VALUE"""),0.5)</f>
        <v>0.5</v>
      </c>
      <c r="E64" s="2">
        <f ca="1">IFERROR(__xludf.DUMMYFUNCTION("""COMPUTED_VALUE"""),0)</f>
        <v>0</v>
      </c>
    </row>
    <row r="65" spans="1:5" ht="12.75">
      <c r="A65" s="2" t="str">
        <f ca="1">IFERROR(__xludf.DUMMYFUNCTION("""COMPUTED_VALUE"""),"DNTSFNA1.0/4.4-33W")</f>
        <v>DNTSFNA1.0/4.4-33W</v>
      </c>
      <c r="B65" s="2">
        <f ca="1">IFERROR(__xludf.DUMMYFUNCTION("""COMPUTED_VALUE"""),7)</f>
        <v>7</v>
      </c>
      <c r="C65" s="2">
        <f ca="1">IFERROR(__xludf.DUMMYFUNCTION("""COMPUTED_VALUE"""),7)</f>
        <v>7</v>
      </c>
      <c r="D65" s="2">
        <f ca="1">IFERROR(__xludf.DUMMYFUNCTION("""COMPUTED_VALUE"""),7)</f>
        <v>7</v>
      </c>
      <c r="E65" s="2">
        <f ca="1">IFERROR(__xludf.DUMMYFUNCTION("""COMPUTED_VALUE"""),0)</f>
        <v>0</v>
      </c>
    </row>
    <row r="66" spans="1:5" ht="12.75">
      <c r="A66" s="2" t="str">
        <f ca="1">IFERROR(__xludf.DUMMYFUNCTION("""COMPUTED_VALUE"""),"DNTSFNA1.6/8.4-56W")</f>
        <v>DNTSFNA1.6/8.4-56W</v>
      </c>
      <c r="B66" s="2">
        <f ca="1">IFERROR(__xludf.DUMMYFUNCTION("""COMPUTED_VALUE"""),21)</f>
        <v>21</v>
      </c>
      <c r="C66" s="2">
        <f ca="1">IFERROR(__xludf.DUMMYFUNCTION("""COMPUTED_VALUE"""),21)</f>
        <v>21</v>
      </c>
      <c r="D66" s="2">
        <f ca="1">IFERROR(__xludf.DUMMYFUNCTION("""COMPUTED_VALUE"""),21)</f>
        <v>21</v>
      </c>
      <c r="E66" s="2">
        <f ca="1">IFERROR(__xludf.DUMMYFUNCTION("""COMPUTED_VALUE"""),0)</f>
        <v>0</v>
      </c>
    </row>
    <row r="67" spans="1:5" ht="12.75">
      <c r="A67" s="2" t="str">
        <f ca="1">IFERROR(__xludf.DUMMYFUNCTION("""COMPUTED_VALUE"""),"DNTSFNF2.8/13-3p-2HP")</f>
        <v>DNTSFNF2.8/13-3p-2HP</v>
      </c>
      <c r="B67" s="2">
        <f ca="1">IFERROR(__xludf.DUMMYFUNCTION("""COMPUTED_VALUE"""),8)</f>
        <v>8</v>
      </c>
      <c r="C67" s="2">
        <f ca="1">IFERROR(__xludf.DUMMYFUNCTION("""COMPUTED_VALUE"""),8)</f>
        <v>8</v>
      </c>
      <c r="D67" s="2">
        <f ca="1">IFERROR(__xludf.DUMMYFUNCTION("""COMPUTED_VALUE"""),8)</f>
        <v>8</v>
      </c>
      <c r="E67" s="2">
        <f ca="1">IFERROR(__xludf.DUMMYFUNCTION("""COMPUTED_VALUE"""),0)</f>
        <v>0</v>
      </c>
    </row>
    <row r="68" spans="1:5" ht="12.75">
      <c r="A68" s="2" t="str">
        <f ca="1">IFERROR(__xludf.DUMMYFUNCTION("""COMPUTED_VALUE"""),"DNTSFNF4.4/16.5-2.5HP")</f>
        <v>DNTSFNF4.4/16.5-2.5HP</v>
      </c>
      <c r="B68" s="2">
        <f ca="1">IFERROR(__xludf.DUMMYFUNCTION("""COMPUTED_VALUE"""),3)</f>
        <v>3</v>
      </c>
      <c r="C68" s="2">
        <f ca="1">IFERROR(__xludf.DUMMYFUNCTION("""COMPUTED_VALUE"""),3)</f>
        <v>3</v>
      </c>
      <c r="D68" s="2">
        <f ca="1">IFERROR(__xludf.DUMMYFUNCTION("""COMPUTED_VALUE"""),3)</f>
        <v>3</v>
      </c>
      <c r="E68" s="2">
        <f ca="1">IFERROR(__xludf.DUMMYFUNCTION("""COMPUTED_VALUE"""),0)</f>
        <v>0</v>
      </c>
    </row>
    <row r="69" spans="1:5" ht="12.75">
      <c r="A69" s="2" t="str">
        <f ca="1">IFERROR(__xludf.DUMMYFUNCTION("""COMPUTED_VALUE"""),"DOBRBLWC1270081")</f>
        <v>DOBRBLWC1270081</v>
      </c>
      <c r="B69" s="2">
        <f ca="1">IFERROR(__xludf.DUMMYFUNCTION("""COMPUTED_VALUE"""),172.8)</f>
        <v>172.8</v>
      </c>
      <c r="C69" s="2">
        <f ca="1">IFERROR(__xludf.DUMMYFUNCTION("""COMPUTED_VALUE"""),172.8)</f>
        <v>172.8</v>
      </c>
      <c r="D69" s="2">
        <f ca="1">IFERROR(__xludf.DUMMYFUNCTION("""COMPUTED_VALUE"""),172.8)</f>
        <v>172.8</v>
      </c>
      <c r="E69" s="2">
        <f ca="1">IFERROR(__xludf.DUMMYFUNCTION("""COMPUTED_VALUE"""),0)</f>
        <v>0</v>
      </c>
    </row>
    <row r="70" spans="1:5" ht="12.75">
      <c r="A70" s="2" t="str">
        <f ca="1">IFERROR(__xludf.DUMMYFUNCTION("""COMPUTED_VALUE"""),"DOC0476051")</f>
        <v>DOC0476051</v>
      </c>
      <c r="B70" s="2">
        <f ca="1">IFERROR(__xludf.DUMMYFUNCTION("""COMPUTED_VALUE"""),203)</f>
        <v>203</v>
      </c>
      <c r="C70" s="2">
        <f ca="1">IFERROR(__xludf.DUMMYFUNCTION("""COMPUTED_VALUE"""),203)</f>
        <v>203</v>
      </c>
      <c r="D70" s="2">
        <f ca="1">IFERROR(__xludf.DUMMYFUNCTION("""COMPUTED_VALUE"""),203)</f>
        <v>203</v>
      </c>
      <c r="E70" s="2">
        <f ca="1">IFERROR(__xludf.DUMMYFUNCTION("""COMPUTED_VALUE"""),0)</f>
        <v>0</v>
      </c>
    </row>
    <row r="71" spans="1:5" ht="12.75">
      <c r="A71" s="2" t="str">
        <f ca="1">IFERROR(__xludf.DUMMYFUNCTION("""COMPUTED_VALUE"""),"DOC0635061")</f>
        <v>DOC0635061</v>
      </c>
      <c r="B71" s="2">
        <f ca="1">IFERROR(__xludf.DUMMYFUNCTION("""COMPUTED_VALUE"""),1596)</f>
        <v>1596</v>
      </c>
      <c r="C71" s="2">
        <f ca="1">IFERROR(__xludf.DUMMYFUNCTION("""COMPUTED_VALUE"""),1984)</f>
        <v>1984</v>
      </c>
      <c r="D71" s="2">
        <f ca="1">IFERROR(__xludf.DUMMYFUNCTION("""COMPUTED_VALUE"""),1596)</f>
        <v>1596</v>
      </c>
      <c r="E71" s="2">
        <f ca="1">IFERROR(__xludf.DUMMYFUNCTION("""COMPUTED_VALUE"""),388)</f>
        <v>388</v>
      </c>
    </row>
    <row r="72" spans="1:5" ht="12.75">
      <c r="A72" s="2" t="str">
        <f ca="1">IFERROR(__xludf.DUMMYFUNCTION("""COMPUTED_VALUE"""),"DOC0635071")</f>
        <v>DOC0635071</v>
      </c>
      <c r="B72" s="2">
        <f ca="1">IFERROR(__xludf.DUMMYFUNCTION("""COMPUTED_VALUE"""),898)</f>
        <v>898</v>
      </c>
      <c r="C72" s="2">
        <f ca="1">IFERROR(__xludf.DUMMYFUNCTION("""COMPUTED_VALUE"""),1235)</f>
        <v>1235</v>
      </c>
      <c r="D72" s="2">
        <f ca="1">IFERROR(__xludf.DUMMYFUNCTION("""COMPUTED_VALUE"""),899)</f>
        <v>899</v>
      </c>
      <c r="E72" s="2">
        <f ca="1">IFERROR(__xludf.DUMMYFUNCTION("""COMPUTED_VALUE"""),336)</f>
        <v>336</v>
      </c>
    </row>
    <row r="73" spans="1:5" ht="12.75">
      <c r="A73" s="2" t="str">
        <f ca="1">IFERROR(__xludf.DUMMYFUNCTION("""COMPUTED_VALUE"""),"DOC0635081")</f>
        <v>DOC0635081</v>
      </c>
      <c r="B73" s="2">
        <f ca="1">IFERROR(__xludf.DUMMYFUNCTION("""COMPUTED_VALUE"""),339)</f>
        <v>339</v>
      </c>
      <c r="C73" s="2">
        <f ca="1">IFERROR(__xludf.DUMMYFUNCTION("""COMPUTED_VALUE"""),833)</f>
        <v>833</v>
      </c>
      <c r="D73" s="2">
        <f ca="1">IFERROR(__xludf.DUMMYFUNCTION("""COMPUTED_VALUE"""),339)</f>
        <v>339</v>
      </c>
      <c r="E73" s="2">
        <f ca="1">IFERROR(__xludf.DUMMYFUNCTION("""COMPUTED_VALUE"""),494)</f>
        <v>494</v>
      </c>
    </row>
    <row r="74" spans="1:5" ht="12.75">
      <c r="A74" s="2" t="str">
        <f ca="1">IFERROR(__xludf.DUMMYFUNCTION("""COMPUTED_VALUE"""),"DOC0794051")</f>
        <v>DOC0794051</v>
      </c>
      <c r="B74" s="2">
        <f ca="1">IFERROR(__xludf.DUMMYFUNCTION("""COMPUTED_VALUE"""),53)</f>
        <v>53</v>
      </c>
      <c r="C74" s="2">
        <f ca="1">IFERROR(__xludf.DUMMYFUNCTION("""COMPUTED_VALUE"""),73)</f>
        <v>73</v>
      </c>
      <c r="D74" s="2">
        <f ca="1">IFERROR(__xludf.DUMMYFUNCTION("""COMPUTED_VALUE"""),53)</f>
        <v>53</v>
      </c>
      <c r="E74" s="2">
        <f ca="1">IFERROR(__xludf.DUMMYFUNCTION("""COMPUTED_VALUE"""),20)</f>
        <v>20</v>
      </c>
    </row>
    <row r="75" spans="1:5" ht="12.75">
      <c r="A75" s="2" t="str">
        <f ca="1">IFERROR(__xludf.DUMMYFUNCTION("""COMPUTED_VALUE"""),"DOC0952061")</f>
        <v>DOC0952061</v>
      </c>
      <c r="B75" s="2">
        <f ca="1">IFERROR(__xludf.DUMMYFUNCTION("""COMPUTED_VALUE"""),4)</f>
        <v>4</v>
      </c>
      <c r="C75" s="2">
        <f ca="1">IFERROR(__xludf.DUMMYFUNCTION("""COMPUTED_VALUE"""),354)</f>
        <v>354</v>
      </c>
      <c r="D75" s="2">
        <f ca="1">IFERROR(__xludf.DUMMYFUNCTION("""COMPUTED_VALUE"""),4)</f>
        <v>4</v>
      </c>
      <c r="E75" s="2">
        <f ca="1">IFERROR(__xludf.DUMMYFUNCTION("""COMPUTED_VALUE"""),350)</f>
        <v>350</v>
      </c>
    </row>
    <row r="76" spans="1:5" ht="12.75">
      <c r="A76" s="2" t="str">
        <f ca="1">IFERROR(__xludf.DUMMYFUNCTION("""COMPUTED_VALUE"""),"DOC0952071")</f>
        <v>DOC0952071</v>
      </c>
      <c r="B76" s="2">
        <f ca="1">IFERROR(__xludf.DUMMYFUNCTION("""COMPUTED_VALUE"""),317)</f>
        <v>317</v>
      </c>
      <c r="C76" s="2">
        <f ca="1">IFERROR(__xludf.DUMMYFUNCTION("""COMPUTED_VALUE"""),508)</f>
        <v>508</v>
      </c>
      <c r="D76" s="2">
        <f ca="1">IFERROR(__xludf.DUMMYFUNCTION("""COMPUTED_VALUE"""),326)</f>
        <v>326</v>
      </c>
      <c r="E76" s="2">
        <f ca="1">IFERROR(__xludf.DUMMYFUNCTION("""COMPUTED_VALUE"""),182)</f>
        <v>182</v>
      </c>
    </row>
    <row r="77" spans="1:5" ht="12.75">
      <c r="A77" s="2" t="str">
        <f ca="1">IFERROR(__xludf.DUMMYFUNCTION("""COMPUTED_VALUE"""),"DOC1270061")</f>
        <v>DOC1270061</v>
      </c>
      <c r="B77" s="2">
        <f ca="1">IFERROR(__xludf.DUMMYFUNCTION("""COMPUTED_VALUE"""),15)</f>
        <v>15</v>
      </c>
      <c r="C77" s="2">
        <f ca="1">IFERROR(__xludf.DUMMYFUNCTION("""COMPUTED_VALUE"""),212)</f>
        <v>212</v>
      </c>
      <c r="D77" s="2">
        <f ca="1">IFERROR(__xludf.DUMMYFUNCTION("""COMPUTED_VALUE"""),23)</f>
        <v>23</v>
      </c>
      <c r="E77" s="2">
        <f ca="1">IFERROR(__xludf.DUMMYFUNCTION("""COMPUTED_VALUE"""),189)</f>
        <v>189</v>
      </c>
    </row>
    <row r="78" spans="1:5" ht="12.75">
      <c r="A78" s="2" t="str">
        <f ca="1">IFERROR(__xludf.DUMMYFUNCTION("""COMPUTED_VALUE"""),"DOC1270071")</f>
        <v>DOC1270071</v>
      </c>
      <c r="B78" s="2">
        <f ca="1">IFERROR(__xludf.DUMMYFUNCTION("""COMPUTED_VALUE"""),742)</f>
        <v>742</v>
      </c>
      <c r="C78" s="2">
        <f ca="1">IFERROR(__xludf.DUMMYFUNCTION("""COMPUTED_VALUE"""),966)</f>
        <v>966</v>
      </c>
      <c r="D78" s="2">
        <f ca="1">IFERROR(__xludf.DUMMYFUNCTION("""COMPUTED_VALUE"""),766)</f>
        <v>766</v>
      </c>
      <c r="E78" s="2">
        <f ca="1">IFERROR(__xludf.DUMMYFUNCTION("""COMPUTED_VALUE"""),200)</f>
        <v>200</v>
      </c>
    </row>
    <row r="79" spans="1:5" ht="12.75">
      <c r="A79" s="2" t="str">
        <f ca="1">IFERROR(__xludf.DUMMYFUNCTION("""COMPUTED_VALUE"""),"DOC1270081")</f>
        <v>DOC1270081</v>
      </c>
      <c r="B79" s="2">
        <f ca="1">IFERROR(__xludf.DUMMYFUNCTION("""COMPUTED_VALUE"""),830)</f>
        <v>830</v>
      </c>
      <c r="C79" s="2">
        <f ca="1">IFERROR(__xludf.DUMMYFUNCTION("""COMPUTED_VALUE"""),928)</f>
        <v>928</v>
      </c>
      <c r="D79" s="2">
        <f ca="1">IFERROR(__xludf.DUMMYFUNCTION("""COMPUTED_VALUE"""),830)</f>
        <v>830</v>
      </c>
      <c r="E79" s="2">
        <f ca="1">IFERROR(__xludf.DUMMYFUNCTION("""COMPUTED_VALUE"""),98)</f>
        <v>98</v>
      </c>
    </row>
    <row r="80" spans="1:5" ht="12.75">
      <c r="A80" s="2" t="str">
        <f ca="1">IFERROR(__xludf.DUMMYFUNCTION("""COMPUTED_VALUE"""),"DOC12708150")</f>
        <v>DOC12708150</v>
      </c>
      <c r="B80" s="2">
        <f ca="1">IFERROR(__xludf.DUMMYFUNCTION("""COMPUTED_VALUE"""),9)</f>
        <v>9</v>
      </c>
      <c r="C80" s="2">
        <f ca="1">IFERROR(__xludf.DUMMYFUNCTION("""COMPUTED_VALUE"""),9)</f>
        <v>9</v>
      </c>
      <c r="D80" s="2">
        <f ca="1">IFERROR(__xludf.DUMMYFUNCTION("""COMPUTED_VALUE"""),9)</f>
        <v>9</v>
      </c>
      <c r="E80" s="2">
        <f ca="1">IFERROR(__xludf.DUMMYFUNCTION("""COMPUTED_VALUE"""),0)</f>
        <v>0</v>
      </c>
    </row>
    <row r="81" spans="1:5" ht="12.75">
      <c r="A81" s="2" t="str">
        <f ca="1">IFERROR(__xludf.DUMMYFUNCTION("""COMPUTED_VALUE"""),"DOC1588061")</f>
        <v>DOC1588061</v>
      </c>
      <c r="B81" s="2">
        <f ca="1">IFERROR(__xludf.DUMMYFUNCTION("""COMPUTED_VALUE"""),42)</f>
        <v>42</v>
      </c>
      <c r="C81" s="2">
        <f ca="1">IFERROR(__xludf.DUMMYFUNCTION("""COMPUTED_VALUE"""),42)</f>
        <v>42</v>
      </c>
      <c r="D81" s="2">
        <f ca="1">IFERROR(__xludf.DUMMYFUNCTION("""COMPUTED_VALUE"""),42)</f>
        <v>42</v>
      </c>
      <c r="E81" s="2">
        <f ca="1">IFERROR(__xludf.DUMMYFUNCTION("""COMPUTED_VALUE"""),0)</f>
        <v>0</v>
      </c>
    </row>
    <row r="82" spans="1:5" ht="12.75">
      <c r="A82" s="2" t="str">
        <f ca="1">IFERROR(__xludf.DUMMYFUNCTION("""COMPUTED_VALUE"""),"DOC1588071")</f>
        <v>DOC1588071</v>
      </c>
      <c r="B82" s="2">
        <f ca="1">IFERROR(__xludf.DUMMYFUNCTION("""COMPUTED_VALUE"""),302)</f>
        <v>302</v>
      </c>
      <c r="C82" s="2">
        <f ca="1">IFERROR(__xludf.DUMMYFUNCTION("""COMPUTED_VALUE"""),366)</f>
        <v>366</v>
      </c>
      <c r="D82" s="2">
        <f ca="1">IFERROR(__xludf.DUMMYFUNCTION("""COMPUTED_VALUE"""),313)</f>
        <v>313</v>
      </c>
      <c r="E82" s="2">
        <f ca="1">IFERROR(__xludf.DUMMYFUNCTION("""COMPUTED_VALUE"""),53)</f>
        <v>53</v>
      </c>
    </row>
    <row r="83" spans="1:5" ht="12.75">
      <c r="A83" s="2" t="str">
        <f ca="1">IFERROR(__xludf.DUMMYFUNCTION("""COMPUTED_VALUE"""),"DOC1588081")</f>
        <v>DOC1588081</v>
      </c>
      <c r="B83" s="2">
        <f ca="1">IFERROR(__xludf.DUMMYFUNCTION("""COMPUTED_VALUE"""),67)</f>
        <v>67</v>
      </c>
      <c r="C83" s="2">
        <f ca="1">IFERROR(__xludf.DUMMYFUNCTION("""COMPUTED_VALUE"""),154)</f>
        <v>154</v>
      </c>
      <c r="D83" s="2">
        <f ca="1">IFERROR(__xludf.DUMMYFUNCTION("""COMPUTED_VALUE"""),68)</f>
        <v>68</v>
      </c>
      <c r="E83" s="2">
        <f ca="1">IFERROR(__xludf.DUMMYFUNCTION("""COMPUTED_VALUE"""),86)</f>
        <v>86</v>
      </c>
    </row>
    <row r="84" spans="1:5" ht="12.75">
      <c r="A84" s="2" t="str">
        <f ca="1">IFERROR(__xludf.DUMMYFUNCTION("""COMPUTED_VALUE"""),"DOC1905071")</f>
        <v>DOC1905071</v>
      </c>
      <c r="B84" s="2">
        <f ca="1">IFERROR(__xludf.DUMMYFUNCTION("""COMPUTED_VALUE"""),39)</f>
        <v>39</v>
      </c>
      <c r="C84" s="2">
        <f ca="1">IFERROR(__xludf.DUMMYFUNCTION("""COMPUTED_VALUE"""),85)</f>
        <v>85</v>
      </c>
      <c r="D84" s="2">
        <f ca="1">IFERROR(__xludf.DUMMYFUNCTION("""COMPUTED_VALUE"""),44)</f>
        <v>44</v>
      </c>
      <c r="E84" s="2">
        <f ca="1">IFERROR(__xludf.DUMMYFUNCTION("""COMPUTED_VALUE"""),41)</f>
        <v>41</v>
      </c>
    </row>
    <row r="85" spans="1:5" ht="12.75">
      <c r="A85" s="2" t="str">
        <f ca="1">IFERROR(__xludf.DUMMYFUNCTION("""COMPUTED_VALUE"""),"DOC1905081")</f>
        <v>DOC1905081</v>
      </c>
      <c r="B85" s="2">
        <f ca="1">IFERROR(__xludf.DUMMYFUNCTION("""COMPUTED_VALUE"""),129)</f>
        <v>129</v>
      </c>
      <c r="C85" s="2">
        <f ca="1">IFERROR(__xludf.DUMMYFUNCTION("""COMPUTED_VALUE"""),201)</f>
        <v>201</v>
      </c>
      <c r="D85" s="2">
        <f ca="1">IFERROR(__xludf.DUMMYFUNCTION("""COMPUTED_VALUE"""),130)</f>
        <v>130</v>
      </c>
      <c r="E85" s="2">
        <f ca="1">IFERROR(__xludf.DUMMYFUNCTION("""COMPUTED_VALUE"""),71)</f>
        <v>71</v>
      </c>
    </row>
    <row r="86" spans="1:5" ht="12.75">
      <c r="A86" s="2" t="str">
        <f ca="1">IFERROR(__xludf.DUMMYFUNCTION("""COMPUTED_VALUE"""),"DOC1905100")</f>
        <v>DOC1905100</v>
      </c>
      <c r="B86" s="2">
        <f ca="1">IFERROR(__xludf.DUMMYFUNCTION("""COMPUTED_VALUE"""),87)</f>
        <v>87</v>
      </c>
      <c r="C86" s="2">
        <f ca="1">IFERROR(__xludf.DUMMYFUNCTION("""COMPUTED_VALUE"""),185)</f>
        <v>185</v>
      </c>
      <c r="D86" s="2">
        <f ca="1">IFERROR(__xludf.DUMMYFUNCTION("""COMPUTED_VALUE"""),94)</f>
        <v>94</v>
      </c>
      <c r="E86" s="2">
        <f ca="1">IFERROR(__xludf.DUMMYFUNCTION("""COMPUTED_VALUE"""),91)</f>
        <v>91</v>
      </c>
    </row>
    <row r="87" spans="1:5" ht="12.75">
      <c r="A87" s="2" t="str">
        <f ca="1">IFERROR(__xludf.DUMMYFUNCTION("""COMPUTED_VALUE"""),"DOCHL063506115")</f>
        <v>DOCHL063506115</v>
      </c>
      <c r="B87" s="2">
        <f ca="1">IFERROR(__xludf.DUMMYFUNCTION("""COMPUTED_VALUE"""),157)</f>
        <v>157</v>
      </c>
      <c r="C87" s="2">
        <f ca="1">IFERROR(__xludf.DUMMYFUNCTION("""COMPUTED_VALUE"""),535)</f>
        <v>535</v>
      </c>
      <c r="D87" s="2">
        <f ca="1">IFERROR(__xludf.DUMMYFUNCTION("""COMPUTED_VALUE"""),157)</f>
        <v>157</v>
      </c>
      <c r="E87" s="2">
        <f ca="1">IFERROR(__xludf.DUMMYFUNCTION("""COMPUTED_VALUE"""),378)</f>
        <v>378</v>
      </c>
    </row>
    <row r="88" spans="1:5" ht="12.75">
      <c r="A88" s="2" t="str">
        <f ca="1">IFERROR(__xludf.DUMMYFUNCTION("""COMPUTED_VALUE"""),"DOCHL063506150")</f>
        <v>DOCHL063506150</v>
      </c>
      <c r="B88" s="2">
        <f ca="1">IFERROR(__xludf.DUMMYFUNCTION("""COMPUTED_VALUE"""),101)</f>
        <v>101</v>
      </c>
      <c r="C88" s="2">
        <f ca="1">IFERROR(__xludf.DUMMYFUNCTION("""COMPUTED_VALUE"""),101)</f>
        <v>101</v>
      </c>
      <c r="D88" s="2">
        <f ca="1">IFERROR(__xludf.DUMMYFUNCTION("""COMPUTED_VALUE"""),101)</f>
        <v>101</v>
      </c>
      <c r="E88" s="2">
        <f ca="1">IFERROR(__xludf.DUMMYFUNCTION("""COMPUTED_VALUE"""),0)</f>
        <v>0</v>
      </c>
    </row>
    <row r="89" spans="1:5" ht="12.75">
      <c r="A89" s="2" t="str">
        <f ca="1">IFERROR(__xludf.DUMMYFUNCTION("""COMPUTED_VALUE"""),"DOCHL063507115")</f>
        <v>DOCHL063507115</v>
      </c>
      <c r="B89" s="2">
        <f ca="1">IFERROR(__xludf.DUMMYFUNCTION("""COMPUTED_VALUE"""),565)</f>
        <v>565</v>
      </c>
      <c r="C89" s="2">
        <f ca="1">IFERROR(__xludf.DUMMYFUNCTION("""COMPUTED_VALUE"""),1504)</f>
        <v>1504</v>
      </c>
      <c r="D89" s="2">
        <f ca="1">IFERROR(__xludf.DUMMYFUNCTION("""COMPUTED_VALUE"""),565)</f>
        <v>565</v>
      </c>
      <c r="E89" s="2">
        <f ca="1">IFERROR(__xludf.DUMMYFUNCTION("""COMPUTED_VALUE"""),939)</f>
        <v>939</v>
      </c>
    </row>
    <row r="90" spans="1:5" ht="12.75">
      <c r="A90" s="2" t="str">
        <f ca="1">IFERROR(__xludf.DUMMYFUNCTION("""COMPUTED_VALUE"""),"DOCHL063508115")</f>
        <v>DOCHL063508115</v>
      </c>
      <c r="B90" s="2">
        <f ca="1">IFERROR(__xludf.DUMMYFUNCTION("""COMPUTED_VALUE"""),1410)</f>
        <v>1410</v>
      </c>
      <c r="C90" s="2">
        <f ca="1">IFERROR(__xludf.DUMMYFUNCTION("""COMPUTED_VALUE"""),1603)</f>
        <v>1603</v>
      </c>
      <c r="D90" s="2">
        <f ca="1">IFERROR(__xludf.DUMMYFUNCTION("""COMPUTED_VALUE"""),1410)</f>
        <v>1410</v>
      </c>
      <c r="E90" s="2">
        <f ca="1">IFERROR(__xludf.DUMMYFUNCTION("""COMPUTED_VALUE"""),193)</f>
        <v>193</v>
      </c>
    </row>
    <row r="91" spans="1:5" ht="12.75">
      <c r="A91" s="2" t="str">
        <f ca="1">IFERROR(__xludf.DUMMYFUNCTION("""COMPUTED_VALUE"""),"DOCHL095206115")</f>
        <v>DOCHL095206115</v>
      </c>
      <c r="B91" s="2">
        <f ca="1">IFERROR(__xludf.DUMMYFUNCTION("""COMPUTED_VALUE"""),104)</f>
        <v>104</v>
      </c>
      <c r="C91" s="2">
        <f ca="1">IFERROR(__xludf.DUMMYFUNCTION("""COMPUTED_VALUE"""),514)</f>
        <v>514</v>
      </c>
      <c r="D91" s="2">
        <f ca="1">IFERROR(__xludf.DUMMYFUNCTION("""COMPUTED_VALUE"""),284)</f>
        <v>284</v>
      </c>
      <c r="E91" s="2">
        <f ca="1">IFERROR(__xludf.DUMMYFUNCTION("""COMPUTED_VALUE"""),230)</f>
        <v>230</v>
      </c>
    </row>
    <row r="92" spans="1:5" ht="12.75">
      <c r="A92" s="2" t="str">
        <f ca="1">IFERROR(__xludf.DUMMYFUNCTION("""COMPUTED_VALUE"""),"DOCHL095208115")</f>
        <v>DOCHL095208115</v>
      </c>
      <c r="B92" s="2">
        <f ca="1">IFERROR(__xludf.DUMMYFUNCTION("""COMPUTED_VALUE"""),841)</f>
        <v>841</v>
      </c>
      <c r="C92" s="2">
        <f ca="1">IFERROR(__xludf.DUMMYFUNCTION("""COMPUTED_VALUE"""),1065)</f>
        <v>1065</v>
      </c>
      <c r="D92" s="2">
        <f ca="1">IFERROR(__xludf.DUMMYFUNCTION("""COMPUTED_VALUE"""),846)</f>
        <v>846</v>
      </c>
      <c r="E92" s="2">
        <f ca="1">IFERROR(__xludf.DUMMYFUNCTION("""COMPUTED_VALUE"""),219)</f>
        <v>219</v>
      </c>
    </row>
    <row r="93" spans="1:5" ht="12.75">
      <c r="A93" s="2" t="str">
        <f ca="1">IFERROR(__xludf.DUMMYFUNCTION("""COMPUTED_VALUE"""),"DOCHL127007115")</f>
        <v>DOCHL127007115</v>
      </c>
      <c r="B93" s="2">
        <f ca="1">IFERROR(__xludf.DUMMYFUNCTION("""COMPUTED_VALUE"""),470)</f>
        <v>470</v>
      </c>
      <c r="C93" s="2">
        <f ca="1">IFERROR(__xludf.DUMMYFUNCTION("""COMPUTED_VALUE"""),632)</f>
        <v>632</v>
      </c>
      <c r="D93" s="2">
        <f ca="1">IFERROR(__xludf.DUMMYFUNCTION("""COMPUTED_VALUE"""),470)</f>
        <v>470</v>
      </c>
      <c r="E93" s="2">
        <f ca="1">IFERROR(__xludf.DUMMYFUNCTION("""COMPUTED_VALUE"""),162)</f>
        <v>162</v>
      </c>
    </row>
    <row r="94" spans="1:5" ht="12.75">
      <c r="A94" s="2" t="str">
        <f ca="1">IFERROR(__xludf.DUMMYFUNCTION("""COMPUTED_VALUE"""),"DOCHL127008115")</f>
        <v>DOCHL127008115</v>
      </c>
      <c r="B94" s="2">
        <f ca="1">IFERROR(__xludf.DUMMYFUNCTION("""COMPUTED_VALUE"""),1038)</f>
        <v>1038</v>
      </c>
      <c r="C94" s="2">
        <f ca="1">IFERROR(__xludf.DUMMYFUNCTION("""COMPUTED_VALUE"""),1336)</f>
        <v>1336</v>
      </c>
      <c r="D94" s="2">
        <f ca="1">IFERROR(__xludf.DUMMYFUNCTION("""COMPUTED_VALUE"""),1038)</f>
        <v>1038</v>
      </c>
      <c r="E94" s="2">
        <f ca="1">IFERROR(__xludf.DUMMYFUNCTION("""COMPUTED_VALUE"""),298)</f>
        <v>298</v>
      </c>
    </row>
    <row r="95" spans="1:5" ht="12.75">
      <c r="A95" s="2" t="str">
        <f ca="1">IFERROR(__xludf.DUMMYFUNCTION("""COMPUTED_VALUE"""),"DOCHL12706115")</f>
        <v>DOCHL12706115</v>
      </c>
      <c r="B95" s="2">
        <f ca="1">IFERROR(__xludf.DUMMYFUNCTION("""COMPUTED_VALUE"""),342)</f>
        <v>342</v>
      </c>
      <c r="C95" s="2">
        <f ca="1">IFERROR(__xludf.DUMMYFUNCTION("""COMPUTED_VALUE"""),549)</f>
        <v>549</v>
      </c>
      <c r="D95" s="2">
        <f ca="1">IFERROR(__xludf.DUMMYFUNCTION("""COMPUTED_VALUE"""),367)</f>
        <v>367</v>
      </c>
      <c r="E95" s="2">
        <f ca="1">IFERROR(__xludf.DUMMYFUNCTION("""COMPUTED_VALUE"""),182)</f>
        <v>182</v>
      </c>
    </row>
    <row r="96" spans="1:5" ht="12.75">
      <c r="A96" s="2" t="str">
        <f ca="1">IFERROR(__xludf.DUMMYFUNCTION("""COMPUTED_VALUE"""),"DOCHL158807115")</f>
        <v>DOCHL158807115</v>
      </c>
      <c r="B96" s="2">
        <f ca="1">IFERROR(__xludf.DUMMYFUNCTION("""COMPUTED_VALUE"""),202)</f>
        <v>202</v>
      </c>
      <c r="C96" s="2">
        <f ca="1">IFERROR(__xludf.DUMMYFUNCTION("""COMPUTED_VALUE"""),346)</f>
        <v>346</v>
      </c>
      <c r="D96" s="2">
        <f ca="1">IFERROR(__xludf.DUMMYFUNCTION("""COMPUTED_VALUE"""),212)</f>
        <v>212</v>
      </c>
      <c r="E96" s="2">
        <f ca="1">IFERROR(__xludf.DUMMYFUNCTION("""COMPUTED_VALUE"""),134)</f>
        <v>134</v>
      </c>
    </row>
    <row r="97" spans="1:5" ht="12.75">
      <c r="A97" s="2" t="str">
        <f ca="1">IFERROR(__xludf.DUMMYFUNCTION("""COMPUTED_VALUE"""),"DOCHL158808115")</f>
        <v>DOCHL158808115</v>
      </c>
      <c r="B97" s="2">
        <f ca="1">IFERROR(__xludf.DUMMYFUNCTION("""COMPUTED_VALUE"""),508)</f>
        <v>508</v>
      </c>
      <c r="C97" s="2">
        <f ca="1">IFERROR(__xludf.DUMMYFUNCTION("""COMPUTED_VALUE"""),712)</f>
        <v>712</v>
      </c>
      <c r="D97" s="2">
        <f ca="1">IFERROR(__xludf.DUMMYFUNCTION("""COMPUTED_VALUE"""),508)</f>
        <v>508</v>
      </c>
      <c r="E97" s="2">
        <f ca="1">IFERROR(__xludf.DUMMYFUNCTION("""COMPUTED_VALUE"""),204)</f>
        <v>204</v>
      </c>
    </row>
    <row r="98" spans="1:5" ht="12.75">
      <c r="A98" s="2" t="str">
        <f ca="1">IFERROR(__xludf.DUMMYFUNCTION("""COMPUTED_VALUE"""),"DOCHL158810215")</f>
        <v>DOCHL158810215</v>
      </c>
      <c r="B98" s="2">
        <f ca="1">IFERROR(__xludf.DUMMYFUNCTION("""COMPUTED_VALUE"""),540)</f>
        <v>540</v>
      </c>
      <c r="C98" s="2">
        <f ca="1">IFERROR(__xludf.DUMMYFUNCTION("""COMPUTED_VALUE"""),683)</f>
        <v>683</v>
      </c>
      <c r="D98" s="2">
        <f ca="1">IFERROR(__xludf.DUMMYFUNCTION("""COMPUTED_VALUE"""),540)</f>
        <v>540</v>
      </c>
      <c r="E98" s="2">
        <f ca="1">IFERROR(__xludf.DUMMYFUNCTION("""COMPUTED_VALUE"""),143)</f>
        <v>143</v>
      </c>
    </row>
    <row r="99" spans="1:5" ht="12.75">
      <c r="A99" s="2" t="str">
        <f ca="1">IFERROR(__xludf.DUMMYFUNCTION("""COMPUTED_VALUE"""),"DOCHL190508115")</f>
        <v>DOCHL190508115</v>
      </c>
      <c r="B99" s="2">
        <f ca="1">IFERROR(__xludf.DUMMYFUNCTION("""COMPUTED_VALUE"""),681)</f>
        <v>681</v>
      </c>
      <c r="C99" s="2">
        <f ca="1">IFERROR(__xludf.DUMMYFUNCTION("""COMPUTED_VALUE"""),854)</f>
        <v>854</v>
      </c>
      <c r="D99" s="2">
        <f ca="1">IFERROR(__xludf.DUMMYFUNCTION("""COMPUTED_VALUE"""),681)</f>
        <v>681</v>
      </c>
      <c r="E99" s="2">
        <f ca="1">IFERROR(__xludf.DUMMYFUNCTION("""COMPUTED_VALUE"""),173)</f>
        <v>173</v>
      </c>
    </row>
    <row r="100" spans="1:5" ht="12.75">
      <c r="A100" s="2" t="str">
        <f ca="1">IFERROR(__xludf.DUMMYFUNCTION("""COMPUTED_VALUE"""),"DOCHL190510215")</f>
        <v>DOCHL190510215</v>
      </c>
      <c r="B100" s="2">
        <f ca="1">IFERROR(__xludf.DUMMYFUNCTION("""COMPUTED_VALUE"""),330)</f>
        <v>330</v>
      </c>
      <c r="C100" s="2">
        <f ca="1">IFERROR(__xludf.DUMMYFUNCTION("""COMPUTED_VALUE"""),450)</f>
        <v>450</v>
      </c>
      <c r="D100" s="2">
        <f ca="1">IFERROR(__xludf.DUMMYFUNCTION("""COMPUTED_VALUE"""),330)</f>
        <v>330</v>
      </c>
      <c r="E100" s="2">
        <f ca="1">IFERROR(__xludf.DUMMYFUNCTION("""COMPUTED_VALUE"""),120)</f>
        <v>120</v>
      </c>
    </row>
    <row r="101" spans="1:5" ht="12.75">
      <c r="A101" s="2" t="str">
        <f ca="1">IFERROR(__xludf.DUMMYFUNCTION("""COMPUTED_VALUE"""),"DOCHLTS0635081")</f>
        <v>DOCHLTS0635081</v>
      </c>
      <c r="B101" s="2">
        <f ca="1">IFERROR(__xludf.DUMMYFUNCTION("""COMPUTED_VALUE"""),382)</f>
        <v>382</v>
      </c>
      <c r="C101" s="2">
        <f ca="1">IFERROR(__xludf.DUMMYFUNCTION("""COMPUTED_VALUE"""),760)</f>
        <v>760</v>
      </c>
      <c r="D101" s="2">
        <f ca="1">IFERROR(__xludf.DUMMYFUNCTION("""COMPUTED_VALUE"""),382)</f>
        <v>382</v>
      </c>
      <c r="E101" s="2">
        <f ca="1">IFERROR(__xludf.DUMMYFUNCTION("""COMPUTED_VALUE"""),378)</f>
        <v>378</v>
      </c>
    </row>
    <row r="102" spans="1:5" ht="12.75">
      <c r="A102" s="2" t="str">
        <f ca="1">IFERROR(__xludf.DUMMYFUNCTION("""COMPUTED_VALUE"""),"DOCHLTS0952081")</f>
        <v>DOCHLTS0952081</v>
      </c>
      <c r="B102" s="2">
        <f ca="1">IFERROR(__xludf.DUMMYFUNCTION("""COMPUTED_VALUE"""),3)</f>
        <v>3</v>
      </c>
      <c r="C102" s="2">
        <f ca="1">IFERROR(__xludf.DUMMYFUNCTION("""COMPUTED_VALUE"""),148)</f>
        <v>148</v>
      </c>
      <c r="D102" s="2">
        <f ca="1">IFERROR(__xludf.DUMMYFUNCTION("""COMPUTED_VALUE"""),3)</f>
        <v>3</v>
      </c>
      <c r="E102" s="2">
        <f ca="1">IFERROR(__xludf.DUMMYFUNCTION("""COMPUTED_VALUE"""),145)</f>
        <v>145</v>
      </c>
    </row>
    <row r="103" spans="1:5" ht="12.75">
      <c r="A103" s="2" t="str">
        <f ca="1">IFERROR(__xludf.DUMMYFUNCTION("""COMPUTED_VALUE"""),"DOCHLTS1270061")</f>
        <v>DOCHLTS1270061</v>
      </c>
      <c r="B103" s="2">
        <f ca="1">IFERROR(__xludf.DUMMYFUNCTION("""COMPUTED_VALUE"""),997)</f>
        <v>997</v>
      </c>
      <c r="C103" s="2">
        <f ca="1">IFERROR(__xludf.DUMMYFUNCTION("""COMPUTED_VALUE"""),1176)</f>
        <v>1176</v>
      </c>
      <c r="D103" s="2">
        <f ca="1">IFERROR(__xludf.DUMMYFUNCTION("""COMPUTED_VALUE"""),1002)</f>
        <v>1002</v>
      </c>
      <c r="E103" s="2">
        <f ca="1">IFERROR(__xludf.DUMMYFUNCTION("""COMPUTED_VALUE"""),174)</f>
        <v>174</v>
      </c>
    </row>
    <row r="104" spans="1:5" ht="12.75">
      <c r="A104" s="2" t="str">
        <f ca="1">IFERROR(__xludf.DUMMYFUNCTION("""COMPUTED_VALUE"""),"DOCHLTS1270081")</f>
        <v>DOCHLTS1270081</v>
      </c>
      <c r="B104" s="2">
        <f ca="1">IFERROR(__xludf.DUMMYFUNCTION("""COMPUTED_VALUE"""),155)</f>
        <v>155</v>
      </c>
      <c r="C104" s="2">
        <f ca="1">IFERROR(__xludf.DUMMYFUNCTION("""COMPUTED_VALUE"""),355)</f>
        <v>355</v>
      </c>
      <c r="D104" s="2">
        <f ca="1">IFERROR(__xludf.DUMMYFUNCTION("""COMPUTED_VALUE"""),155)</f>
        <v>155</v>
      </c>
      <c r="E104" s="2">
        <f ca="1">IFERROR(__xludf.DUMMYFUNCTION("""COMPUTED_VALUE"""),200)</f>
        <v>200</v>
      </c>
    </row>
    <row r="105" spans="1:5" ht="12.75">
      <c r="A105" s="2" t="str">
        <f ca="1">IFERROR(__xludf.DUMMYFUNCTION("""COMPUTED_VALUE"""),"DOCHLTS1588100")</f>
        <v>DOCHLTS1588100</v>
      </c>
      <c r="B105" s="2">
        <f ca="1">IFERROR(__xludf.DUMMYFUNCTION("""COMPUTED_VALUE"""),1)</f>
        <v>1</v>
      </c>
      <c r="C105" s="2">
        <f ca="1">IFERROR(__xludf.DUMMYFUNCTION("""COMPUTED_VALUE"""),4)</f>
        <v>4</v>
      </c>
      <c r="D105" s="2">
        <f ca="1">IFERROR(__xludf.DUMMYFUNCTION("""COMPUTED_VALUE"""),1)</f>
        <v>1</v>
      </c>
      <c r="E105" s="2">
        <f ca="1">IFERROR(__xludf.DUMMYFUNCTION("""COMPUTED_VALUE"""),3)</f>
        <v>3</v>
      </c>
    </row>
    <row r="106" spans="1:5" ht="12.75">
      <c r="A106" s="2" t="str">
        <f ca="1">IFERROR(__xludf.DUMMYFUNCTION("""COMPUTED_VALUE"""),"DOCHLTS1905071")</f>
        <v>DOCHLTS1905071</v>
      </c>
      <c r="B106" s="2">
        <f ca="1">IFERROR(__xludf.DUMMYFUNCTION("""COMPUTED_VALUE"""),91)</f>
        <v>91</v>
      </c>
      <c r="C106" s="2">
        <f ca="1">IFERROR(__xludf.DUMMYFUNCTION("""COMPUTED_VALUE"""),127)</f>
        <v>127</v>
      </c>
      <c r="D106" s="2">
        <f ca="1">IFERROR(__xludf.DUMMYFUNCTION("""COMPUTED_VALUE"""),91)</f>
        <v>91</v>
      </c>
      <c r="E106" s="2">
        <f ca="1">IFERROR(__xludf.DUMMYFUNCTION("""COMPUTED_VALUE"""),36)</f>
        <v>36</v>
      </c>
    </row>
    <row r="107" spans="1:5" ht="12.75">
      <c r="A107" s="2" t="str">
        <f ca="1">IFERROR(__xludf.DUMMYFUNCTION("""COMPUTED_VALUE"""),"DOCHLTS1905081")</f>
        <v>DOCHLTS1905081</v>
      </c>
      <c r="B107" s="2">
        <f ca="1">IFERROR(__xludf.DUMMYFUNCTION("""COMPUTED_VALUE"""),103)</f>
        <v>103</v>
      </c>
      <c r="C107" s="2">
        <f ca="1">IFERROR(__xludf.DUMMYFUNCTION("""COMPUTED_VALUE"""),99)</f>
        <v>99</v>
      </c>
      <c r="D107" s="2">
        <f ca="1">IFERROR(__xludf.DUMMYFUNCTION("""COMPUTED_VALUE"""),103)</f>
        <v>103</v>
      </c>
      <c r="E107" s="2">
        <f ca="1">IFERROR(__xludf.DUMMYFUNCTION("""COMPUTED_VALUE"""),-4)</f>
        <v>-4</v>
      </c>
    </row>
    <row r="108" spans="1:5" ht="12.75">
      <c r="A108" s="2" t="str">
        <f ca="1">IFERROR(__xludf.DUMMYFUNCTION("""COMPUTED_VALUE"""),"DOCRB0635061")</f>
        <v>DOCRB0635061</v>
      </c>
      <c r="B108" s="2">
        <f ca="1">IFERROR(__xludf.DUMMYFUNCTION("""COMPUTED_VALUE"""),24)</f>
        <v>24</v>
      </c>
      <c r="C108" s="2">
        <f ca="1">IFERROR(__xludf.DUMMYFUNCTION("""COMPUTED_VALUE"""),24)</f>
        <v>24</v>
      </c>
      <c r="D108" s="2">
        <f ca="1">IFERROR(__xludf.DUMMYFUNCTION("""COMPUTED_VALUE"""),24)</f>
        <v>24</v>
      </c>
      <c r="E108" s="2">
        <f ca="1">IFERROR(__xludf.DUMMYFUNCTION("""COMPUTED_VALUE"""),0)</f>
        <v>0</v>
      </c>
    </row>
    <row r="109" spans="1:5" ht="12.75">
      <c r="A109" s="2" t="str">
        <f ca="1">IFERROR(__xludf.DUMMYFUNCTION("""COMPUTED_VALUE"""),"DOCRB0635081")</f>
        <v>DOCRB0635081</v>
      </c>
      <c r="B109" s="2">
        <f ca="1">IFERROR(__xludf.DUMMYFUNCTION("""COMPUTED_VALUE"""),82)</f>
        <v>82</v>
      </c>
      <c r="C109" s="2">
        <f ca="1">IFERROR(__xludf.DUMMYFUNCTION("""COMPUTED_VALUE"""),219)</f>
        <v>219</v>
      </c>
      <c r="D109" s="2">
        <f ca="1">IFERROR(__xludf.DUMMYFUNCTION("""COMPUTED_VALUE"""),82)</f>
        <v>82</v>
      </c>
      <c r="E109" s="2">
        <f ca="1">IFERROR(__xludf.DUMMYFUNCTION("""COMPUTED_VALUE"""),137)</f>
        <v>137</v>
      </c>
    </row>
    <row r="110" spans="1:5" ht="12.75">
      <c r="A110" s="2" t="str">
        <f ca="1">IFERROR(__xludf.DUMMYFUNCTION("""COMPUTED_VALUE"""),"DOCRB1270061")</f>
        <v>DOCRB1270061</v>
      </c>
      <c r="B110" s="2">
        <f ca="1">IFERROR(__xludf.DUMMYFUNCTION("""COMPUTED_VALUE"""),133)</f>
        <v>133</v>
      </c>
      <c r="C110" s="2">
        <f ca="1">IFERROR(__xludf.DUMMYFUNCTION("""COMPUTED_VALUE"""),134)</f>
        <v>134</v>
      </c>
      <c r="D110" s="2">
        <f ca="1">IFERROR(__xludf.DUMMYFUNCTION("""COMPUTED_VALUE"""),133)</f>
        <v>133</v>
      </c>
      <c r="E110" s="2">
        <f ca="1">IFERROR(__xludf.DUMMYFUNCTION("""COMPUTED_VALUE"""),1)</f>
        <v>1</v>
      </c>
    </row>
    <row r="111" spans="1:5" ht="12.75">
      <c r="A111" s="2" t="str">
        <f ca="1">IFERROR(__xludf.DUMMYFUNCTION("""COMPUTED_VALUE"""),"DOCRB1588100")</f>
        <v>DOCRB1588100</v>
      </c>
      <c r="B111" s="2">
        <f ca="1">IFERROR(__xludf.DUMMYFUNCTION("""COMPUTED_VALUE"""),18)</f>
        <v>18</v>
      </c>
      <c r="C111" s="2">
        <f ca="1">IFERROR(__xludf.DUMMYFUNCTION("""COMPUTED_VALUE"""),55)</f>
        <v>55</v>
      </c>
      <c r="D111" s="2">
        <f ca="1">IFERROR(__xludf.DUMMYFUNCTION("""COMPUTED_VALUE"""),18)</f>
        <v>18</v>
      </c>
      <c r="E111" s="2">
        <f ca="1">IFERROR(__xludf.DUMMYFUNCTION("""COMPUTED_VALUE"""),37)</f>
        <v>37</v>
      </c>
    </row>
    <row r="112" spans="1:5" ht="12.75">
      <c r="A112" s="2" t="str">
        <f ca="1">IFERROR(__xludf.DUMMYFUNCTION("""COMPUTED_VALUE"""),"DOCRB1905071")</f>
        <v>DOCRB1905071</v>
      </c>
      <c r="B112" s="2">
        <f ca="1">IFERROR(__xludf.DUMMYFUNCTION("""COMPUTED_VALUE"""),70)</f>
        <v>70</v>
      </c>
      <c r="C112" s="2">
        <f ca="1">IFERROR(__xludf.DUMMYFUNCTION("""COMPUTED_VALUE"""),70)</f>
        <v>70</v>
      </c>
      <c r="D112" s="2">
        <f ca="1">IFERROR(__xludf.DUMMYFUNCTION("""COMPUTED_VALUE"""),70)</f>
        <v>70</v>
      </c>
      <c r="E112" s="2">
        <f ca="1">IFERROR(__xludf.DUMMYFUNCTION("""COMPUTED_VALUE"""),0)</f>
        <v>0</v>
      </c>
    </row>
    <row r="113" spans="1:5" ht="12.75">
      <c r="A113" s="2" t="str">
        <f ca="1">IFERROR(__xludf.DUMMYFUNCTION("""COMPUTED_VALUE"""),"DOCRB1905081")</f>
        <v>DOCRB1905081</v>
      </c>
      <c r="B113" s="2">
        <f ca="1">IFERROR(__xludf.DUMMYFUNCTION("""COMPUTED_VALUE"""),77)</f>
        <v>77</v>
      </c>
      <c r="C113" s="2">
        <f ca="1">IFERROR(__xludf.DUMMYFUNCTION("""COMPUTED_VALUE"""),97)</f>
        <v>97</v>
      </c>
      <c r="D113" s="2">
        <f ca="1">IFERROR(__xludf.DUMMYFUNCTION("""COMPUTED_VALUE"""),77)</f>
        <v>77</v>
      </c>
      <c r="E113" s="2">
        <f ca="1">IFERROR(__xludf.DUMMYFUNCTION("""COMPUTED_VALUE"""),20)</f>
        <v>20</v>
      </c>
    </row>
    <row r="114" spans="1:5" ht="12.75">
      <c r="A114" s="2" t="str">
        <f ca="1">IFERROR(__xludf.DUMMYFUNCTION("""COMPUTED_VALUE"""),"DOCTAISEI0635061")</f>
        <v>DOCTAISEI0635061</v>
      </c>
      <c r="B114" s="2">
        <f ca="1">IFERROR(__xludf.DUMMYFUNCTION("""COMPUTED_VALUE"""),453)</f>
        <v>453</v>
      </c>
      <c r="C114" s="2">
        <f ca="1">IFERROR(__xludf.DUMMYFUNCTION("""COMPUTED_VALUE"""),650)</f>
        <v>650</v>
      </c>
      <c r="D114" s="2">
        <f ca="1">IFERROR(__xludf.DUMMYFUNCTION("""COMPUTED_VALUE"""),633)</f>
        <v>633</v>
      </c>
      <c r="E114" s="2">
        <f ca="1">IFERROR(__xludf.DUMMYFUNCTION("""COMPUTED_VALUE"""),17)</f>
        <v>17</v>
      </c>
    </row>
    <row r="115" spans="1:5" ht="12.75">
      <c r="A115" s="2" t="str">
        <f ca="1">IFERROR(__xludf.DUMMYFUNCTION("""COMPUTED_VALUE"""),"DOCTAISEI0635071")</f>
        <v>DOCTAISEI0635071</v>
      </c>
      <c r="B115" s="2">
        <f ca="1">IFERROR(__xludf.DUMMYFUNCTION("""COMPUTED_VALUE"""),1379)</f>
        <v>1379</v>
      </c>
      <c r="C115" s="2">
        <f ca="1">IFERROR(__xludf.DUMMYFUNCTION("""COMPUTED_VALUE"""),1407)</f>
        <v>1407</v>
      </c>
      <c r="D115" s="2">
        <f ca="1">IFERROR(__xludf.DUMMYFUNCTION("""COMPUTED_VALUE"""),1404)</f>
        <v>1404</v>
      </c>
      <c r="E115" s="2">
        <f ca="1">IFERROR(__xludf.DUMMYFUNCTION("""COMPUTED_VALUE"""),3)</f>
        <v>3</v>
      </c>
    </row>
    <row r="116" spans="1:5" ht="12.75">
      <c r="A116" s="2" t="str">
        <f ca="1">IFERROR(__xludf.DUMMYFUNCTION("""COMPUTED_VALUE"""),"DOCTAISEI095207115")</f>
        <v>DOCTAISEI095207115</v>
      </c>
      <c r="B116" s="2">
        <f ca="1">IFERROR(__xludf.DUMMYFUNCTION("""COMPUTED_VALUE"""),55)</f>
        <v>55</v>
      </c>
      <c r="C116" s="2">
        <f ca="1">IFERROR(__xludf.DUMMYFUNCTION("""COMPUTED_VALUE"""),287)</f>
        <v>287</v>
      </c>
      <c r="D116" s="2">
        <f ca="1">IFERROR(__xludf.DUMMYFUNCTION("""COMPUTED_VALUE"""),83)</f>
        <v>83</v>
      </c>
      <c r="E116" s="2">
        <f ca="1">IFERROR(__xludf.DUMMYFUNCTION("""COMPUTED_VALUE"""),204)</f>
        <v>204</v>
      </c>
    </row>
    <row r="117" spans="1:5" ht="12.75">
      <c r="A117" s="2" t="str">
        <f ca="1">IFERROR(__xludf.DUMMYFUNCTION("""COMPUTED_VALUE"""),"DOCTAISEI0952081")</f>
        <v>DOCTAISEI0952081</v>
      </c>
      <c r="B117" s="2">
        <f ca="1">IFERROR(__xludf.DUMMYFUNCTION("""COMPUTED_VALUE"""),180)</f>
        <v>180</v>
      </c>
      <c r="C117" s="2">
        <f ca="1">IFERROR(__xludf.DUMMYFUNCTION("""COMPUTED_VALUE"""),180)</f>
        <v>180</v>
      </c>
      <c r="D117" s="2">
        <f ca="1">IFERROR(__xludf.DUMMYFUNCTION("""COMPUTED_VALUE"""),180)</f>
        <v>180</v>
      </c>
      <c r="E117" s="2">
        <f ca="1">IFERROR(__xludf.DUMMYFUNCTION("""COMPUTED_VALUE"""),0)</f>
        <v>0</v>
      </c>
    </row>
    <row r="118" spans="1:5" ht="12.75">
      <c r="A118" s="2" t="str">
        <f ca="1">IFERROR(__xludf.DUMMYFUNCTION("""COMPUTED_VALUE"""),"DOCTAISEI1270061")</f>
        <v>DOCTAISEI1270061</v>
      </c>
      <c r="B118" s="2">
        <f ca="1">IFERROR(__xludf.DUMMYFUNCTION("""COMPUTED_VALUE"""),18)</f>
        <v>18</v>
      </c>
      <c r="C118" s="2">
        <f ca="1">IFERROR(__xludf.DUMMYFUNCTION("""COMPUTED_VALUE"""),265)</f>
        <v>265</v>
      </c>
      <c r="D118" s="2">
        <f ca="1">IFERROR(__xludf.DUMMYFUNCTION("""COMPUTED_VALUE"""),25)</f>
        <v>25</v>
      </c>
      <c r="E118" s="2">
        <f ca="1">IFERROR(__xludf.DUMMYFUNCTION("""COMPUTED_VALUE"""),240)</f>
        <v>240</v>
      </c>
    </row>
    <row r="119" spans="1:5" ht="12.75">
      <c r="A119" s="2" t="str">
        <f ca="1">IFERROR(__xludf.DUMMYFUNCTION("""COMPUTED_VALUE"""),"DOCTAISEI1270071")</f>
        <v>DOCTAISEI1270071</v>
      </c>
      <c r="B119" s="2">
        <f ca="1">IFERROR(__xludf.DUMMYFUNCTION("""COMPUTED_VALUE"""),122)</f>
        <v>122</v>
      </c>
      <c r="C119" s="2">
        <f ca="1">IFERROR(__xludf.DUMMYFUNCTION("""COMPUTED_VALUE"""),172)</f>
        <v>172</v>
      </c>
      <c r="D119" s="2">
        <f ca="1">IFERROR(__xludf.DUMMYFUNCTION("""COMPUTED_VALUE"""),129)</f>
        <v>129</v>
      </c>
      <c r="E119" s="2">
        <f ca="1">IFERROR(__xludf.DUMMYFUNCTION("""COMPUTED_VALUE"""),43)</f>
        <v>43</v>
      </c>
    </row>
    <row r="120" spans="1:5" ht="12.75">
      <c r="A120" s="2" t="str">
        <f ca="1">IFERROR(__xludf.DUMMYFUNCTION("""COMPUTED_VALUE"""),"DOCTAISEI1270081")</f>
        <v>DOCTAISEI1270081</v>
      </c>
      <c r="B120" s="2">
        <f ca="1">IFERROR(__xludf.DUMMYFUNCTION("""COMPUTED_VALUE"""),330)</f>
        <v>330</v>
      </c>
      <c r="C120" s="2">
        <f ca="1">IFERROR(__xludf.DUMMYFUNCTION("""COMPUTED_VALUE"""),413)</f>
        <v>413</v>
      </c>
      <c r="D120" s="2">
        <f ca="1">IFERROR(__xludf.DUMMYFUNCTION("""COMPUTED_VALUE"""),330)</f>
        <v>330</v>
      </c>
      <c r="E120" s="2">
        <f ca="1">IFERROR(__xludf.DUMMYFUNCTION("""COMPUTED_VALUE"""),83)</f>
        <v>83</v>
      </c>
    </row>
    <row r="121" spans="1:5" ht="12.75">
      <c r="A121" s="2" t="str">
        <f ca="1">IFERROR(__xludf.DUMMYFUNCTION("""COMPUTED_VALUE"""),"DOCTAISEI1588071")</f>
        <v>DOCTAISEI1588071</v>
      </c>
      <c r="B121" s="2">
        <f ca="1">IFERROR(__xludf.DUMMYFUNCTION("""COMPUTED_VALUE"""),49)</f>
        <v>49</v>
      </c>
      <c r="C121" s="2">
        <f ca="1">IFERROR(__xludf.DUMMYFUNCTION("""COMPUTED_VALUE"""),106)</f>
        <v>106</v>
      </c>
      <c r="D121" s="2">
        <f ca="1">IFERROR(__xludf.DUMMYFUNCTION("""COMPUTED_VALUE"""),49)</f>
        <v>49</v>
      </c>
      <c r="E121" s="2">
        <f ca="1">IFERROR(__xludf.DUMMYFUNCTION("""COMPUTED_VALUE"""),57)</f>
        <v>57</v>
      </c>
    </row>
    <row r="122" spans="1:5" ht="12.75">
      <c r="A122" s="2" t="str">
        <f ca="1">IFERROR(__xludf.DUMMYFUNCTION("""COMPUTED_VALUE"""),"DOCTAISEI1588081")</f>
        <v>DOCTAISEI1588081</v>
      </c>
      <c r="B122" s="2">
        <f ca="1">IFERROR(__xludf.DUMMYFUNCTION("""COMPUTED_VALUE"""),108)</f>
        <v>108</v>
      </c>
      <c r="C122" s="2">
        <f ca="1">IFERROR(__xludf.DUMMYFUNCTION("""COMPUTED_VALUE"""),220)</f>
        <v>220</v>
      </c>
      <c r="D122" s="2">
        <f ca="1">IFERROR(__xludf.DUMMYFUNCTION("""COMPUTED_VALUE"""),118)</f>
        <v>118</v>
      </c>
      <c r="E122" s="2">
        <f ca="1">IFERROR(__xludf.DUMMYFUNCTION("""COMPUTED_VALUE"""),102)</f>
        <v>102</v>
      </c>
    </row>
    <row r="123" spans="1:5" ht="12.75">
      <c r="A123" s="2" t="str">
        <f ca="1">IFERROR(__xludf.DUMMYFUNCTION("""COMPUTED_VALUE"""),"DOCTAISEI1588100")</f>
        <v>DOCTAISEI1588100</v>
      </c>
      <c r="B123" s="2">
        <f ca="1">IFERROR(__xludf.DUMMYFUNCTION("""COMPUTED_VALUE"""),55)</f>
        <v>55</v>
      </c>
      <c r="C123" s="2">
        <f ca="1">IFERROR(__xludf.DUMMYFUNCTION("""COMPUTED_VALUE"""),55)</f>
        <v>55</v>
      </c>
      <c r="D123" s="2">
        <f ca="1">IFERROR(__xludf.DUMMYFUNCTION("""COMPUTED_VALUE"""),55)</f>
        <v>55</v>
      </c>
      <c r="E123" s="2">
        <f ca="1">IFERROR(__xludf.DUMMYFUNCTION("""COMPUTED_VALUE"""),0)</f>
        <v>0</v>
      </c>
    </row>
    <row r="124" spans="1:5" ht="12.75">
      <c r="A124" s="2" t="str">
        <f ca="1">IFERROR(__xludf.DUMMYFUNCTION("""COMPUTED_VALUE"""),"DOCTAISEI1905081")</f>
        <v>DOCTAISEI1905081</v>
      </c>
      <c r="B124" s="2">
        <f ca="1">IFERROR(__xludf.DUMMYFUNCTION("""COMPUTED_VALUE"""),50)</f>
        <v>50</v>
      </c>
      <c r="C124" s="2">
        <f ca="1">IFERROR(__xludf.DUMMYFUNCTION("""COMPUTED_VALUE"""),105)</f>
        <v>105</v>
      </c>
      <c r="D124" s="2">
        <f ca="1">IFERROR(__xludf.DUMMYFUNCTION("""COMPUTED_VALUE"""),55)</f>
        <v>55</v>
      </c>
      <c r="E124" s="2">
        <f ca="1">IFERROR(__xludf.DUMMYFUNCTION("""COMPUTED_VALUE"""),50)</f>
        <v>50</v>
      </c>
    </row>
    <row r="125" spans="1:5" ht="12.75">
      <c r="A125" s="2" t="str">
        <f ca="1">IFERROR(__xludf.DUMMYFUNCTION("""COMPUTED_VALUE"""),"DOCTAISEI1905100")</f>
        <v>DOCTAISEI1905100</v>
      </c>
      <c r="B125" s="2">
        <f ca="1">IFERROR(__xludf.DUMMYFUNCTION("""COMPUTED_VALUE"""),32)</f>
        <v>32</v>
      </c>
      <c r="C125" s="2">
        <f ca="1">IFERROR(__xludf.DUMMYFUNCTION("""COMPUTED_VALUE"""),105)</f>
        <v>105</v>
      </c>
      <c r="D125" s="2">
        <f ca="1">IFERROR(__xludf.DUMMYFUNCTION("""COMPUTED_VALUE"""),40)</f>
        <v>40</v>
      </c>
      <c r="E125" s="2">
        <f ca="1">IFERROR(__xludf.DUMMYFUNCTION("""COMPUTED_VALUE"""),65)</f>
        <v>65</v>
      </c>
    </row>
    <row r="126" spans="1:5" ht="12.75">
      <c r="A126" s="2" t="str">
        <f ca="1">IFERROR(__xludf.DUMMYFUNCTION("""COMPUTED_VALUE"""),"DOCTS1905071")</f>
        <v>DOCTS1905071</v>
      </c>
      <c r="B126" s="2">
        <f ca="1">IFERROR(__xludf.DUMMYFUNCTION("""COMPUTED_VALUE"""),35)</f>
        <v>35</v>
      </c>
      <c r="C126" s="2">
        <f ca="1">IFERROR(__xludf.DUMMYFUNCTION("""COMPUTED_VALUE"""),35)</f>
        <v>35</v>
      </c>
      <c r="D126" s="2">
        <f ca="1">IFERROR(__xludf.DUMMYFUNCTION("""COMPUTED_VALUE"""),35)</f>
        <v>35</v>
      </c>
      <c r="E126" s="2">
        <f ca="1">IFERROR(__xludf.DUMMYFUNCTION("""COMPUTED_VALUE"""),0)</f>
        <v>0</v>
      </c>
    </row>
    <row r="127" spans="1:5" ht="12.75">
      <c r="A127" s="2" t="str">
        <f ca="1">IFERROR(__xludf.DUMMYFUNCTION("""COMPUTED_VALUE"""),"DOLWC127071")</f>
        <v>DOLWC127071</v>
      </c>
      <c r="B127" s="2">
        <f ca="1">IFERROR(__xludf.DUMMYFUNCTION("""COMPUTED_VALUE"""),461.6)</f>
        <v>461.6</v>
      </c>
      <c r="C127" s="2">
        <f ca="1">IFERROR(__xludf.DUMMYFUNCTION("""COMPUTED_VALUE"""),461.6)</f>
        <v>461.6</v>
      </c>
      <c r="D127" s="2">
        <f ca="1">IFERROR(__xludf.DUMMYFUNCTION("""COMPUTED_VALUE"""),461.6)</f>
        <v>461.6</v>
      </c>
      <c r="E127" s="2">
        <f ca="1">IFERROR(__xludf.DUMMYFUNCTION("""COMPUTED_VALUE"""),0)</f>
        <v>0</v>
      </c>
    </row>
    <row r="128" spans="1:5" ht="12.75">
      <c r="A128" s="2" t="str">
        <f ca="1">IFERROR(__xludf.DUMMYFUNCTION("""COMPUTED_VALUE"""),"DOLWC1905100")</f>
        <v>DOLWC1905100</v>
      </c>
      <c r="B128" s="2">
        <f ca="1">IFERROR(__xludf.DUMMYFUNCTION("""COMPUTED_VALUE"""),157.8)</f>
        <v>157.80000000000001</v>
      </c>
      <c r="C128" s="2">
        <f ca="1">IFERROR(__xludf.DUMMYFUNCTION("""COMPUTED_VALUE"""),157.8)</f>
        <v>157.80000000000001</v>
      </c>
      <c r="D128" s="2">
        <f ca="1">IFERROR(__xludf.DUMMYFUNCTION("""COMPUTED_VALUE"""),157.8)</f>
        <v>157.80000000000001</v>
      </c>
      <c r="E128" s="2">
        <f ca="1">IFERROR(__xludf.DUMMYFUNCTION("""COMPUTED_VALUE"""),0)</f>
        <v>0</v>
      </c>
    </row>
    <row r="129" spans="1:5" ht="12.75">
      <c r="A129" s="2" t="str">
        <f ca="1">IFERROR(__xludf.DUMMYFUNCTION("""COMPUTED_VALUE"""),"DOLWC635081")</f>
        <v>DOLWC635081</v>
      </c>
      <c r="B129" s="2">
        <f ca="1">IFERROR(__xludf.DUMMYFUNCTION("""COMPUTED_VALUE"""),320)</f>
        <v>320</v>
      </c>
      <c r="C129" s="2">
        <f ca="1">IFERROR(__xludf.DUMMYFUNCTION("""COMPUTED_VALUE"""),632.1)</f>
        <v>632.1</v>
      </c>
      <c r="D129" s="2">
        <f ca="1">IFERROR(__xludf.DUMMYFUNCTION("""COMPUTED_VALUE"""),320)</f>
        <v>320</v>
      </c>
      <c r="E129" s="2">
        <f ca="1">IFERROR(__xludf.DUMMYFUNCTION("""COMPUTED_VALUE"""),312.1)</f>
        <v>312.10000000000002</v>
      </c>
    </row>
    <row r="130" spans="1:5" ht="12.75">
      <c r="A130" s="2" t="str">
        <f ca="1">IFERROR(__xludf.DUMMYFUNCTION("""COMPUTED_VALUE"""),"DOLWCTS0550051")</f>
        <v>DOLWCTS0550051</v>
      </c>
      <c r="B130" s="2">
        <f ca="1">IFERROR(__xludf.DUMMYFUNCTION("""COMPUTED_VALUE"""),479.1)</f>
        <v>479.1</v>
      </c>
      <c r="C130" s="2">
        <f ca="1">IFERROR(__xludf.DUMMYFUNCTION("""COMPUTED_VALUE"""),479.1)</f>
        <v>479.1</v>
      </c>
      <c r="D130" s="2">
        <f ca="1">IFERROR(__xludf.DUMMYFUNCTION("""COMPUTED_VALUE"""),479.1)</f>
        <v>479.1</v>
      </c>
      <c r="E130" s="2">
        <f ca="1">IFERROR(__xludf.DUMMYFUNCTION("""COMPUTED_VALUE"""),0)</f>
        <v>0</v>
      </c>
    </row>
    <row r="131" spans="1:5" ht="12.75">
      <c r="A131" s="2" t="str">
        <f ca="1">IFERROR(__xludf.DUMMYFUNCTION("""COMPUTED_VALUE"""),"DOLWCTS0720060")</f>
        <v>DOLWCTS0720060</v>
      </c>
      <c r="B131" s="2">
        <f ca="1">IFERROR(__xludf.DUMMYFUNCTION("""COMPUTED_VALUE"""),481.8)</f>
        <v>481.8</v>
      </c>
      <c r="C131" s="2">
        <f ca="1">IFERROR(__xludf.DUMMYFUNCTION("""COMPUTED_VALUE"""),481.8)</f>
        <v>481.8</v>
      </c>
      <c r="D131" s="2">
        <f ca="1">IFERROR(__xludf.DUMMYFUNCTION("""COMPUTED_VALUE"""),481.8)</f>
        <v>481.8</v>
      </c>
      <c r="E131" s="2">
        <f ca="1">IFERROR(__xludf.DUMMYFUNCTION("""COMPUTED_VALUE"""),0)</f>
        <v>0</v>
      </c>
    </row>
    <row r="132" spans="1:5" ht="12.75">
      <c r="A132" s="2" t="str">
        <f ca="1">IFERROR(__xludf.DUMMYFUNCTION("""COMPUTED_VALUE"""),"DOLWCTS1588081")</f>
        <v>DOLWCTS1588081</v>
      </c>
      <c r="B132" s="2">
        <f ca="1">IFERROR(__xludf.DUMMYFUNCTION("""COMPUTED_VALUE"""),159.8)</f>
        <v>159.80000000000001</v>
      </c>
      <c r="C132" s="2">
        <f ca="1">IFERROR(__xludf.DUMMYFUNCTION("""COMPUTED_VALUE"""),159.8)</f>
        <v>159.80000000000001</v>
      </c>
      <c r="D132" s="2">
        <f ca="1">IFERROR(__xludf.DUMMYFUNCTION("""COMPUTED_VALUE"""),159.8)</f>
        <v>159.80000000000001</v>
      </c>
      <c r="E132" s="2">
        <f ca="1">IFERROR(__xludf.DUMMYFUNCTION("""COMPUTED_VALUE"""),0)</f>
        <v>0</v>
      </c>
    </row>
    <row r="133" spans="1:5" ht="12.75">
      <c r="A133" s="2" t="str">
        <f ca="1">IFERROR(__xludf.DUMMYFUNCTION("""COMPUTED_VALUE"""),"DOT1270071")</f>
        <v>DOT1270071</v>
      </c>
      <c r="B133" s="2">
        <f ca="1">IFERROR(__xludf.DUMMYFUNCTION("""COMPUTED_VALUE"""),446)</f>
        <v>446</v>
      </c>
      <c r="C133" s="2">
        <f ca="1">IFERROR(__xludf.DUMMYFUNCTION("""COMPUTED_VALUE"""),446)</f>
        <v>446</v>
      </c>
      <c r="D133" s="2">
        <f ca="1">IFERROR(__xludf.DUMMYFUNCTION("""COMPUTED_VALUE"""),446)</f>
        <v>446</v>
      </c>
      <c r="E133" s="2">
        <f ca="1">IFERROR(__xludf.DUMMYFUNCTION("""COMPUTED_VALUE"""),0)</f>
        <v>0</v>
      </c>
    </row>
    <row r="134" spans="1:5" ht="12.75">
      <c r="A134" s="2" t="str">
        <f ca="1">IFERROR(__xludf.DUMMYFUNCTION("""COMPUTED_VALUE"""),"DOT1270081")</f>
        <v>DOT1270081</v>
      </c>
      <c r="B134" s="2">
        <f ca="1">IFERROR(__xludf.DUMMYFUNCTION("""COMPUTED_VALUE"""),312)</f>
        <v>312</v>
      </c>
      <c r="C134" s="2">
        <f ca="1">IFERROR(__xludf.DUMMYFUNCTION("""COMPUTED_VALUE"""),312)</f>
        <v>312</v>
      </c>
      <c r="D134" s="2">
        <f ca="1">IFERROR(__xludf.DUMMYFUNCTION("""COMPUTED_VALUE"""),312)</f>
        <v>312</v>
      </c>
      <c r="E134" s="2">
        <f ca="1">IFERROR(__xludf.DUMMYFUNCTION("""COMPUTED_VALUE"""),0)</f>
        <v>0</v>
      </c>
    </row>
    <row r="135" spans="1:5" ht="12.75">
      <c r="A135" s="2" t="str">
        <f ca="1">IFERROR(__xludf.DUMMYFUNCTION("""COMPUTED_VALUE"""),"DOT1588061")</f>
        <v>DOT1588061</v>
      </c>
      <c r="B135" s="2">
        <f ca="1">IFERROR(__xludf.DUMMYFUNCTION("""COMPUTED_VALUE"""),598)</f>
        <v>598</v>
      </c>
      <c r="C135" s="2">
        <f ca="1">IFERROR(__xludf.DUMMYFUNCTION("""COMPUTED_VALUE"""),598)</f>
        <v>598</v>
      </c>
      <c r="D135" s="2">
        <f ca="1">IFERROR(__xludf.DUMMYFUNCTION("""COMPUTED_VALUE"""),598)</f>
        <v>598</v>
      </c>
      <c r="E135" s="2">
        <f ca="1">IFERROR(__xludf.DUMMYFUNCTION("""COMPUTED_VALUE"""),0)</f>
        <v>0</v>
      </c>
    </row>
    <row r="136" spans="1:5" ht="12.75">
      <c r="A136" s="2" t="str">
        <f ca="1">IFERROR(__xludf.DUMMYFUNCTION("""COMPUTED_VALUE"""),"DOT1588071")</f>
        <v>DOT1588071</v>
      </c>
      <c r="B136" s="2">
        <f ca="1">IFERROR(__xludf.DUMMYFUNCTION("""COMPUTED_VALUE"""),369)</f>
        <v>369</v>
      </c>
      <c r="C136" s="2">
        <f ca="1">IFERROR(__xludf.DUMMYFUNCTION("""COMPUTED_VALUE"""),850)</f>
        <v>850</v>
      </c>
      <c r="D136" s="2">
        <f ca="1">IFERROR(__xludf.DUMMYFUNCTION("""COMPUTED_VALUE"""),369)</f>
        <v>369</v>
      </c>
      <c r="E136" s="2">
        <f ca="1">IFERROR(__xludf.DUMMYFUNCTION("""COMPUTED_VALUE"""),481)</f>
        <v>481</v>
      </c>
    </row>
    <row r="137" spans="1:5" ht="12.75">
      <c r="A137" s="2" t="str">
        <f ca="1">IFERROR(__xludf.DUMMYFUNCTION("""COMPUTED_VALUE"""),"DOT1588081")</f>
        <v>DOT1588081</v>
      </c>
      <c r="B137" s="2">
        <f ca="1">IFERROR(__xludf.DUMMYFUNCTION("""COMPUTED_VALUE"""),288)</f>
        <v>288</v>
      </c>
      <c r="C137" s="2">
        <f ca="1">IFERROR(__xludf.DUMMYFUNCTION("""COMPUTED_VALUE"""),731)</f>
        <v>731</v>
      </c>
      <c r="D137" s="2">
        <f ca="1">IFERROR(__xludf.DUMMYFUNCTION("""COMPUTED_VALUE"""),288)</f>
        <v>288</v>
      </c>
      <c r="E137" s="2">
        <f ca="1">IFERROR(__xludf.DUMMYFUNCTION("""COMPUTED_VALUE"""),443)</f>
        <v>443</v>
      </c>
    </row>
    <row r="138" spans="1:5" ht="12.75">
      <c r="A138" s="2" t="str">
        <f ca="1">IFERROR(__xludf.DUMMYFUNCTION("""COMPUTED_VALUE"""),"DOT1588100")</f>
        <v>DOT1588100</v>
      </c>
      <c r="B138" s="2">
        <f ca="1">IFERROR(__xludf.DUMMYFUNCTION("""COMPUTED_VALUE"""),133)</f>
        <v>133</v>
      </c>
      <c r="C138" s="2">
        <f ca="1">IFERROR(__xludf.DUMMYFUNCTION("""COMPUTED_VALUE"""),133)</f>
        <v>133</v>
      </c>
      <c r="D138" s="2">
        <f ca="1">IFERROR(__xludf.DUMMYFUNCTION("""COMPUTED_VALUE"""),133)</f>
        <v>133</v>
      </c>
      <c r="E138" s="2">
        <f ca="1">IFERROR(__xludf.DUMMYFUNCTION("""COMPUTED_VALUE"""),0)</f>
        <v>0</v>
      </c>
    </row>
    <row r="139" spans="1:5" ht="12.75">
      <c r="A139" s="2" t="str">
        <f ca="1">IFERROR(__xludf.DUMMYFUNCTION("""COMPUTED_VALUE"""),"DOT1905081")</f>
        <v>DOT1905081</v>
      </c>
      <c r="B139" s="2">
        <f ca="1">IFERROR(__xludf.DUMMYFUNCTION("""COMPUTED_VALUE"""),420)</f>
        <v>420</v>
      </c>
      <c r="C139" s="2">
        <f ca="1">IFERROR(__xludf.DUMMYFUNCTION("""COMPUTED_VALUE"""),420)</f>
        <v>420</v>
      </c>
      <c r="D139" s="2">
        <f ca="1">IFERROR(__xludf.DUMMYFUNCTION("""COMPUTED_VALUE"""),420)</f>
        <v>420</v>
      </c>
      <c r="E139" s="2">
        <f ca="1">IFERROR(__xludf.DUMMYFUNCTION("""COMPUTED_VALUE"""),0)</f>
        <v>0</v>
      </c>
    </row>
    <row r="140" spans="1:5" ht="12.75">
      <c r="A140" s="2" t="str">
        <f ca="1">IFERROR(__xludf.DUMMYFUNCTION("""COMPUTED_VALUE"""),"DOT1905100")</f>
        <v>DOT1905100</v>
      </c>
      <c r="B140" s="2">
        <f ca="1">IFERROR(__xludf.DUMMYFUNCTION("""COMPUTED_VALUE"""),171)</f>
        <v>171</v>
      </c>
      <c r="C140" s="2">
        <f ca="1">IFERROR(__xludf.DUMMYFUNCTION("""COMPUTED_VALUE"""),171)</f>
        <v>171</v>
      </c>
      <c r="D140" s="2">
        <f ca="1">IFERROR(__xludf.DUMMYFUNCTION("""COMPUTED_VALUE"""),171)</f>
        <v>171</v>
      </c>
      <c r="E140" s="2">
        <f ca="1">IFERROR(__xludf.DUMMYFUNCTION("""COMPUTED_VALUE"""),0)</f>
        <v>0</v>
      </c>
    </row>
    <row r="141" spans="1:5" ht="12.75">
      <c r="A141" s="2" t="str">
        <f ca="1">IFERROR(__xludf.DUMMYFUNCTION("""COMPUTED_VALUE"""),"DOT2222081")</f>
        <v>DOT2222081</v>
      </c>
      <c r="B141" s="2">
        <f ca="1">IFERROR(__xludf.DUMMYFUNCTION("""COMPUTED_VALUE"""),576)</f>
        <v>576</v>
      </c>
      <c r="C141" s="2">
        <f ca="1">IFERROR(__xludf.DUMMYFUNCTION("""COMPUTED_VALUE"""),704)</f>
        <v>704</v>
      </c>
      <c r="D141" s="2">
        <f ca="1">IFERROR(__xludf.DUMMYFUNCTION("""COMPUTED_VALUE"""),578)</f>
        <v>578</v>
      </c>
      <c r="E141" s="2">
        <f ca="1">IFERROR(__xludf.DUMMYFUNCTION("""COMPUTED_VALUE"""),126)</f>
        <v>126</v>
      </c>
    </row>
    <row r="142" spans="1:5" ht="12.75">
      <c r="A142" s="2" t="str">
        <f ca="1">IFERROR(__xludf.DUMMYFUNCTION("""COMPUTED_VALUE"""),"DOT2222100")</f>
        <v>DOT2222100</v>
      </c>
      <c r="B142" s="2">
        <f ca="1">IFERROR(__xludf.DUMMYFUNCTION("""COMPUTED_VALUE"""),286)</f>
        <v>286</v>
      </c>
      <c r="C142" s="2">
        <f ca="1">IFERROR(__xludf.DUMMYFUNCTION("""COMPUTED_VALUE"""),467)</f>
        <v>467</v>
      </c>
      <c r="D142" s="2">
        <f ca="1">IFERROR(__xludf.DUMMYFUNCTION("""COMPUTED_VALUE"""),299)</f>
        <v>299</v>
      </c>
      <c r="E142" s="2">
        <f ca="1">IFERROR(__xludf.DUMMYFUNCTION("""COMPUTED_VALUE"""),168)</f>
        <v>168</v>
      </c>
    </row>
    <row r="143" spans="1:5" ht="12.75">
      <c r="A143" s="2" t="str">
        <f ca="1">IFERROR(__xludf.DUMMYFUNCTION("""COMPUTED_VALUE"""),"DOT2222114")</f>
        <v>DOT2222114</v>
      </c>
      <c r="B143" s="2">
        <f ca="1">IFERROR(__xludf.DUMMYFUNCTION("""COMPUTED_VALUE"""),120)</f>
        <v>120</v>
      </c>
      <c r="C143" s="2">
        <f ca="1">IFERROR(__xludf.DUMMYFUNCTION("""COMPUTED_VALUE"""),120)</f>
        <v>120</v>
      </c>
      <c r="D143" s="2">
        <f ca="1">IFERROR(__xludf.DUMMYFUNCTION("""COMPUTED_VALUE"""),120)</f>
        <v>120</v>
      </c>
      <c r="E143" s="2">
        <f ca="1">IFERROR(__xludf.DUMMYFUNCTION("""COMPUTED_VALUE"""),0)</f>
        <v>0</v>
      </c>
    </row>
    <row r="144" spans="1:5" ht="12.75">
      <c r="A144" s="2" t="str">
        <f ca="1">IFERROR(__xludf.DUMMYFUNCTION("""COMPUTED_VALUE"""),"DOT2222120")</f>
        <v>DOT2222120</v>
      </c>
      <c r="B144" s="2">
        <f ca="1">IFERROR(__xludf.DUMMYFUNCTION("""COMPUTED_VALUE"""),346)</f>
        <v>346</v>
      </c>
      <c r="C144" s="2">
        <f ca="1">IFERROR(__xludf.DUMMYFUNCTION("""COMPUTED_VALUE"""),443)</f>
        <v>443</v>
      </c>
      <c r="D144" s="2">
        <f ca="1">IFERROR(__xludf.DUMMYFUNCTION("""COMPUTED_VALUE"""),346)</f>
        <v>346</v>
      </c>
      <c r="E144" s="2">
        <f ca="1">IFERROR(__xludf.DUMMYFUNCTION("""COMPUTED_VALUE"""),97)</f>
        <v>97</v>
      </c>
    </row>
    <row r="145" spans="1:5" ht="12.75">
      <c r="A145" s="2" t="str">
        <f ca="1">IFERROR(__xludf.DUMMYFUNCTION("""COMPUTED_VALUE"""),"DOT2540081")</f>
        <v>DOT2540081</v>
      </c>
      <c r="B145" s="2">
        <f ca="1">IFERROR(__xludf.DUMMYFUNCTION("""COMPUTED_VALUE"""),28)</f>
        <v>28</v>
      </c>
      <c r="C145" s="2">
        <f ca="1">IFERROR(__xludf.DUMMYFUNCTION("""COMPUTED_VALUE"""),29)</f>
        <v>29</v>
      </c>
      <c r="D145" s="2">
        <f ca="1">IFERROR(__xludf.DUMMYFUNCTION("""COMPUTED_VALUE"""),28)</f>
        <v>28</v>
      </c>
      <c r="E145" s="2">
        <f ca="1">IFERROR(__xludf.DUMMYFUNCTION("""COMPUTED_VALUE"""),1)</f>
        <v>1</v>
      </c>
    </row>
    <row r="146" spans="1:5" ht="12.75">
      <c r="A146" s="2" t="str">
        <f ca="1">IFERROR(__xludf.DUMMYFUNCTION("""COMPUTED_VALUE"""),"DOT2540100")</f>
        <v>DOT2540100</v>
      </c>
      <c r="B146" s="2">
        <f ca="1">IFERROR(__xludf.DUMMYFUNCTION("""COMPUTED_VALUE"""),37)</f>
        <v>37</v>
      </c>
      <c r="C146" s="2">
        <f ca="1">IFERROR(__xludf.DUMMYFUNCTION("""COMPUTED_VALUE"""),97)</f>
        <v>97</v>
      </c>
      <c r="D146" s="2">
        <f ca="1">IFERROR(__xludf.DUMMYFUNCTION("""COMPUTED_VALUE"""),37)</f>
        <v>37</v>
      </c>
      <c r="E146" s="2">
        <f ca="1">IFERROR(__xludf.DUMMYFUNCTION("""COMPUTED_VALUE"""),60)</f>
        <v>60</v>
      </c>
    </row>
    <row r="147" spans="1:5" ht="12.75">
      <c r="A147" s="2" t="str">
        <f ca="1">IFERROR(__xludf.DUMMYFUNCTION("""COMPUTED_VALUE"""),"DOT2540120")</f>
        <v>DOT2540120</v>
      </c>
      <c r="B147" s="2">
        <f ca="1">IFERROR(__xludf.DUMMYFUNCTION("""COMPUTED_VALUE"""),85)</f>
        <v>85</v>
      </c>
      <c r="C147" s="2">
        <f ca="1">IFERROR(__xludf.DUMMYFUNCTION("""COMPUTED_VALUE"""),99)</f>
        <v>99</v>
      </c>
      <c r="D147" s="2">
        <f ca="1">IFERROR(__xludf.DUMMYFUNCTION("""COMPUTED_VALUE"""),86)</f>
        <v>86</v>
      </c>
      <c r="E147" s="2">
        <f ca="1">IFERROR(__xludf.DUMMYFUNCTION("""COMPUTED_VALUE"""),13)</f>
        <v>13</v>
      </c>
    </row>
    <row r="148" spans="1:5" ht="12.75">
      <c r="A148" s="2" t="str">
        <f ca="1">IFERROR(__xludf.DUMMYFUNCTION("""COMPUTED_VALUE"""),"DOT2858100")</f>
        <v>DOT2858100</v>
      </c>
      <c r="B148" s="2">
        <f ca="1">IFERROR(__xludf.DUMMYFUNCTION("""COMPUTED_VALUE"""),96)</f>
        <v>96</v>
      </c>
      <c r="C148" s="2">
        <f ca="1">IFERROR(__xludf.DUMMYFUNCTION("""COMPUTED_VALUE"""),352)</f>
        <v>352</v>
      </c>
      <c r="D148" s="2">
        <f ca="1">IFERROR(__xludf.DUMMYFUNCTION("""COMPUTED_VALUE"""),104)</f>
        <v>104</v>
      </c>
      <c r="E148" s="2">
        <f ca="1">IFERROR(__xludf.DUMMYFUNCTION("""COMPUTED_VALUE"""),248)</f>
        <v>248</v>
      </c>
    </row>
    <row r="149" spans="1:5" ht="12.75">
      <c r="A149" s="2" t="str">
        <f ca="1">IFERROR(__xludf.DUMMYFUNCTION("""COMPUTED_VALUE"""),"DOT2858120")</f>
        <v>DOT2858120</v>
      </c>
      <c r="B149" s="2">
        <f ca="1">IFERROR(__xludf.DUMMYFUNCTION("""COMPUTED_VALUE"""),238)</f>
        <v>238</v>
      </c>
      <c r="C149" s="2">
        <f ca="1">IFERROR(__xludf.DUMMYFUNCTION("""COMPUTED_VALUE"""),458)</f>
        <v>458</v>
      </c>
      <c r="D149" s="2">
        <f ca="1">IFERROR(__xludf.DUMMYFUNCTION("""COMPUTED_VALUE"""),247)</f>
        <v>247</v>
      </c>
      <c r="E149" s="2">
        <f ca="1">IFERROR(__xludf.DUMMYFUNCTION("""COMPUTED_VALUE"""),211)</f>
        <v>211</v>
      </c>
    </row>
    <row r="150" spans="1:5" ht="12.75">
      <c r="A150" s="2" t="str">
        <f ca="1">IFERROR(__xludf.DUMMYFUNCTION("""COMPUTED_VALUE"""),"DOT2858140")</f>
        <v>DOT2858140</v>
      </c>
      <c r="B150" s="2">
        <f ca="1">IFERROR(__xludf.DUMMYFUNCTION("""COMPUTED_VALUE"""),21)</f>
        <v>21</v>
      </c>
      <c r="C150" s="2">
        <f ca="1">IFERROR(__xludf.DUMMYFUNCTION("""COMPUTED_VALUE"""),21)</f>
        <v>21</v>
      </c>
      <c r="D150" s="2">
        <f ca="1">IFERROR(__xludf.DUMMYFUNCTION("""COMPUTED_VALUE"""),21)</f>
        <v>21</v>
      </c>
      <c r="E150" s="2">
        <f ca="1">IFERROR(__xludf.DUMMYFUNCTION("""COMPUTED_VALUE"""),0)</f>
        <v>0</v>
      </c>
    </row>
    <row r="151" spans="1:5" ht="12.75">
      <c r="A151" s="2" t="str">
        <f ca="1">IFERROR(__xludf.DUMMYFUNCTION("""COMPUTED_VALUE"""),"DOT3175100")</f>
        <v>DOT3175100</v>
      </c>
      <c r="B151" s="2">
        <f ca="1">IFERROR(__xludf.DUMMYFUNCTION("""COMPUTED_VALUE"""),111)</f>
        <v>111</v>
      </c>
      <c r="C151" s="2">
        <f ca="1">IFERROR(__xludf.DUMMYFUNCTION("""COMPUTED_VALUE"""),162)</f>
        <v>162</v>
      </c>
      <c r="D151" s="2">
        <f ca="1">IFERROR(__xludf.DUMMYFUNCTION("""COMPUTED_VALUE"""),111)</f>
        <v>111</v>
      </c>
      <c r="E151" s="2">
        <f ca="1">IFERROR(__xludf.DUMMYFUNCTION("""COMPUTED_VALUE"""),51)</f>
        <v>51</v>
      </c>
    </row>
    <row r="152" spans="1:5" ht="12.75">
      <c r="A152" s="2" t="str">
        <f ca="1">IFERROR(__xludf.DUMMYFUNCTION("""COMPUTED_VALUE"""),"DOT3175120")</f>
        <v>DOT3175120</v>
      </c>
      <c r="B152" s="2">
        <f ca="1">IFERROR(__xludf.DUMMYFUNCTION("""COMPUTED_VALUE"""),127)</f>
        <v>127</v>
      </c>
      <c r="C152" s="2">
        <f ca="1">IFERROR(__xludf.DUMMYFUNCTION("""COMPUTED_VALUE"""),149)</f>
        <v>149</v>
      </c>
      <c r="D152" s="2">
        <f ca="1">IFERROR(__xludf.DUMMYFUNCTION("""COMPUTED_VALUE"""),127)</f>
        <v>127</v>
      </c>
      <c r="E152" s="2">
        <f ca="1">IFERROR(__xludf.DUMMYFUNCTION("""COMPUTED_VALUE"""),22)</f>
        <v>22</v>
      </c>
    </row>
    <row r="153" spans="1:5" ht="12.75">
      <c r="A153" s="2" t="str">
        <f ca="1">IFERROR(__xludf.DUMMYFUNCTION("""COMPUTED_VALUE"""),"DOT3175127")</f>
        <v>DOT3175127</v>
      </c>
      <c r="B153" s="2">
        <f ca="1">IFERROR(__xludf.DUMMYFUNCTION("""COMPUTED_VALUE"""),1)</f>
        <v>1</v>
      </c>
      <c r="C153" s="2">
        <f ca="1">IFERROR(__xludf.DUMMYFUNCTION("""COMPUTED_VALUE"""),2)</f>
        <v>2</v>
      </c>
      <c r="D153" s="2">
        <f ca="1">IFERROR(__xludf.DUMMYFUNCTION("""COMPUTED_VALUE"""),2)</f>
        <v>2</v>
      </c>
      <c r="E153" s="2">
        <f ca="1">IFERROR(__xludf.DUMMYFUNCTION("""COMPUTED_VALUE"""),0)</f>
        <v>0</v>
      </c>
    </row>
    <row r="154" spans="1:5" ht="12.75">
      <c r="A154" s="2" t="str">
        <f ca="1">IFERROR(__xludf.DUMMYFUNCTION("""COMPUTED_VALUE"""),"DOT3175140")</f>
        <v>DOT3175140</v>
      </c>
      <c r="B154" s="2">
        <f ca="1">IFERROR(__xludf.DUMMYFUNCTION("""COMPUTED_VALUE"""),83)</f>
        <v>83</v>
      </c>
      <c r="C154" s="2">
        <f ca="1">IFERROR(__xludf.DUMMYFUNCTION("""COMPUTED_VALUE"""),83)</f>
        <v>83</v>
      </c>
      <c r="D154" s="2">
        <f ca="1">IFERROR(__xludf.DUMMYFUNCTION("""COMPUTED_VALUE"""),83)</f>
        <v>83</v>
      </c>
      <c r="E154" s="2">
        <f ca="1">IFERROR(__xludf.DUMMYFUNCTION("""COMPUTED_VALUE"""),0)</f>
        <v>0</v>
      </c>
    </row>
    <row r="155" spans="1:5" ht="12.75">
      <c r="A155" s="2" t="str">
        <f ca="1">IFERROR(__xludf.DUMMYFUNCTION("""COMPUTED_VALUE"""),"DOT3493100")</f>
        <v>DOT3493100</v>
      </c>
      <c r="B155" s="2">
        <f ca="1">IFERROR(__xludf.DUMMYFUNCTION("""COMPUTED_VALUE"""),140)</f>
        <v>140</v>
      </c>
      <c r="C155" s="2">
        <f ca="1">IFERROR(__xludf.DUMMYFUNCTION("""COMPUTED_VALUE"""),237)</f>
        <v>237</v>
      </c>
      <c r="D155" s="2">
        <f ca="1">IFERROR(__xludf.DUMMYFUNCTION("""COMPUTED_VALUE"""),140)</f>
        <v>140</v>
      </c>
      <c r="E155" s="2">
        <f ca="1">IFERROR(__xludf.DUMMYFUNCTION("""COMPUTED_VALUE"""),97)</f>
        <v>97</v>
      </c>
    </row>
    <row r="156" spans="1:5" ht="12.75">
      <c r="A156" s="2" t="str">
        <f ca="1">IFERROR(__xludf.DUMMYFUNCTION("""COMPUTED_VALUE"""),"DOT3493120")</f>
        <v>DOT3493120</v>
      </c>
      <c r="B156" s="2">
        <f ca="1">IFERROR(__xludf.DUMMYFUNCTION("""COMPUTED_VALUE"""),172)</f>
        <v>172</v>
      </c>
      <c r="C156" s="2">
        <f ca="1">IFERROR(__xludf.DUMMYFUNCTION("""COMPUTED_VALUE"""),251)</f>
        <v>251</v>
      </c>
      <c r="D156" s="2">
        <f ca="1">IFERROR(__xludf.DUMMYFUNCTION("""COMPUTED_VALUE"""),172)</f>
        <v>172</v>
      </c>
      <c r="E156" s="2">
        <f ca="1">IFERROR(__xludf.DUMMYFUNCTION("""COMPUTED_VALUE"""),79)</f>
        <v>79</v>
      </c>
    </row>
    <row r="157" spans="1:5" ht="12.75">
      <c r="A157" s="2" t="str">
        <f ca="1">IFERROR(__xludf.DUMMYFUNCTION("""COMPUTED_VALUE"""),"DOT3493140")</f>
        <v>DOT3493140</v>
      </c>
      <c r="B157" s="2">
        <f ca="1">IFERROR(__xludf.DUMMYFUNCTION("""COMPUTED_VALUE"""),128)</f>
        <v>128</v>
      </c>
      <c r="C157" s="2">
        <f ca="1">IFERROR(__xludf.DUMMYFUNCTION("""COMPUTED_VALUE"""),175)</f>
        <v>175</v>
      </c>
      <c r="D157" s="2">
        <f ca="1">IFERROR(__xludf.DUMMYFUNCTION("""COMPUTED_VALUE"""),128)</f>
        <v>128</v>
      </c>
      <c r="E157" s="2">
        <f ca="1">IFERROR(__xludf.DUMMYFUNCTION("""COMPUTED_VALUE"""),47)</f>
        <v>47</v>
      </c>
    </row>
    <row r="158" spans="1:5" ht="12.75">
      <c r="A158" s="2" t="str">
        <f ca="1">IFERROR(__xludf.DUMMYFUNCTION("""COMPUTED_VALUE"""),"DOT3810100")</f>
        <v>DOT3810100</v>
      </c>
      <c r="B158" s="2">
        <f ca="1">IFERROR(__xludf.DUMMYFUNCTION("""COMPUTED_VALUE"""),118)</f>
        <v>118</v>
      </c>
      <c r="C158" s="2">
        <f ca="1">IFERROR(__xludf.DUMMYFUNCTION("""COMPUTED_VALUE"""),124)</f>
        <v>124</v>
      </c>
      <c r="D158" s="2">
        <f ca="1">IFERROR(__xludf.DUMMYFUNCTION("""COMPUTED_VALUE"""),118)</f>
        <v>118</v>
      </c>
      <c r="E158" s="2">
        <f ca="1">IFERROR(__xludf.DUMMYFUNCTION("""COMPUTED_VALUE"""),6)</f>
        <v>6</v>
      </c>
    </row>
    <row r="159" spans="1:5" ht="12.75">
      <c r="A159" s="2" t="str">
        <f ca="1">IFERROR(__xludf.DUMMYFUNCTION("""COMPUTED_VALUE"""),"DOT3810140")</f>
        <v>DOT3810140</v>
      </c>
      <c r="B159" s="2">
        <f ca="1">IFERROR(__xludf.DUMMYFUNCTION("""COMPUTED_VALUE"""),46)</f>
        <v>46</v>
      </c>
      <c r="C159" s="2">
        <f ca="1">IFERROR(__xludf.DUMMYFUNCTION("""COMPUTED_VALUE"""),135)</f>
        <v>135</v>
      </c>
      <c r="D159" s="2">
        <f ca="1">IFERROR(__xludf.DUMMYFUNCTION("""COMPUTED_VALUE"""),46)</f>
        <v>46</v>
      </c>
      <c r="E159" s="2">
        <f ca="1">IFERROR(__xludf.DUMMYFUNCTION("""COMPUTED_VALUE"""),89)</f>
        <v>89</v>
      </c>
    </row>
    <row r="160" spans="1:5" ht="12.75">
      <c r="A160" s="2" t="str">
        <f ca="1">IFERROR(__xludf.DUMMYFUNCTION("""COMPUTED_VALUE"""),"DOT4128100")</f>
        <v>DOT4128100</v>
      </c>
      <c r="B160" s="2">
        <f ca="1">IFERROR(__xludf.DUMMYFUNCTION("""COMPUTED_VALUE"""),69)</f>
        <v>69</v>
      </c>
      <c r="C160" s="2">
        <f ca="1">IFERROR(__xludf.DUMMYFUNCTION("""COMPUTED_VALUE"""),165)</f>
        <v>165</v>
      </c>
      <c r="D160" s="2">
        <f ca="1">IFERROR(__xludf.DUMMYFUNCTION("""COMPUTED_VALUE"""),69)</f>
        <v>69</v>
      </c>
      <c r="E160" s="2">
        <f ca="1">IFERROR(__xludf.DUMMYFUNCTION("""COMPUTED_VALUE"""),96)</f>
        <v>96</v>
      </c>
    </row>
    <row r="161" spans="1:5" ht="12.75">
      <c r="A161" s="2" t="str">
        <f ca="1">IFERROR(__xludf.DUMMYFUNCTION("""COMPUTED_VALUE"""),"DOT4128120(NM)")</f>
        <v>DOT4128120(NM)</v>
      </c>
      <c r="B161" s="2">
        <f ca="1">IFERROR(__xludf.DUMMYFUNCTION("""COMPUTED_VALUE"""),192)</f>
        <v>192</v>
      </c>
      <c r="C161" s="2">
        <f ca="1">IFERROR(__xludf.DUMMYFUNCTION("""COMPUTED_VALUE"""),394)</f>
        <v>394</v>
      </c>
      <c r="D161" s="2">
        <f ca="1">IFERROR(__xludf.DUMMYFUNCTION("""COMPUTED_VALUE"""),192)</f>
        <v>192</v>
      </c>
      <c r="E161" s="2">
        <f ca="1">IFERROR(__xludf.DUMMYFUNCTION("""COMPUTED_VALUE"""),202)</f>
        <v>202</v>
      </c>
    </row>
    <row r="162" spans="1:5" ht="12.75">
      <c r="A162" s="2" t="str">
        <f ca="1">IFERROR(__xludf.DUMMYFUNCTION("""COMPUTED_VALUE"""),"DOT4128140")</f>
        <v>DOT4128140</v>
      </c>
      <c r="B162" s="2">
        <f ca="1">IFERROR(__xludf.DUMMYFUNCTION("""COMPUTED_VALUE"""),28)</f>
        <v>28</v>
      </c>
      <c r="C162" s="2">
        <f ca="1">IFERROR(__xludf.DUMMYFUNCTION("""COMPUTED_VALUE"""),107)</f>
        <v>107</v>
      </c>
      <c r="D162" s="2">
        <f ca="1">IFERROR(__xludf.DUMMYFUNCTION("""COMPUTED_VALUE"""),28)</f>
        <v>28</v>
      </c>
      <c r="E162" s="2">
        <f ca="1">IFERROR(__xludf.DUMMYFUNCTION("""COMPUTED_VALUE"""),79)</f>
        <v>79</v>
      </c>
    </row>
    <row r="163" spans="1:5" ht="12.75">
      <c r="A163" s="2" t="str">
        <f ca="1">IFERROR(__xludf.DUMMYFUNCTION("""COMPUTED_VALUE"""),"DOT4128150")</f>
        <v>DOT4128150</v>
      </c>
      <c r="B163" s="2">
        <f ca="1">IFERROR(__xludf.DUMMYFUNCTION("""COMPUTED_VALUE"""),68)</f>
        <v>68</v>
      </c>
      <c r="C163" s="2">
        <f ca="1">IFERROR(__xludf.DUMMYFUNCTION("""COMPUTED_VALUE"""),68)</f>
        <v>68</v>
      </c>
      <c r="D163" s="2">
        <f ca="1">IFERROR(__xludf.DUMMYFUNCTION("""COMPUTED_VALUE"""),68)</f>
        <v>68</v>
      </c>
      <c r="E163" s="2">
        <f ca="1">IFERROR(__xludf.DUMMYFUNCTION("""COMPUTED_VALUE"""),0)</f>
        <v>0</v>
      </c>
    </row>
    <row r="164" spans="1:5" ht="12.75">
      <c r="A164" s="2" t="str">
        <f ca="1">IFERROR(__xludf.DUMMYFUNCTION("""COMPUTED_VALUE"""),"DOT4128152")</f>
        <v>DOT4128152</v>
      </c>
      <c r="B164" s="2">
        <f ca="1">IFERROR(__xludf.DUMMYFUNCTION("""COMPUTED_VALUE"""),23)</f>
        <v>23</v>
      </c>
      <c r="C164" s="2">
        <f ca="1">IFERROR(__xludf.DUMMYFUNCTION("""COMPUTED_VALUE"""),23)</f>
        <v>23</v>
      </c>
      <c r="D164" s="2">
        <f ca="1">IFERROR(__xludf.DUMMYFUNCTION("""COMPUTED_VALUE"""),23)</f>
        <v>23</v>
      </c>
      <c r="E164" s="2">
        <f ca="1">IFERROR(__xludf.DUMMYFUNCTION("""COMPUTED_VALUE"""),0)</f>
        <v>0</v>
      </c>
    </row>
    <row r="165" spans="1:5" ht="12.75">
      <c r="A165" s="2" t="str">
        <f ca="1">IFERROR(__xludf.DUMMYFUNCTION("""COMPUTED_VALUE"""),"DOT4128155")</f>
        <v>DOT4128155</v>
      </c>
      <c r="B165" s="2">
        <f ca="1">IFERROR(__xludf.DUMMYFUNCTION("""COMPUTED_VALUE"""),4)</f>
        <v>4</v>
      </c>
      <c r="C165" s="2">
        <f ca="1">IFERROR(__xludf.DUMMYFUNCTION("""COMPUTED_VALUE"""),4)</f>
        <v>4</v>
      </c>
      <c r="D165" s="2">
        <f ca="1">IFERROR(__xludf.DUMMYFUNCTION("""COMPUTED_VALUE"""),4)</f>
        <v>4</v>
      </c>
      <c r="E165" s="2">
        <f ca="1">IFERROR(__xludf.DUMMYFUNCTION("""COMPUTED_VALUE"""),0)</f>
        <v>0</v>
      </c>
    </row>
    <row r="166" spans="1:5" ht="12.75">
      <c r="A166" s="2" t="str">
        <f ca="1">IFERROR(__xludf.DUMMYFUNCTION("""COMPUTED_VALUE"""),"DOTHL222208129")</f>
        <v>DOTHL222208129</v>
      </c>
      <c r="B166" s="2">
        <f ca="1">IFERROR(__xludf.DUMMYFUNCTION("""COMPUTED_VALUE"""),342)</f>
        <v>342</v>
      </c>
      <c r="C166" s="2">
        <f ca="1">IFERROR(__xludf.DUMMYFUNCTION("""COMPUTED_VALUE"""),732)</f>
        <v>732</v>
      </c>
      <c r="D166" s="2">
        <f ca="1">IFERROR(__xludf.DUMMYFUNCTION("""COMPUTED_VALUE"""),342)</f>
        <v>342</v>
      </c>
      <c r="E166" s="2">
        <f ca="1">IFERROR(__xludf.DUMMYFUNCTION("""COMPUTED_VALUE"""),390)</f>
        <v>390</v>
      </c>
    </row>
    <row r="167" spans="1:5" ht="12.75">
      <c r="A167" s="2" t="str">
        <f ca="1">IFERROR(__xludf.DUMMYFUNCTION("""COMPUTED_VALUE"""),"DOTHL222210229")</f>
        <v>DOTHL222210229</v>
      </c>
      <c r="B167" s="2">
        <f ca="1">IFERROR(__xludf.DUMMYFUNCTION("""COMPUTED_VALUE"""),1276)</f>
        <v>1276</v>
      </c>
      <c r="C167" s="2">
        <f ca="1">IFERROR(__xludf.DUMMYFUNCTION("""COMPUTED_VALUE"""),1637)</f>
        <v>1637</v>
      </c>
      <c r="D167" s="2">
        <f ca="1">IFERROR(__xludf.DUMMYFUNCTION("""COMPUTED_VALUE"""),1276)</f>
        <v>1276</v>
      </c>
      <c r="E167" s="2">
        <f ca="1">IFERROR(__xludf.DUMMYFUNCTION("""COMPUTED_VALUE"""),361)</f>
        <v>361</v>
      </c>
    </row>
    <row r="168" spans="1:5" ht="12.75">
      <c r="A168" s="2" t="str">
        <f ca="1">IFERROR(__xludf.DUMMYFUNCTION("""COMPUTED_VALUE"""),"DOTHL22221229")</f>
        <v>DOTHL22221229</v>
      </c>
      <c r="B168" s="2">
        <f ca="1">IFERROR(__xludf.DUMMYFUNCTION("""COMPUTED_VALUE"""),327)</f>
        <v>327</v>
      </c>
      <c r="C168" s="2">
        <f ca="1">IFERROR(__xludf.DUMMYFUNCTION("""COMPUTED_VALUE"""),412)</f>
        <v>412</v>
      </c>
      <c r="D168" s="2">
        <f ca="1">IFERROR(__xludf.DUMMYFUNCTION("""COMPUTED_VALUE"""),327)</f>
        <v>327</v>
      </c>
      <c r="E168" s="2">
        <f ca="1">IFERROR(__xludf.DUMMYFUNCTION("""COMPUTED_VALUE"""),85)</f>
        <v>85</v>
      </c>
    </row>
    <row r="169" spans="1:5" ht="12.75">
      <c r="A169" s="2" t="str">
        <f ca="1">IFERROR(__xludf.DUMMYFUNCTION("""COMPUTED_VALUE"""),"DOTHL254010229")</f>
        <v>DOTHL254010229</v>
      </c>
      <c r="B169" s="2">
        <f ca="1">IFERROR(__xludf.DUMMYFUNCTION("""COMPUTED_VALUE"""),500)</f>
        <v>500</v>
      </c>
      <c r="C169" s="2">
        <f ca="1">IFERROR(__xludf.DUMMYFUNCTION("""COMPUTED_VALUE"""),509)</f>
        <v>509</v>
      </c>
      <c r="D169" s="2">
        <f ca="1">IFERROR(__xludf.DUMMYFUNCTION("""COMPUTED_VALUE"""),500)</f>
        <v>500</v>
      </c>
      <c r="E169" s="2">
        <f ca="1">IFERROR(__xludf.DUMMYFUNCTION("""COMPUTED_VALUE"""),9)</f>
        <v>9</v>
      </c>
    </row>
    <row r="170" spans="1:5" ht="12.75">
      <c r="A170" s="2" t="str">
        <f ca="1">IFERROR(__xludf.DUMMYFUNCTION("""COMPUTED_VALUE"""),"DOTHL25401229")</f>
        <v>DOTHL25401229</v>
      </c>
      <c r="B170" s="2">
        <f ca="1">IFERROR(__xludf.DUMMYFUNCTION("""COMPUTED_VALUE"""),43)</f>
        <v>43</v>
      </c>
      <c r="C170" s="2">
        <f ca="1">IFERROR(__xludf.DUMMYFUNCTION("""COMPUTED_VALUE"""),44)</f>
        <v>44</v>
      </c>
      <c r="D170" s="2">
        <f ca="1">IFERROR(__xludf.DUMMYFUNCTION("""COMPUTED_VALUE"""),43)</f>
        <v>43</v>
      </c>
      <c r="E170" s="2">
        <f ca="1">IFERROR(__xludf.DUMMYFUNCTION("""COMPUTED_VALUE"""),1)</f>
        <v>1</v>
      </c>
    </row>
    <row r="171" spans="1:5" ht="12.75">
      <c r="A171" s="2" t="str">
        <f ca="1">IFERROR(__xludf.DUMMYFUNCTION("""COMPUTED_VALUE"""),"DOTHL285810229")</f>
        <v>DOTHL285810229</v>
      </c>
      <c r="B171" s="2">
        <f ca="1">IFERROR(__xludf.DUMMYFUNCTION("""COMPUTED_VALUE"""),1558)</f>
        <v>1558</v>
      </c>
      <c r="C171" s="2">
        <f ca="1">IFERROR(__xludf.DUMMYFUNCTION("""COMPUTED_VALUE"""),1833)</f>
        <v>1833</v>
      </c>
      <c r="D171" s="2">
        <f ca="1">IFERROR(__xludf.DUMMYFUNCTION("""COMPUTED_VALUE"""),1558)</f>
        <v>1558</v>
      </c>
      <c r="E171" s="2">
        <f ca="1">IFERROR(__xludf.DUMMYFUNCTION("""COMPUTED_VALUE"""),275)</f>
        <v>275</v>
      </c>
    </row>
    <row r="172" spans="1:5" ht="12.75">
      <c r="A172" s="2" t="str">
        <f ca="1">IFERROR(__xludf.DUMMYFUNCTION("""COMPUTED_VALUE"""),"DOTHL285812229")</f>
        <v>DOTHL285812229</v>
      </c>
      <c r="B172" s="2">
        <f ca="1">IFERROR(__xludf.DUMMYFUNCTION("""COMPUTED_VALUE"""),417)</f>
        <v>417</v>
      </c>
      <c r="C172" s="2">
        <f ca="1">IFERROR(__xludf.DUMMYFUNCTION("""COMPUTED_VALUE"""),670)</f>
        <v>670</v>
      </c>
      <c r="D172" s="2">
        <f ca="1">IFERROR(__xludf.DUMMYFUNCTION("""COMPUTED_VALUE"""),417)</f>
        <v>417</v>
      </c>
      <c r="E172" s="2">
        <f ca="1">IFERROR(__xludf.DUMMYFUNCTION("""COMPUTED_VALUE"""),253)</f>
        <v>253</v>
      </c>
    </row>
    <row r="173" spans="1:5" ht="12.75">
      <c r="A173" s="2" t="str">
        <f ca="1">IFERROR(__xludf.DUMMYFUNCTION("""COMPUTED_VALUE"""),"DOTHL317510229")</f>
        <v>DOTHL317510229</v>
      </c>
      <c r="B173" s="2">
        <f ca="1">IFERROR(__xludf.DUMMYFUNCTION("""COMPUTED_VALUE"""),333)</f>
        <v>333</v>
      </c>
      <c r="C173" s="2">
        <f ca="1">IFERROR(__xludf.DUMMYFUNCTION("""COMPUTED_VALUE"""),371)</f>
        <v>371</v>
      </c>
      <c r="D173" s="2">
        <f ca="1">IFERROR(__xludf.DUMMYFUNCTION("""COMPUTED_VALUE"""),333)</f>
        <v>333</v>
      </c>
      <c r="E173" s="2">
        <f ca="1">IFERROR(__xludf.DUMMYFUNCTION("""COMPUTED_VALUE"""),38)</f>
        <v>38</v>
      </c>
    </row>
    <row r="174" spans="1:5" ht="12.75">
      <c r="A174" s="2" t="str">
        <f ca="1">IFERROR(__xludf.DUMMYFUNCTION("""COMPUTED_VALUE"""),"DOTHL317512229")</f>
        <v>DOTHL317512229</v>
      </c>
      <c r="B174" s="2">
        <f ca="1">IFERROR(__xludf.DUMMYFUNCTION("""COMPUTED_VALUE"""),230)</f>
        <v>230</v>
      </c>
      <c r="C174" s="2">
        <f ca="1">IFERROR(__xludf.DUMMYFUNCTION("""COMPUTED_VALUE"""),371)</f>
        <v>371</v>
      </c>
      <c r="D174" s="2">
        <f ca="1">IFERROR(__xludf.DUMMYFUNCTION("""COMPUTED_VALUE"""),230)</f>
        <v>230</v>
      </c>
      <c r="E174" s="2">
        <f ca="1">IFERROR(__xludf.DUMMYFUNCTION("""COMPUTED_VALUE"""),141)</f>
        <v>141</v>
      </c>
    </row>
    <row r="175" spans="1:5" ht="12.75">
      <c r="A175" s="2" t="str">
        <f ca="1">IFERROR(__xludf.DUMMYFUNCTION("""COMPUTED_VALUE"""),"DOTHL349310229")</f>
        <v>DOTHL349310229</v>
      </c>
      <c r="B175" s="2">
        <f ca="1">IFERROR(__xludf.DUMMYFUNCTION("""COMPUTED_VALUE"""),669)</f>
        <v>669</v>
      </c>
      <c r="C175" s="2">
        <f ca="1">IFERROR(__xludf.DUMMYFUNCTION("""COMPUTED_VALUE"""),702)</f>
        <v>702</v>
      </c>
      <c r="D175" s="2">
        <f ca="1">IFERROR(__xludf.DUMMYFUNCTION("""COMPUTED_VALUE"""),669)</f>
        <v>669</v>
      </c>
      <c r="E175" s="2">
        <f ca="1">IFERROR(__xludf.DUMMYFUNCTION("""COMPUTED_VALUE"""),33)</f>
        <v>33</v>
      </c>
    </row>
    <row r="176" spans="1:5" ht="12.75">
      <c r="A176" s="2" t="str">
        <f ca="1">IFERROR(__xludf.DUMMYFUNCTION("""COMPUTED_VALUE"""),"DOTHL349312229")</f>
        <v>DOTHL349312229</v>
      </c>
      <c r="B176" s="2">
        <f ca="1">IFERROR(__xludf.DUMMYFUNCTION("""COMPUTED_VALUE"""),724)</f>
        <v>724</v>
      </c>
      <c r="C176" s="2">
        <f ca="1">IFERROR(__xludf.DUMMYFUNCTION("""COMPUTED_VALUE"""),911)</f>
        <v>911</v>
      </c>
      <c r="D176" s="2">
        <f ca="1">IFERROR(__xludf.DUMMYFUNCTION("""COMPUTED_VALUE"""),775)</f>
        <v>775</v>
      </c>
      <c r="E176" s="2">
        <f ca="1">IFERROR(__xludf.DUMMYFUNCTION("""COMPUTED_VALUE"""),136)</f>
        <v>136</v>
      </c>
    </row>
    <row r="177" spans="1:5" ht="12.75">
      <c r="A177" s="2" t="str">
        <f ca="1">IFERROR(__xludf.DUMMYFUNCTION("""COMPUTED_VALUE"""),"DOTHL349314329")</f>
        <v>DOTHL349314329</v>
      </c>
      <c r="B177" s="2">
        <f ca="1">IFERROR(__xludf.DUMMYFUNCTION("""COMPUTED_VALUE"""),7)</f>
        <v>7</v>
      </c>
      <c r="C177" s="2">
        <f ca="1">IFERROR(__xludf.DUMMYFUNCTION("""COMPUTED_VALUE"""),161)</f>
        <v>161</v>
      </c>
      <c r="D177" s="2">
        <f ca="1">IFERROR(__xludf.DUMMYFUNCTION("""COMPUTED_VALUE"""),7)</f>
        <v>7</v>
      </c>
      <c r="E177" s="2">
        <f ca="1">IFERROR(__xludf.DUMMYFUNCTION("""COMPUTED_VALUE"""),154)</f>
        <v>154</v>
      </c>
    </row>
    <row r="178" spans="1:5" ht="12.75">
      <c r="A178" s="2" t="str">
        <f ca="1">IFERROR(__xludf.DUMMYFUNCTION("""COMPUTED_VALUE"""),"DOTHL381012229")</f>
        <v>DOTHL381012229</v>
      </c>
      <c r="B178" s="2">
        <f ca="1">IFERROR(__xludf.DUMMYFUNCTION("""COMPUTED_VALUE"""),186)</f>
        <v>186</v>
      </c>
      <c r="C178" s="2">
        <f ca="1">IFERROR(__xludf.DUMMYFUNCTION("""COMPUTED_VALUE"""),186)</f>
        <v>186</v>
      </c>
      <c r="D178" s="2">
        <f ca="1">IFERROR(__xludf.DUMMYFUNCTION("""COMPUTED_VALUE"""),186)</f>
        <v>186</v>
      </c>
      <c r="E178" s="2">
        <f ca="1">IFERROR(__xludf.DUMMYFUNCTION("""COMPUTED_VALUE"""),0)</f>
        <v>0</v>
      </c>
    </row>
    <row r="179" spans="1:5" ht="12.75">
      <c r="A179" s="2" t="str">
        <f ca="1">IFERROR(__xludf.DUMMYFUNCTION("""COMPUTED_VALUE"""),"DOTHL412810229")</f>
        <v>DOTHL412810229</v>
      </c>
      <c r="B179" s="2">
        <f ca="1">IFERROR(__xludf.DUMMYFUNCTION("""COMPUTED_VALUE"""),104)</f>
        <v>104</v>
      </c>
      <c r="C179" s="2">
        <f ca="1">IFERROR(__xludf.DUMMYFUNCTION("""COMPUTED_VALUE"""),104)</f>
        <v>104</v>
      </c>
      <c r="D179" s="2">
        <f ca="1">IFERROR(__xludf.DUMMYFUNCTION("""COMPUTED_VALUE"""),104)</f>
        <v>104</v>
      </c>
      <c r="E179" s="2">
        <f ca="1">IFERROR(__xludf.DUMMYFUNCTION("""COMPUTED_VALUE"""),0)</f>
        <v>0</v>
      </c>
    </row>
    <row r="180" spans="1:5" ht="12.75">
      <c r="A180" s="2" t="str">
        <f ca="1">IFERROR(__xludf.DUMMYFUNCTION("""COMPUTED_VALUE"""),"DOTHL412812229")</f>
        <v>DOTHL412812229</v>
      </c>
      <c r="B180" s="2">
        <f ca="1">IFERROR(__xludf.DUMMYFUNCTION("""COMPUTED_VALUE"""),701)</f>
        <v>701</v>
      </c>
      <c r="C180" s="2">
        <f ca="1">IFERROR(__xludf.DUMMYFUNCTION("""COMPUTED_VALUE"""),900)</f>
        <v>900</v>
      </c>
      <c r="D180" s="2">
        <f ca="1">IFERROR(__xludf.DUMMYFUNCTION("""COMPUTED_VALUE"""),701)</f>
        <v>701</v>
      </c>
      <c r="E180" s="2">
        <f ca="1">IFERROR(__xludf.DUMMYFUNCTION("""COMPUTED_VALUE"""),199)</f>
        <v>199</v>
      </c>
    </row>
    <row r="181" spans="1:5" ht="12.75">
      <c r="A181" s="2" t="str">
        <f ca="1">IFERROR(__xludf.DUMMYFUNCTION("""COMPUTED_VALUE"""),"DOTHL412814329")</f>
        <v>DOTHL412814329</v>
      </c>
      <c r="B181" s="2">
        <f ca="1">IFERROR(__xludf.DUMMYFUNCTION("""COMPUTED_VALUE"""),852)</f>
        <v>852</v>
      </c>
      <c r="C181" s="2">
        <f ca="1">IFERROR(__xludf.DUMMYFUNCTION("""COMPUTED_VALUE"""),1006)</f>
        <v>1006</v>
      </c>
      <c r="D181" s="2">
        <f ca="1">IFERROR(__xludf.DUMMYFUNCTION("""COMPUTED_VALUE"""),852)</f>
        <v>852</v>
      </c>
      <c r="E181" s="2">
        <f ca="1">IFERROR(__xludf.DUMMYFUNCTION("""COMPUTED_VALUE"""),154)</f>
        <v>154</v>
      </c>
    </row>
    <row r="182" spans="1:5" ht="12.75">
      <c r="A182" s="2" t="str">
        <f ca="1">IFERROR(__xludf.DUMMYFUNCTION("""COMPUTED_VALUE"""),"DOTHL412815229")</f>
        <v>DOTHL412815229</v>
      </c>
      <c r="B182" s="2">
        <f ca="1">IFERROR(__xludf.DUMMYFUNCTION("""COMPUTED_VALUE"""),237)</f>
        <v>237</v>
      </c>
      <c r="C182" s="2">
        <f ca="1">IFERROR(__xludf.DUMMYFUNCTION("""COMPUTED_VALUE"""),255)</f>
        <v>255</v>
      </c>
      <c r="D182" s="2">
        <f ca="1">IFERROR(__xludf.DUMMYFUNCTION("""COMPUTED_VALUE"""),237)</f>
        <v>237</v>
      </c>
      <c r="E182" s="2">
        <f ca="1">IFERROR(__xludf.DUMMYFUNCTION("""COMPUTED_VALUE"""),18)</f>
        <v>18</v>
      </c>
    </row>
    <row r="183" spans="1:5" ht="12.75">
      <c r="A183" s="2" t="str">
        <f ca="1">IFERROR(__xludf.DUMMYFUNCTION("""COMPUTED_VALUE"""),"DOTHL539412229")</f>
        <v>DOTHL539412229</v>
      </c>
      <c r="B183" s="2">
        <f ca="1">IFERROR(__xludf.DUMMYFUNCTION("""COMPUTED_VALUE"""),144)</f>
        <v>144</v>
      </c>
      <c r="C183" s="2">
        <f ca="1">IFERROR(__xludf.DUMMYFUNCTION("""COMPUTED_VALUE"""),144)</f>
        <v>144</v>
      </c>
      <c r="D183" s="2">
        <f ca="1">IFERROR(__xludf.DUMMYFUNCTION("""COMPUTED_VALUE"""),144)</f>
        <v>144</v>
      </c>
      <c r="E183" s="2">
        <f ca="1">IFERROR(__xludf.DUMMYFUNCTION("""COMPUTED_VALUE"""),0)</f>
        <v>0</v>
      </c>
    </row>
    <row r="184" spans="1:5" ht="12.75">
      <c r="A184" s="2" t="str">
        <f ca="1">IFERROR(__xludf.DUMMYFUNCTION("""COMPUTED_VALUE"""),"DOTHL539812229")</f>
        <v>DOTHL539812229</v>
      </c>
      <c r="B184" s="2">
        <f ca="1">IFERROR(__xludf.DUMMYFUNCTION("""COMPUTED_VALUE"""),119)</f>
        <v>119</v>
      </c>
      <c r="C184" s="2">
        <f ca="1">IFERROR(__xludf.DUMMYFUNCTION("""COMPUTED_VALUE"""),119)</f>
        <v>119</v>
      </c>
      <c r="D184" s="2">
        <f ca="1">IFERROR(__xludf.DUMMYFUNCTION("""COMPUTED_VALUE"""),119)</f>
        <v>119</v>
      </c>
      <c r="E184" s="2">
        <f ca="1">IFERROR(__xludf.DUMMYFUNCTION("""COMPUTED_VALUE"""),0)</f>
        <v>0</v>
      </c>
    </row>
    <row r="185" spans="1:5" ht="12.75">
      <c r="A185" s="2" t="str">
        <f ca="1">IFERROR(__xludf.DUMMYFUNCTION("""COMPUTED_VALUE"""),"DOTHL539814329")</f>
        <v>DOTHL539814329</v>
      </c>
      <c r="B185" s="2">
        <f ca="1">IFERROR(__xludf.DUMMYFUNCTION("""COMPUTED_VALUE"""),229)</f>
        <v>229</v>
      </c>
      <c r="C185" s="2">
        <f ca="1">IFERROR(__xludf.DUMMYFUNCTION("""COMPUTED_VALUE"""),244)</f>
        <v>244</v>
      </c>
      <c r="D185" s="2">
        <f ca="1">IFERROR(__xludf.DUMMYFUNCTION("""COMPUTED_VALUE"""),229)</f>
        <v>229</v>
      </c>
      <c r="E185" s="2">
        <f ca="1">IFERROR(__xludf.DUMMYFUNCTION("""COMPUTED_VALUE"""),15)</f>
        <v>15</v>
      </c>
    </row>
    <row r="186" spans="1:5" ht="12.75">
      <c r="A186" s="2" t="str">
        <f ca="1">IFERROR(__xludf.DUMMYFUNCTION("""COMPUTED_VALUE"""),"DOTHL539816029")</f>
        <v>DOTHL539816029</v>
      </c>
      <c r="B186" s="2">
        <f ca="1">IFERROR(__xludf.DUMMYFUNCTION("""COMPUTED_VALUE"""),153)</f>
        <v>153</v>
      </c>
      <c r="C186" s="2">
        <f ca="1">IFERROR(__xludf.DUMMYFUNCTION("""COMPUTED_VALUE"""),153)</f>
        <v>153</v>
      </c>
      <c r="D186" s="2">
        <f ca="1">IFERROR(__xludf.DUMMYFUNCTION("""COMPUTED_VALUE"""),153)</f>
        <v>153</v>
      </c>
      <c r="E186" s="2">
        <f ca="1">IFERROR(__xludf.DUMMYFUNCTION("""COMPUTED_VALUE"""),0)</f>
        <v>0</v>
      </c>
    </row>
    <row r="187" spans="1:5" ht="12.75">
      <c r="A187" s="2" t="str">
        <f ca="1">IFERROR(__xludf.DUMMYFUNCTION("""COMPUTED_VALUE"""),"DOTHL539821029")</f>
        <v>DOTHL539821029</v>
      </c>
      <c r="B187" s="2">
        <f ca="1">IFERROR(__xludf.DUMMYFUNCTION("""COMPUTED_VALUE"""),30)</f>
        <v>30</v>
      </c>
      <c r="C187" s="2">
        <f ca="1">IFERROR(__xludf.DUMMYFUNCTION("""COMPUTED_VALUE"""),30)</f>
        <v>30</v>
      </c>
      <c r="D187" s="2">
        <f ca="1">IFERROR(__xludf.DUMMYFUNCTION("""COMPUTED_VALUE"""),30)</f>
        <v>30</v>
      </c>
      <c r="E187" s="2">
        <f ca="1">IFERROR(__xludf.DUMMYFUNCTION("""COMPUTED_VALUE"""),0)</f>
        <v>0</v>
      </c>
    </row>
    <row r="188" spans="1:5" ht="12.75">
      <c r="A188" s="2" t="str">
        <f ca="1">IFERROR(__xludf.DUMMYFUNCTION("""COMPUTED_VALUE"""),"DOTHL762014029")</f>
        <v>DOTHL762014029</v>
      </c>
      <c r="B188" s="2">
        <f ca="1">IFERROR(__xludf.DUMMYFUNCTION("""COMPUTED_VALUE"""),2)</f>
        <v>2</v>
      </c>
      <c r="C188" s="2">
        <f ca="1">IFERROR(__xludf.DUMMYFUNCTION("""COMPUTED_VALUE"""),2)</f>
        <v>2</v>
      </c>
      <c r="D188" s="2">
        <f ca="1">IFERROR(__xludf.DUMMYFUNCTION("""COMPUTED_VALUE"""),2)</f>
        <v>2</v>
      </c>
      <c r="E188" s="2">
        <f ca="1">IFERROR(__xludf.DUMMYFUNCTION("""COMPUTED_VALUE"""),0)</f>
        <v>0</v>
      </c>
    </row>
    <row r="189" spans="1:5" ht="12.75">
      <c r="A189" s="2" t="str">
        <f ca="1">IFERROR(__xludf.DUMMYFUNCTION("""COMPUTED_VALUE"""),"DOTHL762023029")</f>
        <v>DOTHL762023029</v>
      </c>
      <c r="B189" s="2">
        <f ca="1">IFERROR(__xludf.DUMMYFUNCTION("""COMPUTED_VALUE"""),2)</f>
        <v>2</v>
      </c>
      <c r="C189" s="2">
        <f ca="1">IFERROR(__xludf.DUMMYFUNCTION("""COMPUTED_VALUE"""),2)</f>
        <v>2</v>
      </c>
      <c r="D189" s="2">
        <f ca="1">IFERROR(__xludf.DUMMYFUNCTION("""COMPUTED_VALUE"""),2)</f>
        <v>2</v>
      </c>
      <c r="E189" s="2">
        <f ca="1">IFERROR(__xludf.DUMMYFUNCTION("""COMPUTED_VALUE"""),0)</f>
        <v>0</v>
      </c>
    </row>
    <row r="190" spans="1:5" ht="12.75">
      <c r="A190" s="2" t="str">
        <f ca="1">IFERROR(__xludf.DUMMYFUNCTION("""COMPUTED_VALUE"""),"DOTHL7937518029")</f>
        <v>DOTHL7937518029</v>
      </c>
      <c r="B190" s="2">
        <f ca="1">IFERROR(__xludf.DUMMYFUNCTION("""COMPUTED_VALUE"""),1)</f>
        <v>1</v>
      </c>
      <c r="C190" s="2">
        <f ca="1">IFERROR(__xludf.DUMMYFUNCTION("""COMPUTED_VALUE"""),1)</f>
        <v>1</v>
      </c>
      <c r="D190" s="2">
        <f ca="1">IFERROR(__xludf.DUMMYFUNCTION("""COMPUTED_VALUE"""),1)</f>
        <v>1</v>
      </c>
      <c r="E190" s="2">
        <f ca="1">IFERROR(__xludf.DUMMYFUNCTION("""COMPUTED_VALUE"""),0)</f>
        <v>0</v>
      </c>
    </row>
    <row r="191" spans="1:5" ht="12.75">
      <c r="A191" s="2" t="str">
        <f ca="1">IFERROR(__xludf.DUMMYFUNCTION("""COMPUTED_VALUE"""),"DOTVNTS127008129")</f>
        <v>DOTVNTS127008129</v>
      </c>
      <c r="B191" s="2">
        <f ca="1">IFERROR(__xludf.DUMMYFUNCTION("""COMPUTED_VALUE"""),187)</f>
        <v>187</v>
      </c>
      <c r="C191" s="2">
        <f ca="1">IFERROR(__xludf.DUMMYFUNCTION("""COMPUTED_VALUE"""),187)</f>
        <v>187</v>
      </c>
      <c r="D191" s="2">
        <f ca="1">IFERROR(__xludf.DUMMYFUNCTION("""COMPUTED_VALUE"""),187)</f>
        <v>187</v>
      </c>
      <c r="E191" s="2">
        <f ca="1">IFERROR(__xludf.DUMMYFUNCTION("""COMPUTED_VALUE"""),0)</f>
        <v>0</v>
      </c>
    </row>
    <row r="192" spans="1:5" ht="12.75">
      <c r="A192" s="2" t="str">
        <f ca="1">IFERROR(__xludf.DUMMYFUNCTION("""COMPUTED_VALUE"""),"DOTVNTS158807129")</f>
        <v>DOTVNTS158807129</v>
      </c>
      <c r="B192" s="2">
        <f ca="1">IFERROR(__xludf.DUMMYFUNCTION("""COMPUTED_VALUE"""),2)</f>
        <v>2</v>
      </c>
      <c r="C192" s="2">
        <f ca="1">IFERROR(__xludf.DUMMYFUNCTION("""COMPUTED_VALUE"""),2)</f>
        <v>2</v>
      </c>
      <c r="D192" s="2">
        <f ca="1">IFERROR(__xludf.DUMMYFUNCTION("""COMPUTED_VALUE"""),2)</f>
        <v>2</v>
      </c>
      <c r="E192" s="2">
        <f ca="1">IFERROR(__xludf.DUMMYFUNCTION("""COMPUTED_VALUE"""),0)</f>
        <v>0</v>
      </c>
    </row>
    <row r="193" spans="1:5" ht="12.75">
      <c r="A193" s="2" t="str">
        <f ca="1">IFERROR(__xludf.DUMMYFUNCTION("""COMPUTED_VALUE"""),"DOTVNTS158810029")</f>
        <v>DOTVNTS158810029</v>
      </c>
      <c r="B193" s="2">
        <f ca="1">IFERROR(__xludf.DUMMYFUNCTION("""COMPUTED_VALUE"""),179)</f>
        <v>179</v>
      </c>
      <c r="C193" s="2">
        <f ca="1">IFERROR(__xludf.DUMMYFUNCTION("""COMPUTED_VALUE"""),179)</f>
        <v>179</v>
      </c>
      <c r="D193" s="2">
        <f ca="1">IFERROR(__xludf.DUMMYFUNCTION("""COMPUTED_VALUE"""),179)</f>
        <v>179</v>
      </c>
      <c r="E193" s="2">
        <f ca="1">IFERROR(__xludf.DUMMYFUNCTION("""COMPUTED_VALUE"""),0)</f>
        <v>0</v>
      </c>
    </row>
    <row r="194" spans="1:5" ht="12.75">
      <c r="A194" s="2" t="str">
        <f ca="1">IFERROR(__xludf.DUMMYFUNCTION("""COMPUTED_VALUE"""),"DOTVNTS22221029")</f>
        <v>DOTVNTS22221029</v>
      </c>
      <c r="B194" s="2">
        <f ca="1">IFERROR(__xludf.DUMMYFUNCTION("""COMPUTED_VALUE"""),265)</f>
        <v>265</v>
      </c>
      <c r="C194" s="2">
        <f ca="1">IFERROR(__xludf.DUMMYFUNCTION("""COMPUTED_VALUE"""),265)</f>
        <v>265</v>
      </c>
      <c r="D194" s="2">
        <f ca="1">IFERROR(__xludf.DUMMYFUNCTION("""COMPUTED_VALUE"""),265)</f>
        <v>265</v>
      </c>
      <c r="E194" s="2">
        <f ca="1">IFERROR(__xludf.DUMMYFUNCTION("""COMPUTED_VALUE"""),0)</f>
        <v>0</v>
      </c>
    </row>
    <row r="195" spans="1:5" ht="12.75">
      <c r="A195" s="2" t="str">
        <f ca="1">IFERROR(__xludf.DUMMYFUNCTION("""COMPUTED_VALUE"""),"GA134DUCHEM-USA")</f>
        <v>GA134DUCHEM-USA</v>
      </c>
      <c r="B195" s="2">
        <f ca="1">IFERROR(__xludf.DUMMYFUNCTION("""COMPUTED_VALUE"""),125)</f>
        <v>125</v>
      </c>
      <c r="C195" s="2">
        <f ca="1">IFERROR(__xludf.DUMMYFUNCTION("""COMPUTED_VALUE"""),175)</f>
        <v>175</v>
      </c>
      <c r="D195" s="2">
        <f ca="1">IFERROR(__xludf.DUMMYFUNCTION("""COMPUTED_VALUE"""),125)</f>
        <v>125</v>
      </c>
      <c r="E195" s="2">
        <f ca="1">IFERROR(__xludf.DUMMYFUNCTION("""COMPUTED_VALUE"""),50)</f>
        <v>50</v>
      </c>
    </row>
    <row r="196" spans="1:5" ht="12.75">
      <c r="A196" s="2" t="str">
        <f ca="1">IFERROR(__xludf.DUMMYFUNCTION("""COMPUTED_VALUE"""),"GA134LON")</f>
        <v>GA134LON</v>
      </c>
      <c r="B196" s="2">
        <f ca="1">IFERROR(__xludf.DUMMYFUNCTION("""COMPUTED_VALUE"""),1)</f>
        <v>1</v>
      </c>
      <c r="C196" s="2">
        <f ca="1">IFERROR(__xludf.DUMMYFUNCTION("""COMPUTED_VALUE"""),1)</f>
        <v>1</v>
      </c>
      <c r="D196" s="2">
        <f ca="1">IFERROR(__xludf.DUMMYFUNCTION("""COMPUTED_VALUE"""),1)</f>
        <v>1</v>
      </c>
      <c r="E196" s="2">
        <f ca="1">IFERROR(__xludf.DUMMYFUNCTION("""COMPUTED_VALUE"""),0)</f>
        <v>0</v>
      </c>
    </row>
    <row r="197" spans="1:5" ht="12.75">
      <c r="A197" s="2" t="str">
        <f ca="1">IFERROR(__xludf.DUMMYFUNCTION("""COMPUTED_VALUE"""),"GA134TASEITQ")</f>
        <v>GA134TASEITQ</v>
      </c>
      <c r="B197" s="2">
        <f ca="1">IFERROR(__xludf.DUMMYFUNCTION("""COMPUTED_VALUE"""),1)</f>
        <v>1</v>
      </c>
      <c r="C197" s="2">
        <f ca="1">IFERROR(__xludf.DUMMYFUNCTION("""COMPUTED_VALUE"""),2)</f>
        <v>2</v>
      </c>
      <c r="D197" s="2">
        <f ca="1">IFERROR(__xludf.DUMMYFUNCTION("""COMPUTED_VALUE"""),2)</f>
        <v>2</v>
      </c>
      <c r="E197" s="2">
        <f ca="1">IFERROR(__xludf.DUMMYFUNCTION("""COMPUTED_VALUE"""),0)</f>
        <v>0</v>
      </c>
    </row>
    <row r="198" spans="1:5" ht="12.75">
      <c r="A198" s="2" t="str">
        <f ca="1">IFERROR(__xludf.DUMMYFUNCTION("""COMPUTED_VALUE"""),"GA134TASEITQ3")</f>
        <v>GA134TASEITQ3</v>
      </c>
      <c r="B198" s="2">
        <f ca="1">IFERROR(__xludf.DUMMYFUNCTION("""COMPUTED_VALUE"""),3053)</f>
        <v>3053</v>
      </c>
      <c r="C198" s="2">
        <f ca="1">IFERROR(__xludf.DUMMYFUNCTION("""COMPUTED_VALUE"""),3187)</f>
        <v>3187</v>
      </c>
      <c r="D198" s="2">
        <f ca="1">IFERROR(__xludf.DUMMYFUNCTION("""COMPUTED_VALUE"""),3054)</f>
        <v>3054</v>
      </c>
      <c r="E198" s="2">
        <f ca="1">IFERROR(__xludf.DUMMYFUNCTION("""COMPUTED_VALUE"""),133)</f>
        <v>133</v>
      </c>
    </row>
    <row r="199" spans="1:5" ht="12.75">
      <c r="A199" s="2" t="str">
        <f ca="1">IFERROR(__xludf.DUMMYFUNCTION("""COMPUTED_VALUE"""),"GA22L1")</f>
        <v>GA22L1</v>
      </c>
      <c r="B199" s="2">
        <f ca="1">IFERROR(__xludf.DUMMYFUNCTION("""COMPUTED_VALUE"""),262)</f>
        <v>262</v>
      </c>
      <c r="C199" s="2">
        <f ca="1">IFERROR(__xludf.DUMMYFUNCTION("""COMPUTED_VALUE"""),262)</f>
        <v>262</v>
      </c>
      <c r="D199" s="2">
        <f ca="1">IFERROR(__xludf.DUMMYFUNCTION("""COMPUTED_VALUE"""),262)</f>
        <v>262</v>
      </c>
      <c r="E199" s="2">
        <f ca="1">IFERROR(__xludf.DUMMYFUNCTION("""COMPUTED_VALUE"""),0)</f>
        <v>0</v>
      </c>
    </row>
    <row r="200" spans="1:5" ht="12.75">
      <c r="A200" s="2" t="str">
        <f ca="1">IFERROR(__xludf.DUMMYFUNCTION("""COMPUTED_VALUE"""),"GA22TAISEI")</f>
        <v>GA22TAISEI</v>
      </c>
      <c r="B200" s="2">
        <f ca="1">IFERROR(__xludf.DUMMYFUNCTION("""COMPUTED_VALUE"""),437)</f>
        <v>437</v>
      </c>
      <c r="C200" s="2">
        <f ca="1">IFERROR(__xludf.DUMMYFUNCTION("""COMPUTED_VALUE"""),511)</f>
        <v>511</v>
      </c>
      <c r="D200" s="2">
        <f ca="1">IFERROR(__xludf.DUMMYFUNCTION("""COMPUTED_VALUE"""),439)</f>
        <v>439</v>
      </c>
      <c r="E200" s="2">
        <f ca="1">IFERROR(__xludf.DUMMYFUNCTION("""COMPUTED_VALUE"""),72)</f>
        <v>72</v>
      </c>
    </row>
    <row r="201" spans="1:5" ht="12.75">
      <c r="A201" s="2" t="str">
        <f ca="1">IFERROR(__xludf.DUMMYFUNCTION("""COMPUTED_VALUE"""),"GA22TAISEITQ")</f>
        <v>GA22TAISEITQ</v>
      </c>
      <c r="B201" s="2">
        <f ca="1">IFERROR(__xludf.DUMMYFUNCTION("""COMPUTED_VALUE"""),1)</f>
        <v>1</v>
      </c>
      <c r="C201" s="2">
        <f ca="1">IFERROR(__xludf.DUMMYFUNCTION("""COMPUTED_VALUE"""),1)</f>
        <v>1</v>
      </c>
      <c r="D201" s="2">
        <f ca="1">IFERROR(__xludf.DUMMYFUNCTION("""COMPUTED_VALUE"""),1)</f>
        <v>1</v>
      </c>
      <c r="E201" s="2">
        <f ca="1">IFERROR(__xludf.DUMMYFUNCTION("""COMPUTED_VALUE"""),0)</f>
        <v>0</v>
      </c>
    </row>
    <row r="202" spans="1:5" ht="12.75">
      <c r="A202" s="2" t="str">
        <f ca="1">IFERROR(__xludf.DUMMYFUNCTION("""COMPUTED_VALUE"""),"GA22TQ03")</f>
        <v>GA22TQ03</v>
      </c>
      <c r="B202" s="2">
        <f ca="1">IFERROR(__xludf.DUMMYFUNCTION("""COMPUTED_VALUE"""),2974)</f>
        <v>2974</v>
      </c>
      <c r="C202" s="2">
        <f ca="1">IFERROR(__xludf.DUMMYFUNCTION("""COMPUTED_VALUE"""),3269)</f>
        <v>3269</v>
      </c>
      <c r="D202" s="2">
        <f ca="1">IFERROR(__xludf.DUMMYFUNCTION("""COMPUTED_VALUE"""),2977)</f>
        <v>2977</v>
      </c>
      <c r="E202" s="2">
        <f ca="1">IFERROR(__xludf.DUMMYFUNCTION("""COMPUTED_VALUE"""),292)</f>
        <v>292</v>
      </c>
    </row>
    <row r="203" spans="1:5" ht="12.75">
      <c r="A203" s="2" t="str">
        <f ca="1">IFERROR(__xludf.DUMMYFUNCTION("""COMPUTED_VALUE"""),"GA32TQ03")</f>
        <v>GA32TQ03</v>
      </c>
      <c r="B203" s="2">
        <f ca="1">IFERROR(__xludf.DUMMYFUNCTION("""COMPUTED_VALUE"""),1136)</f>
        <v>1136</v>
      </c>
      <c r="C203" s="2">
        <f ca="1">IFERROR(__xludf.DUMMYFUNCTION("""COMPUTED_VALUE"""),1613)</f>
        <v>1613</v>
      </c>
      <c r="D203" s="2">
        <f ca="1">IFERROR(__xludf.DUMMYFUNCTION("""COMPUTED_VALUE"""),1144)</f>
        <v>1144</v>
      </c>
      <c r="E203" s="2">
        <f ca="1">IFERROR(__xludf.DUMMYFUNCTION("""COMPUTED_VALUE"""),469)</f>
        <v>469</v>
      </c>
    </row>
    <row r="204" spans="1:5" ht="12.75">
      <c r="A204" s="2" t="str">
        <f ca="1">IFERROR(__xludf.DUMMYFUNCTION("""COMPUTED_VALUE"""),"GA32TQ07")</f>
        <v>GA32TQ07</v>
      </c>
      <c r="B204" s="2">
        <f ca="1">IFERROR(__xludf.DUMMYFUNCTION("""COMPUTED_VALUE"""),171)</f>
        <v>171</v>
      </c>
      <c r="C204" s="2">
        <f ca="1">IFERROR(__xludf.DUMMYFUNCTION("""COMPUTED_VALUE"""),313)</f>
        <v>313</v>
      </c>
      <c r="D204" s="2">
        <f ca="1">IFERROR(__xludf.DUMMYFUNCTION("""COMPUTED_VALUE"""),171)</f>
        <v>171</v>
      </c>
      <c r="E204" s="2">
        <f ca="1">IFERROR(__xludf.DUMMYFUNCTION("""COMPUTED_VALUE"""),142)</f>
        <v>142</v>
      </c>
    </row>
    <row r="205" spans="1:5" ht="12.75">
      <c r="A205" s="2" t="str">
        <f ca="1">IFERROR(__xludf.DUMMYFUNCTION("""COMPUTED_VALUE"""),"GA404CHEM-EU")</f>
        <v>GA404CHEM-EU</v>
      </c>
      <c r="B205" s="2">
        <f ca="1">IFERROR(__xludf.DUMMYFUNCTION("""COMPUTED_VALUE"""),2)</f>
        <v>2</v>
      </c>
      <c r="C205" s="2">
        <f ca="1">IFERROR(__xludf.DUMMYFUNCTION("""COMPUTED_VALUE"""),23)</f>
        <v>23</v>
      </c>
      <c r="D205" s="2">
        <f ca="1">IFERROR(__xludf.DUMMYFUNCTION("""COMPUTED_VALUE"""),2)</f>
        <v>2</v>
      </c>
      <c r="E205" s="2">
        <f ca="1">IFERROR(__xludf.DUMMYFUNCTION("""COMPUTED_VALUE"""),21)</f>
        <v>21</v>
      </c>
    </row>
    <row r="206" spans="1:5" ht="12.75">
      <c r="A206" s="2" t="str">
        <f ca="1">IFERROR(__xludf.DUMMYFUNCTION("""COMPUTED_VALUE"""),"GA404TQ10.9")</f>
        <v>GA404TQ10.9</v>
      </c>
      <c r="B206" s="2">
        <f ca="1">IFERROR(__xludf.DUMMYFUNCTION("""COMPUTED_VALUE"""),5)</f>
        <v>5</v>
      </c>
      <c r="C206" s="2">
        <f ca="1">IFERROR(__xludf.DUMMYFUNCTION("""COMPUTED_VALUE"""),57)</f>
        <v>57</v>
      </c>
      <c r="D206" s="2">
        <f ca="1">IFERROR(__xludf.DUMMYFUNCTION("""COMPUTED_VALUE"""),5)</f>
        <v>5</v>
      </c>
      <c r="E206" s="2">
        <f ca="1">IFERROR(__xludf.DUMMYFUNCTION("""COMPUTED_VALUE"""),52)</f>
        <v>52</v>
      </c>
    </row>
    <row r="207" spans="1:5" ht="12.75">
      <c r="A207" s="2" t="str">
        <f ca="1">IFERROR(__xludf.DUMMYFUNCTION("""COMPUTED_VALUE"""),"GA404TQ27")</f>
        <v>GA404TQ27</v>
      </c>
      <c r="B207" s="2">
        <f ca="1">IFERROR(__xludf.DUMMYFUNCTION("""COMPUTED_VALUE"""),1274)</f>
        <v>1274</v>
      </c>
      <c r="C207" s="2">
        <f ca="1">IFERROR(__xludf.DUMMYFUNCTION("""COMPUTED_VALUE"""),1375)</f>
        <v>1375</v>
      </c>
      <c r="D207" s="2">
        <f ca="1">IFERROR(__xludf.DUMMYFUNCTION("""COMPUTED_VALUE"""),1275)</f>
        <v>1275</v>
      </c>
      <c r="E207" s="2">
        <f ca="1">IFERROR(__xludf.DUMMYFUNCTION("""COMPUTED_VALUE"""),100)</f>
        <v>100</v>
      </c>
    </row>
    <row r="208" spans="1:5" ht="12.75">
      <c r="A208" s="2" t="str">
        <f ca="1">IFERROR(__xludf.DUMMYFUNCTION("""COMPUTED_VALUE"""),"GA407RE-India")</f>
        <v>GA407RE-India</v>
      </c>
      <c r="B208" s="2">
        <f ca="1">IFERROR(__xludf.DUMMYFUNCTION("""COMPUTED_VALUE"""),19)</f>
        <v>19</v>
      </c>
      <c r="C208" s="2">
        <f ca="1">IFERROR(__xludf.DUMMYFUNCTION("""COMPUTED_VALUE"""),24)</f>
        <v>24</v>
      </c>
      <c r="D208" s="2">
        <f ca="1">IFERROR(__xludf.DUMMYFUNCTION("""COMPUTED_VALUE"""),19)</f>
        <v>19</v>
      </c>
      <c r="E208" s="2">
        <f ca="1">IFERROR(__xludf.DUMMYFUNCTION("""COMPUTED_VALUE"""),5)</f>
        <v>5</v>
      </c>
    </row>
    <row r="209" spans="1:5" ht="12.75">
      <c r="A209" s="2" t="str">
        <f ca="1">IFERROR(__xludf.DUMMYFUNCTION("""COMPUTED_VALUE"""),"GA407TQ28")</f>
        <v>GA407TQ28</v>
      </c>
      <c r="B209" s="2">
        <f ca="1">IFERROR(__xludf.DUMMYFUNCTION("""COMPUTED_VALUE"""),1927)</f>
        <v>1927</v>
      </c>
      <c r="C209" s="2">
        <f ca="1">IFERROR(__xludf.DUMMYFUNCTION("""COMPUTED_VALUE"""),2345)</f>
        <v>2345</v>
      </c>
      <c r="D209" s="2">
        <f ca="1">IFERROR(__xludf.DUMMYFUNCTION("""COMPUTED_VALUE"""),1930)</f>
        <v>1930</v>
      </c>
      <c r="E209" s="2">
        <f ca="1">IFERROR(__xludf.DUMMYFUNCTION("""COMPUTED_VALUE"""),415)</f>
        <v>415</v>
      </c>
    </row>
    <row r="210" spans="1:5" ht="12.75">
      <c r="A210" s="2" t="str">
        <f ca="1">IFERROR(__xludf.DUMMYFUNCTION("""COMPUTED_VALUE"""),"GA410DUCHEM-EU")</f>
        <v>GA410DUCHEM-EU</v>
      </c>
      <c r="B210" s="2">
        <f ca="1">IFERROR(__xludf.DUMMYFUNCTION("""COMPUTED_VALUE"""),759)</f>
        <v>759</v>
      </c>
      <c r="C210" s="2">
        <f ca="1">IFERROR(__xludf.DUMMYFUNCTION("""COMPUTED_VALUE"""),780)</f>
        <v>780</v>
      </c>
      <c r="D210" s="2">
        <f ca="1">IFERROR(__xludf.DUMMYFUNCTION("""COMPUTED_VALUE"""),759)</f>
        <v>759</v>
      </c>
      <c r="E210" s="2">
        <f ca="1">IFERROR(__xludf.DUMMYFUNCTION("""COMPUTED_VALUE"""),21)</f>
        <v>21</v>
      </c>
    </row>
    <row r="211" spans="1:5" ht="12.75">
      <c r="A211" s="2" t="str">
        <f ca="1">IFERROR(__xludf.DUMMYFUNCTION("""COMPUTED_VALUE"""),"GA410DUCHEM-USA")</f>
        <v>GA410DUCHEM-USA</v>
      </c>
      <c r="B211" s="2">
        <f ca="1">IFERROR(__xludf.DUMMYFUNCTION("""COMPUTED_VALUE"""),1)</f>
        <v>1</v>
      </c>
      <c r="C211" s="2">
        <f ca="1">IFERROR(__xludf.DUMMYFUNCTION("""COMPUTED_VALUE"""),2)</f>
        <v>2</v>
      </c>
      <c r="D211" s="2">
        <f ca="1">IFERROR(__xludf.DUMMYFUNCTION("""COMPUTED_VALUE"""),2)</f>
        <v>2</v>
      </c>
      <c r="E211" s="2">
        <f ca="1">IFERROR(__xludf.DUMMYFUNCTION("""COMPUTED_VALUE"""),0)</f>
        <v>0</v>
      </c>
    </row>
    <row r="212" spans="1:5" ht="12.75">
      <c r="A212" s="2" t="str">
        <f ca="1">IFERROR(__xludf.DUMMYFUNCTION("""COMPUTED_VALUE"""),"GA410DUEU")</f>
        <v>GA410DUEU</v>
      </c>
      <c r="B212" s="2">
        <f ca="1">IFERROR(__xludf.DUMMYFUNCTION("""COMPUTED_VALUE"""),1)</f>
        <v>1</v>
      </c>
      <c r="C212" s="2">
        <f ca="1">IFERROR(__xludf.DUMMYFUNCTION("""COMPUTED_VALUE"""),1)</f>
        <v>1</v>
      </c>
      <c r="D212" s="2">
        <f ca="1">IFERROR(__xludf.DUMMYFUNCTION("""COMPUTED_VALUE"""),1)</f>
        <v>1</v>
      </c>
      <c r="E212" s="2">
        <f ca="1">IFERROR(__xludf.DUMMYFUNCTION("""COMPUTED_VALUE"""),0)</f>
        <v>0</v>
      </c>
    </row>
    <row r="213" spans="1:5" ht="12.75">
      <c r="A213" s="2" t="str">
        <f ca="1">IFERROR(__xludf.DUMMYFUNCTION("""COMPUTED_VALUE"""),"GA410LON")</f>
        <v>GA410LON</v>
      </c>
      <c r="B213" s="2">
        <f ca="1">IFERROR(__xludf.DUMMYFUNCTION("""COMPUTED_VALUE"""),5)</f>
        <v>5</v>
      </c>
      <c r="C213" s="2">
        <f ca="1">IFERROR(__xludf.DUMMYFUNCTION("""COMPUTED_VALUE"""),5)</f>
        <v>5</v>
      </c>
      <c r="D213" s="2">
        <f ca="1">IFERROR(__xludf.DUMMYFUNCTION("""COMPUTED_VALUE"""),5)</f>
        <v>5</v>
      </c>
      <c r="E213" s="2">
        <f ca="1">IFERROR(__xludf.DUMMYFUNCTION("""COMPUTED_VALUE"""),0)</f>
        <v>0</v>
      </c>
    </row>
    <row r="214" spans="1:5" ht="12.75">
      <c r="A214" s="2" t="str">
        <f ca="1">IFERROR(__xludf.DUMMYFUNCTION("""COMPUTED_VALUE"""),"GA410RE-India")</f>
        <v>GA410RE-India</v>
      </c>
      <c r="B214" s="2">
        <f ca="1">IFERROR(__xludf.DUMMYFUNCTION("""COMPUTED_VALUE"""),267)</f>
        <v>267</v>
      </c>
      <c r="C214" s="2">
        <f ca="1">IFERROR(__xludf.DUMMYFUNCTION("""COMPUTED_VALUE"""),271)</f>
        <v>271</v>
      </c>
      <c r="D214" s="2">
        <f ca="1">IFERROR(__xludf.DUMMYFUNCTION("""COMPUTED_VALUE"""),267)</f>
        <v>267</v>
      </c>
      <c r="E214" s="2">
        <f ca="1">IFERROR(__xludf.DUMMYFUNCTION("""COMPUTED_VALUE"""),4)</f>
        <v>4</v>
      </c>
    </row>
    <row r="215" spans="1:5" ht="12.75">
      <c r="A215" s="2" t="str">
        <f ca="1">IFERROR(__xludf.DUMMYFUNCTION("""COMPUTED_VALUE"""),"GA410TAI-TQ")</f>
        <v>GA410TAI-TQ</v>
      </c>
      <c r="B215" s="2">
        <f ca="1">IFERROR(__xludf.DUMMYFUNCTION("""COMPUTED_VALUE"""),1)</f>
        <v>1</v>
      </c>
      <c r="C215" s="2">
        <f ca="1">IFERROR(__xludf.DUMMYFUNCTION("""COMPUTED_VALUE"""),3)</f>
        <v>3</v>
      </c>
      <c r="D215" s="2">
        <f ca="1">IFERROR(__xludf.DUMMYFUNCTION("""COMPUTED_VALUE"""),1)</f>
        <v>1</v>
      </c>
      <c r="E215" s="2">
        <f ca="1">IFERROR(__xludf.DUMMYFUNCTION("""COMPUTED_VALUE"""),2)</f>
        <v>2</v>
      </c>
    </row>
    <row r="216" spans="1:5" ht="12.75">
      <c r="A216" s="2" t="str">
        <f ca="1">IFERROR(__xludf.DUMMYFUNCTION("""COMPUTED_VALUE"""),"GA410TAI-TQ28")</f>
        <v>GA410TAI-TQ28</v>
      </c>
      <c r="B216" s="2">
        <f ca="1">IFERROR(__xludf.DUMMYFUNCTION("""COMPUTED_VALUE"""),2835)</f>
        <v>2835</v>
      </c>
      <c r="C216" s="2">
        <f ca="1">IFERROR(__xludf.DUMMYFUNCTION("""COMPUTED_VALUE"""),3300)</f>
        <v>3300</v>
      </c>
      <c r="D216" s="2">
        <f ca="1">IFERROR(__xludf.DUMMYFUNCTION("""COMPUTED_VALUE"""),2845)</f>
        <v>2845</v>
      </c>
      <c r="E216" s="2">
        <f ca="1">IFERROR(__xludf.DUMMYFUNCTION("""COMPUTED_VALUE"""),455)</f>
        <v>455</v>
      </c>
    </row>
    <row r="217" spans="1:5" ht="12.75">
      <c r="A217" s="2" t="str">
        <f ca="1">IFERROR(__xludf.DUMMYFUNCTION("""COMPUTED_VALUE"""),"GA600TQ3")</f>
        <v>GA600TQ3</v>
      </c>
      <c r="B217" s="2">
        <f ca="1">IFERROR(__xludf.DUMMYFUNCTION("""COMPUTED_VALUE"""),446)</f>
        <v>446</v>
      </c>
      <c r="C217" s="2">
        <f ca="1">IFERROR(__xludf.DUMMYFUNCTION("""COMPUTED_VALUE"""),548)</f>
        <v>548</v>
      </c>
      <c r="D217" s="2">
        <f ca="1">IFERROR(__xludf.DUMMYFUNCTION("""COMPUTED_VALUE"""),446)</f>
        <v>446</v>
      </c>
      <c r="E217" s="2">
        <f ca="1">IFERROR(__xludf.DUMMYFUNCTION("""COMPUTED_VALUE"""),102)</f>
        <v>102</v>
      </c>
    </row>
    <row r="218" spans="1:5" ht="12.75">
      <c r="A218" s="2" t="str">
        <f ca="1">IFERROR(__xludf.DUMMYFUNCTION("""COMPUTED_VALUE"""),"GA600TQ65")</f>
        <v>GA600TQ65</v>
      </c>
      <c r="B218" s="2">
        <f ca="1">IFERROR(__xludf.DUMMYFUNCTION("""COMPUTED_VALUE"""),388)</f>
        <v>388</v>
      </c>
      <c r="C218" s="2">
        <f ca="1">IFERROR(__xludf.DUMMYFUNCTION("""COMPUTED_VALUE"""),490)</f>
        <v>490</v>
      </c>
      <c r="D218" s="2">
        <f ca="1">IFERROR(__xludf.DUMMYFUNCTION("""COMPUTED_VALUE"""),388)</f>
        <v>388</v>
      </c>
      <c r="E218" s="2">
        <f ca="1">IFERROR(__xludf.DUMMYFUNCTION("""COMPUTED_VALUE"""),102)</f>
        <v>102</v>
      </c>
    </row>
    <row r="219" spans="1:5" ht="12.75">
      <c r="A219" s="2" t="str">
        <f ca="1">IFERROR(__xludf.DUMMYFUNCTION("""COMPUTED_VALUE"""),"GBDVTT12276")</f>
        <v>GBDVTT12276</v>
      </c>
      <c r="B219" s="2">
        <f ca="1">IFERROR(__xludf.DUMMYFUNCTION("""COMPUTED_VALUE"""),19124.09)</f>
        <v>19124.09</v>
      </c>
      <c r="C219" s="2">
        <f ca="1">IFERROR(__xludf.DUMMYFUNCTION("""COMPUTED_VALUE"""),19124.09)</f>
        <v>19124.09</v>
      </c>
      <c r="D219" s="2">
        <f ca="1">IFERROR(__xludf.DUMMYFUNCTION("""COMPUTED_VALUE"""),19124.09)</f>
        <v>19124.09</v>
      </c>
      <c r="E219" s="2">
        <f ca="1">IFERROR(__xludf.DUMMYFUNCTION("""COMPUTED_VALUE"""),0)</f>
        <v>0</v>
      </c>
    </row>
    <row r="220" spans="1:5" ht="12.75">
      <c r="A220" s="2" t="str">
        <f ca="1">IFERROR(__xludf.DUMMYFUNCTION("""COMPUTED_VALUE"""),"GĐĐV114x50")</f>
        <v>GĐĐV114x50</v>
      </c>
      <c r="B220" s="2">
        <f ca="1">IFERROR(__xludf.DUMMYFUNCTION("""COMPUTED_VALUE"""),12)</f>
        <v>12</v>
      </c>
      <c r="C220" s="2">
        <f ca="1">IFERROR(__xludf.DUMMYFUNCTION("""COMPUTED_VALUE"""),12)</f>
        <v>12</v>
      </c>
      <c r="D220" s="2">
        <f ca="1">IFERROR(__xludf.DUMMYFUNCTION("""COMPUTED_VALUE"""),12)</f>
        <v>12</v>
      </c>
      <c r="E220" s="2">
        <f ca="1">IFERROR(__xludf.DUMMYFUNCTION("""COMPUTED_VALUE"""),0)</f>
        <v>0</v>
      </c>
    </row>
    <row r="221" spans="1:5" ht="12.75">
      <c r="A221" s="2" t="str">
        <f ca="1">IFERROR(__xludf.DUMMYFUNCTION("""COMPUTED_VALUE"""),"GDDVAERO2195064")</f>
        <v>GDDVAERO2195064</v>
      </c>
      <c r="B221" s="2">
        <f ca="1">IFERROR(__xludf.DUMMYFUNCTION("""COMPUTED_VALUE"""),24)</f>
        <v>24</v>
      </c>
      <c r="C221" s="2">
        <f ca="1">IFERROR(__xludf.DUMMYFUNCTION("""COMPUTED_VALUE"""),24)</f>
        <v>24</v>
      </c>
      <c r="D221" s="2">
        <f ca="1">IFERROR(__xludf.DUMMYFUNCTION("""COMPUTED_VALUE"""),24)</f>
        <v>24</v>
      </c>
      <c r="E221" s="2">
        <f ca="1">IFERROR(__xludf.DUMMYFUNCTION("""COMPUTED_VALUE"""),0)</f>
        <v>0</v>
      </c>
    </row>
    <row r="222" spans="1:5" ht="12.75">
      <c r="A222" s="2" t="str">
        <f ca="1">IFERROR(__xludf.DUMMYFUNCTION("""COMPUTED_VALUE"""),"GDDVAERO2735064")</f>
        <v>GDDVAERO2735064</v>
      </c>
      <c r="B222" s="2">
        <f ca="1">IFERROR(__xludf.DUMMYFUNCTION("""COMPUTED_VALUE"""),16)</f>
        <v>16</v>
      </c>
      <c r="C222" s="2">
        <f ca="1">IFERROR(__xludf.DUMMYFUNCTION("""COMPUTED_VALUE"""),16)</f>
        <v>16</v>
      </c>
      <c r="D222" s="2">
        <f ca="1">IFERROR(__xludf.DUMMYFUNCTION("""COMPUTED_VALUE"""),16)</f>
        <v>16</v>
      </c>
      <c r="E222" s="2">
        <f ca="1">IFERROR(__xludf.DUMMYFUNCTION("""COMPUTED_VALUE"""),0)</f>
        <v>0</v>
      </c>
    </row>
    <row r="223" spans="1:5" ht="12.75">
      <c r="A223" s="2" t="str">
        <f ca="1">IFERROR(__xludf.DUMMYFUNCTION("""COMPUTED_VALUE"""),"HKACPF03512025")</f>
        <v>HKACPF03512025</v>
      </c>
      <c r="B223" s="2">
        <f ca="1">IFERROR(__xludf.DUMMYFUNCTION("""COMPUTED_VALUE"""),10)</f>
        <v>10</v>
      </c>
      <c r="C223" s="2">
        <f ca="1">IFERROR(__xludf.DUMMYFUNCTION("""COMPUTED_VALUE"""),11)</f>
        <v>11</v>
      </c>
      <c r="D223" s="2">
        <f ca="1">IFERROR(__xludf.DUMMYFUNCTION("""COMPUTED_VALUE"""),11)</f>
        <v>11</v>
      </c>
      <c r="E223" s="2">
        <f ca="1">IFERROR(__xludf.DUMMYFUNCTION("""COMPUTED_VALUE"""),0)</f>
        <v>0</v>
      </c>
    </row>
    <row r="224" spans="1:5" ht="12.75">
      <c r="A224" s="2" t="str">
        <f ca="1">IFERROR(__xludf.DUMMYFUNCTION("""COMPUTED_VALUE"""),"HKATTOMAT30A")</f>
        <v>HKATTOMAT30A</v>
      </c>
      <c r="B224" s="2">
        <f ca="1">IFERROR(__xludf.DUMMYFUNCTION("""COMPUTED_VALUE"""),1)</f>
        <v>1</v>
      </c>
      <c r="C224" s="2">
        <f ca="1">IFERROR(__xludf.DUMMYFUNCTION("""COMPUTED_VALUE"""),1)</f>
        <v>1</v>
      </c>
      <c r="D224" s="2">
        <f ca="1">IFERROR(__xludf.DUMMYFUNCTION("""COMPUTED_VALUE"""),1)</f>
        <v>1</v>
      </c>
      <c r="E224" s="2">
        <f ca="1">IFERROR(__xludf.DUMMYFUNCTION("""COMPUTED_VALUE"""),0)</f>
        <v>0</v>
      </c>
    </row>
    <row r="225" spans="1:5" ht="12.75">
      <c r="A225" s="2" t="str">
        <f ca="1">IFERROR(__xludf.DUMMYFUNCTION("""COMPUTED_VALUE"""),"HKATTOMAT32A")</f>
        <v>HKATTOMAT32A</v>
      </c>
      <c r="B225" s="2">
        <f ca="1">IFERROR(__xludf.DUMMYFUNCTION("""COMPUTED_VALUE"""),10)</f>
        <v>10</v>
      </c>
      <c r="C225" s="2">
        <f ca="1">IFERROR(__xludf.DUMMYFUNCTION("""COMPUTED_VALUE"""),10)</f>
        <v>10</v>
      </c>
      <c r="D225" s="2">
        <f ca="1">IFERROR(__xludf.DUMMYFUNCTION("""COMPUTED_VALUE"""),10)</f>
        <v>10</v>
      </c>
      <c r="E225" s="2">
        <f ca="1">IFERROR(__xludf.DUMMYFUNCTION("""COMPUTED_VALUE"""),0)</f>
        <v>0</v>
      </c>
    </row>
    <row r="226" spans="1:5" ht="12.75">
      <c r="A226" s="2" t="str">
        <f ca="1">IFERROR(__xludf.DUMMYFUNCTION("""COMPUTED_VALUE"""),"HKATTOMAT60A")</f>
        <v>HKATTOMAT60A</v>
      </c>
      <c r="B226" s="2">
        <f ca="1">IFERROR(__xludf.DUMMYFUNCTION("""COMPUTED_VALUE"""),1)</f>
        <v>1</v>
      </c>
      <c r="C226" s="2">
        <f ca="1">IFERROR(__xludf.DUMMYFUNCTION("""COMPUTED_VALUE"""),1)</f>
        <v>1</v>
      </c>
      <c r="D226" s="2">
        <f ca="1">IFERROR(__xludf.DUMMYFUNCTION("""COMPUTED_VALUE"""),1)</f>
        <v>1</v>
      </c>
      <c r="E226" s="2">
        <f ca="1">IFERROR(__xludf.DUMMYFUNCTION("""COMPUTED_VALUE"""),0)</f>
        <v>0</v>
      </c>
    </row>
    <row r="227" spans="1:5" ht="12.75">
      <c r="A227" s="2" t="str">
        <f ca="1">IFERROR(__xludf.DUMMYFUNCTION("""COMPUTED_VALUE"""),"HKBANGW48X50ML")</f>
        <v>HKBANGW48X50ML</v>
      </c>
      <c r="B227" s="2">
        <f ca="1">IFERROR(__xludf.DUMMYFUNCTION("""COMPUTED_VALUE"""),1263)</f>
        <v>1263</v>
      </c>
      <c r="C227" s="2">
        <f ca="1">IFERROR(__xludf.DUMMYFUNCTION("""COMPUTED_VALUE"""),1700)</f>
        <v>1700</v>
      </c>
      <c r="D227" s="2">
        <f ca="1">IFERROR(__xludf.DUMMYFUNCTION("""COMPUTED_VALUE"""),1263)</f>
        <v>1263</v>
      </c>
      <c r="E227" s="2">
        <f ca="1">IFERROR(__xludf.DUMMYFUNCTION("""COMPUTED_VALUE"""),437)</f>
        <v>437</v>
      </c>
    </row>
    <row r="228" spans="1:5" ht="12.75">
      <c r="A228" s="2" t="str">
        <f ca="1">IFERROR(__xludf.DUMMYFUNCTION("""COMPUTED_VALUE"""),"HKBB")</f>
        <v>HKBB</v>
      </c>
      <c r="B228" s="2">
        <f ca="1">IFERROR(__xludf.DUMMYFUNCTION("""COMPUTED_VALUE"""),44883)</f>
        <v>44883</v>
      </c>
      <c r="C228" s="2">
        <f ca="1">IFERROR(__xludf.DUMMYFUNCTION("""COMPUTED_VALUE"""),47097)</f>
        <v>47097</v>
      </c>
      <c r="D228" s="2">
        <f ca="1">IFERROR(__xludf.DUMMYFUNCTION("""COMPUTED_VALUE"""),44883)</f>
        <v>44883</v>
      </c>
      <c r="E228" s="2">
        <f ca="1">IFERROR(__xludf.DUMMYFUNCTION("""COMPUTED_VALUE"""),2214)</f>
        <v>2214</v>
      </c>
    </row>
    <row r="229" spans="1:5" ht="12.75">
      <c r="A229" s="2" t="str">
        <f ca="1">IFERROR(__xludf.DUMMYFUNCTION("""COMPUTED_VALUE"""),"HKBB7525")</f>
        <v>HKBB7525</v>
      </c>
      <c r="B229" s="2">
        <f ca="1">IFERROR(__xludf.DUMMYFUNCTION("""COMPUTED_VALUE"""),2406)</f>
        <v>2406</v>
      </c>
      <c r="C229" s="2">
        <f ca="1">IFERROR(__xludf.DUMMYFUNCTION("""COMPUTED_VALUE"""),2478)</f>
        <v>2478</v>
      </c>
      <c r="D229" s="2">
        <f ca="1">IFERROR(__xludf.DUMMYFUNCTION("""COMPUTED_VALUE"""),2406)</f>
        <v>2406</v>
      </c>
      <c r="E229" s="2">
        <f ca="1">IFERROR(__xludf.DUMMYFUNCTION("""COMPUTED_VALUE"""),72)</f>
        <v>72</v>
      </c>
    </row>
    <row r="230" spans="1:5" ht="12.75">
      <c r="A230" s="2" t="str">
        <f ca="1">IFERROR(__xludf.DUMMYFUNCTION("""COMPUTED_VALUE"""),"HKBB7550")</f>
        <v>HKBB7550</v>
      </c>
      <c r="B230" s="2">
        <f ca="1">IFERROR(__xludf.DUMMYFUNCTION("""COMPUTED_VALUE"""),8)</f>
        <v>8</v>
      </c>
      <c r="C230" s="2">
        <f ca="1">IFERROR(__xludf.DUMMYFUNCTION("""COMPUTED_VALUE"""),8)</f>
        <v>8</v>
      </c>
      <c r="D230" s="2">
        <f ca="1">IFERROR(__xludf.DUMMYFUNCTION("""COMPUTED_VALUE"""),8)</f>
        <v>8</v>
      </c>
      <c r="E230" s="2">
        <f ca="1">IFERROR(__xludf.DUMMYFUNCTION("""COMPUTED_VALUE"""),0)</f>
        <v>0</v>
      </c>
    </row>
    <row r="231" spans="1:5" ht="12.75">
      <c r="A231" s="2" t="str">
        <f ca="1">IFERROR(__xludf.DUMMYFUNCTION("""COMPUTED_VALUE"""),"HKBBDD")</f>
        <v>HKBBDD</v>
      </c>
      <c r="B231" s="2">
        <f ca="1">IFERROR(__xludf.DUMMYFUNCTION("""COMPUTED_VALUE"""),14)</f>
        <v>14</v>
      </c>
      <c r="C231" s="2">
        <f ca="1">IFERROR(__xludf.DUMMYFUNCTION("""COMPUTED_VALUE"""),24)</f>
        <v>24</v>
      </c>
      <c r="D231" s="2">
        <f ca="1">IFERROR(__xludf.DUMMYFUNCTION("""COMPUTED_VALUE"""),14)</f>
        <v>14</v>
      </c>
      <c r="E231" s="2">
        <f ca="1">IFERROR(__xludf.DUMMYFUNCTION("""COMPUTED_VALUE"""),10)</f>
        <v>10</v>
      </c>
    </row>
    <row r="232" spans="1:5" ht="12.75">
      <c r="A232" s="2" t="str">
        <f ca="1">IFERROR(__xludf.DUMMYFUNCTION("""COMPUTED_VALUE"""),"HKBDTD")</f>
        <v>HKBDTD</v>
      </c>
      <c r="B232" s="2">
        <f ca="1">IFERROR(__xludf.DUMMYFUNCTION("""COMPUTED_VALUE"""),211)</f>
        <v>211</v>
      </c>
      <c r="C232" s="2">
        <f ca="1">IFERROR(__xludf.DUMMYFUNCTION("""COMPUTED_VALUE"""),309)</f>
        <v>309</v>
      </c>
      <c r="D232" s="2">
        <f ca="1">IFERROR(__xludf.DUMMYFUNCTION("""COMPUTED_VALUE"""),211)</f>
        <v>211</v>
      </c>
      <c r="E232" s="2">
        <f ca="1">IFERROR(__xludf.DUMMYFUNCTION("""COMPUTED_VALUE"""),98)</f>
        <v>98</v>
      </c>
    </row>
    <row r="233" spans="1:5" ht="12.75">
      <c r="A233" s="2" t="str">
        <f ca="1">IFERROR(__xludf.DUMMYFUNCTION("""COMPUTED_VALUE"""),"HKBDTDTT")</f>
        <v>HKBDTDTT</v>
      </c>
      <c r="B233" s="2">
        <f ca="1">IFERROR(__xludf.DUMMYFUNCTION("""COMPUTED_VALUE"""),2)</f>
        <v>2</v>
      </c>
      <c r="C233" s="2">
        <f ca="1">IFERROR(__xludf.DUMMYFUNCTION("""COMPUTED_VALUE"""),1355.6)</f>
        <v>1355.6</v>
      </c>
      <c r="D233" s="2">
        <f ca="1">IFERROR(__xludf.DUMMYFUNCTION("""COMPUTED_VALUE"""),1355.6)</f>
        <v>1355.6</v>
      </c>
      <c r="E233" s="2">
        <f ca="1">IFERROR(__xludf.DUMMYFUNCTION("""COMPUTED_VALUE"""),0)</f>
        <v>0</v>
      </c>
    </row>
    <row r="234" spans="1:5" ht="12.75">
      <c r="A234" s="2" t="str">
        <f ca="1">IFERROR(__xludf.DUMMYFUNCTION("""COMPUTED_VALUE"""),"HKBDTM")</f>
        <v>HKBDTM</v>
      </c>
      <c r="B234" s="2">
        <f ca="1">IFERROR(__xludf.DUMMYFUNCTION("""COMPUTED_VALUE"""),282)</f>
        <v>282</v>
      </c>
      <c r="C234" s="2">
        <f ca="1">IFERROR(__xludf.DUMMYFUNCTION("""COMPUTED_VALUE"""),420)</f>
        <v>420</v>
      </c>
      <c r="D234" s="2">
        <f ca="1">IFERROR(__xludf.DUMMYFUNCTION("""COMPUTED_VALUE"""),282)</f>
        <v>282</v>
      </c>
      <c r="E234" s="2">
        <f ca="1">IFERROR(__xludf.DUMMYFUNCTION("""COMPUTED_VALUE"""),138)</f>
        <v>138</v>
      </c>
    </row>
    <row r="235" spans="1:5" ht="12.75">
      <c r="A235" s="2" t="str">
        <f ca="1">IFERROR(__xludf.DUMMYFUNCTION("""COMPUTED_VALUE"""),"HKBHLDNVM")</f>
        <v>HKBHLDNVM</v>
      </c>
      <c r="B235" s="2">
        <f ca="1">IFERROR(__xludf.DUMMYFUNCTION("""COMPUTED_VALUE"""),1)</f>
        <v>1</v>
      </c>
      <c r="C235" s="2">
        <f ca="1">IFERROR(__xludf.DUMMYFUNCTION("""COMPUTED_VALUE"""),1)</f>
        <v>1</v>
      </c>
      <c r="D235" s="2">
        <f ca="1">IFERROR(__xludf.DUMMYFUNCTION("""COMPUTED_VALUE"""),1)</f>
        <v>1</v>
      </c>
      <c r="E235" s="2">
        <f ca="1">IFERROR(__xludf.DUMMYFUNCTION("""COMPUTED_VALUE"""),0)</f>
        <v>0</v>
      </c>
    </row>
    <row r="236" spans="1:5" ht="12.75">
      <c r="A236" s="2" t="str">
        <f ca="1">IFERROR(__xludf.DUMMYFUNCTION("""COMPUTED_VALUE"""),"HKBK22x30CB")</f>
        <v>HKBK22x30CB</v>
      </c>
      <c r="B236" s="2">
        <f ca="1">IFERROR(__xludf.DUMMYFUNCTION("""COMPUTED_VALUE"""),2)</f>
        <v>2</v>
      </c>
      <c r="C236" s="2">
        <f ca="1">IFERROR(__xludf.DUMMYFUNCTION("""COMPUTED_VALUE"""),2)</f>
        <v>2</v>
      </c>
      <c r="D236" s="2">
        <f ca="1">IFERROR(__xludf.DUMMYFUNCTION("""COMPUTED_VALUE"""),2)</f>
        <v>2</v>
      </c>
      <c r="E236" s="2">
        <f ca="1">IFERROR(__xludf.DUMMYFUNCTION("""COMPUTED_VALUE"""),0)</f>
        <v>0</v>
      </c>
    </row>
    <row r="237" spans="1:5" ht="12.75">
      <c r="A237" s="2" t="str">
        <f ca="1">IFERROR(__xludf.DUMMYFUNCTION("""COMPUTED_VALUE"""),"HKBKLOGO50")</f>
        <v>HKBKLOGO50</v>
      </c>
      <c r="B237" s="2">
        <f ca="1">IFERROR(__xludf.DUMMYFUNCTION("""COMPUTED_VALUE"""),840)</f>
        <v>840</v>
      </c>
      <c r="C237" s="2">
        <f ca="1">IFERROR(__xludf.DUMMYFUNCTION("""COMPUTED_VALUE"""),920)</f>
        <v>920</v>
      </c>
      <c r="D237" s="2">
        <f ca="1">IFERROR(__xludf.DUMMYFUNCTION("""COMPUTED_VALUE"""),840)</f>
        <v>840</v>
      </c>
      <c r="E237" s="2">
        <f ca="1">IFERROR(__xludf.DUMMYFUNCTION("""COMPUTED_VALUE"""),80)</f>
        <v>80</v>
      </c>
    </row>
    <row r="238" spans="1:5" ht="12.75">
      <c r="A238" s="2" t="str">
        <f ca="1">IFERROR(__xludf.DUMMYFUNCTION("""COMPUTED_VALUE"""),"HKBTLPHI12")</f>
        <v>HKBTLPHI12</v>
      </c>
      <c r="B238" s="2">
        <f ca="1">IFERROR(__xludf.DUMMYFUNCTION("""COMPUTED_VALUE"""),1)</f>
        <v>1</v>
      </c>
      <c r="C238" s="2">
        <f ca="1">IFERROR(__xludf.DUMMYFUNCTION("""COMPUTED_VALUE"""),1)</f>
        <v>1</v>
      </c>
      <c r="D238" s="2">
        <f ca="1">IFERROR(__xludf.DUMMYFUNCTION("""COMPUTED_VALUE"""),1)</f>
        <v>1</v>
      </c>
      <c r="E238" s="2">
        <f ca="1">IFERROR(__xludf.DUMMYFUNCTION("""COMPUTED_VALUE"""),0)</f>
        <v>0</v>
      </c>
    </row>
    <row r="239" spans="1:5" ht="12.75">
      <c r="A239" s="2" t="str">
        <f ca="1">IFERROR(__xludf.DUMMYFUNCTION("""COMPUTED_VALUE"""),"HKBTT24X25")</f>
        <v>HKBTT24X25</v>
      </c>
      <c r="B239" s="2">
        <f ca="1">IFERROR(__xludf.DUMMYFUNCTION("""COMPUTED_VALUE"""),1)</f>
        <v>1</v>
      </c>
      <c r="C239" s="2">
        <f ca="1">IFERROR(__xludf.DUMMYFUNCTION("""COMPUTED_VALUE"""),1)</f>
        <v>1</v>
      </c>
      <c r="D239" s="2">
        <f ca="1">IFERROR(__xludf.DUMMYFUNCTION("""COMPUTED_VALUE"""),1)</f>
        <v>1</v>
      </c>
      <c r="E239" s="2">
        <f ca="1">IFERROR(__xludf.DUMMYFUNCTION("""COMPUTED_VALUE"""),0)</f>
        <v>0</v>
      </c>
    </row>
    <row r="240" spans="1:5" ht="12.75">
      <c r="A240" s="2" t="str">
        <f ca="1">IFERROR(__xludf.DUMMYFUNCTION("""COMPUTED_VALUE"""),"HKBTT32X50")</f>
        <v>HKBTT32X50</v>
      </c>
      <c r="B240" s="2">
        <f ca="1">IFERROR(__xludf.DUMMYFUNCTION("""COMPUTED_VALUE"""),4)</f>
        <v>4</v>
      </c>
      <c r="C240" s="2">
        <f ca="1">IFERROR(__xludf.DUMMYFUNCTION("""COMPUTED_VALUE"""),6)</f>
        <v>6</v>
      </c>
      <c r="D240" s="2">
        <f ca="1">IFERROR(__xludf.DUMMYFUNCTION("""COMPUTED_VALUE"""),6)</f>
        <v>6</v>
      </c>
      <c r="E240" s="2">
        <f ca="1">IFERROR(__xludf.DUMMYFUNCTION("""COMPUTED_VALUE"""),0)</f>
        <v>0</v>
      </c>
    </row>
    <row r="241" spans="1:5" ht="12.75">
      <c r="A241" s="2" t="str">
        <f ca="1">IFERROR(__xludf.DUMMYFUNCTION("""COMPUTED_VALUE"""),"HKBXBAN3")</f>
        <v>HKBXBAN3</v>
      </c>
      <c r="B241" s="2">
        <f ca="1">IFERROR(__xludf.DUMMYFUNCTION("""COMPUTED_VALUE"""),1)</f>
        <v>1</v>
      </c>
      <c r="C241" s="2">
        <f ca="1">IFERROR(__xludf.DUMMYFUNCTION("""COMPUTED_VALUE"""),1)</f>
        <v>1</v>
      </c>
      <c r="D241" s="2">
        <f ca="1">IFERROR(__xludf.DUMMYFUNCTION("""COMPUTED_VALUE"""),1)</f>
        <v>1</v>
      </c>
      <c r="E241" s="2">
        <f ca="1">IFERROR(__xludf.DUMMYFUNCTION("""COMPUTED_VALUE"""),0)</f>
        <v>0</v>
      </c>
    </row>
    <row r="242" spans="1:5" ht="12.75">
      <c r="A242" s="2" t="str">
        <f ca="1">IFERROR(__xludf.DUMMYFUNCTION("""COMPUTED_VALUE"""),"HKBXD3X5X10ATT")</f>
        <v>HKBXD3X5X10ATT</v>
      </c>
      <c r="B242" s="2">
        <f ca="1">IFERROR(__xludf.DUMMYFUNCTION("""COMPUTED_VALUE"""),244)</f>
        <v>244</v>
      </c>
      <c r="C242" s="2">
        <f ca="1">IFERROR(__xludf.DUMMYFUNCTION("""COMPUTED_VALUE"""),244)</f>
        <v>244</v>
      </c>
      <c r="D242" s="2">
        <f ca="1">IFERROR(__xludf.DUMMYFUNCTION("""COMPUTED_VALUE"""),244)</f>
        <v>244</v>
      </c>
      <c r="E242" s="2">
        <f ca="1">IFERROR(__xludf.DUMMYFUNCTION("""COMPUTED_VALUE"""),0)</f>
        <v>0</v>
      </c>
    </row>
    <row r="243" spans="1:5" ht="12.75">
      <c r="A243" s="2" t="str">
        <f ca="1">IFERROR(__xludf.DUMMYFUNCTION("""COMPUTED_VALUE"""),"HKBXD5X50X10")</f>
        <v>HKBXD5X50X10</v>
      </c>
      <c r="B243" s="2">
        <f ca="1">IFERROR(__xludf.DUMMYFUNCTION("""COMPUTED_VALUE"""),2)</f>
        <v>2</v>
      </c>
      <c r="C243" s="2">
        <f ca="1">IFERROR(__xludf.DUMMYFUNCTION("""COMPUTED_VALUE"""),2)</f>
        <v>2</v>
      </c>
      <c r="D243" s="2">
        <f ca="1">IFERROR(__xludf.DUMMYFUNCTION("""COMPUTED_VALUE"""),2)</f>
        <v>2</v>
      </c>
      <c r="E243" s="2">
        <f ca="1">IFERROR(__xludf.DUMMYFUNCTION("""COMPUTED_VALUE"""),0)</f>
        <v>0</v>
      </c>
    </row>
    <row r="244" spans="1:5" ht="12.75">
      <c r="A244" s="2" t="str">
        <f ca="1">IFERROR(__xludf.DUMMYFUNCTION("""COMPUTED_VALUE"""),"HKBXD5X5X10ATT")</f>
        <v>HKBXD5X5X10ATT</v>
      </c>
      <c r="B244" s="2">
        <f ca="1">IFERROR(__xludf.DUMMYFUNCTION("""COMPUTED_VALUE"""),37)</f>
        <v>37</v>
      </c>
      <c r="C244" s="2">
        <f ca="1">IFERROR(__xludf.DUMMYFUNCTION("""COMPUTED_VALUE"""),37)</f>
        <v>37</v>
      </c>
      <c r="D244" s="2">
        <f ca="1">IFERROR(__xludf.DUMMYFUNCTION("""COMPUTED_VALUE"""),37)</f>
        <v>37</v>
      </c>
      <c r="E244" s="2">
        <f ca="1">IFERROR(__xludf.DUMMYFUNCTION("""COMPUTED_VALUE"""),0)</f>
        <v>0</v>
      </c>
    </row>
    <row r="245" spans="1:5" ht="12.75">
      <c r="A245" s="2" t="str">
        <f ca="1">IFERROR(__xludf.DUMMYFUNCTION("""COMPUTED_VALUE"""),"HKBXMNHAMBAN2.5")</f>
        <v>HKBXMNHAMBAN2.5</v>
      </c>
      <c r="B245" s="2">
        <f ca="1">IFERROR(__xludf.DUMMYFUNCTION("""COMPUTED_VALUE"""),808)</f>
        <v>808</v>
      </c>
      <c r="C245" s="2">
        <f ca="1">IFERROR(__xludf.DUMMYFUNCTION("""COMPUTED_VALUE"""),1333)</f>
        <v>1333</v>
      </c>
      <c r="D245" s="2">
        <f ca="1">IFERROR(__xludf.DUMMYFUNCTION("""COMPUTED_VALUE"""),808)</f>
        <v>808</v>
      </c>
      <c r="E245" s="2">
        <f ca="1">IFERROR(__xludf.DUMMYFUNCTION("""COMPUTED_VALUE"""),525)</f>
        <v>525</v>
      </c>
    </row>
    <row r="246" spans="1:5" ht="12.75">
      <c r="A246" s="2" t="str">
        <f ca="1">IFERROR(__xludf.DUMMYFUNCTION("""COMPUTED_VALUE"""),"HKCHECH10")</f>
        <v>HKCHECH10</v>
      </c>
      <c r="B246" s="2">
        <f ca="1">IFERROR(__xludf.DUMMYFUNCTION("""COMPUTED_VALUE"""),1292)</f>
        <v>1292</v>
      </c>
      <c r="C246" s="2">
        <f ca="1">IFERROR(__xludf.DUMMYFUNCTION("""COMPUTED_VALUE"""),1302)</f>
        <v>1302</v>
      </c>
      <c r="D246" s="2">
        <f ca="1">IFERROR(__xludf.DUMMYFUNCTION("""COMPUTED_VALUE"""),1292)</f>
        <v>1292</v>
      </c>
      <c r="E246" s="2">
        <f ca="1">IFERROR(__xludf.DUMMYFUNCTION("""COMPUTED_VALUE"""),10)</f>
        <v>10</v>
      </c>
    </row>
    <row r="247" spans="1:5" ht="12.75">
      <c r="A247" s="2" t="str">
        <f ca="1">IFERROR(__xludf.DUMMYFUNCTION("""COMPUTED_VALUE"""),"HKCHECH12")</f>
        <v>HKCHECH12</v>
      </c>
      <c r="B247" s="2">
        <f ca="1">IFERROR(__xludf.DUMMYFUNCTION("""COMPUTED_VALUE"""),382)</f>
        <v>382</v>
      </c>
      <c r="C247" s="2">
        <f ca="1">IFERROR(__xludf.DUMMYFUNCTION("""COMPUTED_VALUE"""),1032)</f>
        <v>1032</v>
      </c>
      <c r="D247" s="2">
        <f ca="1">IFERROR(__xludf.DUMMYFUNCTION("""COMPUTED_VALUE"""),382)</f>
        <v>382</v>
      </c>
      <c r="E247" s="2">
        <f ca="1">IFERROR(__xludf.DUMMYFUNCTION("""COMPUTED_VALUE"""),650)</f>
        <v>650</v>
      </c>
    </row>
    <row r="248" spans="1:5" ht="12.75">
      <c r="A248" s="2" t="str">
        <f ca="1">IFERROR(__xludf.DUMMYFUNCTION("""COMPUTED_VALUE"""),"HKCHECH25")</f>
        <v>HKCHECH25</v>
      </c>
      <c r="B248" s="2">
        <f ca="1">IFERROR(__xludf.DUMMYFUNCTION("""COMPUTED_VALUE"""),783)</f>
        <v>783</v>
      </c>
      <c r="C248" s="2">
        <f ca="1">IFERROR(__xludf.DUMMYFUNCTION("""COMPUTED_VALUE"""),1138)</f>
        <v>1138</v>
      </c>
      <c r="D248" s="2">
        <f ca="1">IFERROR(__xludf.DUMMYFUNCTION("""COMPUTED_VALUE"""),783)</f>
        <v>783</v>
      </c>
      <c r="E248" s="2">
        <f ca="1">IFERROR(__xludf.DUMMYFUNCTION("""COMPUTED_VALUE"""),355)</f>
        <v>355</v>
      </c>
    </row>
    <row r="249" spans="1:5" ht="12.75">
      <c r="A249" s="2" t="str">
        <f ca="1">IFERROR(__xludf.DUMMYFUNCTION("""COMPUTED_VALUE"""),"HKCHECH45")</f>
        <v>HKCHECH45</v>
      </c>
      <c r="B249" s="2">
        <f ca="1">IFERROR(__xludf.DUMMYFUNCTION("""COMPUTED_VALUE"""),161)</f>
        <v>161</v>
      </c>
      <c r="C249" s="2">
        <f ca="1">IFERROR(__xludf.DUMMYFUNCTION("""COMPUTED_VALUE"""),190)</f>
        <v>190</v>
      </c>
      <c r="D249" s="2">
        <f ca="1">IFERROR(__xludf.DUMMYFUNCTION("""COMPUTED_VALUE"""),161)</f>
        <v>161</v>
      </c>
      <c r="E249" s="2">
        <f ca="1">IFERROR(__xludf.DUMMYFUNCTION("""COMPUTED_VALUE"""),29)</f>
        <v>29</v>
      </c>
    </row>
    <row r="250" spans="1:5" ht="12.75">
      <c r="A250" s="2" t="str">
        <f ca="1">IFERROR(__xludf.DUMMYFUNCTION("""COMPUTED_VALUE"""),"HKCHECH67")</f>
        <v>HKCHECH67</v>
      </c>
      <c r="B250" s="2">
        <f ca="1">IFERROR(__xludf.DUMMYFUNCTION("""COMPUTED_VALUE"""),26)</f>
        <v>26</v>
      </c>
      <c r="C250" s="2">
        <f ca="1">IFERROR(__xludf.DUMMYFUNCTION("""COMPUTED_VALUE"""),56)</f>
        <v>56</v>
      </c>
      <c r="D250" s="2">
        <f ca="1">IFERROR(__xludf.DUMMYFUNCTION("""COMPUTED_VALUE"""),26)</f>
        <v>26</v>
      </c>
      <c r="E250" s="2">
        <f ca="1">IFERROR(__xludf.DUMMYFUNCTION("""COMPUTED_VALUE"""),30)</f>
        <v>30</v>
      </c>
    </row>
    <row r="251" spans="1:5" ht="12.75">
      <c r="A251" s="2" t="str">
        <f ca="1">IFERROR(__xludf.DUMMYFUNCTION("""COMPUTED_VALUE"""),"HKCHECH76")</f>
        <v>HKCHECH76</v>
      </c>
      <c r="B251" s="2">
        <f ca="1">IFERROR(__xludf.DUMMYFUNCTION("""COMPUTED_VALUE"""),72)</f>
        <v>72</v>
      </c>
      <c r="C251" s="2">
        <f ca="1">IFERROR(__xludf.DUMMYFUNCTION("""COMPUTED_VALUE"""),72)</f>
        <v>72</v>
      </c>
      <c r="D251" s="2">
        <f ca="1">IFERROR(__xludf.DUMMYFUNCTION("""COMPUTED_VALUE"""),72)</f>
        <v>72</v>
      </c>
      <c r="E251" s="2">
        <f ca="1">IFERROR(__xludf.DUMMYFUNCTION("""COMPUTED_VALUE"""),0)</f>
        <v>0</v>
      </c>
    </row>
    <row r="252" spans="1:5" ht="12.75">
      <c r="A252" s="2" t="str">
        <f ca="1">IFERROR(__xludf.DUMMYFUNCTION("""COMPUTED_VALUE"""),"HKCHENH16")</f>
        <v>HKCHENH16</v>
      </c>
      <c r="B252" s="2">
        <f ca="1">IFERROR(__xludf.DUMMYFUNCTION("""COMPUTED_VALUE"""),1426)</f>
        <v>1426</v>
      </c>
      <c r="C252" s="2">
        <f ca="1">IFERROR(__xludf.DUMMYFUNCTION("""COMPUTED_VALUE"""),2010)</f>
        <v>2010</v>
      </c>
      <c r="D252" s="2">
        <f ca="1">IFERROR(__xludf.DUMMYFUNCTION("""COMPUTED_VALUE"""),1426)</f>
        <v>1426</v>
      </c>
      <c r="E252" s="2">
        <f ca="1">IFERROR(__xludf.DUMMYFUNCTION("""COMPUTED_VALUE"""),584)</f>
        <v>584</v>
      </c>
    </row>
    <row r="253" spans="1:5" ht="12.75">
      <c r="A253" s="2" t="str">
        <f ca="1">IFERROR(__xludf.DUMMYFUNCTION("""COMPUTED_VALUE"""),"HKCHENH19")</f>
        <v>HKCHENH19</v>
      </c>
      <c r="B253" s="2">
        <f ca="1">IFERROR(__xludf.DUMMYFUNCTION("""COMPUTED_VALUE"""),1542)</f>
        <v>1542</v>
      </c>
      <c r="C253" s="2">
        <f ca="1">IFERROR(__xludf.DUMMYFUNCTION("""COMPUTED_VALUE"""),1812)</f>
        <v>1812</v>
      </c>
      <c r="D253" s="2">
        <f ca="1">IFERROR(__xludf.DUMMYFUNCTION("""COMPUTED_VALUE"""),1542)</f>
        <v>1542</v>
      </c>
      <c r="E253" s="2">
        <f ca="1">IFERROR(__xludf.DUMMYFUNCTION("""COMPUTED_VALUE"""),270)</f>
        <v>270</v>
      </c>
    </row>
    <row r="254" spans="1:5" ht="12.75">
      <c r="A254" s="2" t="str">
        <f ca="1">IFERROR(__xludf.DUMMYFUNCTION("""COMPUTED_VALUE"""),"HKCHENH22")</f>
        <v>HKCHENH22</v>
      </c>
      <c r="B254" s="2">
        <f ca="1">IFERROR(__xludf.DUMMYFUNCTION("""COMPUTED_VALUE"""),1592)</f>
        <v>1592</v>
      </c>
      <c r="C254" s="2">
        <f ca="1">IFERROR(__xludf.DUMMYFUNCTION("""COMPUTED_VALUE"""),2321)</f>
        <v>2321</v>
      </c>
      <c r="D254" s="2">
        <f ca="1">IFERROR(__xludf.DUMMYFUNCTION("""COMPUTED_VALUE"""),1592)</f>
        <v>1592</v>
      </c>
      <c r="E254" s="2">
        <f ca="1">IFERROR(__xludf.DUMMYFUNCTION("""COMPUTED_VALUE"""),729)</f>
        <v>729</v>
      </c>
    </row>
    <row r="255" spans="1:5" ht="12.75">
      <c r="A255" s="2" t="str">
        <f ca="1">IFERROR(__xludf.DUMMYFUNCTION("""COMPUTED_VALUE"""),"HKCHENH28")</f>
        <v>HKCHENH28</v>
      </c>
      <c r="B255" s="2">
        <f ca="1">IFERROR(__xludf.DUMMYFUNCTION("""COMPUTED_VALUE"""),962)</f>
        <v>962</v>
      </c>
      <c r="C255" s="2">
        <f ca="1">IFERROR(__xludf.DUMMYFUNCTION("""COMPUTED_VALUE"""),2054)</f>
        <v>2054</v>
      </c>
      <c r="D255" s="2">
        <f ca="1">IFERROR(__xludf.DUMMYFUNCTION("""COMPUTED_VALUE"""),962)</f>
        <v>962</v>
      </c>
      <c r="E255" s="2">
        <f ca="1">IFERROR(__xludf.DUMMYFUNCTION("""COMPUTED_VALUE"""),1092)</f>
        <v>1092</v>
      </c>
    </row>
    <row r="256" spans="1:5" ht="12.75">
      <c r="A256" s="2" t="str">
        <f ca="1">IFERROR(__xludf.DUMMYFUNCTION("""COMPUTED_VALUE"""),"HKCHENH32")</f>
        <v>HKCHENH32</v>
      </c>
      <c r="B256" s="2">
        <f ca="1">IFERROR(__xludf.DUMMYFUNCTION("""COMPUTED_VALUE"""),509)</f>
        <v>509</v>
      </c>
      <c r="C256" s="2">
        <f ca="1">IFERROR(__xludf.DUMMYFUNCTION("""COMPUTED_VALUE"""),915)</f>
        <v>915</v>
      </c>
      <c r="D256" s="2">
        <f ca="1">IFERROR(__xludf.DUMMYFUNCTION("""COMPUTED_VALUE"""),509)</f>
        <v>509</v>
      </c>
      <c r="E256" s="2">
        <f ca="1">IFERROR(__xludf.DUMMYFUNCTION("""COMPUTED_VALUE"""),406)</f>
        <v>406</v>
      </c>
    </row>
    <row r="257" spans="1:5" ht="12.75">
      <c r="A257" s="2" t="str">
        <f ca="1">IFERROR(__xludf.DUMMYFUNCTION("""COMPUTED_VALUE"""),"HKCHENH35")</f>
        <v>HKCHENH35</v>
      </c>
      <c r="B257" s="2">
        <f ca="1">IFERROR(__xludf.DUMMYFUNCTION("""COMPUTED_VALUE"""),1171)</f>
        <v>1171</v>
      </c>
      <c r="C257" s="2">
        <f ca="1">IFERROR(__xludf.DUMMYFUNCTION("""COMPUTED_VALUE"""),1836)</f>
        <v>1836</v>
      </c>
      <c r="D257" s="2">
        <f ca="1">IFERROR(__xludf.DUMMYFUNCTION("""COMPUTED_VALUE"""),1171)</f>
        <v>1171</v>
      </c>
      <c r="E257" s="2">
        <f ca="1">IFERROR(__xludf.DUMMYFUNCTION("""COMPUTED_VALUE"""),665)</f>
        <v>665</v>
      </c>
    </row>
    <row r="258" spans="1:5" ht="12.75">
      <c r="A258" s="2" t="str">
        <f ca="1">IFERROR(__xludf.DUMMYFUNCTION("""COMPUTED_VALUE"""),"HKCHENH38")</f>
        <v>HKCHENH38</v>
      </c>
      <c r="B258" s="2">
        <f ca="1">IFERROR(__xludf.DUMMYFUNCTION("""COMPUTED_VALUE"""),589)</f>
        <v>589</v>
      </c>
      <c r="C258" s="2">
        <f ca="1">IFERROR(__xludf.DUMMYFUNCTION("""COMPUTED_VALUE"""),983)</f>
        <v>983</v>
      </c>
      <c r="D258" s="2">
        <f ca="1">IFERROR(__xludf.DUMMYFUNCTION("""COMPUTED_VALUE"""),589)</f>
        <v>589</v>
      </c>
      <c r="E258" s="2">
        <f ca="1">IFERROR(__xludf.DUMMYFUNCTION("""COMPUTED_VALUE"""),394)</f>
        <v>394</v>
      </c>
    </row>
    <row r="259" spans="1:5" ht="12.75">
      <c r="A259" s="2" t="str">
        <f ca="1">IFERROR(__xludf.DUMMYFUNCTION("""COMPUTED_VALUE"""),"HKCHENH42")</f>
        <v>HKCHENH42</v>
      </c>
      <c r="B259" s="2">
        <f ca="1">IFERROR(__xludf.DUMMYFUNCTION("""COMPUTED_VALUE"""),917)</f>
        <v>917</v>
      </c>
      <c r="C259" s="2">
        <f ca="1">IFERROR(__xludf.DUMMYFUNCTION("""COMPUTED_VALUE"""),1267)</f>
        <v>1267</v>
      </c>
      <c r="D259" s="2">
        <f ca="1">IFERROR(__xludf.DUMMYFUNCTION("""COMPUTED_VALUE"""),917)</f>
        <v>917</v>
      </c>
      <c r="E259" s="2">
        <f ca="1">IFERROR(__xludf.DUMMYFUNCTION("""COMPUTED_VALUE"""),350)</f>
        <v>350</v>
      </c>
    </row>
    <row r="260" spans="1:5" ht="12.75">
      <c r="A260" s="2" t="str">
        <f ca="1">IFERROR(__xludf.DUMMYFUNCTION("""COMPUTED_VALUE"""),"HKCHENH54")</f>
        <v>HKCHENH54</v>
      </c>
      <c r="B260" s="2">
        <f ca="1">IFERROR(__xludf.DUMMYFUNCTION("""COMPUTED_VALUE"""),185)</f>
        <v>185</v>
      </c>
      <c r="C260" s="2">
        <f ca="1">IFERROR(__xludf.DUMMYFUNCTION("""COMPUTED_VALUE"""),213)</f>
        <v>213</v>
      </c>
      <c r="D260" s="2">
        <f ca="1">IFERROR(__xludf.DUMMYFUNCTION("""COMPUTED_VALUE"""),185)</f>
        <v>185</v>
      </c>
      <c r="E260" s="2">
        <f ca="1">IFERROR(__xludf.DUMMYFUNCTION("""COMPUTED_VALUE"""),28)</f>
        <v>28</v>
      </c>
    </row>
    <row r="261" spans="1:5" ht="12.75">
      <c r="A261" s="2" t="str">
        <f ca="1">IFERROR(__xludf.DUMMYFUNCTION("""COMPUTED_VALUE"""),"HKCN")</f>
        <v>HKCN</v>
      </c>
      <c r="B261" s="2">
        <f ca="1">IFERROR(__xludf.DUMMYFUNCTION("""COMPUTED_VALUE"""),59)</f>
        <v>59</v>
      </c>
      <c r="C261" s="2">
        <f ca="1">IFERROR(__xludf.DUMMYFUNCTION("""COMPUTED_VALUE"""),59)</f>
        <v>59</v>
      </c>
      <c r="D261" s="2">
        <f ca="1">IFERROR(__xludf.DUMMYFUNCTION("""COMPUTED_VALUE"""),59)</f>
        <v>59</v>
      </c>
      <c r="E261" s="2">
        <f ca="1">IFERROR(__xludf.DUMMYFUNCTION("""COMPUTED_VALUE"""),0)</f>
        <v>0</v>
      </c>
    </row>
    <row r="262" spans="1:5" ht="12.75">
      <c r="A262" s="2" t="str">
        <f ca="1">IFERROR(__xludf.DUMMYFUNCTION("""COMPUTED_VALUE"""),"HKCOCHD")</f>
        <v>HKCOCHD</v>
      </c>
      <c r="B262" s="2">
        <f ca="1">IFERROR(__xludf.DUMMYFUNCTION("""COMPUTED_VALUE"""),6)</f>
        <v>6</v>
      </c>
      <c r="C262" s="2">
        <f ca="1">IFERROR(__xludf.DUMMYFUNCTION("""COMPUTED_VALUE"""),9)</f>
        <v>9</v>
      </c>
      <c r="D262" s="2">
        <f ca="1">IFERROR(__xludf.DUMMYFUNCTION("""COMPUTED_VALUE"""),9)</f>
        <v>9</v>
      </c>
      <c r="E262" s="2">
        <f ca="1">IFERROR(__xludf.DUMMYFUNCTION("""COMPUTED_VALUE"""),0)</f>
        <v>0</v>
      </c>
    </row>
    <row r="263" spans="1:5" ht="12.75">
      <c r="A263" s="2" t="str">
        <f ca="1">IFERROR(__xludf.DUMMYFUNCTION("""COMPUTED_VALUE"""),"HKCOD10")</f>
        <v>HKCOD10</v>
      </c>
      <c r="B263" s="2">
        <f ca="1">IFERROR(__xludf.DUMMYFUNCTION("""COMPUTED_VALUE"""),5657)</f>
        <v>5657</v>
      </c>
      <c r="C263" s="2">
        <f ca="1">IFERROR(__xludf.DUMMYFUNCTION("""COMPUTED_VALUE"""),7866)</f>
        <v>7866</v>
      </c>
      <c r="D263" s="2">
        <f ca="1">IFERROR(__xludf.DUMMYFUNCTION("""COMPUTED_VALUE"""),5657)</f>
        <v>5657</v>
      </c>
      <c r="E263" s="2">
        <f ca="1">IFERROR(__xludf.DUMMYFUNCTION("""COMPUTED_VALUE"""),2209)</f>
        <v>2209</v>
      </c>
    </row>
    <row r="264" spans="1:5" ht="12.75">
      <c r="A264" s="2" t="str">
        <f ca="1">IFERROR(__xludf.DUMMYFUNCTION("""COMPUTED_VALUE"""),"HKCOD12")</f>
        <v>HKCOD12</v>
      </c>
      <c r="B264" s="2">
        <f ca="1">IFERROR(__xludf.DUMMYFUNCTION("""COMPUTED_VALUE"""),4486)</f>
        <v>4486</v>
      </c>
      <c r="C264" s="2">
        <f ca="1">IFERROR(__xludf.DUMMYFUNCTION("""COMPUTED_VALUE"""),5921)</f>
        <v>5921</v>
      </c>
      <c r="D264" s="2">
        <f ca="1">IFERROR(__xludf.DUMMYFUNCTION("""COMPUTED_VALUE"""),4486)</f>
        <v>4486</v>
      </c>
      <c r="E264" s="2">
        <f ca="1">IFERROR(__xludf.DUMMYFUNCTION("""COMPUTED_VALUE"""),1435)</f>
        <v>1435</v>
      </c>
    </row>
    <row r="265" spans="1:5" ht="12.75">
      <c r="A265" s="2" t="str">
        <f ca="1">IFERROR(__xludf.DUMMYFUNCTION("""COMPUTED_VALUE"""),"HKCOD16")</f>
        <v>HKCOD16</v>
      </c>
      <c r="B265" s="2">
        <f ca="1">IFERROR(__xludf.DUMMYFUNCTION("""COMPUTED_VALUE"""),4893)</f>
        <v>4893</v>
      </c>
      <c r="C265" s="2">
        <f ca="1">IFERROR(__xludf.DUMMYFUNCTION("""COMPUTED_VALUE"""),7986)</f>
        <v>7986</v>
      </c>
      <c r="D265" s="2">
        <f ca="1">IFERROR(__xludf.DUMMYFUNCTION("""COMPUTED_VALUE"""),4893)</f>
        <v>4893</v>
      </c>
      <c r="E265" s="2">
        <f ca="1">IFERROR(__xludf.DUMMYFUNCTION("""COMPUTED_VALUE"""),3093)</f>
        <v>3093</v>
      </c>
    </row>
    <row r="266" spans="1:5" ht="12.75">
      <c r="A266" s="2" t="str">
        <f ca="1">IFERROR(__xludf.DUMMYFUNCTION("""COMPUTED_VALUE"""),"HKCOD19")</f>
        <v>HKCOD19</v>
      </c>
      <c r="B266" s="2">
        <f ca="1">IFERROR(__xludf.DUMMYFUNCTION("""COMPUTED_VALUE"""),5034)</f>
        <v>5034</v>
      </c>
      <c r="C266" s="2">
        <f ca="1">IFERROR(__xludf.DUMMYFUNCTION("""COMPUTED_VALUE"""),6010)</f>
        <v>6010</v>
      </c>
      <c r="D266" s="2">
        <f ca="1">IFERROR(__xludf.DUMMYFUNCTION("""COMPUTED_VALUE"""),5034)</f>
        <v>5034</v>
      </c>
      <c r="E266" s="2">
        <f ca="1">IFERROR(__xludf.DUMMYFUNCTION("""COMPUTED_VALUE"""),976)</f>
        <v>976</v>
      </c>
    </row>
    <row r="267" spans="1:5" ht="12.75">
      <c r="A267" s="2" t="str">
        <f ca="1">IFERROR(__xludf.DUMMYFUNCTION("""COMPUTED_VALUE"""),"HKCOD22")</f>
        <v>HKCOD22</v>
      </c>
      <c r="B267" s="2">
        <f ca="1">IFERROR(__xludf.DUMMYFUNCTION("""COMPUTED_VALUE"""),3625)</f>
        <v>3625</v>
      </c>
      <c r="C267" s="2">
        <f ca="1">IFERROR(__xludf.DUMMYFUNCTION("""COMPUTED_VALUE"""),4547)</f>
        <v>4547</v>
      </c>
      <c r="D267" s="2">
        <f ca="1">IFERROR(__xludf.DUMMYFUNCTION("""COMPUTED_VALUE"""),3625)</f>
        <v>3625</v>
      </c>
      <c r="E267" s="2">
        <f ca="1">IFERROR(__xludf.DUMMYFUNCTION("""COMPUTED_VALUE"""),922)</f>
        <v>922</v>
      </c>
    </row>
    <row r="268" spans="1:5" ht="12.75">
      <c r="A268" s="2" t="str">
        <f ca="1">IFERROR(__xludf.DUMMYFUNCTION("""COMPUTED_VALUE"""),"HKCOD25")</f>
        <v>HKCOD25</v>
      </c>
      <c r="B268" s="2">
        <f ca="1">IFERROR(__xludf.DUMMYFUNCTION("""COMPUTED_VALUE"""),6395)</f>
        <v>6395</v>
      </c>
      <c r="C268" s="2">
        <f ca="1">IFERROR(__xludf.DUMMYFUNCTION("""COMPUTED_VALUE"""),7200)</f>
        <v>7200</v>
      </c>
      <c r="D268" s="2">
        <f ca="1">IFERROR(__xludf.DUMMYFUNCTION("""COMPUTED_VALUE"""),6395)</f>
        <v>6395</v>
      </c>
      <c r="E268" s="2">
        <f ca="1">IFERROR(__xludf.DUMMYFUNCTION("""COMPUTED_VALUE"""),805)</f>
        <v>805</v>
      </c>
    </row>
    <row r="269" spans="1:5" ht="12.75">
      <c r="A269" s="2" t="str">
        <f ca="1">IFERROR(__xludf.DUMMYFUNCTION("""COMPUTED_VALUE"""),"HKCOD28")</f>
        <v>HKCOD28</v>
      </c>
      <c r="B269" s="2">
        <f ca="1">IFERROR(__xludf.DUMMYFUNCTION("""COMPUTED_VALUE"""),3655)</f>
        <v>3655</v>
      </c>
      <c r="C269" s="2">
        <f ca="1">IFERROR(__xludf.DUMMYFUNCTION("""COMPUTED_VALUE"""),4253)</f>
        <v>4253</v>
      </c>
      <c r="D269" s="2">
        <f ca="1">IFERROR(__xludf.DUMMYFUNCTION("""COMPUTED_VALUE"""),3655)</f>
        <v>3655</v>
      </c>
      <c r="E269" s="2">
        <f ca="1">IFERROR(__xludf.DUMMYFUNCTION("""COMPUTED_VALUE"""),598)</f>
        <v>598</v>
      </c>
    </row>
    <row r="270" spans="1:5" ht="12.75">
      <c r="A270" s="2" t="str">
        <f ca="1">IFERROR(__xludf.DUMMYFUNCTION("""COMPUTED_VALUE"""),"HKCOD32")</f>
        <v>HKCOD32</v>
      </c>
      <c r="B270" s="2">
        <f ca="1">IFERROR(__xludf.DUMMYFUNCTION("""COMPUTED_VALUE"""),1164)</f>
        <v>1164</v>
      </c>
      <c r="C270" s="2">
        <f ca="1">IFERROR(__xludf.DUMMYFUNCTION("""COMPUTED_VALUE"""),1821)</f>
        <v>1821</v>
      </c>
      <c r="D270" s="2">
        <f ca="1">IFERROR(__xludf.DUMMYFUNCTION("""COMPUTED_VALUE"""),1164)</f>
        <v>1164</v>
      </c>
      <c r="E270" s="2">
        <f ca="1">IFERROR(__xludf.DUMMYFUNCTION("""COMPUTED_VALUE"""),657)</f>
        <v>657</v>
      </c>
    </row>
    <row r="271" spans="1:5" ht="12.75">
      <c r="A271" s="2" t="str">
        <f ca="1">IFERROR(__xludf.DUMMYFUNCTION("""COMPUTED_VALUE"""),"HKCOD35")</f>
        <v>HKCOD35</v>
      </c>
      <c r="B271" s="2">
        <f ca="1">IFERROR(__xludf.DUMMYFUNCTION("""COMPUTED_VALUE"""),7816)</f>
        <v>7816</v>
      </c>
      <c r="C271" s="2">
        <f ca="1">IFERROR(__xludf.DUMMYFUNCTION("""COMPUTED_VALUE"""),14569)</f>
        <v>14569</v>
      </c>
      <c r="D271" s="2">
        <f ca="1">IFERROR(__xludf.DUMMYFUNCTION("""COMPUTED_VALUE"""),7816)</f>
        <v>7816</v>
      </c>
      <c r="E271" s="2">
        <f ca="1">IFERROR(__xludf.DUMMYFUNCTION("""COMPUTED_VALUE"""),6753)</f>
        <v>6753</v>
      </c>
    </row>
    <row r="272" spans="1:5" ht="12.75">
      <c r="A272" s="2" t="str">
        <f ca="1">IFERROR(__xludf.DUMMYFUNCTION("""COMPUTED_VALUE"""),"HKCOD38")</f>
        <v>HKCOD38</v>
      </c>
      <c r="B272" s="2">
        <f ca="1">IFERROR(__xludf.DUMMYFUNCTION("""COMPUTED_VALUE"""),1566)</f>
        <v>1566</v>
      </c>
      <c r="C272" s="2">
        <f ca="1">IFERROR(__xludf.DUMMYFUNCTION("""COMPUTED_VALUE"""),1740)</f>
        <v>1740</v>
      </c>
      <c r="D272" s="2">
        <f ca="1">IFERROR(__xludf.DUMMYFUNCTION("""COMPUTED_VALUE"""),1566)</f>
        <v>1566</v>
      </c>
      <c r="E272" s="2">
        <f ca="1">IFERROR(__xludf.DUMMYFUNCTION("""COMPUTED_VALUE"""),174)</f>
        <v>174</v>
      </c>
    </row>
    <row r="273" spans="1:5" ht="12.75">
      <c r="A273" s="2" t="str">
        <f ca="1">IFERROR(__xludf.DUMMYFUNCTION("""COMPUTED_VALUE"""),"HKCOD42")</f>
        <v>HKCOD42</v>
      </c>
      <c r="B273" s="2">
        <f ca="1">IFERROR(__xludf.DUMMYFUNCTION("""COMPUTED_VALUE"""),9991)</f>
        <v>9991</v>
      </c>
      <c r="C273" s="2">
        <f ca="1">IFERROR(__xludf.DUMMYFUNCTION("""COMPUTED_VALUE"""),12393)</f>
        <v>12393</v>
      </c>
      <c r="D273" s="2">
        <f ca="1">IFERROR(__xludf.DUMMYFUNCTION("""COMPUTED_VALUE"""),9991)</f>
        <v>9991</v>
      </c>
      <c r="E273" s="2">
        <f ca="1">IFERROR(__xludf.DUMMYFUNCTION("""COMPUTED_VALUE"""),2402)</f>
        <v>2402</v>
      </c>
    </row>
    <row r="274" spans="1:5" ht="12.75">
      <c r="A274" s="2" t="str">
        <f ca="1">IFERROR(__xludf.DUMMYFUNCTION("""COMPUTED_VALUE"""),"HKCOD45")</f>
        <v>HKCOD45</v>
      </c>
      <c r="B274" s="2">
        <f ca="1">IFERROR(__xludf.DUMMYFUNCTION("""COMPUTED_VALUE"""),1438)</f>
        <v>1438</v>
      </c>
      <c r="C274" s="2">
        <f ca="1">IFERROR(__xludf.DUMMYFUNCTION("""COMPUTED_VALUE"""),1597)</f>
        <v>1597</v>
      </c>
      <c r="D274" s="2">
        <f ca="1">IFERROR(__xludf.DUMMYFUNCTION("""COMPUTED_VALUE"""),1438)</f>
        <v>1438</v>
      </c>
      <c r="E274" s="2">
        <f ca="1">IFERROR(__xludf.DUMMYFUNCTION("""COMPUTED_VALUE"""),159)</f>
        <v>159</v>
      </c>
    </row>
    <row r="275" spans="1:5" ht="12.75">
      <c r="A275" s="2" t="str">
        <f ca="1">IFERROR(__xludf.DUMMYFUNCTION("""COMPUTED_VALUE"""),"HKCOD54")</f>
        <v>HKCOD54</v>
      </c>
      <c r="B275" s="2">
        <f ca="1">IFERROR(__xludf.DUMMYFUNCTION("""COMPUTED_VALUE"""),252)</f>
        <v>252</v>
      </c>
      <c r="C275" s="2">
        <f ca="1">IFERROR(__xludf.DUMMYFUNCTION("""COMPUTED_VALUE"""),316)</f>
        <v>316</v>
      </c>
      <c r="D275" s="2">
        <f ca="1">IFERROR(__xludf.DUMMYFUNCTION("""COMPUTED_VALUE"""),252)</f>
        <v>252</v>
      </c>
      <c r="E275" s="2">
        <f ca="1">IFERROR(__xludf.DUMMYFUNCTION("""COMPUTED_VALUE"""),64)</f>
        <v>64</v>
      </c>
    </row>
    <row r="276" spans="1:5" ht="12.75">
      <c r="A276" s="2" t="str">
        <f ca="1">IFERROR(__xludf.DUMMYFUNCTION("""COMPUTED_VALUE"""),"HKCOD6")</f>
        <v>HKCOD6</v>
      </c>
      <c r="B276" s="2">
        <f ca="1">IFERROR(__xludf.DUMMYFUNCTION("""COMPUTED_VALUE"""),3184)</f>
        <v>3184</v>
      </c>
      <c r="C276" s="2">
        <f ca="1">IFERROR(__xludf.DUMMYFUNCTION("""COMPUTED_VALUE"""),3581)</f>
        <v>3581</v>
      </c>
      <c r="D276" s="2">
        <f ca="1">IFERROR(__xludf.DUMMYFUNCTION("""COMPUTED_VALUE"""),3184)</f>
        <v>3184</v>
      </c>
      <c r="E276" s="2">
        <f ca="1">IFERROR(__xludf.DUMMYFUNCTION("""COMPUTED_VALUE"""),397)</f>
        <v>397</v>
      </c>
    </row>
    <row r="277" spans="1:5" ht="12.75">
      <c r="A277" s="2" t="str">
        <f ca="1">IFERROR(__xludf.DUMMYFUNCTION("""COMPUTED_VALUE"""),"HKCOD67")</f>
        <v>HKCOD67</v>
      </c>
      <c r="B277" s="2">
        <f ca="1">IFERROR(__xludf.DUMMYFUNCTION("""COMPUTED_VALUE"""),669)</f>
        <v>669</v>
      </c>
      <c r="C277" s="2">
        <f ca="1">IFERROR(__xludf.DUMMYFUNCTION("""COMPUTED_VALUE"""),717)</f>
        <v>717</v>
      </c>
      <c r="D277" s="2">
        <f ca="1">IFERROR(__xludf.DUMMYFUNCTION("""COMPUTED_VALUE"""),669)</f>
        <v>669</v>
      </c>
      <c r="E277" s="2">
        <f ca="1">IFERROR(__xludf.DUMMYFUNCTION("""COMPUTED_VALUE"""),48)</f>
        <v>48</v>
      </c>
    </row>
    <row r="278" spans="1:5" ht="12.75">
      <c r="A278" s="2" t="str">
        <f ca="1">IFERROR(__xludf.DUMMYFUNCTION("""COMPUTED_VALUE"""),"HKCOD76")</f>
        <v>HKCOD76</v>
      </c>
      <c r="B278" s="2">
        <f ca="1">IFERROR(__xludf.DUMMYFUNCTION("""COMPUTED_VALUE"""),759)</f>
        <v>759</v>
      </c>
      <c r="C278" s="2">
        <f ca="1">IFERROR(__xludf.DUMMYFUNCTION("""COMPUTED_VALUE"""),759)</f>
        <v>759</v>
      </c>
      <c r="D278" s="2">
        <f ca="1">IFERROR(__xludf.DUMMYFUNCTION("""COMPUTED_VALUE"""),759)</f>
        <v>759</v>
      </c>
      <c r="E278" s="2">
        <f ca="1">IFERROR(__xludf.DUMMYFUNCTION("""COMPUTED_VALUE"""),0)</f>
        <v>0</v>
      </c>
    </row>
    <row r="279" spans="1:5" ht="12.75">
      <c r="A279" s="2" t="str">
        <f ca="1">IFERROR(__xludf.DUMMYFUNCTION("""COMPUTED_VALUE"""),"HKCON")</f>
        <v>HKCON</v>
      </c>
      <c r="B279" s="2">
        <f ca="1">IFERROR(__xludf.DUMMYFUNCTION("""COMPUTED_VALUE"""),17)</f>
        <v>17</v>
      </c>
      <c r="C279" s="2">
        <f ca="1">IFERROR(__xludf.DUMMYFUNCTION("""COMPUTED_VALUE"""),17)</f>
        <v>17</v>
      </c>
      <c r="D279" s="2">
        <f ca="1">IFERROR(__xludf.DUMMYFUNCTION("""COMPUTED_VALUE"""),17)</f>
        <v>17</v>
      </c>
      <c r="E279" s="2">
        <f ca="1">IFERROR(__xludf.DUMMYFUNCTION("""COMPUTED_VALUE"""),0)</f>
        <v>0</v>
      </c>
    </row>
    <row r="280" spans="1:5" ht="12.75">
      <c r="A280" s="2" t="str">
        <f ca="1">IFERROR(__xludf.DUMMYFUNCTION("""COMPUTED_VALUE"""),"HKCONDT")</f>
        <v>HKCONDT</v>
      </c>
      <c r="B280" s="2">
        <f ca="1">IFERROR(__xludf.DUMMYFUNCTION("""COMPUTED_VALUE"""),78)</f>
        <v>78</v>
      </c>
      <c r="C280" s="2">
        <f ca="1">IFERROR(__xludf.DUMMYFUNCTION("""COMPUTED_VALUE"""),78)</f>
        <v>78</v>
      </c>
      <c r="D280" s="2">
        <f ca="1">IFERROR(__xludf.DUMMYFUNCTION("""COMPUTED_VALUE"""),78)</f>
        <v>78</v>
      </c>
      <c r="E280" s="2">
        <f ca="1">IFERROR(__xludf.DUMMYFUNCTION("""COMPUTED_VALUE"""),0)</f>
        <v>0</v>
      </c>
    </row>
    <row r="281" spans="1:5" ht="12.75">
      <c r="A281" s="2" t="str">
        <f ca="1">IFERROR(__xludf.DUMMYFUNCTION("""COMPUTED_VALUE"""),"HKCQ60W")</f>
        <v>HKCQ60W</v>
      </c>
      <c r="B281" s="2">
        <f ca="1">IFERROR(__xludf.DUMMYFUNCTION("""COMPUTED_VALUE"""),8)</f>
        <v>8</v>
      </c>
      <c r="C281" s="2">
        <f ca="1">IFERROR(__xludf.DUMMYFUNCTION("""COMPUTED_VALUE"""),8)</f>
        <v>8</v>
      </c>
      <c r="D281" s="2">
        <f ca="1">IFERROR(__xludf.DUMMYFUNCTION("""COMPUTED_VALUE"""),8)</f>
        <v>8</v>
      </c>
      <c r="E281" s="2">
        <f ca="1">IFERROR(__xludf.DUMMYFUNCTION("""COMPUTED_VALUE"""),0)</f>
        <v>0</v>
      </c>
    </row>
    <row r="282" spans="1:5" ht="12.75">
      <c r="A282" s="2" t="str">
        <f ca="1">IFERROR(__xludf.DUMMYFUNCTION("""COMPUTED_VALUE"""),"HKCT48.5x9.5x48.5")</f>
        <v>HKCT48.5x9.5x48.5</v>
      </c>
      <c r="B282" s="2">
        <f ca="1">IFERROR(__xludf.DUMMYFUNCTION("""COMPUTED_VALUE"""),626)</f>
        <v>626</v>
      </c>
      <c r="C282" s="2">
        <f ca="1">IFERROR(__xludf.DUMMYFUNCTION("""COMPUTED_VALUE"""),626)</f>
        <v>626</v>
      </c>
      <c r="D282" s="2">
        <f ca="1">IFERROR(__xludf.DUMMYFUNCTION("""COMPUTED_VALUE"""),626)</f>
        <v>626</v>
      </c>
      <c r="E282" s="2">
        <f ca="1">IFERROR(__xludf.DUMMYFUNCTION("""COMPUTED_VALUE"""),0)</f>
        <v>0</v>
      </c>
    </row>
    <row r="283" spans="1:5" ht="12.75">
      <c r="A283" s="2" t="str">
        <f ca="1">IFERROR(__xludf.DUMMYFUNCTION("""COMPUTED_VALUE"""),"HKCT54.5x9.5x54.5")</f>
        <v>HKCT54.5x9.5x54.5</v>
      </c>
      <c r="B283" s="2">
        <f ca="1">IFERROR(__xludf.DUMMYFUNCTION("""COMPUTED_VALUE"""),547)</f>
        <v>547</v>
      </c>
      <c r="C283" s="2">
        <f ca="1">IFERROR(__xludf.DUMMYFUNCTION("""COMPUTED_VALUE"""),547)</f>
        <v>547</v>
      </c>
      <c r="D283" s="2">
        <f ca="1">IFERROR(__xludf.DUMMYFUNCTION("""COMPUTED_VALUE"""),547)</f>
        <v>547</v>
      </c>
      <c r="E283" s="2">
        <f ca="1">IFERROR(__xludf.DUMMYFUNCTION("""COMPUTED_VALUE"""),0)</f>
        <v>0</v>
      </c>
    </row>
    <row r="284" spans="1:5" ht="12.75">
      <c r="A284" s="2" t="str">
        <f ca="1">IFERROR(__xludf.DUMMYFUNCTION("""COMPUTED_VALUE"""),"HKCT63x7.5x63.5")</f>
        <v>HKCT63x7.5x63.5</v>
      </c>
      <c r="B284" s="2">
        <f ca="1">IFERROR(__xludf.DUMMYFUNCTION("""COMPUTED_VALUE"""),251)</f>
        <v>251</v>
      </c>
      <c r="C284" s="2">
        <f ca="1">IFERROR(__xludf.DUMMYFUNCTION("""COMPUTED_VALUE"""),251)</f>
        <v>251</v>
      </c>
      <c r="D284" s="2">
        <f ca="1">IFERROR(__xludf.DUMMYFUNCTION("""COMPUTED_VALUE"""),251)</f>
        <v>251</v>
      </c>
      <c r="E284" s="2">
        <f ca="1">IFERROR(__xludf.DUMMYFUNCTION("""COMPUTED_VALUE"""),0)</f>
        <v>0</v>
      </c>
    </row>
    <row r="285" spans="1:5" ht="12.75">
      <c r="A285" s="2" t="str">
        <f ca="1">IFERROR(__xludf.DUMMYFUNCTION("""COMPUTED_VALUE"""),"HKCT69x7.5x69.5")</f>
        <v>HKCT69x7.5x69.5</v>
      </c>
      <c r="B285" s="2">
        <f ca="1">IFERROR(__xludf.DUMMYFUNCTION("""COMPUTED_VALUE"""),243)</f>
        <v>243</v>
      </c>
      <c r="C285" s="2">
        <f ca="1">IFERROR(__xludf.DUMMYFUNCTION("""COMPUTED_VALUE"""),243)</f>
        <v>243</v>
      </c>
      <c r="D285" s="2">
        <f ca="1">IFERROR(__xludf.DUMMYFUNCTION("""COMPUTED_VALUE"""),243)</f>
        <v>243</v>
      </c>
      <c r="E285" s="2">
        <f ca="1">IFERROR(__xludf.DUMMYFUNCTION("""COMPUTED_VALUE"""),0)</f>
        <v>0</v>
      </c>
    </row>
    <row r="286" spans="1:5" ht="12.75">
      <c r="A286" s="2" t="str">
        <f ca="1">IFERROR(__xludf.DUMMYFUNCTION("""COMPUTED_VALUE"""),"HKCT78x9x78")</f>
        <v>HKCT78x9x78</v>
      </c>
      <c r="B286" s="2">
        <f ca="1">IFERROR(__xludf.DUMMYFUNCTION("""COMPUTED_VALUE"""),95)</f>
        <v>95</v>
      </c>
      <c r="C286" s="2">
        <f ca="1">IFERROR(__xludf.DUMMYFUNCTION("""COMPUTED_VALUE"""),95)</f>
        <v>95</v>
      </c>
      <c r="D286" s="2">
        <f ca="1">IFERROR(__xludf.DUMMYFUNCTION("""COMPUTED_VALUE"""),95)</f>
        <v>95</v>
      </c>
      <c r="E286" s="2">
        <f ca="1">IFERROR(__xludf.DUMMYFUNCTION("""COMPUTED_VALUE"""),0)</f>
        <v>0</v>
      </c>
    </row>
    <row r="287" spans="1:5" ht="12.75">
      <c r="A287" s="2" t="str">
        <f ca="1">IFERROR(__xludf.DUMMYFUNCTION("""COMPUTED_VALUE"""),"HKCU16D")</f>
        <v>HKCU16D</v>
      </c>
      <c r="B287" s="2">
        <f ca="1">IFERROR(__xludf.DUMMYFUNCTION("""COMPUTED_VALUE"""),1057)</f>
        <v>1057</v>
      </c>
      <c r="C287" s="2">
        <f ca="1">IFERROR(__xludf.DUMMYFUNCTION("""COMPUTED_VALUE"""),1057)</f>
        <v>1057</v>
      </c>
      <c r="D287" s="2">
        <f ca="1">IFERROR(__xludf.DUMMYFUNCTION("""COMPUTED_VALUE"""),1057)</f>
        <v>1057</v>
      </c>
      <c r="E287" s="2">
        <f ca="1">IFERROR(__xludf.DUMMYFUNCTION("""COMPUTED_VALUE"""),0)</f>
        <v>0</v>
      </c>
    </row>
    <row r="288" spans="1:5" ht="12.75">
      <c r="A288" s="2" t="str">
        <f ca="1">IFERROR(__xludf.DUMMYFUNCTION("""COMPUTED_VALUE"""),"HKD50")</f>
        <v>HKD50</v>
      </c>
      <c r="B288" s="2">
        <f ca="1">IFERROR(__xludf.DUMMYFUNCTION("""COMPUTED_VALUE"""),12)</f>
        <v>12</v>
      </c>
      <c r="C288" s="2">
        <f ca="1">IFERROR(__xludf.DUMMYFUNCTION("""COMPUTED_VALUE"""),16)</f>
        <v>16</v>
      </c>
      <c r="D288" s="2">
        <f ca="1">IFERROR(__xludf.DUMMYFUNCTION("""COMPUTED_VALUE"""),12)</f>
        <v>12</v>
      </c>
      <c r="E288" s="2">
        <f ca="1">IFERROR(__xludf.DUMMYFUNCTION("""COMPUTED_VALUE"""),4)</f>
        <v>4</v>
      </c>
    </row>
    <row r="289" spans="1:5" ht="12.75">
      <c r="A289" s="2" t="str">
        <f ca="1">IFERROR(__xludf.DUMMYFUNCTION("""COMPUTED_VALUE"""),"HKD70")</f>
        <v>HKD70</v>
      </c>
      <c r="B289" s="2">
        <f ca="1">IFERROR(__xludf.DUMMYFUNCTION("""COMPUTED_VALUE"""),112)</f>
        <v>112</v>
      </c>
      <c r="C289" s="2">
        <f ca="1">IFERROR(__xludf.DUMMYFUNCTION("""COMPUTED_VALUE"""),112)</f>
        <v>112</v>
      </c>
      <c r="D289" s="2">
        <f ca="1">IFERROR(__xludf.DUMMYFUNCTION("""COMPUTED_VALUE"""),112)</f>
        <v>112</v>
      </c>
      <c r="E289" s="2">
        <f ca="1">IFERROR(__xludf.DUMMYFUNCTION("""COMPUTED_VALUE"""),0)</f>
        <v>0</v>
      </c>
    </row>
    <row r="290" spans="1:5" ht="12.75">
      <c r="A290" s="2" t="str">
        <f ca="1">IFERROR(__xludf.DUMMYFUNCTION("""COMPUTED_VALUE"""),"HKDCT")</f>
        <v>HKDCT</v>
      </c>
      <c r="B290" s="2">
        <f ca="1">IFERROR(__xludf.DUMMYFUNCTION("""COMPUTED_VALUE"""),2)</f>
        <v>2</v>
      </c>
      <c r="C290" s="2">
        <f ca="1">IFERROR(__xludf.DUMMYFUNCTION("""COMPUTED_VALUE"""),2)</f>
        <v>2</v>
      </c>
      <c r="D290" s="2">
        <f ca="1">IFERROR(__xludf.DUMMYFUNCTION("""COMPUTED_VALUE"""),2)</f>
        <v>2</v>
      </c>
      <c r="E290" s="2">
        <f ca="1">IFERROR(__xludf.DUMMYFUNCTION("""COMPUTED_VALUE"""),0)</f>
        <v>0</v>
      </c>
    </row>
    <row r="291" spans="1:5" ht="12.75">
      <c r="A291" s="2" t="str">
        <f ca="1">IFERROR(__xludf.DUMMYFUNCTION("""COMPUTED_VALUE"""),"HKDD1X25TP")</f>
        <v>HKDD1X25TP</v>
      </c>
      <c r="B291" s="2">
        <f ca="1">IFERROR(__xludf.DUMMYFUNCTION("""COMPUTED_VALUE"""),200)</f>
        <v>200</v>
      </c>
      <c r="C291" s="2">
        <f ca="1">IFERROR(__xludf.DUMMYFUNCTION("""COMPUTED_VALUE"""),200)</f>
        <v>200</v>
      </c>
      <c r="D291" s="2">
        <f ca="1">IFERROR(__xludf.DUMMYFUNCTION("""COMPUTED_VALUE"""),200)</f>
        <v>200</v>
      </c>
      <c r="E291" s="2">
        <f ca="1">IFERROR(__xludf.DUMMYFUNCTION("""COMPUTED_VALUE"""),0)</f>
        <v>0</v>
      </c>
    </row>
    <row r="292" spans="1:5" ht="12.75">
      <c r="A292" s="2" t="str">
        <f ca="1">IFERROR(__xludf.DUMMYFUNCTION("""COMPUTED_VALUE"""),"HKDD2x4TP")</f>
        <v>HKDD2x4TP</v>
      </c>
      <c r="B292" s="2">
        <f ca="1">IFERROR(__xludf.DUMMYFUNCTION("""COMPUTED_VALUE"""),100)</f>
        <v>100</v>
      </c>
      <c r="C292" s="2">
        <f ca="1">IFERROR(__xludf.DUMMYFUNCTION("""COMPUTED_VALUE"""),100)</f>
        <v>100</v>
      </c>
      <c r="D292" s="2">
        <f ca="1">IFERROR(__xludf.DUMMYFUNCTION("""COMPUTED_VALUE"""),100)</f>
        <v>100</v>
      </c>
      <c r="E292" s="2">
        <f ca="1">IFERROR(__xludf.DUMMYFUNCTION("""COMPUTED_VALUE"""),0)</f>
        <v>0</v>
      </c>
    </row>
    <row r="293" spans="1:5" ht="12.75">
      <c r="A293" s="2" t="str">
        <f ca="1">IFERROR(__xludf.DUMMYFUNCTION("""COMPUTED_VALUE"""),"HKDGHS")</f>
        <v>HKDGHS</v>
      </c>
      <c r="B293" s="2">
        <f ca="1">IFERROR(__xludf.DUMMYFUNCTION("""COMPUTED_VALUE"""),0.5)</f>
        <v>0.5</v>
      </c>
      <c r="C293" s="2">
        <f ca="1">IFERROR(__xludf.DUMMYFUNCTION("""COMPUTED_VALUE"""),0.5)</f>
        <v>0.5</v>
      </c>
      <c r="D293" s="2">
        <f ca="1">IFERROR(__xludf.DUMMYFUNCTION("""COMPUTED_VALUE"""),0.5)</f>
        <v>0.5</v>
      </c>
      <c r="E293" s="2">
        <f ca="1">IFERROR(__xludf.DUMMYFUNCTION("""COMPUTED_VALUE"""),0)</f>
        <v>0</v>
      </c>
    </row>
    <row r="294" spans="1:5" ht="12.75">
      <c r="A294" s="2" t="str">
        <f ca="1">IFERROR(__xludf.DUMMYFUNCTION("""COMPUTED_VALUE"""),"HKDHXLR")</f>
        <v>HKDHXLR</v>
      </c>
      <c r="B294" s="2">
        <f ca="1">IFERROR(__xludf.DUMMYFUNCTION("""COMPUTED_VALUE"""),4)</f>
        <v>4</v>
      </c>
      <c r="C294" s="2">
        <f ca="1">IFERROR(__xludf.DUMMYFUNCTION("""COMPUTED_VALUE"""),4)</f>
        <v>4</v>
      </c>
      <c r="D294" s="2">
        <f ca="1">IFERROR(__xludf.DUMMYFUNCTION("""COMPUTED_VALUE"""),4)</f>
        <v>4</v>
      </c>
      <c r="E294" s="2">
        <f ca="1">IFERROR(__xludf.DUMMYFUNCTION("""COMPUTED_VALUE"""),0)</f>
        <v>0</v>
      </c>
    </row>
    <row r="295" spans="1:5" ht="12.75">
      <c r="A295" s="2" t="str">
        <f ca="1">IFERROR(__xludf.DUMMYFUNCTION("""COMPUTED_VALUE"""),"HKGBML12510")</f>
        <v>HKGBML12510</v>
      </c>
      <c r="B295" s="2">
        <f ca="1">IFERROR(__xludf.DUMMYFUNCTION("""COMPUTED_VALUE"""),35)</f>
        <v>35</v>
      </c>
      <c r="C295" s="2">
        <f ca="1">IFERROR(__xludf.DUMMYFUNCTION("""COMPUTED_VALUE"""),35)</f>
        <v>35</v>
      </c>
      <c r="D295" s="2">
        <f ca="1">IFERROR(__xludf.DUMMYFUNCTION("""COMPUTED_VALUE"""),35)</f>
        <v>35</v>
      </c>
      <c r="E295" s="2">
        <f ca="1">IFERROR(__xludf.DUMMYFUNCTION("""COMPUTED_VALUE"""),0)</f>
        <v>0</v>
      </c>
    </row>
    <row r="296" spans="1:5" ht="12.75">
      <c r="A296" s="2" t="str">
        <f ca="1">IFERROR(__xludf.DUMMYFUNCTION("""COMPUTED_VALUE"""),"HKGĐN")</f>
        <v>HKGĐN</v>
      </c>
      <c r="B296" s="2">
        <f ca="1">IFERROR(__xludf.DUMMYFUNCTION("""COMPUTED_VALUE"""),1078)</f>
        <v>1078</v>
      </c>
      <c r="C296" s="2">
        <f ca="1">IFERROR(__xludf.DUMMYFUNCTION("""COMPUTED_VALUE"""),1078)</f>
        <v>1078</v>
      </c>
      <c r="D296" s="2">
        <f ca="1">IFERROR(__xludf.DUMMYFUNCTION("""COMPUTED_VALUE"""),1078)</f>
        <v>1078</v>
      </c>
      <c r="E296" s="2">
        <f ca="1">IFERROR(__xludf.DUMMYFUNCTION("""COMPUTED_VALUE"""),0)</f>
        <v>0</v>
      </c>
    </row>
    <row r="297" spans="1:5" ht="12.75">
      <c r="A297" s="2" t="str">
        <f ca="1">IFERROR(__xludf.DUMMYFUNCTION("""COMPUTED_VALUE"""),"HKGĐNG")</f>
        <v>HKGĐNG</v>
      </c>
      <c r="B297" s="2">
        <f ca="1">IFERROR(__xludf.DUMMYFUNCTION("""COMPUTED_VALUE"""),1)</f>
        <v>1</v>
      </c>
      <c r="C297" s="2">
        <f ca="1">IFERROR(__xludf.DUMMYFUNCTION("""COMPUTED_VALUE"""),1)</f>
        <v>1</v>
      </c>
      <c r="D297" s="2">
        <f ca="1">IFERROR(__xludf.DUMMYFUNCTION("""COMPUTED_VALUE"""),1)</f>
        <v>1</v>
      </c>
      <c r="E297" s="2">
        <f ca="1">IFERROR(__xludf.DUMMYFUNCTION("""COMPUTED_VALUE"""),0)</f>
        <v>0</v>
      </c>
    </row>
    <row r="298" spans="1:5" ht="12.75">
      <c r="A298" s="2" t="str">
        <f ca="1">IFERROR(__xludf.DUMMYFUNCTION("""COMPUTED_VALUE"""),"HKGĐNGTO")</f>
        <v>HKGĐNGTO</v>
      </c>
      <c r="B298" s="2">
        <f ca="1">IFERROR(__xludf.DUMMYFUNCTION("""COMPUTED_VALUE"""),3)</f>
        <v>3</v>
      </c>
      <c r="C298" s="2">
        <f ca="1">IFERROR(__xludf.DUMMYFUNCTION("""COMPUTED_VALUE"""),3)</f>
        <v>3</v>
      </c>
      <c r="D298" s="2">
        <f ca="1">IFERROR(__xludf.DUMMYFUNCTION("""COMPUTED_VALUE"""),3)</f>
        <v>3</v>
      </c>
      <c r="E298" s="2">
        <f ca="1">IFERROR(__xludf.DUMMYFUNCTION("""COMPUTED_VALUE"""),0)</f>
        <v>0</v>
      </c>
    </row>
    <row r="299" spans="1:5" ht="12.75">
      <c r="A299" s="2" t="str">
        <f ca="1">IFERROR(__xludf.DUMMYFUNCTION("""COMPUTED_VALUE"""),"HKGĐNTHEPV")</f>
        <v>HKGĐNTHEPV</v>
      </c>
      <c r="B299" s="2">
        <f ca="1">IFERROR(__xludf.DUMMYFUNCTION("""COMPUTED_VALUE"""),134)</f>
        <v>134</v>
      </c>
      <c r="C299" s="2">
        <f ca="1">IFERROR(__xludf.DUMMYFUNCTION("""COMPUTED_VALUE"""),134)</f>
        <v>134</v>
      </c>
      <c r="D299" s="2">
        <f ca="1">IFERROR(__xludf.DUMMYFUNCTION("""COMPUTED_VALUE"""),134)</f>
        <v>134</v>
      </c>
      <c r="E299" s="2">
        <f ca="1">IFERROR(__xludf.DUMMYFUNCTION("""COMPUTED_VALUE"""),0)</f>
        <v>0</v>
      </c>
    </row>
    <row r="300" spans="1:5" ht="12.75">
      <c r="A300" s="2" t="str">
        <f ca="1">IFERROR(__xludf.DUMMYFUNCTION("""COMPUTED_VALUE"""),"HKGĐT")</f>
        <v>HKGĐT</v>
      </c>
      <c r="B300" s="2">
        <f ca="1">IFERROR(__xludf.DUMMYFUNCTION("""COMPUTED_VALUE"""),1144)</f>
        <v>1144</v>
      </c>
      <c r="C300" s="2">
        <f ca="1">IFERROR(__xludf.DUMMYFUNCTION("""COMPUTED_VALUE"""),1144)</f>
        <v>1144</v>
      </c>
      <c r="D300" s="2">
        <f ca="1">IFERROR(__xludf.DUMMYFUNCTION("""COMPUTED_VALUE"""),1144)</f>
        <v>1144</v>
      </c>
      <c r="E300" s="2">
        <f ca="1">IFERROR(__xludf.DUMMYFUNCTION("""COMPUTED_VALUE"""),0)</f>
        <v>0</v>
      </c>
    </row>
    <row r="301" spans="1:5" ht="12.75">
      <c r="A301" s="2" t="str">
        <f ca="1">IFERROR(__xludf.DUMMYFUNCTION("""COMPUTED_VALUE"""),"HKHMSCL0")</f>
        <v>HKHMSCL0</v>
      </c>
      <c r="B301" s="2">
        <f ca="1">IFERROR(__xludf.DUMMYFUNCTION("""COMPUTED_VALUE"""),27)</f>
        <v>27</v>
      </c>
      <c r="C301" s="2">
        <f ca="1">IFERROR(__xludf.DUMMYFUNCTION("""COMPUTED_VALUE"""),45)</f>
        <v>45</v>
      </c>
      <c r="D301" s="2">
        <f ca="1">IFERROR(__xludf.DUMMYFUNCTION("""COMPUTED_VALUE"""),37)</f>
        <v>37</v>
      </c>
      <c r="E301" s="2">
        <f ca="1">IFERROR(__xludf.DUMMYFUNCTION("""COMPUTED_VALUE"""),8)</f>
        <v>8</v>
      </c>
    </row>
    <row r="302" spans="1:5" ht="12.75">
      <c r="A302" s="2" t="str">
        <f ca="1">IFERROR(__xludf.DUMMYFUNCTION("""COMPUTED_VALUE"""),"HKKAPOLOA100")</f>
        <v>HKKAPOLOA100</v>
      </c>
      <c r="B302" s="2">
        <f ca="1">IFERROR(__xludf.DUMMYFUNCTION("""COMPUTED_VALUE"""),72)</f>
        <v>72</v>
      </c>
      <c r="C302" s="2">
        <f ca="1">IFERROR(__xludf.DUMMYFUNCTION("""COMPUTED_VALUE"""),72)</f>
        <v>72</v>
      </c>
      <c r="D302" s="2">
        <f ca="1">IFERROR(__xludf.DUMMYFUNCTION("""COMPUTED_VALUE"""),72)</f>
        <v>72</v>
      </c>
      <c r="E302" s="2">
        <f ca="1">IFERROR(__xludf.DUMMYFUNCTION("""COMPUTED_VALUE"""),0)</f>
        <v>0</v>
      </c>
    </row>
    <row r="303" spans="1:5" ht="12.75">
      <c r="A303" s="2" t="str">
        <f ca="1">IFERROR(__xludf.DUMMYFUNCTION("""COMPUTED_VALUE"""),"HKKAPOLOA500DUC")</f>
        <v>HKKAPOLOA500DUC</v>
      </c>
      <c r="B303" s="2">
        <f ca="1">IFERROR(__xludf.DUMMYFUNCTION("""COMPUTED_VALUE"""),162)</f>
        <v>162</v>
      </c>
      <c r="C303" s="2">
        <f ca="1">IFERROR(__xludf.DUMMYFUNCTION("""COMPUTED_VALUE"""),162)</f>
        <v>162</v>
      </c>
      <c r="D303" s="2">
        <f ca="1">IFERROR(__xludf.DUMMYFUNCTION("""COMPUTED_VALUE"""),162)</f>
        <v>162</v>
      </c>
      <c r="E303" s="2">
        <f ca="1">IFERROR(__xludf.DUMMYFUNCTION("""COMPUTED_VALUE"""),0)</f>
        <v>0</v>
      </c>
    </row>
    <row r="304" spans="1:5" ht="12.75">
      <c r="A304" s="2" t="str">
        <f ca="1">IFERROR(__xludf.DUMMYFUNCTION("""COMPUTED_VALUE"""),"HKKDOG15")</f>
        <v>HKKDOG15</v>
      </c>
      <c r="B304" s="2">
        <f ca="1">IFERROR(__xludf.DUMMYFUNCTION("""COMPUTED_VALUE"""),10)</f>
        <v>10</v>
      </c>
      <c r="C304" s="2">
        <f ca="1">IFERROR(__xludf.DUMMYFUNCTION("""COMPUTED_VALUE"""),10)</f>
        <v>10</v>
      </c>
      <c r="D304" s="2">
        <f ca="1">IFERROR(__xludf.DUMMYFUNCTION("""COMPUTED_VALUE"""),10)</f>
        <v>10</v>
      </c>
      <c r="E304" s="2">
        <f ca="1">IFERROR(__xludf.DUMMYFUNCTION("""COMPUTED_VALUE"""),0)</f>
        <v>0</v>
      </c>
    </row>
    <row r="305" spans="1:5" ht="12.75">
      <c r="A305" s="2" t="str">
        <f ca="1">IFERROR(__xludf.DUMMYFUNCTION("""COMPUTED_VALUE"""),"HKKDOG3")</f>
        <v>HKKDOG3</v>
      </c>
      <c r="B305" s="2">
        <f ca="1">IFERROR(__xludf.DUMMYFUNCTION("""COMPUTED_VALUE"""),51)</f>
        <v>51</v>
      </c>
      <c r="C305" s="2">
        <f ca="1">IFERROR(__xludf.DUMMYFUNCTION("""COMPUTED_VALUE"""),51)</f>
        <v>51</v>
      </c>
      <c r="D305" s="2">
        <f ca="1">IFERROR(__xludf.DUMMYFUNCTION("""COMPUTED_VALUE"""),51)</f>
        <v>51</v>
      </c>
      <c r="E305" s="2">
        <f ca="1">IFERROR(__xludf.DUMMYFUNCTION("""COMPUTED_VALUE"""),0)</f>
        <v>0</v>
      </c>
    </row>
    <row r="306" spans="1:5" ht="12.75">
      <c r="A306" s="2" t="str">
        <f ca="1">IFERROR(__xludf.DUMMYFUNCTION("""COMPUTED_VALUE"""),"HKKDS")</f>
        <v>HKKDS</v>
      </c>
      <c r="B306" s="2">
        <f ca="1">IFERROR(__xludf.DUMMYFUNCTION("""COMPUTED_VALUE"""),234)</f>
        <v>234</v>
      </c>
      <c r="C306" s="2">
        <f ca="1">IFERROR(__xludf.DUMMYFUNCTION("""COMPUTED_VALUE"""),486)</f>
        <v>486</v>
      </c>
      <c r="D306" s="2">
        <f ca="1">IFERROR(__xludf.DUMMYFUNCTION("""COMPUTED_VALUE"""),234)</f>
        <v>234</v>
      </c>
      <c r="E306" s="2">
        <f ca="1">IFERROR(__xludf.DUMMYFUNCTION("""COMPUTED_VALUE"""),252)</f>
        <v>252</v>
      </c>
    </row>
    <row r="307" spans="1:5" ht="12.75">
      <c r="A307" s="2" t="str">
        <f ca="1">IFERROR(__xludf.DUMMYFUNCTION("""COMPUTED_VALUE"""),"HKKHS15")</f>
        <v>HKKHS15</v>
      </c>
      <c r="B307" s="2">
        <f ca="1">IFERROR(__xludf.DUMMYFUNCTION("""COMPUTED_VALUE"""),7)</f>
        <v>7</v>
      </c>
      <c r="C307" s="2">
        <f ca="1">IFERROR(__xludf.DUMMYFUNCTION("""COMPUTED_VALUE"""),7)</f>
        <v>7</v>
      </c>
      <c r="D307" s="2">
        <f ca="1">IFERROR(__xludf.DUMMYFUNCTION("""COMPUTED_VALUE"""),7)</f>
        <v>7</v>
      </c>
      <c r="E307" s="2">
        <f ca="1">IFERROR(__xludf.DUMMYFUNCTION("""COMPUTED_VALUE"""),0)</f>
        <v>0</v>
      </c>
    </row>
    <row r="308" spans="1:5" ht="12.75">
      <c r="A308" s="2" t="str">
        <f ca="1">IFERROR(__xludf.DUMMYFUNCTION("""COMPUTED_VALUE"""),"HKKIM2TEX5")</f>
        <v>HKKIM2TEX5</v>
      </c>
      <c r="B308" s="2">
        <f ca="1">IFERROR(__xludf.DUMMYFUNCTION("""COMPUTED_VALUE"""),8)</f>
        <v>8</v>
      </c>
      <c r="C308" s="2">
        <f ca="1">IFERROR(__xludf.DUMMYFUNCTION("""COMPUTED_VALUE"""),8)</f>
        <v>8</v>
      </c>
      <c r="D308" s="2">
        <f ca="1">IFERROR(__xludf.DUMMYFUNCTION("""COMPUTED_VALUE"""),8)</f>
        <v>8</v>
      </c>
      <c r="E308" s="2">
        <f ca="1">IFERROR(__xludf.DUMMYFUNCTION("""COMPUTED_VALUE"""),0)</f>
        <v>0</v>
      </c>
    </row>
    <row r="309" spans="1:5" ht="12.75">
      <c r="A309" s="2" t="str">
        <f ca="1">IFERROR(__xludf.DUMMYFUNCTION("""COMPUTED_VALUE"""),"HKKSG1")</f>
        <v>HKKSG1</v>
      </c>
      <c r="B309" s="2">
        <f ca="1">IFERROR(__xludf.DUMMYFUNCTION("""COMPUTED_VALUE"""),180)</f>
        <v>180</v>
      </c>
      <c r="C309" s="2">
        <f ca="1">IFERROR(__xludf.DUMMYFUNCTION("""COMPUTED_VALUE"""),558)</f>
        <v>558</v>
      </c>
      <c r="D309" s="2">
        <f ca="1">IFERROR(__xludf.DUMMYFUNCTION("""COMPUTED_VALUE"""),180)</f>
        <v>180</v>
      </c>
      <c r="E309" s="2">
        <f ca="1">IFERROR(__xludf.DUMMYFUNCTION("""COMPUTED_VALUE"""),378)</f>
        <v>378</v>
      </c>
    </row>
    <row r="310" spans="1:5" ht="12.75">
      <c r="A310" s="2" t="str">
        <f ca="1">IFERROR(__xludf.DUMMYFUNCTION("""COMPUTED_VALUE"""),"HKKTY")</f>
        <v>HKKTY</v>
      </c>
      <c r="B310" s="2">
        <f ca="1">IFERROR(__xludf.DUMMYFUNCTION("""COMPUTED_VALUE"""),71)</f>
        <v>71</v>
      </c>
      <c r="C310" s="2">
        <f ca="1">IFERROR(__xludf.DUMMYFUNCTION("""COMPUTED_VALUE"""),97)</f>
        <v>97</v>
      </c>
      <c r="D310" s="2">
        <f ca="1">IFERROR(__xludf.DUMMYFUNCTION("""COMPUTED_VALUE"""),71)</f>
        <v>71</v>
      </c>
      <c r="E310" s="2">
        <f ca="1">IFERROR(__xludf.DUMMYFUNCTION("""COMPUTED_VALUE"""),26)</f>
        <v>26</v>
      </c>
    </row>
    <row r="311" spans="1:5" ht="12.75">
      <c r="A311" s="2" t="str">
        <f ca="1">IFERROR(__xludf.DUMMYFUNCTION("""COMPUTED_VALUE"""),"HKLBT")</f>
        <v>HKLBT</v>
      </c>
      <c r="B311" s="2">
        <f ca="1">IFERROR(__xludf.DUMMYFUNCTION("""COMPUTED_VALUE"""),209)</f>
        <v>209</v>
      </c>
      <c r="C311" s="2">
        <f ca="1">IFERROR(__xludf.DUMMYFUNCTION("""COMPUTED_VALUE"""),209)</f>
        <v>209</v>
      </c>
      <c r="D311" s="2">
        <f ca="1">IFERROR(__xludf.DUMMYFUNCTION("""COMPUTED_VALUE"""),209)</f>
        <v>209</v>
      </c>
      <c r="E311" s="2">
        <f ca="1">IFERROR(__xludf.DUMMYFUNCTION("""COMPUTED_VALUE"""),0)</f>
        <v>0</v>
      </c>
    </row>
    <row r="312" spans="1:5" ht="12.75">
      <c r="A312" s="2" t="str">
        <f ca="1">IFERROR(__xludf.DUMMYFUNCTION("""COMPUTED_VALUE"""),"HKLDL089559")</f>
        <v>HKLDL089559</v>
      </c>
      <c r="B312" s="2">
        <f ca="1">IFERROR(__xludf.DUMMYFUNCTION("""COMPUTED_VALUE"""),7)</f>
        <v>7</v>
      </c>
      <c r="C312" s="2">
        <f ca="1">IFERROR(__xludf.DUMMYFUNCTION("""COMPUTED_VALUE"""),7)</f>
        <v>7</v>
      </c>
      <c r="D312" s="2">
        <f ca="1">IFERROR(__xludf.DUMMYFUNCTION("""COMPUTED_VALUE"""),7)</f>
        <v>7</v>
      </c>
      <c r="E312" s="2">
        <f ca="1">IFERROR(__xludf.DUMMYFUNCTION("""COMPUTED_VALUE"""),0)</f>
        <v>0</v>
      </c>
    </row>
    <row r="313" spans="1:5" ht="12.75">
      <c r="A313" s="2" t="str">
        <f ca="1">IFERROR(__xludf.DUMMYFUNCTION("""COMPUTED_VALUE"""),"HKLTT")</f>
        <v>HKLTT</v>
      </c>
      <c r="B313" s="2">
        <f ca="1">IFERROR(__xludf.DUMMYFUNCTION("""COMPUTED_VALUE"""),402)</f>
        <v>402</v>
      </c>
      <c r="C313" s="2">
        <f ca="1">IFERROR(__xludf.DUMMYFUNCTION("""COMPUTED_VALUE"""),402)</f>
        <v>402</v>
      </c>
      <c r="D313" s="2">
        <f ca="1">IFERROR(__xludf.DUMMYFUNCTION("""COMPUTED_VALUE"""),402)</f>
        <v>402</v>
      </c>
      <c r="E313" s="2">
        <f ca="1">IFERROR(__xludf.DUMMYFUNCTION("""COMPUTED_VALUE"""),0)</f>
        <v>0</v>
      </c>
    </row>
    <row r="314" spans="1:5" ht="12.75">
      <c r="A314" s="2" t="str">
        <f ca="1">IFERROR(__xludf.DUMMYFUNCTION("""COMPUTED_VALUE"""),"HKMBG22TQ")</f>
        <v>HKMBG22TQ</v>
      </c>
      <c r="B314" s="2">
        <f ca="1">IFERROR(__xludf.DUMMYFUNCTION("""COMPUTED_VALUE"""),2)</f>
        <v>2</v>
      </c>
      <c r="C314" s="2">
        <f ca="1">IFERROR(__xludf.DUMMYFUNCTION("""COMPUTED_VALUE"""),2)</f>
        <v>2</v>
      </c>
      <c r="D314" s="2">
        <f ca="1">IFERROR(__xludf.DUMMYFUNCTION("""COMPUTED_VALUE"""),2)</f>
        <v>2</v>
      </c>
      <c r="E314" s="2">
        <f ca="1">IFERROR(__xludf.DUMMYFUNCTION("""COMPUTED_VALUE"""),0)</f>
        <v>0</v>
      </c>
    </row>
    <row r="315" spans="1:5" ht="12.75">
      <c r="A315" s="2" t="str">
        <f ca="1">IFERROR(__xludf.DUMMYFUNCTION("""COMPUTED_VALUE"""),"HKMBGD10")</f>
        <v>HKMBGD10</v>
      </c>
      <c r="B315" s="2">
        <f ca="1">IFERROR(__xludf.DUMMYFUNCTION("""COMPUTED_VALUE"""),17)</f>
        <v>17</v>
      </c>
      <c r="C315" s="2">
        <f ca="1">IFERROR(__xludf.DUMMYFUNCTION("""COMPUTED_VALUE"""),17)</f>
        <v>17</v>
      </c>
      <c r="D315" s="2">
        <f ca="1">IFERROR(__xludf.DUMMYFUNCTION("""COMPUTED_VALUE"""),17)</f>
        <v>17</v>
      </c>
      <c r="E315" s="2">
        <f ca="1">IFERROR(__xludf.DUMMYFUNCTION("""COMPUTED_VALUE"""),0)</f>
        <v>0</v>
      </c>
    </row>
    <row r="316" spans="1:5" ht="12.75">
      <c r="A316" s="2" t="str">
        <f ca="1">IFERROR(__xludf.DUMMYFUNCTION("""COMPUTED_VALUE"""),"HKMBGD12")</f>
        <v>HKMBGD12</v>
      </c>
      <c r="B316" s="2">
        <f ca="1">IFERROR(__xludf.DUMMYFUNCTION("""COMPUTED_VALUE"""),21)</f>
        <v>21</v>
      </c>
      <c r="C316" s="2">
        <f ca="1">IFERROR(__xludf.DUMMYFUNCTION("""COMPUTED_VALUE"""),21)</f>
        <v>21</v>
      </c>
      <c r="D316" s="2">
        <f ca="1">IFERROR(__xludf.DUMMYFUNCTION("""COMPUTED_VALUE"""),21)</f>
        <v>21</v>
      </c>
      <c r="E316" s="2">
        <f ca="1">IFERROR(__xludf.DUMMYFUNCTION("""COMPUTED_VALUE"""),0)</f>
        <v>0</v>
      </c>
    </row>
    <row r="317" spans="1:5" ht="12.75">
      <c r="A317" s="2" t="str">
        <f ca="1">IFERROR(__xludf.DUMMYFUNCTION("""COMPUTED_VALUE"""),"HKMBGD16")</f>
        <v>HKMBGD16</v>
      </c>
      <c r="B317" s="2">
        <f ca="1">IFERROR(__xludf.DUMMYFUNCTION("""COMPUTED_VALUE"""),1)</f>
        <v>1</v>
      </c>
      <c r="C317" s="2">
        <f ca="1">IFERROR(__xludf.DUMMYFUNCTION("""COMPUTED_VALUE"""),1)</f>
        <v>1</v>
      </c>
      <c r="D317" s="2">
        <f ca="1">IFERROR(__xludf.DUMMYFUNCTION("""COMPUTED_VALUE"""),1)</f>
        <v>1</v>
      </c>
      <c r="E317" s="2">
        <f ca="1">IFERROR(__xludf.DUMMYFUNCTION("""COMPUTED_VALUE"""),0)</f>
        <v>0</v>
      </c>
    </row>
    <row r="318" spans="1:5" ht="12.75">
      <c r="A318" s="2" t="str">
        <f ca="1">IFERROR(__xludf.DUMMYFUNCTION("""COMPUTED_VALUE"""),"HKMBGD19")</f>
        <v>HKMBGD19</v>
      </c>
      <c r="B318" s="2">
        <f ca="1">IFERROR(__xludf.DUMMYFUNCTION("""COMPUTED_VALUE"""),1)</f>
        <v>1</v>
      </c>
      <c r="C318" s="2">
        <f ca="1">IFERROR(__xludf.DUMMYFUNCTION("""COMPUTED_VALUE"""),1)</f>
        <v>1</v>
      </c>
      <c r="D318" s="2">
        <f ca="1">IFERROR(__xludf.DUMMYFUNCTION("""COMPUTED_VALUE"""),1)</f>
        <v>1</v>
      </c>
      <c r="E318" s="2">
        <f ca="1">IFERROR(__xludf.DUMMYFUNCTION("""COMPUTED_VALUE"""),0)</f>
        <v>0</v>
      </c>
    </row>
    <row r="319" spans="1:5" ht="12.75">
      <c r="A319" s="2" t="str">
        <f ca="1">IFERROR(__xludf.DUMMYFUNCTION("""COMPUTED_VALUE"""),"HKMBTUG392")</f>
        <v>HKMBTUG392</v>
      </c>
      <c r="B319" s="2">
        <f ca="1">IFERROR(__xludf.DUMMYFUNCTION("""COMPUTED_VALUE"""),155)</f>
        <v>155</v>
      </c>
      <c r="C319" s="2">
        <f ca="1">IFERROR(__xludf.DUMMYFUNCTION("""COMPUTED_VALUE"""),174)</f>
        <v>174</v>
      </c>
      <c r="D319" s="2">
        <f ca="1">IFERROR(__xludf.DUMMYFUNCTION("""COMPUTED_VALUE"""),174)</f>
        <v>174</v>
      </c>
      <c r="E319" s="2">
        <f ca="1">IFERROR(__xludf.DUMMYFUNCTION("""COMPUTED_VALUE"""),0)</f>
        <v>0</v>
      </c>
    </row>
    <row r="320" spans="1:5" ht="12.75">
      <c r="A320" s="2" t="str">
        <f ca="1">IFERROR(__xludf.DUMMYFUNCTION("""COMPUTED_VALUE"""),"HKMBTUG392JFlex")</f>
        <v>HKMBTUG392JFlex</v>
      </c>
      <c r="B320" s="2">
        <f ca="1">IFERROR(__xludf.DUMMYFUNCTION("""COMPUTED_VALUE"""),50)</f>
        <v>50</v>
      </c>
      <c r="C320" s="2">
        <f ca="1">IFERROR(__xludf.DUMMYFUNCTION("""COMPUTED_VALUE"""),51)</f>
        <v>51</v>
      </c>
      <c r="D320" s="2">
        <f ca="1">IFERROR(__xludf.DUMMYFUNCTION("""COMPUTED_VALUE"""),51)</f>
        <v>51</v>
      </c>
      <c r="E320" s="2">
        <f ca="1">IFERROR(__xludf.DUMMYFUNCTION("""COMPUTED_VALUE"""),0)</f>
        <v>0</v>
      </c>
    </row>
    <row r="321" spans="1:5" ht="12.75">
      <c r="A321" s="2" t="str">
        <f ca="1">IFERROR(__xludf.DUMMYFUNCTION("""COMPUTED_VALUE"""),"HKMCD17M190L040")</f>
        <v>HKMCD17M190L040</v>
      </c>
      <c r="B321" s="2">
        <f ca="1">IFERROR(__xludf.DUMMYFUNCTION("""COMPUTED_VALUE"""),20)</f>
        <v>20</v>
      </c>
      <c r="C321" s="2">
        <f ca="1">IFERROR(__xludf.DUMMYFUNCTION("""COMPUTED_VALUE"""),20)</f>
        <v>20</v>
      </c>
      <c r="D321" s="2">
        <f ca="1">IFERROR(__xludf.DUMMYFUNCTION("""COMPUTED_VALUE"""),20)</f>
        <v>20</v>
      </c>
      <c r="E321" s="2">
        <f ca="1">IFERROR(__xludf.DUMMYFUNCTION("""COMPUTED_VALUE"""),0)</f>
        <v>0</v>
      </c>
    </row>
    <row r="322" spans="1:5" ht="12.75">
      <c r="A322" s="2" t="str">
        <f ca="1">IFERROR(__xludf.DUMMYFUNCTION("""COMPUTED_VALUE"""),"HKMCD50M380L120")</f>
        <v>HKMCD50M380L120</v>
      </c>
      <c r="B322" s="2">
        <f ca="1">IFERROR(__xludf.DUMMYFUNCTION("""COMPUTED_VALUE"""),2)</f>
        <v>2</v>
      </c>
      <c r="C322" s="2">
        <f ca="1">IFERROR(__xludf.DUMMYFUNCTION("""COMPUTED_VALUE"""),3.67999999999999)</f>
        <v>3.6799999999999899</v>
      </c>
      <c r="D322" s="2">
        <f ca="1">IFERROR(__xludf.DUMMYFUNCTION("""COMPUTED_VALUE"""),3.67999999999999)</f>
        <v>3.6799999999999899</v>
      </c>
      <c r="E322" s="2">
        <f ca="1">IFERROR(__xludf.DUMMYFUNCTION("""COMPUTED_VALUE"""),0)</f>
        <v>0</v>
      </c>
    </row>
    <row r="323" spans="1:5" ht="12.75">
      <c r="A323" s="2" t="str">
        <f ca="1">IFERROR(__xludf.DUMMYFUNCTION("""COMPUTED_VALUE"""),"HKMHCK4.0CValue115SM")</f>
        <v>HKMHCK4.0CValue115SM</v>
      </c>
      <c r="B323" s="2">
        <f ca="1">IFERROR(__xludf.DUMMYFUNCTION("""COMPUTED_VALUE"""),3)</f>
        <v>3</v>
      </c>
      <c r="C323" s="2">
        <f ca="1">IFERROR(__xludf.DUMMYFUNCTION("""COMPUTED_VALUE"""),3)</f>
        <v>3</v>
      </c>
      <c r="D323" s="2">
        <f ca="1">IFERROR(__xludf.DUMMYFUNCTION("""COMPUTED_VALUE"""),3)</f>
        <v>3</v>
      </c>
      <c r="E323" s="2">
        <f ca="1">IFERROR(__xludf.DUMMYFUNCTION("""COMPUTED_VALUE"""),0)</f>
        <v>0</v>
      </c>
    </row>
    <row r="324" spans="1:5" ht="12.75">
      <c r="A324" s="2" t="str">
        <f ca="1">IFERROR(__xludf.DUMMYFUNCTION("""COMPUTED_VALUE"""),"HKMUTBD10")</f>
        <v>HKMUTBD10</v>
      </c>
      <c r="B324" s="2">
        <f ca="1">IFERROR(__xludf.DUMMYFUNCTION("""COMPUTED_VALUE"""),100)</f>
        <v>100</v>
      </c>
      <c r="C324" s="2">
        <f ca="1">IFERROR(__xludf.DUMMYFUNCTION("""COMPUTED_VALUE"""),100)</f>
        <v>100</v>
      </c>
      <c r="D324" s="2">
        <f ca="1">IFERROR(__xludf.DUMMYFUNCTION("""COMPUTED_VALUE"""),100)</f>
        <v>100</v>
      </c>
      <c r="E324" s="2">
        <f ca="1">IFERROR(__xludf.DUMMYFUNCTION("""COMPUTED_VALUE"""),0)</f>
        <v>0</v>
      </c>
    </row>
    <row r="325" spans="1:5" ht="12.75">
      <c r="A325" s="2" t="str">
        <f ca="1">IFERROR(__xludf.DUMMYFUNCTION("""COMPUTED_VALUE"""),"HKMUTXBD20")</f>
        <v>HKMUTXBD20</v>
      </c>
      <c r="B325" s="2">
        <f ca="1">IFERROR(__xludf.DUMMYFUNCTION("""COMPUTED_VALUE"""),575)</f>
        <v>575</v>
      </c>
      <c r="C325" s="2">
        <f ca="1">IFERROR(__xludf.DUMMYFUNCTION("""COMPUTED_VALUE"""),575)</f>
        <v>575</v>
      </c>
      <c r="D325" s="2">
        <f ca="1">IFERROR(__xludf.DUMMYFUNCTION("""COMPUTED_VALUE"""),575)</f>
        <v>575</v>
      </c>
      <c r="E325" s="2">
        <f ca="1">IFERROR(__xludf.DUMMYFUNCTION("""COMPUTED_VALUE"""),0)</f>
        <v>0</v>
      </c>
    </row>
    <row r="326" spans="1:5" ht="12.75">
      <c r="A326" s="2" t="str">
        <f ca="1">IFERROR(__xludf.DUMMYFUNCTION("""COMPUTED_VALUE"""),"HKMUTXBD25")</f>
        <v>HKMUTXBD25</v>
      </c>
      <c r="B326" s="2">
        <f ca="1">IFERROR(__xludf.DUMMYFUNCTION("""COMPUTED_VALUE"""),100)</f>
        <v>100</v>
      </c>
      <c r="C326" s="2">
        <f ca="1">IFERROR(__xludf.DUMMYFUNCTION("""COMPUTED_VALUE"""),100)</f>
        <v>100</v>
      </c>
      <c r="D326" s="2">
        <f ca="1">IFERROR(__xludf.DUMMYFUNCTION("""COMPUTED_VALUE"""),100)</f>
        <v>100</v>
      </c>
      <c r="E326" s="2">
        <f ca="1">IFERROR(__xludf.DUMMYFUNCTION("""COMPUTED_VALUE"""),0)</f>
        <v>0</v>
      </c>
    </row>
    <row r="327" spans="1:5" ht="12.75">
      <c r="A327" s="2" t="str">
        <f ca="1">IFERROR(__xludf.DUMMYFUNCTION("""COMPUTED_VALUE"""),"HKNOI10")</f>
        <v>HKNOI10</v>
      </c>
      <c r="B327" s="2">
        <f ca="1">IFERROR(__xludf.DUMMYFUNCTION("""COMPUTED_VALUE"""),7554)</f>
        <v>7554</v>
      </c>
      <c r="C327" s="2">
        <f ca="1">IFERROR(__xludf.DUMMYFUNCTION("""COMPUTED_VALUE"""),9653)</f>
        <v>9653</v>
      </c>
      <c r="D327" s="2">
        <f ca="1">IFERROR(__xludf.DUMMYFUNCTION("""COMPUTED_VALUE"""),7554)</f>
        <v>7554</v>
      </c>
      <c r="E327" s="2">
        <f ca="1">IFERROR(__xludf.DUMMYFUNCTION("""COMPUTED_VALUE"""),2099)</f>
        <v>2099</v>
      </c>
    </row>
    <row r="328" spans="1:5" ht="12.75">
      <c r="A328" s="2" t="str">
        <f ca="1">IFERROR(__xludf.DUMMYFUNCTION("""COMPUTED_VALUE"""),"HKNOI12")</f>
        <v>HKNOI12</v>
      </c>
      <c r="B328" s="2">
        <f ca="1">IFERROR(__xludf.DUMMYFUNCTION("""COMPUTED_VALUE"""),10117)</f>
        <v>10117</v>
      </c>
      <c r="C328" s="2">
        <f ca="1">IFERROR(__xludf.DUMMYFUNCTION("""COMPUTED_VALUE"""),13138)</f>
        <v>13138</v>
      </c>
      <c r="D328" s="2">
        <f ca="1">IFERROR(__xludf.DUMMYFUNCTION("""COMPUTED_VALUE"""),10117)</f>
        <v>10117</v>
      </c>
      <c r="E328" s="2">
        <f ca="1">IFERROR(__xludf.DUMMYFUNCTION("""COMPUTED_VALUE"""),3021)</f>
        <v>3021</v>
      </c>
    </row>
    <row r="329" spans="1:5" ht="12.75">
      <c r="A329" s="2" t="str">
        <f ca="1">IFERROR(__xludf.DUMMYFUNCTION("""COMPUTED_VALUE"""),"HKNOI16")</f>
        <v>HKNOI16</v>
      </c>
      <c r="B329" s="2">
        <f ca="1">IFERROR(__xludf.DUMMYFUNCTION("""COMPUTED_VALUE"""),9387)</f>
        <v>9387</v>
      </c>
      <c r="C329" s="2">
        <f ca="1">IFERROR(__xludf.DUMMYFUNCTION("""COMPUTED_VALUE"""),12369)</f>
        <v>12369</v>
      </c>
      <c r="D329" s="2">
        <f ca="1">IFERROR(__xludf.DUMMYFUNCTION("""COMPUTED_VALUE"""),9387)</f>
        <v>9387</v>
      </c>
      <c r="E329" s="2">
        <f ca="1">IFERROR(__xludf.DUMMYFUNCTION("""COMPUTED_VALUE"""),2982)</f>
        <v>2982</v>
      </c>
    </row>
    <row r="330" spans="1:5" ht="12.75">
      <c r="A330" s="2" t="str">
        <f ca="1">IFERROR(__xludf.DUMMYFUNCTION("""COMPUTED_VALUE"""),"HKNOI19")</f>
        <v>HKNOI19</v>
      </c>
      <c r="B330" s="2">
        <f ca="1">IFERROR(__xludf.DUMMYFUNCTION("""COMPUTED_VALUE"""),8488)</f>
        <v>8488</v>
      </c>
      <c r="C330" s="2">
        <f ca="1">IFERROR(__xludf.DUMMYFUNCTION("""COMPUTED_VALUE"""),10741)</f>
        <v>10741</v>
      </c>
      <c r="D330" s="2">
        <f ca="1">IFERROR(__xludf.DUMMYFUNCTION("""COMPUTED_VALUE"""),8488)</f>
        <v>8488</v>
      </c>
      <c r="E330" s="2">
        <f ca="1">IFERROR(__xludf.DUMMYFUNCTION("""COMPUTED_VALUE"""),2253)</f>
        <v>2253</v>
      </c>
    </row>
    <row r="331" spans="1:5" ht="12.75">
      <c r="A331" s="2" t="str">
        <f ca="1">IFERROR(__xludf.DUMMYFUNCTION("""COMPUTED_VALUE"""),"HKNOI22")</f>
        <v>HKNOI22</v>
      </c>
      <c r="B331" s="2">
        <f ca="1">IFERROR(__xludf.DUMMYFUNCTION("""COMPUTED_VALUE"""),4459)</f>
        <v>4459</v>
      </c>
      <c r="C331" s="2">
        <f ca="1">IFERROR(__xludf.DUMMYFUNCTION("""COMPUTED_VALUE"""),6432)</f>
        <v>6432</v>
      </c>
      <c r="D331" s="2">
        <f ca="1">IFERROR(__xludf.DUMMYFUNCTION("""COMPUTED_VALUE"""),4459)</f>
        <v>4459</v>
      </c>
      <c r="E331" s="2">
        <f ca="1">IFERROR(__xludf.DUMMYFUNCTION("""COMPUTED_VALUE"""),1973)</f>
        <v>1973</v>
      </c>
    </row>
    <row r="332" spans="1:5" ht="12.75">
      <c r="A332" s="2" t="str">
        <f ca="1">IFERROR(__xludf.DUMMYFUNCTION("""COMPUTED_VALUE"""),"HKNOI25")</f>
        <v>HKNOI25</v>
      </c>
      <c r="B332" s="2">
        <f ca="1">IFERROR(__xludf.DUMMYFUNCTION("""COMPUTED_VALUE"""),4868)</f>
        <v>4868</v>
      </c>
      <c r="C332" s="2">
        <f ca="1">IFERROR(__xludf.DUMMYFUNCTION("""COMPUTED_VALUE"""),5482)</f>
        <v>5482</v>
      </c>
      <c r="D332" s="2">
        <f ca="1">IFERROR(__xludf.DUMMYFUNCTION("""COMPUTED_VALUE"""),4868)</f>
        <v>4868</v>
      </c>
      <c r="E332" s="2">
        <f ca="1">IFERROR(__xludf.DUMMYFUNCTION("""COMPUTED_VALUE"""),614)</f>
        <v>614</v>
      </c>
    </row>
    <row r="333" spans="1:5" ht="12.75">
      <c r="A333" s="2" t="str">
        <f ca="1">IFERROR(__xludf.DUMMYFUNCTION("""COMPUTED_VALUE"""),"HKNOI28")</f>
        <v>HKNOI28</v>
      </c>
      <c r="B333" s="2">
        <f ca="1">IFERROR(__xludf.DUMMYFUNCTION("""COMPUTED_VALUE"""),5410)</f>
        <v>5410</v>
      </c>
      <c r="C333" s="2">
        <f ca="1">IFERROR(__xludf.DUMMYFUNCTION("""COMPUTED_VALUE"""),8401)</f>
        <v>8401</v>
      </c>
      <c r="D333" s="2">
        <f ca="1">IFERROR(__xludf.DUMMYFUNCTION("""COMPUTED_VALUE"""),5410)</f>
        <v>5410</v>
      </c>
      <c r="E333" s="2">
        <f ca="1">IFERROR(__xludf.DUMMYFUNCTION("""COMPUTED_VALUE"""),2991)</f>
        <v>2991</v>
      </c>
    </row>
    <row r="334" spans="1:5" ht="12.75">
      <c r="A334" s="2" t="str">
        <f ca="1">IFERROR(__xludf.DUMMYFUNCTION("""COMPUTED_VALUE"""),"HKNOI32")</f>
        <v>HKNOI32</v>
      </c>
      <c r="B334" s="2">
        <f ca="1">IFERROR(__xludf.DUMMYFUNCTION("""COMPUTED_VALUE"""),1366)</f>
        <v>1366</v>
      </c>
      <c r="C334" s="2">
        <f ca="1">IFERROR(__xludf.DUMMYFUNCTION("""COMPUTED_VALUE"""),2048)</f>
        <v>2048</v>
      </c>
      <c r="D334" s="2">
        <f ca="1">IFERROR(__xludf.DUMMYFUNCTION("""COMPUTED_VALUE"""),1366)</f>
        <v>1366</v>
      </c>
      <c r="E334" s="2">
        <f ca="1">IFERROR(__xludf.DUMMYFUNCTION("""COMPUTED_VALUE"""),682)</f>
        <v>682</v>
      </c>
    </row>
    <row r="335" spans="1:5" ht="12.75">
      <c r="A335" s="2" t="str">
        <f ca="1">IFERROR(__xludf.DUMMYFUNCTION("""COMPUTED_VALUE"""),"HKNOI35")</f>
        <v>HKNOI35</v>
      </c>
      <c r="B335" s="2">
        <f ca="1">IFERROR(__xludf.DUMMYFUNCTION("""COMPUTED_VALUE"""),7905)</f>
        <v>7905</v>
      </c>
      <c r="C335" s="2">
        <f ca="1">IFERROR(__xludf.DUMMYFUNCTION("""COMPUTED_VALUE"""),14754)</f>
        <v>14754</v>
      </c>
      <c r="D335" s="2">
        <f ca="1">IFERROR(__xludf.DUMMYFUNCTION("""COMPUTED_VALUE"""),7905)</f>
        <v>7905</v>
      </c>
      <c r="E335" s="2">
        <f ca="1">IFERROR(__xludf.DUMMYFUNCTION("""COMPUTED_VALUE"""),6849)</f>
        <v>6849</v>
      </c>
    </row>
    <row r="336" spans="1:5" ht="12.75">
      <c r="A336" s="2" t="str">
        <f ca="1">IFERROR(__xludf.DUMMYFUNCTION("""COMPUTED_VALUE"""),"HKNOI38")</f>
        <v>HKNOI38</v>
      </c>
      <c r="B336" s="2">
        <f ca="1">IFERROR(__xludf.DUMMYFUNCTION("""COMPUTED_VALUE"""),445)</f>
        <v>445</v>
      </c>
      <c r="C336" s="2">
        <f ca="1">IFERROR(__xludf.DUMMYFUNCTION("""COMPUTED_VALUE"""),554)</f>
        <v>554</v>
      </c>
      <c r="D336" s="2">
        <f ca="1">IFERROR(__xludf.DUMMYFUNCTION("""COMPUTED_VALUE"""),445)</f>
        <v>445</v>
      </c>
      <c r="E336" s="2">
        <f ca="1">IFERROR(__xludf.DUMMYFUNCTION("""COMPUTED_VALUE"""),109)</f>
        <v>109</v>
      </c>
    </row>
    <row r="337" spans="1:5" ht="12.75">
      <c r="A337" s="2" t="str">
        <f ca="1">IFERROR(__xludf.DUMMYFUNCTION("""COMPUTED_VALUE"""),"HKNOI42")</f>
        <v>HKNOI42</v>
      </c>
      <c r="B337" s="2">
        <f ca="1">IFERROR(__xludf.DUMMYFUNCTION("""COMPUTED_VALUE"""),6953)</f>
        <v>6953</v>
      </c>
      <c r="C337" s="2">
        <f ca="1">IFERROR(__xludf.DUMMYFUNCTION("""COMPUTED_VALUE"""),8132)</f>
        <v>8132</v>
      </c>
      <c r="D337" s="2">
        <f ca="1">IFERROR(__xludf.DUMMYFUNCTION("""COMPUTED_VALUE"""),6953)</f>
        <v>6953</v>
      </c>
      <c r="E337" s="2">
        <f ca="1">IFERROR(__xludf.DUMMYFUNCTION("""COMPUTED_VALUE"""),1179)</f>
        <v>1179</v>
      </c>
    </row>
    <row r="338" spans="1:5" ht="12.75">
      <c r="A338" s="2" t="str">
        <f ca="1">IFERROR(__xludf.DUMMYFUNCTION("""COMPUTED_VALUE"""),"HKNOI45")</f>
        <v>HKNOI45</v>
      </c>
      <c r="B338" s="2">
        <f ca="1">IFERROR(__xludf.DUMMYFUNCTION("""COMPUTED_VALUE"""),1345)</f>
        <v>1345</v>
      </c>
      <c r="C338" s="2">
        <f ca="1">IFERROR(__xludf.DUMMYFUNCTION("""COMPUTED_VALUE"""),1507)</f>
        <v>1507</v>
      </c>
      <c r="D338" s="2">
        <f ca="1">IFERROR(__xludf.DUMMYFUNCTION("""COMPUTED_VALUE"""),1345)</f>
        <v>1345</v>
      </c>
      <c r="E338" s="2">
        <f ca="1">IFERROR(__xludf.DUMMYFUNCTION("""COMPUTED_VALUE"""),162)</f>
        <v>162</v>
      </c>
    </row>
    <row r="339" spans="1:5" ht="12.75">
      <c r="A339" s="2" t="str">
        <f ca="1">IFERROR(__xludf.DUMMYFUNCTION("""COMPUTED_VALUE"""),"HKNOI54")</f>
        <v>HKNOI54</v>
      </c>
      <c r="B339" s="2">
        <f ca="1">IFERROR(__xludf.DUMMYFUNCTION("""COMPUTED_VALUE"""),286)</f>
        <v>286</v>
      </c>
      <c r="C339" s="2">
        <f ca="1">IFERROR(__xludf.DUMMYFUNCTION("""COMPUTED_VALUE"""),327)</f>
        <v>327</v>
      </c>
      <c r="D339" s="2">
        <f ca="1">IFERROR(__xludf.DUMMYFUNCTION("""COMPUTED_VALUE"""),286)</f>
        <v>286</v>
      </c>
      <c r="E339" s="2">
        <f ca="1">IFERROR(__xludf.DUMMYFUNCTION("""COMPUTED_VALUE"""),41)</f>
        <v>41</v>
      </c>
    </row>
    <row r="340" spans="1:5" ht="12.75">
      <c r="A340" s="2" t="str">
        <f ca="1">IFERROR(__xludf.DUMMYFUNCTION("""COMPUTED_VALUE"""),"HKNOI6")</f>
        <v>HKNOI6</v>
      </c>
      <c r="B340" s="2">
        <f ca="1">IFERROR(__xludf.DUMMYFUNCTION("""COMPUTED_VALUE"""),1963)</f>
        <v>1963</v>
      </c>
      <c r="C340" s="2">
        <f ca="1">IFERROR(__xludf.DUMMYFUNCTION("""COMPUTED_VALUE"""),2322)</f>
        <v>2322</v>
      </c>
      <c r="D340" s="2">
        <f ca="1">IFERROR(__xludf.DUMMYFUNCTION("""COMPUTED_VALUE"""),1963)</f>
        <v>1963</v>
      </c>
      <c r="E340" s="2">
        <f ca="1">IFERROR(__xludf.DUMMYFUNCTION("""COMPUTED_VALUE"""),359)</f>
        <v>359</v>
      </c>
    </row>
    <row r="341" spans="1:5" ht="12.75">
      <c r="A341" s="2" t="str">
        <f ca="1">IFERROR(__xludf.DUMMYFUNCTION("""COMPUTED_VALUE"""),"HKNOI67")</f>
        <v>HKNOI67</v>
      </c>
      <c r="B341" s="2">
        <f ca="1">IFERROR(__xludf.DUMMYFUNCTION("""COMPUTED_VALUE"""),743)</f>
        <v>743</v>
      </c>
      <c r="C341" s="2">
        <f ca="1">IFERROR(__xludf.DUMMYFUNCTION("""COMPUTED_VALUE"""),766)</f>
        <v>766</v>
      </c>
      <c r="D341" s="2">
        <f ca="1">IFERROR(__xludf.DUMMYFUNCTION("""COMPUTED_VALUE"""),743)</f>
        <v>743</v>
      </c>
      <c r="E341" s="2">
        <f ca="1">IFERROR(__xludf.DUMMYFUNCTION("""COMPUTED_VALUE"""),23)</f>
        <v>23</v>
      </c>
    </row>
    <row r="342" spans="1:5" ht="12.75">
      <c r="A342" s="2" t="str">
        <f ca="1">IFERROR(__xludf.DUMMYFUNCTION("""COMPUTED_VALUE"""),"HKNOI76")</f>
        <v>HKNOI76</v>
      </c>
      <c r="B342" s="2">
        <f ca="1">IFERROR(__xludf.DUMMYFUNCTION("""COMPUTED_VALUE"""),871)</f>
        <v>871</v>
      </c>
      <c r="C342" s="2">
        <f ca="1">IFERROR(__xludf.DUMMYFUNCTION("""COMPUTED_VALUE"""),871)</f>
        <v>871</v>
      </c>
      <c r="D342" s="2">
        <f ca="1">IFERROR(__xludf.DUMMYFUNCTION("""COMPUTED_VALUE"""),871)</f>
        <v>871</v>
      </c>
      <c r="E342" s="2">
        <f ca="1">IFERROR(__xludf.DUMMYFUNCTION("""COMPUTED_VALUE"""),0)</f>
        <v>0</v>
      </c>
    </row>
    <row r="343" spans="1:5" ht="12.75">
      <c r="A343" s="2" t="str">
        <f ca="1">IFERROR(__xludf.DUMMYFUNCTION("""COMPUTED_VALUE"""),"HKPDHN")</f>
        <v>HKPDHN</v>
      </c>
      <c r="B343" s="2">
        <f ca="1">IFERROR(__xludf.DUMMYFUNCTION("""COMPUTED_VALUE"""),89)</f>
        <v>89</v>
      </c>
      <c r="C343" s="2">
        <f ca="1">IFERROR(__xludf.DUMMYFUNCTION("""COMPUTED_VALUE"""),89)</f>
        <v>89</v>
      </c>
      <c r="D343" s="2">
        <f ca="1">IFERROR(__xludf.DUMMYFUNCTION("""COMPUTED_VALUE"""),89)</f>
        <v>89</v>
      </c>
      <c r="E343" s="2">
        <f ca="1">IFERROR(__xludf.DUMMYFUNCTION("""COMPUTED_VALUE"""),0)</f>
        <v>0</v>
      </c>
    </row>
    <row r="344" spans="1:5" ht="12.75">
      <c r="A344" s="2" t="str">
        <f ca="1">IFERROR(__xludf.DUMMYFUNCTION("""COMPUTED_VALUE"""),"HKPT2DT")</f>
        <v>HKPT2DT</v>
      </c>
      <c r="B344" s="2">
        <f ca="1">IFERROR(__xludf.DUMMYFUNCTION("""COMPUTED_VALUE"""),525)</f>
        <v>525</v>
      </c>
      <c r="C344" s="2">
        <f ca="1">IFERROR(__xludf.DUMMYFUNCTION("""COMPUTED_VALUE"""),525)</f>
        <v>525</v>
      </c>
      <c r="D344" s="2">
        <f ca="1">IFERROR(__xludf.DUMMYFUNCTION("""COMPUTED_VALUE"""),525)</f>
        <v>525</v>
      </c>
      <c r="E344" s="2">
        <f ca="1">IFERROR(__xludf.DUMMYFUNCTION("""COMPUTED_VALUE"""),0)</f>
        <v>0</v>
      </c>
    </row>
    <row r="345" spans="1:5" ht="12.75">
      <c r="A345" s="2" t="str">
        <f ca="1">IFERROR(__xludf.DUMMYFUNCTION("""COMPUTED_VALUE"""),"HKQUATDAYHY")</f>
        <v>HKQUATDAYHY</v>
      </c>
      <c r="B345" s="2">
        <f ca="1">IFERROR(__xludf.DUMMYFUNCTION("""COMPUTED_VALUE"""),24)</f>
        <v>24</v>
      </c>
      <c r="C345" s="2">
        <f ca="1">IFERROR(__xludf.DUMMYFUNCTION("""COMPUTED_VALUE"""),24)</f>
        <v>24</v>
      </c>
      <c r="D345" s="2">
        <f ca="1">IFERROR(__xludf.DUMMYFUNCTION("""COMPUTED_VALUE"""),24)</f>
        <v>24</v>
      </c>
      <c r="E345" s="2">
        <f ca="1">IFERROR(__xludf.DUMMYFUNCTION("""COMPUTED_VALUE"""),0)</f>
        <v>0</v>
      </c>
    </row>
    <row r="346" spans="1:5" ht="12.75">
      <c r="A346" s="2" t="str">
        <f ca="1">IFERROR(__xludf.DUMMYFUNCTION("""COMPUTED_VALUE"""),"HKRLAMTS15A250V")</f>
        <v>HKRLAMTS15A250V</v>
      </c>
      <c r="B346" s="2">
        <f ca="1">IFERROR(__xludf.DUMMYFUNCTION("""COMPUTED_VALUE"""),1)</f>
        <v>1</v>
      </c>
      <c r="C346" s="2">
        <f ca="1">IFERROR(__xludf.DUMMYFUNCTION("""COMPUTED_VALUE"""),1)</f>
        <v>1</v>
      </c>
      <c r="D346" s="2">
        <f ca="1">IFERROR(__xludf.DUMMYFUNCTION("""COMPUTED_VALUE"""),1)</f>
        <v>1</v>
      </c>
      <c r="E346" s="2">
        <f ca="1">IFERROR(__xludf.DUMMYFUNCTION("""COMPUTED_VALUE"""),0)</f>
        <v>0</v>
      </c>
    </row>
    <row r="347" spans="1:5" ht="12.75">
      <c r="A347" s="2" t="str">
        <f ca="1">IFERROR(__xludf.DUMMYFUNCTION("""COMPUTED_VALUE"""),"HKTD1.1Mx1.6M")</f>
        <v>HKTD1.1Mx1.6M</v>
      </c>
      <c r="B347" s="2">
        <f ca="1">IFERROR(__xludf.DUMMYFUNCTION("""COMPUTED_VALUE"""),2)</f>
        <v>2</v>
      </c>
      <c r="C347" s="2">
        <f ca="1">IFERROR(__xludf.DUMMYFUNCTION("""COMPUTED_VALUE"""),24)</f>
        <v>24</v>
      </c>
      <c r="D347" s="2">
        <f ca="1">IFERROR(__xludf.DUMMYFUNCTION("""COMPUTED_VALUE"""),24)</f>
        <v>24</v>
      </c>
      <c r="E347" s="2">
        <f ca="1">IFERROR(__xludf.DUMMYFUNCTION("""COMPUTED_VALUE"""),0)</f>
        <v>0</v>
      </c>
    </row>
    <row r="348" spans="1:5" ht="12.75">
      <c r="A348" s="2" t="str">
        <f ca="1">IFERROR(__xludf.DUMMYFUNCTION("""COMPUTED_VALUE"""),"HKTDKHT6373BC1130")</f>
        <v>HKTDKHT6373BC1130</v>
      </c>
      <c r="B348" s="2">
        <f ca="1">IFERROR(__xludf.DUMMYFUNCTION("""COMPUTED_VALUE"""),5)</f>
        <v>5</v>
      </c>
      <c r="C348" s="2">
        <f ca="1">IFERROR(__xludf.DUMMYFUNCTION("""COMPUTED_VALUE"""),5)</f>
        <v>5</v>
      </c>
      <c r="D348" s="2">
        <f ca="1">IFERROR(__xludf.DUMMYFUNCTION("""COMPUTED_VALUE"""),5)</f>
        <v>5</v>
      </c>
      <c r="E348" s="2">
        <f ca="1">IFERROR(__xludf.DUMMYFUNCTION("""COMPUTED_VALUE"""),0)</f>
        <v>0</v>
      </c>
    </row>
    <row r="349" spans="1:5" ht="12.75">
      <c r="A349" s="2" t="str">
        <f ca="1">IFERROR(__xludf.DUMMYFUNCTION("""COMPUTED_VALUE"""),"HKTE10")</f>
        <v>HKTE10</v>
      </c>
      <c r="B349" s="2">
        <f ca="1">IFERROR(__xludf.DUMMYFUNCTION("""COMPUTED_VALUE"""),483)</f>
        <v>483</v>
      </c>
      <c r="C349" s="2">
        <f ca="1">IFERROR(__xludf.DUMMYFUNCTION("""COMPUTED_VALUE"""),553)</f>
        <v>553</v>
      </c>
      <c r="D349" s="2">
        <f ca="1">IFERROR(__xludf.DUMMYFUNCTION("""COMPUTED_VALUE"""),483)</f>
        <v>483</v>
      </c>
      <c r="E349" s="2">
        <f ca="1">IFERROR(__xludf.DUMMYFUNCTION("""COMPUTED_VALUE"""),70)</f>
        <v>70</v>
      </c>
    </row>
    <row r="350" spans="1:5" ht="12.75">
      <c r="A350" s="2" t="str">
        <f ca="1">IFERROR(__xludf.DUMMYFUNCTION("""COMPUTED_VALUE"""),"HKTE12")</f>
        <v>HKTE12</v>
      </c>
      <c r="B350" s="2">
        <f ca="1">IFERROR(__xludf.DUMMYFUNCTION("""COMPUTED_VALUE"""),1239)</f>
        <v>1239</v>
      </c>
      <c r="C350" s="2">
        <f ca="1">IFERROR(__xludf.DUMMYFUNCTION("""COMPUTED_VALUE"""),1256)</f>
        <v>1256</v>
      </c>
      <c r="D350" s="2">
        <f ca="1">IFERROR(__xludf.DUMMYFUNCTION("""COMPUTED_VALUE"""),1239)</f>
        <v>1239</v>
      </c>
      <c r="E350" s="2">
        <f ca="1">IFERROR(__xludf.DUMMYFUNCTION("""COMPUTED_VALUE"""),17)</f>
        <v>17</v>
      </c>
    </row>
    <row r="351" spans="1:5" ht="12.75">
      <c r="A351" s="2" t="str">
        <f ca="1">IFERROR(__xludf.DUMMYFUNCTION("""COMPUTED_VALUE"""),"HKTE16")</f>
        <v>HKTE16</v>
      </c>
      <c r="B351" s="2">
        <f ca="1">IFERROR(__xludf.DUMMYFUNCTION("""COMPUTED_VALUE"""),1097)</f>
        <v>1097</v>
      </c>
      <c r="C351" s="2">
        <f ca="1">IFERROR(__xludf.DUMMYFUNCTION("""COMPUTED_VALUE"""),1169)</f>
        <v>1169</v>
      </c>
      <c r="D351" s="2">
        <f ca="1">IFERROR(__xludf.DUMMYFUNCTION("""COMPUTED_VALUE"""),1097)</f>
        <v>1097</v>
      </c>
      <c r="E351" s="2">
        <f ca="1">IFERROR(__xludf.DUMMYFUNCTION("""COMPUTED_VALUE"""),72)</f>
        <v>72</v>
      </c>
    </row>
    <row r="352" spans="1:5" ht="12.75">
      <c r="A352" s="2" t="str">
        <f ca="1">IFERROR(__xludf.DUMMYFUNCTION("""COMPUTED_VALUE"""),"HKTE19")</f>
        <v>HKTE19</v>
      </c>
      <c r="B352" s="2">
        <f ca="1">IFERROR(__xludf.DUMMYFUNCTION("""COMPUTED_VALUE"""),1969)</f>
        <v>1969</v>
      </c>
      <c r="C352" s="2">
        <f ca="1">IFERROR(__xludf.DUMMYFUNCTION("""COMPUTED_VALUE"""),1969)</f>
        <v>1969</v>
      </c>
      <c r="D352" s="2">
        <f ca="1">IFERROR(__xludf.DUMMYFUNCTION("""COMPUTED_VALUE"""),1969)</f>
        <v>1969</v>
      </c>
      <c r="E352" s="2">
        <f ca="1">IFERROR(__xludf.DUMMYFUNCTION("""COMPUTED_VALUE"""),0)</f>
        <v>0</v>
      </c>
    </row>
    <row r="353" spans="1:5" ht="12.75">
      <c r="A353" s="2" t="str">
        <f ca="1">IFERROR(__xludf.DUMMYFUNCTION("""COMPUTED_VALUE"""),"HKTE22")</f>
        <v>HKTE22</v>
      </c>
      <c r="B353" s="2">
        <f ca="1">IFERROR(__xludf.DUMMYFUNCTION("""COMPUTED_VALUE"""),2420)</f>
        <v>2420</v>
      </c>
      <c r="C353" s="2">
        <f ca="1">IFERROR(__xludf.DUMMYFUNCTION("""COMPUTED_VALUE"""),2422)</f>
        <v>2422</v>
      </c>
      <c r="D353" s="2">
        <f ca="1">IFERROR(__xludf.DUMMYFUNCTION("""COMPUTED_VALUE"""),2420)</f>
        <v>2420</v>
      </c>
      <c r="E353" s="2">
        <f ca="1">IFERROR(__xludf.DUMMYFUNCTION("""COMPUTED_VALUE"""),2)</f>
        <v>2</v>
      </c>
    </row>
    <row r="354" spans="1:5" ht="12.75">
      <c r="A354" s="2" t="str">
        <f ca="1">IFERROR(__xludf.DUMMYFUNCTION("""COMPUTED_VALUE"""),"HKTE25")</f>
        <v>HKTE25</v>
      </c>
      <c r="B354" s="2">
        <f ca="1">IFERROR(__xludf.DUMMYFUNCTION("""COMPUTED_VALUE"""),1089)</f>
        <v>1089</v>
      </c>
      <c r="C354" s="2">
        <f ca="1">IFERROR(__xludf.DUMMYFUNCTION("""COMPUTED_VALUE"""),1089)</f>
        <v>1089</v>
      </c>
      <c r="D354" s="2">
        <f ca="1">IFERROR(__xludf.DUMMYFUNCTION("""COMPUTED_VALUE"""),1089)</f>
        <v>1089</v>
      </c>
      <c r="E354" s="2">
        <f ca="1">IFERROR(__xludf.DUMMYFUNCTION("""COMPUTED_VALUE"""),0)</f>
        <v>0</v>
      </c>
    </row>
    <row r="355" spans="1:5" ht="12.75">
      <c r="A355" s="2" t="str">
        <f ca="1">IFERROR(__xludf.DUMMYFUNCTION("""COMPUTED_VALUE"""),"HKTE28")</f>
        <v>HKTE28</v>
      </c>
      <c r="B355" s="2">
        <f ca="1">IFERROR(__xludf.DUMMYFUNCTION("""COMPUTED_VALUE"""),2358)</f>
        <v>2358</v>
      </c>
      <c r="C355" s="2">
        <f ca="1">IFERROR(__xludf.DUMMYFUNCTION("""COMPUTED_VALUE"""),2358)</f>
        <v>2358</v>
      </c>
      <c r="D355" s="2">
        <f ca="1">IFERROR(__xludf.DUMMYFUNCTION("""COMPUTED_VALUE"""),2358)</f>
        <v>2358</v>
      </c>
      <c r="E355" s="2">
        <f ca="1">IFERROR(__xludf.DUMMYFUNCTION("""COMPUTED_VALUE"""),0)</f>
        <v>0</v>
      </c>
    </row>
    <row r="356" spans="1:5" ht="12.75">
      <c r="A356" s="2" t="str">
        <f ca="1">IFERROR(__xludf.DUMMYFUNCTION("""COMPUTED_VALUE"""),"HKTE32")</f>
        <v>HKTE32</v>
      </c>
      <c r="B356" s="2">
        <f ca="1">IFERROR(__xludf.DUMMYFUNCTION("""COMPUTED_VALUE"""),1163)</f>
        <v>1163</v>
      </c>
      <c r="C356" s="2">
        <f ca="1">IFERROR(__xludf.DUMMYFUNCTION("""COMPUTED_VALUE"""),1163)</f>
        <v>1163</v>
      </c>
      <c r="D356" s="2">
        <f ca="1">IFERROR(__xludf.DUMMYFUNCTION("""COMPUTED_VALUE"""),1163)</f>
        <v>1163</v>
      </c>
      <c r="E356" s="2">
        <f ca="1">IFERROR(__xludf.DUMMYFUNCTION("""COMPUTED_VALUE"""),0)</f>
        <v>0</v>
      </c>
    </row>
    <row r="357" spans="1:5" ht="12.75">
      <c r="A357" s="2" t="str">
        <f ca="1">IFERROR(__xludf.DUMMYFUNCTION("""COMPUTED_VALUE"""),"HKTE35")</f>
        <v>HKTE35</v>
      </c>
      <c r="B357" s="2">
        <f ca="1">IFERROR(__xludf.DUMMYFUNCTION("""COMPUTED_VALUE"""),440)</f>
        <v>440</v>
      </c>
      <c r="C357" s="2">
        <f ca="1">IFERROR(__xludf.DUMMYFUNCTION("""COMPUTED_VALUE"""),446)</f>
        <v>446</v>
      </c>
      <c r="D357" s="2">
        <f ca="1">IFERROR(__xludf.DUMMYFUNCTION("""COMPUTED_VALUE"""),440)</f>
        <v>440</v>
      </c>
      <c r="E357" s="2">
        <f ca="1">IFERROR(__xludf.DUMMYFUNCTION("""COMPUTED_VALUE"""),6)</f>
        <v>6</v>
      </c>
    </row>
    <row r="358" spans="1:5" ht="12.75">
      <c r="A358" s="2" t="str">
        <f ca="1">IFERROR(__xludf.DUMMYFUNCTION("""COMPUTED_VALUE"""),"HKTE38")</f>
        <v>HKTE38</v>
      </c>
      <c r="B358" s="2">
        <f ca="1">IFERROR(__xludf.DUMMYFUNCTION("""COMPUTED_VALUE"""),1004)</f>
        <v>1004</v>
      </c>
      <c r="C358" s="2">
        <f ca="1">IFERROR(__xludf.DUMMYFUNCTION("""COMPUTED_VALUE"""),1004)</f>
        <v>1004</v>
      </c>
      <c r="D358" s="2">
        <f ca="1">IFERROR(__xludf.DUMMYFUNCTION("""COMPUTED_VALUE"""),1004)</f>
        <v>1004</v>
      </c>
      <c r="E358" s="2">
        <f ca="1">IFERROR(__xludf.DUMMYFUNCTION("""COMPUTED_VALUE"""),0)</f>
        <v>0</v>
      </c>
    </row>
    <row r="359" spans="1:5" ht="12.75">
      <c r="A359" s="2" t="str">
        <f ca="1">IFERROR(__xludf.DUMMYFUNCTION("""COMPUTED_VALUE"""),"HKTE42")</f>
        <v>HKTE42</v>
      </c>
      <c r="B359" s="2">
        <f ca="1">IFERROR(__xludf.DUMMYFUNCTION("""COMPUTED_VALUE"""),245)</f>
        <v>245</v>
      </c>
      <c r="C359" s="2">
        <f ca="1">IFERROR(__xludf.DUMMYFUNCTION("""COMPUTED_VALUE"""),245)</f>
        <v>245</v>
      </c>
      <c r="D359" s="2">
        <f ca="1">IFERROR(__xludf.DUMMYFUNCTION("""COMPUTED_VALUE"""),245)</f>
        <v>245</v>
      </c>
      <c r="E359" s="2">
        <f ca="1">IFERROR(__xludf.DUMMYFUNCTION("""COMPUTED_VALUE"""),0)</f>
        <v>0</v>
      </c>
    </row>
    <row r="360" spans="1:5" ht="12.75">
      <c r="A360" s="2" t="str">
        <f ca="1">IFERROR(__xludf.DUMMYFUNCTION("""COMPUTED_VALUE"""),"HKTE54")</f>
        <v>HKTE54</v>
      </c>
      <c r="B360" s="2">
        <f ca="1">IFERROR(__xludf.DUMMYFUNCTION("""COMPUTED_VALUE"""),612)</f>
        <v>612</v>
      </c>
      <c r="C360" s="2">
        <f ca="1">IFERROR(__xludf.DUMMYFUNCTION("""COMPUTED_VALUE"""),631)</f>
        <v>631</v>
      </c>
      <c r="D360" s="2">
        <f ca="1">IFERROR(__xludf.DUMMYFUNCTION("""COMPUTED_VALUE"""),612)</f>
        <v>612</v>
      </c>
      <c r="E360" s="2">
        <f ca="1">IFERROR(__xludf.DUMMYFUNCTION("""COMPUTED_VALUE"""),19)</f>
        <v>19</v>
      </c>
    </row>
    <row r="361" spans="1:5" ht="12.75">
      <c r="A361" s="2" t="str">
        <f ca="1">IFERROR(__xludf.DUMMYFUNCTION("""COMPUTED_VALUE"""),"HKTE6")</f>
        <v>HKTE6</v>
      </c>
      <c r="B361" s="2">
        <f ca="1">IFERROR(__xludf.DUMMYFUNCTION("""COMPUTED_VALUE"""),524)</f>
        <v>524</v>
      </c>
      <c r="C361" s="2">
        <f ca="1">IFERROR(__xludf.DUMMYFUNCTION("""COMPUTED_VALUE"""),524)</f>
        <v>524</v>
      </c>
      <c r="D361" s="2">
        <f ca="1">IFERROR(__xludf.DUMMYFUNCTION("""COMPUTED_VALUE"""),524)</f>
        <v>524</v>
      </c>
      <c r="E361" s="2">
        <f ca="1">IFERROR(__xludf.DUMMYFUNCTION("""COMPUTED_VALUE"""),0)</f>
        <v>0</v>
      </c>
    </row>
    <row r="362" spans="1:5" ht="12.75">
      <c r="A362" s="2" t="str">
        <f ca="1">IFERROR(__xludf.DUMMYFUNCTION("""COMPUTED_VALUE"""),"HKTHU1210")</f>
        <v>HKTHU1210</v>
      </c>
      <c r="B362" s="2">
        <f ca="1">IFERROR(__xludf.DUMMYFUNCTION("""COMPUTED_VALUE"""),143)</f>
        <v>143</v>
      </c>
      <c r="C362" s="2">
        <f ca="1">IFERROR(__xludf.DUMMYFUNCTION("""COMPUTED_VALUE"""),161)</f>
        <v>161</v>
      </c>
      <c r="D362" s="2">
        <f ca="1">IFERROR(__xludf.DUMMYFUNCTION("""COMPUTED_VALUE"""),143)</f>
        <v>143</v>
      </c>
      <c r="E362" s="2">
        <f ca="1">IFERROR(__xludf.DUMMYFUNCTION("""COMPUTED_VALUE"""),18)</f>
        <v>18</v>
      </c>
    </row>
    <row r="363" spans="1:5" ht="12.75">
      <c r="A363" s="2" t="str">
        <f ca="1">IFERROR(__xludf.DUMMYFUNCTION("""COMPUTED_VALUE"""),"HKTHU126")</f>
        <v>HKTHU126</v>
      </c>
      <c r="B363" s="2">
        <f ca="1">IFERROR(__xludf.DUMMYFUNCTION("""COMPUTED_VALUE"""),365)</f>
        <v>365</v>
      </c>
      <c r="C363" s="2">
        <f ca="1">IFERROR(__xludf.DUMMYFUNCTION("""COMPUTED_VALUE"""),365)</f>
        <v>365</v>
      </c>
      <c r="D363" s="2">
        <f ca="1">IFERROR(__xludf.DUMMYFUNCTION("""COMPUTED_VALUE"""),365)</f>
        <v>365</v>
      </c>
      <c r="E363" s="2">
        <f ca="1">IFERROR(__xludf.DUMMYFUNCTION("""COMPUTED_VALUE"""),0)</f>
        <v>0</v>
      </c>
    </row>
    <row r="364" spans="1:5" ht="12.75">
      <c r="A364" s="2" t="str">
        <f ca="1">IFERROR(__xludf.DUMMYFUNCTION("""COMPUTED_VALUE"""),"HKTHU1610")</f>
        <v>HKTHU1610</v>
      </c>
      <c r="B364" s="2">
        <f ca="1">IFERROR(__xludf.DUMMYFUNCTION("""COMPUTED_VALUE"""),418)</f>
        <v>418</v>
      </c>
      <c r="C364" s="2">
        <f ca="1">IFERROR(__xludf.DUMMYFUNCTION("""COMPUTED_VALUE"""),418)</f>
        <v>418</v>
      </c>
      <c r="D364" s="2">
        <f ca="1">IFERROR(__xludf.DUMMYFUNCTION("""COMPUTED_VALUE"""),418)</f>
        <v>418</v>
      </c>
      <c r="E364" s="2">
        <f ca="1">IFERROR(__xludf.DUMMYFUNCTION("""COMPUTED_VALUE"""),0)</f>
        <v>0</v>
      </c>
    </row>
    <row r="365" spans="1:5" ht="12.75">
      <c r="A365" s="2" t="str">
        <f ca="1">IFERROR(__xludf.DUMMYFUNCTION("""COMPUTED_VALUE"""),"HKTHU1612")</f>
        <v>HKTHU1612</v>
      </c>
      <c r="B365" s="2">
        <f ca="1">IFERROR(__xludf.DUMMYFUNCTION("""COMPUTED_VALUE"""),1872)</f>
        <v>1872</v>
      </c>
      <c r="C365" s="2">
        <f ca="1">IFERROR(__xludf.DUMMYFUNCTION("""COMPUTED_VALUE"""),1872)</f>
        <v>1872</v>
      </c>
      <c r="D365" s="2">
        <f ca="1">IFERROR(__xludf.DUMMYFUNCTION("""COMPUTED_VALUE"""),1872)</f>
        <v>1872</v>
      </c>
      <c r="E365" s="2">
        <f ca="1">IFERROR(__xludf.DUMMYFUNCTION("""COMPUTED_VALUE"""),0)</f>
        <v>0</v>
      </c>
    </row>
    <row r="366" spans="1:5" ht="12.75">
      <c r="A366" s="2" t="str">
        <f ca="1">IFERROR(__xludf.DUMMYFUNCTION("""COMPUTED_VALUE"""),"HKTHU1910")</f>
        <v>HKTHU1910</v>
      </c>
      <c r="B366" s="2">
        <f ca="1">IFERROR(__xludf.DUMMYFUNCTION("""COMPUTED_VALUE"""),532)</f>
        <v>532</v>
      </c>
      <c r="C366" s="2">
        <f ca="1">IFERROR(__xludf.DUMMYFUNCTION("""COMPUTED_VALUE"""),532)</f>
        <v>532</v>
      </c>
      <c r="D366" s="2">
        <f ca="1">IFERROR(__xludf.DUMMYFUNCTION("""COMPUTED_VALUE"""),532)</f>
        <v>532</v>
      </c>
      <c r="E366" s="2">
        <f ca="1">IFERROR(__xludf.DUMMYFUNCTION("""COMPUTED_VALUE"""),0)</f>
        <v>0</v>
      </c>
    </row>
    <row r="367" spans="1:5" ht="12.75">
      <c r="A367" s="2" t="str">
        <f ca="1">IFERROR(__xludf.DUMMYFUNCTION("""COMPUTED_VALUE"""),"HKTHU1912")</f>
        <v>HKTHU1912</v>
      </c>
      <c r="B367" s="2">
        <f ca="1">IFERROR(__xludf.DUMMYFUNCTION("""COMPUTED_VALUE"""),1386)</f>
        <v>1386</v>
      </c>
      <c r="C367" s="2">
        <f ca="1">IFERROR(__xludf.DUMMYFUNCTION("""COMPUTED_VALUE"""),1431)</f>
        <v>1431</v>
      </c>
      <c r="D367" s="2">
        <f ca="1">IFERROR(__xludf.DUMMYFUNCTION("""COMPUTED_VALUE"""),1386)</f>
        <v>1386</v>
      </c>
      <c r="E367" s="2">
        <f ca="1">IFERROR(__xludf.DUMMYFUNCTION("""COMPUTED_VALUE"""),45)</f>
        <v>45</v>
      </c>
    </row>
    <row r="368" spans="1:5" ht="12.75">
      <c r="A368" s="2" t="str">
        <f ca="1">IFERROR(__xludf.DUMMYFUNCTION("""COMPUTED_VALUE"""),"HKTHU1916")</f>
        <v>HKTHU1916</v>
      </c>
      <c r="B368" s="2">
        <f ca="1">IFERROR(__xludf.DUMMYFUNCTION("""COMPUTED_VALUE"""),1264)</f>
        <v>1264</v>
      </c>
      <c r="C368" s="2">
        <f ca="1">IFERROR(__xludf.DUMMYFUNCTION("""COMPUTED_VALUE"""),1271)</f>
        <v>1271</v>
      </c>
      <c r="D368" s="2">
        <f ca="1">IFERROR(__xludf.DUMMYFUNCTION("""COMPUTED_VALUE"""),1264)</f>
        <v>1264</v>
      </c>
      <c r="E368" s="2">
        <f ca="1">IFERROR(__xludf.DUMMYFUNCTION("""COMPUTED_VALUE"""),7)</f>
        <v>7</v>
      </c>
    </row>
    <row r="369" spans="1:5" ht="12.75">
      <c r="A369" s="2" t="str">
        <f ca="1">IFERROR(__xludf.DUMMYFUNCTION("""COMPUTED_VALUE"""),"HKTHU2210")</f>
        <v>HKTHU2210</v>
      </c>
      <c r="B369" s="2">
        <f ca="1">IFERROR(__xludf.DUMMYFUNCTION("""COMPUTED_VALUE"""),1038)</f>
        <v>1038</v>
      </c>
      <c r="C369" s="2">
        <f ca="1">IFERROR(__xludf.DUMMYFUNCTION("""COMPUTED_VALUE"""),1038)</f>
        <v>1038</v>
      </c>
      <c r="D369" s="2">
        <f ca="1">IFERROR(__xludf.DUMMYFUNCTION("""COMPUTED_VALUE"""),1038)</f>
        <v>1038</v>
      </c>
      <c r="E369" s="2">
        <f ca="1">IFERROR(__xludf.DUMMYFUNCTION("""COMPUTED_VALUE"""),0)</f>
        <v>0</v>
      </c>
    </row>
    <row r="370" spans="1:5" ht="12.75">
      <c r="A370" s="2" t="str">
        <f ca="1">IFERROR(__xludf.DUMMYFUNCTION("""COMPUTED_VALUE"""),"HKTHU2212")</f>
        <v>HKTHU2212</v>
      </c>
      <c r="B370" s="2">
        <f ca="1">IFERROR(__xludf.DUMMYFUNCTION("""COMPUTED_VALUE"""),559)</f>
        <v>559</v>
      </c>
      <c r="C370" s="2">
        <f ca="1">IFERROR(__xludf.DUMMYFUNCTION("""COMPUTED_VALUE"""),583)</f>
        <v>583</v>
      </c>
      <c r="D370" s="2">
        <f ca="1">IFERROR(__xludf.DUMMYFUNCTION("""COMPUTED_VALUE"""),559)</f>
        <v>559</v>
      </c>
      <c r="E370" s="2">
        <f ca="1">IFERROR(__xludf.DUMMYFUNCTION("""COMPUTED_VALUE"""),24)</f>
        <v>24</v>
      </c>
    </row>
    <row r="371" spans="1:5" ht="12.75">
      <c r="A371" s="2" t="str">
        <f ca="1">IFERROR(__xludf.DUMMYFUNCTION("""COMPUTED_VALUE"""),"HKTHU2216")</f>
        <v>HKTHU2216</v>
      </c>
      <c r="B371" s="2">
        <f ca="1">IFERROR(__xludf.DUMMYFUNCTION("""COMPUTED_VALUE"""),1413)</f>
        <v>1413</v>
      </c>
      <c r="C371" s="2">
        <f ca="1">IFERROR(__xludf.DUMMYFUNCTION("""COMPUTED_VALUE"""),1601)</f>
        <v>1601</v>
      </c>
      <c r="D371" s="2">
        <f ca="1">IFERROR(__xludf.DUMMYFUNCTION("""COMPUTED_VALUE"""),1413)</f>
        <v>1413</v>
      </c>
      <c r="E371" s="2">
        <f ca="1">IFERROR(__xludf.DUMMYFUNCTION("""COMPUTED_VALUE"""),188)</f>
        <v>188</v>
      </c>
    </row>
    <row r="372" spans="1:5" ht="12.75">
      <c r="A372" s="2" t="str">
        <f ca="1">IFERROR(__xludf.DUMMYFUNCTION("""COMPUTED_VALUE"""),"HKTHU2219")</f>
        <v>HKTHU2219</v>
      </c>
      <c r="B372" s="2">
        <f ca="1">IFERROR(__xludf.DUMMYFUNCTION("""COMPUTED_VALUE"""),886)</f>
        <v>886</v>
      </c>
      <c r="C372" s="2">
        <f ca="1">IFERROR(__xludf.DUMMYFUNCTION("""COMPUTED_VALUE"""),894)</f>
        <v>894</v>
      </c>
      <c r="D372" s="2">
        <f ca="1">IFERROR(__xludf.DUMMYFUNCTION("""COMPUTED_VALUE"""),886)</f>
        <v>886</v>
      </c>
      <c r="E372" s="2">
        <f ca="1">IFERROR(__xludf.DUMMYFUNCTION("""COMPUTED_VALUE"""),8)</f>
        <v>8</v>
      </c>
    </row>
    <row r="373" spans="1:5" ht="12.75">
      <c r="A373" s="2" t="str">
        <f ca="1">IFERROR(__xludf.DUMMYFUNCTION("""COMPUTED_VALUE"""),"HKTHU2512")</f>
        <v>HKTHU2512</v>
      </c>
      <c r="B373" s="2">
        <f ca="1">IFERROR(__xludf.DUMMYFUNCTION("""COMPUTED_VALUE"""),642)</f>
        <v>642</v>
      </c>
      <c r="C373" s="2">
        <f ca="1">IFERROR(__xludf.DUMMYFUNCTION("""COMPUTED_VALUE"""),642)</f>
        <v>642</v>
      </c>
      <c r="D373" s="2">
        <f ca="1">IFERROR(__xludf.DUMMYFUNCTION("""COMPUTED_VALUE"""),642)</f>
        <v>642</v>
      </c>
      <c r="E373" s="2">
        <f ca="1">IFERROR(__xludf.DUMMYFUNCTION("""COMPUTED_VALUE"""),0)</f>
        <v>0</v>
      </c>
    </row>
    <row r="374" spans="1:5" ht="12.75">
      <c r="A374" s="2" t="str">
        <f ca="1">IFERROR(__xludf.DUMMYFUNCTION("""COMPUTED_VALUE"""),"HKTHU2516")</f>
        <v>HKTHU2516</v>
      </c>
      <c r="B374" s="2">
        <f ca="1">IFERROR(__xludf.DUMMYFUNCTION("""COMPUTED_VALUE"""),381)</f>
        <v>381</v>
      </c>
      <c r="C374" s="2">
        <f ca="1">IFERROR(__xludf.DUMMYFUNCTION("""COMPUTED_VALUE"""),381)</f>
        <v>381</v>
      </c>
      <c r="D374" s="2">
        <f ca="1">IFERROR(__xludf.DUMMYFUNCTION("""COMPUTED_VALUE"""),381)</f>
        <v>381</v>
      </c>
      <c r="E374" s="2">
        <f ca="1">IFERROR(__xludf.DUMMYFUNCTION("""COMPUTED_VALUE"""),0)</f>
        <v>0</v>
      </c>
    </row>
    <row r="375" spans="1:5" ht="12.75">
      <c r="A375" s="2" t="str">
        <f ca="1">IFERROR(__xludf.DUMMYFUNCTION("""COMPUTED_VALUE"""),"HKTHU2519")</f>
        <v>HKTHU2519</v>
      </c>
      <c r="B375" s="2">
        <f ca="1">IFERROR(__xludf.DUMMYFUNCTION("""COMPUTED_VALUE"""),108)</f>
        <v>108</v>
      </c>
      <c r="C375" s="2">
        <f ca="1">IFERROR(__xludf.DUMMYFUNCTION("""COMPUTED_VALUE"""),108)</f>
        <v>108</v>
      </c>
      <c r="D375" s="2">
        <f ca="1">IFERROR(__xludf.DUMMYFUNCTION("""COMPUTED_VALUE"""),108)</f>
        <v>108</v>
      </c>
      <c r="E375" s="2">
        <f ca="1">IFERROR(__xludf.DUMMYFUNCTION("""COMPUTED_VALUE"""),0)</f>
        <v>0</v>
      </c>
    </row>
    <row r="376" spans="1:5" ht="12.75">
      <c r="A376" s="2" t="str">
        <f ca="1">IFERROR(__xludf.DUMMYFUNCTION("""COMPUTED_VALUE"""),"HKTHU2522")</f>
        <v>HKTHU2522</v>
      </c>
      <c r="B376" s="2">
        <f ca="1">IFERROR(__xludf.DUMMYFUNCTION("""COMPUTED_VALUE"""),724)</f>
        <v>724</v>
      </c>
      <c r="C376" s="2">
        <f ca="1">IFERROR(__xludf.DUMMYFUNCTION("""COMPUTED_VALUE"""),752)</f>
        <v>752</v>
      </c>
      <c r="D376" s="2">
        <f ca="1">IFERROR(__xludf.DUMMYFUNCTION("""COMPUTED_VALUE"""),724)</f>
        <v>724</v>
      </c>
      <c r="E376" s="2">
        <f ca="1">IFERROR(__xludf.DUMMYFUNCTION("""COMPUTED_VALUE"""),28)</f>
        <v>28</v>
      </c>
    </row>
    <row r="377" spans="1:5" ht="12.75">
      <c r="A377" s="2" t="str">
        <f ca="1">IFERROR(__xludf.DUMMYFUNCTION("""COMPUTED_VALUE"""),"HKTHU2812")</f>
        <v>HKTHU2812</v>
      </c>
      <c r="B377" s="2">
        <f ca="1">IFERROR(__xludf.DUMMYFUNCTION("""COMPUTED_VALUE"""),383)</f>
        <v>383</v>
      </c>
      <c r="C377" s="2">
        <f ca="1">IFERROR(__xludf.DUMMYFUNCTION("""COMPUTED_VALUE"""),387)</f>
        <v>387</v>
      </c>
      <c r="D377" s="2">
        <f ca="1">IFERROR(__xludf.DUMMYFUNCTION("""COMPUTED_VALUE"""),383)</f>
        <v>383</v>
      </c>
      <c r="E377" s="2">
        <f ca="1">IFERROR(__xludf.DUMMYFUNCTION("""COMPUTED_VALUE"""),4)</f>
        <v>4</v>
      </c>
    </row>
    <row r="378" spans="1:5" ht="12.75">
      <c r="A378" s="2" t="str">
        <f ca="1">IFERROR(__xludf.DUMMYFUNCTION("""COMPUTED_VALUE"""),"HKTHU2816")</f>
        <v>HKTHU2816</v>
      </c>
      <c r="B378" s="2">
        <f ca="1">IFERROR(__xludf.DUMMYFUNCTION("""COMPUTED_VALUE"""),316)</f>
        <v>316</v>
      </c>
      <c r="C378" s="2">
        <f ca="1">IFERROR(__xludf.DUMMYFUNCTION("""COMPUTED_VALUE"""),316)</f>
        <v>316</v>
      </c>
      <c r="D378" s="2">
        <f ca="1">IFERROR(__xludf.DUMMYFUNCTION("""COMPUTED_VALUE"""),316)</f>
        <v>316</v>
      </c>
      <c r="E378" s="2">
        <f ca="1">IFERROR(__xludf.DUMMYFUNCTION("""COMPUTED_VALUE"""),0)</f>
        <v>0</v>
      </c>
    </row>
    <row r="379" spans="1:5" ht="12.75">
      <c r="A379" s="2" t="str">
        <f ca="1">IFERROR(__xludf.DUMMYFUNCTION("""COMPUTED_VALUE"""),"HKTHU2819")</f>
        <v>HKTHU2819</v>
      </c>
      <c r="B379" s="2">
        <f ca="1">IFERROR(__xludf.DUMMYFUNCTION("""COMPUTED_VALUE"""),461)</f>
        <v>461</v>
      </c>
      <c r="C379" s="2">
        <f ca="1">IFERROR(__xludf.DUMMYFUNCTION("""COMPUTED_VALUE"""),523)</f>
        <v>523</v>
      </c>
      <c r="D379" s="2">
        <f ca="1">IFERROR(__xludf.DUMMYFUNCTION("""COMPUTED_VALUE"""),461)</f>
        <v>461</v>
      </c>
      <c r="E379" s="2">
        <f ca="1">IFERROR(__xludf.DUMMYFUNCTION("""COMPUTED_VALUE"""),62)</f>
        <v>62</v>
      </c>
    </row>
    <row r="380" spans="1:5" ht="12.75">
      <c r="A380" s="2" t="str">
        <f ca="1">IFERROR(__xludf.DUMMYFUNCTION("""COMPUTED_VALUE"""),"HKTHU2822")</f>
        <v>HKTHU2822</v>
      </c>
      <c r="B380" s="2">
        <f ca="1">IFERROR(__xludf.DUMMYFUNCTION("""COMPUTED_VALUE"""),2091)</f>
        <v>2091</v>
      </c>
      <c r="C380" s="2">
        <f ca="1">IFERROR(__xludf.DUMMYFUNCTION("""COMPUTED_VALUE"""),2099)</f>
        <v>2099</v>
      </c>
      <c r="D380" s="2">
        <f ca="1">IFERROR(__xludf.DUMMYFUNCTION("""COMPUTED_VALUE"""),2091)</f>
        <v>2091</v>
      </c>
      <c r="E380" s="2">
        <f ca="1">IFERROR(__xludf.DUMMYFUNCTION("""COMPUTED_VALUE"""),8)</f>
        <v>8</v>
      </c>
    </row>
    <row r="381" spans="1:5" ht="12.75">
      <c r="A381" s="2" t="str">
        <f ca="1">IFERROR(__xludf.DUMMYFUNCTION("""COMPUTED_VALUE"""),"HKTHU2825")</f>
        <v>HKTHU2825</v>
      </c>
      <c r="B381" s="2">
        <f ca="1">IFERROR(__xludf.DUMMYFUNCTION("""COMPUTED_VALUE"""),448)</f>
        <v>448</v>
      </c>
      <c r="C381" s="2">
        <f ca="1">IFERROR(__xludf.DUMMYFUNCTION("""COMPUTED_VALUE"""),543)</f>
        <v>543</v>
      </c>
      <c r="D381" s="2">
        <f ca="1">IFERROR(__xludf.DUMMYFUNCTION("""COMPUTED_VALUE"""),448)</f>
        <v>448</v>
      </c>
      <c r="E381" s="2">
        <f ca="1">IFERROR(__xludf.DUMMYFUNCTION("""COMPUTED_VALUE"""),95)</f>
        <v>95</v>
      </c>
    </row>
    <row r="382" spans="1:5" ht="12.75">
      <c r="A382" s="2" t="str">
        <f ca="1">IFERROR(__xludf.DUMMYFUNCTION("""COMPUTED_VALUE"""),"HKTHU3225")</f>
        <v>HKTHU3225</v>
      </c>
      <c r="B382" s="2">
        <f ca="1">IFERROR(__xludf.DUMMYFUNCTION("""COMPUTED_VALUE"""),174)</f>
        <v>174</v>
      </c>
      <c r="C382" s="2">
        <f ca="1">IFERROR(__xludf.DUMMYFUNCTION("""COMPUTED_VALUE"""),203)</f>
        <v>203</v>
      </c>
      <c r="D382" s="2">
        <f ca="1">IFERROR(__xludf.DUMMYFUNCTION("""COMPUTED_VALUE"""),174)</f>
        <v>174</v>
      </c>
      <c r="E382" s="2">
        <f ca="1">IFERROR(__xludf.DUMMYFUNCTION("""COMPUTED_VALUE"""),29)</f>
        <v>29</v>
      </c>
    </row>
    <row r="383" spans="1:5" ht="12.75">
      <c r="A383" s="2" t="str">
        <f ca="1">IFERROR(__xludf.DUMMYFUNCTION("""COMPUTED_VALUE"""),"HKTHU3228")</f>
        <v>HKTHU3228</v>
      </c>
      <c r="B383" s="2">
        <f ca="1">IFERROR(__xludf.DUMMYFUNCTION("""COMPUTED_VALUE"""),415)</f>
        <v>415</v>
      </c>
      <c r="C383" s="2">
        <f ca="1">IFERROR(__xludf.DUMMYFUNCTION("""COMPUTED_VALUE"""),415)</f>
        <v>415</v>
      </c>
      <c r="D383" s="2">
        <f ca="1">IFERROR(__xludf.DUMMYFUNCTION("""COMPUTED_VALUE"""),415)</f>
        <v>415</v>
      </c>
      <c r="E383" s="2">
        <f ca="1">IFERROR(__xludf.DUMMYFUNCTION("""COMPUTED_VALUE"""),0)</f>
        <v>0</v>
      </c>
    </row>
    <row r="384" spans="1:5" ht="12.75">
      <c r="A384" s="2" t="str">
        <f ca="1">IFERROR(__xludf.DUMMYFUNCTION("""COMPUTED_VALUE"""),"HKTHU3512")</f>
        <v>HKTHU3512</v>
      </c>
      <c r="B384" s="2">
        <f ca="1">IFERROR(__xludf.DUMMYFUNCTION("""COMPUTED_VALUE"""),597)</f>
        <v>597</v>
      </c>
      <c r="C384" s="2">
        <f ca="1">IFERROR(__xludf.DUMMYFUNCTION("""COMPUTED_VALUE"""),597)</f>
        <v>597</v>
      </c>
      <c r="D384" s="2">
        <f ca="1">IFERROR(__xludf.DUMMYFUNCTION("""COMPUTED_VALUE"""),597)</f>
        <v>597</v>
      </c>
      <c r="E384" s="2">
        <f ca="1">IFERROR(__xludf.DUMMYFUNCTION("""COMPUTED_VALUE"""),0)</f>
        <v>0</v>
      </c>
    </row>
    <row r="385" spans="1:5" ht="12.75">
      <c r="A385" s="2" t="str">
        <f ca="1">IFERROR(__xludf.DUMMYFUNCTION("""COMPUTED_VALUE"""),"HKTHU3516")</f>
        <v>HKTHU3516</v>
      </c>
      <c r="B385" s="2">
        <f ca="1">IFERROR(__xludf.DUMMYFUNCTION("""COMPUTED_VALUE"""),297)</f>
        <v>297</v>
      </c>
      <c r="C385" s="2">
        <f ca="1">IFERROR(__xludf.DUMMYFUNCTION("""COMPUTED_VALUE"""),297)</f>
        <v>297</v>
      </c>
      <c r="D385" s="2">
        <f ca="1">IFERROR(__xludf.DUMMYFUNCTION("""COMPUTED_VALUE"""),297)</f>
        <v>297</v>
      </c>
      <c r="E385" s="2">
        <f ca="1">IFERROR(__xludf.DUMMYFUNCTION("""COMPUTED_VALUE"""),0)</f>
        <v>0</v>
      </c>
    </row>
    <row r="386" spans="1:5" ht="12.75">
      <c r="A386" s="2" t="str">
        <f ca="1">IFERROR(__xludf.DUMMYFUNCTION("""COMPUTED_VALUE"""),"HKTHU3519")</f>
        <v>HKTHU3519</v>
      </c>
      <c r="B386" s="2">
        <f ca="1">IFERROR(__xludf.DUMMYFUNCTION("""COMPUTED_VALUE"""),348)</f>
        <v>348</v>
      </c>
      <c r="C386" s="2">
        <f ca="1">IFERROR(__xludf.DUMMYFUNCTION("""COMPUTED_VALUE"""),351)</f>
        <v>351</v>
      </c>
      <c r="D386" s="2">
        <f ca="1">IFERROR(__xludf.DUMMYFUNCTION("""COMPUTED_VALUE"""),348)</f>
        <v>348</v>
      </c>
      <c r="E386" s="2">
        <f ca="1">IFERROR(__xludf.DUMMYFUNCTION("""COMPUTED_VALUE"""),3)</f>
        <v>3</v>
      </c>
    </row>
    <row r="387" spans="1:5" ht="12.75">
      <c r="A387" s="2" t="str">
        <f ca="1">IFERROR(__xludf.DUMMYFUNCTION("""COMPUTED_VALUE"""),"HKTHU3522")</f>
        <v>HKTHU3522</v>
      </c>
      <c r="B387" s="2">
        <f ca="1">IFERROR(__xludf.DUMMYFUNCTION("""COMPUTED_VALUE"""),832)</f>
        <v>832</v>
      </c>
      <c r="C387" s="2">
        <f ca="1">IFERROR(__xludf.DUMMYFUNCTION("""COMPUTED_VALUE"""),838)</f>
        <v>838</v>
      </c>
      <c r="D387" s="2">
        <f ca="1">IFERROR(__xludf.DUMMYFUNCTION("""COMPUTED_VALUE"""),832)</f>
        <v>832</v>
      </c>
      <c r="E387" s="2">
        <f ca="1">IFERROR(__xludf.DUMMYFUNCTION("""COMPUTED_VALUE"""),6)</f>
        <v>6</v>
      </c>
    </row>
    <row r="388" spans="1:5" ht="12.75">
      <c r="A388" s="2" t="str">
        <f ca="1">IFERROR(__xludf.DUMMYFUNCTION("""COMPUTED_VALUE"""),"HKTHU3525")</f>
        <v>HKTHU3525</v>
      </c>
      <c r="B388" s="2">
        <f ca="1">IFERROR(__xludf.DUMMYFUNCTION("""COMPUTED_VALUE"""),700)</f>
        <v>700</v>
      </c>
      <c r="C388" s="2">
        <f ca="1">IFERROR(__xludf.DUMMYFUNCTION("""COMPUTED_VALUE"""),700)</f>
        <v>700</v>
      </c>
      <c r="D388" s="2">
        <f ca="1">IFERROR(__xludf.DUMMYFUNCTION("""COMPUTED_VALUE"""),700)</f>
        <v>700</v>
      </c>
      <c r="E388" s="2">
        <f ca="1">IFERROR(__xludf.DUMMYFUNCTION("""COMPUTED_VALUE"""),0)</f>
        <v>0</v>
      </c>
    </row>
    <row r="389" spans="1:5" ht="12.75">
      <c r="A389" s="2" t="str">
        <f ca="1">IFERROR(__xludf.DUMMYFUNCTION("""COMPUTED_VALUE"""),"HKTHU3528")</f>
        <v>HKTHU3528</v>
      </c>
      <c r="B389" s="2">
        <f ca="1">IFERROR(__xludf.DUMMYFUNCTION("""COMPUTED_VALUE"""),1696)</f>
        <v>1696</v>
      </c>
      <c r="C389" s="2">
        <f ca="1">IFERROR(__xludf.DUMMYFUNCTION("""COMPUTED_VALUE"""),1706)</f>
        <v>1706</v>
      </c>
      <c r="D389" s="2">
        <f ca="1">IFERROR(__xludf.DUMMYFUNCTION("""COMPUTED_VALUE"""),1696)</f>
        <v>1696</v>
      </c>
      <c r="E389" s="2">
        <f ca="1">IFERROR(__xludf.DUMMYFUNCTION("""COMPUTED_VALUE"""),10)</f>
        <v>10</v>
      </c>
    </row>
    <row r="390" spans="1:5" ht="12.75">
      <c r="A390" s="2" t="str">
        <f ca="1">IFERROR(__xludf.DUMMYFUNCTION("""COMPUTED_VALUE"""),"HKTHU3825")</f>
        <v>HKTHU3825</v>
      </c>
      <c r="B390" s="2">
        <f ca="1">IFERROR(__xludf.DUMMYFUNCTION("""COMPUTED_VALUE"""),6)</f>
        <v>6</v>
      </c>
      <c r="C390" s="2">
        <f ca="1">IFERROR(__xludf.DUMMYFUNCTION("""COMPUTED_VALUE"""),306)</f>
        <v>306</v>
      </c>
      <c r="D390" s="2">
        <f ca="1">IFERROR(__xludf.DUMMYFUNCTION("""COMPUTED_VALUE"""),306)</f>
        <v>306</v>
      </c>
      <c r="E390" s="2">
        <f ca="1">IFERROR(__xludf.DUMMYFUNCTION("""COMPUTED_VALUE"""),0)</f>
        <v>0</v>
      </c>
    </row>
    <row r="391" spans="1:5" ht="12.75">
      <c r="A391" s="2" t="str">
        <f ca="1">IFERROR(__xludf.DUMMYFUNCTION("""COMPUTED_VALUE"""),"HKTHU3832")</f>
        <v>HKTHU3832</v>
      </c>
      <c r="B391" s="2">
        <f ca="1">IFERROR(__xludf.DUMMYFUNCTION("""COMPUTED_VALUE"""),448)</f>
        <v>448</v>
      </c>
      <c r="C391" s="2">
        <f ca="1">IFERROR(__xludf.DUMMYFUNCTION("""COMPUTED_VALUE"""),448)</f>
        <v>448</v>
      </c>
      <c r="D391" s="2">
        <f ca="1">IFERROR(__xludf.DUMMYFUNCTION("""COMPUTED_VALUE"""),448)</f>
        <v>448</v>
      </c>
      <c r="E391" s="2">
        <f ca="1">IFERROR(__xludf.DUMMYFUNCTION("""COMPUTED_VALUE"""),0)</f>
        <v>0</v>
      </c>
    </row>
    <row r="392" spans="1:5" ht="12.75">
      <c r="A392" s="2" t="str">
        <f ca="1">IFERROR(__xludf.DUMMYFUNCTION("""COMPUTED_VALUE"""),"HKTHU38-35")</f>
        <v>HKTHU38-35</v>
      </c>
      <c r="B392" s="2">
        <f ca="1">IFERROR(__xludf.DUMMYFUNCTION("""COMPUTED_VALUE"""),479)</f>
        <v>479</v>
      </c>
      <c r="C392" s="2">
        <f ca="1">IFERROR(__xludf.DUMMYFUNCTION("""COMPUTED_VALUE"""),585)</f>
        <v>585</v>
      </c>
      <c r="D392" s="2">
        <f ca="1">IFERROR(__xludf.DUMMYFUNCTION("""COMPUTED_VALUE"""),479)</f>
        <v>479</v>
      </c>
      <c r="E392" s="2">
        <f ca="1">IFERROR(__xludf.DUMMYFUNCTION("""COMPUTED_VALUE"""),106)</f>
        <v>106</v>
      </c>
    </row>
    <row r="393" spans="1:5" ht="12.75">
      <c r="A393" s="2" t="str">
        <f ca="1">IFERROR(__xludf.DUMMYFUNCTION("""COMPUTED_VALUE"""),"HKTHU4216")</f>
        <v>HKTHU4216</v>
      </c>
      <c r="B393" s="2">
        <f ca="1">IFERROR(__xludf.DUMMYFUNCTION("""COMPUTED_VALUE"""),197)</f>
        <v>197</v>
      </c>
      <c r="C393" s="2">
        <f ca="1">IFERROR(__xludf.DUMMYFUNCTION("""COMPUTED_VALUE"""),199)</f>
        <v>199</v>
      </c>
      <c r="D393" s="2">
        <f ca="1">IFERROR(__xludf.DUMMYFUNCTION("""COMPUTED_VALUE"""),197)</f>
        <v>197</v>
      </c>
      <c r="E393" s="2">
        <f ca="1">IFERROR(__xludf.DUMMYFUNCTION("""COMPUTED_VALUE"""),2)</f>
        <v>2</v>
      </c>
    </row>
    <row r="394" spans="1:5" ht="12.75">
      <c r="A394" s="2" t="str">
        <f ca="1">IFERROR(__xludf.DUMMYFUNCTION("""COMPUTED_VALUE"""),"HKTHU4219")</f>
        <v>HKTHU4219</v>
      </c>
      <c r="B394" s="2">
        <f ca="1">IFERROR(__xludf.DUMMYFUNCTION("""COMPUTED_VALUE"""),146)</f>
        <v>146</v>
      </c>
      <c r="C394" s="2">
        <f ca="1">IFERROR(__xludf.DUMMYFUNCTION("""COMPUTED_VALUE"""),167)</f>
        <v>167</v>
      </c>
      <c r="D394" s="2">
        <f ca="1">IFERROR(__xludf.DUMMYFUNCTION("""COMPUTED_VALUE"""),146)</f>
        <v>146</v>
      </c>
      <c r="E394" s="2">
        <f ca="1">IFERROR(__xludf.DUMMYFUNCTION("""COMPUTED_VALUE"""),21)</f>
        <v>21</v>
      </c>
    </row>
    <row r="395" spans="1:5" ht="12.75">
      <c r="A395" s="2" t="str">
        <f ca="1">IFERROR(__xludf.DUMMYFUNCTION("""COMPUTED_VALUE"""),"HKTHU4222")</f>
        <v>HKTHU4222</v>
      </c>
      <c r="B395" s="2">
        <f ca="1">IFERROR(__xludf.DUMMYFUNCTION("""COMPUTED_VALUE"""),323)</f>
        <v>323</v>
      </c>
      <c r="C395" s="2">
        <f ca="1">IFERROR(__xludf.DUMMYFUNCTION("""COMPUTED_VALUE"""),323)</f>
        <v>323</v>
      </c>
      <c r="D395" s="2">
        <f ca="1">IFERROR(__xludf.DUMMYFUNCTION("""COMPUTED_VALUE"""),323)</f>
        <v>323</v>
      </c>
      <c r="E395" s="2">
        <f ca="1">IFERROR(__xludf.DUMMYFUNCTION("""COMPUTED_VALUE"""),0)</f>
        <v>0</v>
      </c>
    </row>
    <row r="396" spans="1:5" ht="12.75">
      <c r="A396" s="2" t="str">
        <f ca="1">IFERROR(__xludf.DUMMYFUNCTION("""COMPUTED_VALUE"""),"HKTHU4228")</f>
        <v>HKTHU4228</v>
      </c>
      <c r="B396" s="2">
        <f ca="1">IFERROR(__xludf.DUMMYFUNCTION("""COMPUTED_VALUE"""),484)</f>
        <v>484</v>
      </c>
      <c r="C396" s="2">
        <f ca="1">IFERROR(__xludf.DUMMYFUNCTION("""COMPUTED_VALUE"""),489)</f>
        <v>489</v>
      </c>
      <c r="D396" s="2">
        <f ca="1">IFERROR(__xludf.DUMMYFUNCTION("""COMPUTED_VALUE"""),484)</f>
        <v>484</v>
      </c>
      <c r="E396" s="2">
        <f ca="1">IFERROR(__xludf.DUMMYFUNCTION("""COMPUTED_VALUE"""),5)</f>
        <v>5</v>
      </c>
    </row>
    <row r="397" spans="1:5" ht="12.75">
      <c r="A397" s="2" t="str">
        <f ca="1">IFERROR(__xludf.DUMMYFUNCTION("""COMPUTED_VALUE"""),"HKTHU4235")</f>
        <v>HKTHU4235</v>
      </c>
      <c r="B397" s="2">
        <f ca="1">IFERROR(__xludf.DUMMYFUNCTION("""COMPUTED_VALUE"""),956)</f>
        <v>956</v>
      </c>
      <c r="C397" s="2">
        <f ca="1">IFERROR(__xludf.DUMMYFUNCTION("""COMPUTED_VALUE"""),974)</f>
        <v>974</v>
      </c>
      <c r="D397" s="2">
        <f ca="1">IFERROR(__xludf.DUMMYFUNCTION("""COMPUTED_VALUE"""),956)</f>
        <v>956</v>
      </c>
      <c r="E397" s="2">
        <f ca="1">IFERROR(__xludf.DUMMYFUNCTION("""COMPUTED_VALUE"""),18)</f>
        <v>18</v>
      </c>
    </row>
    <row r="398" spans="1:5" ht="12.75">
      <c r="A398" s="2" t="str">
        <f ca="1">IFERROR(__xludf.DUMMYFUNCTION("""COMPUTED_VALUE"""),"HKTHU4238")</f>
        <v>HKTHU4238</v>
      </c>
      <c r="B398" s="2">
        <f ca="1">IFERROR(__xludf.DUMMYFUNCTION("""COMPUTED_VALUE"""),150)</f>
        <v>150</v>
      </c>
      <c r="C398" s="2">
        <f ca="1">IFERROR(__xludf.DUMMYFUNCTION("""COMPUTED_VALUE"""),171)</f>
        <v>171</v>
      </c>
      <c r="D398" s="2">
        <f ca="1">IFERROR(__xludf.DUMMYFUNCTION("""COMPUTED_VALUE"""),150)</f>
        <v>150</v>
      </c>
      <c r="E398" s="2">
        <f ca="1">IFERROR(__xludf.DUMMYFUNCTION("""COMPUTED_VALUE"""),21)</f>
        <v>21</v>
      </c>
    </row>
    <row r="399" spans="1:5" ht="12.75">
      <c r="A399" s="2" t="str">
        <f ca="1">IFERROR(__xludf.DUMMYFUNCTION("""COMPUTED_VALUE"""),"HKTHU5428")</f>
        <v>HKTHU5428</v>
      </c>
      <c r="B399" s="2">
        <f ca="1">IFERROR(__xludf.DUMMYFUNCTION("""COMPUTED_VALUE"""),484)</f>
        <v>484</v>
      </c>
      <c r="C399" s="2">
        <f ca="1">IFERROR(__xludf.DUMMYFUNCTION("""COMPUTED_VALUE"""),500)</f>
        <v>500</v>
      </c>
      <c r="D399" s="2">
        <f ca="1">IFERROR(__xludf.DUMMYFUNCTION("""COMPUTED_VALUE"""),484)</f>
        <v>484</v>
      </c>
      <c r="E399" s="2">
        <f ca="1">IFERROR(__xludf.DUMMYFUNCTION("""COMPUTED_VALUE"""),16)</f>
        <v>16</v>
      </c>
    </row>
    <row r="400" spans="1:5" ht="12.75">
      <c r="A400" s="2" t="str">
        <f ca="1">IFERROR(__xludf.DUMMYFUNCTION("""COMPUTED_VALUE"""),"HKTHU5435")</f>
        <v>HKTHU5435</v>
      </c>
      <c r="B400" s="2">
        <f ca="1">IFERROR(__xludf.DUMMYFUNCTION("""COMPUTED_VALUE"""),386)</f>
        <v>386</v>
      </c>
      <c r="C400" s="2">
        <f ca="1">IFERROR(__xludf.DUMMYFUNCTION("""COMPUTED_VALUE"""),407)</f>
        <v>407</v>
      </c>
      <c r="D400" s="2">
        <f ca="1">IFERROR(__xludf.DUMMYFUNCTION("""COMPUTED_VALUE"""),386)</f>
        <v>386</v>
      </c>
      <c r="E400" s="2">
        <f ca="1">IFERROR(__xludf.DUMMYFUNCTION("""COMPUTED_VALUE"""),21)</f>
        <v>21</v>
      </c>
    </row>
    <row r="401" spans="1:5" ht="12.75">
      <c r="A401" s="2" t="str">
        <f ca="1">IFERROR(__xludf.DUMMYFUNCTION("""COMPUTED_VALUE"""),"HKTHU5442")</f>
        <v>HKTHU5442</v>
      </c>
      <c r="B401" s="2">
        <f ca="1">IFERROR(__xludf.DUMMYFUNCTION("""COMPUTED_VALUE"""),262)</f>
        <v>262</v>
      </c>
      <c r="C401" s="2">
        <f ca="1">IFERROR(__xludf.DUMMYFUNCTION("""COMPUTED_VALUE"""),262)</f>
        <v>262</v>
      </c>
      <c r="D401" s="2">
        <f ca="1">IFERROR(__xludf.DUMMYFUNCTION("""COMPUTED_VALUE"""),262)</f>
        <v>262</v>
      </c>
      <c r="E401" s="2">
        <f ca="1">IFERROR(__xludf.DUMMYFUNCTION("""COMPUTED_VALUE"""),0)</f>
        <v>0</v>
      </c>
    </row>
    <row r="402" spans="1:5" ht="12.75">
      <c r="A402" s="2" t="str">
        <f ca="1">IFERROR(__xludf.DUMMYFUNCTION("""COMPUTED_VALUE"""),"HKTHU6719")</f>
        <v>HKTHU6719</v>
      </c>
      <c r="B402" s="2">
        <f ca="1">IFERROR(__xludf.DUMMYFUNCTION("""COMPUTED_VALUE"""),236)</f>
        <v>236</v>
      </c>
      <c r="C402" s="2">
        <f ca="1">IFERROR(__xludf.DUMMYFUNCTION("""COMPUTED_VALUE"""),236)</f>
        <v>236</v>
      </c>
      <c r="D402" s="2">
        <f ca="1">IFERROR(__xludf.DUMMYFUNCTION("""COMPUTED_VALUE"""),236)</f>
        <v>236</v>
      </c>
      <c r="E402" s="2">
        <f ca="1">IFERROR(__xludf.DUMMYFUNCTION("""COMPUTED_VALUE"""),0)</f>
        <v>0</v>
      </c>
    </row>
    <row r="403" spans="1:5" ht="12.75">
      <c r="A403" s="2" t="str">
        <f ca="1">IFERROR(__xludf.DUMMYFUNCTION("""COMPUTED_VALUE"""),"HKTHU6728")</f>
        <v>HKTHU6728</v>
      </c>
      <c r="B403" s="2">
        <f ca="1">IFERROR(__xludf.DUMMYFUNCTION("""COMPUTED_VALUE"""),59)</f>
        <v>59</v>
      </c>
      <c r="C403" s="2">
        <f ca="1">IFERROR(__xludf.DUMMYFUNCTION("""COMPUTED_VALUE"""),67)</f>
        <v>67</v>
      </c>
      <c r="D403" s="2">
        <f ca="1">IFERROR(__xludf.DUMMYFUNCTION("""COMPUTED_VALUE"""),59)</f>
        <v>59</v>
      </c>
      <c r="E403" s="2">
        <f ca="1">IFERROR(__xludf.DUMMYFUNCTION("""COMPUTED_VALUE"""),8)</f>
        <v>8</v>
      </c>
    </row>
    <row r="404" spans="1:5" ht="12.75">
      <c r="A404" s="2" t="str">
        <f ca="1">IFERROR(__xludf.DUMMYFUNCTION("""COMPUTED_VALUE"""),"HKTHU6742")</f>
        <v>HKTHU6742</v>
      </c>
      <c r="B404" s="2">
        <f ca="1">IFERROR(__xludf.DUMMYFUNCTION("""COMPUTED_VALUE"""),154)</f>
        <v>154</v>
      </c>
      <c r="C404" s="2">
        <f ca="1">IFERROR(__xludf.DUMMYFUNCTION("""COMPUTED_VALUE"""),170)</f>
        <v>170</v>
      </c>
      <c r="D404" s="2">
        <f ca="1">IFERROR(__xludf.DUMMYFUNCTION("""COMPUTED_VALUE"""),154)</f>
        <v>154</v>
      </c>
      <c r="E404" s="2">
        <f ca="1">IFERROR(__xludf.DUMMYFUNCTION("""COMPUTED_VALUE"""),16)</f>
        <v>16</v>
      </c>
    </row>
    <row r="405" spans="1:5" ht="12.75">
      <c r="A405" s="2" t="str">
        <f ca="1">IFERROR(__xludf.DUMMYFUNCTION("""COMPUTED_VALUE"""),"HKTHU6754")</f>
        <v>HKTHU6754</v>
      </c>
      <c r="B405" s="2">
        <f ca="1">IFERROR(__xludf.DUMMYFUNCTION("""COMPUTED_VALUE"""),118)</f>
        <v>118</v>
      </c>
      <c r="C405" s="2">
        <f ca="1">IFERROR(__xludf.DUMMYFUNCTION("""COMPUTED_VALUE"""),135)</f>
        <v>135</v>
      </c>
      <c r="D405" s="2">
        <f ca="1">IFERROR(__xludf.DUMMYFUNCTION("""COMPUTED_VALUE"""),118)</f>
        <v>118</v>
      </c>
      <c r="E405" s="2">
        <f ca="1">IFERROR(__xludf.DUMMYFUNCTION("""COMPUTED_VALUE"""),17)</f>
        <v>17</v>
      </c>
    </row>
    <row r="406" spans="1:5" ht="12.75">
      <c r="A406" s="2" t="str">
        <f ca="1">IFERROR(__xludf.DUMMYFUNCTION("""COMPUTED_VALUE"""),"HKTHU7642")</f>
        <v>HKTHU7642</v>
      </c>
      <c r="B406" s="2">
        <f ca="1">IFERROR(__xludf.DUMMYFUNCTION("""COMPUTED_VALUE"""),222)</f>
        <v>222</v>
      </c>
      <c r="C406" s="2">
        <f ca="1">IFERROR(__xludf.DUMMYFUNCTION("""COMPUTED_VALUE"""),222)</f>
        <v>222</v>
      </c>
      <c r="D406" s="2">
        <f ca="1">IFERROR(__xludf.DUMMYFUNCTION("""COMPUTED_VALUE"""),222)</f>
        <v>222</v>
      </c>
      <c r="E406" s="2">
        <f ca="1">IFERROR(__xludf.DUMMYFUNCTION("""COMPUTED_VALUE"""),0)</f>
        <v>0</v>
      </c>
    </row>
    <row r="407" spans="1:5" ht="12.75">
      <c r="A407" s="2" t="str">
        <f ca="1">IFERROR(__xludf.DUMMYFUNCTION("""COMPUTED_VALUE"""),"HKTHU7954")</f>
        <v>HKTHU7954</v>
      </c>
      <c r="B407" s="2">
        <f ca="1">IFERROR(__xludf.DUMMYFUNCTION("""COMPUTED_VALUE"""),29)</f>
        <v>29</v>
      </c>
      <c r="C407" s="2">
        <f ca="1">IFERROR(__xludf.DUMMYFUNCTION("""COMPUTED_VALUE"""),29)</f>
        <v>29</v>
      </c>
      <c r="D407" s="2">
        <f ca="1">IFERROR(__xludf.DUMMYFUNCTION("""COMPUTED_VALUE"""),29)</f>
        <v>29</v>
      </c>
      <c r="E407" s="2">
        <f ca="1">IFERROR(__xludf.DUMMYFUNCTION("""COMPUTED_VALUE"""),0)</f>
        <v>0</v>
      </c>
    </row>
    <row r="408" spans="1:5" ht="12.75">
      <c r="A408" s="2" t="str">
        <f ca="1">IFERROR(__xludf.DUMMYFUNCTION("""COMPUTED_VALUE"""),"HKTNL20")</f>
        <v>HKTNL20</v>
      </c>
      <c r="B408" s="2">
        <f ca="1">IFERROR(__xludf.DUMMYFUNCTION("""COMPUTED_VALUE"""),88.8)</f>
        <v>88.8</v>
      </c>
      <c r="C408" s="2">
        <f ca="1">IFERROR(__xludf.DUMMYFUNCTION("""COMPUTED_VALUE"""),88.8)</f>
        <v>88.8</v>
      </c>
      <c r="D408" s="2">
        <f ca="1">IFERROR(__xludf.DUMMYFUNCTION("""COMPUTED_VALUE"""),88.8)</f>
        <v>88.8</v>
      </c>
      <c r="E408" s="2">
        <f ca="1">IFERROR(__xludf.DUMMYFUNCTION("""COMPUTED_VALUE"""),0)</f>
        <v>0</v>
      </c>
    </row>
    <row r="409" spans="1:5" ht="12.75">
      <c r="A409" s="2" t="str">
        <f ca="1">IFERROR(__xludf.DUMMYFUNCTION("""COMPUTED_VALUE"""),"HKTNL22")</f>
        <v>HKTNL22</v>
      </c>
      <c r="B409" s="2">
        <f ca="1">IFERROR(__xludf.DUMMYFUNCTION("""COMPUTED_VALUE"""),153.4)</f>
        <v>153.4</v>
      </c>
      <c r="C409" s="2">
        <f ca="1">IFERROR(__xludf.DUMMYFUNCTION("""COMPUTED_VALUE"""),153.4)</f>
        <v>153.4</v>
      </c>
      <c r="D409" s="2">
        <f ca="1">IFERROR(__xludf.DUMMYFUNCTION("""COMPUTED_VALUE"""),153.4)</f>
        <v>153.4</v>
      </c>
      <c r="E409" s="2">
        <f ca="1">IFERROR(__xludf.DUMMYFUNCTION("""COMPUTED_VALUE"""),0)</f>
        <v>0</v>
      </c>
    </row>
    <row r="410" spans="1:5" ht="12.75">
      <c r="A410" s="2" t="str">
        <f ca="1">IFERROR(__xludf.DUMMYFUNCTION("""COMPUTED_VALUE"""),"HKTNLBODL")</f>
        <v>HKTNLBODL</v>
      </c>
      <c r="B410" s="2">
        <f ca="1">IFERROR(__xludf.DUMMYFUNCTION("""COMPUTED_VALUE"""),6.1)</f>
        <v>6.1</v>
      </c>
      <c r="C410" s="2">
        <f ca="1">IFERROR(__xludf.DUMMYFUNCTION("""COMPUTED_VALUE"""),21.86)</f>
        <v>21.86</v>
      </c>
      <c r="D410" s="2">
        <f ca="1">IFERROR(__xludf.DUMMYFUNCTION("""COMPUTED_VALUE"""),21.86)</f>
        <v>21.86</v>
      </c>
      <c r="E410" s="2">
        <f ca="1">IFERROR(__xludf.DUMMYFUNCTION("""COMPUTED_VALUE"""),0)</f>
        <v>0</v>
      </c>
    </row>
    <row r="411" spans="1:5" ht="12.75">
      <c r="A411" s="2" t="str">
        <f ca="1">IFERROR(__xludf.DUMMYFUNCTION("""COMPUTED_VALUE"""),"HKTOGORD12x18")</f>
        <v>HKTOGORD12x18</v>
      </c>
      <c r="B411" s="2">
        <f ca="1">IFERROR(__xludf.DUMMYFUNCTION("""COMPUTED_VALUE"""),4774)</f>
        <v>4774</v>
      </c>
      <c r="C411" s="2">
        <f ca="1">IFERROR(__xludf.DUMMYFUNCTION("""COMPUTED_VALUE"""),4864)</f>
        <v>4864</v>
      </c>
      <c r="D411" s="2">
        <f ca="1">IFERROR(__xludf.DUMMYFUNCTION("""COMPUTED_VALUE"""),4774)</f>
        <v>4774</v>
      </c>
      <c r="E411" s="2">
        <f ca="1">IFERROR(__xludf.DUMMYFUNCTION("""COMPUTED_VALUE"""),90)</f>
        <v>90</v>
      </c>
    </row>
    <row r="412" spans="1:5" ht="12.75">
      <c r="A412" s="2" t="str">
        <f ca="1">IFERROR(__xludf.DUMMYFUNCTION("""COMPUTED_VALUE"""),"HKTOGORD5.5x9")</f>
        <v>HKTOGORD5.5x9</v>
      </c>
      <c r="B412" s="2">
        <f ca="1">IFERROR(__xludf.DUMMYFUNCTION("""COMPUTED_VALUE"""),1580)</f>
        <v>1580</v>
      </c>
      <c r="C412" s="2">
        <f ca="1">IFERROR(__xludf.DUMMYFUNCTION("""COMPUTED_VALUE"""),1580)</f>
        <v>1580</v>
      </c>
      <c r="D412" s="2">
        <f ca="1">IFERROR(__xludf.DUMMYFUNCTION("""COMPUTED_VALUE"""),1580)</f>
        <v>1580</v>
      </c>
      <c r="E412" s="2">
        <f ca="1">IFERROR(__xludf.DUMMYFUNCTION("""COMPUTED_VALUE"""),0)</f>
        <v>0</v>
      </c>
    </row>
    <row r="413" spans="1:5" ht="12.75">
      <c r="A413" s="2" t="str">
        <f ca="1">IFERROR(__xludf.DUMMYFUNCTION("""COMPUTED_VALUE"""),"HKTOGTAISEI12x18")</f>
        <v>HKTOGTAISEI12x18</v>
      </c>
      <c r="B413" s="2">
        <f ca="1">IFERROR(__xludf.DUMMYFUNCTION("""COMPUTED_VALUE"""),4402)</f>
        <v>4402</v>
      </c>
      <c r="C413" s="2">
        <f ca="1">IFERROR(__xludf.DUMMYFUNCTION("""COMPUTED_VALUE"""),5270)</f>
        <v>5270</v>
      </c>
      <c r="D413" s="2">
        <f ca="1">IFERROR(__xludf.DUMMYFUNCTION("""COMPUTED_VALUE"""),5270)</f>
        <v>5270</v>
      </c>
      <c r="E413" s="2">
        <f ca="1">IFERROR(__xludf.DUMMYFUNCTION("""COMPUTED_VALUE"""),0)</f>
        <v>0</v>
      </c>
    </row>
    <row r="414" spans="1:5" ht="12.75">
      <c r="A414" s="2" t="str">
        <f ca="1">IFERROR(__xludf.DUMMYFUNCTION("""COMPUTED_VALUE"""),"HKTOGTAISEI5.5x9")</f>
        <v>HKTOGTAISEI5.5x9</v>
      </c>
      <c r="B414" s="2">
        <f ca="1">IFERROR(__xludf.DUMMYFUNCTION("""COMPUTED_VALUE"""),1594)</f>
        <v>1594</v>
      </c>
      <c r="C414" s="2">
        <f ca="1">IFERROR(__xludf.DUMMYFUNCTION("""COMPUTED_VALUE"""),1594)</f>
        <v>1594</v>
      </c>
      <c r="D414" s="2">
        <f ca="1">IFERROR(__xludf.DUMMYFUNCTION("""COMPUTED_VALUE"""),1594)</f>
        <v>1594</v>
      </c>
      <c r="E414" s="2">
        <f ca="1">IFERROR(__xludf.DUMMYFUNCTION("""COMPUTED_VALUE"""),0)</f>
        <v>0</v>
      </c>
    </row>
    <row r="415" spans="1:5" ht="12.75">
      <c r="A415" s="2" t="str">
        <f ca="1">IFERROR(__xludf.DUMMYFUNCTION("""COMPUTED_VALUE"""),"HKTTHU1210")</f>
        <v>HKTTHU1210</v>
      </c>
      <c r="B415" s="2">
        <f ca="1">IFERROR(__xludf.DUMMYFUNCTION("""COMPUTED_VALUE"""),699)</f>
        <v>699</v>
      </c>
      <c r="C415" s="2">
        <f ca="1">IFERROR(__xludf.DUMMYFUNCTION("""COMPUTED_VALUE"""),719)</f>
        <v>719</v>
      </c>
      <c r="D415" s="2">
        <f ca="1">IFERROR(__xludf.DUMMYFUNCTION("""COMPUTED_VALUE"""),699)</f>
        <v>699</v>
      </c>
      <c r="E415" s="2">
        <f ca="1">IFERROR(__xludf.DUMMYFUNCTION("""COMPUTED_VALUE"""),20)</f>
        <v>20</v>
      </c>
    </row>
    <row r="416" spans="1:5" ht="12.75">
      <c r="A416" s="2" t="str">
        <f ca="1">IFERROR(__xludf.DUMMYFUNCTION("""COMPUTED_VALUE"""),"HKTTHU1912")</f>
        <v>HKTTHU1912</v>
      </c>
      <c r="B416" s="2">
        <f ca="1">IFERROR(__xludf.DUMMYFUNCTION("""COMPUTED_VALUE"""),361)</f>
        <v>361</v>
      </c>
      <c r="C416" s="2">
        <f ca="1">IFERROR(__xludf.DUMMYFUNCTION("""COMPUTED_VALUE"""),366)</f>
        <v>366</v>
      </c>
      <c r="D416" s="2">
        <f ca="1">IFERROR(__xludf.DUMMYFUNCTION("""COMPUTED_VALUE"""),361)</f>
        <v>361</v>
      </c>
      <c r="E416" s="2">
        <f ca="1">IFERROR(__xludf.DUMMYFUNCTION("""COMPUTED_VALUE"""),5)</f>
        <v>5</v>
      </c>
    </row>
    <row r="417" spans="1:5" ht="12.75">
      <c r="A417" s="2" t="str">
        <f ca="1">IFERROR(__xludf.DUMMYFUNCTION("""COMPUTED_VALUE"""),"HKTTHU2816")</f>
        <v>HKTTHU2816</v>
      </c>
      <c r="B417" s="2">
        <f ca="1">IFERROR(__xludf.DUMMYFUNCTION("""COMPUTED_VALUE"""),386)</f>
        <v>386</v>
      </c>
      <c r="C417" s="2">
        <f ca="1">IFERROR(__xludf.DUMMYFUNCTION("""COMPUTED_VALUE"""),391)</f>
        <v>391</v>
      </c>
      <c r="D417" s="2">
        <f ca="1">IFERROR(__xludf.DUMMYFUNCTION("""COMPUTED_VALUE"""),386)</f>
        <v>386</v>
      </c>
      <c r="E417" s="2">
        <f ca="1">IFERROR(__xludf.DUMMYFUNCTION("""COMPUTED_VALUE"""),5)</f>
        <v>5</v>
      </c>
    </row>
    <row r="418" spans="1:5" ht="12.75">
      <c r="A418" s="2" t="str">
        <f ca="1">IFERROR(__xludf.DUMMYFUNCTION("""COMPUTED_VALUE"""),"HKTTHU3222")</f>
        <v>HKTTHU3222</v>
      </c>
      <c r="B418" s="2">
        <f ca="1">IFERROR(__xludf.DUMMYFUNCTION("""COMPUTED_VALUE"""),165)</f>
        <v>165</v>
      </c>
      <c r="C418" s="2">
        <f ca="1">IFERROR(__xludf.DUMMYFUNCTION("""COMPUTED_VALUE"""),170)</f>
        <v>170</v>
      </c>
      <c r="D418" s="2">
        <f ca="1">IFERROR(__xludf.DUMMYFUNCTION("""COMPUTED_VALUE"""),165)</f>
        <v>165</v>
      </c>
      <c r="E418" s="2">
        <f ca="1">IFERROR(__xludf.DUMMYFUNCTION("""COMPUTED_VALUE"""),5)</f>
        <v>5</v>
      </c>
    </row>
    <row r="419" spans="1:5" ht="12.75">
      <c r="A419" s="2" t="str">
        <f ca="1">IFERROR(__xludf.DUMMYFUNCTION("""COMPUTED_VALUE"""),"HKTTHU4228")</f>
        <v>HKTTHU4228</v>
      </c>
      <c r="B419" s="2">
        <f ca="1">IFERROR(__xludf.DUMMYFUNCTION("""COMPUTED_VALUE"""),302)</f>
        <v>302</v>
      </c>
      <c r="C419" s="2">
        <f ca="1">IFERROR(__xludf.DUMMYFUNCTION("""COMPUTED_VALUE"""),302)</f>
        <v>302</v>
      </c>
      <c r="D419" s="2">
        <f ca="1">IFERROR(__xludf.DUMMYFUNCTION("""COMPUTED_VALUE"""),302)</f>
        <v>302</v>
      </c>
      <c r="E419" s="2">
        <f ca="1">IFERROR(__xludf.DUMMYFUNCTION("""COMPUTED_VALUE"""),0)</f>
        <v>0</v>
      </c>
    </row>
    <row r="420" spans="1:5" ht="12.75">
      <c r="A420" s="2" t="str">
        <f ca="1">IFERROR(__xludf.DUMMYFUNCTION("""COMPUTED_VALUE"""),"HKTTHU4235")</f>
        <v>HKTTHU4235</v>
      </c>
      <c r="B420" s="2">
        <f ca="1">IFERROR(__xludf.DUMMYFUNCTION("""COMPUTED_VALUE"""),378)</f>
        <v>378</v>
      </c>
      <c r="C420" s="2">
        <f ca="1">IFERROR(__xludf.DUMMYFUNCTION("""COMPUTED_VALUE"""),378)</f>
        <v>378</v>
      </c>
      <c r="D420" s="2">
        <f ca="1">IFERROR(__xludf.DUMMYFUNCTION("""COMPUTED_VALUE"""),378)</f>
        <v>378</v>
      </c>
      <c r="E420" s="2">
        <f ca="1">IFERROR(__xludf.DUMMYFUNCTION("""COMPUTED_VALUE"""),0)</f>
        <v>0</v>
      </c>
    </row>
    <row r="421" spans="1:5" ht="12.75">
      <c r="A421" s="2" t="str">
        <f ca="1">IFERROR(__xludf.DUMMYFUNCTION("""COMPUTED_VALUE"""),"HKTTHU5442")</f>
        <v>HKTTHU5442</v>
      </c>
      <c r="B421" s="2">
        <f ca="1">IFERROR(__xludf.DUMMYFUNCTION("""COMPUTED_VALUE"""),163)</f>
        <v>163</v>
      </c>
      <c r="C421" s="2">
        <f ca="1">IFERROR(__xludf.DUMMYFUNCTION("""COMPUTED_VALUE"""),166)</f>
        <v>166</v>
      </c>
      <c r="D421" s="2">
        <f ca="1">IFERROR(__xludf.DUMMYFUNCTION("""COMPUTED_VALUE"""),163)</f>
        <v>163</v>
      </c>
      <c r="E421" s="2">
        <f ca="1">IFERROR(__xludf.DUMMYFUNCTION("""COMPUTED_VALUE"""),3)</f>
        <v>3</v>
      </c>
    </row>
    <row r="422" spans="1:5" ht="12.75">
      <c r="A422" s="2" t="str">
        <f ca="1">IFERROR(__xludf.DUMMYFUNCTION("""COMPUTED_VALUE"""),"HKTTHU6754")</f>
        <v>HKTTHU6754</v>
      </c>
      <c r="B422" s="2">
        <f ca="1">IFERROR(__xludf.DUMMYFUNCTION("""COMPUTED_VALUE"""),98)</f>
        <v>98</v>
      </c>
      <c r="C422" s="2">
        <f ca="1">IFERROR(__xludf.DUMMYFUNCTION("""COMPUTED_VALUE"""),98)</f>
        <v>98</v>
      </c>
      <c r="D422" s="2">
        <f ca="1">IFERROR(__xludf.DUMMYFUNCTION("""COMPUTED_VALUE"""),98)</f>
        <v>98</v>
      </c>
      <c r="E422" s="2">
        <f ca="1">IFERROR(__xludf.DUMMYFUNCTION("""COMPUTED_VALUE"""),0)</f>
        <v>0</v>
      </c>
    </row>
    <row r="423" spans="1:5" ht="12.75">
      <c r="A423" s="2" t="str">
        <f ca="1">IFERROR(__xludf.DUMMYFUNCTION("""COMPUTED_VALUE"""),"HKTTHU7642")</f>
        <v>HKTTHU7642</v>
      </c>
      <c r="B423" s="2">
        <f ca="1">IFERROR(__xludf.DUMMYFUNCTION("""COMPUTED_VALUE"""),99)</f>
        <v>99</v>
      </c>
      <c r="C423" s="2">
        <f ca="1">IFERROR(__xludf.DUMMYFUNCTION("""COMPUTED_VALUE"""),99)</f>
        <v>99</v>
      </c>
      <c r="D423" s="2">
        <f ca="1">IFERROR(__xludf.DUMMYFUNCTION("""COMPUTED_VALUE"""),99)</f>
        <v>99</v>
      </c>
      <c r="E423" s="2">
        <f ca="1">IFERROR(__xludf.DUMMYFUNCTION("""COMPUTED_VALUE"""),0)</f>
        <v>0</v>
      </c>
    </row>
    <row r="424" spans="1:5" ht="12.75">
      <c r="A424" s="2" t="str">
        <f ca="1">IFERROR(__xludf.DUMMYFUNCTION("""COMPUTED_VALUE"""),"HKTTHU7667")</f>
        <v>HKTTHU7667</v>
      </c>
      <c r="B424" s="2">
        <f ca="1">IFERROR(__xludf.DUMMYFUNCTION("""COMPUTED_VALUE"""),215)</f>
        <v>215</v>
      </c>
      <c r="C424" s="2">
        <f ca="1">IFERROR(__xludf.DUMMYFUNCTION("""COMPUTED_VALUE"""),215)</f>
        <v>215</v>
      </c>
      <c r="D424" s="2">
        <f ca="1">IFERROR(__xludf.DUMMYFUNCTION("""COMPUTED_VALUE"""),215)</f>
        <v>215</v>
      </c>
      <c r="E424" s="2">
        <f ca="1">IFERROR(__xludf.DUMMYFUNCTION("""COMPUTED_VALUE"""),0)</f>
        <v>0</v>
      </c>
    </row>
    <row r="425" spans="1:5" ht="12.75">
      <c r="A425" s="2" t="str">
        <f ca="1">IFERROR(__xludf.DUMMYFUNCTION("""COMPUTED_VALUE"""),"HKTTPL")</f>
        <v>HKTTPL</v>
      </c>
      <c r="B425" s="2">
        <f ca="1">IFERROR(__xludf.DUMMYFUNCTION("""COMPUTED_VALUE"""),1)</f>
        <v>1</v>
      </c>
      <c r="C425" s="2">
        <f ca="1">IFERROR(__xludf.DUMMYFUNCTION("""COMPUTED_VALUE"""),5)</f>
        <v>5</v>
      </c>
      <c r="D425" s="2">
        <f ca="1">IFERROR(__xludf.DUMMYFUNCTION("""COMPUTED_VALUE"""),5)</f>
        <v>5</v>
      </c>
      <c r="E425" s="2">
        <f ca="1">IFERROR(__xludf.DUMMYFUNCTION("""COMPUTED_VALUE"""),0)</f>
        <v>0</v>
      </c>
    </row>
    <row r="426" spans="1:5" ht="12.75">
      <c r="A426" s="2" t="str">
        <f ca="1">IFERROR(__xludf.DUMMYFUNCTION("""COMPUTED_VALUE"""),"HKTTPP")</f>
        <v>HKTTPP</v>
      </c>
      <c r="B426" s="2">
        <f ca="1">IFERROR(__xludf.DUMMYFUNCTION("""COMPUTED_VALUE"""),2)</f>
        <v>2</v>
      </c>
      <c r="C426" s="2">
        <f ca="1">IFERROR(__xludf.DUMMYFUNCTION("""COMPUTED_VALUE"""),2)</f>
        <v>2</v>
      </c>
      <c r="D426" s="2">
        <f ca="1">IFERROR(__xludf.DUMMYFUNCTION("""COMPUTED_VALUE"""),2)</f>
        <v>2</v>
      </c>
      <c r="E426" s="2">
        <f ca="1">IFERROR(__xludf.DUMMYFUNCTION("""COMPUTED_VALUE"""),0)</f>
        <v>0</v>
      </c>
    </row>
    <row r="427" spans="1:5" ht="12.75">
      <c r="A427" s="2" t="str">
        <f ca="1">IFERROR(__xludf.DUMMYFUNCTION("""COMPUTED_VALUE"""),"HKTTPT")</f>
        <v>HKTTPT</v>
      </c>
      <c r="B427" s="2">
        <f ca="1">IFERROR(__xludf.DUMMYFUNCTION("""COMPUTED_VALUE"""),2)</f>
        <v>2</v>
      </c>
      <c r="C427" s="2">
        <f ca="1">IFERROR(__xludf.DUMMYFUNCTION("""COMPUTED_VALUE"""),2)</f>
        <v>2</v>
      </c>
      <c r="D427" s="2">
        <f ca="1">IFERROR(__xludf.DUMMYFUNCTION("""COMPUTED_VALUE"""),2)</f>
        <v>2</v>
      </c>
      <c r="E427" s="2">
        <f ca="1">IFERROR(__xludf.DUMMYFUNCTION("""COMPUTED_VALUE"""),0)</f>
        <v>0</v>
      </c>
    </row>
    <row r="428" spans="1:5" ht="12.75">
      <c r="A428" s="2" t="str">
        <f ca="1">IFERROR(__xludf.DUMMYFUNCTION("""COMPUTED_VALUE"""),"HKTU35")</f>
        <v>HKTU35</v>
      </c>
      <c r="B428" s="2">
        <f ca="1">IFERROR(__xludf.DUMMYFUNCTION("""COMPUTED_VALUE"""),1)</f>
        <v>1</v>
      </c>
      <c r="C428" s="2">
        <f ca="1">IFERROR(__xludf.DUMMYFUNCTION("""COMPUTED_VALUE"""),1)</f>
        <v>1</v>
      </c>
      <c r="D428" s="2">
        <f ca="1">IFERROR(__xludf.DUMMYFUNCTION("""COMPUTED_VALUE"""),1)</f>
        <v>1</v>
      </c>
      <c r="E428" s="2">
        <f ca="1">IFERROR(__xludf.DUMMYFUNCTION("""COMPUTED_VALUE"""),0)</f>
        <v>0</v>
      </c>
    </row>
    <row r="429" spans="1:5" ht="12.75">
      <c r="A429" s="2" t="str">
        <f ca="1">IFERROR(__xludf.DUMMYFUNCTION("""COMPUTED_VALUE"""),"HKTU45")</f>
        <v>HKTU45</v>
      </c>
      <c r="B429" s="2">
        <f ca="1">IFERROR(__xludf.DUMMYFUNCTION("""COMPUTED_VALUE"""),8)</f>
        <v>8</v>
      </c>
      <c r="C429" s="2">
        <f ca="1">IFERROR(__xludf.DUMMYFUNCTION("""COMPUTED_VALUE"""),8)</f>
        <v>8</v>
      </c>
      <c r="D429" s="2">
        <f ca="1">IFERROR(__xludf.DUMMYFUNCTION("""COMPUTED_VALUE"""),8)</f>
        <v>8</v>
      </c>
      <c r="E429" s="2">
        <f ca="1">IFERROR(__xludf.DUMMYFUNCTION("""COMPUTED_VALUE"""),0)</f>
        <v>0</v>
      </c>
    </row>
    <row r="430" spans="1:5" ht="12.75">
      <c r="A430" s="2" t="str">
        <f ca="1">IFERROR(__xludf.DUMMYFUNCTION("""COMPUTED_VALUE"""),"HKTYGAS")</f>
        <v>HKTYGAS</v>
      </c>
      <c r="B430" s="2">
        <f ca="1">IFERROR(__xludf.DUMMYFUNCTION("""COMPUTED_VALUE"""),10431)</f>
        <v>10431</v>
      </c>
      <c r="C430" s="2">
        <f ca="1">IFERROR(__xludf.DUMMYFUNCTION("""COMPUTED_VALUE"""),10431)</f>
        <v>10431</v>
      </c>
      <c r="D430" s="2">
        <f ca="1">IFERROR(__xludf.DUMMYFUNCTION("""COMPUTED_VALUE"""),10431)</f>
        <v>10431</v>
      </c>
      <c r="E430" s="2">
        <f ca="1">IFERROR(__xludf.DUMMYFUNCTION("""COMPUTED_VALUE"""),0)</f>
        <v>0</v>
      </c>
    </row>
    <row r="431" spans="1:5" ht="12.75">
      <c r="A431" s="2" t="str">
        <f ca="1">IFERROR(__xludf.DUMMYFUNCTION("""COMPUTED_VALUE"""),"HKVBCG")</f>
        <v>HKVBCG</v>
      </c>
      <c r="B431" s="2">
        <f ca="1">IFERROR(__xludf.DUMMYFUNCTION("""COMPUTED_VALUE"""),200)</f>
        <v>200</v>
      </c>
      <c r="C431" s="2">
        <f ca="1">IFERROR(__xludf.DUMMYFUNCTION("""COMPUTED_VALUE"""),200)</f>
        <v>200</v>
      </c>
      <c r="D431" s="2">
        <f ca="1">IFERROR(__xludf.DUMMYFUNCTION("""COMPUTED_VALUE"""),200)</f>
        <v>200</v>
      </c>
      <c r="E431" s="2">
        <f ca="1">IFERROR(__xludf.DUMMYFUNCTION("""COMPUTED_VALUE"""),0)</f>
        <v>0</v>
      </c>
    </row>
    <row r="432" spans="1:5" ht="12.75">
      <c r="A432" s="2" t="str">
        <f ca="1">IFERROR(__xludf.DUMMYFUNCTION("""COMPUTED_VALUE"""),"HKVBCG22T")</f>
        <v>HKVBCG22T</v>
      </c>
      <c r="B432" s="2">
        <f ca="1">IFERROR(__xludf.DUMMYFUNCTION("""COMPUTED_VALUE"""),108)</f>
        <v>108</v>
      </c>
      <c r="C432" s="2">
        <f ca="1">IFERROR(__xludf.DUMMYFUNCTION("""COMPUTED_VALUE"""),112)</f>
        <v>112</v>
      </c>
      <c r="D432" s="2">
        <f ca="1">IFERROR(__xludf.DUMMYFUNCTION("""COMPUTED_VALUE"""),108)</f>
        <v>108</v>
      </c>
      <c r="E432" s="2">
        <f ca="1">IFERROR(__xludf.DUMMYFUNCTION("""COMPUTED_VALUE"""),4)</f>
        <v>4</v>
      </c>
    </row>
    <row r="433" spans="1:5" ht="12.75">
      <c r="A433" s="2" t="str">
        <f ca="1">IFERROR(__xludf.DUMMYFUNCTION("""COMPUTED_VALUE"""),"HKVBCG73T")</f>
        <v>HKVBCG73T</v>
      </c>
      <c r="B433" s="2">
        <f ca="1">IFERROR(__xludf.DUMMYFUNCTION("""COMPUTED_VALUE"""),162)</f>
        <v>162</v>
      </c>
      <c r="C433" s="2">
        <f ca="1">IFERROR(__xludf.DUMMYFUNCTION("""COMPUTED_VALUE"""),182)</f>
        <v>182</v>
      </c>
      <c r="D433" s="2">
        <f ca="1">IFERROR(__xludf.DUMMYFUNCTION("""COMPUTED_VALUE"""),162)</f>
        <v>162</v>
      </c>
      <c r="E433" s="2">
        <f ca="1">IFERROR(__xludf.DUMMYFUNCTION("""COMPUTED_VALUE"""),20)</f>
        <v>20</v>
      </c>
    </row>
    <row r="434" spans="1:5" ht="12.75">
      <c r="A434" s="2" t="str">
        <f ca="1">IFERROR(__xludf.DUMMYFUNCTION("""COMPUTED_VALUE"""),"HKVPBAM")</f>
        <v>HKVPBAM</v>
      </c>
      <c r="B434" s="2">
        <f ca="1">IFERROR(__xludf.DUMMYFUNCTION("""COMPUTED_VALUE"""),15)</f>
        <v>15</v>
      </c>
      <c r="C434" s="2">
        <f ca="1">IFERROR(__xludf.DUMMYFUNCTION("""COMPUTED_VALUE"""),15)</f>
        <v>15</v>
      </c>
      <c r="D434" s="2">
        <f ca="1">IFERROR(__xludf.DUMMYFUNCTION("""COMPUTED_VALUE"""),15)</f>
        <v>15</v>
      </c>
      <c r="E434" s="2">
        <f ca="1">IFERROR(__xludf.DUMMYFUNCTION("""COMPUTED_VALUE"""),0)</f>
        <v>0</v>
      </c>
    </row>
    <row r="435" spans="1:5" ht="12.75">
      <c r="A435" s="2" t="str">
        <f ca="1">IFERROR(__xludf.DUMMYFUNCTION("""COMPUTED_VALUE"""),"HKVTLT02INOX")</f>
        <v>HKVTLT02INOX</v>
      </c>
      <c r="B435" s="2">
        <f ca="1">IFERROR(__xludf.DUMMYFUNCTION("""COMPUTED_VALUE"""),1)</f>
        <v>1</v>
      </c>
      <c r="C435" s="2">
        <f ca="1">IFERROR(__xludf.DUMMYFUNCTION("""COMPUTED_VALUE"""),1)</f>
        <v>1</v>
      </c>
      <c r="D435" s="2">
        <f ca="1">IFERROR(__xludf.DUMMYFUNCTION("""COMPUTED_VALUE"""),1)</f>
        <v>1</v>
      </c>
      <c r="E435" s="2">
        <f ca="1">IFERROR(__xludf.DUMMYFUNCTION("""COMPUTED_VALUE"""),0)</f>
        <v>0</v>
      </c>
    </row>
    <row r="436" spans="1:5" ht="12.75">
      <c r="A436" s="2" t="str">
        <f ca="1">IFERROR(__xludf.DUMMYFUNCTION("""COMPUTED_VALUE"""),"HKXB10")</f>
        <v>HKXB10</v>
      </c>
      <c r="B436" s="2">
        <f ca="1">IFERROR(__xludf.DUMMYFUNCTION("""COMPUTED_VALUE"""),150)</f>
        <v>150</v>
      </c>
      <c r="C436" s="2">
        <f ca="1">IFERROR(__xludf.DUMMYFUNCTION("""COMPUTED_VALUE"""),150)</f>
        <v>150</v>
      </c>
      <c r="D436" s="2">
        <f ca="1">IFERROR(__xludf.DUMMYFUNCTION("""COMPUTED_VALUE"""),150)</f>
        <v>150</v>
      </c>
      <c r="E436" s="2">
        <f ca="1">IFERROR(__xludf.DUMMYFUNCTION("""COMPUTED_VALUE"""),0)</f>
        <v>0</v>
      </c>
    </row>
    <row r="437" spans="1:5" ht="12.75">
      <c r="A437" s="2" t="str">
        <f ca="1">IFERROR(__xludf.DUMMYFUNCTION("""COMPUTED_VALUE"""),"HKXB15")</f>
        <v>HKXB15</v>
      </c>
      <c r="B437" s="2">
        <f ca="1">IFERROR(__xludf.DUMMYFUNCTION("""COMPUTED_VALUE"""),300)</f>
        <v>300</v>
      </c>
      <c r="C437" s="2">
        <f ca="1">IFERROR(__xludf.DUMMYFUNCTION("""COMPUTED_VALUE"""),400)</f>
        <v>400</v>
      </c>
      <c r="D437" s="2">
        <f ca="1">IFERROR(__xludf.DUMMYFUNCTION("""COMPUTED_VALUE"""),300)</f>
        <v>300</v>
      </c>
      <c r="E437" s="2">
        <f ca="1">IFERROR(__xludf.DUMMYFUNCTION("""COMPUTED_VALUE"""),100)</f>
        <v>100</v>
      </c>
    </row>
    <row r="438" spans="1:5" ht="12.75">
      <c r="A438" s="2" t="str">
        <f ca="1">IFERROR(__xludf.DUMMYFUNCTION("""COMPUTED_VALUE"""),"HKXB20")</f>
        <v>HKXB20</v>
      </c>
      <c r="B438" s="2">
        <f ca="1">IFERROR(__xludf.DUMMYFUNCTION("""COMPUTED_VALUE"""),200)</f>
        <v>200</v>
      </c>
      <c r="C438" s="2">
        <f ca="1">IFERROR(__xludf.DUMMYFUNCTION("""COMPUTED_VALUE"""),200)</f>
        <v>200</v>
      </c>
      <c r="D438" s="2">
        <f ca="1">IFERROR(__xludf.DUMMYFUNCTION("""COMPUTED_VALUE"""),200)</f>
        <v>200</v>
      </c>
      <c r="E438" s="2">
        <f ca="1">IFERROR(__xludf.DUMMYFUNCTION("""COMPUTED_VALUE"""),0)</f>
        <v>0</v>
      </c>
    </row>
    <row r="439" spans="1:5" ht="12.75">
      <c r="A439" s="2" t="str">
        <f ca="1">IFERROR(__xludf.DUMMYFUNCTION("""COMPUTED_VALUE"""),"HKXB25")</f>
        <v>HKXB25</v>
      </c>
      <c r="B439" s="2">
        <f ca="1">IFERROR(__xludf.DUMMYFUNCTION("""COMPUTED_VALUE"""),100)</f>
        <v>100</v>
      </c>
      <c r="C439" s="2">
        <f ca="1">IFERROR(__xludf.DUMMYFUNCTION("""COMPUTED_VALUE"""),100)</f>
        <v>100</v>
      </c>
      <c r="D439" s="2">
        <f ca="1">IFERROR(__xludf.DUMMYFUNCTION("""COMPUTED_VALUE"""),100)</f>
        <v>100</v>
      </c>
      <c r="E439" s="2">
        <f ca="1">IFERROR(__xludf.DUMMYFUNCTION("""COMPUTED_VALUE"""),0)</f>
        <v>0</v>
      </c>
    </row>
    <row r="440" spans="1:5" ht="12.75">
      <c r="A440" s="2" t="str">
        <f ca="1">IFERROR(__xludf.DUMMYFUNCTION("""COMPUTED_VALUE"""),"HKXBD15")</f>
        <v>HKXBD15</v>
      </c>
      <c r="B440" s="2">
        <f ca="1">IFERROR(__xludf.DUMMYFUNCTION("""COMPUTED_VALUE"""),200)</f>
        <v>200</v>
      </c>
      <c r="C440" s="2">
        <f ca="1">IFERROR(__xludf.DUMMYFUNCTION("""COMPUTED_VALUE"""),200)</f>
        <v>200</v>
      </c>
      <c r="D440" s="2">
        <f ca="1">IFERROR(__xludf.DUMMYFUNCTION("""COMPUTED_VALUE"""),200)</f>
        <v>200</v>
      </c>
      <c r="E440" s="2">
        <f ca="1">IFERROR(__xludf.DUMMYFUNCTION("""COMPUTED_VALUE"""),0)</f>
        <v>0</v>
      </c>
    </row>
    <row r="441" spans="1:5" ht="12.75">
      <c r="A441" s="2" t="str">
        <f ca="1">IFERROR(__xludf.DUMMYFUNCTION("""COMPUTED_VALUE"""),"HKXFBaDD MDI")</f>
        <v>HKXFBaDD MDI</v>
      </c>
      <c r="B441" s="2">
        <f ca="1">IFERROR(__xludf.DUMMYFUNCTION("""COMPUTED_VALUE"""),500)</f>
        <v>500</v>
      </c>
      <c r="C441" s="2">
        <f ca="1">IFERROR(__xludf.DUMMYFUNCTION("""COMPUTED_VALUE"""),500)</f>
        <v>500</v>
      </c>
      <c r="D441" s="2">
        <f ca="1">IFERROR(__xludf.DUMMYFUNCTION("""COMPUTED_VALUE"""),500)</f>
        <v>500</v>
      </c>
      <c r="E441" s="2">
        <f ca="1">IFERROR(__xludf.DUMMYFUNCTION("""COMPUTED_VALUE"""),0)</f>
        <v>0</v>
      </c>
    </row>
    <row r="442" spans="1:5" ht="12.75">
      <c r="A442" s="2" t="str">
        <f ca="1">IFERROR(__xludf.DUMMYFUNCTION("""COMPUTED_VALUE"""),"HKXFBaDDMR200")</f>
        <v>HKXFBaDDMR200</v>
      </c>
      <c r="B442" s="2">
        <f ca="1">IFERROR(__xludf.DUMMYFUNCTION("""COMPUTED_VALUE"""),178)</f>
        <v>178</v>
      </c>
      <c r="C442" s="2">
        <f ca="1">IFERROR(__xludf.DUMMYFUNCTION("""COMPUTED_VALUE"""),178)</f>
        <v>178</v>
      </c>
      <c r="D442" s="2">
        <f ca="1">IFERROR(__xludf.DUMMYFUNCTION("""COMPUTED_VALUE"""),178)</f>
        <v>178</v>
      </c>
      <c r="E442" s="2">
        <f ca="1">IFERROR(__xludf.DUMMYFUNCTION("""COMPUTED_VALUE"""),0)</f>
        <v>0</v>
      </c>
    </row>
    <row r="443" spans="1:5" ht="12.75">
      <c r="A443" s="2" t="str">
        <f ca="1">IFERROR(__xludf.DUMMYFUNCTION("""COMPUTED_VALUE"""),"HKXFOriDX (NM)")</f>
        <v>HKXFOriDX (NM)</v>
      </c>
      <c r="B443" s="2">
        <f ca="1">IFERROR(__xludf.DUMMYFUNCTION("""COMPUTED_VALUE"""),753)</f>
        <v>753</v>
      </c>
      <c r="C443" s="2">
        <f ca="1">IFERROR(__xludf.DUMMYFUNCTION("""COMPUTED_VALUE"""),753)</f>
        <v>753</v>
      </c>
      <c r="D443" s="2">
        <f ca="1">IFERROR(__xludf.DUMMYFUNCTION("""COMPUTED_VALUE"""),753)</f>
        <v>753</v>
      </c>
      <c r="E443" s="2">
        <f ca="1">IFERROR(__xludf.DUMMYFUNCTION("""COMPUTED_VALUE"""),0)</f>
        <v>0</v>
      </c>
    </row>
    <row r="444" spans="1:5" ht="12.75">
      <c r="A444" s="2" t="str">
        <f ca="1">IFERROR(__xludf.DUMMYFUNCTION("""COMPUTED_VALUE"""),"HKZC122D")</f>
        <v>HKZC122D</v>
      </c>
      <c r="B444" s="2">
        <f ca="1">IFERROR(__xludf.DUMMYFUNCTION("""COMPUTED_VALUE"""),181)</f>
        <v>181</v>
      </c>
      <c r="C444" s="2">
        <f ca="1">IFERROR(__xludf.DUMMYFUNCTION("""COMPUTED_VALUE"""),181)</f>
        <v>181</v>
      </c>
      <c r="D444" s="2">
        <f ca="1">IFERROR(__xludf.DUMMYFUNCTION("""COMPUTED_VALUE"""),181)</f>
        <v>181</v>
      </c>
      <c r="E444" s="2">
        <f ca="1">IFERROR(__xludf.DUMMYFUNCTION("""COMPUTED_VALUE"""),0)</f>
        <v>0</v>
      </c>
    </row>
    <row r="445" spans="1:5" ht="12.75">
      <c r="A445" s="2" t="str">
        <f ca="1">IFERROR(__xludf.DUMMYFUNCTION("""COMPUTED_VALUE"""),"HKZC162D")</f>
        <v>HKZC162D</v>
      </c>
      <c r="B445" s="2">
        <f ca="1">IFERROR(__xludf.DUMMYFUNCTION("""COMPUTED_VALUE"""),13)</f>
        <v>13</v>
      </c>
      <c r="C445" s="2">
        <f ca="1">IFERROR(__xludf.DUMMYFUNCTION("""COMPUTED_VALUE"""),13)</f>
        <v>13</v>
      </c>
      <c r="D445" s="2">
        <f ca="1">IFERROR(__xludf.DUMMYFUNCTION("""COMPUTED_VALUE"""),13)</f>
        <v>13</v>
      </c>
      <c r="E445" s="2">
        <f ca="1">IFERROR(__xludf.DUMMYFUNCTION("""COMPUTED_VALUE"""),0)</f>
        <v>0</v>
      </c>
    </row>
    <row r="446" spans="1:5" ht="12.75">
      <c r="A446" s="2" t="str">
        <f ca="1">IFERROR(__xludf.DUMMYFUNCTION("""COMPUTED_VALUE"""),"HKZC192D")</f>
        <v>HKZC192D</v>
      </c>
      <c r="B446" s="2">
        <f ca="1">IFERROR(__xludf.DUMMYFUNCTION("""COMPUTED_VALUE"""),89)</f>
        <v>89</v>
      </c>
      <c r="C446" s="2">
        <f ca="1">IFERROR(__xludf.DUMMYFUNCTION("""COMPUTED_VALUE"""),89)</f>
        <v>89</v>
      </c>
      <c r="D446" s="2">
        <f ca="1">IFERROR(__xludf.DUMMYFUNCTION("""COMPUTED_VALUE"""),89)</f>
        <v>89</v>
      </c>
      <c r="E446" s="2">
        <f ca="1">IFERROR(__xludf.DUMMYFUNCTION("""COMPUTED_VALUE"""),0)</f>
        <v>0</v>
      </c>
    </row>
    <row r="447" spans="1:5" ht="12.75">
      <c r="A447" s="2" t="str">
        <f ca="1">IFERROR(__xludf.DUMMYFUNCTION("""COMPUTED_VALUE"""),"HKZCN121D")</f>
        <v>HKZCN121D</v>
      </c>
      <c r="B447" s="2">
        <f ca="1">IFERROR(__xludf.DUMMYFUNCTION("""COMPUTED_VALUE"""),5)</f>
        <v>5</v>
      </c>
      <c r="C447" s="2">
        <f ca="1">IFERROR(__xludf.DUMMYFUNCTION("""COMPUTED_VALUE"""),5)</f>
        <v>5</v>
      </c>
      <c r="D447" s="2">
        <f ca="1">IFERROR(__xludf.DUMMYFUNCTION("""COMPUTED_VALUE"""),5)</f>
        <v>5</v>
      </c>
      <c r="E447" s="2">
        <f ca="1">IFERROR(__xludf.DUMMYFUNCTION("""COMPUTED_VALUE"""),0)</f>
        <v>0</v>
      </c>
    </row>
    <row r="448" spans="1:5" ht="12.75">
      <c r="A448" s="2" t="str">
        <f ca="1">IFERROR(__xludf.DUMMYFUNCTION("""COMPUTED_VALUE"""),"HKZCN161D")</f>
        <v>HKZCN161D</v>
      </c>
      <c r="B448" s="2">
        <f ca="1">IFERROR(__xludf.DUMMYFUNCTION("""COMPUTED_VALUE"""),44)</f>
        <v>44</v>
      </c>
      <c r="C448" s="2">
        <f ca="1">IFERROR(__xludf.DUMMYFUNCTION("""COMPUTED_VALUE"""),44)</f>
        <v>44</v>
      </c>
      <c r="D448" s="2">
        <f ca="1">IFERROR(__xludf.DUMMYFUNCTION("""COMPUTED_VALUE"""),44)</f>
        <v>44</v>
      </c>
      <c r="E448" s="2">
        <f ca="1">IFERROR(__xludf.DUMMYFUNCTION("""COMPUTED_VALUE"""),0)</f>
        <v>0</v>
      </c>
    </row>
    <row r="449" spans="1:5" ht="12.75">
      <c r="A449" s="2" t="str">
        <f ca="1">IFERROR(__xludf.DUMMYFUNCTION("""COMPUTED_VALUE"""),"HKZCN19")</f>
        <v>HKZCN19</v>
      </c>
      <c r="B449" s="2">
        <f ca="1">IFERROR(__xludf.DUMMYFUNCTION("""COMPUTED_VALUE"""),4)</f>
        <v>4</v>
      </c>
      <c r="C449" s="2">
        <f ca="1">IFERROR(__xludf.DUMMYFUNCTION("""COMPUTED_VALUE"""),4)</f>
        <v>4</v>
      </c>
      <c r="D449" s="2">
        <f ca="1">IFERROR(__xludf.DUMMYFUNCTION("""COMPUTED_VALUE"""),4)</f>
        <v>4</v>
      </c>
      <c r="E449" s="2">
        <f ca="1">IFERROR(__xludf.DUMMYFUNCTION("""COMPUTED_VALUE"""),0)</f>
        <v>0</v>
      </c>
    </row>
    <row r="450" spans="1:5" ht="12.75">
      <c r="A450" s="2" t="str">
        <f ca="1">IFERROR(__xludf.DUMMYFUNCTION("""COMPUTED_VALUE"""),"HKZCT10")</f>
        <v>HKZCT10</v>
      </c>
      <c r="B450" s="2">
        <f ca="1">IFERROR(__xludf.DUMMYFUNCTION("""COMPUTED_VALUE"""),201)</f>
        <v>201</v>
      </c>
      <c r="C450" s="2">
        <f ca="1">IFERROR(__xludf.DUMMYFUNCTION("""COMPUTED_VALUE"""),201)</f>
        <v>201</v>
      </c>
      <c r="D450" s="2">
        <f ca="1">IFERROR(__xludf.DUMMYFUNCTION("""COMPUTED_VALUE"""),201)</f>
        <v>201</v>
      </c>
      <c r="E450" s="2">
        <f ca="1">IFERROR(__xludf.DUMMYFUNCTION("""COMPUTED_VALUE"""),0)</f>
        <v>0</v>
      </c>
    </row>
    <row r="451" spans="1:5" ht="12.75">
      <c r="A451" s="2" t="str">
        <f ca="1">IFERROR(__xludf.DUMMYFUNCTION("""COMPUTED_VALUE"""),"HKZCT12")</f>
        <v>HKZCT12</v>
      </c>
      <c r="B451" s="2">
        <f ca="1">IFERROR(__xludf.DUMMYFUNCTION("""COMPUTED_VALUE"""),526)</f>
        <v>526</v>
      </c>
      <c r="C451" s="2">
        <f ca="1">IFERROR(__xludf.DUMMYFUNCTION("""COMPUTED_VALUE"""),526)</f>
        <v>526</v>
      </c>
      <c r="D451" s="2">
        <f ca="1">IFERROR(__xludf.DUMMYFUNCTION("""COMPUTED_VALUE"""),526)</f>
        <v>526</v>
      </c>
      <c r="E451" s="2">
        <f ca="1">IFERROR(__xludf.DUMMYFUNCTION("""COMPUTED_VALUE"""),0)</f>
        <v>0</v>
      </c>
    </row>
    <row r="452" spans="1:5" ht="12.75">
      <c r="A452" s="2" t="str">
        <f ca="1">IFERROR(__xludf.DUMMYFUNCTION("""COMPUTED_VALUE"""),"HKZCT16")</f>
        <v>HKZCT16</v>
      </c>
      <c r="B452" s="2">
        <f ca="1">IFERROR(__xludf.DUMMYFUNCTION("""COMPUTED_VALUE"""),124)</f>
        <v>124</v>
      </c>
      <c r="C452" s="2">
        <f ca="1">IFERROR(__xludf.DUMMYFUNCTION("""COMPUTED_VALUE"""),124)</f>
        <v>124</v>
      </c>
      <c r="D452" s="2">
        <f ca="1">IFERROR(__xludf.DUMMYFUNCTION("""COMPUTED_VALUE"""),124)</f>
        <v>124</v>
      </c>
      <c r="E452" s="2">
        <f ca="1">IFERROR(__xludf.DUMMYFUNCTION("""COMPUTED_VALUE"""),0)</f>
        <v>0</v>
      </c>
    </row>
    <row r="453" spans="1:5" ht="12.75">
      <c r="A453" s="2" t="str">
        <f ca="1">IFERROR(__xludf.DUMMYFUNCTION("""COMPUTED_VALUE"""),"HKZCT19")</f>
        <v>HKZCT19</v>
      </c>
      <c r="B453" s="2">
        <f ca="1">IFERROR(__xludf.DUMMYFUNCTION("""COMPUTED_VALUE"""),488)</f>
        <v>488</v>
      </c>
      <c r="C453" s="2">
        <f ca="1">IFERROR(__xludf.DUMMYFUNCTION("""COMPUTED_VALUE"""),488)</f>
        <v>488</v>
      </c>
      <c r="D453" s="2">
        <f ca="1">IFERROR(__xludf.DUMMYFUNCTION("""COMPUTED_VALUE"""),488)</f>
        <v>488</v>
      </c>
      <c r="E453" s="2">
        <f ca="1">IFERROR(__xludf.DUMMYFUNCTION("""COMPUTED_VALUE"""),0)</f>
        <v>0</v>
      </c>
    </row>
    <row r="454" spans="1:5" ht="12.75">
      <c r="A454" s="2" t="str">
        <f ca="1">IFERROR(__xludf.DUMMYFUNCTION("""COMPUTED_VALUE"""),"HKZCTO6")</f>
        <v>HKZCTO6</v>
      </c>
      <c r="B454" s="2">
        <f ca="1">IFERROR(__xludf.DUMMYFUNCTION("""COMPUTED_VALUE"""),450)</f>
        <v>450</v>
      </c>
      <c r="C454" s="2">
        <f ca="1">IFERROR(__xludf.DUMMYFUNCTION("""COMPUTED_VALUE"""),480)</f>
        <v>480</v>
      </c>
      <c r="D454" s="2">
        <f ca="1">IFERROR(__xludf.DUMMYFUNCTION("""COMPUTED_VALUE"""),450)</f>
        <v>450</v>
      </c>
      <c r="E454" s="2">
        <f ca="1">IFERROR(__xludf.DUMMYFUNCTION("""COMPUTED_VALUE"""),30)</f>
        <v>30</v>
      </c>
    </row>
    <row r="455" spans="1:5" ht="12.75">
      <c r="A455" s="2" t="str">
        <f ca="1">IFERROR(__xludf.DUMMYFUNCTION("""COMPUTED_VALUE"""),"HKZTNC")</f>
        <v>HKZTNC</v>
      </c>
      <c r="B455" s="2">
        <f ca="1">IFERROR(__xludf.DUMMYFUNCTION("""COMPUTED_VALUE"""),360)</f>
        <v>360</v>
      </c>
      <c r="C455" s="2">
        <f ca="1">IFERROR(__xludf.DUMMYFUNCTION("""COMPUTED_VALUE"""),360)</f>
        <v>360</v>
      </c>
      <c r="D455" s="2">
        <f ca="1">IFERROR(__xludf.DUMMYFUNCTION("""COMPUTED_VALUE"""),360)</f>
        <v>360</v>
      </c>
      <c r="E455" s="2">
        <f ca="1">IFERROR(__xludf.DUMMYFUNCTION("""COMPUTED_VALUE"""),0)</f>
        <v>0</v>
      </c>
    </row>
    <row r="456" spans="1:5" ht="12.75">
      <c r="A456" s="2" t="str">
        <f ca="1">IFERROR(__xludf.DUMMYFUNCTION("""COMPUTED_VALUE"""),"JC06350IA15M")</f>
        <v>JC06350IA15M</v>
      </c>
      <c r="B456" s="2">
        <f ca="1">IFERROR(__xludf.DUMMYFUNCTION("""COMPUTED_VALUE"""),304)</f>
        <v>304</v>
      </c>
      <c r="C456" s="2">
        <f ca="1">IFERROR(__xludf.DUMMYFUNCTION("""COMPUTED_VALUE"""),621)</f>
        <v>621</v>
      </c>
      <c r="D456" s="2">
        <f ca="1">IFERROR(__xludf.DUMMYFUNCTION("""COMPUTED_VALUE"""),304)</f>
        <v>304</v>
      </c>
      <c r="E456" s="2">
        <f ca="1">IFERROR(__xludf.DUMMYFUNCTION("""COMPUTED_VALUE"""),317)</f>
        <v>317</v>
      </c>
    </row>
    <row r="457" spans="1:5" ht="12.75">
      <c r="A457" s="2" t="str">
        <f ca="1">IFERROR(__xludf.DUMMYFUNCTION("""COMPUTED_VALUE"""),"JC15880HA15M")</f>
        <v>JC15880HA15M</v>
      </c>
      <c r="B457" s="2">
        <f ca="1">IFERROR(__xludf.DUMMYFUNCTION("""COMPUTED_VALUE"""),53)</f>
        <v>53</v>
      </c>
      <c r="C457" s="2">
        <f ca="1">IFERROR(__xludf.DUMMYFUNCTION("""COMPUTED_VALUE"""),53)</f>
        <v>53</v>
      </c>
      <c r="D457" s="2">
        <f ca="1">IFERROR(__xludf.DUMMYFUNCTION("""COMPUTED_VALUE"""),53)</f>
        <v>53</v>
      </c>
      <c r="E457" s="2">
        <f ca="1">IFERROR(__xludf.DUMMYFUNCTION("""COMPUTED_VALUE"""),0)</f>
        <v>0</v>
      </c>
    </row>
    <row r="458" spans="1:5" ht="12.75">
      <c r="A458" s="2" t="str">
        <f ca="1">IFERROR(__xludf.DUMMYFUNCTION("""COMPUTED_VALUE"""),"JC19050HA15M")</f>
        <v>JC19050HA15M</v>
      </c>
      <c r="B458" s="2">
        <f ca="1">IFERROR(__xludf.DUMMYFUNCTION("""COMPUTED_VALUE"""),182)</f>
        <v>182</v>
      </c>
      <c r="C458" s="2">
        <f ca="1">IFERROR(__xludf.DUMMYFUNCTION("""COMPUTED_VALUE"""),182)</f>
        <v>182</v>
      </c>
      <c r="D458" s="2">
        <f ca="1">IFERROR(__xludf.DUMMYFUNCTION("""COMPUTED_VALUE"""),182)</f>
        <v>182</v>
      </c>
      <c r="E458" s="2">
        <f ca="1">IFERROR(__xludf.DUMMYFUNCTION("""COMPUTED_VALUE"""),0)</f>
        <v>0</v>
      </c>
    </row>
    <row r="459" spans="1:5" ht="12.75">
      <c r="A459" s="2" t="str">
        <f ca="1">IFERROR(__xludf.DUMMYFUNCTION("""COMPUTED_VALUE"""),"KD3T2")</f>
        <v>KD3T2</v>
      </c>
      <c r="B459" s="2">
        <f ca="1">IFERROR(__xludf.DUMMYFUNCTION("""COMPUTED_VALUE"""),2)</f>
        <v>2</v>
      </c>
      <c r="C459" s="2">
        <f ca="1">IFERROR(__xludf.DUMMYFUNCTION("""COMPUTED_VALUE"""),2)</f>
        <v>2</v>
      </c>
      <c r="D459" s="2">
        <f ca="1">IFERROR(__xludf.DUMMYFUNCTION("""COMPUTED_VALUE"""),2)</f>
        <v>2</v>
      </c>
      <c r="E459" s="2">
        <f ca="1">IFERROR(__xludf.DUMMYFUNCTION("""COMPUTED_VALUE"""),0)</f>
        <v>0</v>
      </c>
    </row>
    <row r="460" spans="1:5" ht="12.75">
      <c r="A460" s="2" t="str">
        <f ca="1">IFERROR(__xludf.DUMMYFUNCTION("""COMPUTED_VALUE"""),"KDT12")</f>
        <v>KDT12</v>
      </c>
      <c r="B460" s="2">
        <f ca="1">IFERROR(__xludf.DUMMYFUNCTION("""COMPUTED_VALUE"""),22)</f>
        <v>22</v>
      </c>
      <c r="C460" s="2">
        <f ca="1">IFERROR(__xludf.DUMMYFUNCTION("""COMPUTED_VALUE"""),22)</f>
        <v>22</v>
      </c>
      <c r="D460" s="2">
        <f ca="1">IFERROR(__xludf.DUMMYFUNCTION("""COMPUTED_VALUE"""),22)</f>
        <v>22</v>
      </c>
      <c r="E460" s="2">
        <f ca="1">IFERROR(__xludf.DUMMYFUNCTION("""COMPUTED_VALUE"""),0)</f>
        <v>0</v>
      </c>
    </row>
    <row r="461" spans="1:5" ht="12.75">
      <c r="A461" s="2" t="str">
        <f ca="1">IFERROR(__xludf.DUMMYFUNCTION("""COMPUTED_VALUE"""),"LQNHO")</f>
        <v>LQNHO</v>
      </c>
      <c r="B461" s="2">
        <f ca="1">IFERROR(__xludf.DUMMYFUNCTION("""COMPUTED_VALUE"""),41)</f>
        <v>41</v>
      </c>
      <c r="C461" s="2">
        <f ca="1">IFERROR(__xludf.DUMMYFUNCTION("""COMPUTED_VALUE"""),41)</f>
        <v>41</v>
      </c>
      <c r="D461" s="2">
        <f ca="1">IFERROR(__xludf.DUMMYFUNCTION("""COMPUTED_VALUE"""),41)</f>
        <v>41</v>
      </c>
      <c r="E461" s="2">
        <f ca="1">IFERROR(__xludf.DUMMYFUNCTION("""COMPUTED_VALUE"""),0)</f>
        <v>0</v>
      </c>
    </row>
    <row r="462" spans="1:5" ht="12.75">
      <c r="A462" s="2" t="str">
        <f ca="1">IFERROR(__xludf.DUMMYFUNCTION("""COMPUTED_VALUE"""),"LQTO")</f>
        <v>LQTO</v>
      </c>
      <c r="B462" s="2">
        <f ca="1">IFERROR(__xludf.DUMMYFUNCTION("""COMPUTED_VALUE"""),10)</f>
        <v>10</v>
      </c>
      <c r="C462" s="2">
        <f ca="1">IFERROR(__xludf.DUMMYFUNCTION("""COMPUTED_VALUE"""),10)</f>
        <v>10</v>
      </c>
      <c r="D462" s="2">
        <f ca="1">IFERROR(__xludf.DUMMYFUNCTION("""COMPUTED_VALUE"""),10)</f>
        <v>10</v>
      </c>
      <c r="E462" s="2">
        <f ca="1">IFERROR(__xludf.DUMMYFUNCTION("""COMPUTED_VALUE"""),0)</f>
        <v>0</v>
      </c>
    </row>
    <row r="463" spans="1:5" ht="12.75">
      <c r="A463" s="2" t="str">
        <f ca="1">IFERROR(__xludf.DUMMYFUNCTION("""COMPUTED_VALUE"""),"LWC1588081")</f>
        <v>LWC1588081</v>
      </c>
      <c r="B463" s="2">
        <f ca="1">IFERROR(__xludf.DUMMYFUNCTION("""COMPUTED_VALUE"""),159.4)</f>
        <v>159.4</v>
      </c>
      <c r="C463" s="2">
        <f ca="1">IFERROR(__xludf.DUMMYFUNCTION("""COMPUTED_VALUE"""),159.4)</f>
        <v>159.4</v>
      </c>
      <c r="D463" s="2">
        <f ca="1">IFERROR(__xludf.DUMMYFUNCTION("""COMPUTED_VALUE"""),159.4)</f>
        <v>159.4</v>
      </c>
      <c r="E463" s="2">
        <f ca="1">IFERROR(__xludf.DUMMYFUNCTION("""COMPUTED_VALUE"""),0)</f>
        <v>0</v>
      </c>
    </row>
    <row r="464" spans="1:5" ht="12.75">
      <c r="A464" s="2" t="str">
        <f ca="1">IFERROR(__xludf.DUMMYFUNCTION("""COMPUTED_VALUE"""),"LWC158810")</f>
        <v>LWC158810</v>
      </c>
      <c r="B464" s="2">
        <f ca="1">IFERROR(__xludf.DUMMYFUNCTION("""COMPUTED_VALUE"""),299.6)</f>
        <v>299.60000000000002</v>
      </c>
      <c r="C464" s="2">
        <f ca="1">IFERROR(__xludf.DUMMYFUNCTION("""COMPUTED_VALUE"""),299.6)</f>
        <v>299.60000000000002</v>
      </c>
      <c r="D464" s="2">
        <f ca="1">IFERROR(__xludf.DUMMYFUNCTION("""COMPUTED_VALUE"""),299.6)</f>
        <v>299.60000000000002</v>
      </c>
      <c r="E464" s="2">
        <f ca="1">IFERROR(__xludf.DUMMYFUNCTION("""COMPUTED_VALUE"""),0)</f>
        <v>0</v>
      </c>
    </row>
    <row r="465" spans="1:5" ht="12.75">
      <c r="A465" s="2" t="str">
        <f ca="1">IFERROR(__xludf.DUMMYFUNCTION("""COMPUTED_VALUE"""),"MAUGĐĐV114x50")</f>
        <v>MAUGĐĐV114x50</v>
      </c>
      <c r="B465" s="2">
        <f ca="1">IFERROR(__xludf.DUMMYFUNCTION("""COMPUTED_VALUE"""),4)</f>
        <v>4</v>
      </c>
      <c r="C465" s="2">
        <f ca="1">IFERROR(__xludf.DUMMYFUNCTION("""COMPUTED_VALUE"""),4)</f>
        <v>4</v>
      </c>
      <c r="D465" s="2">
        <f ca="1">IFERROR(__xludf.DUMMYFUNCTION("""COMPUTED_VALUE"""),4)</f>
        <v>4</v>
      </c>
      <c r="E465" s="2">
        <f ca="1">IFERROR(__xludf.DUMMYFUNCTION("""COMPUTED_VALUE"""),0)</f>
        <v>0</v>
      </c>
    </row>
    <row r="466" spans="1:5" ht="12.75">
      <c r="A466" s="2" t="str">
        <f ca="1">IFERROR(__xludf.DUMMYFUNCTION("""COMPUTED_VALUE"""),"MAUGĐĐV140x50")</f>
        <v>MAUGĐĐV140x50</v>
      </c>
      <c r="B466" s="2">
        <f ca="1">IFERROR(__xludf.DUMMYFUNCTION("""COMPUTED_VALUE"""),2)</f>
        <v>2</v>
      </c>
      <c r="C466" s="2">
        <f ca="1">IFERROR(__xludf.DUMMYFUNCTION("""COMPUTED_VALUE"""),2)</f>
        <v>2</v>
      </c>
      <c r="D466" s="2">
        <f ca="1">IFERROR(__xludf.DUMMYFUNCTION("""COMPUTED_VALUE"""),2)</f>
        <v>2</v>
      </c>
      <c r="E466" s="2">
        <f ca="1">IFERROR(__xludf.DUMMYFUNCTION("""COMPUTED_VALUE"""),0)</f>
        <v>0</v>
      </c>
    </row>
    <row r="467" spans="1:5" ht="12.75">
      <c r="A467" s="2" t="str">
        <f ca="1">IFERROR(__xludf.DUMMYFUNCTION("""COMPUTED_VALUE"""),"MAUGĐĐV170x50")</f>
        <v>MAUGĐĐV170x50</v>
      </c>
      <c r="B467" s="2">
        <f ca="1">IFERROR(__xludf.DUMMYFUNCTION("""COMPUTED_VALUE"""),2)</f>
        <v>2</v>
      </c>
      <c r="C467" s="2">
        <f ca="1">IFERROR(__xludf.DUMMYFUNCTION("""COMPUTED_VALUE"""),2)</f>
        <v>2</v>
      </c>
      <c r="D467" s="2">
        <f ca="1">IFERROR(__xludf.DUMMYFUNCTION("""COMPUTED_VALUE"""),2)</f>
        <v>2</v>
      </c>
      <c r="E467" s="2">
        <f ca="1">IFERROR(__xludf.DUMMYFUNCTION("""COMPUTED_VALUE"""),0)</f>
        <v>0</v>
      </c>
    </row>
    <row r="468" spans="1:5" ht="12.75">
      <c r="A468" s="2" t="str">
        <f ca="1">IFERROR(__xludf.DUMMYFUNCTION("""COMPUTED_VALUE"""),"MAUGĐĐV221x50")</f>
        <v>MAUGĐĐV221x50</v>
      </c>
      <c r="B468" s="2">
        <f ca="1">IFERROR(__xludf.DUMMYFUNCTION("""COMPUTED_VALUE"""),2)</f>
        <v>2</v>
      </c>
      <c r="C468" s="2">
        <f ca="1">IFERROR(__xludf.DUMMYFUNCTION("""COMPUTED_VALUE"""),2)</f>
        <v>2</v>
      </c>
      <c r="D468" s="2">
        <f ca="1">IFERROR(__xludf.DUMMYFUNCTION("""COMPUTED_VALUE"""),2)</f>
        <v>2</v>
      </c>
      <c r="E468" s="2">
        <f ca="1">IFERROR(__xludf.DUMMYFUNCTION("""COMPUTED_VALUE"""),0)</f>
        <v>0</v>
      </c>
    </row>
    <row r="469" spans="1:5" ht="12.75">
      <c r="A469" s="2" t="str">
        <f ca="1">IFERROR(__xludf.DUMMYFUNCTION("""COMPUTED_VALUE"""),"MAUGĐĐV280x50")</f>
        <v>MAUGĐĐV280x50</v>
      </c>
      <c r="B469" s="2">
        <f ca="1">IFERROR(__xludf.DUMMYFUNCTION("""COMPUTED_VALUE"""),2)</f>
        <v>2</v>
      </c>
      <c r="C469" s="2">
        <f ca="1">IFERROR(__xludf.DUMMYFUNCTION("""COMPUTED_VALUE"""),2)</f>
        <v>2</v>
      </c>
      <c r="D469" s="2">
        <f ca="1">IFERROR(__xludf.DUMMYFUNCTION("""COMPUTED_VALUE"""),2)</f>
        <v>2</v>
      </c>
      <c r="E469" s="2">
        <f ca="1">IFERROR(__xludf.DUMMYFUNCTION("""COMPUTED_VALUE"""),0)</f>
        <v>0</v>
      </c>
    </row>
    <row r="470" spans="1:5" ht="12.75">
      <c r="A470" s="2" t="str">
        <f ca="1">IFERROR(__xludf.DUMMYFUNCTION("""COMPUTED_VALUE"""),"MAUGĐĐV28x50")</f>
        <v>MAUGĐĐV28x50</v>
      </c>
      <c r="B470" s="2">
        <f ca="1">IFERROR(__xludf.DUMMYFUNCTION("""COMPUTED_VALUE"""),3)</f>
        <v>3</v>
      </c>
      <c r="C470" s="2">
        <f ca="1">IFERROR(__xludf.DUMMYFUNCTION("""COMPUTED_VALUE"""),3)</f>
        <v>3</v>
      </c>
      <c r="D470" s="2">
        <f ca="1">IFERROR(__xludf.DUMMYFUNCTION("""COMPUTED_VALUE"""),3)</f>
        <v>3</v>
      </c>
      <c r="E470" s="2">
        <f ca="1">IFERROR(__xludf.DUMMYFUNCTION("""COMPUTED_VALUE"""),0)</f>
        <v>0</v>
      </c>
    </row>
    <row r="471" spans="1:5" ht="12.75">
      <c r="A471" s="2" t="str">
        <f ca="1">IFERROR(__xludf.DUMMYFUNCTION("""COMPUTED_VALUE"""),"MAUGĐĐV30x50")</f>
        <v>MAUGĐĐV30x50</v>
      </c>
      <c r="B471" s="2">
        <f ca="1">IFERROR(__xludf.DUMMYFUNCTION("""COMPUTED_VALUE"""),4)</f>
        <v>4</v>
      </c>
      <c r="C471" s="2">
        <f ca="1">IFERROR(__xludf.DUMMYFUNCTION("""COMPUTED_VALUE"""),4)</f>
        <v>4</v>
      </c>
      <c r="D471" s="2">
        <f ca="1">IFERROR(__xludf.DUMMYFUNCTION("""COMPUTED_VALUE"""),4)</f>
        <v>4</v>
      </c>
      <c r="E471" s="2">
        <f ca="1">IFERROR(__xludf.DUMMYFUNCTION("""COMPUTED_VALUE"""),0)</f>
        <v>0</v>
      </c>
    </row>
    <row r="472" spans="1:5" ht="12.75">
      <c r="A472" s="2" t="str">
        <f ca="1">IFERROR(__xludf.DUMMYFUNCTION("""COMPUTED_VALUE"""),"MAUGĐĐV330x50")</f>
        <v>MAUGĐĐV330x50</v>
      </c>
      <c r="B472" s="2">
        <f ca="1">IFERROR(__xludf.DUMMYFUNCTION("""COMPUTED_VALUE"""),2)</f>
        <v>2</v>
      </c>
      <c r="C472" s="2">
        <f ca="1">IFERROR(__xludf.DUMMYFUNCTION("""COMPUTED_VALUE"""),2)</f>
        <v>2</v>
      </c>
      <c r="D472" s="2">
        <f ca="1">IFERROR(__xludf.DUMMYFUNCTION("""COMPUTED_VALUE"""),2)</f>
        <v>2</v>
      </c>
      <c r="E472" s="2">
        <f ca="1">IFERROR(__xludf.DUMMYFUNCTION("""COMPUTED_VALUE"""),0)</f>
        <v>0</v>
      </c>
    </row>
    <row r="473" spans="1:5" ht="12.75">
      <c r="A473" s="2" t="str">
        <f ca="1">IFERROR(__xludf.DUMMYFUNCTION("""COMPUTED_VALUE"""),"MAUGĐĐV40x50")</f>
        <v>MAUGĐĐV40x50</v>
      </c>
      <c r="B473" s="2">
        <f ca="1">IFERROR(__xludf.DUMMYFUNCTION("""COMPUTED_VALUE"""),2)</f>
        <v>2</v>
      </c>
      <c r="C473" s="2">
        <f ca="1">IFERROR(__xludf.DUMMYFUNCTION("""COMPUTED_VALUE"""),2)</f>
        <v>2</v>
      </c>
      <c r="D473" s="2">
        <f ca="1">IFERROR(__xludf.DUMMYFUNCTION("""COMPUTED_VALUE"""),2)</f>
        <v>2</v>
      </c>
      <c r="E473" s="2">
        <f ca="1">IFERROR(__xludf.DUMMYFUNCTION("""COMPUTED_VALUE"""),0)</f>
        <v>0</v>
      </c>
    </row>
    <row r="474" spans="1:5" ht="12.75">
      <c r="A474" s="2" t="str">
        <f ca="1">IFERROR(__xludf.DUMMYFUNCTION("""COMPUTED_VALUE"""),"MAUGĐĐV50x50")</f>
        <v>MAUGĐĐV50x50</v>
      </c>
      <c r="B474" s="2">
        <f ca="1">IFERROR(__xludf.DUMMYFUNCTION("""COMPUTED_VALUE"""),1)</f>
        <v>1</v>
      </c>
      <c r="C474" s="2">
        <f ca="1">IFERROR(__xludf.DUMMYFUNCTION("""COMPUTED_VALUE"""),1)</f>
        <v>1</v>
      </c>
      <c r="D474" s="2">
        <f ca="1">IFERROR(__xludf.DUMMYFUNCTION("""COMPUTED_VALUE"""),1)</f>
        <v>1</v>
      </c>
      <c r="E474" s="2">
        <f ca="1">IFERROR(__xludf.DUMMYFUNCTION("""COMPUTED_VALUE"""),0)</f>
        <v>0</v>
      </c>
    </row>
    <row r="475" spans="1:5" ht="12.75">
      <c r="A475" s="2" t="str">
        <f ca="1">IFERROR(__xludf.DUMMYFUNCTION("""COMPUTED_VALUE"""),"MAUGĐĐV60x50")</f>
        <v>MAUGĐĐV60x50</v>
      </c>
      <c r="B475" s="2">
        <f ca="1">IFERROR(__xludf.DUMMYFUNCTION("""COMPUTED_VALUE"""),3)</f>
        <v>3</v>
      </c>
      <c r="C475" s="2">
        <f ca="1">IFERROR(__xludf.DUMMYFUNCTION("""COMPUTED_VALUE"""),3)</f>
        <v>3</v>
      </c>
      <c r="D475" s="2">
        <f ca="1">IFERROR(__xludf.DUMMYFUNCTION("""COMPUTED_VALUE"""),3)</f>
        <v>3</v>
      </c>
      <c r="E475" s="2">
        <f ca="1">IFERROR(__xludf.DUMMYFUNCTION("""COMPUTED_VALUE"""),0)</f>
        <v>0</v>
      </c>
    </row>
    <row r="476" spans="1:5" ht="12.75">
      <c r="A476" s="2" t="str">
        <f ca="1">IFERROR(__xludf.DUMMYFUNCTION("""COMPUTED_VALUE"""),"MAUGĐĐV80x50")</f>
        <v>MAUGĐĐV80x50</v>
      </c>
      <c r="B476" s="2">
        <f ca="1">IFERROR(__xludf.DUMMYFUNCTION("""COMPUTED_VALUE"""),4)</f>
        <v>4</v>
      </c>
      <c r="C476" s="2">
        <f ca="1">IFERROR(__xludf.DUMMYFUNCTION("""COMPUTED_VALUE"""),4)</f>
        <v>4</v>
      </c>
      <c r="D476" s="2">
        <f ca="1">IFERROR(__xludf.DUMMYFUNCTION("""COMPUTED_VALUE"""),4)</f>
        <v>4</v>
      </c>
      <c r="E476" s="2">
        <f ca="1">IFERROR(__xludf.DUMMYFUNCTION("""COMPUTED_VALUE"""),0)</f>
        <v>0</v>
      </c>
    </row>
    <row r="477" spans="1:5" ht="12.75">
      <c r="A477" s="2" t="str">
        <f ca="1">IFERROR(__xludf.DUMMYFUNCTION("""COMPUTED_VALUE"""),"MAUGĐĐV89x50")</f>
        <v>MAUGĐĐV89x50</v>
      </c>
      <c r="B477" s="2">
        <f ca="1">IFERROR(__xludf.DUMMYFUNCTION("""COMPUTED_VALUE"""),2)</f>
        <v>2</v>
      </c>
      <c r="C477" s="2">
        <f ca="1">IFERROR(__xludf.DUMMYFUNCTION("""COMPUTED_VALUE"""),2)</f>
        <v>2</v>
      </c>
      <c r="D477" s="2">
        <f ca="1">IFERROR(__xludf.DUMMYFUNCTION("""COMPUTED_VALUE"""),2)</f>
        <v>2</v>
      </c>
      <c r="E477" s="2">
        <f ca="1">IFERROR(__xludf.DUMMYFUNCTION("""COMPUTED_VALUE"""),0)</f>
        <v>0</v>
      </c>
    </row>
    <row r="478" spans="1:5" ht="12.75">
      <c r="A478" s="2" t="str">
        <f ca="1">IFERROR(__xludf.DUMMYFUNCTION("""COMPUTED_VALUE"""),"MAUHL0635081")</f>
        <v>MAUHL0635081</v>
      </c>
      <c r="B478" s="2">
        <f ca="1">IFERROR(__xludf.DUMMYFUNCTION("""COMPUTED_VALUE"""),100)</f>
        <v>100</v>
      </c>
      <c r="C478" s="2">
        <f ca="1">IFERROR(__xludf.DUMMYFUNCTION("""COMPUTED_VALUE"""),105)</f>
        <v>105</v>
      </c>
      <c r="D478" s="2">
        <f ca="1">IFERROR(__xludf.DUMMYFUNCTION("""COMPUTED_VALUE"""),100)</f>
        <v>100</v>
      </c>
      <c r="E478" s="2">
        <f ca="1">IFERROR(__xludf.DUMMYFUNCTION("""COMPUTED_VALUE"""),5)</f>
        <v>5</v>
      </c>
    </row>
    <row r="479" spans="1:5" ht="12.75">
      <c r="A479" s="2" t="str">
        <f ca="1">IFERROR(__xludf.DUMMYFUNCTION("""COMPUTED_VALUE"""),"MAUHL0952081")</f>
        <v>MAUHL0952081</v>
      </c>
      <c r="B479" s="2">
        <f ca="1">IFERROR(__xludf.DUMMYFUNCTION("""COMPUTED_VALUE"""),99)</f>
        <v>99</v>
      </c>
      <c r="C479" s="2">
        <f ca="1">IFERROR(__xludf.DUMMYFUNCTION("""COMPUTED_VALUE"""),104)</f>
        <v>104</v>
      </c>
      <c r="D479" s="2">
        <f ca="1">IFERROR(__xludf.DUMMYFUNCTION("""COMPUTED_VALUE"""),99)</f>
        <v>99</v>
      </c>
      <c r="E479" s="2">
        <f ca="1">IFERROR(__xludf.DUMMYFUNCTION("""COMPUTED_VALUE"""),5)</f>
        <v>5</v>
      </c>
    </row>
    <row r="480" spans="1:5" ht="12.75">
      <c r="A480" s="2" t="str">
        <f ca="1">IFERROR(__xludf.DUMMYFUNCTION("""COMPUTED_VALUE"""),"MAUHL1270081")</f>
        <v>MAUHL1270081</v>
      </c>
      <c r="B480" s="2">
        <f ca="1">IFERROR(__xludf.DUMMYFUNCTION("""COMPUTED_VALUE"""),171)</f>
        <v>171</v>
      </c>
      <c r="C480" s="2">
        <f ca="1">IFERROR(__xludf.DUMMYFUNCTION("""COMPUTED_VALUE"""),177)</f>
        <v>177</v>
      </c>
      <c r="D480" s="2">
        <f ca="1">IFERROR(__xludf.DUMMYFUNCTION("""COMPUTED_VALUE"""),171)</f>
        <v>171</v>
      </c>
      <c r="E480" s="2">
        <f ca="1">IFERROR(__xludf.DUMMYFUNCTION("""COMPUTED_VALUE"""),6)</f>
        <v>6</v>
      </c>
    </row>
    <row r="481" spans="1:5" ht="12.75">
      <c r="A481" s="2" t="str">
        <f ca="1">IFERROR(__xludf.DUMMYFUNCTION("""COMPUTED_VALUE"""),"MAUHL1588100")</f>
        <v>MAUHL1588100</v>
      </c>
      <c r="B481" s="2">
        <f ca="1">IFERROR(__xludf.DUMMYFUNCTION("""COMPUTED_VALUE"""),228)</f>
        <v>228</v>
      </c>
      <c r="C481" s="2">
        <f ca="1">IFERROR(__xludf.DUMMYFUNCTION("""COMPUTED_VALUE"""),228)</f>
        <v>228</v>
      </c>
      <c r="D481" s="2">
        <f ca="1">IFERROR(__xludf.DUMMYFUNCTION("""COMPUTED_VALUE"""),228)</f>
        <v>228</v>
      </c>
      <c r="E481" s="2">
        <f ca="1">IFERROR(__xludf.DUMMYFUNCTION("""COMPUTED_VALUE"""),0)</f>
        <v>0</v>
      </c>
    </row>
    <row r="482" spans="1:5" ht="12.75">
      <c r="A482" s="2" t="str">
        <f ca="1">IFERROR(__xludf.DUMMYFUNCTION("""COMPUTED_VALUE"""),"MAUHL1905102")</f>
        <v>MAUHL1905102</v>
      </c>
      <c r="B482" s="2">
        <f ca="1">IFERROR(__xludf.DUMMYFUNCTION("""COMPUTED_VALUE"""),282)</f>
        <v>282</v>
      </c>
      <c r="C482" s="2">
        <f ca="1">IFERROR(__xludf.DUMMYFUNCTION("""COMPUTED_VALUE"""),285)</f>
        <v>285</v>
      </c>
      <c r="D482" s="2">
        <f ca="1">IFERROR(__xludf.DUMMYFUNCTION("""COMPUTED_VALUE"""),282)</f>
        <v>282</v>
      </c>
      <c r="E482" s="2">
        <f ca="1">IFERROR(__xludf.DUMMYFUNCTION("""COMPUTED_VALUE"""),3)</f>
        <v>3</v>
      </c>
    </row>
    <row r="483" spans="1:5" ht="12.75">
      <c r="A483" s="2" t="str">
        <f ca="1">IFERROR(__xludf.DUMMYFUNCTION("""COMPUTED_VALUE"""),"MAUHL2540100")</f>
        <v>MAUHL2540100</v>
      </c>
      <c r="B483" s="2">
        <f ca="1">IFERROR(__xludf.DUMMYFUNCTION("""COMPUTED_VALUE"""),142)</f>
        <v>142</v>
      </c>
      <c r="C483" s="2">
        <f ca="1">IFERROR(__xludf.DUMMYFUNCTION("""COMPUTED_VALUE"""),160)</f>
        <v>160</v>
      </c>
      <c r="D483" s="2">
        <f ca="1">IFERROR(__xludf.DUMMYFUNCTION("""COMPUTED_VALUE"""),142)</f>
        <v>142</v>
      </c>
      <c r="E483" s="2">
        <f ca="1">IFERROR(__xludf.DUMMYFUNCTION("""COMPUTED_VALUE"""),18)</f>
        <v>18</v>
      </c>
    </row>
    <row r="484" spans="1:5" ht="12.75">
      <c r="A484" s="2" t="str">
        <f ca="1">IFERROR(__xludf.DUMMYFUNCTION("""COMPUTED_VALUE"""),"MAUHL2858100")</f>
        <v>MAUHL2858100</v>
      </c>
      <c r="B484" s="2">
        <f ca="1">IFERROR(__xludf.DUMMYFUNCTION("""COMPUTED_VALUE"""),49)</f>
        <v>49</v>
      </c>
      <c r="C484" s="2">
        <f ca="1">IFERROR(__xludf.DUMMYFUNCTION("""COMPUTED_VALUE"""),57)</f>
        <v>57</v>
      </c>
      <c r="D484" s="2">
        <f ca="1">IFERROR(__xludf.DUMMYFUNCTION("""COMPUTED_VALUE"""),49)</f>
        <v>49</v>
      </c>
      <c r="E484" s="2">
        <f ca="1">IFERROR(__xludf.DUMMYFUNCTION("""COMPUTED_VALUE"""),8)</f>
        <v>8</v>
      </c>
    </row>
    <row r="485" spans="1:5" ht="12.75">
      <c r="A485" s="2" t="str">
        <f ca="1">IFERROR(__xludf.DUMMYFUNCTION("""COMPUTED_VALUE"""),"MAUHL3175100")</f>
        <v>MAUHL3175100</v>
      </c>
      <c r="B485" s="2">
        <f ca="1">IFERROR(__xludf.DUMMYFUNCTION("""COMPUTED_VALUE"""),171)</f>
        <v>171</v>
      </c>
      <c r="C485" s="2">
        <f ca="1">IFERROR(__xludf.DUMMYFUNCTION("""COMPUTED_VALUE"""),190)</f>
        <v>190</v>
      </c>
      <c r="D485" s="2">
        <f ca="1">IFERROR(__xludf.DUMMYFUNCTION("""COMPUTED_VALUE"""),171)</f>
        <v>171</v>
      </c>
      <c r="E485" s="2">
        <f ca="1">IFERROR(__xludf.DUMMYFUNCTION("""COMPUTED_VALUE"""),19)</f>
        <v>19</v>
      </c>
    </row>
    <row r="486" spans="1:5" ht="12.75">
      <c r="A486" s="2" t="str">
        <f ca="1">IFERROR(__xludf.DUMMYFUNCTION("""COMPUTED_VALUE"""),"MAUHL3493120")</f>
        <v>MAUHL3493120</v>
      </c>
      <c r="B486" s="2">
        <f ca="1">IFERROR(__xludf.DUMMYFUNCTION("""COMPUTED_VALUE"""),101)</f>
        <v>101</v>
      </c>
      <c r="C486" s="2">
        <f ca="1">IFERROR(__xludf.DUMMYFUNCTION("""COMPUTED_VALUE"""),101)</f>
        <v>101</v>
      </c>
      <c r="D486" s="2">
        <f ca="1">IFERROR(__xludf.DUMMYFUNCTION("""COMPUTED_VALUE"""),101)</f>
        <v>101</v>
      </c>
      <c r="E486" s="2">
        <f ca="1">IFERROR(__xludf.DUMMYFUNCTION("""COMPUTED_VALUE"""),0)</f>
        <v>0</v>
      </c>
    </row>
    <row r="487" spans="1:5" ht="12.75">
      <c r="A487" s="2" t="str">
        <f ca="1">IFERROR(__xludf.DUMMYFUNCTION("""COMPUTED_VALUE"""),"MAUHL3810120")</f>
        <v>MAUHL3810120</v>
      </c>
      <c r="B487" s="2">
        <f ca="1">IFERROR(__xludf.DUMMYFUNCTION("""COMPUTED_VALUE"""),68)</f>
        <v>68</v>
      </c>
      <c r="C487" s="2">
        <f ca="1">IFERROR(__xludf.DUMMYFUNCTION("""COMPUTED_VALUE"""),85)</f>
        <v>85</v>
      </c>
      <c r="D487" s="2">
        <f ca="1">IFERROR(__xludf.DUMMYFUNCTION("""COMPUTED_VALUE"""),68)</f>
        <v>68</v>
      </c>
      <c r="E487" s="2">
        <f ca="1">IFERROR(__xludf.DUMMYFUNCTION("""COMPUTED_VALUE"""),17)</f>
        <v>17</v>
      </c>
    </row>
    <row r="488" spans="1:5" ht="12.75">
      <c r="A488" s="2" t="str">
        <f ca="1">IFERROR(__xludf.DUMMYFUNCTION("""COMPUTED_VALUE"""),"MAUHL4128122")</f>
        <v>MAUHL4128122</v>
      </c>
      <c r="B488" s="2">
        <f ca="1">IFERROR(__xludf.DUMMYFUNCTION("""COMPUTED_VALUE"""),153)</f>
        <v>153</v>
      </c>
      <c r="C488" s="2">
        <f ca="1">IFERROR(__xludf.DUMMYFUNCTION("""COMPUTED_VALUE"""),159)</f>
        <v>159</v>
      </c>
      <c r="D488" s="2">
        <f ca="1">IFERROR(__xludf.DUMMYFUNCTION("""COMPUTED_VALUE"""),153)</f>
        <v>153</v>
      </c>
      <c r="E488" s="2">
        <f ca="1">IFERROR(__xludf.DUMMYFUNCTION("""COMPUTED_VALUE"""),6)</f>
        <v>6</v>
      </c>
    </row>
    <row r="489" spans="1:5" ht="12.75">
      <c r="A489" s="2" t="str">
        <f ca="1">IFERROR(__xludf.DUMMYFUNCTION("""COMPUTED_VALUE"""),"MAUHL4128140")</f>
        <v>MAUHL4128140</v>
      </c>
      <c r="B489" s="2">
        <f ca="1">IFERROR(__xludf.DUMMYFUNCTION("""COMPUTED_VALUE"""),41)</f>
        <v>41</v>
      </c>
      <c r="C489" s="2">
        <f ca="1">IFERROR(__xludf.DUMMYFUNCTION("""COMPUTED_VALUE"""),52)</f>
        <v>52</v>
      </c>
      <c r="D489" s="2">
        <f ca="1">IFERROR(__xludf.DUMMYFUNCTION("""COMPUTED_VALUE"""),41)</f>
        <v>41</v>
      </c>
      <c r="E489" s="2">
        <f ca="1">IFERROR(__xludf.DUMMYFUNCTION("""COMPUTED_VALUE"""),11)</f>
        <v>11</v>
      </c>
    </row>
    <row r="490" spans="1:5" ht="12.75">
      <c r="A490" s="2" t="str">
        <f ca="1">IFERROR(__xludf.DUMMYFUNCTION("""COMPUTED_VALUE"""),"MAULUONXK0612")</f>
        <v>MAULUONXK0612</v>
      </c>
      <c r="B490" s="2">
        <f ca="1">IFERROR(__xludf.DUMMYFUNCTION("""COMPUTED_VALUE"""),0.07)</f>
        <v>7.0000000000000007E-2</v>
      </c>
      <c r="C490" s="2">
        <f ca="1">IFERROR(__xludf.DUMMYFUNCTION("""COMPUTED_VALUE"""),0.07)</f>
        <v>7.0000000000000007E-2</v>
      </c>
      <c r="D490" s="2">
        <f ca="1">IFERROR(__xludf.DUMMYFUNCTION("""COMPUTED_VALUE"""),0.07)</f>
        <v>7.0000000000000007E-2</v>
      </c>
      <c r="E490" s="2">
        <f ca="1">IFERROR(__xludf.DUMMYFUNCTION("""COMPUTED_VALUE"""),0)</f>
        <v>0</v>
      </c>
    </row>
    <row r="491" spans="1:5" ht="12.75">
      <c r="A491" s="2" t="str">
        <f ca="1">IFERROR(__xludf.DUMMYFUNCTION("""COMPUTED_VALUE"""),"MAUOAC06x19")</f>
        <v>MAUOAC06x19</v>
      </c>
      <c r="B491" s="2">
        <f ca="1">IFERROR(__xludf.DUMMYFUNCTION("""COMPUTED_VALUE"""),2)</f>
        <v>2</v>
      </c>
      <c r="C491" s="2">
        <f ca="1">IFERROR(__xludf.DUMMYFUNCTION("""COMPUTED_VALUE"""),2)</f>
        <v>2</v>
      </c>
      <c r="D491" s="2">
        <f ca="1">IFERROR(__xludf.DUMMYFUNCTION("""COMPUTED_VALUE"""),2)</f>
        <v>2</v>
      </c>
      <c r="E491" s="2">
        <f ca="1">IFERROR(__xludf.DUMMYFUNCTION("""COMPUTED_VALUE"""),0)</f>
        <v>0</v>
      </c>
    </row>
    <row r="492" spans="1:5" ht="12.75">
      <c r="A492" s="2" t="str">
        <f ca="1">IFERROR(__xludf.DUMMYFUNCTION("""COMPUTED_VALUE"""),"MAUOAC12X19")</f>
        <v>MAUOAC12X19</v>
      </c>
      <c r="B492" s="2">
        <f ca="1">IFERROR(__xludf.DUMMYFUNCTION("""COMPUTED_VALUE"""),2)</f>
        <v>2</v>
      </c>
      <c r="C492" s="2">
        <f ca="1">IFERROR(__xludf.DUMMYFUNCTION("""COMPUTED_VALUE"""),2)</f>
        <v>2</v>
      </c>
      <c r="D492" s="2">
        <f ca="1">IFERROR(__xludf.DUMMYFUNCTION("""COMPUTED_VALUE"""),2)</f>
        <v>2</v>
      </c>
      <c r="E492" s="2">
        <f ca="1">IFERROR(__xludf.DUMMYFUNCTION("""COMPUTED_VALUE"""),0)</f>
        <v>0</v>
      </c>
    </row>
    <row r="493" spans="1:5" ht="12.75">
      <c r="A493" s="2" t="str">
        <f ca="1">IFERROR(__xludf.DUMMYFUNCTION("""COMPUTED_VALUE"""),"MAUOAC15x19")</f>
        <v>MAUOAC15x19</v>
      </c>
      <c r="B493" s="2">
        <f ca="1">IFERROR(__xludf.DUMMYFUNCTION("""COMPUTED_VALUE"""),2)</f>
        <v>2</v>
      </c>
      <c r="C493" s="2">
        <f ca="1">IFERROR(__xludf.DUMMYFUNCTION("""COMPUTED_VALUE"""),2)</f>
        <v>2</v>
      </c>
      <c r="D493" s="2">
        <f ca="1">IFERROR(__xludf.DUMMYFUNCTION("""COMPUTED_VALUE"""),2)</f>
        <v>2</v>
      </c>
      <c r="E493" s="2">
        <f ca="1">IFERROR(__xludf.DUMMYFUNCTION("""COMPUTED_VALUE"""),0)</f>
        <v>0</v>
      </c>
    </row>
    <row r="494" spans="1:5" ht="12.75">
      <c r="A494" s="2" t="str">
        <f ca="1">IFERROR(__xludf.DUMMYFUNCTION("""COMPUTED_VALUE"""),"MAUOAC22x13")</f>
        <v>MAUOAC22x13</v>
      </c>
      <c r="B494" s="2">
        <f ca="1">IFERROR(__xludf.DUMMYFUNCTION("""COMPUTED_VALUE"""),3)</f>
        <v>3</v>
      </c>
      <c r="C494" s="2">
        <f ca="1">IFERROR(__xludf.DUMMYFUNCTION("""COMPUTED_VALUE"""),3)</f>
        <v>3</v>
      </c>
      <c r="D494" s="2">
        <f ca="1">IFERROR(__xludf.DUMMYFUNCTION("""COMPUTED_VALUE"""),3)</f>
        <v>3</v>
      </c>
      <c r="E494" s="2">
        <f ca="1">IFERROR(__xludf.DUMMYFUNCTION("""COMPUTED_VALUE"""),0)</f>
        <v>0</v>
      </c>
    </row>
    <row r="495" spans="1:5" ht="12.75">
      <c r="A495" s="2" t="str">
        <f ca="1">IFERROR(__xludf.DUMMYFUNCTION("""COMPUTED_VALUE"""),"MAUOAE006X19")</f>
        <v>MAUOAE006X19</v>
      </c>
      <c r="B495" s="2">
        <f ca="1">IFERROR(__xludf.DUMMYFUNCTION("""COMPUTED_VALUE"""),36)</f>
        <v>36</v>
      </c>
      <c r="C495" s="2">
        <f ca="1">IFERROR(__xludf.DUMMYFUNCTION("""COMPUTED_VALUE"""),36)</f>
        <v>36</v>
      </c>
      <c r="D495" s="2">
        <f ca="1">IFERROR(__xludf.DUMMYFUNCTION("""COMPUTED_VALUE"""),36)</f>
        <v>36</v>
      </c>
      <c r="E495" s="2">
        <f ca="1">IFERROR(__xludf.DUMMYFUNCTION("""COMPUTED_VALUE"""),0)</f>
        <v>0</v>
      </c>
    </row>
    <row r="496" spans="1:5" ht="12.75">
      <c r="A496" s="2" t="str">
        <f ca="1">IFERROR(__xludf.DUMMYFUNCTION("""COMPUTED_VALUE"""),"MAUOAE006x19C0")</f>
        <v>MAUOAE006x19C0</v>
      </c>
      <c r="B496" s="2">
        <f ca="1">IFERROR(__xludf.DUMMYFUNCTION("""COMPUTED_VALUE"""),5)</f>
        <v>5</v>
      </c>
      <c r="C496" s="2">
        <f ca="1">IFERROR(__xludf.DUMMYFUNCTION("""COMPUTED_VALUE"""),5)</f>
        <v>5</v>
      </c>
      <c r="D496" s="2">
        <f ca="1">IFERROR(__xludf.DUMMYFUNCTION("""COMPUTED_VALUE"""),5)</f>
        <v>5</v>
      </c>
      <c r="E496" s="2">
        <f ca="1">IFERROR(__xludf.DUMMYFUNCTION("""COMPUTED_VALUE"""),0)</f>
        <v>0</v>
      </c>
    </row>
    <row r="497" spans="1:5" ht="12.75">
      <c r="A497" s="2" t="str">
        <f ca="1">IFERROR(__xludf.DUMMYFUNCTION("""COMPUTED_VALUE"""),"MAUOAE010X19")</f>
        <v>MAUOAE010X19</v>
      </c>
      <c r="B497" s="2">
        <f ca="1">IFERROR(__xludf.DUMMYFUNCTION("""COMPUTED_VALUE"""),65)</f>
        <v>65</v>
      </c>
      <c r="C497" s="2">
        <f ca="1">IFERROR(__xludf.DUMMYFUNCTION("""COMPUTED_VALUE"""),65)</f>
        <v>65</v>
      </c>
      <c r="D497" s="2">
        <f ca="1">IFERROR(__xludf.DUMMYFUNCTION("""COMPUTED_VALUE"""),65)</f>
        <v>65</v>
      </c>
      <c r="E497" s="2">
        <f ca="1">IFERROR(__xludf.DUMMYFUNCTION("""COMPUTED_VALUE"""),0)</f>
        <v>0</v>
      </c>
    </row>
    <row r="498" spans="1:5" ht="12.75">
      <c r="A498" s="2" t="str">
        <f ca="1">IFERROR(__xludf.DUMMYFUNCTION("""COMPUTED_VALUE"""),"MAUOAE010X19C0")</f>
        <v>MAUOAE010X19C0</v>
      </c>
      <c r="B498" s="2">
        <f ca="1">IFERROR(__xludf.DUMMYFUNCTION("""COMPUTED_VALUE"""),41)</f>
        <v>41</v>
      </c>
      <c r="C498" s="2">
        <f ca="1">IFERROR(__xludf.DUMMYFUNCTION("""COMPUTED_VALUE"""),41)</f>
        <v>41</v>
      </c>
      <c r="D498" s="2">
        <f ca="1">IFERROR(__xludf.DUMMYFUNCTION("""COMPUTED_VALUE"""),41)</f>
        <v>41</v>
      </c>
      <c r="E498" s="2">
        <f ca="1">IFERROR(__xludf.DUMMYFUNCTION("""COMPUTED_VALUE"""),0)</f>
        <v>0</v>
      </c>
    </row>
    <row r="499" spans="1:5" ht="12.75">
      <c r="A499" s="2" t="str">
        <f ca="1">IFERROR(__xludf.DUMMYFUNCTION("""COMPUTED_VALUE"""),"MAUOAE013X19")</f>
        <v>MAUOAE013X19</v>
      </c>
      <c r="B499" s="2">
        <f ca="1">IFERROR(__xludf.DUMMYFUNCTION("""COMPUTED_VALUE"""),59)</f>
        <v>59</v>
      </c>
      <c r="C499" s="2">
        <f ca="1">IFERROR(__xludf.DUMMYFUNCTION("""COMPUTED_VALUE"""),59)</f>
        <v>59</v>
      </c>
      <c r="D499" s="2">
        <f ca="1">IFERROR(__xludf.DUMMYFUNCTION("""COMPUTED_VALUE"""),59)</f>
        <v>59</v>
      </c>
      <c r="E499" s="2">
        <f ca="1">IFERROR(__xludf.DUMMYFUNCTION("""COMPUTED_VALUE"""),0)</f>
        <v>0</v>
      </c>
    </row>
    <row r="500" spans="1:5" ht="12.75">
      <c r="A500" s="2" t="str">
        <f ca="1">IFERROR(__xludf.DUMMYFUNCTION("""COMPUTED_VALUE"""),"MAUOAE013x19C0")</f>
        <v>MAUOAE013x19C0</v>
      </c>
      <c r="B500" s="2">
        <f ca="1">IFERROR(__xludf.DUMMYFUNCTION("""COMPUTED_VALUE"""),36)</f>
        <v>36</v>
      </c>
      <c r="C500" s="2">
        <f ca="1">IFERROR(__xludf.DUMMYFUNCTION("""COMPUTED_VALUE"""),36)</f>
        <v>36</v>
      </c>
      <c r="D500" s="2">
        <f ca="1">IFERROR(__xludf.DUMMYFUNCTION("""COMPUTED_VALUE"""),36)</f>
        <v>36</v>
      </c>
      <c r="E500" s="2">
        <f ca="1">IFERROR(__xludf.DUMMYFUNCTION("""COMPUTED_VALUE"""),0)</f>
        <v>0</v>
      </c>
    </row>
    <row r="501" spans="1:5" ht="12.75">
      <c r="A501" s="2" t="str">
        <f ca="1">IFERROR(__xludf.DUMMYFUNCTION("""COMPUTED_VALUE"""),"MAUOAE013X25")</f>
        <v>MAUOAE013X25</v>
      </c>
      <c r="B501" s="2">
        <f ca="1">IFERROR(__xludf.DUMMYFUNCTION("""COMPUTED_VALUE"""),28)</f>
        <v>28</v>
      </c>
      <c r="C501" s="2">
        <f ca="1">IFERROR(__xludf.DUMMYFUNCTION("""COMPUTED_VALUE"""),28)</f>
        <v>28</v>
      </c>
      <c r="D501" s="2">
        <f ca="1">IFERROR(__xludf.DUMMYFUNCTION("""COMPUTED_VALUE"""),28)</f>
        <v>28</v>
      </c>
      <c r="E501" s="2">
        <f ca="1">IFERROR(__xludf.DUMMYFUNCTION("""COMPUTED_VALUE"""),0)</f>
        <v>0</v>
      </c>
    </row>
    <row r="502" spans="1:5" ht="12.75">
      <c r="A502" s="2" t="str">
        <f ca="1">IFERROR(__xludf.DUMMYFUNCTION("""COMPUTED_VALUE"""),"MAUOAE016X19")</f>
        <v>MAUOAE016X19</v>
      </c>
      <c r="B502" s="2">
        <f ca="1">IFERROR(__xludf.DUMMYFUNCTION("""COMPUTED_VALUE"""),82)</f>
        <v>82</v>
      </c>
      <c r="C502" s="2">
        <f ca="1">IFERROR(__xludf.DUMMYFUNCTION("""COMPUTED_VALUE"""),82)</f>
        <v>82</v>
      </c>
      <c r="D502" s="2">
        <f ca="1">IFERROR(__xludf.DUMMYFUNCTION("""COMPUTED_VALUE"""),82)</f>
        <v>82</v>
      </c>
      <c r="E502" s="2">
        <f ca="1">IFERROR(__xludf.DUMMYFUNCTION("""COMPUTED_VALUE"""),0)</f>
        <v>0</v>
      </c>
    </row>
    <row r="503" spans="1:5" ht="12.75">
      <c r="A503" s="2" t="str">
        <f ca="1">IFERROR(__xludf.DUMMYFUNCTION("""COMPUTED_VALUE"""),"MAUOAE016X19C0")</f>
        <v>MAUOAE016X19C0</v>
      </c>
      <c r="B503" s="2">
        <f ca="1">IFERROR(__xludf.DUMMYFUNCTION("""COMPUTED_VALUE"""),47)</f>
        <v>47</v>
      </c>
      <c r="C503" s="2">
        <f ca="1">IFERROR(__xludf.DUMMYFUNCTION("""COMPUTED_VALUE"""),47)</f>
        <v>47</v>
      </c>
      <c r="D503" s="2">
        <f ca="1">IFERROR(__xludf.DUMMYFUNCTION("""COMPUTED_VALUE"""),47)</f>
        <v>47</v>
      </c>
      <c r="E503" s="2">
        <f ca="1">IFERROR(__xludf.DUMMYFUNCTION("""COMPUTED_VALUE"""),0)</f>
        <v>0</v>
      </c>
    </row>
    <row r="504" spans="1:5" ht="12.75">
      <c r="A504" s="2" t="str">
        <f ca="1">IFERROR(__xludf.DUMMYFUNCTION("""COMPUTED_VALUE"""),"MAUOAE016X25")</f>
        <v>MAUOAE016X25</v>
      </c>
      <c r="B504" s="2">
        <f ca="1">IFERROR(__xludf.DUMMYFUNCTION("""COMPUTED_VALUE"""),28)</f>
        <v>28</v>
      </c>
      <c r="C504" s="2">
        <f ca="1">IFERROR(__xludf.DUMMYFUNCTION("""COMPUTED_VALUE"""),28)</f>
        <v>28</v>
      </c>
      <c r="D504" s="2">
        <f ca="1">IFERROR(__xludf.DUMMYFUNCTION("""COMPUTED_VALUE"""),28)</f>
        <v>28</v>
      </c>
      <c r="E504" s="2">
        <f ca="1">IFERROR(__xludf.DUMMYFUNCTION("""COMPUTED_VALUE"""),0)</f>
        <v>0</v>
      </c>
    </row>
    <row r="505" spans="1:5" ht="12.75">
      <c r="A505" s="2" t="str">
        <f ca="1">IFERROR(__xludf.DUMMYFUNCTION("""COMPUTED_VALUE"""),"MAUOAE016x25C0")</f>
        <v>MAUOAE016x25C0</v>
      </c>
      <c r="B505" s="2">
        <f ca="1">IFERROR(__xludf.DUMMYFUNCTION("""COMPUTED_VALUE"""),3)</f>
        <v>3</v>
      </c>
      <c r="C505" s="2">
        <f ca="1">IFERROR(__xludf.DUMMYFUNCTION("""COMPUTED_VALUE"""),3)</f>
        <v>3</v>
      </c>
      <c r="D505" s="2">
        <f ca="1">IFERROR(__xludf.DUMMYFUNCTION("""COMPUTED_VALUE"""),3)</f>
        <v>3</v>
      </c>
      <c r="E505" s="2">
        <f ca="1">IFERROR(__xludf.DUMMYFUNCTION("""COMPUTED_VALUE"""),0)</f>
        <v>0</v>
      </c>
    </row>
    <row r="506" spans="1:5" ht="12.75">
      <c r="A506" s="2" t="str">
        <f ca="1">IFERROR(__xludf.DUMMYFUNCTION("""COMPUTED_VALUE"""),"MAUOAE019X19")</f>
        <v>MAUOAE019X19</v>
      </c>
      <c r="B506" s="2">
        <f ca="1">IFERROR(__xludf.DUMMYFUNCTION("""COMPUTED_VALUE"""),64)</f>
        <v>64</v>
      </c>
      <c r="C506" s="2">
        <f ca="1">IFERROR(__xludf.DUMMYFUNCTION("""COMPUTED_VALUE"""),64)</f>
        <v>64</v>
      </c>
      <c r="D506" s="2">
        <f ca="1">IFERROR(__xludf.DUMMYFUNCTION("""COMPUTED_VALUE"""),64)</f>
        <v>64</v>
      </c>
      <c r="E506" s="2">
        <f ca="1">IFERROR(__xludf.DUMMYFUNCTION("""COMPUTED_VALUE"""),0)</f>
        <v>0</v>
      </c>
    </row>
    <row r="507" spans="1:5" ht="12.75">
      <c r="A507" s="2" t="str">
        <f ca="1">IFERROR(__xludf.DUMMYFUNCTION("""COMPUTED_VALUE"""),"MAUOAE019x19C0")</f>
        <v>MAUOAE019x19C0</v>
      </c>
      <c r="B507" s="2">
        <f ca="1">IFERROR(__xludf.DUMMYFUNCTION("""COMPUTED_VALUE"""),5)</f>
        <v>5</v>
      </c>
      <c r="C507" s="2">
        <f ca="1">IFERROR(__xludf.DUMMYFUNCTION("""COMPUTED_VALUE"""),5)</f>
        <v>5</v>
      </c>
      <c r="D507" s="2">
        <f ca="1">IFERROR(__xludf.DUMMYFUNCTION("""COMPUTED_VALUE"""),5)</f>
        <v>5</v>
      </c>
      <c r="E507" s="2">
        <f ca="1">IFERROR(__xludf.DUMMYFUNCTION("""COMPUTED_VALUE"""),0)</f>
        <v>0</v>
      </c>
    </row>
    <row r="508" spans="1:5" ht="12.75">
      <c r="A508" s="2" t="str">
        <f ca="1">IFERROR(__xludf.DUMMYFUNCTION("""COMPUTED_VALUE"""),"MAUOAE019X25")</f>
        <v>MAUOAE019X25</v>
      </c>
      <c r="B508" s="2">
        <f ca="1">IFERROR(__xludf.DUMMYFUNCTION("""COMPUTED_VALUE"""),28)</f>
        <v>28</v>
      </c>
      <c r="C508" s="2">
        <f ca="1">IFERROR(__xludf.DUMMYFUNCTION("""COMPUTED_VALUE"""),28)</f>
        <v>28</v>
      </c>
      <c r="D508" s="2">
        <f ca="1">IFERROR(__xludf.DUMMYFUNCTION("""COMPUTED_VALUE"""),28)</f>
        <v>28</v>
      </c>
      <c r="E508" s="2">
        <f ca="1">IFERROR(__xludf.DUMMYFUNCTION("""COMPUTED_VALUE"""),0)</f>
        <v>0</v>
      </c>
    </row>
    <row r="509" spans="1:5" ht="12.75">
      <c r="A509" s="2" t="str">
        <f ca="1">IFERROR(__xludf.DUMMYFUNCTION("""COMPUTED_VALUE"""),"MAUOAE019x25C0")</f>
        <v>MAUOAE019x25C0</v>
      </c>
      <c r="B509" s="2">
        <f ca="1">IFERROR(__xludf.DUMMYFUNCTION("""COMPUTED_VALUE"""),1)</f>
        <v>1</v>
      </c>
      <c r="C509" s="2">
        <f ca="1">IFERROR(__xludf.DUMMYFUNCTION("""COMPUTED_VALUE"""),1)</f>
        <v>1</v>
      </c>
      <c r="D509" s="2">
        <f ca="1">IFERROR(__xludf.DUMMYFUNCTION("""COMPUTED_VALUE"""),1)</f>
        <v>1</v>
      </c>
      <c r="E509" s="2">
        <f ca="1">IFERROR(__xludf.DUMMYFUNCTION("""COMPUTED_VALUE"""),0)</f>
        <v>0</v>
      </c>
    </row>
    <row r="510" spans="1:5" ht="12.75">
      <c r="A510" s="2" t="str">
        <f ca="1">IFERROR(__xludf.DUMMYFUNCTION("""COMPUTED_VALUE"""),"MAUOAE022x19C0")</f>
        <v>MAUOAE022x19C0</v>
      </c>
      <c r="B510" s="2">
        <f ca="1">IFERROR(__xludf.DUMMYFUNCTION("""COMPUTED_VALUE"""),2)</f>
        <v>2</v>
      </c>
      <c r="C510" s="2">
        <f ca="1">IFERROR(__xludf.DUMMYFUNCTION("""COMPUTED_VALUE"""),2)</f>
        <v>2</v>
      </c>
      <c r="D510" s="2">
        <f ca="1">IFERROR(__xludf.DUMMYFUNCTION("""COMPUTED_VALUE"""),2)</f>
        <v>2</v>
      </c>
      <c r="E510" s="2">
        <f ca="1">IFERROR(__xludf.DUMMYFUNCTION("""COMPUTED_VALUE"""),0)</f>
        <v>0</v>
      </c>
    </row>
    <row r="511" spans="1:5" ht="12.75">
      <c r="A511" s="2" t="str">
        <f ca="1">IFERROR(__xludf.DUMMYFUNCTION("""COMPUTED_VALUE"""),"MAUOAE022X25")</f>
        <v>MAUOAE022X25</v>
      </c>
      <c r="B511" s="2">
        <f ca="1">IFERROR(__xludf.DUMMYFUNCTION("""COMPUTED_VALUE"""),46)</f>
        <v>46</v>
      </c>
      <c r="C511" s="2">
        <f ca="1">IFERROR(__xludf.DUMMYFUNCTION("""COMPUTED_VALUE"""),46)</f>
        <v>46</v>
      </c>
      <c r="D511" s="2">
        <f ca="1">IFERROR(__xludf.DUMMYFUNCTION("""COMPUTED_VALUE"""),46)</f>
        <v>46</v>
      </c>
      <c r="E511" s="2">
        <f ca="1">IFERROR(__xludf.DUMMYFUNCTION("""COMPUTED_VALUE"""),0)</f>
        <v>0</v>
      </c>
    </row>
    <row r="512" spans="1:5" ht="12.75">
      <c r="A512" s="2" t="str">
        <f ca="1">IFERROR(__xludf.DUMMYFUNCTION("""COMPUTED_VALUE"""),"MAUOAE028x13")</f>
        <v>MAUOAE028x13</v>
      </c>
      <c r="B512" s="2">
        <f ca="1">IFERROR(__xludf.DUMMYFUNCTION("""COMPUTED_VALUE"""),37)</f>
        <v>37</v>
      </c>
      <c r="C512" s="2">
        <f ca="1">IFERROR(__xludf.DUMMYFUNCTION("""COMPUTED_VALUE"""),37)</f>
        <v>37</v>
      </c>
      <c r="D512" s="2">
        <f ca="1">IFERROR(__xludf.DUMMYFUNCTION("""COMPUTED_VALUE"""),37)</f>
        <v>37</v>
      </c>
      <c r="E512" s="2">
        <f ca="1">IFERROR(__xludf.DUMMYFUNCTION("""COMPUTED_VALUE"""),0)</f>
        <v>0</v>
      </c>
    </row>
    <row r="513" spans="1:5" ht="12.75">
      <c r="A513" s="2" t="str">
        <f ca="1">IFERROR(__xludf.DUMMYFUNCTION("""COMPUTED_VALUE"""),"MAUOAE028x13C0")</f>
        <v>MAUOAE028x13C0</v>
      </c>
      <c r="B513" s="2">
        <f ca="1">IFERROR(__xludf.DUMMYFUNCTION("""COMPUTED_VALUE"""),45)</f>
        <v>45</v>
      </c>
      <c r="C513" s="2">
        <f ca="1">IFERROR(__xludf.DUMMYFUNCTION("""COMPUTED_VALUE"""),45)</f>
        <v>45</v>
      </c>
      <c r="D513" s="2">
        <f ca="1">IFERROR(__xludf.DUMMYFUNCTION("""COMPUTED_VALUE"""),45)</f>
        <v>45</v>
      </c>
      <c r="E513" s="2">
        <f ca="1">IFERROR(__xludf.DUMMYFUNCTION("""COMPUTED_VALUE"""),0)</f>
        <v>0</v>
      </c>
    </row>
    <row r="514" spans="1:5" ht="12.75">
      <c r="A514" s="2" t="str">
        <f ca="1">IFERROR(__xludf.DUMMYFUNCTION("""COMPUTED_VALUE"""),"MAUOAE028x19C0")</f>
        <v>MAUOAE028x19C0</v>
      </c>
      <c r="B514" s="2">
        <f ca="1">IFERROR(__xludf.DUMMYFUNCTION("""COMPUTED_VALUE"""),2)</f>
        <v>2</v>
      </c>
      <c r="C514" s="2">
        <f ca="1">IFERROR(__xludf.DUMMYFUNCTION("""COMPUTED_VALUE"""),2)</f>
        <v>2</v>
      </c>
      <c r="D514" s="2">
        <f ca="1">IFERROR(__xludf.DUMMYFUNCTION("""COMPUTED_VALUE"""),2)</f>
        <v>2</v>
      </c>
      <c r="E514" s="2">
        <f ca="1">IFERROR(__xludf.DUMMYFUNCTION("""COMPUTED_VALUE"""),0)</f>
        <v>0</v>
      </c>
    </row>
    <row r="515" spans="1:5" ht="12.75">
      <c r="A515" s="2" t="str">
        <f ca="1">IFERROR(__xludf.DUMMYFUNCTION("""COMPUTED_VALUE"""),"MAUOAE028X25")</f>
        <v>MAUOAE028X25</v>
      </c>
      <c r="B515" s="2">
        <f ca="1">IFERROR(__xludf.DUMMYFUNCTION("""COMPUTED_VALUE"""),51)</f>
        <v>51</v>
      </c>
      <c r="C515" s="2">
        <f ca="1">IFERROR(__xludf.DUMMYFUNCTION("""COMPUTED_VALUE"""),51)</f>
        <v>51</v>
      </c>
      <c r="D515" s="2">
        <f ca="1">IFERROR(__xludf.DUMMYFUNCTION("""COMPUTED_VALUE"""),51)</f>
        <v>51</v>
      </c>
      <c r="E515" s="2">
        <f ca="1">IFERROR(__xludf.DUMMYFUNCTION("""COMPUTED_VALUE"""),0)</f>
        <v>0</v>
      </c>
    </row>
    <row r="516" spans="1:5" ht="12.75">
      <c r="A516" s="2" t="str">
        <f ca="1">IFERROR(__xludf.DUMMYFUNCTION("""COMPUTED_VALUE"""),"MAUOAE032x13C0")</f>
        <v>MAUOAE032x13C0</v>
      </c>
      <c r="B516" s="2">
        <f ca="1">IFERROR(__xludf.DUMMYFUNCTION("""COMPUTED_VALUE"""),5)</f>
        <v>5</v>
      </c>
      <c r="C516" s="2">
        <f ca="1">IFERROR(__xludf.DUMMYFUNCTION("""COMPUTED_VALUE"""),5)</f>
        <v>5</v>
      </c>
      <c r="D516" s="2">
        <f ca="1">IFERROR(__xludf.DUMMYFUNCTION("""COMPUTED_VALUE"""),5)</f>
        <v>5</v>
      </c>
      <c r="E516" s="2">
        <f ca="1">IFERROR(__xludf.DUMMYFUNCTION("""COMPUTED_VALUE"""),0)</f>
        <v>0</v>
      </c>
    </row>
    <row r="517" spans="1:5" ht="12.75">
      <c r="A517" s="2" t="str">
        <f ca="1">IFERROR(__xludf.DUMMYFUNCTION("""COMPUTED_VALUE"""),"MAUOAE035X13")</f>
        <v>MAUOAE035X13</v>
      </c>
      <c r="B517" s="2">
        <f ca="1">IFERROR(__xludf.DUMMYFUNCTION("""COMPUTED_VALUE"""),34)</f>
        <v>34</v>
      </c>
      <c r="C517" s="2">
        <f ca="1">IFERROR(__xludf.DUMMYFUNCTION("""COMPUTED_VALUE"""),34)</f>
        <v>34</v>
      </c>
      <c r="D517" s="2">
        <f ca="1">IFERROR(__xludf.DUMMYFUNCTION("""COMPUTED_VALUE"""),34)</f>
        <v>34</v>
      </c>
      <c r="E517" s="2">
        <f ca="1">IFERROR(__xludf.DUMMYFUNCTION("""COMPUTED_VALUE"""),0)</f>
        <v>0</v>
      </c>
    </row>
    <row r="518" spans="1:5" ht="12.75">
      <c r="A518" s="2" t="str">
        <f ca="1">IFERROR(__xludf.DUMMYFUNCTION("""COMPUTED_VALUE"""),"MAUOAE035x19C0")</f>
        <v>MAUOAE035x19C0</v>
      </c>
      <c r="B518" s="2">
        <f ca="1">IFERROR(__xludf.DUMMYFUNCTION("""COMPUTED_VALUE"""),4)</f>
        <v>4</v>
      </c>
      <c r="C518" s="2">
        <f ca="1">IFERROR(__xludf.DUMMYFUNCTION("""COMPUTED_VALUE"""),4)</f>
        <v>4</v>
      </c>
      <c r="D518" s="2">
        <f ca="1">IFERROR(__xludf.DUMMYFUNCTION("""COMPUTED_VALUE"""),4)</f>
        <v>4</v>
      </c>
      <c r="E518" s="2">
        <f ca="1">IFERROR(__xludf.DUMMYFUNCTION("""COMPUTED_VALUE"""),0)</f>
        <v>0</v>
      </c>
    </row>
    <row r="519" spans="1:5" ht="12.75">
      <c r="A519" s="2" t="str">
        <f ca="1">IFERROR(__xludf.DUMMYFUNCTION("""COMPUTED_VALUE"""),"MAUOAE042x13")</f>
        <v>MAUOAE042x13</v>
      </c>
      <c r="B519" s="2">
        <f ca="1">IFERROR(__xludf.DUMMYFUNCTION("""COMPUTED_VALUE"""),44)</f>
        <v>44</v>
      </c>
      <c r="C519" s="2">
        <f ca="1">IFERROR(__xludf.DUMMYFUNCTION("""COMPUTED_VALUE"""),44)</f>
        <v>44</v>
      </c>
      <c r="D519" s="2">
        <f ca="1">IFERROR(__xludf.DUMMYFUNCTION("""COMPUTED_VALUE"""),44)</f>
        <v>44</v>
      </c>
      <c r="E519" s="2">
        <f ca="1">IFERROR(__xludf.DUMMYFUNCTION("""COMPUTED_VALUE"""),0)</f>
        <v>0</v>
      </c>
    </row>
    <row r="520" spans="1:5" ht="12.75">
      <c r="A520" s="2" t="str">
        <f ca="1">IFERROR(__xludf.DUMMYFUNCTION("""COMPUTED_VALUE"""),"MAUOAE042x19C0")</f>
        <v>MAUOAE042x19C0</v>
      </c>
      <c r="B520" s="2">
        <f ca="1">IFERROR(__xludf.DUMMYFUNCTION("""COMPUTED_VALUE"""),5)</f>
        <v>5</v>
      </c>
      <c r="C520" s="2">
        <f ca="1">IFERROR(__xludf.DUMMYFUNCTION("""COMPUTED_VALUE"""),5)</f>
        <v>5</v>
      </c>
      <c r="D520" s="2">
        <f ca="1">IFERROR(__xludf.DUMMYFUNCTION("""COMPUTED_VALUE"""),5)</f>
        <v>5</v>
      </c>
      <c r="E520" s="2">
        <f ca="1">IFERROR(__xludf.DUMMYFUNCTION("""COMPUTED_VALUE"""),0)</f>
        <v>0</v>
      </c>
    </row>
    <row r="521" spans="1:5" ht="12.75">
      <c r="A521" s="2" t="str">
        <f ca="1">IFERROR(__xludf.DUMMYFUNCTION("""COMPUTED_VALUE"""),"MAUOAE042x25")</f>
        <v>MAUOAE042x25</v>
      </c>
      <c r="B521" s="2">
        <f ca="1">IFERROR(__xludf.DUMMYFUNCTION("""COMPUTED_VALUE"""),47)</f>
        <v>47</v>
      </c>
      <c r="C521" s="2">
        <f ca="1">IFERROR(__xludf.DUMMYFUNCTION("""COMPUTED_VALUE"""),47)</f>
        <v>47</v>
      </c>
      <c r="D521" s="2">
        <f ca="1">IFERROR(__xludf.DUMMYFUNCTION("""COMPUTED_VALUE"""),47)</f>
        <v>47</v>
      </c>
      <c r="E521" s="2">
        <f ca="1">IFERROR(__xludf.DUMMYFUNCTION("""COMPUTED_VALUE"""),0)</f>
        <v>0</v>
      </c>
    </row>
    <row r="522" spans="1:5" ht="12.75">
      <c r="A522" s="2" t="str">
        <f ca="1">IFERROR(__xludf.DUMMYFUNCTION("""COMPUTED_VALUE"""),"MAUOAE048x13C0")</f>
        <v>MAUOAE048x13C0</v>
      </c>
      <c r="B522" s="2">
        <f ca="1">IFERROR(__xludf.DUMMYFUNCTION("""COMPUTED_VALUE"""),5)</f>
        <v>5</v>
      </c>
      <c r="C522" s="2">
        <f ca="1">IFERROR(__xludf.DUMMYFUNCTION("""COMPUTED_VALUE"""),5)</f>
        <v>5</v>
      </c>
      <c r="D522" s="2">
        <f ca="1">IFERROR(__xludf.DUMMYFUNCTION("""COMPUTED_VALUE"""),5)</f>
        <v>5</v>
      </c>
      <c r="E522" s="2">
        <f ca="1">IFERROR(__xludf.DUMMYFUNCTION("""COMPUTED_VALUE"""),0)</f>
        <v>0</v>
      </c>
    </row>
    <row r="523" spans="1:5" ht="12.75">
      <c r="A523" s="2" t="str">
        <f ca="1">IFERROR(__xludf.DUMMYFUNCTION("""COMPUTED_VALUE"""),"MAUOAE060x13")</f>
        <v>MAUOAE060x13</v>
      </c>
      <c r="B523" s="2">
        <f ca="1">IFERROR(__xludf.DUMMYFUNCTION("""COMPUTED_VALUE"""),45)</f>
        <v>45</v>
      </c>
      <c r="C523" s="2">
        <f ca="1">IFERROR(__xludf.DUMMYFUNCTION("""COMPUTED_VALUE"""),46)</f>
        <v>46</v>
      </c>
      <c r="D523" s="2">
        <f ca="1">IFERROR(__xludf.DUMMYFUNCTION("""COMPUTED_VALUE"""),45)</f>
        <v>45</v>
      </c>
      <c r="E523" s="2">
        <f ca="1">IFERROR(__xludf.DUMMYFUNCTION("""COMPUTED_VALUE"""),1)</f>
        <v>1</v>
      </c>
    </row>
    <row r="524" spans="1:5" ht="12.75">
      <c r="A524" s="2" t="str">
        <f ca="1">IFERROR(__xludf.DUMMYFUNCTION("""COMPUTED_VALUE"""),"MAUOAFRV06X19")</f>
        <v>MAUOAFRV06X19</v>
      </c>
      <c r="B524" s="2">
        <f ca="1">IFERROR(__xludf.DUMMYFUNCTION("""COMPUTED_VALUE"""),22)</f>
        <v>22</v>
      </c>
      <c r="C524" s="2">
        <f ca="1">IFERROR(__xludf.DUMMYFUNCTION("""COMPUTED_VALUE"""),22)</f>
        <v>22</v>
      </c>
      <c r="D524" s="2">
        <f ca="1">IFERROR(__xludf.DUMMYFUNCTION("""COMPUTED_VALUE"""),22)</f>
        <v>22</v>
      </c>
      <c r="E524" s="2">
        <f ca="1">IFERROR(__xludf.DUMMYFUNCTION("""COMPUTED_VALUE"""),0)</f>
        <v>0</v>
      </c>
    </row>
    <row r="525" spans="1:5" ht="12.75">
      <c r="A525" s="2" t="str">
        <f ca="1">IFERROR(__xludf.DUMMYFUNCTION("""COMPUTED_VALUE"""),"MAUOAFRV10X13")</f>
        <v>MAUOAFRV10X13</v>
      </c>
      <c r="B525" s="2">
        <f ca="1">IFERROR(__xludf.DUMMYFUNCTION("""COMPUTED_VALUE"""),35)</f>
        <v>35</v>
      </c>
      <c r="C525" s="2">
        <f ca="1">IFERROR(__xludf.DUMMYFUNCTION("""COMPUTED_VALUE"""),35)</f>
        <v>35</v>
      </c>
      <c r="D525" s="2">
        <f ca="1">IFERROR(__xludf.DUMMYFUNCTION("""COMPUTED_VALUE"""),35)</f>
        <v>35</v>
      </c>
      <c r="E525" s="2">
        <f ca="1">IFERROR(__xludf.DUMMYFUNCTION("""COMPUTED_VALUE"""),0)</f>
        <v>0</v>
      </c>
    </row>
    <row r="526" spans="1:5" ht="12.75">
      <c r="A526" s="2" t="str">
        <f ca="1">IFERROR(__xludf.DUMMYFUNCTION("""COMPUTED_VALUE"""),"MAUOAFRV10X19")</f>
        <v>MAUOAFRV10X19</v>
      </c>
      <c r="B526" s="2">
        <f ca="1">IFERROR(__xludf.DUMMYFUNCTION("""COMPUTED_VALUE"""),70)</f>
        <v>70</v>
      </c>
      <c r="C526" s="2">
        <f ca="1">IFERROR(__xludf.DUMMYFUNCTION("""COMPUTED_VALUE"""),70)</f>
        <v>70</v>
      </c>
      <c r="D526" s="2">
        <f ca="1">IFERROR(__xludf.DUMMYFUNCTION("""COMPUTED_VALUE"""),70)</f>
        <v>70</v>
      </c>
      <c r="E526" s="2">
        <f ca="1">IFERROR(__xludf.DUMMYFUNCTION("""COMPUTED_VALUE"""),0)</f>
        <v>0</v>
      </c>
    </row>
    <row r="527" spans="1:5" ht="12.75">
      <c r="A527" s="2" t="str">
        <f ca="1">IFERROR(__xludf.DUMMYFUNCTION("""COMPUTED_VALUE"""),"MAUOAFRV10X25")</f>
        <v>MAUOAFRV10X25</v>
      </c>
      <c r="B527" s="2">
        <f ca="1">IFERROR(__xludf.DUMMYFUNCTION("""COMPUTED_VALUE"""),10)</f>
        <v>10</v>
      </c>
      <c r="C527" s="2">
        <f ca="1">IFERROR(__xludf.DUMMYFUNCTION("""COMPUTED_VALUE"""),10)</f>
        <v>10</v>
      </c>
      <c r="D527" s="2">
        <f ca="1">IFERROR(__xludf.DUMMYFUNCTION("""COMPUTED_VALUE"""),10)</f>
        <v>10</v>
      </c>
      <c r="E527" s="2">
        <f ca="1">IFERROR(__xludf.DUMMYFUNCTION("""COMPUTED_VALUE"""),0)</f>
        <v>0</v>
      </c>
    </row>
    <row r="528" spans="1:5" ht="12.75">
      <c r="A528" s="2" t="str">
        <f ca="1">IFERROR(__xludf.DUMMYFUNCTION("""COMPUTED_VALUE"""),"MAUOAFRV12X13")</f>
        <v>MAUOAFRV12X13</v>
      </c>
      <c r="B528" s="2">
        <f ca="1">IFERROR(__xludf.DUMMYFUNCTION("""COMPUTED_VALUE"""),31)</f>
        <v>31</v>
      </c>
      <c r="C528" s="2">
        <f ca="1">IFERROR(__xludf.DUMMYFUNCTION("""COMPUTED_VALUE"""),31)</f>
        <v>31</v>
      </c>
      <c r="D528" s="2">
        <f ca="1">IFERROR(__xludf.DUMMYFUNCTION("""COMPUTED_VALUE"""),31)</f>
        <v>31</v>
      </c>
      <c r="E528" s="2">
        <f ca="1">IFERROR(__xludf.DUMMYFUNCTION("""COMPUTED_VALUE"""),0)</f>
        <v>0</v>
      </c>
    </row>
    <row r="529" spans="1:5" ht="12.75">
      <c r="A529" s="2" t="str">
        <f ca="1">IFERROR(__xludf.DUMMYFUNCTION("""COMPUTED_VALUE"""),"MAUOAFRV12X19")</f>
        <v>MAUOAFRV12X19</v>
      </c>
      <c r="B529" s="2">
        <f ca="1">IFERROR(__xludf.DUMMYFUNCTION("""COMPUTED_VALUE"""),82)</f>
        <v>82</v>
      </c>
      <c r="C529" s="2">
        <f ca="1">IFERROR(__xludf.DUMMYFUNCTION("""COMPUTED_VALUE"""),82)</f>
        <v>82</v>
      </c>
      <c r="D529" s="2">
        <f ca="1">IFERROR(__xludf.DUMMYFUNCTION("""COMPUTED_VALUE"""),82)</f>
        <v>82</v>
      </c>
      <c r="E529" s="2">
        <f ca="1">IFERROR(__xludf.DUMMYFUNCTION("""COMPUTED_VALUE"""),0)</f>
        <v>0</v>
      </c>
    </row>
    <row r="530" spans="1:5" ht="12.75">
      <c r="A530" s="2" t="str">
        <f ca="1">IFERROR(__xludf.DUMMYFUNCTION("""COMPUTED_VALUE"""),"MAUOAFRV13X25")</f>
        <v>MAUOAFRV13X25</v>
      </c>
      <c r="B530" s="2">
        <f ca="1">IFERROR(__xludf.DUMMYFUNCTION("""COMPUTED_VALUE"""),29)</f>
        <v>29</v>
      </c>
      <c r="C530" s="2">
        <f ca="1">IFERROR(__xludf.DUMMYFUNCTION("""COMPUTED_VALUE"""),29)</f>
        <v>29</v>
      </c>
      <c r="D530" s="2">
        <f ca="1">IFERROR(__xludf.DUMMYFUNCTION("""COMPUTED_VALUE"""),29)</f>
        <v>29</v>
      </c>
      <c r="E530" s="2">
        <f ca="1">IFERROR(__xludf.DUMMYFUNCTION("""COMPUTED_VALUE"""),0)</f>
        <v>0</v>
      </c>
    </row>
    <row r="531" spans="1:5" ht="12.75">
      <c r="A531" s="2" t="str">
        <f ca="1">IFERROR(__xludf.DUMMYFUNCTION("""COMPUTED_VALUE"""),"MAUOAFRV15X19")</f>
        <v>MAUOAFRV15X19</v>
      </c>
      <c r="B531" s="2">
        <f ca="1">IFERROR(__xludf.DUMMYFUNCTION("""COMPUTED_VALUE"""),22)</f>
        <v>22</v>
      </c>
      <c r="C531" s="2">
        <f ca="1">IFERROR(__xludf.DUMMYFUNCTION("""COMPUTED_VALUE"""),22)</f>
        <v>22</v>
      </c>
      <c r="D531" s="2">
        <f ca="1">IFERROR(__xludf.DUMMYFUNCTION("""COMPUTED_VALUE"""),22)</f>
        <v>22</v>
      </c>
      <c r="E531" s="2">
        <f ca="1">IFERROR(__xludf.DUMMYFUNCTION("""COMPUTED_VALUE"""),0)</f>
        <v>0</v>
      </c>
    </row>
    <row r="532" spans="1:5" ht="12.75">
      <c r="A532" s="2" t="str">
        <f ca="1">IFERROR(__xludf.DUMMYFUNCTION("""COMPUTED_VALUE"""),"MAUOAFRV16X13")</f>
        <v>MAUOAFRV16X13</v>
      </c>
      <c r="B532" s="2">
        <f ca="1">IFERROR(__xludf.DUMMYFUNCTION("""COMPUTED_VALUE"""),1)</f>
        <v>1</v>
      </c>
      <c r="C532" s="2">
        <f ca="1">IFERROR(__xludf.DUMMYFUNCTION("""COMPUTED_VALUE"""),1)</f>
        <v>1</v>
      </c>
      <c r="D532" s="2">
        <f ca="1">IFERROR(__xludf.DUMMYFUNCTION("""COMPUTED_VALUE"""),1)</f>
        <v>1</v>
      </c>
      <c r="E532" s="2">
        <f ca="1">IFERROR(__xludf.DUMMYFUNCTION("""COMPUTED_VALUE"""),0)</f>
        <v>0</v>
      </c>
    </row>
    <row r="533" spans="1:5" ht="12.75">
      <c r="A533" s="2" t="str">
        <f ca="1">IFERROR(__xludf.DUMMYFUNCTION("""COMPUTED_VALUE"""),"MAUOAFRV16X25")</f>
        <v>MAUOAFRV16X25</v>
      </c>
      <c r="B533" s="2">
        <f ca="1">IFERROR(__xludf.DUMMYFUNCTION("""COMPUTED_VALUE"""),10)</f>
        <v>10</v>
      </c>
      <c r="C533" s="2">
        <f ca="1">IFERROR(__xludf.DUMMYFUNCTION("""COMPUTED_VALUE"""),10)</f>
        <v>10</v>
      </c>
      <c r="D533" s="2">
        <f ca="1">IFERROR(__xludf.DUMMYFUNCTION("""COMPUTED_VALUE"""),10)</f>
        <v>10</v>
      </c>
      <c r="E533" s="2">
        <f ca="1">IFERROR(__xludf.DUMMYFUNCTION("""COMPUTED_VALUE"""),0)</f>
        <v>0</v>
      </c>
    </row>
    <row r="534" spans="1:5" ht="12.75">
      <c r="A534" s="2" t="str">
        <f ca="1">IFERROR(__xludf.DUMMYFUNCTION("""COMPUTED_VALUE"""),"MAUOAFRV20X13")</f>
        <v>MAUOAFRV20X13</v>
      </c>
      <c r="B534" s="2">
        <f ca="1">IFERROR(__xludf.DUMMYFUNCTION("""COMPUTED_VALUE"""),47)</f>
        <v>47</v>
      </c>
      <c r="C534" s="2">
        <f ca="1">IFERROR(__xludf.DUMMYFUNCTION("""COMPUTED_VALUE"""),47)</f>
        <v>47</v>
      </c>
      <c r="D534" s="2">
        <f ca="1">IFERROR(__xludf.DUMMYFUNCTION("""COMPUTED_VALUE"""),47)</f>
        <v>47</v>
      </c>
      <c r="E534" s="2">
        <f ca="1">IFERROR(__xludf.DUMMYFUNCTION("""COMPUTED_VALUE"""),0)</f>
        <v>0</v>
      </c>
    </row>
    <row r="535" spans="1:5" ht="12.75">
      <c r="A535" s="2" t="str">
        <f ca="1">IFERROR(__xludf.DUMMYFUNCTION("""COMPUTED_VALUE"""),"MAUOAFRV20X19")</f>
        <v>MAUOAFRV20X19</v>
      </c>
      <c r="B535" s="2">
        <f ca="1">IFERROR(__xludf.DUMMYFUNCTION("""COMPUTED_VALUE"""),35)</f>
        <v>35</v>
      </c>
      <c r="C535" s="2">
        <f ca="1">IFERROR(__xludf.DUMMYFUNCTION("""COMPUTED_VALUE"""),35)</f>
        <v>35</v>
      </c>
      <c r="D535" s="2">
        <f ca="1">IFERROR(__xludf.DUMMYFUNCTION("""COMPUTED_VALUE"""),35)</f>
        <v>35</v>
      </c>
      <c r="E535" s="2">
        <f ca="1">IFERROR(__xludf.DUMMYFUNCTION("""COMPUTED_VALUE"""),0)</f>
        <v>0</v>
      </c>
    </row>
    <row r="536" spans="1:5" ht="12.75">
      <c r="A536" s="2" t="str">
        <f ca="1">IFERROR(__xludf.DUMMYFUNCTION("""COMPUTED_VALUE"""),"MAUOAFRV22X13")</f>
        <v>MAUOAFRV22X13</v>
      </c>
      <c r="B536" s="2">
        <f ca="1">IFERROR(__xludf.DUMMYFUNCTION("""COMPUTED_VALUE"""),34)</f>
        <v>34</v>
      </c>
      <c r="C536" s="2">
        <f ca="1">IFERROR(__xludf.DUMMYFUNCTION("""COMPUTED_VALUE"""),34)</f>
        <v>34</v>
      </c>
      <c r="D536" s="2">
        <f ca="1">IFERROR(__xludf.DUMMYFUNCTION("""COMPUTED_VALUE"""),34)</f>
        <v>34</v>
      </c>
      <c r="E536" s="2">
        <f ca="1">IFERROR(__xludf.DUMMYFUNCTION("""COMPUTED_VALUE"""),0)</f>
        <v>0</v>
      </c>
    </row>
    <row r="537" spans="1:5" ht="12.75">
      <c r="A537" s="2" t="str">
        <f ca="1">IFERROR(__xludf.DUMMYFUNCTION("""COMPUTED_VALUE"""),"MAUOAFRV22X19")</f>
        <v>MAUOAFRV22X19</v>
      </c>
      <c r="B537" s="2">
        <f ca="1">IFERROR(__xludf.DUMMYFUNCTION("""COMPUTED_VALUE"""),35)</f>
        <v>35</v>
      </c>
      <c r="C537" s="2">
        <f ca="1">IFERROR(__xludf.DUMMYFUNCTION("""COMPUTED_VALUE"""),35)</f>
        <v>35</v>
      </c>
      <c r="D537" s="2">
        <f ca="1">IFERROR(__xludf.DUMMYFUNCTION("""COMPUTED_VALUE"""),35)</f>
        <v>35</v>
      </c>
      <c r="E537" s="2">
        <f ca="1">IFERROR(__xludf.DUMMYFUNCTION("""COMPUTED_VALUE"""),0)</f>
        <v>0</v>
      </c>
    </row>
    <row r="538" spans="1:5" ht="12.75">
      <c r="A538" s="2" t="str">
        <f ca="1">IFERROR(__xludf.DUMMYFUNCTION("""COMPUTED_VALUE"""),"MAUOAFRV25X25")</f>
        <v>MAUOAFRV25X25</v>
      </c>
      <c r="B538" s="2">
        <f ca="1">IFERROR(__xludf.DUMMYFUNCTION("""COMPUTED_VALUE"""),8)</f>
        <v>8</v>
      </c>
      <c r="C538" s="2">
        <f ca="1">IFERROR(__xludf.DUMMYFUNCTION("""COMPUTED_VALUE"""),8)</f>
        <v>8</v>
      </c>
      <c r="D538" s="2">
        <f ca="1">IFERROR(__xludf.DUMMYFUNCTION("""COMPUTED_VALUE"""),8)</f>
        <v>8</v>
      </c>
      <c r="E538" s="2">
        <f ca="1">IFERROR(__xludf.DUMMYFUNCTION("""COMPUTED_VALUE"""),0)</f>
        <v>0</v>
      </c>
    </row>
    <row r="539" spans="1:5" ht="12.75">
      <c r="A539" s="2" t="str">
        <f ca="1">IFERROR(__xludf.DUMMYFUNCTION("""COMPUTED_VALUE"""),"MAUOAFRV28X13")</f>
        <v>MAUOAFRV28X13</v>
      </c>
      <c r="B539" s="2">
        <f ca="1">IFERROR(__xludf.DUMMYFUNCTION("""COMPUTED_VALUE"""),22)</f>
        <v>22</v>
      </c>
      <c r="C539" s="2">
        <f ca="1">IFERROR(__xludf.DUMMYFUNCTION("""COMPUTED_VALUE"""),22)</f>
        <v>22</v>
      </c>
      <c r="D539" s="2">
        <f ca="1">IFERROR(__xludf.DUMMYFUNCTION("""COMPUTED_VALUE"""),22)</f>
        <v>22</v>
      </c>
      <c r="E539" s="2">
        <f ca="1">IFERROR(__xludf.DUMMYFUNCTION("""COMPUTED_VALUE"""),0)</f>
        <v>0</v>
      </c>
    </row>
    <row r="540" spans="1:5" ht="12.75">
      <c r="A540" s="2" t="str">
        <f ca="1">IFERROR(__xludf.DUMMYFUNCTION("""COMPUTED_VALUE"""),"MAUOAFRV28X19")</f>
        <v>MAUOAFRV28X19</v>
      </c>
      <c r="B540" s="2">
        <f ca="1">IFERROR(__xludf.DUMMYFUNCTION("""COMPUTED_VALUE"""),30)</f>
        <v>30</v>
      </c>
      <c r="C540" s="2">
        <f ca="1">IFERROR(__xludf.DUMMYFUNCTION("""COMPUTED_VALUE"""),30)</f>
        <v>30</v>
      </c>
      <c r="D540" s="2">
        <f ca="1">IFERROR(__xludf.DUMMYFUNCTION("""COMPUTED_VALUE"""),30)</f>
        <v>30</v>
      </c>
      <c r="E540" s="2">
        <f ca="1">IFERROR(__xludf.DUMMYFUNCTION("""COMPUTED_VALUE"""),0)</f>
        <v>0</v>
      </c>
    </row>
    <row r="541" spans="1:5" ht="12.75">
      <c r="A541" s="2" t="str">
        <f ca="1">IFERROR(__xludf.DUMMYFUNCTION("""COMPUTED_VALUE"""),"MAUOAFRV32X25")</f>
        <v>MAUOAFRV32X25</v>
      </c>
      <c r="B541" s="2">
        <f ca="1">IFERROR(__xludf.DUMMYFUNCTION("""COMPUTED_VALUE"""),2)</f>
        <v>2</v>
      </c>
      <c r="C541" s="2">
        <f ca="1">IFERROR(__xludf.DUMMYFUNCTION("""COMPUTED_VALUE"""),2)</f>
        <v>2</v>
      </c>
      <c r="D541" s="2">
        <f ca="1">IFERROR(__xludf.DUMMYFUNCTION("""COMPUTED_VALUE"""),2)</f>
        <v>2</v>
      </c>
      <c r="E541" s="2">
        <f ca="1">IFERROR(__xludf.DUMMYFUNCTION("""COMPUTED_VALUE"""),0)</f>
        <v>0</v>
      </c>
    </row>
    <row r="542" spans="1:5" ht="12.75">
      <c r="A542" s="2" t="str">
        <f ca="1">IFERROR(__xludf.DUMMYFUNCTION("""COMPUTED_VALUE"""),"MAUOAFRV35X13")</f>
        <v>MAUOAFRV35X13</v>
      </c>
      <c r="B542" s="2">
        <f ca="1">IFERROR(__xludf.DUMMYFUNCTION("""COMPUTED_VALUE"""),33)</f>
        <v>33</v>
      </c>
      <c r="C542" s="2">
        <f ca="1">IFERROR(__xludf.DUMMYFUNCTION("""COMPUTED_VALUE"""),33)</f>
        <v>33</v>
      </c>
      <c r="D542" s="2">
        <f ca="1">IFERROR(__xludf.DUMMYFUNCTION("""COMPUTED_VALUE"""),33)</f>
        <v>33</v>
      </c>
      <c r="E542" s="2">
        <f ca="1">IFERROR(__xludf.DUMMYFUNCTION("""COMPUTED_VALUE"""),0)</f>
        <v>0</v>
      </c>
    </row>
    <row r="543" spans="1:5" ht="12.75">
      <c r="A543" s="2" t="str">
        <f ca="1">IFERROR(__xludf.DUMMYFUNCTION("""COMPUTED_VALUE"""),"MAUOAFRV35X19")</f>
        <v>MAUOAFRV35X19</v>
      </c>
      <c r="B543" s="2">
        <f ca="1">IFERROR(__xludf.DUMMYFUNCTION("""COMPUTED_VALUE"""),34)</f>
        <v>34</v>
      </c>
      <c r="C543" s="2">
        <f ca="1">IFERROR(__xludf.DUMMYFUNCTION("""COMPUTED_VALUE"""),34)</f>
        <v>34</v>
      </c>
      <c r="D543" s="2">
        <f ca="1">IFERROR(__xludf.DUMMYFUNCTION("""COMPUTED_VALUE"""),34)</f>
        <v>34</v>
      </c>
      <c r="E543" s="2">
        <f ca="1">IFERROR(__xludf.DUMMYFUNCTION("""COMPUTED_VALUE"""),0)</f>
        <v>0</v>
      </c>
    </row>
    <row r="544" spans="1:5" ht="12.75">
      <c r="A544" s="2" t="str">
        <f ca="1">IFERROR(__xludf.DUMMYFUNCTION("""COMPUTED_VALUE"""),"MAUOAFRV35X25")</f>
        <v>MAUOAFRV35X25</v>
      </c>
      <c r="B544" s="2">
        <f ca="1">IFERROR(__xludf.DUMMYFUNCTION("""COMPUTED_VALUE"""),2)</f>
        <v>2</v>
      </c>
      <c r="C544" s="2">
        <f ca="1">IFERROR(__xludf.DUMMYFUNCTION("""COMPUTED_VALUE"""),2)</f>
        <v>2</v>
      </c>
      <c r="D544" s="2">
        <f ca="1">IFERROR(__xludf.DUMMYFUNCTION("""COMPUTED_VALUE"""),2)</f>
        <v>2</v>
      </c>
      <c r="E544" s="2">
        <f ca="1">IFERROR(__xludf.DUMMYFUNCTION("""COMPUTED_VALUE"""),0)</f>
        <v>0</v>
      </c>
    </row>
    <row r="545" spans="1:5" ht="12.75">
      <c r="A545" s="2" t="str">
        <f ca="1">IFERROR(__xludf.DUMMYFUNCTION("""COMPUTED_VALUE"""),"MAUOAFRV42X19")</f>
        <v>MAUOAFRV42X19</v>
      </c>
      <c r="B545" s="2">
        <f ca="1">IFERROR(__xludf.DUMMYFUNCTION("""COMPUTED_VALUE"""),5)</f>
        <v>5</v>
      </c>
      <c r="C545" s="2">
        <f ca="1">IFERROR(__xludf.DUMMYFUNCTION("""COMPUTED_VALUE"""),5)</f>
        <v>5</v>
      </c>
      <c r="D545" s="2">
        <f ca="1">IFERROR(__xludf.DUMMYFUNCTION("""COMPUTED_VALUE"""),5)</f>
        <v>5</v>
      </c>
      <c r="E545" s="2">
        <f ca="1">IFERROR(__xludf.DUMMYFUNCTION("""COMPUTED_VALUE"""),0)</f>
        <v>0</v>
      </c>
    </row>
    <row r="546" spans="1:5" ht="12.75">
      <c r="A546" s="2" t="str">
        <f ca="1">IFERROR(__xludf.DUMMYFUNCTION("""COMPUTED_VALUE"""),"MAUOAFRV48X13")</f>
        <v>MAUOAFRV48X13</v>
      </c>
      <c r="B546" s="2">
        <f ca="1">IFERROR(__xludf.DUMMYFUNCTION("""COMPUTED_VALUE"""),39)</f>
        <v>39</v>
      </c>
      <c r="C546" s="2">
        <f ca="1">IFERROR(__xludf.DUMMYFUNCTION("""COMPUTED_VALUE"""),39)</f>
        <v>39</v>
      </c>
      <c r="D546" s="2">
        <f ca="1">IFERROR(__xludf.DUMMYFUNCTION("""COMPUTED_VALUE"""),39)</f>
        <v>39</v>
      </c>
      <c r="E546" s="2">
        <f ca="1">IFERROR(__xludf.DUMMYFUNCTION("""COMPUTED_VALUE"""),0)</f>
        <v>0</v>
      </c>
    </row>
    <row r="547" spans="1:5" ht="12.75">
      <c r="A547" s="2" t="str">
        <f ca="1">IFERROR(__xludf.DUMMYFUNCTION("""COMPUTED_VALUE"""),"MAUOAFRV60X10")</f>
        <v>MAUOAFRV60X10</v>
      </c>
      <c r="B547" s="2">
        <f ca="1">IFERROR(__xludf.DUMMYFUNCTION("""COMPUTED_VALUE"""),1)</f>
        <v>1</v>
      </c>
      <c r="C547" s="2">
        <f ca="1">IFERROR(__xludf.DUMMYFUNCTION("""COMPUTED_VALUE"""),1)</f>
        <v>1</v>
      </c>
      <c r="D547" s="2">
        <f ca="1">IFERROR(__xludf.DUMMYFUNCTION("""COMPUTED_VALUE"""),1)</f>
        <v>1</v>
      </c>
      <c r="E547" s="2">
        <f ca="1">IFERROR(__xludf.DUMMYFUNCTION("""COMPUTED_VALUE"""),0)</f>
        <v>0</v>
      </c>
    </row>
    <row r="548" spans="1:5" ht="12.75">
      <c r="A548" s="2" t="str">
        <f ca="1">IFERROR(__xludf.DUMMYFUNCTION("""COMPUTED_VALUE"""),"MAUOAFRV60X13")</f>
        <v>MAUOAFRV60X13</v>
      </c>
      <c r="B548" s="2">
        <f ca="1">IFERROR(__xludf.DUMMYFUNCTION("""COMPUTED_VALUE"""),35)</f>
        <v>35</v>
      </c>
      <c r="C548" s="2">
        <f ca="1">IFERROR(__xludf.DUMMYFUNCTION("""COMPUTED_VALUE"""),35)</f>
        <v>35</v>
      </c>
      <c r="D548" s="2">
        <f ca="1">IFERROR(__xludf.DUMMYFUNCTION("""COMPUTED_VALUE"""),35)</f>
        <v>35</v>
      </c>
      <c r="E548" s="2">
        <f ca="1">IFERROR(__xludf.DUMMYFUNCTION("""COMPUTED_VALUE"""),0)</f>
        <v>0</v>
      </c>
    </row>
    <row r="549" spans="1:5" ht="12.75">
      <c r="A549" s="2" t="str">
        <f ca="1">IFERROR(__xludf.DUMMYFUNCTION("""COMPUTED_VALUE"""),"MAUOAMC13X13")</f>
        <v>MAUOAMC13X13</v>
      </c>
      <c r="B549" s="2">
        <f ca="1">IFERROR(__xludf.DUMMYFUNCTION("""COMPUTED_VALUE"""),20)</f>
        <v>20</v>
      </c>
      <c r="C549" s="2">
        <f ca="1">IFERROR(__xludf.DUMMYFUNCTION("""COMPUTED_VALUE"""),20)</f>
        <v>20</v>
      </c>
      <c r="D549" s="2">
        <f ca="1">IFERROR(__xludf.DUMMYFUNCTION("""COMPUTED_VALUE"""),20)</f>
        <v>20</v>
      </c>
      <c r="E549" s="2">
        <f ca="1">IFERROR(__xludf.DUMMYFUNCTION("""COMPUTED_VALUE"""),0)</f>
        <v>0</v>
      </c>
    </row>
    <row r="550" spans="1:5" ht="12.75">
      <c r="A550" s="2" t="str">
        <f ca="1">IFERROR(__xludf.DUMMYFUNCTION("""COMPUTED_VALUE"""),"MAUOAMC13X19")</f>
        <v>MAUOAMC13X19</v>
      </c>
      <c r="B550" s="2">
        <f ca="1">IFERROR(__xludf.DUMMYFUNCTION("""COMPUTED_VALUE"""),3)</f>
        <v>3</v>
      </c>
      <c r="C550" s="2">
        <f ca="1">IFERROR(__xludf.DUMMYFUNCTION("""COMPUTED_VALUE"""),3)</f>
        <v>3</v>
      </c>
      <c r="D550" s="2">
        <f ca="1">IFERROR(__xludf.DUMMYFUNCTION("""COMPUTED_VALUE"""),3)</f>
        <v>3</v>
      </c>
      <c r="E550" s="2">
        <f ca="1">IFERROR(__xludf.DUMMYFUNCTION("""COMPUTED_VALUE"""),0)</f>
        <v>0</v>
      </c>
    </row>
    <row r="551" spans="1:5" ht="12.75">
      <c r="A551" s="2" t="str">
        <f ca="1">IFERROR(__xludf.DUMMYFUNCTION("""COMPUTED_VALUE"""),"MAUOAMC16X19")</f>
        <v>MAUOAMC16X19</v>
      </c>
      <c r="B551" s="2">
        <f ca="1">IFERROR(__xludf.DUMMYFUNCTION("""COMPUTED_VALUE"""),1)</f>
        <v>1</v>
      </c>
      <c r="C551" s="2">
        <f ca="1">IFERROR(__xludf.DUMMYFUNCTION("""COMPUTED_VALUE"""),1)</f>
        <v>1</v>
      </c>
      <c r="D551" s="2">
        <f ca="1">IFERROR(__xludf.DUMMYFUNCTION("""COMPUTED_VALUE"""),1)</f>
        <v>1</v>
      </c>
      <c r="E551" s="2">
        <f ca="1">IFERROR(__xludf.DUMMYFUNCTION("""COMPUTED_VALUE"""),0)</f>
        <v>0</v>
      </c>
    </row>
    <row r="552" spans="1:5" ht="12.75">
      <c r="A552" s="2" t="str">
        <f ca="1">IFERROR(__xludf.DUMMYFUNCTION("""COMPUTED_VALUE"""),"MAUOAMC19x19")</f>
        <v>MAUOAMC19x19</v>
      </c>
      <c r="B552" s="2">
        <f ca="1">IFERROR(__xludf.DUMMYFUNCTION("""COMPUTED_VALUE"""),17)</f>
        <v>17</v>
      </c>
      <c r="C552" s="2">
        <f ca="1">IFERROR(__xludf.DUMMYFUNCTION("""COMPUTED_VALUE"""),17)</f>
        <v>17</v>
      </c>
      <c r="D552" s="2">
        <f ca="1">IFERROR(__xludf.DUMMYFUNCTION("""COMPUTED_VALUE"""),17)</f>
        <v>17</v>
      </c>
      <c r="E552" s="2">
        <f ca="1">IFERROR(__xludf.DUMMYFUNCTION("""COMPUTED_VALUE"""),0)</f>
        <v>0</v>
      </c>
    </row>
    <row r="553" spans="1:5" ht="12.75">
      <c r="A553" s="2" t="str">
        <f ca="1">IFERROR(__xludf.DUMMYFUNCTION("""COMPUTED_VALUE"""),"MAUOAMC20x13")</f>
        <v>MAUOAMC20x13</v>
      </c>
      <c r="B553" s="2">
        <f ca="1">IFERROR(__xludf.DUMMYFUNCTION("""COMPUTED_VALUE"""),17)</f>
        <v>17</v>
      </c>
      <c r="C553" s="2">
        <f ca="1">IFERROR(__xludf.DUMMYFUNCTION("""COMPUTED_VALUE"""),17)</f>
        <v>17</v>
      </c>
      <c r="D553" s="2">
        <f ca="1">IFERROR(__xludf.DUMMYFUNCTION("""COMPUTED_VALUE"""),17)</f>
        <v>17</v>
      </c>
      <c r="E553" s="2">
        <f ca="1">IFERROR(__xludf.DUMMYFUNCTION("""COMPUTED_VALUE"""),0)</f>
        <v>0</v>
      </c>
    </row>
    <row r="554" spans="1:5" ht="12.75">
      <c r="A554" s="2" t="str">
        <f ca="1">IFERROR(__xludf.DUMMYFUNCTION("""COMPUTED_VALUE"""),"MAUOAMC22x19")</f>
        <v>MAUOAMC22x19</v>
      </c>
      <c r="B554" s="2">
        <f ca="1">IFERROR(__xludf.DUMMYFUNCTION("""COMPUTED_VALUE"""),17)</f>
        <v>17</v>
      </c>
      <c r="C554" s="2">
        <f ca="1">IFERROR(__xludf.DUMMYFUNCTION("""COMPUTED_VALUE"""),17)</f>
        <v>17</v>
      </c>
      <c r="D554" s="2">
        <f ca="1">IFERROR(__xludf.DUMMYFUNCTION("""COMPUTED_VALUE"""),17)</f>
        <v>17</v>
      </c>
      <c r="E554" s="2">
        <f ca="1">IFERROR(__xludf.DUMMYFUNCTION("""COMPUTED_VALUE"""),0)</f>
        <v>0</v>
      </c>
    </row>
    <row r="555" spans="1:5" ht="12.75">
      <c r="A555" s="2" t="str">
        <f ca="1">IFERROR(__xludf.DUMMYFUNCTION("""COMPUTED_VALUE"""),"MAUOAMC22x25")</f>
        <v>MAUOAMC22x25</v>
      </c>
      <c r="B555" s="2">
        <f ca="1">IFERROR(__xludf.DUMMYFUNCTION("""COMPUTED_VALUE"""),12)</f>
        <v>12</v>
      </c>
      <c r="C555" s="2">
        <f ca="1">IFERROR(__xludf.DUMMYFUNCTION("""COMPUTED_VALUE"""),12)</f>
        <v>12</v>
      </c>
      <c r="D555" s="2">
        <f ca="1">IFERROR(__xludf.DUMMYFUNCTION("""COMPUTED_VALUE"""),12)</f>
        <v>12</v>
      </c>
      <c r="E555" s="2">
        <f ca="1">IFERROR(__xludf.DUMMYFUNCTION("""COMPUTED_VALUE"""),0)</f>
        <v>0</v>
      </c>
    </row>
    <row r="556" spans="1:5" ht="12.75">
      <c r="A556" s="2" t="str">
        <f ca="1">IFERROR(__xludf.DUMMYFUNCTION("""COMPUTED_VALUE"""),"MAUOAMC28x10")</f>
        <v>MAUOAMC28x10</v>
      </c>
      <c r="B556" s="2">
        <f ca="1">IFERROR(__xludf.DUMMYFUNCTION("""COMPUTED_VALUE"""),14)</f>
        <v>14</v>
      </c>
      <c r="C556" s="2">
        <f ca="1">IFERROR(__xludf.DUMMYFUNCTION("""COMPUTED_VALUE"""),14)</f>
        <v>14</v>
      </c>
      <c r="D556" s="2">
        <f ca="1">IFERROR(__xludf.DUMMYFUNCTION("""COMPUTED_VALUE"""),14)</f>
        <v>14</v>
      </c>
      <c r="E556" s="2">
        <f ca="1">IFERROR(__xludf.DUMMYFUNCTION("""COMPUTED_VALUE"""),0)</f>
        <v>0</v>
      </c>
    </row>
    <row r="557" spans="1:5" ht="12.75">
      <c r="A557" s="2" t="str">
        <f ca="1">IFERROR(__xludf.DUMMYFUNCTION("""COMPUTED_VALUE"""),"MAUOAMC28X19")</f>
        <v>MAUOAMC28X19</v>
      </c>
      <c r="B557" s="2">
        <f ca="1">IFERROR(__xludf.DUMMYFUNCTION("""COMPUTED_VALUE"""),16)</f>
        <v>16</v>
      </c>
      <c r="C557" s="2">
        <f ca="1">IFERROR(__xludf.DUMMYFUNCTION("""COMPUTED_VALUE"""),16)</f>
        <v>16</v>
      </c>
      <c r="D557" s="2">
        <f ca="1">IFERROR(__xludf.DUMMYFUNCTION("""COMPUTED_VALUE"""),16)</f>
        <v>16</v>
      </c>
      <c r="E557" s="2">
        <f ca="1">IFERROR(__xludf.DUMMYFUNCTION("""COMPUTED_VALUE"""),0)</f>
        <v>0</v>
      </c>
    </row>
    <row r="558" spans="1:5" ht="12.75">
      <c r="A558" s="2" t="str">
        <f ca="1">IFERROR(__xludf.DUMMYFUNCTION("""COMPUTED_VALUE"""),"MAUOAMC28x25")</f>
        <v>MAUOAMC28x25</v>
      </c>
      <c r="B558" s="2">
        <f ca="1">IFERROR(__xludf.DUMMYFUNCTION("""COMPUTED_VALUE"""),12)</f>
        <v>12</v>
      </c>
      <c r="C558" s="2">
        <f ca="1">IFERROR(__xludf.DUMMYFUNCTION("""COMPUTED_VALUE"""),12)</f>
        <v>12</v>
      </c>
      <c r="D558" s="2">
        <f ca="1">IFERROR(__xludf.DUMMYFUNCTION("""COMPUTED_VALUE"""),12)</f>
        <v>12</v>
      </c>
      <c r="E558" s="2">
        <f ca="1">IFERROR(__xludf.DUMMYFUNCTION("""COMPUTED_VALUE"""),0)</f>
        <v>0</v>
      </c>
    </row>
    <row r="559" spans="1:5" ht="12.75">
      <c r="A559" s="2" t="str">
        <f ca="1">IFERROR(__xludf.DUMMYFUNCTION("""COMPUTED_VALUE"""),"MAUOAMC32X19")</f>
        <v>MAUOAMC32X19</v>
      </c>
      <c r="B559" s="2">
        <f ca="1">IFERROR(__xludf.DUMMYFUNCTION("""COMPUTED_VALUE"""),9)</f>
        <v>9</v>
      </c>
      <c r="C559" s="2">
        <f ca="1">IFERROR(__xludf.DUMMYFUNCTION("""COMPUTED_VALUE"""),9)</f>
        <v>9</v>
      </c>
      <c r="D559" s="2">
        <f ca="1">IFERROR(__xludf.DUMMYFUNCTION("""COMPUTED_VALUE"""),9)</f>
        <v>9</v>
      </c>
      <c r="E559" s="2">
        <f ca="1">IFERROR(__xludf.DUMMYFUNCTION("""COMPUTED_VALUE"""),0)</f>
        <v>0</v>
      </c>
    </row>
    <row r="560" spans="1:5" ht="12.75">
      <c r="A560" s="2" t="str">
        <f ca="1">IFERROR(__xludf.DUMMYFUNCTION("""COMPUTED_VALUE"""),"MAUOAMC35x10")</f>
        <v>MAUOAMC35x10</v>
      </c>
      <c r="B560" s="2">
        <f ca="1">IFERROR(__xludf.DUMMYFUNCTION("""COMPUTED_VALUE"""),9)</f>
        <v>9</v>
      </c>
      <c r="C560" s="2">
        <f ca="1">IFERROR(__xludf.DUMMYFUNCTION("""COMPUTED_VALUE"""),9)</f>
        <v>9</v>
      </c>
      <c r="D560" s="2">
        <f ca="1">IFERROR(__xludf.DUMMYFUNCTION("""COMPUTED_VALUE"""),9)</f>
        <v>9</v>
      </c>
      <c r="E560" s="2">
        <f ca="1">IFERROR(__xludf.DUMMYFUNCTION("""COMPUTED_VALUE"""),0)</f>
        <v>0</v>
      </c>
    </row>
    <row r="561" spans="1:5" ht="12.75">
      <c r="A561" s="2" t="str">
        <f ca="1">IFERROR(__xludf.DUMMYFUNCTION("""COMPUTED_VALUE"""),"MAUOAMC35X13")</f>
        <v>MAUOAMC35X13</v>
      </c>
      <c r="B561" s="2">
        <f ca="1">IFERROR(__xludf.DUMMYFUNCTION("""COMPUTED_VALUE"""),1)</f>
        <v>1</v>
      </c>
      <c r="C561" s="2">
        <f ca="1">IFERROR(__xludf.DUMMYFUNCTION("""COMPUTED_VALUE"""),1)</f>
        <v>1</v>
      </c>
      <c r="D561" s="2">
        <f ca="1">IFERROR(__xludf.DUMMYFUNCTION("""COMPUTED_VALUE"""),1)</f>
        <v>1</v>
      </c>
      <c r="E561" s="2">
        <f ca="1">IFERROR(__xludf.DUMMYFUNCTION("""COMPUTED_VALUE"""),0)</f>
        <v>0</v>
      </c>
    </row>
    <row r="562" spans="1:5" ht="12.75">
      <c r="A562" s="2" t="str">
        <f ca="1">IFERROR(__xludf.DUMMYFUNCTION("""COMPUTED_VALUE"""),"MAUOAMC35x25")</f>
        <v>MAUOAMC35x25</v>
      </c>
      <c r="B562" s="2">
        <f ca="1">IFERROR(__xludf.DUMMYFUNCTION("""COMPUTED_VALUE"""),13)</f>
        <v>13</v>
      </c>
      <c r="C562" s="2">
        <f ca="1">IFERROR(__xludf.DUMMYFUNCTION("""COMPUTED_VALUE"""),13)</f>
        <v>13</v>
      </c>
      <c r="D562" s="2">
        <f ca="1">IFERROR(__xludf.DUMMYFUNCTION("""COMPUTED_VALUE"""),13)</f>
        <v>13</v>
      </c>
      <c r="E562" s="2">
        <f ca="1">IFERROR(__xludf.DUMMYFUNCTION("""COMPUTED_VALUE"""),0)</f>
        <v>0</v>
      </c>
    </row>
    <row r="563" spans="1:5" ht="12.75">
      <c r="A563" s="2" t="str">
        <f ca="1">IFERROR(__xludf.DUMMYFUNCTION("""COMPUTED_VALUE"""),"MAUOAMC42x10")</f>
        <v>MAUOAMC42x10</v>
      </c>
      <c r="B563" s="2">
        <f ca="1">IFERROR(__xludf.DUMMYFUNCTION("""COMPUTED_VALUE"""),20)</f>
        <v>20</v>
      </c>
      <c r="C563" s="2">
        <f ca="1">IFERROR(__xludf.DUMMYFUNCTION("""COMPUTED_VALUE"""),20)</f>
        <v>20</v>
      </c>
      <c r="D563" s="2">
        <f ca="1">IFERROR(__xludf.DUMMYFUNCTION("""COMPUTED_VALUE"""),20)</f>
        <v>20</v>
      </c>
      <c r="E563" s="2">
        <f ca="1">IFERROR(__xludf.DUMMYFUNCTION("""COMPUTED_VALUE"""),0)</f>
        <v>0</v>
      </c>
    </row>
    <row r="564" spans="1:5" ht="12.75">
      <c r="A564" s="2" t="str">
        <f ca="1">IFERROR(__xludf.DUMMYFUNCTION("""COMPUTED_VALUE"""),"MAUOAMC42x13")</f>
        <v>MAUOAMC42x13</v>
      </c>
      <c r="B564" s="2">
        <f ca="1">IFERROR(__xludf.DUMMYFUNCTION("""COMPUTED_VALUE"""),3)</f>
        <v>3</v>
      </c>
      <c r="C564" s="2">
        <f ca="1">IFERROR(__xludf.DUMMYFUNCTION("""COMPUTED_VALUE"""),3)</f>
        <v>3</v>
      </c>
      <c r="D564" s="2">
        <f ca="1">IFERROR(__xludf.DUMMYFUNCTION("""COMPUTED_VALUE"""),3)</f>
        <v>3</v>
      </c>
      <c r="E564" s="2">
        <f ca="1">IFERROR(__xludf.DUMMYFUNCTION("""COMPUTED_VALUE"""),0)</f>
        <v>0</v>
      </c>
    </row>
    <row r="565" spans="1:5" ht="12.75">
      <c r="A565" s="2" t="str">
        <f ca="1">IFERROR(__xludf.DUMMYFUNCTION("""COMPUTED_VALUE"""),"MAUOAMC42X19")</f>
        <v>MAUOAMC42X19</v>
      </c>
      <c r="B565" s="2">
        <f ca="1">IFERROR(__xludf.DUMMYFUNCTION("""COMPUTED_VALUE"""),2)</f>
        <v>2</v>
      </c>
      <c r="C565" s="2">
        <f ca="1">IFERROR(__xludf.DUMMYFUNCTION("""COMPUTED_VALUE"""),2)</f>
        <v>2</v>
      </c>
      <c r="D565" s="2">
        <f ca="1">IFERROR(__xludf.DUMMYFUNCTION("""COMPUTED_VALUE"""),2)</f>
        <v>2</v>
      </c>
      <c r="E565" s="2">
        <f ca="1">IFERROR(__xludf.DUMMYFUNCTION("""COMPUTED_VALUE"""),0)</f>
        <v>0</v>
      </c>
    </row>
    <row r="566" spans="1:5" ht="12.75">
      <c r="A566" s="2" t="str">
        <f ca="1">IFERROR(__xludf.DUMMYFUNCTION("""COMPUTED_VALUE"""),"MAUOAMC42x25")</f>
        <v>MAUOAMC42x25</v>
      </c>
      <c r="B566" s="2">
        <f ca="1">IFERROR(__xludf.DUMMYFUNCTION("""COMPUTED_VALUE"""),5)</f>
        <v>5</v>
      </c>
      <c r="C566" s="2">
        <f ca="1">IFERROR(__xludf.DUMMYFUNCTION("""COMPUTED_VALUE"""),5)</f>
        <v>5</v>
      </c>
      <c r="D566" s="2">
        <f ca="1">IFERROR(__xludf.DUMMYFUNCTION("""COMPUTED_VALUE"""),5)</f>
        <v>5</v>
      </c>
      <c r="E566" s="2">
        <f ca="1">IFERROR(__xludf.DUMMYFUNCTION("""COMPUTED_VALUE"""),0)</f>
        <v>0</v>
      </c>
    </row>
    <row r="567" spans="1:5" ht="12.75">
      <c r="A567" s="2" t="str">
        <f ca="1">IFERROR(__xludf.DUMMYFUNCTION("""COMPUTED_VALUE"""),"MAUOAMC48x10")</f>
        <v>MAUOAMC48x10</v>
      </c>
      <c r="B567" s="2">
        <f ca="1">IFERROR(__xludf.DUMMYFUNCTION("""COMPUTED_VALUE"""),19)</f>
        <v>19</v>
      </c>
      <c r="C567" s="2">
        <f ca="1">IFERROR(__xludf.DUMMYFUNCTION("""COMPUTED_VALUE"""),19)</f>
        <v>19</v>
      </c>
      <c r="D567" s="2">
        <f ca="1">IFERROR(__xludf.DUMMYFUNCTION("""COMPUTED_VALUE"""),19)</f>
        <v>19</v>
      </c>
      <c r="E567" s="2">
        <f ca="1">IFERROR(__xludf.DUMMYFUNCTION("""COMPUTED_VALUE"""),0)</f>
        <v>0</v>
      </c>
    </row>
    <row r="568" spans="1:5" ht="12.75">
      <c r="A568" s="2" t="str">
        <f ca="1">IFERROR(__xludf.DUMMYFUNCTION("""COMPUTED_VALUE"""),"MAUOAMC48x13")</f>
        <v>MAUOAMC48x13</v>
      </c>
      <c r="B568" s="2">
        <f ca="1">IFERROR(__xludf.DUMMYFUNCTION("""COMPUTED_VALUE"""),4)</f>
        <v>4</v>
      </c>
      <c r="C568" s="2">
        <f ca="1">IFERROR(__xludf.DUMMYFUNCTION("""COMPUTED_VALUE"""),4)</f>
        <v>4</v>
      </c>
      <c r="D568" s="2">
        <f ca="1">IFERROR(__xludf.DUMMYFUNCTION("""COMPUTED_VALUE"""),4)</f>
        <v>4</v>
      </c>
      <c r="E568" s="2">
        <f ca="1">IFERROR(__xludf.DUMMYFUNCTION("""COMPUTED_VALUE"""),0)</f>
        <v>0</v>
      </c>
    </row>
    <row r="569" spans="1:5" ht="12.75">
      <c r="A569" s="2" t="str">
        <f ca="1">IFERROR(__xludf.DUMMYFUNCTION("""COMPUTED_VALUE"""),"MAUOGB100")</f>
        <v>MAUOGB100</v>
      </c>
      <c r="B569" s="2">
        <f ca="1">IFERROR(__xludf.DUMMYFUNCTION("""COMPUTED_VALUE"""),16)</f>
        <v>16</v>
      </c>
      <c r="C569" s="2">
        <f ca="1">IFERROR(__xludf.DUMMYFUNCTION("""COMPUTED_VALUE"""),16)</f>
        <v>16</v>
      </c>
      <c r="D569" s="2">
        <f ca="1">IFERROR(__xludf.DUMMYFUNCTION("""COMPUTED_VALUE"""),16)</f>
        <v>16</v>
      </c>
      <c r="E569" s="2">
        <f ca="1">IFERROR(__xludf.DUMMYFUNCTION("""COMPUTED_VALUE"""),0)</f>
        <v>0</v>
      </c>
    </row>
    <row r="570" spans="1:5" ht="12.75">
      <c r="A570" s="2" t="str">
        <f ca="1">IFERROR(__xludf.DUMMYFUNCTION("""COMPUTED_VALUE"""),"MAUOGB400")</f>
        <v>MAUOGB400</v>
      </c>
      <c r="B570" s="2">
        <f ca="1">IFERROR(__xludf.DUMMYFUNCTION("""COMPUTED_VALUE"""),2)</f>
        <v>2</v>
      </c>
      <c r="C570" s="2">
        <f ca="1">IFERROR(__xludf.DUMMYFUNCTION("""COMPUTED_VALUE"""),2)</f>
        <v>2</v>
      </c>
      <c r="D570" s="2">
        <f ca="1">IFERROR(__xludf.DUMMYFUNCTION("""COMPUTED_VALUE"""),2)</f>
        <v>2</v>
      </c>
      <c r="E570" s="2">
        <f ca="1">IFERROR(__xludf.DUMMYFUNCTION("""COMPUTED_VALUE"""),0)</f>
        <v>0</v>
      </c>
    </row>
    <row r="571" spans="1:5" ht="12.75">
      <c r="A571" s="2" t="str">
        <f ca="1">IFERROR(__xludf.DUMMYFUNCTION("""COMPUTED_VALUE"""),"MAUOGT100")</f>
        <v>MAUOGT100</v>
      </c>
      <c r="B571" s="2">
        <f ca="1">IFERROR(__xludf.DUMMYFUNCTION("""COMPUTED_VALUE"""),5)</f>
        <v>5</v>
      </c>
      <c r="C571" s="2">
        <f ca="1">IFERROR(__xludf.DUMMYFUNCTION("""COMPUTED_VALUE"""),6)</f>
        <v>6</v>
      </c>
      <c r="D571" s="2">
        <f ca="1">IFERROR(__xludf.DUMMYFUNCTION("""COMPUTED_VALUE"""),5)</f>
        <v>5</v>
      </c>
      <c r="E571" s="2">
        <f ca="1">IFERROR(__xludf.DUMMYFUNCTION("""COMPUTED_VALUE"""),1)</f>
        <v>1</v>
      </c>
    </row>
    <row r="572" spans="1:5" ht="12.75">
      <c r="A572" s="2" t="str">
        <f ca="1">IFERROR(__xludf.DUMMYFUNCTION("""COMPUTED_VALUE"""),"MAUOGT250")</f>
        <v>MAUOGT250</v>
      </c>
      <c r="B572" s="2">
        <f ca="1">IFERROR(__xludf.DUMMYFUNCTION("""COMPUTED_VALUE"""),4)</f>
        <v>4</v>
      </c>
      <c r="C572" s="2">
        <f ca="1">IFERROR(__xludf.DUMMYFUNCTION("""COMPUTED_VALUE"""),6)</f>
        <v>6</v>
      </c>
      <c r="D572" s="2">
        <f ca="1">IFERROR(__xludf.DUMMYFUNCTION("""COMPUTED_VALUE"""),4)</f>
        <v>4</v>
      </c>
      <c r="E572" s="2">
        <f ca="1">IFERROR(__xludf.DUMMYFUNCTION("""COMPUTED_VALUE"""),2)</f>
        <v>2</v>
      </c>
    </row>
    <row r="573" spans="1:5" ht="12.75">
      <c r="A573" s="2" t="str">
        <f ca="1">IFERROR(__xludf.DUMMYFUNCTION("""COMPUTED_VALUE"""),"MAUOSUP06X19")</f>
        <v>MAUOSUP06X19</v>
      </c>
      <c r="B573" s="2">
        <f ca="1">IFERROR(__xludf.DUMMYFUNCTION("""COMPUTED_VALUE"""),14)</f>
        <v>14</v>
      </c>
      <c r="C573" s="2">
        <f ca="1">IFERROR(__xludf.DUMMYFUNCTION("""COMPUTED_VALUE"""),26)</f>
        <v>26</v>
      </c>
      <c r="D573" s="2">
        <f ca="1">IFERROR(__xludf.DUMMYFUNCTION("""COMPUTED_VALUE"""),14)</f>
        <v>14</v>
      </c>
      <c r="E573" s="2">
        <f ca="1">IFERROR(__xludf.DUMMYFUNCTION("""COMPUTED_VALUE"""),12)</f>
        <v>12</v>
      </c>
    </row>
    <row r="574" spans="1:5" ht="12.75">
      <c r="A574" s="2" t="str">
        <f ca="1">IFERROR(__xludf.DUMMYFUNCTION("""COMPUTED_VALUE"""),"MAUOSUP06X19C0")</f>
        <v>MAUOSUP06X19C0</v>
      </c>
      <c r="B574" s="2">
        <f ca="1">IFERROR(__xludf.DUMMYFUNCTION("""COMPUTED_VALUE"""),10)</f>
        <v>10</v>
      </c>
      <c r="C574" s="2">
        <f ca="1">IFERROR(__xludf.DUMMYFUNCTION("""COMPUTED_VALUE"""),10)</f>
        <v>10</v>
      </c>
      <c r="D574" s="2">
        <f ca="1">IFERROR(__xludf.DUMMYFUNCTION("""COMPUTED_VALUE"""),10)</f>
        <v>10</v>
      </c>
      <c r="E574" s="2">
        <f ca="1">IFERROR(__xludf.DUMMYFUNCTION("""COMPUTED_VALUE"""),0)</f>
        <v>0</v>
      </c>
    </row>
    <row r="575" spans="1:5" ht="12.75">
      <c r="A575" s="2" t="str">
        <f ca="1">IFERROR(__xludf.DUMMYFUNCTION("""COMPUTED_VALUE"""),"MAUOSUP10x19")</f>
        <v>MAUOSUP10x19</v>
      </c>
      <c r="B575" s="2">
        <f ca="1">IFERROR(__xludf.DUMMYFUNCTION("""COMPUTED_VALUE"""),21)</f>
        <v>21</v>
      </c>
      <c r="C575" s="2">
        <f ca="1">IFERROR(__xludf.DUMMYFUNCTION("""COMPUTED_VALUE"""),28)</f>
        <v>28</v>
      </c>
      <c r="D575" s="2">
        <f ca="1">IFERROR(__xludf.DUMMYFUNCTION("""COMPUTED_VALUE"""),21)</f>
        <v>21</v>
      </c>
      <c r="E575" s="2">
        <f ca="1">IFERROR(__xludf.DUMMYFUNCTION("""COMPUTED_VALUE"""),7)</f>
        <v>7</v>
      </c>
    </row>
    <row r="576" spans="1:5" ht="12.75">
      <c r="A576" s="2" t="str">
        <f ca="1">IFERROR(__xludf.DUMMYFUNCTION("""COMPUTED_VALUE"""),"MAUOSUP10X19C0")</f>
        <v>MAUOSUP10X19C0</v>
      </c>
      <c r="B576" s="2">
        <f ca="1">IFERROR(__xludf.DUMMYFUNCTION("""COMPUTED_VALUE"""),7)</f>
        <v>7</v>
      </c>
      <c r="C576" s="2">
        <f ca="1">IFERROR(__xludf.DUMMYFUNCTION("""COMPUTED_VALUE"""),7)</f>
        <v>7</v>
      </c>
      <c r="D576" s="2">
        <f ca="1">IFERROR(__xludf.DUMMYFUNCTION("""COMPUTED_VALUE"""),7)</f>
        <v>7</v>
      </c>
      <c r="E576" s="2">
        <f ca="1">IFERROR(__xludf.DUMMYFUNCTION("""COMPUTED_VALUE"""),0)</f>
        <v>0</v>
      </c>
    </row>
    <row r="577" spans="1:5" ht="12.75">
      <c r="A577" s="2" t="str">
        <f ca="1">IFERROR(__xludf.DUMMYFUNCTION("""COMPUTED_VALUE"""),"MAUOSUP10x25")</f>
        <v>MAUOSUP10x25</v>
      </c>
      <c r="B577" s="2">
        <f ca="1">IFERROR(__xludf.DUMMYFUNCTION("""COMPUTED_VALUE"""),17)</f>
        <v>17</v>
      </c>
      <c r="C577" s="2">
        <f ca="1">IFERROR(__xludf.DUMMYFUNCTION("""COMPUTED_VALUE"""),25)</f>
        <v>25</v>
      </c>
      <c r="D577" s="2">
        <f ca="1">IFERROR(__xludf.DUMMYFUNCTION("""COMPUTED_VALUE"""),17)</f>
        <v>17</v>
      </c>
      <c r="E577" s="2">
        <f ca="1">IFERROR(__xludf.DUMMYFUNCTION("""COMPUTED_VALUE"""),8)</f>
        <v>8</v>
      </c>
    </row>
    <row r="578" spans="1:5" ht="12.75">
      <c r="A578" s="2" t="str">
        <f ca="1">IFERROR(__xludf.DUMMYFUNCTION("""COMPUTED_VALUE"""),"MAUOSUP13x19")</f>
        <v>MAUOSUP13x19</v>
      </c>
      <c r="B578" s="2">
        <f ca="1">IFERROR(__xludf.DUMMYFUNCTION("""COMPUTED_VALUE"""),10)</f>
        <v>10</v>
      </c>
      <c r="C578" s="2">
        <f ca="1">IFERROR(__xludf.DUMMYFUNCTION("""COMPUTED_VALUE"""),18)</f>
        <v>18</v>
      </c>
      <c r="D578" s="2">
        <f ca="1">IFERROR(__xludf.DUMMYFUNCTION("""COMPUTED_VALUE"""),10)</f>
        <v>10</v>
      </c>
      <c r="E578" s="2">
        <f ca="1">IFERROR(__xludf.DUMMYFUNCTION("""COMPUTED_VALUE"""),8)</f>
        <v>8</v>
      </c>
    </row>
    <row r="579" spans="1:5" ht="12.75">
      <c r="A579" s="2" t="str">
        <f ca="1">IFERROR(__xludf.DUMMYFUNCTION("""COMPUTED_VALUE"""),"MAUOSUP13x19C0")</f>
        <v>MAUOSUP13x19C0</v>
      </c>
      <c r="B579" s="2">
        <f ca="1">IFERROR(__xludf.DUMMYFUNCTION("""COMPUTED_VALUE"""),20)</f>
        <v>20</v>
      </c>
      <c r="C579" s="2">
        <f ca="1">IFERROR(__xludf.DUMMYFUNCTION("""COMPUTED_VALUE"""),20)</f>
        <v>20</v>
      </c>
      <c r="D579" s="2">
        <f ca="1">IFERROR(__xludf.DUMMYFUNCTION("""COMPUTED_VALUE"""),20)</f>
        <v>20</v>
      </c>
      <c r="E579" s="2">
        <f ca="1">IFERROR(__xludf.DUMMYFUNCTION("""COMPUTED_VALUE"""),0)</f>
        <v>0</v>
      </c>
    </row>
    <row r="580" spans="1:5" ht="12.75">
      <c r="A580" s="2" t="str">
        <f ca="1">IFERROR(__xludf.DUMMYFUNCTION("""COMPUTED_VALUE"""),"MAUOSUP13x25")</f>
        <v>MAUOSUP13x25</v>
      </c>
      <c r="B580" s="2">
        <f ca="1">IFERROR(__xludf.DUMMYFUNCTION("""COMPUTED_VALUE"""),16)</f>
        <v>16</v>
      </c>
      <c r="C580" s="2">
        <f ca="1">IFERROR(__xludf.DUMMYFUNCTION("""COMPUTED_VALUE"""),18)</f>
        <v>18</v>
      </c>
      <c r="D580" s="2">
        <f ca="1">IFERROR(__xludf.DUMMYFUNCTION("""COMPUTED_VALUE"""),16)</f>
        <v>16</v>
      </c>
      <c r="E580" s="2">
        <f ca="1">IFERROR(__xludf.DUMMYFUNCTION("""COMPUTED_VALUE"""),2)</f>
        <v>2</v>
      </c>
    </row>
    <row r="581" spans="1:5" ht="12.75">
      <c r="A581" s="2" t="str">
        <f ca="1">IFERROR(__xludf.DUMMYFUNCTION("""COMPUTED_VALUE"""),"MAUOSUP16x13")</f>
        <v>MAUOSUP16x13</v>
      </c>
      <c r="B581" s="2">
        <f ca="1">IFERROR(__xludf.DUMMYFUNCTION("""COMPUTED_VALUE"""),39)</f>
        <v>39</v>
      </c>
      <c r="C581" s="2">
        <f ca="1">IFERROR(__xludf.DUMMYFUNCTION("""COMPUTED_VALUE"""),55)</f>
        <v>55</v>
      </c>
      <c r="D581" s="2">
        <f ca="1">IFERROR(__xludf.DUMMYFUNCTION("""COMPUTED_VALUE"""),39)</f>
        <v>39</v>
      </c>
      <c r="E581" s="2">
        <f ca="1">IFERROR(__xludf.DUMMYFUNCTION("""COMPUTED_VALUE"""),16)</f>
        <v>16</v>
      </c>
    </row>
    <row r="582" spans="1:5" ht="12.75">
      <c r="A582" s="2" t="str">
        <f ca="1">IFERROR(__xludf.DUMMYFUNCTION("""COMPUTED_VALUE"""),"MAUOSUP16x19")</f>
        <v>MAUOSUP16x19</v>
      </c>
      <c r="B582" s="2">
        <f ca="1">IFERROR(__xludf.DUMMYFUNCTION("""COMPUTED_VALUE"""),29)</f>
        <v>29</v>
      </c>
      <c r="C582" s="2">
        <f ca="1">IFERROR(__xludf.DUMMYFUNCTION("""COMPUTED_VALUE"""),29)</f>
        <v>29</v>
      </c>
      <c r="D582" s="2">
        <f ca="1">IFERROR(__xludf.DUMMYFUNCTION("""COMPUTED_VALUE"""),29)</f>
        <v>29</v>
      </c>
      <c r="E582" s="2">
        <f ca="1">IFERROR(__xludf.DUMMYFUNCTION("""COMPUTED_VALUE"""),0)</f>
        <v>0</v>
      </c>
    </row>
    <row r="583" spans="1:5" ht="12.75">
      <c r="A583" s="2" t="str">
        <f ca="1">IFERROR(__xludf.DUMMYFUNCTION("""COMPUTED_VALUE"""),"MAUOSUP16x19C0")</f>
        <v>MAUOSUP16x19C0</v>
      </c>
      <c r="B583" s="2">
        <f ca="1">IFERROR(__xludf.DUMMYFUNCTION("""COMPUTED_VALUE"""),13)</f>
        <v>13</v>
      </c>
      <c r="C583" s="2">
        <f ca="1">IFERROR(__xludf.DUMMYFUNCTION("""COMPUTED_VALUE"""),13)</f>
        <v>13</v>
      </c>
      <c r="D583" s="2">
        <f ca="1">IFERROR(__xludf.DUMMYFUNCTION("""COMPUTED_VALUE"""),13)</f>
        <v>13</v>
      </c>
      <c r="E583" s="2">
        <f ca="1">IFERROR(__xludf.DUMMYFUNCTION("""COMPUTED_VALUE"""),0)</f>
        <v>0</v>
      </c>
    </row>
    <row r="584" spans="1:5" ht="12.75">
      <c r="A584" s="2" t="str">
        <f ca="1">IFERROR(__xludf.DUMMYFUNCTION("""COMPUTED_VALUE"""),"MAUOSUP16x25")</f>
        <v>MAUOSUP16x25</v>
      </c>
      <c r="B584" s="2">
        <f ca="1">IFERROR(__xludf.DUMMYFUNCTION("""COMPUTED_VALUE"""),21)</f>
        <v>21</v>
      </c>
      <c r="C584" s="2">
        <f ca="1">IFERROR(__xludf.DUMMYFUNCTION("""COMPUTED_VALUE"""),23)</f>
        <v>23</v>
      </c>
      <c r="D584" s="2">
        <f ca="1">IFERROR(__xludf.DUMMYFUNCTION("""COMPUTED_VALUE"""),21)</f>
        <v>21</v>
      </c>
      <c r="E584" s="2">
        <f ca="1">IFERROR(__xludf.DUMMYFUNCTION("""COMPUTED_VALUE"""),2)</f>
        <v>2</v>
      </c>
    </row>
    <row r="585" spans="1:5" ht="12.75">
      <c r="A585" s="2" t="str">
        <f ca="1">IFERROR(__xludf.DUMMYFUNCTION("""COMPUTED_VALUE"""),"MAUOSUP19x13")</f>
        <v>MAUOSUP19x13</v>
      </c>
      <c r="B585" s="2">
        <f ca="1">IFERROR(__xludf.DUMMYFUNCTION("""COMPUTED_VALUE"""),60)</f>
        <v>60</v>
      </c>
      <c r="C585" s="2">
        <f ca="1">IFERROR(__xludf.DUMMYFUNCTION("""COMPUTED_VALUE"""),60)</f>
        <v>60</v>
      </c>
      <c r="D585" s="2">
        <f ca="1">IFERROR(__xludf.DUMMYFUNCTION("""COMPUTED_VALUE"""),60)</f>
        <v>60</v>
      </c>
      <c r="E585" s="2">
        <f ca="1">IFERROR(__xludf.DUMMYFUNCTION("""COMPUTED_VALUE"""),0)</f>
        <v>0</v>
      </c>
    </row>
    <row r="586" spans="1:5" ht="12.75">
      <c r="A586" s="2" t="str">
        <f ca="1">IFERROR(__xludf.DUMMYFUNCTION("""COMPUTED_VALUE"""),"MAUOSUP19x19")</f>
        <v>MAUOSUP19x19</v>
      </c>
      <c r="B586" s="2">
        <f ca="1">IFERROR(__xludf.DUMMYFUNCTION("""COMPUTED_VALUE"""),27)</f>
        <v>27</v>
      </c>
      <c r="C586" s="2">
        <f ca="1">IFERROR(__xludf.DUMMYFUNCTION("""COMPUTED_VALUE"""),42)</f>
        <v>42</v>
      </c>
      <c r="D586" s="2">
        <f ca="1">IFERROR(__xludf.DUMMYFUNCTION("""COMPUTED_VALUE"""),27)</f>
        <v>27</v>
      </c>
      <c r="E586" s="2">
        <f ca="1">IFERROR(__xludf.DUMMYFUNCTION("""COMPUTED_VALUE"""),15)</f>
        <v>15</v>
      </c>
    </row>
    <row r="587" spans="1:5" ht="12.75">
      <c r="A587" s="2" t="str">
        <f ca="1">IFERROR(__xludf.DUMMYFUNCTION("""COMPUTED_VALUE"""),"MAUOSUP19X19C0")</f>
        <v>MAUOSUP19X19C0</v>
      </c>
      <c r="B587" s="2">
        <f ca="1">IFERROR(__xludf.DUMMYFUNCTION("""COMPUTED_VALUE"""),10)</f>
        <v>10</v>
      </c>
      <c r="C587" s="2">
        <f ca="1">IFERROR(__xludf.DUMMYFUNCTION("""COMPUTED_VALUE"""),10)</f>
        <v>10</v>
      </c>
      <c r="D587" s="2">
        <f ca="1">IFERROR(__xludf.DUMMYFUNCTION("""COMPUTED_VALUE"""),10)</f>
        <v>10</v>
      </c>
      <c r="E587" s="2">
        <f ca="1">IFERROR(__xludf.DUMMYFUNCTION("""COMPUTED_VALUE"""),0)</f>
        <v>0</v>
      </c>
    </row>
    <row r="588" spans="1:5" ht="12.75">
      <c r="A588" s="2" t="str">
        <f ca="1">IFERROR(__xludf.DUMMYFUNCTION("""COMPUTED_VALUE"""),"MAUOSUP19x25")</f>
        <v>MAUOSUP19x25</v>
      </c>
      <c r="B588" s="2">
        <f ca="1">IFERROR(__xludf.DUMMYFUNCTION("""COMPUTED_VALUE"""),18)</f>
        <v>18</v>
      </c>
      <c r="C588" s="2">
        <f ca="1">IFERROR(__xludf.DUMMYFUNCTION("""COMPUTED_VALUE"""),18)</f>
        <v>18</v>
      </c>
      <c r="D588" s="2">
        <f ca="1">IFERROR(__xludf.DUMMYFUNCTION("""COMPUTED_VALUE"""),18)</f>
        <v>18</v>
      </c>
      <c r="E588" s="2">
        <f ca="1">IFERROR(__xludf.DUMMYFUNCTION("""COMPUTED_VALUE"""),0)</f>
        <v>0</v>
      </c>
    </row>
    <row r="589" spans="1:5" ht="12.75">
      <c r="A589" s="2" t="str">
        <f ca="1">IFERROR(__xludf.DUMMYFUNCTION("""COMPUTED_VALUE"""),"MAUOSUP22x19")</f>
        <v>MAUOSUP22x19</v>
      </c>
      <c r="B589" s="2">
        <f ca="1">IFERROR(__xludf.DUMMYFUNCTION("""COMPUTED_VALUE"""),11)</f>
        <v>11</v>
      </c>
      <c r="C589" s="2">
        <f ca="1">IFERROR(__xludf.DUMMYFUNCTION("""COMPUTED_VALUE"""),31)</f>
        <v>31</v>
      </c>
      <c r="D589" s="2">
        <f ca="1">IFERROR(__xludf.DUMMYFUNCTION("""COMPUTED_VALUE"""),11)</f>
        <v>11</v>
      </c>
      <c r="E589" s="2">
        <f ca="1">IFERROR(__xludf.DUMMYFUNCTION("""COMPUTED_VALUE"""),20)</f>
        <v>20</v>
      </c>
    </row>
    <row r="590" spans="1:5" ht="12.75">
      <c r="A590" s="2" t="str">
        <f ca="1">IFERROR(__xludf.DUMMYFUNCTION("""COMPUTED_VALUE"""),"MAUOSUP22X19C0")</f>
        <v>MAUOSUP22X19C0</v>
      </c>
      <c r="B590" s="2">
        <f ca="1">IFERROR(__xludf.DUMMYFUNCTION("""COMPUTED_VALUE"""),10)</f>
        <v>10</v>
      </c>
      <c r="C590" s="2">
        <f ca="1">IFERROR(__xludf.DUMMYFUNCTION("""COMPUTED_VALUE"""),10)</f>
        <v>10</v>
      </c>
      <c r="D590" s="2">
        <f ca="1">IFERROR(__xludf.DUMMYFUNCTION("""COMPUTED_VALUE"""),10)</f>
        <v>10</v>
      </c>
      <c r="E590" s="2">
        <f ca="1">IFERROR(__xludf.DUMMYFUNCTION("""COMPUTED_VALUE"""),0)</f>
        <v>0</v>
      </c>
    </row>
    <row r="591" spans="1:5" ht="12.75">
      <c r="A591" s="2" t="str">
        <f ca="1">IFERROR(__xludf.DUMMYFUNCTION("""COMPUTED_VALUE"""),"MAUOSUP22x25")</f>
        <v>MAUOSUP22x25</v>
      </c>
      <c r="B591" s="2">
        <f ca="1">IFERROR(__xludf.DUMMYFUNCTION("""COMPUTED_VALUE"""),47)</f>
        <v>47</v>
      </c>
      <c r="C591" s="2">
        <f ca="1">IFERROR(__xludf.DUMMYFUNCTION("""COMPUTED_VALUE"""),66)</f>
        <v>66</v>
      </c>
      <c r="D591" s="2">
        <f ca="1">IFERROR(__xludf.DUMMYFUNCTION("""COMPUTED_VALUE"""),47)</f>
        <v>47</v>
      </c>
      <c r="E591" s="2">
        <f ca="1">IFERROR(__xludf.DUMMYFUNCTION("""COMPUTED_VALUE"""),19)</f>
        <v>19</v>
      </c>
    </row>
    <row r="592" spans="1:5" ht="12.75">
      <c r="A592" s="2" t="str">
        <f ca="1">IFERROR(__xludf.DUMMYFUNCTION("""COMPUTED_VALUE"""),"MAUOSUP25x13")</f>
        <v>MAUOSUP25x13</v>
      </c>
      <c r="B592" s="2">
        <f ca="1">IFERROR(__xludf.DUMMYFUNCTION("""COMPUTED_VALUE"""),20)</f>
        <v>20</v>
      </c>
      <c r="C592" s="2">
        <f ca="1">IFERROR(__xludf.DUMMYFUNCTION("""COMPUTED_VALUE"""),29)</f>
        <v>29</v>
      </c>
      <c r="D592" s="2">
        <f ca="1">IFERROR(__xludf.DUMMYFUNCTION("""COMPUTED_VALUE"""),20)</f>
        <v>20</v>
      </c>
      <c r="E592" s="2">
        <f ca="1">IFERROR(__xludf.DUMMYFUNCTION("""COMPUTED_VALUE"""),9)</f>
        <v>9</v>
      </c>
    </row>
    <row r="593" spans="1:5" ht="12.75">
      <c r="A593" s="2" t="str">
        <f ca="1">IFERROR(__xludf.DUMMYFUNCTION("""COMPUTED_VALUE"""),"MAUOSUP28x10")</f>
        <v>MAUOSUP28x10</v>
      </c>
      <c r="B593" s="2">
        <f ca="1">IFERROR(__xludf.DUMMYFUNCTION("""COMPUTED_VALUE"""),27)</f>
        <v>27</v>
      </c>
      <c r="C593" s="2">
        <f ca="1">IFERROR(__xludf.DUMMYFUNCTION("""COMPUTED_VALUE"""),50)</f>
        <v>50</v>
      </c>
      <c r="D593" s="2">
        <f ca="1">IFERROR(__xludf.DUMMYFUNCTION("""COMPUTED_VALUE"""),27)</f>
        <v>27</v>
      </c>
      <c r="E593" s="2">
        <f ca="1">IFERROR(__xludf.DUMMYFUNCTION("""COMPUTED_VALUE"""),23)</f>
        <v>23</v>
      </c>
    </row>
    <row r="594" spans="1:5" ht="12.75">
      <c r="A594" s="2" t="str">
        <f ca="1">IFERROR(__xludf.DUMMYFUNCTION("""COMPUTED_VALUE"""),"MAUOSUP28x13")</f>
        <v>MAUOSUP28x13</v>
      </c>
      <c r="B594" s="2">
        <f ca="1">IFERROR(__xludf.DUMMYFUNCTION("""COMPUTED_VALUE"""),23)</f>
        <v>23</v>
      </c>
      <c r="C594" s="2">
        <f ca="1">IFERROR(__xludf.DUMMYFUNCTION("""COMPUTED_VALUE"""),27)</f>
        <v>27</v>
      </c>
      <c r="D594" s="2">
        <f ca="1">IFERROR(__xludf.DUMMYFUNCTION("""COMPUTED_VALUE"""),23)</f>
        <v>23</v>
      </c>
      <c r="E594" s="2">
        <f ca="1">IFERROR(__xludf.DUMMYFUNCTION("""COMPUTED_VALUE"""),4)</f>
        <v>4</v>
      </c>
    </row>
    <row r="595" spans="1:5" ht="12.75">
      <c r="A595" s="2" t="str">
        <f ca="1">IFERROR(__xludf.DUMMYFUNCTION("""COMPUTED_VALUE"""),"MAUOSUP28X13C0")</f>
        <v>MAUOSUP28X13C0</v>
      </c>
      <c r="B595" s="2">
        <f ca="1">IFERROR(__xludf.DUMMYFUNCTION("""COMPUTED_VALUE"""),9)</f>
        <v>9</v>
      </c>
      <c r="C595" s="2">
        <f ca="1">IFERROR(__xludf.DUMMYFUNCTION("""COMPUTED_VALUE"""),9)</f>
        <v>9</v>
      </c>
      <c r="D595" s="2">
        <f ca="1">IFERROR(__xludf.DUMMYFUNCTION("""COMPUTED_VALUE"""),9)</f>
        <v>9</v>
      </c>
      <c r="E595" s="2">
        <f ca="1">IFERROR(__xludf.DUMMYFUNCTION("""COMPUTED_VALUE"""),0)</f>
        <v>0</v>
      </c>
    </row>
    <row r="596" spans="1:5" ht="12.75">
      <c r="A596" s="2" t="str">
        <f ca="1">IFERROR(__xludf.DUMMYFUNCTION("""COMPUTED_VALUE"""),"MAUOSUP28x19")</f>
        <v>MAUOSUP28x19</v>
      </c>
      <c r="B596" s="2">
        <f ca="1">IFERROR(__xludf.DUMMYFUNCTION("""COMPUTED_VALUE"""),14)</f>
        <v>14</v>
      </c>
      <c r="C596" s="2">
        <f ca="1">IFERROR(__xludf.DUMMYFUNCTION("""COMPUTED_VALUE"""),14)</f>
        <v>14</v>
      </c>
      <c r="D596" s="2">
        <f ca="1">IFERROR(__xludf.DUMMYFUNCTION("""COMPUTED_VALUE"""),14)</f>
        <v>14</v>
      </c>
      <c r="E596" s="2">
        <f ca="1">IFERROR(__xludf.DUMMYFUNCTION("""COMPUTED_VALUE"""),0)</f>
        <v>0</v>
      </c>
    </row>
    <row r="597" spans="1:5" ht="12.75">
      <c r="A597" s="2" t="str">
        <f ca="1">IFERROR(__xludf.DUMMYFUNCTION("""COMPUTED_VALUE"""),"MAUOSUP28X19C0")</f>
        <v>MAUOSUP28X19C0</v>
      </c>
      <c r="B597" s="2">
        <f ca="1">IFERROR(__xludf.DUMMYFUNCTION("""COMPUTED_VALUE"""),10)</f>
        <v>10</v>
      </c>
      <c r="C597" s="2">
        <f ca="1">IFERROR(__xludf.DUMMYFUNCTION("""COMPUTED_VALUE"""),10)</f>
        <v>10</v>
      </c>
      <c r="D597" s="2">
        <f ca="1">IFERROR(__xludf.DUMMYFUNCTION("""COMPUTED_VALUE"""),10)</f>
        <v>10</v>
      </c>
      <c r="E597" s="2">
        <f ca="1">IFERROR(__xludf.DUMMYFUNCTION("""COMPUTED_VALUE"""),0)</f>
        <v>0</v>
      </c>
    </row>
    <row r="598" spans="1:5" ht="12.75">
      <c r="A598" s="2" t="str">
        <f ca="1">IFERROR(__xludf.DUMMYFUNCTION("""COMPUTED_VALUE"""),"MAUOSUP28x25")</f>
        <v>MAUOSUP28x25</v>
      </c>
      <c r="B598" s="2">
        <f ca="1">IFERROR(__xludf.DUMMYFUNCTION("""COMPUTED_VALUE"""),1)</f>
        <v>1</v>
      </c>
      <c r="C598" s="2">
        <f ca="1">IFERROR(__xludf.DUMMYFUNCTION("""COMPUTED_VALUE"""),20)</f>
        <v>20</v>
      </c>
      <c r="D598" s="2">
        <f ca="1">IFERROR(__xludf.DUMMYFUNCTION("""COMPUTED_VALUE"""),1)</f>
        <v>1</v>
      </c>
      <c r="E598" s="2">
        <f ca="1">IFERROR(__xludf.DUMMYFUNCTION("""COMPUTED_VALUE"""),19)</f>
        <v>19</v>
      </c>
    </row>
    <row r="599" spans="1:5" ht="12.75">
      <c r="A599" s="2" t="str">
        <f ca="1">IFERROR(__xludf.DUMMYFUNCTION("""COMPUTED_VALUE"""),"MAUOSUP32x13")</f>
        <v>MAUOSUP32x13</v>
      </c>
      <c r="B599" s="2">
        <f ca="1">IFERROR(__xludf.DUMMYFUNCTION("""COMPUTED_VALUE"""),6)</f>
        <v>6</v>
      </c>
      <c r="C599" s="2">
        <f ca="1">IFERROR(__xludf.DUMMYFUNCTION("""COMPUTED_VALUE"""),14)</f>
        <v>14</v>
      </c>
      <c r="D599" s="2">
        <f ca="1">IFERROR(__xludf.DUMMYFUNCTION("""COMPUTED_VALUE"""),6)</f>
        <v>6</v>
      </c>
      <c r="E599" s="2">
        <f ca="1">IFERROR(__xludf.DUMMYFUNCTION("""COMPUTED_VALUE"""),8)</f>
        <v>8</v>
      </c>
    </row>
    <row r="600" spans="1:5" ht="12.75">
      <c r="A600" s="2" t="str">
        <f ca="1">IFERROR(__xludf.DUMMYFUNCTION("""COMPUTED_VALUE"""),"MAUOSUP32x38")</f>
        <v>MAUOSUP32x38</v>
      </c>
      <c r="B600" s="2">
        <f ca="1">IFERROR(__xludf.DUMMYFUNCTION("""COMPUTED_VALUE"""),2)</f>
        <v>2</v>
      </c>
      <c r="C600" s="2">
        <f ca="1">IFERROR(__xludf.DUMMYFUNCTION("""COMPUTED_VALUE"""),2)</f>
        <v>2</v>
      </c>
      <c r="D600" s="2">
        <f ca="1">IFERROR(__xludf.DUMMYFUNCTION("""COMPUTED_VALUE"""),2)</f>
        <v>2</v>
      </c>
      <c r="E600" s="2">
        <f ca="1">IFERROR(__xludf.DUMMYFUNCTION("""COMPUTED_VALUE"""),0)</f>
        <v>0</v>
      </c>
    </row>
    <row r="601" spans="1:5" ht="12.75">
      <c r="A601" s="2" t="str">
        <f ca="1">IFERROR(__xludf.DUMMYFUNCTION("""COMPUTED_VALUE"""),"MAUOSUP35x10")</f>
        <v>MAUOSUP35x10</v>
      </c>
      <c r="B601" s="2">
        <f ca="1">IFERROR(__xludf.DUMMYFUNCTION("""COMPUTED_VALUE"""),36)</f>
        <v>36</v>
      </c>
      <c r="C601" s="2">
        <f ca="1">IFERROR(__xludf.DUMMYFUNCTION("""COMPUTED_VALUE"""),62)</f>
        <v>62</v>
      </c>
      <c r="D601" s="2">
        <f ca="1">IFERROR(__xludf.DUMMYFUNCTION("""COMPUTED_VALUE"""),36)</f>
        <v>36</v>
      </c>
      <c r="E601" s="2">
        <f ca="1">IFERROR(__xludf.DUMMYFUNCTION("""COMPUTED_VALUE"""),26)</f>
        <v>26</v>
      </c>
    </row>
    <row r="602" spans="1:5" ht="12.75">
      <c r="A602" s="2" t="str">
        <f ca="1">IFERROR(__xludf.DUMMYFUNCTION("""COMPUTED_VALUE"""),"MAUOSUP35x13")</f>
        <v>MAUOSUP35x13</v>
      </c>
      <c r="B602" s="2">
        <f ca="1">IFERROR(__xludf.DUMMYFUNCTION("""COMPUTED_VALUE"""),21)</f>
        <v>21</v>
      </c>
      <c r="C602" s="2">
        <f ca="1">IFERROR(__xludf.DUMMYFUNCTION("""COMPUTED_VALUE"""),38)</f>
        <v>38</v>
      </c>
      <c r="D602" s="2">
        <f ca="1">IFERROR(__xludf.DUMMYFUNCTION("""COMPUTED_VALUE"""),21)</f>
        <v>21</v>
      </c>
      <c r="E602" s="2">
        <f ca="1">IFERROR(__xludf.DUMMYFUNCTION("""COMPUTED_VALUE"""),17)</f>
        <v>17</v>
      </c>
    </row>
    <row r="603" spans="1:5" ht="12.75">
      <c r="A603" s="2" t="str">
        <f ca="1">IFERROR(__xludf.DUMMYFUNCTION("""COMPUTED_VALUE"""),"MAUOSUP35X13C0")</f>
        <v>MAUOSUP35X13C0</v>
      </c>
      <c r="B603" s="2">
        <f ca="1">IFERROR(__xludf.DUMMYFUNCTION("""COMPUTED_VALUE"""),10)</f>
        <v>10</v>
      </c>
      <c r="C603" s="2">
        <f ca="1">IFERROR(__xludf.DUMMYFUNCTION("""COMPUTED_VALUE"""),10)</f>
        <v>10</v>
      </c>
      <c r="D603" s="2">
        <f ca="1">IFERROR(__xludf.DUMMYFUNCTION("""COMPUTED_VALUE"""),10)</f>
        <v>10</v>
      </c>
      <c r="E603" s="2">
        <f ca="1">IFERROR(__xludf.DUMMYFUNCTION("""COMPUTED_VALUE"""),0)</f>
        <v>0</v>
      </c>
    </row>
    <row r="604" spans="1:5" ht="12.75">
      <c r="A604" s="2" t="str">
        <f ca="1">IFERROR(__xludf.DUMMYFUNCTION("""COMPUTED_VALUE"""),"MAUOSUP35x19")</f>
        <v>MAUOSUP35x19</v>
      </c>
      <c r="B604" s="2">
        <f ca="1">IFERROR(__xludf.DUMMYFUNCTION("""COMPUTED_VALUE"""),2)</f>
        <v>2</v>
      </c>
      <c r="C604" s="2">
        <f ca="1">IFERROR(__xludf.DUMMYFUNCTION("""COMPUTED_VALUE"""),28)</f>
        <v>28</v>
      </c>
      <c r="D604" s="2">
        <f ca="1">IFERROR(__xludf.DUMMYFUNCTION("""COMPUTED_VALUE"""),2)</f>
        <v>2</v>
      </c>
      <c r="E604" s="2">
        <f ca="1">IFERROR(__xludf.DUMMYFUNCTION("""COMPUTED_VALUE"""),26)</f>
        <v>26</v>
      </c>
    </row>
    <row r="605" spans="1:5" ht="12.75">
      <c r="A605" s="2" t="str">
        <f ca="1">IFERROR(__xludf.DUMMYFUNCTION("""COMPUTED_VALUE"""),"MAUOSUP38x13")</f>
        <v>MAUOSUP38x13</v>
      </c>
      <c r="B605" s="2">
        <f ca="1">IFERROR(__xludf.DUMMYFUNCTION("""COMPUTED_VALUE"""),20)</f>
        <v>20</v>
      </c>
      <c r="C605" s="2">
        <f ca="1">IFERROR(__xludf.DUMMYFUNCTION("""COMPUTED_VALUE"""),25)</f>
        <v>25</v>
      </c>
      <c r="D605" s="2">
        <f ca="1">IFERROR(__xludf.DUMMYFUNCTION("""COMPUTED_VALUE"""),20)</f>
        <v>20</v>
      </c>
      <c r="E605" s="2">
        <f ca="1">IFERROR(__xludf.DUMMYFUNCTION("""COMPUTED_VALUE"""),5)</f>
        <v>5</v>
      </c>
    </row>
    <row r="606" spans="1:5" ht="12.75">
      <c r="A606" s="2" t="str">
        <f ca="1">IFERROR(__xludf.DUMMYFUNCTION("""COMPUTED_VALUE"""),"MAUOSUP38x19")</f>
        <v>MAUOSUP38x19</v>
      </c>
      <c r="B606" s="2">
        <f ca="1">IFERROR(__xludf.DUMMYFUNCTION("""COMPUTED_VALUE"""),11)</f>
        <v>11</v>
      </c>
      <c r="C606" s="2">
        <f ca="1">IFERROR(__xludf.DUMMYFUNCTION("""COMPUTED_VALUE"""),25)</f>
        <v>25</v>
      </c>
      <c r="D606" s="2">
        <f ca="1">IFERROR(__xludf.DUMMYFUNCTION("""COMPUTED_VALUE"""),11)</f>
        <v>11</v>
      </c>
      <c r="E606" s="2">
        <f ca="1">IFERROR(__xludf.DUMMYFUNCTION("""COMPUTED_VALUE"""),14)</f>
        <v>14</v>
      </c>
    </row>
    <row r="607" spans="1:5" ht="12.75">
      <c r="A607" s="2" t="str">
        <f ca="1">IFERROR(__xludf.DUMMYFUNCTION("""COMPUTED_VALUE"""),"MAUOSUP38x25")</f>
        <v>MAUOSUP38x25</v>
      </c>
      <c r="B607" s="2">
        <f ca="1">IFERROR(__xludf.DUMMYFUNCTION("""COMPUTED_VALUE"""),1)</f>
        <v>1</v>
      </c>
      <c r="C607" s="2">
        <f ca="1">IFERROR(__xludf.DUMMYFUNCTION("""COMPUTED_VALUE"""),1)</f>
        <v>1</v>
      </c>
      <c r="D607" s="2">
        <f ca="1">IFERROR(__xludf.DUMMYFUNCTION("""COMPUTED_VALUE"""),1)</f>
        <v>1</v>
      </c>
      <c r="E607" s="2">
        <f ca="1">IFERROR(__xludf.DUMMYFUNCTION("""COMPUTED_VALUE"""),0)</f>
        <v>0</v>
      </c>
    </row>
    <row r="608" spans="1:5" ht="12.75">
      <c r="A608" s="2" t="str">
        <f ca="1">IFERROR(__xludf.DUMMYFUNCTION("""COMPUTED_VALUE"""),"MAUOSUP42x10")</f>
        <v>MAUOSUP42x10</v>
      </c>
      <c r="B608" s="2">
        <f ca="1">IFERROR(__xludf.DUMMYFUNCTION("""COMPUTED_VALUE"""),56)</f>
        <v>56</v>
      </c>
      <c r="C608" s="2">
        <f ca="1">IFERROR(__xludf.DUMMYFUNCTION("""COMPUTED_VALUE"""),72)</f>
        <v>72</v>
      </c>
      <c r="D608" s="2">
        <f ca="1">IFERROR(__xludf.DUMMYFUNCTION("""COMPUTED_VALUE"""),56)</f>
        <v>56</v>
      </c>
      <c r="E608" s="2">
        <f ca="1">IFERROR(__xludf.DUMMYFUNCTION("""COMPUTED_VALUE"""),16)</f>
        <v>16</v>
      </c>
    </row>
    <row r="609" spans="1:5" ht="12.75">
      <c r="A609" s="2" t="str">
        <f ca="1">IFERROR(__xludf.DUMMYFUNCTION("""COMPUTED_VALUE"""),"MAUOSUP42x13")</f>
        <v>MAUOSUP42x13</v>
      </c>
      <c r="B609" s="2">
        <f ca="1">IFERROR(__xludf.DUMMYFUNCTION("""COMPUTED_VALUE"""),15)</f>
        <v>15</v>
      </c>
      <c r="C609" s="2">
        <f ca="1">IFERROR(__xludf.DUMMYFUNCTION("""COMPUTED_VALUE"""),39)</f>
        <v>39</v>
      </c>
      <c r="D609" s="2">
        <f ca="1">IFERROR(__xludf.DUMMYFUNCTION("""COMPUTED_VALUE"""),15)</f>
        <v>15</v>
      </c>
      <c r="E609" s="2">
        <f ca="1">IFERROR(__xludf.DUMMYFUNCTION("""COMPUTED_VALUE"""),24)</f>
        <v>24</v>
      </c>
    </row>
    <row r="610" spans="1:5" ht="12.75">
      <c r="A610" s="2" t="str">
        <f ca="1">IFERROR(__xludf.DUMMYFUNCTION("""COMPUTED_VALUE"""),"MAUOSUP42x19")</f>
        <v>MAUOSUP42x19</v>
      </c>
      <c r="B610" s="2">
        <f ca="1">IFERROR(__xludf.DUMMYFUNCTION("""COMPUTED_VALUE"""),23)</f>
        <v>23</v>
      </c>
      <c r="C610" s="2">
        <f ca="1">IFERROR(__xludf.DUMMYFUNCTION("""COMPUTED_VALUE"""),47)</f>
        <v>47</v>
      </c>
      <c r="D610" s="2">
        <f ca="1">IFERROR(__xludf.DUMMYFUNCTION("""COMPUTED_VALUE"""),23)</f>
        <v>23</v>
      </c>
      <c r="E610" s="2">
        <f ca="1">IFERROR(__xludf.DUMMYFUNCTION("""COMPUTED_VALUE"""),24)</f>
        <v>24</v>
      </c>
    </row>
    <row r="611" spans="1:5" ht="12.75">
      <c r="A611" s="2" t="str">
        <f ca="1">IFERROR(__xludf.DUMMYFUNCTION("""COMPUTED_VALUE"""),"MAUOSUP48x10")</f>
        <v>MAUOSUP48x10</v>
      </c>
      <c r="B611" s="2">
        <f ca="1">IFERROR(__xludf.DUMMYFUNCTION("""COMPUTED_VALUE"""),41)</f>
        <v>41</v>
      </c>
      <c r="C611" s="2">
        <f ca="1">IFERROR(__xludf.DUMMYFUNCTION("""COMPUTED_VALUE"""),61)</f>
        <v>61</v>
      </c>
      <c r="D611" s="2">
        <f ca="1">IFERROR(__xludf.DUMMYFUNCTION("""COMPUTED_VALUE"""),41)</f>
        <v>41</v>
      </c>
      <c r="E611" s="2">
        <f ca="1">IFERROR(__xludf.DUMMYFUNCTION("""COMPUTED_VALUE"""),20)</f>
        <v>20</v>
      </c>
    </row>
    <row r="612" spans="1:5" ht="12.75">
      <c r="A612" s="2" t="str">
        <f ca="1">IFERROR(__xludf.DUMMYFUNCTION("""COMPUTED_VALUE"""),"MAUOSUP48x13")</f>
        <v>MAUOSUP48x13</v>
      </c>
      <c r="B612" s="2">
        <f ca="1">IFERROR(__xludf.DUMMYFUNCTION("""COMPUTED_VALUE"""),41)</f>
        <v>41</v>
      </c>
      <c r="C612" s="2">
        <f ca="1">IFERROR(__xludf.DUMMYFUNCTION("""COMPUTED_VALUE"""),65)</f>
        <v>65</v>
      </c>
      <c r="D612" s="2">
        <f ca="1">IFERROR(__xludf.DUMMYFUNCTION("""COMPUTED_VALUE"""),41)</f>
        <v>41</v>
      </c>
      <c r="E612" s="2">
        <f ca="1">IFERROR(__xludf.DUMMYFUNCTION("""COMPUTED_VALUE"""),24)</f>
        <v>24</v>
      </c>
    </row>
    <row r="613" spans="1:5" ht="12.75">
      <c r="A613" s="2" t="str">
        <f ca="1">IFERROR(__xludf.DUMMYFUNCTION("""COMPUTED_VALUE"""),"MAUOSUP48X13C0")</f>
        <v>MAUOSUP48X13C0</v>
      </c>
      <c r="B613" s="2">
        <f ca="1">IFERROR(__xludf.DUMMYFUNCTION("""COMPUTED_VALUE"""),9)</f>
        <v>9</v>
      </c>
      <c r="C613" s="2">
        <f ca="1">IFERROR(__xludf.DUMMYFUNCTION("""COMPUTED_VALUE"""),9)</f>
        <v>9</v>
      </c>
      <c r="D613" s="2">
        <f ca="1">IFERROR(__xludf.DUMMYFUNCTION("""COMPUTED_VALUE"""),9)</f>
        <v>9</v>
      </c>
      <c r="E613" s="2">
        <f ca="1">IFERROR(__xludf.DUMMYFUNCTION("""COMPUTED_VALUE"""),0)</f>
        <v>0</v>
      </c>
    </row>
    <row r="614" spans="1:5" ht="12.75">
      <c r="A614" s="2" t="str">
        <f ca="1">IFERROR(__xludf.DUMMYFUNCTION("""COMPUTED_VALUE"""),"MAUOSUP48x19")</f>
        <v>MAUOSUP48x19</v>
      </c>
      <c r="B614" s="2">
        <f ca="1">IFERROR(__xludf.DUMMYFUNCTION("""COMPUTED_VALUE"""),2)</f>
        <v>2</v>
      </c>
      <c r="C614" s="2">
        <f ca="1">IFERROR(__xludf.DUMMYFUNCTION("""COMPUTED_VALUE"""),2)</f>
        <v>2</v>
      </c>
      <c r="D614" s="2">
        <f ca="1">IFERROR(__xludf.DUMMYFUNCTION("""COMPUTED_VALUE"""),2)</f>
        <v>2</v>
      </c>
      <c r="E614" s="2">
        <f ca="1">IFERROR(__xludf.DUMMYFUNCTION("""COMPUTED_VALUE"""),0)</f>
        <v>0</v>
      </c>
    </row>
    <row r="615" spans="1:5" ht="12.75">
      <c r="A615" s="2" t="str">
        <f ca="1">IFERROR(__xludf.DUMMYFUNCTION("""COMPUTED_VALUE"""),"MAUOSUP48x38")</f>
        <v>MAUOSUP48x38</v>
      </c>
      <c r="B615" s="2">
        <f ca="1">IFERROR(__xludf.DUMMYFUNCTION("""COMPUTED_VALUE"""),1)</f>
        <v>1</v>
      </c>
      <c r="C615" s="2">
        <f ca="1">IFERROR(__xludf.DUMMYFUNCTION("""COMPUTED_VALUE"""),1)</f>
        <v>1</v>
      </c>
      <c r="D615" s="2">
        <f ca="1">IFERROR(__xludf.DUMMYFUNCTION("""COMPUTED_VALUE"""),1)</f>
        <v>1</v>
      </c>
      <c r="E615" s="2">
        <f ca="1">IFERROR(__xludf.DUMMYFUNCTION("""COMPUTED_VALUE"""),0)</f>
        <v>0</v>
      </c>
    </row>
    <row r="616" spans="1:5" ht="12.75">
      <c r="A616" s="2" t="str">
        <f ca="1">IFERROR(__xludf.DUMMYFUNCTION("""COMPUTED_VALUE"""),"MAUOSUP54x19")</f>
        <v>MAUOSUP54x19</v>
      </c>
      <c r="B616" s="2">
        <f ca="1">IFERROR(__xludf.DUMMYFUNCTION("""COMPUTED_VALUE"""),28)</f>
        <v>28</v>
      </c>
      <c r="C616" s="2">
        <f ca="1">IFERROR(__xludf.DUMMYFUNCTION("""COMPUTED_VALUE"""),42)</f>
        <v>42</v>
      </c>
      <c r="D616" s="2">
        <f ca="1">IFERROR(__xludf.DUMMYFUNCTION("""COMPUTED_VALUE"""),28)</f>
        <v>28</v>
      </c>
      <c r="E616" s="2">
        <f ca="1">IFERROR(__xludf.DUMMYFUNCTION("""COMPUTED_VALUE"""),14)</f>
        <v>14</v>
      </c>
    </row>
    <row r="617" spans="1:5" ht="12.75">
      <c r="A617" s="2" t="str">
        <f ca="1">IFERROR(__xludf.DUMMYFUNCTION("""COMPUTED_VALUE"""),"MAUOSUP60x10")</f>
        <v>MAUOSUP60x10</v>
      </c>
      <c r="B617" s="2">
        <f ca="1">IFERROR(__xludf.DUMMYFUNCTION("""COMPUTED_VALUE"""),17)</f>
        <v>17</v>
      </c>
      <c r="C617" s="2">
        <f ca="1">IFERROR(__xludf.DUMMYFUNCTION("""COMPUTED_VALUE"""),33)</f>
        <v>33</v>
      </c>
      <c r="D617" s="2">
        <f ca="1">IFERROR(__xludf.DUMMYFUNCTION("""COMPUTED_VALUE"""),17)</f>
        <v>17</v>
      </c>
      <c r="E617" s="2">
        <f ca="1">IFERROR(__xludf.DUMMYFUNCTION("""COMPUTED_VALUE"""),16)</f>
        <v>16</v>
      </c>
    </row>
    <row r="618" spans="1:5" ht="12.75">
      <c r="A618" s="2" t="str">
        <f ca="1">IFERROR(__xludf.DUMMYFUNCTION("""COMPUTED_VALUE"""),"MAUOSUP60x13")</f>
        <v>MAUOSUP60x13</v>
      </c>
      <c r="B618" s="2">
        <f ca="1">IFERROR(__xludf.DUMMYFUNCTION("""COMPUTED_VALUE"""),4)</f>
        <v>4</v>
      </c>
      <c r="C618" s="2">
        <f ca="1">IFERROR(__xludf.DUMMYFUNCTION("""COMPUTED_VALUE"""),21)</f>
        <v>21</v>
      </c>
      <c r="D618" s="2">
        <f ca="1">IFERROR(__xludf.DUMMYFUNCTION("""COMPUTED_VALUE"""),4)</f>
        <v>4</v>
      </c>
      <c r="E618" s="2">
        <f ca="1">IFERROR(__xludf.DUMMYFUNCTION("""COMPUTED_VALUE"""),17)</f>
        <v>17</v>
      </c>
    </row>
    <row r="619" spans="1:5" ht="12.75">
      <c r="A619" s="2" t="str">
        <f ca="1">IFERROR(__xludf.DUMMYFUNCTION("""COMPUTED_VALUE"""),"MAUOSUP60x38")</f>
        <v>MAUOSUP60x38</v>
      </c>
      <c r="B619" s="2">
        <f ca="1">IFERROR(__xludf.DUMMYFUNCTION("""COMPUTED_VALUE"""),1)</f>
        <v>1</v>
      </c>
      <c r="C619" s="2">
        <f ca="1">IFERROR(__xludf.DUMMYFUNCTION("""COMPUTED_VALUE"""),1)</f>
        <v>1</v>
      </c>
      <c r="D619" s="2">
        <f ca="1">IFERROR(__xludf.DUMMYFUNCTION("""COMPUTED_VALUE"""),1)</f>
        <v>1</v>
      </c>
      <c r="E619" s="2">
        <f ca="1">IFERROR(__xludf.DUMMYFUNCTION("""COMPUTED_VALUE"""),0)</f>
        <v>0</v>
      </c>
    </row>
    <row r="620" spans="1:5" ht="12.75">
      <c r="A620" s="2" t="str">
        <f ca="1">IFERROR(__xludf.DUMMYFUNCTION("""COMPUTED_VALUE"""),"MAUOSUP76x10")</f>
        <v>MAUOSUP76x10</v>
      </c>
      <c r="B620" s="2">
        <f ca="1">IFERROR(__xludf.DUMMYFUNCTION("""COMPUTED_VALUE"""),34)</f>
        <v>34</v>
      </c>
      <c r="C620" s="2">
        <f ca="1">IFERROR(__xludf.DUMMYFUNCTION("""COMPUTED_VALUE"""),34)</f>
        <v>34</v>
      </c>
      <c r="D620" s="2">
        <f ca="1">IFERROR(__xludf.DUMMYFUNCTION("""COMPUTED_VALUE"""),34)</f>
        <v>34</v>
      </c>
      <c r="E620" s="2">
        <f ca="1">IFERROR(__xludf.DUMMYFUNCTION("""COMPUTED_VALUE"""),0)</f>
        <v>0</v>
      </c>
    </row>
    <row r="621" spans="1:5" ht="12.75">
      <c r="A621" s="2" t="str">
        <f ca="1">IFERROR(__xludf.DUMMYFUNCTION("""COMPUTED_VALUE"""),"MAUOSUP89x10")</f>
        <v>MAUOSUP89x10</v>
      </c>
      <c r="B621" s="2">
        <f ca="1">IFERROR(__xludf.DUMMYFUNCTION("""COMPUTED_VALUE"""),49)</f>
        <v>49</v>
      </c>
      <c r="C621" s="2">
        <f ca="1">IFERROR(__xludf.DUMMYFUNCTION("""COMPUTED_VALUE"""),49)</f>
        <v>49</v>
      </c>
      <c r="D621" s="2">
        <f ca="1">IFERROR(__xludf.DUMMYFUNCTION("""COMPUTED_VALUE"""),49)</f>
        <v>49</v>
      </c>
      <c r="E621" s="2">
        <f ca="1">IFERROR(__xludf.DUMMYFUNCTION("""COMPUTED_VALUE"""),0)</f>
        <v>0</v>
      </c>
    </row>
    <row r="622" spans="1:5" ht="12.75">
      <c r="A622" s="2" t="str">
        <f ca="1">IFERROR(__xludf.DUMMYFUNCTION("""COMPUTED_VALUE"""),"MAUOSUPVN06X25")</f>
        <v>MAUOSUPVN06X25</v>
      </c>
      <c r="B622" s="2">
        <f ca="1">IFERROR(__xludf.DUMMYFUNCTION("""COMPUTED_VALUE"""),3)</f>
        <v>3</v>
      </c>
      <c r="C622" s="2">
        <f ca="1">IFERROR(__xludf.DUMMYFUNCTION("""COMPUTED_VALUE"""),3)</f>
        <v>3</v>
      </c>
      <c r="D622" s="2">
        <f ca="1">IFERROR(__xludf.DUMMYFUNCTION("""COMPUTED_VALUE"""),3)</f>
        <v>3</v>
      </c>
      <c r="E622" s="2">
        <f ca="1">IFERROR(__xludf.DUMMYFUNCTION("""COMPUTED_VALUE"""),0)</f>
        <v>0</v>
      </c>
    </row>
    <row r="623" spans="1:5" ht="12.75">
      <c r="A623" s="2" t="str">
        <f ca="1">IFERROR(__xludf.DUMMYFUNCTION("""COMPUTED_VALUE"""),"MAUOSUPVN114x10")</f>
        <v>MAUOSUPVN114x10</v>
      </c>
      <c r="B623" s="2">
        <f ca="1">IFERROR(__xludf.DUMMYFUNCTION("""COMPUTED_VALUE"""),5)</f>
        <v>5</v>
      </c>
      <c r="C623" s="2">
        <f ca="1">IFERROR(__xludf.DUMMYFUNCTION("""COMPUTED_VALUE"""),5)</f>
        <v>5</v>
      </c>
      <c r="D623" s="2">
        <f ca="1">IFERROR(__xludf.DUMMYFUNCTION("""COMPUTED_VALUE"""),5)</f>
        <v>5</v>
      </c>
      <c r="E623" s="2">
        <f ca="1">IFERROR(__xludf.DUMMYFUNCTION("""COMPUTED_VALUE"""),0)</f>
        <v>0</v>
      </c>
    </row>
    <row r="624" spans="1:5" ht="12.75">
      <c r="A624" s="2" t="str">
        <f ca="1">IFERROR(__xludf.DUMMYFUNCTION("""COMPUTED_VALUE"""),"MAUOSUPVN114x32")</f>
        <v>MAUOSUPVN114x32</v>
      </c>
      <c r="B624" s="2">
        <f ca="1">IFERROR(__xludf.DUMMYFUNCTION("""COMPUTED_VALUE"""),8)</f>
        <v>8</v>
      </c>
      <c r="C624" s="2">
        <f ca="1">IFERROR(__xludf.DUMMYFUNCTION("""COMPUTED_VALUE"""),8)</f>
        <v>8</v>
      </c>
      <c r="D624" s="2">
        <f ca="1">IFERROR(__xludf.DUMMYFUNCTION("""COMPUTED_VALUE"""),8)</f>
        <v>8</v>
      </c>
      <c r="E624" s="2">
        <f ca="1">IFERROR(__xludf.DUMMYFUNCTION("""COMPUTED_VALUE"""),0)</f>
        <v>0</v>
      </c>
    </row>
    <row r="625" spans="1:5" ht="12.75">
      <c r="A625" s="2" t="str">
        <f ca="1">IFERROR(__xludf.DUMMYFUNCTION("""COMPUTED_VALUE"""),"MAUOSUPVN13X25")</f>
        <v>MAUOSUPVN13X25</v>
      </c>
      <c r="B625" s="2">
        <f ca="1">IFERROR(__xludf.DUMMYFUNCTION("""COMPUTED_VALUE"""),3)</f>
        <v>3</v>
      </c>
      <c r="C625" s="2">
        <f ca="1">IFERROR(__xludf.DUMMYFUNCTION("""COMPUTED_VALUE"""),5)</f>
        <v>5</v>
      </c>
      <c r="D625" s="2">
        <f ca="1">IFERROR(__xludf.DUMMYFUNCTION("""COMPUTED_VALUE"""),3)</f>
        <v>3</v>
      </c>
      <c r="E625" s="2">
        <f ca="1">IFERROR(__xludf.DUMMYFUNCTION("""COMPUTED_VALUE"""),2)</f>
        <v>2</v>
      </c>
    </row>
    <row r="626" spans="1:5" ht="12.75">
      <c r="A626" s="2" t="str">
        <f ca="1">IFERROR(__xludf.DUMMYFUNCTION("""COMPUTED_VALUE"""),"MAUOSUPVN140x32")</f>
        <v>MAUOSUPVN140x32</v>
      </c>
      <c r="B626" s="2">
        <f ca="1">IFERROR(__xludf.DUMMYFUNCTION("""COMPUTED_VALUE"""),2)</f>
        <v>2</v>
      </c>
      <c r="C626" s="2">
        <f ca="1">IFERROR(__xludf.DUMMYFUNCTION("""COMPUTED_VALUE"""),2)</f>
        <v>2</v>
      </c>
      <c r="D626" s="2">
        <f ca="1">IFERROR(__xludf.DUMMYFUNCTION("""COMPUTED_VALUE"""),2)</f>
        <v>2</v>
      </c>
      <c r="E626" s="2">
        <f ca="1">IFERROR(__xludf.DUMMYFUNCTION("""COMPUTED_VALUE"""),0)</f>
        <v>0</v>
      </c>
    </row>
    <row r="627" spans="1:5" ht="12.75">
      <c r="A627" s="2" t="str">
        <f ca="1">IFERROR(__xludf.DUMMYFUNCTION("""COMPUTED_VALUE"""),"MAUOSUPVN16x19")</f>
        <v>MAUOSUPVN16x19</v>
      </c>
      <c r="B627" s="2">
        <f ca="1">IFERROR(__xludf.DUMMYFUNCTION("""COMPUTED_VALUE"""),14)</f>
        <v>14</v>
      </c>
      <c r="C627" s="2">
        <f ca="1">IFERROR(__xludf.DUMMYFUNCTION("""COMPUTED_VALUE"""),14)</f>
        <v>14</v>
      </c>
      <c r="D627" s="2">
        <f ca="1">IFERROR(__xludf.DUMMYFUNCTION("""COMPUTED_VALUE"""),14)</f>
        <v>14</v>
      </c>
      <c r="E627" s="2">
        <f ca="1">IFERROR(__xludf.DUMMYFUNCTION("""COMPUTED_VALUE"""),0)</f>
        <v>0</v>
      </c>
    </row>
    <row r="628" spans="1:5" ht="12.75">
      <c r="A628" s="2" t="str">
        <f ca="1">IFERROR(__xludf.DUMMYFUNCTION("""COMPUTED_VALUE"""),"MAUOSUPVN16X32")</f>
        <v>MAUOSUPVN16X32</v>
      </c>
      <c r="B628" s="2">
        <f ca="1">IFERROR(__xludf.DUMMYFUNCTION("""COMPUTED_VALUE"""),7)</f>
        <v>7</v>
      </c>
      <c r="C628" s="2">
        <f ca="1">IFERROR(__xludf.DUMMYFUNCTION("""COMPUTED_VALUE"""),7)</f>
        <v>7</v>
      </c>
      <c r="D628" s="2">
        <f ca="1">IFERROR(__xludf.DUMMYFUNCTION("""COMPUTED_VALUE"""),7)</f>
        <v>7</v>
      </c>
      <c r="E628" s="2">
        <f ca="1">IFERROR(__xludf.DUMMYFUNCTION("""COMPUTED_VALUE"""),0)</f>
        <v>0</v>
      </c>
    </row>
    <row r="629" spans="1:5" ht="12.75">
      <c r="A629" s="2" t="str">
        <f ca="1">IFERROR(__xludf.DUMMYFUNCTION("""COMPUTED_VALUE"""),"MAUOSUPVN19x19")</f>
        <v>MAUOSUPVN19x19</v>
      </c>
      <c r="B629" s="2">
        <f ca="1">IFERROR(__xludf.DUMMYFUNCTION("""COMPUTED_VALUE"""),5)</f>
        <v>5</v>
      </c>
      <c r="C629" s="2">
        <f ca="1">IFERROR(__xludf.DUMMYFUNCTION("""COMPUTED_VALUE"""),15)</f>
        <v>15</v>
      </c>
      <c r="D629" s="2">
        <f ca="1">IFERROR(__xludf.DUMMYFUNCTION("""COMPUTED_VALUE"""),5)</f>
        <v>5</v>
      </c>
      <c r="E629" s="2">
        <f ca="1">IFERROR(__xludf.DUMMYFUNCTION("""COMPUTED_VALUE"""),10)</f>
        <v>10</v>
      </c>
    </row>
    <row r="630" spans="1:5" ht="12.75">
      <c r="A630" s="2" t="str">
        <f ca="1">IFERROR(__xludf.DUMMYFUNCTION("""COMPUTED_VALUE"""),"MAUOSUPVN19X32")</f>
        <v>MAUOSUPVN19X32</v>
      </c>
      <c r="B630" s="2">
        <f ca="1">IFERROR(__xludf.DUMMYFUNCTION("""COMPUTED_VALUE"""),3)</f>
        <v>3</v>
      </c>
      <c r="C630" s="2">
        <f ca="1">IFERROR(__xludf.DUMMYFUNCTION("""COMPUTED_VALUE"""),3)</f>
        <v>3</v>
      </c>
      <c r="D630" s="2">
        <f ca="1">IFERROR(__xludf.DUMMYFUNCTION("""COMPUTED_VALUE"""),3)</f>
        <v>3</v>
      </c>
      <c r="E630" s="2">
        <f ca="1">IFERROR(__xludf.DUMMYFUNCTION("""COMPUTED_VALUE"""),0)</f>
        <v>0</v>
      </c>
    </row>
    <row r="631" spans="1:5" ht="12.75">
      <c r="A631" s="2" t="str">
        <f ca="1">IFERROR(__xludf.DUMMYFUNCTION("""COMPUTED_VALUE"""),"MAUOSUPVN22x25")</f>
        <v>MAUOSUPVN22x25</v>
      </c>
      <c r="B631" s="2">
        <f ca="1">IFERROR(__xludf.DUMMYFUNCTION("""COMPUTED_VALUE"""),20)</f>
        <v>20</v>
      </c>
      <c r="C631" s="2">
        <f ca="1">IFERROR(__xludf.DUMMYFUNCTION("""COMPUTED_VALUE"""),29)</f>
        <v>29</v>
      </c>
      <c r="D631" s="2">
        <f ca="1">IFERROR(__xludf.DUMMYFUNCTION("""COMPUTED_VALUE"""),20)</f>
        <v>20</v>
      </c>
      <c r="E631" s="2">
        <f ca="1">IFERROR(__xludf.DUMMYFUNCTION("""COMPUTED_VALUE"""),9)</f>
        <v>9</v>
      </c>
    </row>
    <row r="632" spans="1:5" ht="12.75">
      <c r="A632" s="2" t="str">
        <f ca="1">IFERROR(__xludf.DUMMYFUNCTION("""COMPUTED_VALUE"""),"MAUOSUPVN22X32")</f>
        <v>MAUOSUPVN22X32</v>
      </c>
      <c r="B632" s="2">
        <f ca="1">IFERROR(__xludf.DUMMYFUNCTION("""COMPUTED_VALUE"""),5)</f>
        <v>5</v>
      </c>
      <c r="C632" s="2">
        <f ca="1">IFERROR(__xludf.DUMMYFUNCTION("""COMPUTED_VALUE"""),5)</f>
        <v>5</v>
      </c>
      <c r="D632" s="2">
        <f ca="1">IFERROR(__xludf.DUMMYFUNCTION("""COMPUTED_VALUE"""),5)</f>
        <v>5</v>
      </c>
      <c r="E632" s="2">
        <f ca="1">IFERROR(__xludf.DUMMYFUNCTION("""COMPUTED_VALUE"""),0)</f>
        <v>0</v>
      </c>
    </row>
    <row r="633" spans="1:5" ht="12.75">
      <c r="A633" s="2" t="str">
        <f ca="1">IFERROR(__xludf.DUMMYFUNCTION("""COMPUTED_VALUE"""),"MAUOSUPVN28x13")</f>
        <v>MAUOSUPVN28x13</v>
      </c>
      <c r="B633" s="2">
        <f ca="1">IFERROR(__xludf.DUMMYFUNCTION("""COMPUTED_VALUE"""),15)</f>
        <v>15</v>
      </c>
      <c r="C633" s="2">
        <f ca="1">IFERROR(__xludf.DUMMYFUNCTION("""COMPUTED_VALUE"""),24)</f>
        <v>24</v>
      </c>
      <c r="D633" s="2">
        <f ca="1">IFERROR(__xludf.DUMMYFUNCTION("""COMPUTED_VALUE"""),15)</f>
        <v>15</v>
      </c>
      <c r="E633" s="2">
        <f ca="1">IFERROR(__xludf.DUMMYFUNCTION("""COMPUTED_VALUE"""),9)</f>
        <v>9</v>
      </c>
    </row>
    <row r="634" spans="1:5" ht="12.75">
      <c r="A634" s="2" t="str">
        <f ca="1">IFERROR(__xludf.DUMMYFUNCTION("""COMPUTED_VALUE"""),"MAUOSUPVN28x25")</f>
        <v>MAUOSUPVN28x25</v>
      </c>
      <c r="B634" s="2">
        <f ca="1">IFERROR(__xludf.DUMMYFUNCTION("""COMPUTED_VALUE"""),67)</f>
        <v>67</v>
      </c>
      <c r="C634" s="2">
        <f ca="1">IFERROR(__xludf.DUMMYFUNCTION("""COMPUTED_VALUE"""),73)</f>
        <v>73</v>
      </c>
      <c r="D634" s="2">
        <f ca="1">IFERROR(__xludf.DUMMYFUNCTION("""COMPUTED_VALUE"""),67)</f>
        <v>67</v>
      </c>
      <c r="E634" s="2">
        <f ca="1">IFERROR(__xludf.DUMMYFUNCTION("""COMPUTED_VALUE"""),6)</f>
        <v>6</v>
      </c>
    </row>
    <row r="635" spans="1:5" ht="12.75">
      <c r="A635" s="2" t="str">
        <f ca="1">IFERROR(__xludf.DUMMYFUNCTION("""COMPUTED_VALUE"""),"MAUOSUPVN28X32")</f>
        <v>MAUOSUPVN28X32</v>
      </c>
      <c r="B635" s="2">
        <f ca="1">IFERROR(__xludf.DUMMYFUNCTION("""COMPUTED_VALUE"""),6)</f>
        <v>6</v>
      </c>
      <c r="C635" s="2">
        <f ca="1">IFERROR(__xludf.DUMMYFUNCTION("""COMPUTED_VALUE"""),6)</f>
        <v>6</v>
      </c>
      <c r="D635" s="2">
        <f ca="1">IFERROR(__xludf.DUMMYFUNCTION("""COMPUTED_VALUE"""),6)</f>
        <v>6</v>
      </c>
      <c r="E635" s="2">
        <f ca="1">IFERROR(__xludf.DUMMYFUNCTION("""COMPUTED_VALUE"""),0)</f>
        <v>0</v>
      </c>
    </row>
    <row r="636" spans="1:5" ht="12.75">
      <c r="A636" s="2" t="str">
        <f ca="1">IFERROR(__xludf.DUMMYFUNCTION("""COMPUTED_VALUE"""),"MAUOSUPVN42X32")</f>
        <v>MAUOSUPVN42X32</v>
      </c>
      <c r="B636" s="2">
        <f ca="1">IFERROR(__xludf.DUMMYFUNCTION("""COMPUTED_VALUE"""),7)</f>
        <v>7</v>
      </c>
      <c r="C636" s="2">
        <f ca="1">IFERROR(__xludf.DUMMYFUNCTION("""COMPUTED_VALUE"""),7)</f>
        <v>7</v>
      </c>
      <c r="D636" s="2">
        <f ca="1">IFERROR(__xludf.DUMMYFUNCTION("""COMPUTED_VALUE"""),7)</f>
        <v>7</v>
      </c>
      <c r="E636" s="2">
        <f ca="1">IFERROR(__xludf.DUMMYFUNCTION("""COMPUTED_VALUE"""),0)</f>
        <v>0</v>
      </c>
    </row>
    <row r="637" spans="1:5" ht="12.75">
      <c r="A637" s="2" t="str">
        <f ca="1">IFERROR(__xludf.DUMMYFUNCTION("""COMPUTED_VALUE"""),"MAUOSUPVN48x13")</f>
        <v>MAUOSUPVN48x13</v>
      </c>
      <c r="B637" s="2">
        <f ca="1">IFERROR(__xludf.DUMMYFUNCTION("""COMPUTED_VALUE"""),1)</f>
        <v>1</v>
      </c>
      <c r="C637" s="2">
        <f ca="1">IFERROR(__xludf.DUMMYFUNCTION("""COMPUTED_VALUE"""),17)</f>
        <v>17</v>
      </c>
      <c r="D637" s="2">
        <f ca="1">IFERROR(__xludf.DUMMYFUNCTION("""COMPUTED_VALUE"""),1)</f>
        <v>1</v>
      </c>
      <c r="E637" s="2">
        <f ca="1">IFERROR(__xludf.DUMMYFUNCTION("""COMPUTED_VALUE"""),16)</f>
        <v>16</v>
      </c>
    </row>
    <row r="638" spans="1:5" ht="12.75">
      <c r="A638" s="2" t="str">
        <f ca="1">IFERROR(__xludf.DUMMYFUNCTION("""COMPUTED_VALUE"""),"MAUOSUPVN60x51")</f>
        <v>MAUOSUPVN60x51</v>
      </c>
      <c r="B638" s="2">
        <f ca="1">IFERROR(__xludf.DUMMYFUNCTION("""COMPUTED_VALUE"""),2)</f>
        <v>2</v>
      </c>
      <c r="C638" s="2">
        <f ca="1">IFERROR(__xludf.DUMMYFUNCTION("""COMPUTED_VALUE"""),2)</f>
        <v>2</v>
      </c>
      <c r="D638" s="2">
        <f ca="1">IFERROR(__xludf.DUMMYFUNCTION("""COMPUTED_VALUE"""),2)</f>
        <v>2</v>
      </c>
      <c r="E638" s="2">
        <f ca="1">IFERROR(__xludf.DUMMYFUNCTION("""COMPUTED_VALUE"""),0)</f>
        <v>0</v>
      </c>
    </row>
    <row r="639" spans="1:5" ht="12.75">
      <c r="A639" s="2" t="str">
        <f ca="1">IFERROR(__xludf.DUMMYFUNCTION("""COMPUTED_VALUE"""),"MAUOTS42x19")</f>
        <v>MAUOTS42x19</v>
      </c>
      <c r="B639" s="2">
        <f ca="1">IFERROR(__xludf.DUMMYFUNCTION("""COMPUTED_VALUE"""),10)</f>
        <v>10</v>
      </c>
      <c r="C639" s="2">
        <f ca="1">IFERROR(__xludf.DUMMYFUNCTION("""COMPUTED_VALUE"""),10)</f>
        <v>10</v>
      </c>
      <c r="D639" s="2">
        <f ca="1">IFERROR(__xludf.DUMMYFUNCTION("""COMPUTED_VALUE"""),10)</f>
        <v>10</v>
      </c>
      <c r="E639" s="2">
        <f ca="1">IFERROR(__xludf.DUMMYFUNCTION("""COMPUTED_VALUE"""),0)</f>
        <v>0</v>
      </c>
    </row>
    <row r="640" spans="1:5" ht="12.75">
      <c r="A640" s="2" t="str">
        <f ca="1">IFERROR(__xludf.DUMMYFUNCTION("""COMPUTED_VALUE"""),"MAUPOLY")</f>
        <v>MAUPOLY</v>
      </c>
      <c r="B640" s="2">
        <f ca="1">IFERROR(__xludf.DUMMYFUNCTION("""COMPUTED_VALUE"""),1)</f>
        <v>1</v>
      </c>
      <c r="C640" s="2">
        <f ca="1">IFERROR(__xludf.DUMMYFUNCTION("""COMPUTED_VALUE"""),1)</f>
        <v>1</v>
      </c>
      <c r="D640" s="2">
        <f ca="1">IFERROR(__xludf.DUMMYFUNCTION("""COMPUTED_VALUE"""),1)</f>
        <v>1</v>
      </c>
      <c r="E640" s="2">
        <f ca="1">IFERROR(__xludf.DUMMYFUNCTION("""COMPUTED_VALUE"""),0)</f>
        <v>0</v>
      </c>
    </row>
    <row r="641" spans="1:5" ht="12.75">
      <c r="A641" s="2" t="str">
        <f ca="1">IFERROR(__xludf.DUMMYFUNCTION("""COMPUTED_VALUE"""),"MAURB0952071")</f>
        <v>MAURB0952071</v>
      </c>
      <c r="B641" s="2">
        <f ca="1">IFERROR(__xludf.DUMMYFUNCTION("""COMPUTED_VALUE"""),37)</f>
        <v>37</v>
      </c>
      <c r="C641" s="2">
        <f ca="1">IFERROR(__xludf.DUMMYFUNCTION("""COMPUTED_VALUE"""),37)</f>
        <v>37</v>
      </c>
      <c r="D641" s="2">
        <f ca="1">IFERROR(__xludf.DUMMYFUNCTION("""COMPUTED_VALUE"""),37)</f>
        <v>37</v>
      </c>
      <c r="E641" s="2">
        <f ca="1">IFERROR(__xludf.DUMMYFUNCTION("""COMPUTED_VALUE"""),0)</f>
        <v>0</v>
      </c>
    </row>
    <row r="642" spans="1:5" ht="12.75">
      <c r="A642" s="2" t="str">
        <f ca="1">IFERROR(__xludf.DUMMYFUNCTION("""COMPUTED_VALUE"""),"MAURB1588100")</f>
        <v>MAURB1588100</v>
      </c>
      <c r="B642" s="2">
        <f ca="1">IFERROR(__xludf.DUMMYFUNCTION("""COMPUTED_VALUE"""),31)</f>
        <v>31</v>
      </c>
      <c r="C642" s="2">
        <f ca="1">IFERROR(__xludf.DUMMYFUNCTION("""COMPUTED_VALUE"""),31)</f>
        <v>31</v>
      </c>
      <c r="D642" s="2">
        <f ca="1">IFERROR(__xludf.DUMMYFUNCTION("""COMPUTED_VALUE"""),31)</f>
        <v>31</v>
      </c>
      <c r="E642" s="2">
        <f ca="1">IFERROR(__xludf.DUMMYFUNCTION("""COMPUTED_VALUE"""),0)</f>
        <v>0</v>
      </c>
    </row>
    <row r="643" spans="1:5" ht="12.75">
      <c r="A643" s="2" t="str">
        <f ca="1">IFERROR(__xludf.DUMMYFUNCTION("""COMPUTED_VALUE"""),"MAURB2540100")</f>
        <v>MAURB2540100</v>
      </c>
      <c r="B643" s="2">
        <f ca="1">IFERROR(__xludf.DUMMYFUNCTION("""COMPUTED_VALUE"""),48)</f>
        <v>48</v>
      </c>
      <c r="C643" s="2">
        <f ca="1">IFERROR(__xludf.DUMMYFUNCTION("""COMPUTED_VALUE"""),48)</f>
        <v>48</v>
      </c>
      <c r="D643" s="2">
        <f ca="1">IFERROR(__xludf.DUMMYFUNCTION("""COMPUTED_VALUE"""),48)</f>
        <v>48</v>
      </c>
      <c r="E643" s="2">
        <f ca="1">IFERROR(__xludf.DUMMYFUNCTION("""COMPUTED_VALUE"""),0)</f>
        <v>0</v>
      </c>
    </row>
    <row r="644" spans="1:5" ht="12.75">
      <c r="A644" s="2" t="str">
        <f ca="1">IFERROR(__xludf.DUMMYFUNCTION("""COMPUTED_VALUE"""),"MAURB2540120")</f>
        <v>MAURB2540120</v>
      </c>
      <c r="B644" s="2">
        <f ca="1">IFERROR(__xludf.DUMMYFUNCTION("""COMPUTED_VALUE"""),50)</f>
        <v>50</v>
      </c>
      <c r="C644" s="2">
        <f ca="1">IFERROR(__xludf.DUMMYFUNCTION("""COMPUTED_VALUE"""),50)</f>
        <v>50</v>
      </c>
      <c r="D644" s="2">
        <f ca="1">IFERROR(__xludf.DUMMYFUNCTION("""COMPUTED_VALUE"""),50)</f>
        <v>50</v>
      </c>
      <c r="E644" s="2">
        <f ca="1">IFERROR(__xludf.DUMMYFUNCTION("""COMPUTED_VALUE"""),0)</f>
        <v>0</v>
      </c>
    </row>
    <row r="645" spans="1:5" ht="12.75">
      <c r="A645" s="2" t="str">
        <f ca="1">IFERROR(__xludf.DUMMYFUNCTION("""COMPUTED_VALUE"""),"MAURB2858100")</f>
        <v>MAURB2858100</v>
      </c>
      <c r="B645" s="2">
        <f ca="1">IFERROR(__xludf.DUMMYFUNCTION("""COMPUTED_VALUE"""),7)</f>
        <v>7</v>
      </c>
      <c r="C645" s="2">
        <f ca="1">IFERROR(__xludf.DUMMYFUNCTION("""COMPUTED_VALUE"""),7)</f>
        <v>7</v>
      </c>
      <c r="D645" s="2">
        <f ca="1">IFERROR(__xludf.DUMMYFUNCTION("""COMPUTED_VALUE"""),7)</f>
        <v>7</v>
      </c>
      <c r="E645" s="2">
        <f ca="1">IFERROR(__xludf.DUMMYFUNCTION("""COMPUTED_VALUE"""),0)</f>
        <v>0</v>
      </c>
    </row>
    <row r="646" spans="1:5" ht="12.75">
      <c r="A646" s="2" t="str">
        <f ca="1">IFERROR(__xludf.DUMMYFUNCTION("""COMPUTED_VALUE"""),"MAURB2858120")</f>
        <v>MAURB2858120</v>
      </c>
      <c r="B646" s="2">
        <f ca="1">IFERROR(__xludf.DUMMYFUNCTION("""COMPUTED_VALUE"""),49)</f>
        <v>49</v>
      </c>
      <c r="C646" s="2">
        <f ca="1">IFERROR(__xludf.DUMMYFUNCTION("""COMPUTED_VALUE"""),49)</f>
        <v>49</v>
      </c>
      <c r="D646" s="2">
        <f ca="1">IFERROR(__xludf.DUMMYFUNCTION("""COMPUTED_VALUE"""),49)</f>
        <v>49</v>
      </c>
      <c r="E646" s="2">
        <f ca="1">IFERROR(__xludf.DUMMYFUNCTION("""COMPUTED_VALUE"""),0)</f>
        <v>0</v>
      </c>
    </row>
    <row r="647" spans="1:5" ht="12.75">
      <c r="A647" s="2" t="str">
        <f ca="1">IFERROR(__xludf.DUMMYFUNCTION("""COMPUTED_VALUE"""),"MAURB2858140")</f>
        <v>MAURB2858140</v>
      </c>
      <c r="B647" s="2">
        <f ca="1">IFERROR(__xludf.DUMMYFUNCTION("""COMPUTED_VALUE"""),50)</f>
        <v>50</v>
      </c>
      <c r="C647" s="2">
        <f ca="1">IFERROR(__xludf.DUMMYFUNCTION("""COMPUTED_VALUE"""),50)</f>
        <v>50</v>
      </c>
      <c r="D647" s="2">
        <f ca="1">IFERROR(__xludf.DUMMYFUNCTION("""COMPUTED_VALUE"""),50)</f>
        <v>50</v>
      </c>
      <c r="E647" s="2">
        <f ca="1">IFERROR(__xludf.DUMMYFUNCTION("""COMPUTED_VALUE"""),0)</f>
        <v>0</v>
      </c>
    </row>
    <row r="648" spans="1:5" ht="12.75">
      <c r="A648" s="2" t="str">
        <f ca="1">IFERROR(__xludf.DUMMYFUNCTION("""COMPUTED_VALUE"""),"MAURB3175100")</f>
        <v>MAURB3175100</v>
      </c>
      <c r="B648" s="2">
        <f ca="1">IFERROR(__xludf.DUMMYFUNCTION("""COMPUTED_VALUE"""),10)</f>
        <v>10</v>
      </c>
      <c r="C648" s="2">
        <f ca="1">IFERROR(__xludf.DUMMYFUNCTION("""COMPUTED_VALUE"""),10)</f>
        <v>10</v>
      </c>
      <c r="D648" s="2">
        <f ca="1">IFERROR(__xludf.DUMMYFUNCTION("""COMPUTED_VALUE"""),10)</f>
        <v>10</v>
      </c>
      <c r="E648" s="2">
        <f ca="1">IFERROR(__xludf.DUMMYFUNCTION("""COMPUTED_VALUE"""),0)</f>
        <v>0</v>
      </c>
    </row>
    <row r="649" spans="1:5" ht="12.75">
      <c r="A649" s="2" t="str">
        <f ca="1">IFERROR(__xludf.DUMMYFUNCTION("""COMPUTED_VALUE"""),"MAURB3493120")</f>
        <v>MAURB3493120</v>
      </c>
      <c r="B649" s="2">
        <f ca="1">IFERROR(__xludf.DUMMYFUNCTION("""COMPUTED_VALUE"""),9)</f>
        <v>9</v>
      </c>
      <c r="C649" s="2">
        <f ca="1">IFERROR(__xludf.DUMMYFUNCTION("""COMPUTED_VALUE"""),9)</f>
        <v>9</v>
      </c>
      <c r="D649" s="2">
        <f ca="1">IFERROR(__xludf.DUMMYFUNCTION("""COMPUTED_VALUE"""),9)</f>
        <v>9</v>
      </c>
      <c r="E649" s="2">
        <f ca="1">IFERROR(__xludf.DUMMYFUNCTION("""COMPUTED_VALUE"""),0)</f>
        <v>0</v>
      </c>
    </row>
    <row r="650" spans="1:5" ht="12.75">
      <c r="A650" s="2" t="str">
        <f ca="1">IFERROR(__xludf.DUMMYFUNCTION("""COMPUTED_VALUE"""),"MAURB4128120")</f>
        <v>MAURB4128120</v>
      </c>
      <c r="B650" s="2">
        <f ca="1">IFERROR(__xludf.DUMMYFUNCTION("""COMPUTED_VALUE"""),5)</f>
        <v>5</v>
      </c>
      <c r="C650" s="2">
        <f ca="1">IFERROR(__xludf.DUMMYFUNCTION("""COMPUTED_VALUE"""),5)</f>
        <v>5</v>
      </c>
      <c r="D650" s="2">
        <f ca="1">IFERROR(__xludf.DUMMYFUNCTION("""COMPUTED_VALUE"""),5)</f>
        <v>5</v>
      </c>
      <c r="E650" s="2">
        <f ca="1">IFERROR(__xludf.DUMMYFUNCTION("""COMPUTED_VALUE"""),0)</f>
        <v>0</v>
      </c>
    </row>
    <row r="651" spans="1:5" ht="12.75">
      <c r="A651" s="2" t="str">
        <f ca="1">IFERROR(__xludf.DUMMYFUNCTION("""COMPUTED_VALUE"""),"MAURB4128140")</f>
        <v>MAURB4128140</v>
      </c>
      <c r="B651" s="2">
        <f ca="1">IFERROR(__xludf.DUMMYFUNCTION("""COMPUTED_VALUE"""),10)</f>
        <v>10</v>
      </c>
      <c r="C651" s="2">
        <f ca="1">IFERROR(__xludf.DUMMYFUNCTION("""COMPUTED_VALUE"""),10)</f>
        <v>10</v>
      </c>
      <c r="D651" s="2">
        <f ca="1">IFERROR(__xludf.DUMMYFUNCTION("""COMPUTED_VALUE"""),10)</f>
        <v>10</v>
      </c>
      <c r="E651" s="2">
        <f ca="1">IFERROR(__xludf.DUMMYFUNCTION("""COMPUTED_VALUE"""),0)</f>
        <v>0</v>
      </c>
    </row>
    <row r="652" spans="1:5" ht="12.75">
      <c r="A652" s="2" t="str">
        <f ca="1">IFERROR(__xludf.DUMMYFUNCTION("""COMPUTED_VALUE"""),"MAUSUPBOX")</f>
        <v>MAUSUPBOX</v>
      </c>
      <c r="B652" s="2">
        <f ca="1">IFERROR(__xludf.DUMMYFUNCTION("""COMPUTED_VALUE"""),275)</f>
        <v>275</v>
      </c>
      <c r="C652" s="2">
        <f ca="1">IFERROR(__xludf.DUMMYFUNCTION("""COMPUTED_VALUE"""),275)</f>
        <v>275</v>
      </c>
      <c r="D652" s="2">
        <f ca="1">IFERROR(__xludf.DUMMYFUNCTION("""COMPUTED_VALUE"""),275)</f>
        <v>275</v>
      </c>
      <c r="E652" s="2">
        <f ca="1">IFERROR(__xludf.DUMMYFUNCTION("""COMPUTED_VALUE"""),0)</f>
        <v>0</v>
      </c>
    </row>
    <row r="653" spans="1:5" ht="12.75">
      <c r="A653" s="2" t="str">
        <f ca="1">IFERROR(__xludf.DUMMYFUNCTION("""COMPUTED_VALUE"""),"MAUTAED10")</f>
        <v>MAUTAED10</v>
      </c>
      <c r="B653" s="2">
        <f ca="1">IFERROR(__xludf.DUMMYFUNCTION("""COMPUTED_VALUE"""),31)</f>
        <v>31</v>
      </c>
      <c r="C653" s="2">
        <f ca="1">IFERROR(__xludf.DUMMYFUNCTION("""COMPUTED_VALUE"""),31)</f>
        <v>31</v>
      </c>
      <c r="D653" s="2">
        <f ca="1">IFERROR(__xludf.DUMMYFUNCTION("""COMPUTED_VALUE"""),31)</f>
        <v>31</v>
      </c>
      <c r="E653" s="2">
        <f ca="1">IFERROR(__xludf.DUMMYFUNCTION("""COMPUTED_VALUE"""),0)</f>
        <v>0</v>
      </c>
    </row>
    <row r="654" spans="1:5" ht="12.75">
      <c r="A654" s="2" t="str">
        <f ca="1">IFERROR(__xludf.DUMMYFUNCTION("""COMPUTED_VALUE"""),"MAUTAED10D")</f>
        <v>MAUTAED10D</v>
      </c>
      <c r="B654" s="2">
        <f ca="1">IFERROR(__xludf.DUMMYFUNCTION("""COMPUTED_VALUE"""),44)</f>
        <v>44</v>
      </c>
      <c r="C654" s="2">
        <f ca="1">IFERROR(__xludf.DUMMYFUNCTION("""COMPUTED_VALUE"""),44)</f>
        <v>44</v>
      </c>
      <c r="D654" s="2">
        <f ca="1">IFERROR(__xludf.DUMMYFUNCTION("""COMPUTED_VALUE"""),44)</f>
        <v>44</v>
      </c>
      <c r="E654" s="2">
        <f ca="1">IFERROR(__xludf.DUMMYFUNCTION("""COMPUTED_VALUE"""),0)</f>
        <v>0</v>
      </c>
    </row>
    <row r="655" spans="1:5" ht="12.75">
      <c r="A655" s="2" t="str">
        <f ca="1">IFERROR(__xludf.DUMMYFUNCTION("""COMPUTED_VALUE"""),"MAUTAED13")</f>
        <v>MAUTAED13</v>
      </c>
      <c r="B655" s="2">
        <f ca="1">IFERROR(__xludf.DUMMYFUNCTION("""COMPUTED_VALUE"""),46)</f>
        <v>46</v>
      </c>
      <c r="C655" s="2">
        <f ca="1">IFERROR(__xludf.DUMMYFUNCTION("""COMPUTED_VALUE"""),46)</f>
        <v>46</v>
      </c>
      <c r="D655" s="2">
        <f ca="1">IFERROR(__xludf.DUMMYFUNCTION("""COMPUTED_VALUE"""),46)</f>
        <v>46</v>
      </c>
      <c r="E655" s="2">
        <f ca="1">IFERROR(__xludf.DUMMYFUNCTION("""COMPUTED_VALUE"""),0)</f>
        <v>0</v>
      </c>
    </row>
    <row r="656" spans="1:5" ht="12.75">
      <c r="A656" s="2" t="str">
        <f ca="1">IFERROR(__xludf.DUMMYFUNCTION("""COMPUTED_VALUE"""),"MAUTAED13D")</f>
        <v>MAUTAED13D</v>
      </c>
      <c r="B656" s="2">
        <f ca="1">IFERROR(__xludf.DUMMYFUNCTION("""COMPUTED_VALUE"""),30)</f>
        <v>30</v>
      </c>
      <c r="C656" s="2">
        <f ca="1">IFERROR(__xludf.DUMMYFUNCTION("""COMPUTED_VALUE"""),30)</f>
        <v>30</v>
      </c>
      <c r="D656" s="2">
        <f ca="1">IFERROR(__xludf.DUMMYFUNCTION("""COMPUTED_VALUE"""),30)</f>
        <v>30</v>
      </c>
      <c r="E656" s="2">
        <f ca="1">IFERROR(__xludf.DUMMYFUNCTION("""COMPUTED_VALUE"""),0)</f>
        <v>0</v>
      </c>
    </row>
    <row r="657" spans="1:5" ht="12.75">
      <c r="A657" s="2" t="str">
        <f ca="1">IFERROR(__xludf.DUMMYFUNCTION("""COMPUTED_VALUE"""),"MAUTAED16")</f>
        <v>MAUTAED16</v>
      </c>
      <c r="B657" s="2">
        <f ca="1">IFERROR(__xludf.DUMMYFUNCTION("""COMPUTED_VALUE"""),100)</f>
        <v>100</v>
      </c>
      <c r="C657" s="2">
        <f ca="1">IFERROR(__xludf.DUMMYFUNCTION("""COMPUTED_VALUE"""),100)</f>
        <v>100</v>
      </c>
      <c r="D657" s="2">
        <f ca="1">IFERROR(__xludf.DUMMYFUNCTION("""COMPUTED_VALUE"""),100)</f>
        <v>100</v>
      </c>
      <c r="E657" s="2">
        <f ca="1">IFERROR(__xludf.DUMMYFUNCTION("""COMPUTED_VALUE"""),0)</f>
        <v>0</v>
      </c>
    </row>
    <row r="658" spans="1:5" ht="12.75">
      <c r="A658" s="2" t="str">
        <f ca="1">IFERROR(__xludf.DUMMYFUNCTION("""COMPUTED_VALUE"""),"MAUTAED16B")</f>
        <v>MAUTAED16B</v>
      </c>
      <c r="B658" s="2">
        <f ca="1">IFERROR(__xludf.DUMMYFUNCTION("""COMPUTED_VALUE"""),60)</f>
        <v>60</v>
      </c>
      <c r="C658" s="2">
        <f ca="1">IFERROR(__xludf.DUMMYFUNCTION("""COMPUTED_VALUE"""),60)</f>
        <v>60</v>
      </c>
      <c r="D658" s="2">
        <f ca="1">IFERROR(__xludf.DUMMYFUNCTION("""COMPUTED_VALUE"""),60)</f>
        <v>60</v>
      </c>
      <c r="E658" s="2">
        <f ca="1">IFERROR(__xludf.DUMMYFUNCTION("""COMPUTED_VALUE"""),0)</f>
        <v>0</v>
      </c>
    </row>
    <row r="659" spans="1:5" ht="12.75">
      <c r="A659" s="2" t="str">
        <f ca="1">IFERROR(__xludf.DUMMYFUNCTION("""COMPUTED_VALUE"""),"MAUTAED16BD")</f>
        <v>MAUTAED16BD</v>
      </c>
      <c r="B659" s="2">
        <f ca="1">IFERROR(__xludf.DUMMYFUNCTION("""COMPUTED_VALUE"""),10)</f>
        <v>10</v>
      </c>
      <c r="C659" s="2">
        <f ca="1">IFERROR(__xludf.DUMMYFUNCTION("""COMPUTED_VALUE"""),10)</f>
        <v>10</v>
      </c>
      <c r="D659" s="2">
        <f ca="1">IFERROR(__xludf.DUMMYFUNCTION("""COMPUTED_VALUE"""),10)</f>
        <v>10</v>
      </c>
      <c r="E659" s="2">
        <f ca="1">IFERROR(__xludf.DUMMYFUNCTION("""COMPUTED_VALUE"""),0)</f>
        <v>0</v>
      </c>
    </row>
    <row r="660" spans="1:5" ht="12.75">
      <c r="A660" s="2" t="str">
        <f ca="1">IFERROR(__xludf.DUMMYFUNCTION("""COMPUTED_VALUE"""),"MAUTAED16C0D")</f>
        <v>MAUTAED16C0D</v>
      </c>
      <c r="B660" s="2">
        <f ca="1">IFERROR(__xludf.DUMMYFUNCTION("""COMPUTED_VALUE"""),21)</f>
        <v>21</v>
      </c>
      <c r="C660" s="2">
        <f ca="1">IFERROR(__xludf.DUMMYFUNCTION("""COMPUTED_VALUE"""),21)</f>
        <v>21</v>
      </c>
      <c r="D660" s="2">
        <f ca="1">IFERROR(__xludf.DUMMYFUNCTION("""COMPUTED_VALUE"""),21)</f>
        <v>21</v>
      </c>
      <c r="E660" s="2">
        <f ca="1">IFERROR(__xludf.DUMMYFUNCTION("""COMPUTED_VALUE"""),0)</f>
        <v>0</v>
      </c>
    </row>
    <row r="661" spans="1:5" ht="12.75">
      <c r="A661" s="2" t="str">
        <f ca="1">IFERROR(__xludf.DUMMYFUNCTION("""COMPUTED_VALUE"""),"MAUTAED16D")</f>
        <v>MAUTAED16D</v>
      </c>
      <c r="B661" s="2">
        <f ca="1">IFERROR(__xludf.DUMMYFUNCTION("""COMPUTED_VALUE"""),79)</f>
        <v>79</v>
      </c>
      <c r="C661" s="2">
        <f ca="1">IFERROR(__xludf.DUMMYFUNCTION("""COMPUTED_VALUE"""),79)</f>
        <v>79</v>
      </c>
      <c r="D661" s="2">
        <f ca="1">IFERROR(__xludf.DUMMYFUNCTION("""COMPUTED_VALUE"""),79)</f>
        <v>79</v>
      </c>
      <c r="E661" s="2">
        <f ca="1">IFERROR(__xludf.DUMMYFUNCTION("""COMPUTED_VALUE"""),0)</f>
        <v>0</v>
      </c>
    </row>
    <row r="662" spans="1:5" ht="12.75">
      <c r="A662" s="2" t="str">
        <f ca="1">IFERROR(__xludf.DUMMYFUNCTION("""COMPUTED_VALUE"""),"MAUTAED19")</f>
        <v>MAUTAED19</v>
      </c>
      <c r="B662" s="2">
        <f ca="1">IFERROR(__xludf.DUMMYFUNCTION("""COMPUTED_VALUE"""),118)</f>
        <v>118</v>
      </c>
      <c r="C662" s="2">
        <f ca="1">IFERROR(__xludf.DUMMYFUNCTION("""COMPUTED_VALUE"""),118)</f>
        <v>118</v>
      </c>
      <c r="D662" s="2">
        <f ca="1">IFERROR(__xludf.DUMMYFUNCTION("""COMPUTED_VALUE"""),118)</f>
        <v>118</v>
      </c>
      <c r="E662" s="2">
        <f ca="1">IFERROR(__xludf.DUMMYFUNCTION("""COMPUTED_VALUE"""),0)</f>
        <v>0</v>
      </c>
    </row>
    <row r="663" spans="1:5" ht="12.75">
      <c r="A663" s="2" t="str">
        <f ca="1">IFERROR(__xludf.DUMMYFUNCTION("""COMPUTED_VALUE"""),"MAUTAED19B")</f>
        <v>MAUTAED19B</v>
      </c>
      <c r="B663" s="2">
        <f ca="1">IFERROR(__xludf.DUMMYFUNCTION("""COMPUTED_VALUE"""),80)</f>
        <v>80</v>
      </c>
      <c r="C663" s="2">
        <f ca="1">IFERROR(__xludf.DUMMYFUNCTION("""COMPUTED_VALUE"""),80)</f>
        <v>80</v>
      </c>
      <c r="D663" s="2">
        <f ca="1">IFERROR(__xludf.DUMMYFUNCTION("""COMPUTED_VALUE"""),80)</f>
        <v>80</v>
      </c>
      <c r="E663" s="2">
        <f ca="1">IFERROR(__xludf.DUMMYFUNCTION("""COMPUTED_VALUE"""),0)</f>
        <v>0</v>
      </c>
    </row>
    <row r="664" spans="1:5" ht="12.75">
      <c r="A664" s="2" t="str">
        <f ca="1">IFERROR(__xludf.DUMMYFUNCTION("""COMPUTED_VALUE"""),"MAUTAED19BD")</f>
        <v>MAUTAED19BD</v>
      </c>
      <c r="B664" s="2">
        <f ca="1">IFERROR(__xludf.DUMMYFUNCTION("""COMPUTED_VALUE"""),30)</f>
        <v>30</v>
      </c>
      <c r="C664" s="2">
        <f ca="1">IFERROR(__xludf.DUMMYFUNCTION("""COMPUTED_VALUE"""),30)</f>
        <v>30</v>
      </c>
      <c r="D664" s="2">
        <f ca="1">IFERROR(__xludf.DUMMYFUNCTION("""COMPUTED_VALUE"""),30)</f>
        <v>30</v>
      </c>
      <c r="E664" s="2">
        <f ca="1">IFERROR(__xludf.DUMMYFUNCTION("""COMPUTED_VALUE"""),0)</f>
        <v>0</v>
      </c>
    </row>
    <row r="665" spans="1:5" ht="12.75">
      <c r="A665" s="2" t="str">
        <f ca="1">IFERROR(__xludf.DUMMYFUNCTION("""COMPUTED_VALUE"""),"MAUTAED19D")</f>
        <v>MAUTAED19D</v>
      </c>
      <c r="B665" s="2">
        <f ca="1">IFERROR(__xludf.DUMMYFUNCTION("""COMPUTED_VALUE"""),94)</f>
        <v>94</v>
      </c>
      <c r="C665" s="2">
        <f ca="1">IFERROR(__xludf.DUMMYFUNCTION("""COMPUTED_VALUE"""),94)</f>
        <v>94</v>
      </c>
      <c r="D665" s="2">
        <f ca="1">IFERROR(__xludf.DUMMYFUNCTION("""COMPUTED_VALUE"""),94)</f>
        <v>94</v>
      </c>
      <c r="E665" s="2">
        <f ca="1">IFERROR(__xludf.DUMMYFUNCTION("""COMPUTED_VALUE"""),0)</f>
        <v>0</v>
      </c>
    </row>
    <row r="666" spans="1:5" ht="12.75">
      <c r="A666" s="2" t="str">
        <f ca="1">IFERROR(__xludf.DUMMYFUNCTION("""COMPUTED_VALUE"""),"MAUTAED25")</f>
        <v>MAUTAED25</v>
      </c>
      <c r="B666" s="2">
        <f ca="1">IFERROR(__xludf.DUMMYFUNCTION("""COMPUTED_VALUE"""),79)</f>
        <v>79</v>
      </c>
      <c r="C666" s="2">
        <f ca="1">IFERROR(__xludf.DUMMYFUNCTION("""COMPUTED_VALUE"""),79)</f>
        <v>79</v>
      </c>
      <c r="D666" s="2">
        <f ca="1">IFERROR(__xludf.DUMMYFUNCTION("""COMPUTED_VALUE"""),79)</f>
        <v>79</v>
      </c>
      <c r="E666" s="2">
        <f ca="1">IFERROR(__xludf.DUMMYFUNCTION("""COMPUTED_VALUE"""),0)</f>
        <v>0</v>
      </c>
    </row>
    <row r="667" spans="1:5" ht="12.75">
      <c r="A667" s="2" t="str">
        <f ca="1">IFERROR(__xludf.DUMMYFUNCTION("""COMPUTED_VALUE"""),"MAUTAED25B")</f>
        <v>MAUTAED25B</v>
      </c>
      <c r="B667" s="2">
        <f ca="1">IFERROR(__xludf.DUMMYFUNCTION("""COMPUTED_VALUE"""),78)</f>
        <v>78</v>
      </c>
      <c r="C667" s="2">
        <f ca="1">IFERROR(__xludf.DUMMYFUNCTION("""COMPUTED_VALUE"""),78)</f>
        <v>78</v>
      </c>
      <c r="D667" s="2">
        <f ca="1">IFERROR(__xludf.DUMMYFUNCTION("""COMPUTED_VALUE"""),78)</f>
        <v>78</v>
      </c>
      <c r="E667" s="2">
        <f ca="1">IFERROR(__xludf.DUMMYFUNCTION("""COMPUTED_VALUE"""),0)</f>
        <v>0</v>
      </c>
    </row>
    <row r="668" spans="1:5" ht="12.75">
      <c r="A668" s="2" t="str">
        <f ca="1">IFERROR(__xludf.DUMMYFUNCTION("""COMPUTED_VALUE"""),"MAUTAED25BD")</f>
        <v>MAUTAED25BD</v>
      </c>
      <c r="B668" s="2">
        <f ca="1">IFERROR(__xludf.DUMMYFUNCTION("""COMPUTED_VALUE"""),22)</f>
        <v>22</v>
      </c>
      <c r="C668" s="2">
        <f ca="1">IFERROR(__xludf.DUMMYFUNCTION("""COMPUTED_VALUE"""),22)</f>
        <v>22</v>
      </c>
      <c r="D668" s="2">
        <f ca="1">IFERROR(__xludf.DUMMYFUNCTION("""COMPUTED_VALUE"""),22)</f>
        <v>22</v>
      </c>
      <c r="E668" s="2">
        <f ca="1">IFERROR(__xludf.DUMMYFUNCTION("""COMPUTED_VALUE"""),0)</f>
        <v>0</v>
      </c>
    </row>
    <row r="669" spans="1:5" ht="12.75">
      <c r="A669" s="2" t="str">
        <f ca="1">IFERROR(__xludf.DUMMYFUNCTION("""COMPUTED_VALUE"""),"MAUTAED25D")</f>
        <v>MAUTAED25D</v>
      </c>
      <c r="B669" s="2">
        <f ca="1">IFERROR(__xludf.DUMMYFUNCTION("""COMPUTED_VALUE"""),104)</f>
        <v>104</v>
      </c>
      <c r="C669" s="2">
        <f ca="1">IFERROR(__xludf.DUMMYFUNCTION("""COMPUTED_VALUE"""),104)</f>
        <v>104</v>
      </c>
      <c r="D669" s="2">
        <f ca="1">IFERROR(__xludf.DUMMYFUNCTION("""COMPUTED_VALUE"""),104)</f>
        <v>104</v>
      </c>
      <c r="E669" s="2">
        <f ca="1">IFERROR(__xludf.DUMMYFUNCTION("""COMPUTED_VALUE"""),0)</f>
        <v>0</v>
      </c>
    </row>
    <row r="670" spans="1:5" ht="12.75">
      <c r="A670" s="2" t="str">
        <f ca="1">IFERROR(__xludf.DUMMYFUNCTION("""COMPUTED_VALUE"""),"MAUTAED32")</f>
        <v>MAUTAED32</v>
      </c>
      <c r="B670" s="2">
        <f ca="1">IFERROR(__xludf.DUMMYFUNCTION("""COMPUTED_VALUE"""),19)</f>
        <v>19</v>
      </c>
      <c r="C670" s="2">
        <f ca="1">IFERROR(__xludf.DUMMYFUNCTION("""COMPUTED_VALUE"""),19)</f>
        <v>19</v>
      </c>
      <c r="D670" s="2">
        <f ca="1">IFERROR(__xludf.DUMMYFUNCTION("""COMPUTED_VALUE"""),19)</f>
        <v>19</v>
      </c>
      <c r="E670" s="2">
        <f ca="1">IFERROR(__xludf.DUMMYFUNCTION("""COMPUTED_VALUE"""),0)</f>
        <v>0</v>
      </c>
    </row>
    <row r="671" spans="1:5" ht="12.75">
      <c r="A671" s="2" t="str">
        <f ca="1">IFERROR(__xludf.DUMMYFUNCTION("""COMPUTED_VALUE"""),"MAUTAED32B")</f>
        <v>MAUTAED32B</v>
      </c>
      <c r="B671" s="2">
        <f ca="1">IFERROR(__xludf.DUMMYFUNCTION("""COMPUTED_VALUE"""),38)</f>
        <v>38</v>
      </c>
      <c r="C671" s="2">
        <f ca="1">IFERROR(__xludf.DUMMYFUNCTION("""COMPUTED_VALUE"""),38)</f>
        <v>38</v>
      </c>
      <c r="D671" s="2">
        <f ca="1">IFERROR(__xludf.DUMMYFUNCTION("""COMPUTED_VALUE"""),38)</f>
        <v>38</v>
      </c>
      <c r="E671" s="2">
        <f ca="1">IFERROR(__xludf.DUMMYFUNCTION("""COMPUTED_VALUE"""),0)</f>
        <v>0</v>
      </c>
    </row>
    <row r="672" spans="1:5" ht="12.75">
      <c r="A672" s="2" t="str">
        <f ca="1">IFERROR(__xludf.DUMMYFUNCTION("""COMPUTED_VALUE"""),"MAUTAED32D")</f>
        <v>MAUTAED32D</v>
      </c>
      <c r="B672" s="2">
        <f ca="1">IFERROR(__xludf.DUMMYFUNCTION("""COMPUTED_VALUE"""),26)</f>
        <v>26</v>
      </c>
      <c r="C672" s="2">
        <f ca="1">IFERROR(__xludf.DUMMYFUNCTION("""COMPUTED_VALUE"""),26)</f>
        <v>26</v>
      </c>
      <c r="D672" s="2">
        <f ca="1">IFERROR(__xludf.DUMMYFUNCTION("""COMPUTED_VALUE"""),26)</f>
        <v>26</v>
      </c>
      <c r="E672" s="2">
        <f ca="1">IFERROR(__xludf.DUMMYFUNCTION("""COMPUTED_VALUE"""),0)</f>
        <v>0</v>
      </c>
    </row>
    <row r="673" spans="1:5" ht="12.75">
      <c r="A673" s="2" t="str">
        <f ca="1">IFERROR(__xludf.DUMMYFUNCTION("""COMPUTED_VALUE"""),"MAUTAED38")</f>
        <v>MAUTAED38</v>
      </c>
      <c r="B673" s="2">
        <f ca="1">IFERROR(__xludf.DUMMYFUNCTION("""COMPUTED_VALUE"""),26)</f>
        <v>26</v>
      </c>
      <c r="C673" s="2">
        <f ca="1">IFERROR(__xludf.DUMMYFUNCTION("""COMPUTED_VALUE"""),26)</f>
        <v>26</v>
      </c>
      <c r="D673" s="2">
        <f ca="1">IFERROR(__xludf.DUMMYFUNCTION("""COMPUTED_VALUE"""),26)</f>
        <v>26</v>
      </c>
      <c r="E673" s="2">
        <f ca="1">IFERROR(__xludf.DUMMYFUNCTION("""COMPUTED_VALUE"""),0)</f>
        <v>0</v>
      </c>
    </row>
    <row r="674" spans="1:5" ht="12.75">
      <c r="A674" s="2" t="str">
        <f ca="1">IFERROR(__xludf.DUMMYFUNCTION("""COMPUTED_VALUE"""),"MAUTAED38D")</f>
        <v>MAUTAED38D</v>
      </c>
      <c r="B674" s="2">
        <f ca="1">IFERROR(__xludf.DUMMYFUNCTION("""COMPUTED_VALUE"""),30)</f>
        <v>30</v>
      </c>
      <c r="C674" s="2">
        <f ca="1">IFERROR(__xludf.DUMMYFUNCTION("""COMPUTED_VALUE"""),30)</f>
        <v>30</v>
      </c>
      <c r="D674" s="2">
        <f ca="1">IFERROR(__xludf.DUMMYFUNCTION("""COMPUTED_VALUE"""),30)</f>
        <v>30</v>
      </c>
      <c r="E674" s="2">
        <f ca="1">IFERROR(__xludf.DUMMYFUNCTION("""COMPUTED_VALUE"""),0)</f>
        <v>0</v>
      </c>
    </row>
    <row r="675" spans="1:5" ht="12.75">
      <c r="A675" s="2" t="str">
        <f ca="1">IFERROR(__xludf.DUMMYFUNCTION("""COMPUTED_VALUE"""),"MAUTAED50")</f>
        <v>MAUTAED50</v>
      </c>
      <c r="B675" s="2">
        <f ca="1">IFERROR(__xludf.DUMMYFUNCTION("""COMPUTED_VALUE"""),26)</f>
        <v>26</v>
      </c>
      <c r="C675" s="2">
        <f ca="1">IFERROR(__xludf.DUMMYFUNCTION("""COMPUTED_VALUE"""),26)</f>
        <v>26</v>
      </c>
      <c r="D675" s="2">
        <f ca="1">IFERROR(__xludf.DUMMYFUNCTION("""COMPUTED_VALUE"""),26)</f>
        <v>26</v>
      </c>
      <c r="E675" s="2">
        <f ca="1">IFERROR(__xludf.DUMMYFUNCTION("""COMPUTED_VALUE"""),0)</f>
        <v>0</v>
      </c>
    </row>
    <row r="676" spans="1:5" ht="12.75">
      <c r="A676" s="2" t="str">
        <f ca="1">IFERROR(__xludf.DUMMYFUNCTION("""COMPUTED_VALUE"""),"MAUTAED50B")</f>
        <v>MAUTAED50B</v>
      </c>
      <c r="B676" s="2">
        <f ca="1">IFERROR(__xludf.DUMMYFUNCTION("""COMPUTED_VALUE"""),21)</f>
        <v>21</v>
      </c>
      <c r="C676" s="2">
        <f ca="1">IFERROR(__xludf.DUMMYFUNCTION("""COMPUTED_VALUE"""),21)</f>
        <v>21</v>
      </c>
      <c r="D676" s="2">
        <f ca="1">IFERROR(__xludf.DUMMYFUNCTION("""COMPUTED_VALUE"""),21)</f>
        <v>21</v>
      </c>
      <c r="E676" s="2">
        <f ca="1">IFERROR(__xludf.DUMMYFUNCTION("""COMPUTED_VALUE"""),0)</f>
        <v>0</v>
      </c>
    </row>
    <row r="677" spans="1:5" ht="12.75">
      <c r="A677" s="2" t="str">
        <f ca="1">IFERROR(__xludf.DUMMYFUNCTION("""COMPUTED_VALUE"""),"MAUTAED50C0BD")</f>
        <v>MAUTAED50C0BD</v>
      </c>
      <c r="B677" s="2">
        <f ca="1">IFERROR(__xludf.DUMMYFUNCTION("""COMPUTED_VALUE"""),18)</f>
        <v>18</v>
      </c>
      <c r="C677" s="2">
        <f ca="1">IFERROR(__xludf.DUMMYFUNCTION("""COMPUTED_VALUE"""),18)</f>
        <v>18</v>
      </c>
      <c r="D677" s="2">
        <f ca="1">IFERROR(__xludf.DUMMYFUNCTION("""COMPUTED_VALUE"""),18)</f>
        <v>18</v>
      </c>
      <c r="E677" s="2">
        <f ca="1">IFERROR(__xludf.DUMMYFUNCTION("""COMPUTED_VALUE"""),0)</f>
        <v>0</v>
      </c>
    </row>
    <row r="678" spans="1:5" ht="12.75">
      <c r="A678" s="2" t="str">
        <f ca="1">IFERROR(__xludf.DUMMYFUNCTION("""COMPUTED_VALUE"""),"MAUTAED50D")</f>
        <v>MAUTAED50D</v>
      </c>
      <c r="B678" s="2">
        <f ca="1">IFERROR(__xludf.DUMMYFUNCTION("""COMPUTED_VALUE"""),38)</f>
        <v>38</v>
      </c>
      <c r="C678" s="2">
        <f ca="1">IFERROR(__xludf.DUMMYFUNCTION("""COMPUTED_VALUE"""),38)</f>
        <v>38</v>
      </c>
      <c r="D678" s="2">
        <f ca="1">IFERROR(__xludf.DUMMYFUNCTION("""COMPUTED_VALUE"""),38)</f>
        <v>38</v>
      </c>
      <c r="E678" s="2">
        <f ca="1">IFERROR(__xludf.DUMMYFUNCTION("""COMPUTED_VALUE"""),0)</f>
        <v>0</v>
      </c>
    </row>
    <row r="679" spans="1:5" ht="12.75">
      <c r="A679" s="2" t="str">
        <f ca="1">IFERROR(__xludf.DUMMYFUNCTION("""COMPUTED_VALUE"""),"MAUTAFRVD13")</f>
        <v>MAUTAFRVD13</v>
      </c>
      <c r="B679" s="2">
        <f ca="1">IFERROR(__xludf.DUMMYFUNCTION("""COMPUTED_VALUE"""),10)</f>
        <v>10</v>
      </c>
      <c r="C679" s="2">
        <f ca="1">IFERROR(__xludf.DUMMYFUNCTION("""COMPUTED_VALUE"""),10)</f>
        <v>10</v>
      </c>
      <c r="D679" s="2">
        <f ca="1">IFERROR(__xludf.DUMMYFUNCTION("""COMPUTED_VALUE"""),10)</f>
        <v>10</v>
      </c>
      <c r="E679" s="2">
        <f ca="1">IFERROR(__xludf.DUMMYFUNCTION("""COMPUTED_VALUE"""),0)</f>
        <v>0</v>
      </c>
    </row>
    <row r="680" spans="1:5" ht="12.75">
      <c r="A680" s="2" t="str">
        <f ca="1">IFERROR(__xludf.DUMMYFUNCTION("""COMPUTED_VALUE"""),"MAUTAFRVD16")</f>
        <v>MAUTAFRVD16</v>
      </c>
      <c r="B680" s="2">
        <f ca="1">IFERROR(__xludf.DUMMYFUNCTION("""COMPUTED_VALUE"""),10)</f>
        <v>10</v>
      </c>
      <c r="C680" s="2">
        <f ca="1">IFERROR(__xludf.DUMMYFUNCTION("""COMPUTED_VALUE"""),10)</f>
        <v>10</v>
      </c>
      <c r="D680" s="2">
        <f ca="1">IFERROR(__xludf.DUMMYFUNCTION("""COMPUTED_VALUE"""),10)</f>
        <v>10</v>
      </c>
      <c r="E680" s="2">
        <f ca="1">IFERROR(__xludf.DUMMYFUNCTION("""COMPUTED_VALUE"""),0)</f>
        <v>0</v>
      </c>
    </row>
    <row r="681" spans="1:5" ht="12.75">
      <c r="A681" s="2" t="str">
        <f ca="1">IFERROR(__xludf.DUMMYFUNCTION("""COMPUTED_VALUE"""),"MAUTAFRVD19B")</f>
        <v>MAUTAFRVD19B</v>
      </c>
      <c r="B681" s="2">
        <f ca="1">IFERROR(__xludf.DUMMYFUNCTION("""COMPUTED_VALUE"""),15)</f>
        <v>15</v>
      </c>
      <c r="C681" s="2">
        <f ca="1">IFERROR(__xludf.DUMMYFUNCTION("""COMPUTED_VALUE"""),15)</f>
        <v>15</v>
      </c>
      <c r="D681" s="2">
        <f ca="1">IFERROR(__xludf.DUMMYFUNCTION("""COMPUTED_VALUE"""),15)</f>
        <v>15</v>
      </c>
      <c r="E681" s="2">
        <f ca="1">IFERROR(__xludf.DUMMYFUNCTION("""COMPUTED_VALUE"""),0)</f>
        <v>0</v>
      </c>
    </row>
    <row r="682" spans="1:5" ht="12.75">
      <c r="A682" s="2" t="str">
        <f ca="1">IFERROR(__xludf.DUMMYFUNCTION("""COMPUTED_VALUE"""),"MAUTAFRVD19D")</f>
        <v>MAUTAFRVD19D</v>
      </c>
      <c r="B682" s="2">
        <f ca="1">IFERROR(__xludf.DUMMYFUNCTION("""COMPUTED_VALUE"""),7)</f>
        <v>7</v>
      </c>
      <c r="C682" s="2">
        <f ca="1">IFERROR(__xludf.DUMMYFUNCTION("""COMPUTED_VALUE"""),7)</f>
        <v>7</v>
      </c>
      <c r="D682" s="2">
        <f ca="1">IFERROR(__xludf.DUMMYFUNCTION("""COMPUTED_VALUE"""),7)</f>
        <v>7</v>
      </c>
      <c r="E682" s="2">
        <f ca="1">IFERROR(__xludf.DUMMYFUNCTION("""COMPUTED_VALUE"""),0)</f>
        <v>0</v>
      </c>
    </row>
    <row r="683" spans="1:5" ht="12.75">
      <c r="A683" s="2" t="str">
        <f ca="1">IFERROR(__xludf.DUMMYFUNCTION("""COMPUTED_VALUE"""),"MAUTAFRVD25")</f>
        <v>MAUTAFRVD25</v>
      </c>
      <c r="B683" s="2">
        <f ca="1">IFERROR(__xludf.DUMMYFUNCTION("""COMPUTED_VALUE"""),10)</f>
        <v>10</v>
      </c>
      <c r="C683" s="2">
        <f ca="1">IFERROR(__xludf.DUMMYFUNCTION("""COMPUTED_VALUE"""),10)</f>
        <v>10</v>
      </c>
      <c r="D683" s="2">
        <f ca="1">IFERROR(__xludf.DUMMYFUNCTION("""COMPUTED_VALUE"""),10)</f>
        <v>10</v>
      </c>
      <c r="E683" s="2">
        <f ca="1">IFERROR(__xludf.DUMMYFUNCTION("""COMPUTED_VALUE"""),0)</f>
        <v>0</v>
      </c>
    </row>
    <row r="684" spans="1:5" ht="12.75">
      <c r="A684" s="2" t="str">
        <f ca="1">IFERROR(__xludf.DUMMYFUNCTION("""COMPUTED_VALUE"""),"MAUTAFRVD25D")</f>
        <v>MAUTAFRVD25D</v>
      </c>
      <c r="B684" s="2">
        <f ca="1">IFERROR(__xludf.DUMMYFUNCTION("""COMPUTED_VALUE"""),17)</f>
        <v>17</v>
      </c>
      <c r="C684" s="2">
        <f ca="1">IFERROR(__xludf.DUMMYFUNCTION("""COMPUTED_VALUE"""),17)</f>
        <v>17</v>
      </c>
      <c r="D684" s="2">
        <f ca="1">IFERROR(__xludf.DUMMYFUNCTION("""COMPUTED_VALUE"""),17)</f>
        <v>17</v>
      </c>
      <c r="E684" s="2">
        <f ca="1">IFERROR(__xludf.DUMMYFUNCTION("""COMPUTED_VALUE"""),0)</f>
        <v>0</v>
      </c>
    </row>
    <row r="685" spans="1:5" ht="12.75">
      <c r="A685" s="2" t="str">
        <f ca="1">IFERROR(__xludf.DUMMYFUNCTION("""COMPUTED_VALUE"""),"MAUTAFRVD32")</f>
        <v>MAUTAFRVD32</v>
      </c>
      <c r="B685" s="2">
        <f ca="1">IFERROR(__xludf.DUMMYFUNCTION("""COMPUTED_VALUE"""),10)</f>
        <v>10</v>
      </c>
      <c r="C685" s="2">
        <f ca="1">IFERROR(__xludf.DUMMYFUNCTION("""COMPUTED_VALUE"""),10)</f>
        <v>10</v>
      </c>
      <c r="D685" s="2">
        <f ca="1">IFERROR(__xludf.DUMMYFUNCTION("""COMPUTED_VALUE"""),10)</f>
        <v>10</v>
      </c>
      <c r="E685" s="2">
        <f ca="1">IFERROR(__xludf.DUMMYFUNCTION("""COMPUTED_VALUE"""),0)</f>
        <v>0</v>
      </c>
    </row>
    <row r="686" spans="1:5" ht="12.75">
      <c r="A686" s="2" t="str">
        <f ca="1">IFERROR(__xludf.DUMMYFUNCTION("""COMPUTED_VALUE"""),"MAUTAFRVD38")</f>
        <v>MAUTAFRVD38</v>
      </c>
      <c r="B686" s="2">
        <f ca="1">IFERROR(__xludf.DUMMYFUNCTION("""COMPUTED_VALUE"""),10)</f>
        <v>10</v>
      </c>
      <c r="C686" s="2">
        <f ca="1">IFERROR(__xludf.DUMMYFUNCTION("""COMPUTED_VALUE"""),10)</f>
        <v>10</v>
      </c>
      <c r="D686" s="2">
        <f ca="1">IFERROR(__xludf.DUMMYFUNCTION("""COMPUTED_VALUE"""),10)</f>
        <v>10</v>
      </c>
      <c r="E686" s="2">
        <f ca="1">IFERROR(__xludf.DUMMYFUNCTION("""COMPUTED_VALUE"""),0)</f>
        <v>0</v>
      </c>
    </row>
    <row r="687" spans="1:5" ht="12.75">
      <c r="A687" s="2" t="str">
        <f ca="1">IFERROR(__xludf.DUMMYFUNCTION("""COMPUTED_VALUE"""),"MAUTAFRVD50")</f>
        <v>MAUTAFRVD50</v>
      </c>
      <c r="B687" s="2">
        <f ca="1">IFERROR(__xludf.DUMMYFUNCTION("""COMPUTED_VALUE"""),5)</f>
        <v>5</v>
      </c>
      <c r="C687" s="2">
        <f ca="1">IFERROR(__xludf.DUMMYFUNCTION("""COMPUTED_VALUE"""),5)</f>
        <v>5</v>
      </c>
      <c r="D687" s="2">
        <f ca="1">IFERROR(__xludf.DUMMYFUNCTION("""COMPUTED_VALUE"""),5)</f>
        <v>5</v>
      </c>
      <c r="E687" s="2">
        <f ca="1">IFERROR(__xludf.DUMMYFUNCTION("""COMPUTED_VALUE"""),0)</f>
        <v>0</v>
      </c>
    </row>
    <row r="688" spans="1:5" ht="12.75">
      <c r="A688" s="2" t="str">
        <f ca="1">IFERROR(__xludf.DUMMYFUNCTION("""COMPUTED_VALUE"""),"MAUTAMCD50")</f>
        <v>MAUTAMCD50</v>
      </c>
      <c r="B688" s="2">
        <f ca="1">IFERROR(__xludf.DUMMYFUNCTION("""COMPUTED_VALUE"""),41)</f>
        <v>41</v>
      </c>
      <c r="C688" s="2">
        <f ca="1">IFERROR(__xludf.DUMMYFUNCTION("""COMPUTED_VALUE"""),41)</f>
        <v>41</v>
      </c>
      <c r="D688" s="2">
        <f ca="1">IFERROR(__xludf.DUMMYFUNCTION("""COMPUTED_VALUE"""),41)</f>
        <v>41</v>
      </c>
      <c r="E688" s="2">
        <f ca="1">IFERROR(__xludf.DUMMYFUNCTION("""COMPUTED_VALUE"""),0)</f>
        <v>0</v>
      </c>
    </row>
    <row r="689" spans="1:5" ht="12.75">
      <c r="A689" s="2" t="str">
        <f ca="1">IFERROR(__xludf.DUMMYFUNCTION("""COMPUTED_VALUE"""),"MAUTASUD13122914")</f>
        <v>MAUTASUD13122914</v>
      </c>
      <c r="B689" s="2">
        <f ca="1">IFERROR(__xludf.DUMMYFUNCTION("""COMPUTED_VALUE"""),32)</f>
        <v>32</v>
      </c>
      <c r="C689" s="2">
        <f ca="1">IFERROR(__xludf.DUMMYFUNCTION("""COMPUTED_VALUE"""),32)</f>
        <v>32</v>
      </c>
      <c r="D689" s="2">
        <f ca="1">IFERROR(__xludf.DUMMYFUNCTION("""COMPUTED_VALUE"""),32)</f>
        <v>32</v>
      </c>
      <c r="E689" s="2">
        <f ca="1">IFERROR(__xludf.DUMMYFUNCTION("""COMPUTED_VALUE"""),0)</f>
        <v>0</v>
      </c>
    </row>
    <row r="690" spans="1:5" ht="12.75">
      <c r="A690" s="2" t="str">
        <f ca="1">IFERROR(__xludf.DUMMYFUNCTION("""COMPUTED_VALUE"""),"MAUTASUD13122914BD")</f>
        <v>MAUTASUD13122914BD</v>
      </c>
      <c r="B690" s="2">
        <f ca="1">IFERROR(__xludf.DUMMYFUNCTION("""COMPUTED_VALUE"""),9)</f>
        <v>9</v>
      </c>
      <c r="C690" s="2">
        <f ca="1">IFERROR(__xludf.DUMMYFUNCTION("""COMPUTED_VALUE"""),9)</f>
        <v>9</v>
      </c>
      <c r="D690" s="2">
        <f ca="1">IFERROR(__xludf.DUMMYFUNCTION("""COMPUTED_VALUE"""),9)</f>
        <v>9</v>
      </c>
      <c r="E690" s="2">
        <f ca="1">IFERROR(__xludf.DUMMYFUNCTION("""COMPUTED_VALUE"""),0)</f>
        <v>0</v>
      </c>
    </row>
    <row r="691" spans="1:5" ht="12.75">
      <c r="A691" s="2" t="str">
        <f ca="1">IFERROR(__xludf.DUMMYFUNCTION("""COMPUTED_VALUE"""),"MAUTASUD13122914D")</f>
        <v>MAUTASUD13122914D</v>
      </c>
      <c r="B691" s="2">
        <f ca="1">IFERROR(__xludf.DUMMYFUNCTION("""COMPUTED_VALUE"""),7)</f>
        <v>7</v>
      </c>
      <c r="C691" s="2">
        <f ca="1">IFERROR(__xludf.DUMMYFUNCTION("""COMPUTED_VALUE"""),7)</f>
        <v>7</v>
      </c>
      <c r="D691" s="2">
        <f ca="1">IFERROR(__xludf.DUMMYFUNCTION("""COMPUTED_VALUE"""),7)</f>
        <v>7</v>
      </c>
      <c r="E691" s="2">
        <f ca="1">IFERROR(__xludf.DUMMYFUNCTION("""COMPUTED_VALUE"""),0)</f>
        <v>0</v>
      </c>
    </row>
    <row r="692" spans="1:5" ht="12.75">
      <c r="A692" s="2" t="str">
        <f ca="1">IFERROR(__xludf.DUMMYFUNCTION("""COMPUTED_VALUE"""),"MAUTASUD16122914")</f>
        <v>MAUTASUD16122914</v>
      </c>
      <c r="B692" s="2">
        <f ca="1">IFERROR(__xludf.DUMMYFUNCTION("""COMPUTED_VALUE"""),26)</f>
        <v>26</v>
      </c>
      <c r="C692" s="2">
        <f ca="1">IFERROR(__xludf.DUMMYFUNCTION("""COMPUTED_VALUE"""),26)</f>
        <v>26</v>
      </c>
      <c r="D692" s="2">
        <f ca="1">IFERROR(__xludf.DUMMYFUNCTION("""COMPUTED_VALUE"""),26)</f>
        <v>26</v>
      </c>
      <c r="E692" s="2">
        <f ca="1">IFERROR(__xludf.DUMMYFUNCTION("""COMPUTED_VALUE"""),0)</f>
        <v>0</v>
      </c>
    </row>
    <row r="693" spans="1:5" ht="12.75">
      <c r="A693" s="2" t="str">
        <f ca="1">IFERROR(__xludf.DUMMYFUNCTION("""COMPUTED_VALUE"""),"MAUTASUD16122914D")</f>
        <v>MAUTASUD16122914D</v>
      </c>
      <c r="B693" s="2">
        <f ca="1">IFERROR(__xludf.DUMMYFUNCTION("""COMPUTED_VALUE"""),4)</f>
        <v>4</v>
      </c>
      <c r="C693" s="2">
        <f ca="1">IFERROR(__xludf.DUMMYFUNCTION("""COMPUTED_VALUE"""),4)</f>
        <v>4</v>
      </c>
      <c r="D693" s="2">
        <f ca="1">IFERROR(__xludf.DUMMYFUNCTION("""COMPUTED_VALUE"""),4)</f>
        <v>4</v>
      </c>
      <c r="E693" s="2">
        <f ca="1">IFERROR(__xludf.DUMMYFUNCTION("""COMPUTED_VALUE"""),0)</f>
        <v>0</v>
      </c>
    </row>
    <row r="694" spans="1:5" ht="12.75">
      <c r="A694" s="2" t="str">
        <f ca="1">IFERROR(__xludf.DUMMYFUNCTION("""COMPUTED_VALUE"""),"MAUTASUD19122914")</f>
        <v>MAUTASUD19122914</v>
      </c>
      <c r="B694" s="2">
        <f ca="1">IFERROR(__xludf.DUMMYFUNCTION("""COMPUTED_VALUE"""),4)</f>
        <v>4</v>
      </c>
      <c r="C694" s="2">
        <f ca="1">IFERROR(__xludf.DUMMYFUNCTION("""COMPUTED_VALUE"""),4)</f>
        <v>4</v>
      </c>
      <c r="D694" s="2">
        <f ca="1">IFERROR(__xludf.DUMMYFUNCTION("""COMPUTED_VALUE"""),4)</f>
        <v>4</v>
      </c>
      <c r="E694" s="2">
        <f ca="1">IFERROR(__xludf.DUMMYFUNCTION("""COMPUTED_VALUE"""),0)</f>
        <v>0</v>
      </c>
    </row>
    <row r="695" spans="1:5" ht="12.75">
      <c r="A695" s="2" t="str">
        <f ca="1">IFERROR(__xludf.DUMMYFUNCTION("""COMPUTED_VALUE"""),"MAUTASUD25122914")</f>
        <v>MAUTASUD25122914</v>
      </c>
      <c r="B695" s="2">
        <f ca="1">IFERROR(__xludf.DUMMYFUNCTION("""COMPUTED_VALUE"""),29)</f>
        <v>29</v>
      </c>
      <c r="C695" s="2">
        <f ca="1">IFERROR(__xludf.DUMMYFUNCTION("""COMPUTED_VALUE"""),29)</f>
        <v>29</v>
      </c>
      <c r="D695" s="2">
        <f ca="1">IFERROR(__xludf.DUMMYFUNCTION("""COMPUTED_VALUE"""),29)</f>
        <v>29</v>
      </c>
      <c r="E695" s="2">
        <f ca="1">IFERROR(__xludf.DUMMYFUNCTION("""COMPUTED_VALUE"""),0)</f>
        <v>0</v>
      </c>
    </row>
    <row r="696" spans="1:5" ht="12.75">
      <c r="A696" s="2" t="str">
        <f ca="1">IFERROR(__xludf.DUMMYFUNCTION("""COMPUTED_VALUE"""),"MAUTASUD25122914BD")</f>
        <v>MAUTASUD25122914BD</v>
      </c>
      <c r="B696" s="2">
        <f ca="1">IFERROR(__xludf.DUMMYFUNCTION("""COMPUTED_VALUE"""),8)</f>
        <v>8</v>
      </c>
      <c r="C696" s="2">
        <f ca="1">IFERROR(__xludf.DUMMYFUNCTION("""COMPUTED_VALUE"""),8)</f>
        <v>8</v>
      </c>
      <c r="D696" s="2">
        <f ca="1">IFERROR(__xludf.DUMMYFUNCTION("""COMPUTED_VALUE"""),8)</f>
        <v>8</v>
      </c>
      <c r="E696" s="2">
        <f ca="1">IFERROR(__xludf.DUMMYFUNCTION("""COMPUTED_VALUE"""),0)</f>
        <v>0</v>
      </c>
    </row>
    <row r="697" spans="1:5" ht="12.75">
      <c r="A697" s="2" t="str">
        <f ca="1">IFERROR(__xludf.DUMMYFUNCTION("""COMPUTED_VALUE"""),"MAUTASUD32122914")</f>
        <v>MAUTASUD32122914</v>
      </c>
      <c r="B697" s="2">
        <f ca="1">IFERROR(__xludf.DUMMYFUNCTION("""COMPUTED_VALUE"""),67)</f>
        <v>67</v>
      </c>
      <c r="C697" s="2">
        <f ca="1">IFERROR(__xludf.DUMMYFUNCTION("""COMPUTED_VALUE"""),67)</f>
        <v>67</v>
      </c>
      <c r="D697" s="2">
        <f ca="1">IFERROR(__xludf.DUMMYFUNCTION("""COMPUTED_VALUE"""),67)</f>
        <v>67</v>
      </c>
      <c r="E697" s="2">
        <f ca="1">IFERROR(__xludf.DUMMYFUNCTION("""COMPUTED_VALUE"""),0)</f>
        <v>0</v>
      </c>
    </row>
    <row r="698" spans="1:5" ht="12.75">
      <c r="A698" s="2" t="str">
        <f ca="1">IFERROR(__xludf.DUMMYFUNCTION("""COMPUTED_VALUE"""),"MAUTASUD32122914BD")</f>
        <v>MAUTASUD32122914BD</v>
      </c>
      <c r="B698" s="2">
        <f ca="1">IFERROR(__xludf.DUMMYFUNCTION("""COMPUTED_VALUE"""),5)</f>
        <v>5</v>
      </c>
      <c r="C698" s="2">
        <f ca="1">IFERROR(__xludf.DUMMYFUNCTION("""COMPUTED_VALUE"""),5)</f>
        <v>5</v>
      </c>
      <c r="D698" s="2">
        <f ca="1">IFERROR(__xludf.DUMMYFUNCTION("""COMPUTED_VALUE"""),5)</f>
        <v>5</v>
      </c>
      <c r="E698" s="2">
        <f ca="1">IFERROR(__xludf.DUMMYFUNCTION("""COMPUTED_VALUE"""),0)</f>
        <v>0</v>
      </c>
    </row>
    <row r="699" spans="1:5" ht="12.75">
      <c r="A699" s="2" t="str">
        <f ca="1">IFERROR(__xludf.DUMMYFUNCTION("""COMPUTED_VALUE"""),"MAUTASUD32122914D")</f>
        <v>MAUTASUD32122914D</v>
      </c>
      <c r="B699" s="2">
        <f ca="1">IFERROR(__xludf.DUMMYFUNCTION("""COMPUTED_VALUE"""),8)</f>
        <v>8</v>
      </c>
      <c r="C699" s="2">
        <f ca="1">IFERROR(__xludf.DUMMYFUNCTION("""COMPUTED_VALUE"""),8)</f>
        <v>8</v>
      </c>
      <c r="D699" s="2">
        <f ca="1">IFERROR(__xludf.DUMMYFUNCTION("""COMPUTED_VALUE"""),8)</f>
        <v>8</v>
      </c>
      <c r="E699" s="2">
        <f ca="1">IFERROR(__xludf.DUMMYFUNCTION("""COMPUTED_VALUE"""),0)</f>
        <v>0</v>
      </c>
    </row>
    <row r="700" spans="1:5" ht="12.75">
      <c r="A700" s="2" t="str">
        <f ca="1">IFERROR(__xludf.DUMMYFUNCTION("""COMPUTED_VALUE"""),"MAUTASUD38122914")</f>
        <v>MAUTASUD38122914</v>
      </c>
      <c r="B700" s="2">
        <f ca="1">IFERROR(__xludf.DUMMYFUNCTION("""COMPUTED_VALUE"""),31)</f>
        <v>31</v>
      </c>
      <c r="C700" s="2">
        <f ca="1">IFERROR(__xludf.DUMMYFUNCTION("""COMPUTED_VALUE"""),31)</f>
        <v>31</v>
      </c>
      <c r="D700" s="2">
        <f ca="1">IFERROR(__xludf.DUMMYFUNCTION("""COMPUTED_VALUE"""),31)</f>
        <v>31</v>
      </c>
      <c r="E700" s="2">
        <f ca="1">IFERROR(__xludf.DUMMYFUNCTION("""COMPUTED_VALUE"""),0)</f>
        <v>0</v>
      </c>
    </row>
    <row r="701" spans="1:5" ht="12.75">
      <c r="A701" s="2" t="str">
        <f ca="1">IFERROR(__xludf.DUMMYFUNCTION("""COMPUTED_VALUE"""),"MAUTASUD50122914")</f>
        <v>MAUTASUD50122914</v>
      </c>
      <c r="B701" s="2">
        <f ca="1">IFERROR(__xludf.DUMMYFUNCTION("""COMPUTED_VALUE"""),93)</f>
        <v>93</v>
      </c>
      <c r="C701" s="2">
        <f ca="1">IFERROR(__xludf.DUMMYFUNCTION("""COMPUTED_VALUE"""),93)</f>
        <v>93</v>
      </c>
      <c r="D701" s="2">
        <f ca="1">IFERROR(__xludf.DUMMYFUNCTION("""COMPUTED_VALUE"""),93)</f>
        <v>93</v>
      </c>
      <c r="E701" s="2">
        <f ca="1">IFERROR(__xludf.DUMMYFUNCTION("""COMPUTED_VALUE"""),0)</f>
        <v>0</v>
      </c>
    </row>
    <row r="702" spans="1:5" ht="12.75">
      <c r="A702" s="2" t="str">
        <f ca="1">IFERROR(__xludf.DUMMYFUNCTION("""COMPUTED_VALUE"""),"MAUTP0635061")</f>
        <v>MAUTP0635061</v>
      </c>
      <c r="B702" s="2">
        <f ca="1">IFERROR(__xludf.DUMMYFUNCTION("""COMPUTED_VALUE"""),30)</f>
        <v>30</v>
      </c>
      <c r="C702" s="2">
        <f ca="1">IFERROR(__xludf.DUMMYFUNCTION("""COMPUTED_VALUE"""),30)</f>
        <v>30</v>
      </c>
      <c r="D702" s="2">
        <f ca="1">IFERROR(__xludf.DUMMYFUNCTION("""COMPUTED_VALUE"""),30)</f>
        <v>30</v>
      </c>
      <c r="E702" s="2">
        <f ca="1">IFERROR(__xludf.DUMMYFUNCTION("""COMPUTED_VALUE"""),0)</f>
        <v>0</v>
      </c>
    </row>
    <row r="703" spans="1:5" ht="12.75">
      <c r="A703" s="2" t="str">
        <f ca="1">IFERROR(__xludf.DUMMYFUNCTION("""COMPUTED_VALUE"""),"MAUTP0635071")</f>
        <v>MAUTP0635071</v>
      </c>
      <c r="B703" s="2">
        <f ca="1">IFERROR(__xludf.DUMMYFUNCTION("""COMPUTED_VALUE"""),51)</f>
        <v>51</v>
      </c>
      <c r="C703" s="2">
        <f ca="1">IFERROR(__xludf.DUMMYFUNCTION("""COMPUTED_VALUE"""),51)</f>
        <v>51</v>
      </c>
      <c r="D703" s="2">
        <f ca="1">IFERROR(__xludf.DUMMYFUNCTION("""COMPUTED_VALUE"""),51)</f>
        <v>51</v>
      </c>
      <c r="E703" s="2">
        <f ca="1">IFERROR(__xludf.DUMMYFUNCTION("""COMPUTED_VALUE"""),0)</f>
        <v>0</v>
      </c>
    </row>
    <row r="704" spans="1:5" ht="12.75">
      <c r="A704" s="2" t="str">
        <f ca="1">IFERROR(__xludf.DUMMYFUNCTION("""COMPUTED_VALUE"""),"MAUTP0635081")</f>
        <v>MAUTP0635081</v>
      </c>
      <c r="B704" s="2">
        <f ca="1">IFERROR(__xludf.DUMMYFUNCTION("""COMPUTED_VALUE"""),64)</f>
        <v>64</v>
      </c>
      <c r="C704" s="2">
        <f ca="1">IFERROR(__xludf.DUMMYFUNCTION("""COMPUTED_VALUE"""),74)</f>
        <v>74</v>
      </c>
      <c r="D704" s="2">
        <f ca="1">IFERROR(__xludf.DUMMYFUNCTION("""COMPUTED_VALUE"""),64)</f>
        <v>64</v>
      </c>
      <c r="E704" s="2">
        <f ca="1">IFERROR(__xludf.DUMMYFUNCTION("""COMPUTED_VALUE"""),10)</f>
        <v>10</v>
      </c>
    </row>
    <row r="705" spans="1:5" ht="12.75">
      <c r="A705" s="2" t="str">
        <f ca="1">IFERROR(__xludf.DUMMYFUNCTION("""COMPUTED_VALUE"""),"MAUTP0952061")</f>
        <v>MAUTP0952061</v>
      </c>
      <c r="B705" s="2">
        <f ca="1">IFERROR(__xludf.DUMMYFUNCTION("""COMPUTED_VALUE"""),4)</f>
        <v>4</v>
      </c>
      <c r="C705" s="2">
        <f ca="1">IFERROR(__xludf.DUMMYFUNCTION("""COMPUTED_VALUE"""),4)</f>
        <v>4</v>
      </c>
      <c r="D705" s="2">
        <f ca="1">IFERROR(__xludf.DUMMYFUNCTION("""COMPUTED_VALUE"""),4)</f>
        <v>4</v>
      </c>
      <c r="E705" s="2">
        <f ca="1">IFERROR(__xludf.DUMMYFUNCTION("""COMPUTED_VALUE"""),0)</f>
        <v>0</v>
      </c>
    </row>
    <row r="706" spans="1:5" ht="12.75">
      <c r="A706" s="2" t="str">
        <f ca="1">IFERROR(__xludf.DUMMYFUNCTION("""COMPUTED_VALUE"""),"MAUTP0952071")</f>
        <v>MAUTP0952071</v>
      </c>
      <c r="B706" s="2">
        <f ca="1">IFERROR(__xludf.DUMMYFUNCTION("""COMPUTED_VALUE"""),89)</f>
        <v>89</v>
      </c>
      <c r="C706" s="2">
        <f ca="1">IFERROR(__xludf.DUMMYFUNCTION("""COMPUTED_VALUE"""),89)</f>
        <v>89</v>
      </c>
      <c r="D706" s="2">
        <f ca="1">IFERROR(__xludf.DUMMYFUNCTION("""COMPUTED_VALUE"""),89)</f>
        <v>89</v>
      </c>
      <c r="E706" s="2">
        <f ca="1">IFERROR(__xludf.DUMMYFUNCTION("""COMPUTED_VALUE"""),0)</f>
        <v>0</v>
      </c>
    </row>
    <row r="707" spans="1:5" ht="12.75">
      <c r="A707" s="2" t="str">
        <f ca="1">IFERROR(__xludf.DUMMYFUNCTION("""COMPUTED_VALUE"""),"MAUTP0952081")</f>
        <v>MAUTP0952081</v>
      </c>
      <c r="B707" s="2">
        <f ca="1">IFERROR(__xludf.DUMMYFUNCTION("""COMPUTED_VALUE"""),93)</f>
        <v>93</v>
      </c>
      <c r="C707" s="2">
        <f ca="1">IFERROR(__xludf.DUMMYFUNCTION("""COMPUTED_VALUE"""),102)</f>
        <v>102</v>
      </c>
      <c r="D707" s="2">
        <f ca="1">IFERROR(__xludf.DUMMYFUNCTION("""COMPUTED_VALUE"""),93)</f>
        <v>93</v>
      </c>
      <c r="E707" s="2">
        <f ca="1">IFERROR(__xludf.DUMMYFUNCTION("""COMPUTED_VALUE"""),9)</f>
        <v>9</v>
      </c>
    </row>
    <row r="708" spans="1:5" ht="12.75">
      <c r="A708" s="2" t="str">
        <f ca="1">IFERROR(__xludf.DUMMYFUNCTION("""COMPUTED_VALUE"""),"MAUTP1270071")</f>
        <v>MAUTP1270071</v>
      </c>
      <c r="B708" s="2">
        <f ca="1">IFERROR(__xludf.DUMMYFUNCTION("""COMPUTED_VALUE"""),41)</f>
        <v>41</v>
      </c>
      <c r="C708" s="2">
        <f ca="1">IFERROR(__xludf.DUMMYFUNCTION("""COMPUTED_VALUE"""),41)</f>
        <v>41</v>
      </c>
      <c r="D708" s="2">
        <f ca="1">IFERROR(__xludf.DUMMYFUNCTION("""COMPUTED_VALUE"""),41)</f>
        <v>41</v>
      </c>
      <c r="E708" s="2">
        <f ca="1">IFERROR(__xludf.DUMMYFUNCTION("""COMPUTED_VALUE"""),0)</f>
        <v>0</v>
      </c>
    </row>
    <row r="709" spans="1:5" ht="12.75">
      <c r="A709" s="2" t="str">
        <f ca="1">IFERROR(__xludf.DUMMYFUNCTION("""COMPUTED_VALUE"""),"MAUTP1270081")</f>
        <v>MAUTP1270081</v>
      </c>
      <c r="B709" s="2">
        <f ca="1">IFERROR(__xludf.DUMMYFUNCTION("""COMPUTED_VALUE"""),82)</f>
        <v>82</v>
      </c>
      <c r="C709" s="2">
        <f ca="1">IFERROR(__xludf.DUMMYFUNCTION("""COMPUTED_VALUE"""),91)</f>
        <v>91</v>
      </c>
      <c r="D709" s="2">
        <f ca="1">IFERROR(__xludf.DUMMYFUNCTION("""COMPUTED_VALUE"""),82)</f>
        <v>82</v>
      </c>
      <c r="E709" s="2">
        <f ca="1">IFERROR(__xludf.DUMMYFUNCTION("""COMPUTED_VALUE"""),9)</f>
        <v>9</v>
      </c>
    </row>
    <row r="710" spans="1:5" ht="12.75">
      <c r="A710" s="2" t="str">
        <f ca="1">IFERROR(__xludf.DUMMYFUNCTION("""COMPUTED_VALUE"""),"MAUTP1270081100")</f>
        <v>MAUTP1270081100</v>
      </c>
      <c r="B710" s="2">
        <f ca="1">IFERROR(__xludf.DUMMYFUNCTION("""COMPUTED_VALUE"""),1)</f>
        <v>1</v>
      </c>
      <c r="C710" s="2">
        <f ca="1">IFERROR(__xludf.DUMMYFUNCTION("""COMPUTED_VALUE"""),1)</f>
        <v>1</v>
      </c>
      <c r="D710" s="2">
        <f ca="1">IFERROR(__xludf.DUMMYFUNCTION("""COMPUTED_VALUE"""),1)</f>
        <v>1</v>
      </c>
      <c r="E710" s="2">
        <f ca="1">IFERROR(__xludf.DUMMYFUNCTION("""COMPUTED_VALUE"""),0)</f>
        <v>0</v>
      </c>
    </row>
    <row r="711" spans="1:5" ht="12.75">
      <c r="A711" s="2" t="str">
        <f ca="1">IFERROR(__xludf.DUMMYFUNCTION("""COMPUTED_VALUE"""),"MAUTP1270100")</f>
        <v>MAUTP1270100</v>
      </c>
      <c r="B711" s="2">
        <f ca="1">IFERROR(__xludf.DUMMYFUNCTION("""COMPUTED_VALUE"""),4)</f>
        <v>4</v>
      </c>
      <c r="C711" s="2">
        <f ca="1">IFERROR(__xludf.DUMMYFUNCTION("""COMPUTED_VALUE"""),5)</f>
        <v>5</v>
      </c>
      <c r="D711" s="2">
        <f ca="1">IFERROR(__xludf.DUMMYFUNCTION("""COMPUTED_VALUE"""),4)</f>
        <v>4</v>
      </c>
      <c r="E711" s="2">
        <f ca="1">IFERROR(__xludf.DUMMYFUNCTION("""COMPUTED_VALUE"""),1)</f>
        <v>1</v>
      </c>
    </row>
    <row r="712" spans="1:5" ht="12.75">
      <c r="A712" s="2" t="str">
        <f ca="1">IFERROR(__xludf.DUMMYFUNCTION("""COMPUTED_VALUE"""),"MAUTP1588071")</f>
        <v>MAUTP1588071</v>
      </c>
      <c r="B712" s="2">
        <f ca="1">IFERROR(__xludf.DUMMYFUNCTION("""COMPUTED_VALUE"""),97)</f>
        <v>97</v>
      </c>
      <c r="C712" s="2">
        <f ca="1">IFERROR(__xludf.DUMMYFUNCTION("""COMPUTED_VALUE"""),99)</f>
        <v>99</v>
      </c>
      <c r="D712" s="2">
        <f ca="1">IFERROR(__xludf.DUMMYFUNCTION("""COMPUTED_VALUE"""),97)</f>
        <v>97</v>
      </c>
      <c r="E712" s="2">
        <f ca="1">IFERROR(__xludf.DUMMYFUNCTION("""COMPUTED_VALUE"""),2)</f>
        <v>2</v>
      </c>
    </row>
    <row r="713" spans="1:5" ht="12.75">
      <c r="A713" s="2" t="str">
        <f ca="1">IFERROR(__xludf.DUMMYFUNCTION("""COMPUTED_VALUE"""),"MAUTP1588081")</f>
        <v>MAUTP1588081</v>
      </c>
      <c r="B713" s="2">
        <f ca="1">IFERROR(__xludf.DUMMYFUNCTION("""COMPUTED_VALUE"""),89)</f>
        <v>89</v>
      </c>
      <c r="C713" s="2">
        <f ca="1">IFERROR(__xludf.DUMMYFUNCTION("""COMPUTED_VALUE"""),102)</f>
        <v>102</v>
      </c>
      <c r="D713" s="2">
        <f ca="1">IFERROR(__xludf.DUMMYFUNCTION("""COMPUTED_VALUE"""),89)</f>
        <v>89</v>
      </c>
      <c r="E713" s="2">
        <f ca="1">IFERROR(__xludf.DUMMYFUNCTION("""COMPUTED_VALUE"""),13)</f>
        <v>13</v>
      </c>
    </row>
    <row r="714" spans="1:5" ht="12.75">
      <c r="A714" s="2" t="str">
        <f ca="1">IFERROR(__xludf.DUMMYFUNCTION("""COMPUTED_VALUE"""),"MAUTP1588100")</f>
        <v>MAUTP1588100</v>
      </c>
      <c r="B714" s="2">
        <f ca="1">IFERROR(__xludf.DUMMYFUNCTION("""COMPUTED_VALUE"""),93)</f>
        <v>93</v>
      </c>
      <c r="C714" s="2">
        <f ca="1">IFERROR(__xludf.DUMMYFUNCTION("""COMPUTED_VALUE"""),94)</f>
        <v>94</v>
      </c>
      <c r="D714" s="2">
        <f ca="1">IFERROR(__xludf.DUMMYFUNCTION("""COMPUTED_VALUE"""),93)</f>
        <v>93</v>
      </c>
      <c r="E714" s="2">
        <f ca="1">IFERROR(__xludf.DUMMYFUNCTION("""COMPUTED_VALUE"""),1)</f>
        <v>1</v>
      </c>
    </row>
    <row r="715" spans="1:5" ht="12.75">
      <c r="A715" s="2" t="str">
        <f ca="1">IFERROR(__xludf.DUMMYFUNCTION("""COMPUTED_VALUE"""),"MAUTP1588120")</f>
        <v>MAUTP1588120</v>
      </c>
      <c r="B715" s="2">
        <f ca="1">IFERROR(__xludf.DUMMYFUNCTION("""COMPUTED_VALUE"""),5)</f>
        <v>5</v>
      </c>
      <c r="C715" s="2">
        <f ca="1">IFERROR(__xludf.DUMMYFUNCTION("""COMPUTED_VALUE"""),10)</f>
        <v>10</v>
      </c>
      <c r="D715" s="2">
        <f ca="1">IFERROR(__xludf.DUMMYFUNCTION("""COMPUTED_VALUE"""),5)</f>
        <v>5</v>
      </c>
      <c r="E715" s="2">
        <f ca="1">IFERROR(__xludf.DUMMYFUNCTION("""COMPUTED_VALUE"""),5)</f>
        <v>5</v>
      </c>
    </row>
    <row r="716" spans="1:5" ht="12.75">
      <c r="A716" s="2" t="str">
        <f ca="1">IFERROR(__xludf.DUMMYFUNCTION("""COMPUTED_VALUE"""),"MAUTP1905071")</f>
        <v>MAUTP1905071</v>
      </c>
      <c r="B716" s="2">
        <f ca="1">IFERROR(__xludf.DUMMYFUNCTION("""COMPUTED_VALUE"""),56)</f>
        <v>56</v>
      </c>
      <c r="C716" s="2">
        <f ca="1">IFERROR(__xludf.DUMMYFUNCTION("""COMPUTED_VALUE"""),56)</f>
        <v>56</v>
      </c>
      <c r="D716" s="2">
        <f ca="1">IFERROR(__xludf.DUMMYFUNCTION("""COMPUTED_VALUE"""),56)</f>
        <v>56</v>
      </c>
      <c r="E716" s="2">
        <f ca="1">IFERROR(__xludf.DUMMYFUNCTION("""COMPUTED_VALUE"""),0)</f>
        <v>0</v>
      </c>
    </row>
    <row r="717" spans="1:5" ht="12.75">
      <c r="A717" s="2" t="str">
        <f ca="1">IFERROR(__xludf.DUMMYFUNCTION("""COMPUTED_VALUE"""),"MAUTP1905081")</f>
        <v>MAUTP1905081</v>
      </c>
      <c r="B717" s="2">
        <f ca="1">IFERROR(__xludf.DUMMYFUNCTION("""COMPUTED_VALUE"""),97)</f>
        <v>97</v>
      </c>
      <c r="C717" s="2">
        <f ca="1">IFERROR(__xludf.DUMMYFUNCTION("""COMPUTED_VALUE"""),105)</f>
        <v>105</v>
      </c>
      <c r="D717" s="2">
        <f ca="1">IFERROR(__xludf.DUMMYFUNCTION("""COMPUTED_VALUE"""),97)</f>
        <v>97</v>
      </c>
      <c r="E717" s="2">
        <f ca="1">IFERROR(__xludf.DUMMYFUNCTION("""COMPUTED_VALUE"""),8)</f>
        <v>8</v>
      </c>
    </row>
    <row r="718" spans="1:5" ht="12.75">
      <c r="A718" s="2" t="str">
        <f ca="1">IFERROR(__xludf.DUMMYFUNCTION("""COMPUTED_VALUE"""),"MAUTP1905081150")</f>
        <v>MAUTP1905081150</v>
      </c>
      <c r="B718" s="2">
        <f ca="1">IFERROR(__xludf.DUMMYFUNCTION("""COMPUTED_VALUE"""),1)</f>
        <v>1</v>
      </c>
      <c r="C718" s="2">
        <f ca="1">IFERROR(__xludf.DUMMYFUNCTION("""COMPUTED_VALUE"""),1)</f>
        <v>1</v>
      </c>
      <c r="D718" s="2">
        <f ca="1">IFERROR(__xludf.DUMMYFUNCTION("""COMPUTED_VALUE"""),1)</f>
        <v>1</v>
      </c>
      <c r="E718" s="2">
        <f ca="1">IFERROR(__xludf.DUMMYFUNCTION("""COMPUTED_VALUE"""),0)</f>
        <v>0</v>
      </c>
    </row>
    <row r="719" spans="1:5" ht="12.75">
      <c r="A719" s="2" t="str">
        <f ca="1">IFERROR(__xludf.DUMMYFUNCTION("""COMPUTED_VALUE"""),"MAUTP1905100")</f>
        <v>MAUTP1905100</v>
      </c>
      <c r="B719" s="2">
        <f ca="1">IFERROR(__xludf.DUMMYFUNCTION("""COMPUTED_VALUE"""),46)</f>
        <v>46</v>
      </c>
      <c r="C719" s="2">
        <f ca="1">IFERROR(__xludf.DUMMYFUNCTION("""COMPUTED_VALUE"""),63)</f>
        <v>63</v>
      </c>
      <c r="D719" s="2">
        <f ca="1">IFERROR(__xludf.DUMMYFUNCTION("""COMPUTED_VALUE"""),46)</f>
        <v>46</v>
      </c>
      <c r="E719" s="2">
        <f ca="1">IFERROR(__xludf.DUMMYFUNCTION("""COMPUTED_VALUE"""),17)</f>
        <v>17</v>
      </c>
    </row>
    <row r="720" spans="1:5" ht="12.75">
      <c r="A720" s="2" t="str">
        <f ca="1">IFERROR(__xludf.DUMMYFUNCTION("""COMPUTED_VALUE"""),"MAUTP2222081")</f>
        <v>MAUTP2222081</v>
      </c>
      <c r="B720" s="2">
        <f ca="1">IFERROR(__xludf.DUMMYFUNCTION("""COMPUTED_VALUE"""),19)</f>
        <v>19</v>
      </c>
      <c r="C720" s="2">
        <f ca="1">IFERROR(__xludf.DUMMYFUNCTION("""COMPUTED_VALUE"""),19)</f>
        <v>19</v>
      </c>
      <c r="D720" s="2">
        <f ca="1">IFERROR(__xludf.DUMMYFUNCTION("""COMPUTED_VALUE"""),19)</f>
        <v>19</v>
      </c>
      <c r="E720" s="2">
        <f ca="1">IFERROR(__xludf.DUMMYFUNCTION("""COMPUTED_VALUE"""),0)</f>
        <v>0</v>
      </c>
    </row>
    <row r="721" spans="1:5" ht="12.75">
      <c r="A721" s="2" t="str">
        <f ca="1">IFERROR(__xludf.DUMMYFUNCTION("""COMPUTED_VALUE"""),"MAUTP2222100")</f>
        <v>MAUTP2222100</v>
      </c>
      <c r="B721" s="2">
        <f ca="1">IFERROR(__xludf.DUMMYFUNCTION("""COMPUTED_VALUE"""),57)</f>
        <v>57</v>
      </c>
      <c r="C721" s="2">
        <f ca="1">IFERROR(__xludf.DUMMYFUNCTION("""COMPUTED_VALUE"""),73)</f>
        <v>73</v>
      </c>
      <c r="D721" s="2">
        <f ca="1">IFERROR(__xludf.DUMMYFUNCTION("""COMPUTED_VALUE"""),57)</f>
        <v>57</v>
      </c>
      <c r="E721" s="2">
        <f ca="1">IFERROR(__xludf.DUMMYFUNCTION("""COMPUTED_VALUE"""),16)</f>
        <v>16</v>
      </c>
    </row>
    <row r="722" spans="1:5" ht="12.75">
      <c r="A722" s="2" t="str">
        <f ca="1">IFERROR(__xludf.DUMMYFUNCTION("""COMPUTED_VALUE"""),"MAUTP2222120")</f>
        <v>MAUTP2222120</v>
      </c>
      <c r="B722" s="2">
        <f ca="1">IFERROR(__xludf.DUMMYFUNCTION("""COMPUTED_VALUE"""),66)</f>
        <v>66</v>
      </c>
      <c r="C722" s="2">
        <f ca="1">IFERROR(__xludf.DUMMYFUNCTION("""COMPUTED_VALUE"""),74)</f>
        <v>74</v>
      </c>
      <c r="D722" s="2">
        <f ca="1">IFERROR(__xludf.DUMMYFUNCTION("""COMPUTED_VALUE"""),66)</f>
        <v>66</v>
      </c>
      <c r="E722" s="2">
        <f ca="1">IFERROR(__xludf.DUMMYFUNCTION("""COMPUTED_VALUE"""),8)</f>
        <v>8</v>
      </c>
    </row>
    <row r="723" spans="1:5" ht="12.75">
      <c r="A723" s="2" t="str">
        <f ca="1">IFERROR(__xludf.DUMMYFUNCTION("""COMPUTED_VALUE"""),"MAUTP2222120100")</f>
        <v>MAUTP2222120100</v>
      </c>
      <c r="B723" s="2">
        <f ca="1">IFERROR(__xludf.DUMMYFUNCTION("""COMPUTED_VALUE"""),1)</f>
        <v>1</v>
      </c>
      <c r="C723" s="2">
        <f ca="1">IFERROR(__xludf.DUMMYFUNCTION("""COMPUTED_VALUE"""),1)</f>
        <v>1</v>
      </c>
      <c r="D723" s="2">
        <f ca="1">IFERROR(__xludf.DUMMYFUNCTION("""COMPUTED_VALUE"""),1)</f>
        <v>1</v>
      </c>
      <c r="E723" s="2">
        <f ca="1">IFERROR(__xludf.DUMMYFUNCTION("""COMPUTED_VALUE"""),0)</f>
        <v>0</v>
      </c>
    </row>
    <row r="724" spans="1:5" ht="12.75">
      <c r="A724" s="2" t="str">
        <f ca="1">IFERROR(__xludf.DUMMYFUNCTION("""COMPUTED_VALUE"""),"MAUTP2540100")</f>
        <v>MAUTP2540100</v>
      </c>
      <c r="B724" s="2">
        <f ca="1">IFERROR(__xludf.DUMMYFUNCTION("""COMPUTED_VALUE"""),21)</f>
        <v>21</v>
      </c>
      <c r="C724" s="2">
        <f ca="1">IFERROR(__xludf.DUMMYFUNCTION("""COMPUTED_VALUE"""),40)</f>
        <v>40</v>
      </c>
      <c r="D724" s="2">
        <f ca="1">IFERROR(__xludf.DUMMYFUNCTION("""COMPUTED_VALUE"""),21)</f>
        <v>21</v>
      </c>
      <c r="E724" s="2">
        <f ca="1">IFERROR(__xludf.DUMMYFUNCTION("""COMPUTED_VALUE"""),19)</f>
        <v>19</v>
      </c>
    </row>
    <row r="725" spans="1:5" ht="12.75">
      <c r="A725" s="2" t="str">
        <f ca="1">IFERROR(__xludf.DUMMYFUNCTION("""COMPUTED_VALUE"""),"MAUTP2540120")</f>
        <v>MAUTP2540120</v>
      </c>
      <c r="B725" s="2">
        <f ca="1">IFERROR(__xludf.DUMMYFUNCTION("""COMPUTED_VALUE"""),172)</f>
        <v>172</v>
      </c>
      <c r="C725" s="2">
        <f ca="1">IFERROR(__xludf.DUMMYFUNCTION("""COMPUTED_VALUE"""),186)</f>
        <v>186</v>
      </c>
      <c r="D725" s="2">
        <f ca="1">IFERROR(__xludf.DUMMYFUNCTION("""COMPUTED_VALUE"""),172)</f>
        <v>172</v>
      </c>
      <c r="E725" s="2">
        <f ca="1">IFERROR(__xludf.DUMMYFUNCTION("""COMPUTED_VALUE"""),14)</f>
        <v>14</v>
      </c>
    </row>
    <row r="726" spans="1:5" ht="12.75">
      <c r="A726" s="2" t="str">
        <f ca="1">IFERROR(__xludf.DUMMYFUNCTION("""COMPUTED_VALUE"""),"MAUTP2858100")</f>
        <v>MAUTP2858100</v>
      </c>
      <c r="B726" s="2">
        <f ca="1">IFERROR(__xludf.DUMMYFUNCTION("""COMPUTED_VALUE"""),44)</f>
        <v>44</v>
      </c>
      <c r="C726" s="2">
        <f ca="1">IFERROR(__xludf.DUMMYFUNCTION("""COMPUTED_VALUE"""),64)</f>
        <v>64</v>
      </c>
      <c r="D726" s="2">
        <f ca="1">IFERROR(__xludf.DUMMYFUNCTION("""COMPUTED_VALUE"""),44)</f>
        <v>44</v>
      </c>
      <c r="E726" s="2">
        <f ca="1">IFERROR(__xludf.DUMMYFUNCTION("""COMPUTED_VALUE"""),20)</f>
        <v>20</v>
      </c>
    </row>
    <row r="727" spans="1:5" ht="12.75">
      <c r="A727" s="2" t="str">
        <f ca="1">IFERROR(__xludf.DUMMYFUNCTION("""COMPUTED_VALUE"""),"MAUTP2858120")</f>
        <v>MAUTP2858120</v>
      </c>
      <c r="B727" s="2">
        <f ca="1">IFERROR(__xludf.DUMMYFUNCTION("""COMPUTED_VALUE"""),43)</f>
        <v>43</v>
      </c>
      <c r="C727" s="2">
        <f ca="1">IFERROR(__xludf.DUMMYFUNCTION("""COMPUTED_VALUE"""),63)</f>
        <v>63</v>
      </c>
      <c r="D727" s="2">
        <f ca="1">IFERROR(__xludf.DUMMYFUNCTION("""COMPUTED_VALUE"""),43)</f>
        <v>43</v>
      </c>
      <c r="E727" s="2">
        <f ca="1">IFERROR(__xludf.DUMMYFUNCTION("""COMPUTED_VALUE"""),20)</f>
        <v>20</v>
      </c>
    </row>
    <row r="728" spans="1:5" ht="12.75">
      <c r="A728" s="2" t="str">
        <f ca="1">IFERROR(__xludf.DUMMYFUNCTION("""COMPUTED_VALUE"""),"MAUTP2858140")</f>
        <v>MAUTP2858140</v>
      </c>
      <c r="B728" s="2">
        <f ca="1">IFERROR(__xludf.DUMMYFUNCTION("""COMPUTED_VALUE"""),46)</f>
        <v>46</v>
      </c>
      <c r="C728" s="2">
        <f ca="1">IFERROR(__xludf.DUMMYFUNCTION("""COMPUTED_VALUE"""),46)</f>
        <v>46</v>
      </c>
      <c r="D728" s="2">
        <f ca="1">IFERROR(__xludf.DUMMYFUNCTION("""COMPUTED_VALUE"""),46)</f>
        <v>46</v>
      </c>
      <c r="E728" s="2">
        <f ca="1">IFERROR(__xludf.DUMMYFUNCTION("""COMPUTED_VALUE"""),0)</f>
        <v>0</v>
      </c>
    </row>
    <row r="729" spans="1:5" ht="12.75">
      <c r="A729" s="2" t="str">
        <f ca="1">IFERROR(__xludf.DUMMYFUNCTION("""COMPUTED_VALUE"""),"MAUTP3175100")</f>
        <v>MAUTP3175100</v>
      </c>
      <c r="B729" s="2">
        <f ca="1">IFERROR(__xludf.DUMMYFUNCTION("""COMPUTED_VALUE"""),19)</f>
        <v>19</v>
      </c>
      <c r="C729" s="2">
        <f ca="1">IFERROR(__xludf.DUMMYFUNCTION("""COMPUTED_VALUE"""),34)</f>
        <v>34</v>
      </c>
      <c r="D729" s="2">
        <f ca="1">IFERROR(__xludf.DUMMYFUNCTION("""COMPUTED_VALUE"""),19)</f>
        <v>19</v>
      </c>
      <c r="E729" s="2">
        <f ca="1">IFERROR(__xludf.DUMMYFUNCTION("""COMPUTED_VALUE"""),15)</f>
        <v>15</v>
      </c>
    </row>
    <row r="730" spans="1:5" ht="12.75">
      <c r="A730" s="2" t="str">
        <f ca="1">IFERROR(__xludf.DUMMYFUNCTION("""COMPUTED_VALUE"""),"MAUTP3175140")</f>
        <v>MAUTP3175140</v>
      </c>
      <c r="B730" s="2">
        <f ca="1">IFERROR(__xludf.DUMMYFUNCTION("""COMPUTED_VALUE"""),34)</f>
        <v>34</v>
      </c>
      <c r="C730" s="2">
        <f ca="1">IFERROR(__xludf.DUMMYFUNCTION("""COMPUTED_VALUE"""),34)</f>
        <v>34</v>
      </c>
      <c r="D730" s="2">
        <f ca="1">IFERROR(__xludf.DUMMYFUNCTION("""COMPUTED_VALUE"""),34)</f>
        <v>34</v>
      </c>
      <c r="E730" s="2">
        <f ca="1">IFERROR(__xludf.DUMMYFUNCTION("""COMPUTED_VALUE"""),0)</f>
        <v>0</v>
      </c>
    </row>
    <row r="731" spans="1:5" ht="12.75">
      <c r="A731" s="2" t="str">
        <f ca="1">IFERROR(__xludf.DUMMYFUNCTION("""COMPUTED_VALUE"""),"MAUTP3493100")</f>
        <v>MAUTP3493100</v>
      </c>
      <c r="B731" s="2">
        <f ca="1">IFERROR(__xludf.DUMMYFUNCTION("""COMPUTED_VALUE"""),50)</f>
        <v>50</v>
      </c>
      <c r="C731" s="2">
        <f ca="1">IFERROR(__xludf.DUMMYFUNCTION("""COMPUTED_VALUE"""),62)</f>
        <v>62</v>
      </c>
      <c r="D731" s="2">
        <f ca="1">IFERROR(__xludf.DUMMYFUNCTION("""COMPUTED_VALUE"""),50)</f>
        <v>50</v>
      </c>
      <c r="E731" s="2">
        <f ca="1">IFERROR(__xludf.DUMMYFUNCTION("""COMPUTED_VALUE"""),12)</f>
        <v>12</v>
      </c>
    </row>
    <row r="732" spans="1:5" ht="12.75">
      <c r="A732" s="2" t="str">
        <f ca="1">IFERROR(__xludf.DUMMYFUNCTION("""COMPUTED_VALUE"""),"MAUTP3493120")</f>
        <v>MAUTP3493120</v>
      </c>
      <c r="B732" s="2">
        <f ca="1">IFERROR(__xludf.DUMMYFUNCTION("""COMPUTED_VALUE"""),29)</f>
        <v>29</v>
      </c>
      <c r="C732" s="2">
        <f ca="1">IFERROR(__xludf.DUMMYFUNCTION("""COMPUTED_VALUE"""),39)</f>
        <v>39</v>
      </c>
      <c r="D732" s="2">
        <f ca="1">IFERROR(__xludf.DUMMYFUNCTION("""COMPUTED_VALUE"""),29)</f>
        <v>29</v>
      </c>
      <c r="E732" s="2">
        <f ca="1">IFERROR(__xludf.DUMMYFUNCTION("""COMPUTED_VALUE"""),10)</f>
        <v>10</v>
      </c>
    </row>
    <row r="733" spans="1:5" ht="12.75">
      <c r="A733" s="2" t="str">
        <f ca="1">IFERROR(__xludf.DUMMYFUNCTION("""COMPUTED_VALUE"""),"MAUTP3493120150")</f>
        <v>MAUTP3493120150</v>
      </c>
      <c r="B733" s="2">
        <f ca="1">IFERROR(__xludf.DUMMYFUNCTION("""COMPUTED_VALUE"""),2)</f>
        <v>2</v>
      </c>
      <c r="C733" s="2">
        <f ca="1">IFERROR(__xludf.DUMMYFUNCTION("""COMPUTED_VALUE"""),2)</f>
        <v>2</v>
      </c>
      <c r="D733" s="2">
        <f ca="1">IFERROR(__xludf.DUMMYFUNCTION("""COMPUTED_VALUE"""),2)</f>
        <v>2</v>
      </c>
      <c r="E733" s="2">
        <f ca="1">IFERROR(__xludf.DUMMYFUNCTION("""COMPUTED_VALUE"""),0)</f>
        <v>0</v>
      </c>
    </row>
    <row r="734" spans="1:5" ht="12.75">
      <c r="A734" s="2" t="str">
        <f ca="1">IFERROR(__xludf.DUMMYFUNCTION("""COMPUTED_VALUE"""),"MAUTP3493140")</f>
        <v>MAUTP3493140</v>
      </c>
      <c r="B734" s="2">
        <f ca="1">IFERROR(__xludf.DUMMYFUNCTION("""COMPUTED_VALUE"""),10)</f>
        <v>10</v>
      </c>
      <c r="C734" s="2">
        <f ca="1">IFERROR(__xludf.DUMMYFUNCTION("""COMPUTED_VALUE"""),15)</f>
        <v>15</v>
      </c>
      <c r="D734" s="2">
        <f ca="1">IFERROR(__xludf.DUMMYFUNCTION("""COMPUTED_VALUE"""),10)</f>
        <v>10</v>
      </c>
      <c r="E734" s="2">
        <f ca="1">IFERROR(__xludf.DUMMYFUNCTION("""COMPUTED_VALUE"""),5)</f>
        <v>5</v>
      </c>
    </row>
    <row r="735" spans="1:5" ht="12.75">
      <c r="A735" s="2" t="str">
        <f ca="1">IFERROR(__xludf.DUMMYFUNCTION("""COMPUTED_VALUE"""),"MAUTP3493143")</f>
        <v>MAUTP3493143</v>
      </c>
      <c r="B735" s="2">
        <f ca="1">IFERROR(__xludf.DUMMYFUNCTION("""COMPUTED_VALUE"""),3)</f>
        <v>3</v>
      </c>
      <c r="C735" s="2">
        <f ca="1">IFERROR(__xludf.DUMMYFUNCTION("""COMPUTED_VALUE"""),3)</f>
        <v>3</v>
      </c>
      <c r="D735" s="2">
        <f ca="1">IFERROR(__xludf.DUMMYFUNCTION("""COMPUTED_VALUE"""),3)</f>
        <v>3</v>
      </c>
      <c r="E735" s="2">
        <f ca="1">IFERROR(__xludf.DUMMYFUNCTION("""COMPUTED_VALUE"""),0)</f>
        <v>0</v>
      </c>
    </row>
    <row r="736" spans="1:5" ht="12.75">
      <c r="A736" s="2" t="str">
        <f ca="1">IFERROR(__xludf.DUMMYFUNCTION("""COMPUTED_VALUE"""),"MAUTP3810100")</f>
        <v>MAUTP3810100</v>
      </c>
      <c r="B736" s="2">
        <f ca="1">IFERROR(__xludf.DUMMYFUNCTION("""COMPUTED_VALUE"""),44)</f>
        <v>44</v>
      </c>
      <c r="C736" s="2">
        <f ca="1">IFERROR(__xludf.DUMMYFUNCTION("""COMPUTED_VALUE"""),44)</f>
        <v>44</v>
      </c>
      <c r="D736" s="2">
        <f ca="1">IFERROR(__xludf.DUMMYFUNCTION("""COMPUTED_VALUE"""),44)</f>
        <v>44</v>
      </c>
      <c r="E736" s="2">
        <f ca="1">IFERROR(__xludf.DUMMYFUNCTION("""COMPUTED_VALUE"""),0)</f>
        <v>0</v>
      </c>
    </row>
    <row r="737" spans="1:5" ht="12.75">
      <c r="A737" s="2" t="str">
        <f ca="1">IFERROR(__xludf.DUMMYFUNCTION("""COMPUTED_VALUE"""),"MAUTP3810120")</f>
        <v>MAUTP3810120</v>
      </c>
      <c r="B737" s="2">
        <f ca="1">IFERROR(__xludf.DUMMYFUNCTION("""COMPUTED_VALUE"""),44)</f>
        <v>44</v>
      </c>
      <c r="C737" s="2">
        <f ca="1">IFERROR(__xludf.DUMMYFUNCTION("""COMPUTED_VALUE"""),44)</f>
        <v>44</v>
      </c>
      <c r="D737" s="2">
        <f ca="1">IFERROR(__xludf.DUMMYFUNCTION("""COMPUTED_VALUE"""),44)</f>
        <v>44</v>
      </c>
      <c r="E737" s="2">
        <f ca="1">IFERROR(__xludf.DUMMYFUNCTION("""COMPUTED_VALUE"""),0)</f>
        <v>0</v>
      </c>
    </row>
    <row r="738" spans="1:5" ht="12.75">
      <c r="A738" s="2" t="str">
        <f ca="1">IFERROR(__xludf.DUMMYFUNCTION("""COMPUTED_VALUE"""),"MAUTP3810120100")</f>
        <v>MAUTP3810120100</v>
      </c>
      <c r="B738" s="2">
        <f ca="1">IFERROR(__xludf.DUMMYFUNCTION("""COMPUTED_VALUE"""),1)</f>
        <v>1</v>
      </c>
      <c r="C738" s="2">
        <f ca="1">IFERROR(__xludf.DUMMYFUNCTION("""COMPUTED_VALUE"""),1)</f>
        <v>1</v>
      </c>
      <c r="D738" s="2">
        <f ca="1">IFERROR(__xludf.DUMMYFUNCTION("""COMPUTED_VALUE"""),1)</f>
        <v>1</v>
      </c>
      <c r="E738" s="2">
        <f ca="1">IFERROR(__xludf.DUMMYFUNCTION("""COMPUTED_VALUE"""),0)</f>
        <v>0</v>
      </c>
    </row>
    <row r="739" spans="1:5" ht="12.75">
      <c r="A739" s="2" t="str">
        <f ca="1">IFERROR(__xludf.DUMMYFUNCTION("""COMPUTED_VALUE"""),"MAUTP3810152")</f>
        <v>MAUTP3810152</v>
      </c>
      <c r="B739" s="2">
        <f ca="1">IFERROR(__xludf.DUMMYFUNCTION("""COMPUTED_VALUE"""),3)</f>
        <v>3</v>
      </c>
      <c r="C739" s="2">
        <f ca="1">IFERROR(__xludf.DUMMYFUNCTION("""COMPUTED_VALUE"""),3)</f>
        <v>3</v>
      </c>
      <c r="D739" s="2">
        <f ca="1">IFERROR(__xludf.DUMMYFUNCTION("""COMPUTED_VALUE"""),3)</f>
        <v>3</v>
      </c>
      <c r="E739" s="2">
        <f ca="1">IFERROR(__xludf.DUMMYFUNCTION("""COMPUTED_VALUE"""),0)</f>
        <v>0</v>
      </c>
    </row>
    <row r="740" spans="1:5" ht="12.75">
      <c r="A740" s="2" t="str">
        <f ca="1">IFERROR(__xludf.DUMMYFUNCTION("""COMPUTED_VALUE"""),"MAUTP4128100")</f>
        <v>MAUTP4128100</v>
      </c>
      <c r="B740" s="2">
        <f ca="1">IFERROR(__xludf.DUMMYFUNCTION("""COMPUTED_VALUE"""),83)</f>
        <v>83</v>
      </c>
      <c r="C740" s="2">
        <f ca="1">IFERROR(__xludf.DUMMYFUNCTION("""COMPUTED_VALUE"""),83)</f>
        <v>83</v>
      </c>
      <c r="D740" s="2">
        <f ca="1">IFERROR(__xludf.DUMMYFUNCTION("""COMPUTED_VALUE"""),83)</f>
        <v>83</v>
      </c>
      <c r="E740" s="2">
        <f ca="1">IFERROR(__xludf.DUMMYFUNCTION("""COMPUTED_VALUE"""),0)</f>
        <v>0</v>
      </c>
    </row>
    <row r="741" spans="1:5" ht="12.75">
      <c r="A741" s="2" t="str">
        <f ca="1">IFERROR(__xludf.DUMMYFUNCTION("""COMPUTED_VALUE"""),"MAUTP4128120")</f>
        <v>MAUTP4128120</v>
      </c>
      <c r="B741" s="2">
        <f ca="1">IFERROR(__xludf.DUMMYFUNCTION("""COMPUTED_VALUE"""),23)</f>
        <v>23</v>
      </c>
      <c r="C741" s="2">
        <f ca="1">IFERROR(__xludf.DUMMYFUNCTION("""COMPUTED_VALUE"""),23)</f>
        <v>23</v>
      </c>
      <c r="D741" s="2">
        <f ca="1">IFERROR(__xludf.DUMMYFUNCTION("""COMPUTED_VALUE"""),23)</f>
        <v>23</v>
      </c>
      <c r="E741" s="2">
        <f ca="1">IFERROR(__xludf.DUMMYFUNCTION("""COMPUTED_VALUE"""),0)</f>
        <v>0</v>
      </c>
    </row>
    <row r="742" spans="1:5" ht="12.75">
      <c r="A742" s="2" t="str">
        <f ca="1">IFERROR(__xludf.DUMMYFUNCTION("""COMPUTED_VALUE"""),"MAUTP4128120100")</f>
        <v>MAUTP4128120100</v>
      </c>
      <c r="B742" s="2">
        <f ca="1">IFERROR(__xludf.DUMMYFUNCTION("""COMPUTED_VALUE"""),1)</f>
        <v>1</v>
      </c>
      <c r="C742" s="2">
        <f ca="1">IFERROR(__xludf.DUMMYFUNCTION("""COMPUTED_VALUE"""),1)</f>
        <v>1</v>
      </c>
      <c r="D742" s="2">
        <f ca="1">IFERROR(__xludf.DUMMYFUNCTION("""COMPUTED_VALUE"""),1)</f>
        <v>1</v>
      </c>
      <c r="E742" s="2">
        <f ca="1">IFERROR(__xludf.DUMMYFUNCTION("""COMPUTED_VALUE"""),0)</f>
        <v>0</v>
      </c>
    </row>
    <row r="743" spans="1:5" ht="12.75">
      <c r="A743" s="2" t="str">
        <f ca="1">IFERROR(__xludf.DUMMYFUNCTION("""COMPUTED_VALUE"""),"MAUTP4128140")</f>
        <v>MAUTP4128140</v>
      </c>
      <c r="B743" s="2">
        <f ca="1">IFERROR(__xludf.DUMMYFUNCTION("""COMPUTED_VALUE"""),69)</f>
        <v>69</v>
      </c>
      <c r="C743" s="2">
        <f ca="1">IFERROR(__xludf.DUMMYFUNCTION("""COMPUTED_VALUE"""),71)</f>
        <v>71</v>
      </c>
      <c r="D743" s="2">
        <f ca="1">IFERROR(__xludf.DUMMYFUNCTION("""COMPUTED_VALUE"""),69)</f>
        <v>69</v>
      </c>
      <c r="E743" s="2">
        <f ca="1">IFERROR(__xludf.DUMMYFUNCTION("""COMPUTED_VALUE"""),2)</f>
        <v>2</v>
      </c>
    </row>
    <row r="744" spans="1:5" ht="12.75">
      <c r="A744" s="2" t="str">
        <f ca="1">IFERROR(__xludf.DUMMYFUNCTION("""COMPUTED_VALUE"""),"MAUTP4128143")</f>
        <v>MAUTP4128143</v>
      </c>
      <c r="B744" s="2">
        <f ca="1">IFERROR(__xludf.DUMMYFUNCTION("""COMPUTED_VALUE"""),4)</f>
        <v>4</v>
      </c>
      <c r="C744" s="2">
        <f ca="1">IFERROR(__xludf.DUMMYFUNCTION("""COMPUTED_VALUE"""),4)</f>
        <v>4</v>
      </c>
      <c r="D744" s="2">
        <f ca="1">IFERROR(__xludf.DUMMYFUNCTION("""COMPUTED_VALUE"""),4)</f>
        <v>4</v>
      </c>
      <c r="E744" s="2">
        <f ca="1">IFERROR(__xludf.DUMMYFUNCTION("""COMPUTED_VALUE"""),0)</f>
        <v>0</v>
      </c>
    </row>
    <row r="745" spans="1:5" ht="12.75">
      <c r="A745" s="2" t="str">
        <f ca="1">IFERROR(__xludf.DUMMYFUNCTION("""COMPUTED_VALUE"""),"MAUTP4128150")</f>
        <v>MAUTP4128150</v>
      </c>
      <c r="B745" s="2">
        <f ca="1">IFERROR(__xludf.DUMMYFUNCTION("""COMPUTED_VALUE"""),10)</f>
        <v>10</v>
      </c>
      <c r="C745" s="2">
        <f ca="1">IFERROR(__xludf.DUMMYFUNCTION("""COMPUTED_VALUE"""),10)</f>
        <v>10</v>
      </c>
      <c r="D745" s="2">
        <f ca="1">IFERROR(__xludf.DUMMYFUNCTION("""COMPUTED_VALUE"""),10)</f>
        <v>10</v>
      </c>
      <c r="E745" s="2">
        <f ca="1">IFERROR(__xludf.DUMMYFUNCTION("""COMPUTED_VALUE"""),0)</f>
        <v>0</v>
      </c>
    </row>
    <row r="746" spans="1:5" ht="12.75">
      <c r="A746" s="2" t="str">
        <f ca="1">IFERROR(__xludf.DUMMYFUNCTION("""COMPUTED_VALUE"""),"MAUTP4450120")</f>
        <v>MAUTP4450120</v>
      </c>
      <c r="B746" s="2">
        <f ca="1">IFERROR(__xludf.DUMMYFUNCTION("""COMPUTED_VALUE"""),3)</f>
        <v>3</v>
      </c>
      <c r="C746" s="2">
        <f ca="1">IFERROR(__xludf.DUMMYFUNCTION("""COMPUTED_VALUE"""),3)</f>
        <v>3</v>
      </c>
      <c r="D746" s="2">
        <f ca="1">IFERROR(__xludf.DUMMYFUNCTION("""COMPUTED_VALUE"""),3)</f>
        <v>3</v>
      </c>
      <c r="E746" s="2">
        <f ca="1">IFERROR(__xludf.DUMMYFUNCTION("""COMPUTED_VALUE"""),0)</f>
        <v>0</v>
      </c>
    </row>
    <row r="747" spans="1:5" ht="12.75">
      <c r="A747" s="2" t="str">
        <f ca="1">IFERROR(__xludf.DUMMYFUNCTION("""COMPUTED_VALUE"""),"MAUTS0635061")</f>
        <v>MAUTS0635061</v>
      </c>
      <c r="B747" s="2">
        <f ca="1">IFERROR(__xludf.DUMMYFUNCTION("""COMPUTED_VALUE"""),299)</f>
        <v>299</v>
      </c>
      <c r="C747" s="2">
        <f ca="1">IFERROR(__xludf.DUMMYFUNCTION("""COMPUTED_VALUE"""),299)</f>
        <v>299</v>
      </c>
      <c r="D747" s="2">
        <f ca="1">IFERROR(__xludf.DUMMYFUNCTION("""COMPUTED_VALUE"""),299)</f>
        <v>299</v>
      </c>
      <c r="E747" s="2">
        <f ca="1">IFERROR(__xludf.DUMMYFUNCTION("""COMPUTED_VALUE"""),0)</f>
        <v>0</v>
      </c>
    </row>
    <row r="748" spans="1:5" ht="12.75">
      <c r="A748" s="2" t="str">
        <f ca="1">IFERROR(__xludf.DUMMYFUNCTION("""COMPUTED_VALUE"""),"MAUTS0635071")</f>
        <v>MAUTS0635071</v>
      </c>
      <c r="B748" s="2">
        <f ca="1">IFERROR(__xludf.DUMMYFUNCTION("""COMPUTED_VALUE"""),128)</f>
        <v>128</v>
      </c>
      <c r="C748" s="2">
        <f ca="1">IFERROR(__xludf.DUMMYFUNCTION("""COMPUTED_VALUE"""),128)</f>
        <v>128</v>
      </c>
      <c r="D748" s="2">
        <f ca="1">IFERROR(__xludf.DUMMYFUNCTION("""COMPUTED_VALUE"""),128)</f>
        <v>128</v>
      </c>
      <c r="E748" s="2">
        <f ca="1">IFERROR(__xludf.DUMMYFUNCTION("""COMPUTED_VALUE"""),0)</f>
        <v>0</v>
      </c>
    </row>
    <row r="749" spans="1:5" ht="12.75">
      <c r="A749" s="2" t="str">
        <f ca="1">IFERROR(__xludf.DUMMYFUNCTION("""COMPUTED_VALUE"""),"MAUTS0635071150")</f>
        <v>MAUTS0635071150</v>
      </c>
      <c r="B749" s="2">
        <f ca="1">IFERROR(__xludf.DUMMYFUNCTION("""COMPUTED_VALUE"""),1)</f>
        <v>1</v>
      </c>
      <c r="C749" s="2">
        <f ca="1">IFERROR(__xludf.DUMMYFUNCTION("""COMPUTED_VALUE"""),1)</f>
        <v>1</v>
      </c>
      <c r="D749" s="2">
        <f ca="1">IFERROR(__xludf.DUMMYFUNCTION("""COMPUTED_VALUE"""),1)</f>
        <v>1</v>
      </c>
      <c r="E749" s="2">
        <f ca="1">IFERROR(__xludf.DUMMYFUNCTION("""COMPUTED_VALUE"""),0)</f>
        <v>0</v>
      </c>
    </row>
    <row r="750" spans="1:5" ht="12.75">
      <c r="A750" s="2" t="str">
        <f ca="1">IFERROR(__xludf.DUMMYFUNCTION("""COMPUTED_VALUE"""),"MAUTS0635081")</f>
        <v>MAUTS0635081</v>
      </c>
      <c r="B750" s="2">
        <f ca="1">IFERROR(__xludf.DUMMYFUNCTION("""COMPUTED_VALUE"""),37)</f>
        <v>37</v>
      </c>
      <c r="C750" s="2">
        <f ca="1">IFERROR(__xludf.DUMMYFUNCTION("""COMPUTED_VALUE"""),37)</f>
        <v>37</v>
      </c>
      <c r="D750" s="2">
        <f ca="1">IFERROR(__xludf.DUMMYFUNCTION("""COMPUTED_VALUE"""),37)</f>
        <v>37</v>
      </c>
      <c r="E750" s="2">
        <f ca="1">IFERROR(__xludf.DUMMYFUNCTION("""COMPUTED_VALUE"""),0)</f>
        <v>0</v>
      </c>
    </row>
    <row r="751" spans="1:5" ht="12.75">
      <c r="A751" s="2" t="str">
        <f ca="1">IFERROR(__xludf.DUMMYFUNCTION("""COMPUTED_VALUE"""),"MAUTS0952061")</f>
        <v>MAUTS0952061</v>
      </c>
      <c r="B751" s="2">
        <f ca="1">IFERROR(__xludf.DUMMYFUNCTION("""COMPUTED_VALUE"""),95)</f>
        <v>95</v>
      </c>
      <c r="C751" s="2">
        <f ca="1">IFERROR(__xludf.DUMMYFUNCTION("""COMPUTED_VALUE"""),95)</f>
        <v>95</v>
      </c>
      <c r="D751" s="2">
        <f ca="1">IFERROR(__xludf.DUMMYFUNCTION("""COMPUTED_VALUE"""),95)</f>
        <v>95</v>
      </c>
      <c r="E751" s="2">
        <f ca="1">IFERROR(__xludf.DUMMYFUNCTION("""COMPUTED_VALUE"""),0)</f>
        <v>0</v>
      </c>
    </row>
    <row r="752" spans="1:5" ht="12.75">
      <c r="A752" s="2" t="str">
        <f ca="1">IFERROR(__xludf.DUMMYFUNCTION("""COMPUTED_VALUE"""),"MAUTS0952071")</f>
        <v>MAUTS0952071</v>
      </c>
      <c r="B752" s="2">
        <f ca="1">IFERROR(__xludf.DUMMYFUNCTION("""COMPUTED_VALUE"""),149)</f>
        <v>149</v>
      </c>
      <c r="C752" s="2">
        <f ca="1">IFERROR(__xludf.DUMMYFUNCTION("""COMPUTED_VALUE"""),149)</f>
        <v>149</v>
      </c>
      <c r="D752" s="2">
        <f ca="1">IFERROR(__xludf.DUMMYFUNCTION("""COMPUTED_VALUE"""),149)</f>
        <v>149</v>
      </c>
      <c r="E752" s="2">
        <f ca="1">IFERROR(__xludf.DUMMYFUNCTION("""COMPUTED_VALUE"""),0)</f>
        <v>0</v>
      </c>
    </row>
    <row r="753" spans="1:5" ht="12.75">
      <c r="A753" s="2" t="str">
        <f ca="1">IFERROR(__xludf.DUMMYFUNCTION("""COMPUTED_VALUE"""),"MAUTS0952071150")</f>
        <v>MAUTS0952071150</v>
      </c>
      <c r="B753" s="2">
        <f ca="1">IFERROR(__xludf.DUMMYFUNCTION("""COMPUTED_VALUE"""),1)</f>
        <v>1</v>
      </c>
      <c r="C753" s="2">
        <f ca="1">IFERROR(__xludf.DUMMYFUNCTION("""COMPUTED_VALUE"""),1)</f>
        <v>1</v>
      </c>
      <c r="D753" s="2">
        <f ca="1">IFERROR(__xludf.DUMMYFUNCTION("""COMPUTED_VALUE"""),1)</f>
        <v>1</v>
      </c>
      <c r="E753" s="2">
        <f ca="1">IFERROR(__xludf.DUMMYFUNCTION("""COMPUTED_VALUE"""),0)</f>
        <v>0</v>
      </c>
    </row>
    <row r="754" spans="1:5" ht="12.75">
      <c r="A754" s="2" t="str">
        <f ca="1">IFERROR(__xludf.DUMMYFUNCTION("""COMPUTED_VALUE"""),"MAUTS0952081")</f>
        <v>MAUTS0952081</v>
      </c>
      <c r="B754" s="2">
        <f ca="1">IFERROR(__xludf.DUMMYFUNCTION("""COMPUTED_VALUE"""),49)</f>
        <v>49</v>
      </c>
      <c r="C754" s="2">
        <f ca="1">IFERROR(__xludf.DUMMYFUNCTION("""COMPUTED_VALUE"""),49)</f>
        <v>49</v>
      </c>
      <c r="D754" s="2">
        <f ca="1">IFERROR(__xludf.DUMMYFUNCTION("""COMPUTED_VALUE"""),49)</f>
        <v>49</v>
      </c>
      <c r="E754" s="2">
        <f ca="1">IFERROR(__xludf.DUMMYFUNCTION("""COMPUTED_VALUE"""),0)</f>
        <v>0</v>
      </c>
    </row>
    <row r="755" spans="1:5" ht="12.75">
      <c r="A755" s="2" t="str">
        <f ca="1">IFERROR(__xludf.DUMMYFUNCTION("""COMPUTED_VALUE"""),"MAUTS0952081150")</f>
        <v>MAUTS0952081150</v>
      </c>
      <c r="B755" s="2">
        <f ca="1">IFERROR(__xludf.DUMMYFUNCTION("""COMPUTED_VALUE"""),1)</f>
        <v>1</v>
      </c>
      <c r="C755" s="2">
        <f ca="1">IFERROR(__xludf.DUMMYFUNCTION("""COMPUTED_VALUE"""),1)</f>
        <v>1</v>
      </c>
      <c r="D755" s="2">
        <f ca="1">IFERROR(__xludf.DUMMYFUNCTION("""COMPUTED_VALUE"""),1)</f>
        <v>1</v>
      </c>
      <c r="E755" s="2">
        <f ca="1">IFERROR(__xludf.DUMMYFUNCTION("""COMPUTED_VALUE"""),0)</f>
        <v>0</v>
      </c>
    </row>
    <row r="756" spans="1:5" ht="12.75">
      <c r="A756" s="2" t="str">
        <f ca="1">IFERROR(__xludf.DUMMYFUNCTION("""COMPUTED_VALUE"""),"MAUTS1270061")</f>
        <v>MAUTS1270061</v>
      </c>
      <c r="B756" s="2">
        <f ca="1">IFERROR(__xludf.DUMMYFUNCTION("""COMPUTED_VALUE"""),99)</f>
        <v>99</v>
      </c>
      <c r="C756" s="2">
        <f ca="1">IFERROR(__xludf.DUMMYFUNCTION("""COMPUTED_VALUE"""),99)</f>
        <v>99</v>
      </c>
      <c r="D756" s="2">
        <f ca="1">IFERROR(__xludf.DUMMYFUNCTION("""COMPUTED_VALUE"""),99)</f>
        <v>99</v>
      </c>
      <c r="E756" s="2">
        <f ca="1">IFERROR(__xludf.DUMMYFUNCTION("""COMPUTED_VALUE"""),0)</f>
        <v>0</v>
      </c>
    </row>
    <row r="757" spans="1:5" ht="12.75">
      <c r="A757" s="2" t="str">
        <f ca="1">IFERROR(__xludf.DUMMYFUNCTION("""COMPUTED_VALUE"""),"MAUTS1270071")</f>
        <v>MAUTS1270071</v>
      </c>
      <c r="B757" s="2">
        <f ca="1">IFERROR(__xludf.DUMMYFUNCTION("""COMPUTED_VALUE"""),152)</f>
        <v>152</v>
      </c>
      <c r="C757" s="2">
        <f ca="1">IFERROR(__xludf.DUMMYFUNCTION("""COMPUTED_VALUE"""),152)</f>
        <v>152</v>
      </c>
      <c r="D757" s="2">
        <f ca="1">IFERROR(__xludf.DUMMYFUNCTION("""COMPUTED_VALUE"""),152)</f>
        <v>152</v>
      </c>
      <c r="E757" s="2">
        <f ca="1">IFERROR(__xludf.DUMMYFUNCTION("""COMPUTED_VALUE"""),0)</f>
        <v>0</v>
      </c>
    </row>
    <row r="758" spans="1:5" ht="12.75">
      <c r="A758" s="2" t="str">
        <f ca="1">IFERROR(__xludf.DUMMYFUNCTION("""COMPUTED_VALUE"""),"MAUTS1270071150")</f>
        <v>MAUTS1270071150</v>
      </c>
      <c r="B758" s="2">
        <f ca="1">IFERROR(__xludf.DUMMYFUNCTION("""COMPUTED_VALUE"""),1)</f>
        <v>1</v>
      </c>
      <c r="C758" s="2">
        <f ca="1">IFERROR(__xludf.DUMMYFUNCTION("""COMPUTED_VALUE"""),1)</f>
        <v>1</v>
      </c>
      <c r="D758" s="2">
        <f ca="1">IFERROR(__xludf.DUMMYFUNCTION("""COMPUTED_VALUE"""),1)</f>
        <v>1</v>
      </c>
      <c r="E758" s="2">
        <f ca="1">IFERROR(__xludf.DUMMYFUNCTION("""COMPUTED_VALUE"""),0)</f>
        <v>0</v>
      </c>
    </row>
    <row r="759" spans="1:5" ht="12.75">
      <c r="A759" s="2" t="str">
        <f ca="1">IFERROR(__xludf.DUMMYFUNCTION("""COMPUTED_VALUE"""),"MAUTS1270081")</f>
        <v>MAUTS1270081</v>
      </c>
      <c r="B759" s="2">
        <f ca="1">IFERROR(__xludf.DUMMYFUNCTION("""COMPUTED_VALUE"""),43)</f>
        <v>43</v>
      </c>
      <c r="C759" s="2">
        <f ca="1">IFERROR(__xludf.DUMMYFUNCTION("""COMPUTED_VALUE"""),45)</f>
        <v>45</v>
      </c>
      <c r="D759" s="2">
        <f ca="1">IFERROR(__xludf.DUMMYFUNCTION("""COMPUTED_VALUE"""),43)</f>
        <v>43</v>
      </c>
      <c r="E759" s="2">
        <f ca="1">IFERROR(__xludf.DUMMYFUNCTION("""COMPUTED_VALUE"""),2)</f>
        <v>2</v>
      </c>
    </row>
    <row r="760" spans="1:5" ht="12.75">
      <c r="A760" s="2" t="str">
        <f ca="1">IFERROR(__xludf.DUMMYFUNCTION("""COMPUTED_VALUE"""),"MAUTS1588071")</f>
        <v>MAUTS1588071</v>
      </c>
      <c r="B760" s="2">
        <f ca="1">IFERROR(__xludf.DUMMYFUNCTION("""COMPUTED_VALUE"""),275)</f>
        <v>275</v>
      </c>
      <c r="C760" s="2">
        <f ca="1">IFERROR(__xludf.DUMMYFUNCTION("""COMPUTED_VALUE"""),275)</f>
        <v>275</v>
      </c>
      <c r="D760" s="2">
        <f ca="1">IFERROR(__xludf.DUMMYFUNCTION("""COMPUTED_VALUE"""),275)</f>
        <v>275</v>
      </c>
      <c r="E760" s="2">
        <f ca="1">IFERROR(__xludf.DUMMYFUNCTION("""COMPUTED_VALUE"""),0)</f>
        <v>0</v>
      </c>
    </row>
    <row r="761" spans="1:5" ht="12.75">
      <c r="A761" s="2" t="str">
        <f ca="1">IFERROR(__xludf.DUMMYFUNCTION("""COMPUTED_VALUE"""),"MAUTS1588081")</f>
        <v>MAUTS1588081</v>
      </c>
      <c r="B761" s="2">
        <f ca="1">IFERROR(__xludf.DUMMYFUNCTION("""COMPUTED_VALUE"""),98)</f>
        <v>98</v>
      </c>
      <c r="C761" s="2">
        <f ca="1">IFERROR(__xludf.DUMMYFUNCTION("""COMPUTED_VALUE"""),98)</f>
        <v>98</v>
      </c>
      <c r="D761" s="2">
        <f ca="1">IFERROR(__xludf.DUMMYFUNCTION("""COMPUTED_VALUE"""),98)</f>
        <v>98</v>
      </c>
      <c r="E761" s="2">
        <f ca="1">IFERROR(__xludf.DUMMYFUNCTION("""COMPUTED_VALUE"""),0)</f>
        <v>0</v>
      </c>
    </row>
    <row r="762" spans="1:5" ht="12.75">
      <c r="A762" s="2" t="str">
        <f ca="1">IFERROR(__xludf.DUMMYFUNCTION("""COMPUTED_VALUE"""),"MAUTS1588081150")</f>
        <v>MAUTS1588081150</v>
      </c>
      <c r="B762" s="2">
        <f ca="1">IFERROR(__xludf.DUMMYFUNCTION("""COMPUTED_VALUE"""),1)</f>
        <v>1</v>
      </c>
      <c r="C762" s="2">
        <f ca="1">IFERROR(__xludf.DUMMYFUNCTION("""COMPUTED_VALUE"""),1)</f>
        <v>1</v>
      </c>
      <c r="D762" s="2">
        <f ca="1">IFERROR(__xludf.DUMMYFUNCTION("""COMPUTED_VALUE"""),1)</f>
        <v>1</v>
      </c>
      <c r="E762" s="2">
        <f ca="1">IFERROR(__xludf.DUMMYFUNCTION("""COMPUTED_VALUE"""),0)</f>
        <v>0</v>
      </c>
    </row>
    <row r="763" spans="1:5" ht="12.75">
      <c r="A763" s="2" t="str">
        <f ca="1">IFERROR(__xludf.DUMMYFUNCTION("""COMPUTED_VALUE"""),"MAUTS1588100")</f>
        <v>MAUTS1588100</v>
      </c>
      <c r="B763" s="2">
        <f ca="1">IFERROR(__xludf.DUMMYFUNCTION("""COMPUTED_VALUE"""),35)</f>
        <v>35</v>
      </c>
      <c r="C763" s="2">
        <f ca="1">IFERROR(__xludf.DUMMYFUNCTION("""COMPUTED_VALUE"""),37)</f>
        <v>37</v>
      </c>
      <c r="D763" s="2">
        <f ca="1">IFERROR(__xludf.DUMMYFUNCTION("""COMPUTED_VALUE"""),35)</f>
        <v>35</v>
      </c>
      <c r="E763" s="2">
        <f ca="1">IFERROR(__xludf.DUMMYFUNCTION("""COMPUTED_VALUE"""),2)</f>
        <v>2</v>
      </c>
    </row>
    <row r="764" spans="1:5" ht="12.75">
      <c r="A764" s="2" t="str">
        <f ca="1">IFERROR(__xludf.DUMMYFUNCTION("""COMPUTED_VALUE"""),"MAUTS1905071")</f>
        <v>MAUTS1905071</v>
      </c>
      <c r="B764" s="2">
        <f ca="1">IFERROR(__xludf.DUMMYFUNCTION("""COMPUTED_VALUE"""),27)</f>
        <v>27</v>
      </c>
      <c r="C764" s="2">
        <f ca="1">IFERROR(__xludf.DUMMYFUNCTION("""COMPUTED_VALUE"""),27)</f>
        <v>27</v>
      </c>
      <c r="D764" s="2">
        <f ca="1">IFERROR(__xludf.DUMMYFUNCTION("""COMPUTED_VALUE"""),27)</f>
        <v>27</v>
      </c>
      <c r="E764" s="2">
        <f ca="1">IFERROR(__xludf.DUMMYFUNCTION("""COMPUTED_VALUE"""),0)</f>
        <v>0</v>
      </c>
    </row>
    <row r="765" spans="1:5" ht="12.75">
      <c r="A765" s="2" t="str">
        <f ca="1">IFERROR(__xludf.DUMMYFUNCTION("""COMPUTED_VALUE"""),"MAUTS1905081")</f>
        <v>MAUTS1905081</v>
      </c>
      <c r="B765" s="2">
        <f ca="1">IFERROR(__xludf.DUMMYFUNCTION("""COMPUTED_VALUE"""),60)</f>
        <v>60</v>
      </c>
      <c r="C765" s="2">
        <f ca="1">IFERROR(__xludf.DUMMYFUNCTION("""COMPUTED_VALUE"""),60)</f>
        <v>60</v>
      </c>
      <c r="D765" s="2">
        <f ca="1">IFERROR(__xludf.DUMMYFUNCTION("""COMPUTED_VALUE"""),60)</f>
        <v>60</v>
      </c>
      <c r="E765" s="2">
        <f ca="1">IFERROR(__xludf.DUMMYFUNCTION("""COMPUTED_VALUE"""),0)</f>
        <v>0</v>
      </c>
    </row>
    <row r="766" spans="1:5" ht="12.75">
      <c r="A766" s="2" t="str">
        <f ca="1">IFERROR(__xludf.DUMMYFUNCTION("""COMPUTED_VALUE"""),"MAUTS1905081150")</f>
        <v>MAUTS1905081150</v>
      </c>
      <c r="B766" s="2">
        <f ca="1">IFERROR(__xludf.DUMMYFUNCTION("""COMPUTED_VALUE"""),1)</f>
        <v>1</v>
      </c>
      <c r="C766" s="2">
        <f ca="1">IFERROR(__xludf.DUMMYFUNCTION("""COMPUTED_VALUE"""),1)</f>
        <v>1</v>
      </c>
      <c r="D766" s="2">
        <f ca="1">IFERROR(__xludf.DUMMYFUNCTION("""COMPUTED_VALUE"""),1)</f>
        <v>1</v>
      </c>
      <c r="E766" s="2">
        <f ca="1">IFERROR(__xludf.DUMMYFUNCTION("""COMPUTED_VALUE"""),0)</f>
        <v>0</v>
      </c>
    </row>
    <row r="767" spans="1:5" ht="12.75">
      <c r="A767" s="2" t="str">
        <f ca="1">IFERROR(__xludf.DUMMYFUNCTION("""COMPUTED_VALUE"""),"MAUTS1905100")</f>
        <v>MAUTS1905100</v>
      </c>
      <c r="B767" s="2">
        <f ca="1">IFERROR(__xludf.DUMMYFUNCTION("""COMPUTED_VALUE"""),83)</f>
        <v>83</v>
      </c>
      <c r="C767" s="2">
        <f ca="1">IFERROR(__xludf.DUMMYFUNCTION("""COMPUTED_VALUE"""),85)</f>
        <v>85</v>
      </c>
      <c r="D767" s="2">
        <f ca="1">IFERROR(__xludf.DUMMYFUNCTION("""COMPUTED_VALUE"""),83)</f>
        <v>83</v>
      </c>
      <c r="E767" s="2">
        <f ca="1">IFERROR(__xludf.DUMMYFUNCTION("""COMPUTED_VALUE"""),2)</f>
        <v>2</v>
      </c>
    </row>
    <row r="768" spans="1:5" ht="12.75">
      <c r="A768" s="2" t="str">
        <f ca="1">IFERROR(__xludf.DUMMYFUNCTION("""COMPUTED_VALUE"""),"MAUTS1905100150")</f>
        <v>MAUTS1905100150</v>
      </c>
      <c r="B768" s="2">
        <f ca="1">IFERROR(__xludf.DUMMYFUNCTION("""COMPUTED_VALUE"""),1)</f>
        <v>1</v>
      </c>
      <c r="C768" s="2">
        <f ca="1">IFERROR(__xludf.DUMMYFUNCTION("""COMPUTED_VALUE"""),1)</f>
        <v>1</v>
      </c>
      <c r="D768" s="2">
        <f ca="1">IFERROR(__xludf.DUMMYFUNCTION("""COMPUTED_VALUE"""),1)</f>
        <v>1</v>
      </c>
      <c r="E768" s="2">
        <f ca="1">IFERROR(__xludf.DUMMYFUNCTION("""COMPUTED_VALUE"""),0)</f>
        <v>0</v>
      </c>
    </row>
    <row r="769" spans="1:5" ht="12.75">
      <c r="A769" s="2" t="str">
        <f ca="1">IFERROR(__xludf.DUMMYFUNCTION("""COMPUTED_VALUE"""),"MAUTS2222081")</f>
        <v>MAUTS2222081</v>
      </c>
      <c r="B769" s="2">
        <f ca="1">IFERROR(__xludf.DUMMYFUNCTION("""COMPUTED_VALUE"""),18)</f>
        <v>18</v>
      </c>
      <c r="C769" s="2">
        <f ca="1">IFERROR(__xludf.DUMMYFUNCTION("""COMPUTED_VALUE"""),18)</f>
        <v>18</v>
      </c>
      <c r="D769" s="2">
        <f ca="1">IFERROR(__xludf.DUMMYFUNCTION("""COMPUTED_VALUE"""),18)</f>
        <v>18</v>
      </c>
      <c r="E769" s="2">
        <f ca="1">IFERROR(__xludf.DUMMYFUNCTION("""COMPUTED_VALUE"""),0)</f>
        <v>0</v>
      </c>
    </row>
    <row r="770" spans="1:5" ht="12.75">
      <c r="A770" s="2" t="str">
        <f ca="1">IFERROR(__xludf.DUMMYFUNCTION("""COMPUTED_VALUE"""),"MAUTS2222100")</f>
        <v>MAUTS2222100</v>
      </c>
      <c r="B770" s="2">
        <f ca="1">IFERROR(__xludf.DUMMYFUNCTION("""COMPUTED_VALUE"""),43)</f>
        <v>43</v>
      </c>
      <c r="C770" s="2">
        <f ca="1">IFERROR(__xludf.DUMMYFUNCTION("""COMPUTED_VALUE"""),45)</f>
        <v>45</v>
      </c>
      <c r="D770" s="2">
        <f ca="1">IFERROR(__xludf.DUMMYFUNCTION("""COMPUTED_VALUE"""),43)</f>
        <v>43</v>
      </c>
      <c r="E770" s="2">
        <f ca="1">IFERROR(__xludf.DUMMYFUNCTION("""COMPUTED_VALUE"""),2)</f>
        <v>2</v>
      </c>
    </row>
    <row r="771" spans="1:5" ht="12.75">
      <c r="A771" s="2" t="str">
        <f ca="1">IFERROR(__xludf.DUMMYFUNCTION("""COMPUTED_VALUE"""),"MAUTS2222100150")</f>
        <v>MAUTS2222100150</v>
      </c>
      <c r="B771" s="2">
        <f ca="1">IFERROR(__xludf.DUMMYFUNCTION("""COMPUTED_VALUE"""),1)</f>
        <v>1</v>
      </c>
      <c r="C771" s="2">
        <f ca="1">IFERROR(__xludf.DUMMYFUNCTION("""COMPUTED_VALUE"""),1)</f>
        <v>1</v>
      </c>
      <c r="D771" s="2">
        <f ca="1">IFERROR(__xludf.DUMMYFUNCTION("""COMPUTED_VALUE"""),1)</f>
        <v>1</v>
      </c>
      <c r="E771" s="2">
        <f ca="1">IFERROR(__xludf.DUMMYFUNCTION("""COMPUTED_VALUE"""),0)</f>
        <v>0</v>
      </c>
    </row>
    <row r="772" spans="1:5" ht="12.75">
      <c r="A772" s="2" t="str">
        <f ca="1">IFERROR(__xludf.DUMMYFUNCTION("""COMPUTED_VALUE"""),"MAUTS2540100150")</f>
        <v>MAUTS2540100150</v>
      </c>
      <c r="B772" s="2">
        <f ca="1">IFERROR(__xludf.DUMMYFUNCTION("""COMPUTED_VALUE"""),1)</f>
        <v>1</v>
      </c>
      <c r="C772" s="2">
        <f ca="1">IFERROR(__xludf.DUMMYFUNCTION("""COMPUTED_VALUE"""),1)</f>
        <v>1</v>
      </c>
      <c r="D772" s="2">
        <f ca="1">IFERROR(__xludf.DUMMYFUNCTION("""COMPUTED_VALUE"""),1)</f>
        <v>1</v>
      </c>
      <c r="E772" s="2">
        <f ca="1">IFERROR(__xludf.DUMMYFUNCTION("""COMPUTED_VALUE"""),0)</f>
        <v>0</v>
      </c>
    </row>
    <row r="773" spans="1:5" ht="12.75">
      <c r="A773" s="2" t="str">
        <f ca="1">IFERROR(__xludf.DUMMYFUNCTION("""COMPUTED_VALUE"""),"MAUTS2858100")</f>
        <v>MAUTS2858100</v>
      </c>
      <c r="B773" s="2">
        <f ca="1">IFERROR(__xludf.DUMMYFUNCTION("""COMPUTED_VALUE"""),36)</f>
        <v>36</v>
      </c>
      <c r="C773" s="2">
        <f ca="1">IFERROR(__xludf.DUMMYFUNCTION("""COMPUTED_VALUE"""),36)</f>
        <v>36</v>
      </c>
      <c r="D773" s="2">
        <f ca="1">IFERROR(__xludf.DUMMYFUNCTION("""COMPUTED_VALUE"""),36)</f>
        <v>36</v>
      </c>
      <c r="E773" s="2">
        <f ca="1">IFERROR(__xludf.DUMMYFUNCTION("""COMPUTED_VALUE"""),0)</f>
        <v>0</v>
      </c>
    </row>
    <row r="774" spans="1:5" ht="12.75">
      <c r="A774" s="2" t="str">
        <f ca="1">IFERROR(__xludf.DUMMYFUNCTION("""COMPUTED_VALUE"""),"MAUTS2858100150")</f>
        <v>MAUTS2858100150</v>
      </c>
      <c r="B774" s="2">
        <f ca="1">IFERROR(__xludf.DUMMYFUNCTION("""COMPUTED_VALUE"""),1)</f>
        <v>1</v>
      </c>
      <c r="C774" s="2">
        <f ca="1">IFERROR(__xludf.DUMMYFUNCTION("""COMPUTED_VALUE"""),1)</f>
        <v>1</v>
      </c>
      <c r="D774" s="2">
        <f ca="1">IFERROR(__xludf.DUMMYFUNCTION("""COMPUTED_VALUE"""),1)</f>
        <v>1</v>
      </c>
      <c r="E774" s="2">
        <f ca="1">IFERROR(__xludf.DUMMYFUNCTION("""COMPUTED_VALUE"""),0)</f>
        <v>0</v>
      </c>
    </row>
    <row r="775" spans="1:5" ht="12.75">
      <c r="A775" s="2" t="str">
        <f ca="1">IFERROR(__xludf.DUMMYFUNCTION("""COMPUTED_VALUE"""),"MAUTS2858120")</f>
        <v>MAUTS2858120</v>
      </c>
      <c r="B775" s="2">
        <f ca="1">IFERROR(__xludf.DUMMYFUNCTION("""COMPUTED_VALUE"""),29)</f>
        <v>29</v>
      </c>
      <c r="C775" s="2">
        <f ca="1">IFERROR(__xludf.DUMMYFUNCTION("""COMPUTED_VALUE"""),31)</f>
        <v>31</v>
      </c>
      <c r="D775" s="2">
        <f ca="1">IFERROR(__xludf.DUMMYFUNCTION("""COMPUTED_VALUE"""),29)</f>
        <v>29</v>
      </c>
      <c r="E775" s="2">
        <f ca="1">IFERROR(__xludf.DUMMYFUNCTION("""COMPUTED_VALUE"""),2)</f>
        <v>2</v>
      </c>
    </row>
    <row r="776" spans="1:5" ht="12.75">
      <c r="A776" s="2" t="str">
        <f ca="1">IFERROR(__xludf.DUMMYFUNCTION("""COMPUTED_VALUE"""),"MAUTS2858120150")</f>
        <v>MAUTS2858120150</v>
      </c>
      <c r="B776" s="2">
        <f ca="1">IFERROR(__xludf.DUMMYFUNCTION("""COMPUTED_VALUE"""),1)</f>
        <v>1</v>
      </c>
      <c r="C776" s="2">
        <f ca="1">IFERROR(__xludf.DUMMYFUNCTION("""COMPUTED_VALUE"""),1)</f>
        <v>1</v>
      </c>
      <c r="D776" s="2">
        <f ca="1">IFERROR(__xludf.DUMMYFUNCTION("""COMPUTED_VALUE"""),1)</f>
        <v>1</v>
      </c>
      <c r="E776" s="2">
        <f ca="1">IFERROR(__xludf.DUMMYFUNCTION("""COMPUTED_VALUE"""),0)</f>
        <v>0</v>
      </c>
    </row>
    <row r="777" spans="1:5" ht="12.75">
      <c r="A777" s="2" t="str">
        <f ca="1">IFERROR(__xludf.DUMMYFUNCTION("""COMPUTED_VALUE"""),"MAUTS3493120")</f>
        <v>MAUTS3493120</v>
      </c>
      <c r="B777" s="2">
        <f ca="1">IFERROR(__xludf.DUMMYFUNCTION("""COMPUTED_VALUE"""),51)</f>
        <v>51</v>
      </c>
      <c r="C777" s="2">
        <f ca="1">IFERROR(__xludf.DUMMYFUNCTION("""COMPUTED_VALUE"""),51)</f>
        <v>51</v>
      </c>
      <c r="D777" s="2">
        <f ca="1">IFERROR(__xludf.DUMMYFUNCTION("""COMPUTED_VALUE"""),51)</f>
        <v>51</v>
      </c>
      <c r="E777" s="2">
        <f ca="1">IFERROR(__xludf.DUMMYFUNCTION("""COMPUTED_VALUE"""),0)</f>
        <v>0</v>
      </c>
    </row>
    <row r="778" spans="1:5" ht="12.75">
      <c r="A778" s="2" t="str">
        <f ca="1">IFERROR(__xludf.DUMMYFUNCTION("""COMPUTED_VALUE"""),"MAUTS3810120")</f>
        <v>MAUTS3810120</v>
      </c>
      <c r="B778" s="2">
        <f ca="1">IFERROR(__xludf.DUMMYFUNCTION("""COMPUTED_VALUE"""),40)</f>
        <v>40</v>
      </c>
      <c r="C778" s="2">
        <f ca="1">IFERROR(__xludf.DUMMYFUNCTION("""COMPUTED_VALUE"""),40)</f>
        <v>40</v>
      </c>
      <c r="D778" s="2">
        <f ca="1">IFERROR(__xludf.DUMMYFUNCTION("""COMPUTED_VALUE"""),40)</f>
        <v>40</v>
      </c>
      <c r="E778" s="2">
        <f ca="1">IFERROR(__xludf.DUMMYFUNCTION("""COMPUTED_VALUE"""),0)</f>
        <v>0</v>
      </c>
    </row>
    <row r="779" spans="1:5" ht="12.75">
      <c r="A779" s="2" t="str">
        <f ca="1">IFERROR(__xludf.DUMMYFUNCTION("""COMPUTED_VALUE"""),"MAUTS3810120150")</f>
        <v>MAUTS3810120150</v>
      </c>
      <c r="B779" s="2">
        <f ca="1">IFERROR(__xludf.DUMMYFUNCTION("""COMPUTED_VALUE"""),1)</f>
        <v>1</v>
      </c>
      <c r="C779" s="2">
        <f ca="1">IFERROR(__xludf.DUMMYFUNCTION("""COMPUTED_VALUE"""),1)</f>
        <v>1</v>
      </c>
      <c r="D779" s="2">
        <f ca="1">IFERROR(__xludf.DUMMYFUNCTION("""COMPUTED_VALUE"""),1)</f>
        <v>1</v>
      </c>
      <c r="E779" s="2">
        <f ca="1">IFERROR(__xludf.DUMMYFUNCTION("""COMPUTED_VALUE"""),0)</f>
        <v>0</v>
      </c>
    </row>
    <row r="780" spans="1:5" ht="12.75">
      <c r="A780" s="2" t="str">
        <f ca="1">IFERROR(__xludf.DUMMYFUNCTION("""COMPUTED_VALUE"""),"MAUTS3810140")</f>
        <v>MAUTS3810140</v>
      </c>
      <c r="B780" s="2">
        <f ca="1">IFERROR(__xludf.DUMMYFUNCTION("""COMPUTED_VALUE"""),1)</f>
        <v>1</v>
      </c>
      <c r="C780" s="2">
        <f ca="1">IFERROR(__xludf.DUMMYFUNCTION("""COMPUTED_VALUE"""),1)</f>
        <v>1</v>
      </c>
      <c r="D780" s="2">
        <f ca="1">IFERROR(__xludf.DUMMYFUNCTION("""COMPUTED_VALUE"""),1)</f>
        <v>1</v>
      </c>
      <c r="E780" s="2">
        <f ca="1">IFERROR(__xludf.DUMMYFUNCTION("""COMPUTED_VALUE"""),0)</f>
        <v>0</v>
      </c>
    </row>
    <row r="781" spans="1:5" ht="12.75">
      <c r="A781" s="2" t="str">
        <f ca="1">IFERROR(__xludf.DUMMYFUNCTION("""COMPUTED_VALUE"""),"MAUTS4128120")</f>
        <v>MAUTS4128120</v>
      </c>
      <c r="B781" s="2">
        <f ca="1">IFERROR(__xludf.DUMMYFUNCTION("""COMPUTED_VALUE"""),19)</f>
        <v>19</v>
      </c>
      <c r="C781" s="2">
        <f ca="1">IFERROR(__xludf.DUMMYFUNCTION("""COMPUTED_VALUE"""),19)</f>
        <v>19</v>
      </c>
      <c r="D781" s="2">
        <f ca="1">IFERROR(__xludf.DUMMYFUNCTION("""COMPUTED_VALUE"""),19)</f>
        <v>19</v>
      </c>
      <c r="E781" s="2">
        <f ca="1">IFERROR(__xludf.DUMMYFUNCTION("""COMPUTED_VALUE"""),0)</f>
        <v>0</v>
      </c>
    </row>
    <row r="782" spans="1:5" ht="12.75">
      <c r="A782" s="2" t="str">
        <f ca="1">IFERROR(__xludf.DUMMYFUNCTION("""COMPUTED_VALUE"""),"MAUTS4128140")</f>
        <v>MAUTS4128140</v>
      </c>
      <c r="B782" s="2">
        <f ca="1">IFERROR(__xludf.DUMMYFUNCTION("""COMPUTED_VALUE"""),39)</f>
        <v>39</v>
      </c>
      <c r="C782" s="2">
        <f ca="1">IFERROR(__xludf.DUMMYFUNCTION("""COMPUTED_VALUE"""),39)</f>
        <v>39</v>
      </c>
      <c r="D782" s="2">
        <f ca="1">IFERROR(__xludf.DUMMYFUNCTION("""COMPUTED_VALUE"""),39)</f>
        <v>39</v>
      </c>
      <c r="E782" s="2">
        <f ca="1">IFERROR(__xludf.DUMMYFUNCTION("""COMPUTED_VALUE"""),0)</f>
        <v>0</v>
      </c>
    </row>
    <row r="783" spans="1:5" ht="12.75">
      <c r="A783" s="2" t="str">
        <f ca="1">IFERROR(__xludf.DUMMYFUNCTION("""COMPUTED_VALUE"""),"MAUTS4128150")</f>
        <v>MAUTS4128150</v>
      </c>
      <c r="B783" s="2">
        <f ca="1">IFERROR(__xludf.DUMMYFUNCTION("""COMPUTED_VALUE"""),20)</f>
        <v>20</v>
      </c>
      <c r="C783" s="2">
        <f ca="1">IFERROR(__xludf.DUMMYFUNCTION("""COMPUTED_VALUE"""),20)</f>
        <v>20</v>
      </c>
      <c r="D783" s="2">
        <f ca="1">IFERROR(__xludf.DUMMYFUNCTION("""COMPUTED_VALUE"""),20)</f>
        <v>20</v>
      </c>
      <c r="E783" s="2">
        <f ca="1">IFERROR(__xludf.DUMMYFUNCTION("""COMPUTED_VALUE"""),0)</f>
        <v>0</v>
      </c>
    </row>
    <row r="784" spans="1:5" ht="12.75">
      <c r="A784" s="2" t="str">
        <f ca="1">IFERROR(__xludf.DUMMYFUNCTION("""COMPUTED_VALUE"""),"MAUXKKOREA0610")</f>
        <v>MAUXKKOREA0610</v>
      </c>
      <c r="B784" s="2">
        <f ca="1">IFERROR(__xludf.DUMMYFUNCTION("""COMPUTED_VALUE"""),4)</f>
        <v>4</v>
      </c>
      <c r="C784" s="2">
        <f ca="1">IFERROR(__xludf.DUMMYFUNCTION("""COMPUTED_VALUE"""),4)</f>
        <v>4</v>
      </c>
      <c r="D784" s="2">
        <f ca="1">IFERROR(__xludf.DUMMYFUNCTION("""COMPUTED_VALUE"""),4)</f>
        <v>4</v>
      </c>
      <c r="E784" s="2">
        <f ca="1">IFERROR(__xludf.DUMMYFUNCTION("""COMPUTED_VALUE"""),0)</f>
        <v>0</v>
      </c>
    </row>
    <row r="785" spans="1:5" ht="12.75">
      <c r="A785" s="2" t="str">
        <f ca="1">IFERROR(__xludf.DUMMYFUNCTION("""COMPUTED_VALUE"""),"MAUXKKOREA0612")</f>
        <v>MAUXKKOREA0612</v>
      </c>
      <c r="B785" s="2">
        <f ca="1">IFERROR(__xludf.DUMMYFUNCTION("""COMPUTED_VALUE"""),17)</f>
        <v>17</v>
      </c>
      <c r="C785" s="2">
        <f ca="1">IFERROR(__xludf.DUMMYFUNCTION("""COMPUTED_VALUE"""),17)</f>
        <v>17</v>
      </c>
      <c r="D785" s="2">
        <f ca="1">IFERROR(__xludf.DUMMYFUNCTION("""COMPUTED_VALUE"""),17)</f>
        <v>17</v>
      </c>
      <c r="E785" s="2">
        <f ca="1">IFERROR(__xludf.DUMMYFUNCTION("""COMPUTED_VALUE"""),0)</f>
        <v>0</v>
      </c>
    </row>
    <row r="786" spans="1:5" ht="12.75">
      <c r="A786" s="2" t="str">
        <f ca="1">IFERROR(__xludf.DUMMYFUNCTION("""COMPUTED_VALUE"""),"MAUXKKOREA0616")</f>
        <v>MAUXKKOREA0616</v>
      </c>
      <c r="B786" s="2">
        <f ca="1">IFERROR(__xludf.DUMMYFUNCTION("""COMPUTED_VALUE"""),4)</f>
        <v>4</v>
      </c>
      <c r="C786" s="2">
        <f ca="1">IFERROR(__xludf.DUMMYFUNCTION("""COMPUTED_VALUE"""),4)</f>
        <v>4</v>
      </c>
      <c r="D786" s="2">
        <f ca="1">IFERROR(__xludf.DUMMYFUNCTION("""COMPUTED_VALUE"""),4)</f>
        <v>4</v>
      </c>
      <c r="E786" s="2">
        <f ca="1">IFERROR(__xludf.DUMMYFUNCTION("""COMPUTED_VALUE"""),0)</f>
        <v>0</v>
      </c>
    </row>
    <row r="787" spans="1:5" ht="12.75">
      <c r="A787" s="2" t="str">
        <f ca="1">IFERROR(__xludf.DUMMYFUNCTION("""COMPUTED_VALUE"""),"MAUXKKOREA1016")</f>
        <v>MAUXKKOREA1016</v>
      </c>
      <c r="B787" s="2">
        <f ca="1">IFERROR(__xludf.DUMMYFUNCTION("""COMPUTED_VALUE"""),1)</f>
        <v>1</v>
      </c>
      <c r="C787" s="2">
        <f ca="1">IFERROR(__xludf.DUMMYFUNCTION("""COMPUTED_VALUE"""),1)</f>
        <v>1</v>
      </c>
      <c r="D787" s="2">
        <f ca="1">IFERROR(__xludf.DUMMYFUNCTION("""COMPUTED_VALUE"""),1)</f>
        <v>1</v>
      </c>
      <c r="E787" s="2">
        <f ca="1">IFERROR(__xludf.DUMMYFUNCTION("""COMPUTED_VALUE"""),0)</f>
        <v>0</v>
      </c>
    </row>
    <row r="788" spans="1:5" ht="12.75">
      <c r="A788" s="2" t="str">
        <f ca="1">IFERROR(__xludf.DUMMYFUNCTION("""COMPUTED_VALUE"""),"MAUXKTS0610")</f>
        <v>MAUXKTS0610</v>
      </c>
      <c r="B788" s="2">
        <f ca="1">IFERROR(__xludf.DUMMYFUNCTION("""COMPUTED_VALUE"""),19)</f>
        <v>19</v>
      </c>
      <c r="C788" s="2">
        <f ca="1">IFERROR(__xludf.DUMMYFUNCTION("""COMPUTED_VALUE"""),19)</f>
        <v>19</v>
      </c>
      <c r="D788" s="2">
        <f ca="1">IFERROR(__xludf.DUMMYFUNCTION("""COMPUTED_VALUE"""),19)</f>
        <v>19</v>
      </c>
      <c r="E788" s="2">
        <f ca="1">IFERROR(__xludf.DUMMYFUNCTION("""COMPUTED_VALUE"""),0)</f>
        <v>0</v>
      </c>
    </row>
    <row r="789" spans="1:5" ht="12.75">
      <c r="A789" s="2" t="str">
        <f ca="1">IFERROR(__xludf.DUMMYFUNCTION("""COMPUTED_VALUE"""),"MAUXKTS0612")</f>
        <v>MAUXKTS0612</v>
      </c>
      <c r="B789" s="2">
        <f ca="1">IFERROR(__xludf.DUMMYFUNCTION("""COMPUTED_VALUE"""),21)</f>
        <v>21</v>
      </c>
      <c r="C789" s="2">
        <f ca="1">IFERROR(__xludf.DUMMYFUNCTION("""COMPUTED_VALUE"""),21)</f>
        <v>21</v>
      </c>
      <c r="D789" s="2">
        <f ca="1">IFERROR(__xludf.DUMMYFUNCTION("""COMPUTED_VALUE"""),21)</f>
        <v>21</v>
      </c>
      <c r="E789" s="2">
        <f ca="1">IFERROR(__xludf.DUMMYFUNCTION("""COMPUTED_VALUE"""),0)</f>
        <v>0</v>
      </c>
    </row>
    <row r="790" spans="1:5" ht="12.75">
      <c r="A790" s="2" t="str">
        <f ca="1">IFERROR(__xludf.DUMMYFUNCTION("""COMPUTED_VALUE"""),"MHMTM2600")</f>
        <v>MHMTM2600</v>
      </c>
      <c r="B790" s="2">
        <f ca="1">IFERROR(__xludf.DUMMYFUNCTION("""COMPUTED_VALUE"""),1)</f>
        <v>1</v>
      </c>
      <c r="C790" s="2">
        <f ca="1">IFERROR(__xludf.DUMMYFUNCTION("""COMPUTED_VALUE"""),1)</f>
        <v>1</v>
      </c>
      <c r="D790" s="2">
        <f ca="1">IFERROR(__xludf.DUMMYFUNCTION("""COMPUTED_VALUE"""),1)</f>
        <v>1</v>
      </c>
      <c r="E790" s="2">
        <f ca="1">IFERROR(__xludf.DUMMYFUNCTION("""COMPUTED_VALUE"""),0)</f>
        <v>0</v>
      </c>
    </row>
    <row r="791" spans="1:5" ht="12.75">
      <c r="A791" s="2" t="str">
        <f ca="1">IFERROR(__xludf.DUMMYFUNCTION("""COMPUTED_VALUE"""),"MNK2V32S225AUA18")</f>
        <v>MNK2V32S225AUA18</v>
      </c>
      <c r="B791" s="2">
        <f ca="1">IFERROR(__xludf.DUMMYFUNCTION("""COMPUTED_VALUE"""),8)</f>
        <v>8</v>
      </c>
      <c r="C791" s="2">
        <f ca="1">IFERROR(__xludf.DUMMYFUNCTION("""COMPUTED_VALUE"""),8)</f>
        <v>8</v>
      </c>
      <c r="D791" s="2">
        <f ca="1">IFERROR(__xludf.DUMMYFUNCTION("""COMPUTED_VALUE"""),8)</f>
        <v>8</v>
      </c>
      <c r="E791" s="2">
        <f ca="1">IFERROR(__xludf.DUMMYFUNCTION("""COMPUTED_VALUE"""),0)</f>
        <v>0</v>
      </c>
    </row>
    <row r="792" spans="1:5" ht="12.75">
      <c r="A792" s="2" t="str">
        <f ca="1">IFERROR(__xludf.DUMMYFUNCTION("""COMPUTED_VALUE"""),"MNK2V42S225AUA24")</f>
        <v>MNK2V42S225AUA24</v>
      </c>
      <c r="B792" s="2">
        <f ca="1">IFERROR(__xludf.DUMMYFUNCTION("""COMPUTED_VALUE"""),35)</f>
        <v>35</v>
      </c>
      <c r="C792" s="2">
        <f ca="1">IFERROR(__xludf.DUMMYFUNCTION("""COMPUTED_VALUE"""),35)</f>
        <v>35</v>
      </c>
      <c r="D792" s="2">
        <f ca="1">IFERROR(__xludf.DUMMYFUNCTION("""COMPUTED_VALUE"""),35)</f>
        <v>35</v>
      </c>
      <c r="E792" s="2">
        <f ca="1">IFERROR(__xludf.DUMMYFUNCTION("""COMPUTED_VALUE"""),0)</f>
        <v>0</v>
      </c>
    </row>
    <row r="793" spans="1:5" ht="12.75">
      <c r="A793" s="2" t="str">
        <f ca="1">IFERROR(__xludf.DUMMYFUNCTION("""COMPUTED_VALUE"""),"MNKAL112")</f>
        <v>MNKAL112</v>
      </c>
      <c r="B793" s="2">
        <f ca="1">IFERROR(__xludf.DUMMYFUNCTION("""COMPUTED_VALUE"""),3)</f>
        <v>3</v>
      </c>
      <c r="C793" s="2">
        <f ca="1">IFERROR(__xludf.DUMMYFUNCTION("""COMPUTED_VALUE"""),3)</f>
        <v>3</v>
      </c>
      <c r="D793" s="2">
        <f ca="1">IFERROR(__xludf.DUMMYFUNCTION("""COMPUTED_VALUE"""),3)</f>
        <v>3</v>
      </c>
      <c r="E793" s="2">
        <f ca="1">IFERROR(__xludf.DUMMYFUNCTION("""COMPUTED_VALUE"""),0)</f>
        <v>0</v>
      </c>
    </row>
    <row r="794" spans="1:5" ht="12.75">
      <c r="A794" s="2" t="str">
        <f ca="1">IFERROR(__xludf.DUMMYFUNCTION("""COMPUTED_VALUE"""),"MNKAL180")</f>
        <v>MNKAL180</v>
      </c>
      <c r="B794" s="2">
        <f ca="1">IFERROR(__xludf.DUMMYFUNCTION("""COMPUTED_VALUE"""),1)</f>
        <v>1</v>
      </c>
      <c r="C794" s="2">
        <f ca="1">IFERROR(__xludf.DUMMYFUNCTION("""COMPUTED_VALUE"""),1)</f>
        <v>1</v>
      </c>
      <c r="D794" s="2">
        <f ca="1">IFERROR(__xludf.DUMMYFUNCTION("""COMPUTED_VALUE"""),1)</f>
        <v>1</v>
      </c>
      <c r="E794" s="2">
        <f ca="1">IFERROR(__xludf.DUMMYFUNCTION("""COMPUTED_VALUE"""),0)</f>
        <v>0</v>
      </c>
    </row>
    <row r="795" spans="1:5" ht="12.75">
      <c r="A795" s="2" t="str">
        <f ca="1">IFERROR(__xludf.DUMMYFUNCTION("""COMPUTED_VALUE"""),"MNKAS43")</f>
        <v>MNKAS43</v>
      </c>
      <c r="B795" s="2">
        <f ca="1">IFERROR(__xludf.DUMMYFUNCTION("""COMPUTED_VALUE"""),73)</f>
        <v>73</v>
      </c>
      <c r="C795" s="2">
        <f ca="1">IFERROR(__xludf.DUMMYFUNCTION("""COMPUTED_VALUE"""),73)</f>
        <v>73</v>
      </c>
      <c r="D795" s="2">
        <f ca="1">IFERROR(__xludf.DUMMYFUNCTION("""COMPUTED_VALUE"""),73)</f>
        <v>73</v>
      </c>
      <c r="E795" s="2">
        <f ca="1">IFERROR(__xludf.DUMMYFUNCTION("""COMPUTED_VALUE"""),0)</f>
        <v>0</v>
      </c>
    </row>
    <row r="796" spans="1:5" ht="12.75">
      <c r="A796" s="2" t="str">
        <f ca="1">IFERROR(__xludf.DUMMYFUNCTION("""COMPUTED_VALUE"""),"MNKCBZN175L5Z")</f>
        <v>MNKCBZN175L5Z</v>
      </c>
      <c r="B796" s="2">
        <f ca="1">IFERROR(__xludf.DUMMYFUNCTION("""COMPUTED_VALUE"""),84)</f>
        <v>84</v>
      </c>
      <c r="C796" s="2">
        <f ca="1">IFERROR(__xludf.DUMMYFUNCTION("""COMPUTED_VALUE"""),86)</f>
        <v>86</v>
      </c>
      <c r="D796" s="2">
        <f ca="1">IFERROR(__xludf.DUMMYFUNCTION("""COMPUTED_VALUE"""),86)</f>
        <v>86</v>
      </c>
      <c r="E796" s="2">
        <f ca="1">IFERROR(__xludf.DUMMYFUNCTION("""COMPUTED_VALUE"""),0)</f>
        <v>0</v>
      </c>
    </row>
    <row r="797" spans="1:5" ht="12.75">
      <c r="A797" s="2" t="str">
        <f ca="1">IFERROR(__xludf.DUMMYFUNCTION("""COMPUTED_VALUE"""),"MNKCR30-K6M-PF1-171")</f>
        <v>MNKCR30-K6M-PF1-171</v>
      </c>
      <c r="B797" s="2">
        <f ca="1">IFERROR(__xludf.DUMMYFUNCTION("""COMPUTED_VALUE"""),1)</f>
        <v>1</v>
      </c>
      <c r="C797" s="2">
        <f ca="1">IFERROR(__xludf.DUMMYFUNCTION("""COMPUTED_VALUE"""),1)</f>
        <v>1</v>
      </c>
      <c r="D797" s="2">
        <f ca="1">IFERROR(__xludf.DUMMYFUNCTION("""COMPUTED_VALUE"""),1)</f>
        <v>1</v>
      </c>
      <c r="E797" s="2">
        <f ca="1">IFERROR(__xludf.DUMMYFUNCTION("""COMPUTED_VALUE"""),0)</f>
        <v>0</v>
      </c>
    </row>
    <row r="798" spans="1:5" ht="12.75">
      <c r="A798" s="2" t="str">
        <f ca="1">IFERROR(__xludf.DUMMYFUNCTION("""COMPUTED_VALUE"""),"MNKDGS26CLX")</f>
        <v>MNKDGS26CLX</v>
      </c>
      <c r="B798" s="2">
        <f ca="1">IFERROR(__xludf.DUMMYFUNCTION("""COMPUTED_VALUE"""),3)</f>
        <v>3</v>
      </c>
      <c r="C798" s="2">
        <f ca="1">IFERROR(__xludf.DUMMYFUNCTION("""COMPUTED_VALUE"""),3)</f>
        <v>3</v>
      </c>
      <c r="D798" s="2">
        <f ca="1">IFERROR(__xludf.DUMMYFUNCTION("""COMPUTED_VALUE"""),3)</f>
        <v>3</v>
      </c>
      <c r="E798" s="2">
        <f ca="1">IFERROR(__xludf.DUMMYFUNCTION("""COMPUTED_VALUE"""),0)</f>
        <v>0</v>
      </c>
    </row>
    <row r="799" spans="1:5" ht="12.75">
      <c r="A799" s="2" t="str">
        <f ca="1">IFERROR(__xludf.DUMMYFUNCTION("""COMPUTED_VALUE"""),"MNKDGS34CLX")</f>
        <v>MNKDGS34CLX</v>
      </c>
      <c r="B799" s="2">
        <f ca="1">IFERROR(__xludf.DUMMYFUNCTION("""COMPUTED_VALUE"""),10)</f>
        <v>10</v>
      </c>
      <c r="C799" s="2">
        <f ca="1">IFERROR(__xludf.DUMMYFUNCTION("""COMPUTED_VALUE"""),10)</f>
        <v>10</v>
      </c>
      <c r="D799" s="2">
        <f ca="1">IFERROR(__xludf.DUMMYFUNCTION("""COMPUTED_VALUE"""),10)</f>
        <v>10</v>
      </c>
      <c r="E799" s="2">
        <f ca="1">IFERROR(__xludf.DUMMYFUNCTION("""COMPUTED_VALUE"""),0)</f>
        <v>0</v>
      </c>
    </row>
    <row r="800" spans="1:5" ht="12.75">
      <c r="A800" s="2" t="str">
        <f ca="1">IFERROR(__xludf.DUMMYFUNCTION("""COMPUTED_VALUE"""),"MNKDHML072T4LC6")</f>
        <v>MNKDHML072T4LC6</v>
      </c>
      <c r="B800" s="2">
        <f ca="1">IFERROR(__xludf.DUMMYFUNCTION("""COMPUTED_VALUE"""),4)</f>
        <v>4</v>
      </c>
      <c r="C800" s="2">
        <f ca="1">IFERROR(__xludf.DUMMYFUNCTION("""COMPUTED_VALUE"""),4)</f>
        <v>4</v>
      </c>
      <c r="D800" s="2">
        <f ca="1">IFERROR(__xludf.DUMMYFUNCTION("""COMPUTED_VALUE"""),4)</f>
        <v>4</v>
      </c>
      <c r="E800" s="2">
        <f ca="1">IFERROR(__xludf.DUMMYFUNCTION("""COMPUTED_VALUE"""),0)</f>
        <v>0</v>
      </c>
    </row>
    <row r="801" spans="1:5" ht="12.75">
      <c r="A801" s="2" t="str">
        <f ca="1">IFERROR(__xludf.DUMMYFUNCTION("""COMPUTED_VALUE"""),"MNKDHRM060-141.P6")</f>
        <v>MNKDHRM060-141.P6</v>
      </c>
      <c r="B801" s="2">
        <f ca="1">IFERROR(__xludf.DUMMYFUNCTION("""COMPUTED_VALUE"""),3)</f>
        <v>3</v>
      </c>
      <c r="C801" s="2">
        <f ca="1">IFERROR(__xludf.DUMMYFUNCTION("""COMPUTED_VALUE"""),3)</f>
        <v>3</v>
      </c>
      <c r="D801" s="2">
        <f ca="1">IFERROR(__xludf.DUMMYFUNCTION("""COMPUTED_VALUE"""),3)</f>
        <v>3</v>
      </c>
      <c r="E801" s="2">
        <f ca="1">IFERROR(__xludf.DUMMYFUNCTION("""COMPUTED_VALUE"""),0)</f>
        <v>0</v>
      </c>
    </row>
    <row r="802" spans="1:5" ht="12.75">
      <c r="A802" s="2" t="str">
        <f ca="1">IFERROR(__xludf.DUMMYFUNCTION("""COMPUTED_VALUE"""),"MNKDMT125-4VI")</f>
        <v>MNKDMT125-4VI</v>
      </c>
      <c r="B802" s="2">
        <f ca="1">IFERROR(__xludf.DUMMYFUNCTION("""COMPUTED_VALUE"""),1)</f>
        <v>1</v>
      </c>
      <c r="C802" s="2">
        <f ca="1">IFERROR(__xludf.DUMMYFUNCTION("""COMPUTED_VALUE"""),1)</f>
        <v>1</v>
      </c>
      <c r="D802" s="2">
        <f ca="1">IFERROR(__xludf.DUMMYFUNCTION("""COMPUTED_VALUE"""),1)</f>
        <v>1</v>
      </c>
      <c r="E802" s="2">
        <f ca="1">IFERROR(__xludf.DUMMYFUNCTION("""COMPUTED_VALUE"""),0)</f>
        <v>0</v>
      </c>
    </row>
    <row r="803" spans="1:5" ht="12.75">
      <c r="A803" s="2" t="str">
        <f ca="1">IFERROR(__xludf.DUMMYFUNCTION("""COMPUTED_VALUE"""),"MNKDMT144-4VM")</f>
        <v>MNKDMT144-4VM</v>
      </c>
      <c r="B803" s="2">
        <f ca="1">IFERROR(__xludf.DUMMYFUNCTION("""COMPUTED_VALUE"""),6)</f>
        <v>6</v>
      </c>
      <c r="C803" s="2">
        <f ca="1">IFERROR(__xludf.DUMMYFUNCTION("""COMPUTED_VALUE"""),6)</f>
        <v>6</v>
      </c>
      <c r="D803" s="2">
        <f ca="1">IFERROR(__xludf.DUMMYFUNCTION("""COMPUTED_VALUE"""),6)</f>
        <v>6</v>
      </c>
      <c r="E803" s="2">
        <f ca="1">IFERROR(__xludf.DUMMYFUNCTION("""COMPUTED_VALUE"""),0)</f>
        <v>0</v>
      </c>
    </row>
    <row r="804" spans="1:5" ht="12.75">
      <c r="A804" s="2" t="str">
        <f ca="1">IFERROR(__xludf.DUMMYFUNCTION("""COMPUTED_VALUE"""),"MNKDMT28-5VI")</f>
        <v>MNKDMT28-5VI</v>
      </c>
      <c r="B804" s="2">
        <f ca="1">IFERROR(__xludf.DUMMYFUNCTION("""COMPUTED_VALUE"""),3)</f>
        <v>3</v>
      </c>
      <c r="C804" s="2">
        <f ca="1">IFERROR(__xludf.DUMMYFUNCTION("""COMPUTED_VALUE"""),3)</f>
        <v>3</v>
      </c>
      <c r="D804" s="2">
        <f ca="1">IFERROR(__xludf.DUMMYFUNCTION("""COMPUTED_VALUE"""),3)</f>
        <v>3</v>
      </c>
      <c r="E804" s="2">
        <f ca="1">IFERROR(__xludf.DUMMYFUNCTION("""COMPUTED_VALUE"""),0)</f>
        <v>0</v>
      </c>
    </row>
    <row r="805" spans="1:5" ht="12.75">
      <c r="A805" s="2" t="str">
        <f ca="1">IFERROR(__xludf.DUMMYFUNCTION("""COMPUTED_VALUE"""),"MNKDMT56-4VM")</f>
        <v>MNKDMT56-4VM</v>
      </c>
      <c r="B805" s="2">
        <f ca="1">IFERROR(__xludf.DUMMYFUNCTION("""COMPUTED_VALUE"""),4)</f>
        <v>4</v>
      </c>
      <c r="C805" s="2">
        <f ca="1">IFERROR(__xludf.DUMMYFUNCTION("""COMPUTED_VALUE"""),4)</f>
        <v>4</v>
      </c>
      <c r="D805" s="2">
        <f ca="1">IFERROR(__xludf.DUMMYFUNCTION("""COMPUTED_VALUE"""),4)</f>
        <v>4</v>
      </c>
      <c r="E805" s="2">
        <f ca="1">IFERROR(__xludf.DUMMYFUNCTION("""COMPUTED_VALUE"""),0)</f>
        <v>0</v>
      </c>
    </row>
    <row r="806" spans="1:5" ht="12.75">
      <c r="A806" s="2" t="str">
        <f ca="1">IFERROR(__xludf.DUMMYFUNCTION("""COMPUTED_VALUE"""),"MNKDMTZ144-4VI")</f>
        <v>MNKDMTZ144-4VI</v>
      </c>
      <c r="B806" s="2">
        <f ca="1">IFERROR(__xludf.DUMMYFUNCTION("""COMPUTED_VALUE"""),2)</f>
        <v>2</v>
      </c>
      <c r="C806" s="2">
        <f ca="1">IFERROR(__xludf.DUMMYFUNCTION("""COMPUTED_VALUE"""),2)</f>
        <v>2</v>
      </c>
      <c r="D806" s="2">
        <f ca="1">IFERROR(__xludf.DUMMYFUNCTION("""COMPUTED_VALUE"""),2)</f>
        <v>2</v>
      </c>
      <c r="E806" s="2">
        <f ca="1">IFERROR(__xludf.DUMMYFUNCTION("""COMPUTED_VALUE"""),0)</f>
        <v>0</v>
      </c>
    </row>
    <row r="807" spans="1:5" ht="12.75">
      <c r="A807" s="2" t="str">
        <f ca="1">IFERROR(__xludf.DUMMYFUNCTION("""COMPUTED_VALUE"""),"MNKDMTZ160-4VI")</f>
        <v>MNKDMTZ160-4VI</v>
      </c>
      <c r="B807" s="2">
        <f ca="1">IFERROR(__xludf.DUMMYFUNCTION("""COMPUTED_VALUE"""),4)</f>
        <v>4</v>
      </c>
      <c r="C807" s="2">
        <f ca="1">IFERROR(__xludf.DUMMYFUNCTION("""COMPUTED_VALUE"""),4)</f>
        <v>4</v>
      </c>
      <c r="D807" s="2">
        <f ca="1">IFERROR(__xludf.DUMMYFUNCTION("""COMPUTED_VALUE"""),4)</f>
        <v>4</v>
      </c>
      <c r="E807" s="2">
        <f ca="1">IFERROR(__xludf.DUMMYFUNCTION("""COMPUTED_VALUE"""),0)</f>
        <v>0</v>
      </c>
    </row>
    <row r="808" spans="1:5" ht="12.75">
      <c r="A808" s="2" t="str">
        <f ca="1">IFERROR(__xludf.DUMMYFUNCTION("""COMPUTED_VALUE"""),"MNKDMTZ28-5VI")</f>
        <v>MNKDMTZ28-5VI</v>
      </c>
      <c r="B808" s="2">
        <f ca="1">IFERROR(__xludf.DUMMYFUNCTION("""COMPUTED_VALUE"""),2)</f>
        <v>2</v>
      </c>
      <c r="C808" s="2">
        <f ca="1">IFERROR(__xludf.DUMMYFUNCTION("""COMPUTED_VALUE"""),2)</f>
        <v>2</v>
      </c>
      <c r="D808" s="2">
        <f ca="1">IFERROR(__xludf.DUMMYFUNCTION("""COMPUTED_VALUE"""),2)</f>
        <v>2</v>
      </c>
      <c r="E808" s="2">
        <f ca="1">IFERROR(__xludf.DUMMYFUNCTION("""COMPUTED_VALUE"""),0)</f>
        <v>0</v>
      </c>
    </row>
    <row r="809" spans="1:5" ht="12.75">
      <c r="A809" s="2" t="str">
        <f ca="1">IFERROR(__xludf.DUMMYFUNCTION("""COMPUTED_VALUE"""),"MNKDMTZ40-4VI")</f>
        <v>MNKDMTZ40-4VI</v>
      </c>
      <c r="B809" s="2">
        <f ca="1">IFERROR(__xludf.DUMMYFUNCTION("""COMPUTED_VALUE"""),9)</f>
        <v>9</v>
      </c>
      <c r="C809" s="2">
        <f ca="1">IFERROR(__xludf.DUMMYFUNCTION("""COMPUTED_VALUE"""),9)</f>
        <v>9</v>
      </c>
      <c r="D809" s="2">
        <f ca="1">IFERROR(__xludf.DUMMYFUNCTION("""COMPUTED_VALUE"""),9)</f>
        <v>9</v>
      </c>
      <c r="E809" s="2">
        <f ca="1">IFERROR(__xludf.DUMMYFUNCTION("""COMPUTED_VALUE"""),0)</f>
        <v>0</v>
      </c>
    </row>
    <row r="810" spans="1:5" ht="12.75">
      <c r="A810" s="2" t="str">
        <f ca="1">IFERROR(__xludf.DUMMYFUNCTION("""COMPUTED_VALUE"""),"MNKDMTZ44-4VI")</f>
        <v>MNKDMTZ44-4VI</v>
      </c>
      <c r="B810" s="2">
        <f ca="1">IFERROR(__xludf.DUMMYFUNCTION("""COMPUTED_VALUE"""),1)</f>
        <v>1</v>
      </c>
      <c r="C810" s="2">
        <f ca="1">IFERROR(__xludf.DUMMYFUNCTION("""COMPUTED_VALUE"""),1)</f>
        <v>1</v>
      </c>
      <c r="D810" s="2">
        <f ca="1">IFERROR(__xludf.DUMMYFUNCTION("""COMPUTED_VALUE"""),1)</f>
        <v>1</v>
      </c>
      <c r="E810" s="2">
        <f ca="1">IFERROR(__xludf.DUMMYFUNCTION("""COMPUTED_VALUE"""),0)</f>
        <v>0</v>
      </c>
    </row>
    <row r="811" spans="1:5" ht="12.75">
      <c r="A811" s="2" t="str">
        <f ca="1">IFERROR(__xludf.DUMMYFUNCTION("""COMPUTED_VALUE"""),"MNKDMTZ56-4VI")</f>
        <v>MNKDMTZ56-4VI</v>
      </c>
      <c r="B811" s="2">
        <f ca="1">IFERROR(__xludf.DUMMYFUNCTION("""COMPUTED_VALUE"""),1)</f>
        <v>1</v>
      </c>
      <c r="C811" s="2">
        <f ca="1">IFERROR(__xludf.DUMMYFUNCTION("""COMPUTED_VALUE"""),1)</f>
        <v>1</v>
      </c>
      <c r="D811" s="2">
        <f ca="1">IFERROR(__xludf.DUMMYFUNCTION("""COMPUTED_VALUE"""),1)</f>
        <v>1</v>
      </c>
      <c r="E811" s="2">
        <f ca="1">IFERROR(__xludf.DUMMYFUNCTION("""COMPUTED_VALUE"""),0)</f>
        <v>0</v>
      </c>
    </row>
    <row r="812" spans="1:5" ht="12.75">
      <c r="A812" s="2" t="str">
        <f ca="1">IFERROR(__xludf.DUMMYFUNCTION("""COMPUTED_VALUE"""),"MNKDMTZ56-4VM")</f>
        <v>MNKDMTZ56-4VM</v>
      </c>
      <c r="B812" s="2">
        <f ca="1">IFERROR(__xludf.DUMMYFUNCTION("""COMPUTED_VALUE"""),4)</f>
        <v>4</v>
      </c>
      <c r="C812" s="2">
        <f ca="1">IFERROR(__xludf.DUMMYFUNCTION("""COMPUTED_VALUE"""),4)</f>
        <v>4</v>
      </c>
      <c r="D812" s="2">
        <f ca="1">IFERROR(__xludf.DUMMYFUNCTION("""COMPUTED_VALUE"""),4)</f>
        <v>4</v>
      </c>
      <c r="E812" s="2">
        <f ca="1">IFERROR(__xludf.DUMMYFUNCTION("""COMPUTED_VALUE"""),0)</f>
        <v>0</v>
      </c>
    </row>
    <row r="813" spans="1:5" ht="12.75">
      <c r="A813" s="2" t="str">
        <f ca="1">IFERROR(__xludf.DUMMYFUNCTION("""COMPUTED_VALUE"""),"MNKDSC15CL")</f>
        <v>MNKDSC15CL</v>
      </c>
      <c r="B813" s="2">
        <f ca="1">IFERROR(__xludf.DUMMYFUNCTION("""COMPUTED_VALUE"""),7)</f>
        <v>7</v>
      </c>
      <c r="C813" s="2">
        <f ca="1">IFERROR(__xludf.DUMMYFUNCTION("""COMPUTED_VALUE"""),7)</f>
        <v>7</v>
      </c>
      <c r="D813" s="2">
        <f ca="1">IFERROR(__xludf.DUMMYFUNCTION("""COMPUTED_VALUE"""),7)</f>
        <v>7</v>
      </c>
      <c r="E813" s="2">
        <f ca="1">IFERROR(__xludf.DUMMYFUNCTION("""COMPUTED_VALUE"""),0)</f>
        <v>0</v>
      </c>
    </row>
    <row r="814" spans="1:5" ht="12.75">
      <c r="A814" s="2" t="str">
        <f ca="1">IFERROR(__xludf.DUMMYFUNCTION("""COMPUTED_VALUE"""),"MNKDSC18CL")</f>
        <v>MNKDSC18CL</v>
      </c>
      <c r="B814" s="2">
        <f ca="1">IFERROR(__xludf.DUMMYFUNCTION("""COMPUTED_VALUE"""),3)</f>
        <v>3</v>
      </c>
      <c r="C814" s="2">
        <f ca="1">IFERROR(__xludf.DUMMYFUNCTION("""COMPUTED_VALUE"""),3)</f>
        <v>3</v>
      </c>
      <c r="D814" s="2">
        <f ca="1">IFERROR(__xludf.DUMMYFUNCTION("""COMPUTED_VALUE"""),3)</f>
        <v>3</v>
      </c>
      <c r="E814" s="2">
        <f ca="1">IFERROR(__xludf.DUMMYFUNCTION("""COMPUTED_VALUE"""),0)</f>
        <v>0</v>
      </c>
    </row>
    <row r="815" spans="1:5" ht="12.75">
      <c r="A815" s="2" t="str">
        <f ca="1">IFERROR(__xludf.DUMMYFUNCTION("""COMPUTED_VALUE"""),"MNKDSC18G")</f>
        <v>MNKDSC18G</v>
      </c>
      <c r="B815" s="2">
        <f ca="1">IFERROR(__xludf.DUMMYFUNCTION("""COMPUTED_VALUE"""),1)</f>
        <v>1</v>
      </c>
      <c r="C815" s="2">
        <f ca="1">IFERROR(__xludf.DUMMYFUNCTION("""COMPUTED_VALUE"""),1)</f>
        <v>1</v>
      </c>
      <c r="D815" s="2">
        <f ca="1">IFERROR(__xludf.DUMMYFUNCTION("""COMPUTED_VALUE"""),1)</f>
        <v>1</v>
      </c>
      <c r="E815" s="2">
        <f ca="1">IFERROR(__xludf.DUMMYFUNCTION("""COMPUTED_VALUE"""),0)</f>
        <v>0</v>
      </c>
    </row>
    <row r="816" spans="1:5" ht="12.75">
      <c r="A816" s="2" t="str">
        <f ca="1">IFERROR(__xludf.DUMMYFUNCTION("""COMPUTED_VALUE"""),"MNKDSC21CL")</f>
        <v>MNKDSC21CL</v>
      </c>
      <c r="B816" s="2">
        <f ca="1">IFERROR(__xludf.DUMMYFUNCTION("""COMPUTED_VALUE"""),8)</f>
        <v>8</v>
      </c>
      <c r="C816" s="2">
        <f ca="1">IFERROR(__xludf.DUMMYFUNCTION("""COMPUTED_VALUE"""),8)</f>
        <v>8</v>
      </c>
      <c r="D816" s="2">
        <f ca="1">IFERROR(__xludf.DUMMYFUNCTION("""COMPUTED_VALUE"""),8)</f>
        <v>8</v>
      </c>
      <c r="E816" s="2">
        <f ca="1">IFERROR(__xludf.DUMMYFUNCTION("""COMPUTED_VALUE"""),0)</f>
        <v>0</v>
      </c>
    </row>
    <row r="817" spans="1:5" ht="12.75">
      <c r="A817" s="2" t="str">
        <f ca="1">IFERROR(__xludf.DUMMYFUNCTION("""COMPUTED_VALUE"""),"MNKDSC21G")</f>
        <v>MNKDSC21G</v>
      </c>
      <c r="B817" s="2">
        <f ca="1">IFERROR(__xludf.DUMMYFUNCTION("""COMPUTED_VALUE"""),10)</f>
        <v>10</v>
      </c>
      <c r="C817" s="2">
        <f ca="1">IFERROR(__xludf.DUMMYFUNCTION("""COMPUTED_VALUE"""),10)</f>
        <v>10</v>
      </c>
      <c r="D817" s="2">
        <f ca="1">IFERROR(__xludf.DUMMYFUNCTION("""COMPUTED_VALUE"""),10)</f>
        <v>10</v>
      </c>
      <c r="E817" s="2">
        <f ca="1">IFERROR(__xludf.DUMMYFUNCTION("""COMPUTED_VALUE"""),0)</f>
        <v>0</v>
      </c>
    </row>
    <row r="818" spans="1:5" ht="12.75">
      <c r="A818" s="2" t="str">
        <f ca="1">IFERROR(__xludf.DUMMYFUNCTION("""COMPUTED_VALUE"""),"MNKHITA303DH")</f>
        <v>MNKHITA303DH</v>
      </c>
      <c r="B818" s="2">
        <f ca="1">IFERROR(__xludf.DUMMYFUNCTION("""COMPUTED_VALUE"""),19)</f>
        <v>19</v>
      </c>
      <c r="C818" s="2">
        <f ca="1">IFERROR(__xludf.DUMMYFUNCTION("""COMPUTED_VALUE"""),19)</f>
        <v>19</v>
      </c>
      <c r="D818" s="2">
        <f ca="1">IFERROR(__xludf.DUMMYFUNCTION("""COMPUTED_VALUE"""),19)</f>
        <v>19</v>
      </c>
      <c r="E818" s="2">
        <f ca="1">IFERROR(__xludf.DUMMYFUNCTION("""COMPUTED_VALUE"""),0)</f>
        <v>0</v>
      </c>
    </row>
    <row r="819" spans="1:5" ht="12.75">
      <c r="A819" s="2" t="str">
        <f ca="1">IFERROR(__xludf.DUMMYFUNCTION("""COMPUTED_VALUE"""),"MNKHITA403DH")</f>
        <v>MNKHITA403DH</v>
      </c>
      <c r="B819" s="2">
        <f ca="1">IFERROR(__xludf.DUMMYFUNCTION("""COMPUTED_VALUE"""),7)</f>
        <v>7</v>
      </c>
      <c r="C819" s="2">
        <f ca="1">IFERROR(__xludf.DUMMYFUNCTION("""COMPUTED_VALUE"""),7)</f>
        <v>7</v>
      </c>
      <c r="D819" s="2">
        <f ca="1">IFERROR(__xludf.DUMMYFUNCTION("""COMPUTED_VALUE"""),7)</f>
        <v>7</v>
      </c>
      <c r="E819" s="2">
        <f ca="1">IFERROR(__xludf.DUMMYFUNCTION("""COMPUTED_VALUE"""),0)</f>
        <v>0</v>
      </c>
    </row>
    <row r="820" spans="1:5" ht="12.75">
      <c r="A820" s="2" t="str">
        <f ca="1">IFERROR(__xludf.DUMMYFUNCTION("""COMPUTED_VALUE"""),"MNKHITA503DH")</f>
        <v>MNKHITA503DH</v>
      </c>
      <c r="B820" s="2">
        <f ca="1">IFERROR(__xludf.DUMMYFUNCTION("""COMPUTED_VALUE"""),6)</f>
        <v>6</v>
      </c>
      <c r="C820" s="2">
        <f ca="1">IFERROR(__xludf.DUMMYFUNCTION("""COMPUTED_VALUE"""),6)</f>
        <v>6</v>
      </c>
      <c r="D820" s="2">
        <f ca="1">IFERROR(__xludf.DUMMYFUNCTION("""COMPUTED_VALUE"""),6)</f>
        <v>6</v>
      </c>
      <c r="E820" s="2">
        <f ca="1">IFERROR(__xludf.DUMMYFUNCTION("""COMPUTED_VALUE"""),0)</f>
        <v>0</v>
      </c>
    </row>
    <row r="821" spans="1:5" ht="12.75">
      <c r="A821" s="2" t="str">
        <f ca="1">IFERROR(__xludf.DUMMYFUNCTION("""COMPUTED_VALUE"""),"MNKMT50-4VI")</f>
        <v>MNKMT50-4VI</v>
      </c>
      <c r="B821" s="2">
        <f ca="1">IFERROR(__xludf.DUMMYFUNCTION("""COMPUTED_VALUE"""),1)</f>
        <v>1</v>
      </c>
      <c r="C821" s="2">
        <f ca="1">IFERROR(__xludf.DUMMYFUNCTION("""COMPUTED_VALUE"""),1)</f>
        <v>1</v>
      </c>
      <c r="D821" s="2">
        <f ca="1">IFERROR(__xludf.DUMMYFUNCTION("""COMPUTED_VALUE"""),1)</f>
        <v>1</v>
      </c>
      <c r="E821" s="2">
        <f ca="1">IFERROR(__xludf.DUMMYFUNCTION("""COMPUTED_VALUE"""),0)</f>
        <v>0</v>
      </c>
    </row>
    <row r="822" spans="1:5" ht="12.75">
      <c r="A822" s="2" t="str">
        <f ca="1">IFERROR(__xludf.DUMMYFUNCTION("""COMPUTED_VALUE"""),"MNKQXR-RA")</f>
        <v>MNKQXR-RA</v>
      </c>
      <c r="B822" s="2">
        <f ca="1">IFERROR(__xludf.DUMMYFUNCTION("""COMPUTED_VALUE"""),68)</f>
        <v>68</v>
      </c>
      <c r="C822" s="2">
        <f ca="1">IFERROR(__xludf.DUMMYFUNCTION("""COMPUTED_VALUE"""),68)</f>
        <v>68</v>
      </c>
      <c r="D822" s="2">
        <f ca="1">IFERROR(__xludf.DUMMYFUNCTION("""COMPUTED_VALUE"""),68)</f>
        <v>68</v>
      </c>
      <c r="E822" s="2">
        <f ca="1">IFERROR(__xludf.DUMMYFUNCTION("""COMPUTED_VALUE"""),0)</f>
        <v>0</v>
      </c>
    </row>
    <row r="823" spans="1:5" ht="12.75">
      <c r="A823" s="2" t="str">
        <f ca="1">IFERROR(__xludf.DUMMYFUNCTION("""COMPUTED_VALUE"""),"MNKSC12CLX")</f>
        <v>MNKSC12CLX</v>
      </c>
      <c r="B823" s="2">
        <f ca="1">IFERROR(__xludf.DUMMYFUNCTION("""COMPUTED_VALUE"""),19)</f>
        <v>19</v>
      </c>
      <c r="C823" s="2">
        <f ca="1">IFERROR(__xludf.DUMMYFUNCTION("""COMPUTED_VALUE"""),19)</f>
        <v>19</v>
      </c>
      <c r="D823" s="2">
        <f ca="1">IFERROR(__xludf.DUMMYFUNCTION("""COMPUTED_VALUE"""),19)</f>
        <v>19</v>
      </c>
      <c r="E823" s="2">
        <f ca="1">IFERROR(__xludf.DUMMYFUNCTION("""COMPUTED_VALUE"""),0)</f>
        <v>0</v>
      </c>
    </row>
    <row r="824" spans="1:5" ht="12.75">
      <c r="A824" s="2" t="str">
        <f ca="1">IFERROR(__xludf.DUMMYFUNCTION("""COMPUTED_VALUE"""),"MNKSM1004VI")</f>
        <v>MNKSM1004VI</v>
      </c>
      <c r="B824" s="2">
        <f ca="1">IFERROR(__xludf.DUMMYFUNCTION("""COMPUTED_VALUE"""),6)</f>
        <v>6</v>
      </c>
      <c r="C824" s="2">
        <f ca="1">IFERROR(__xludf.DUMMYFUNCTION("""COMPUTED_VALUE"""),6)</f>
        <v>6</v>
      </c>
      <c r="D824" s="2">
        <f ca="1">IFERROR(__xludf.DUMMYFUNCTION("""COMPUTED_VALUE"""),6)</f>
        <v>6</v>
      </c>
      <c r="E824" s="2">
        <f ca="1">IFERROR(__xludf.DUMMYFUNCTION("""COMPUTED_VALUE"""),0)</f>
        <v>0</v>
      </c>
    </row>
    <row r="825" spans="1:5" ht="12.75">
      <c r="A825" s="2" t="str">
        <f ca="1">IFERROR(__xludf.DUMMYFUNCTION("""COMPUTED_VALUE"""),"MNKSM185S4CC")</f>
        <v>MNKSM185S4CC</v>
      </c>
      <c r="B825" s="2">
        <f ca="1">IFERROR(__xludf.DUMMYFUNCTION("""COMPUTED_VALUE"""),2)</f>
        <v>2</v>
      </c>
      <c r="C825" s="2">
        <f ca="1">IFERROR(__xludf.DUMMYFUNCTION("""COMPUTED_VALUE"""),2)</f>
        <v>2</v>
      </c>
      <c r="D825" s="2">
        <f ca="1">IFERROR(__xludf.DUMMYFUNCTION("""COMPUTED_VALUE"""),2)</f>
        <v>2</v>
      </c>
      <c r="E825" s="2">
        <f ca="1">IFERROR(__xludf.DUMMYFUNCTION("""COMPUTED_VALUE"""),0)</f>
        <v>0</v>
      </c>
    </row>
    <row r="826" spans="1:5" ht="12.75">
      <c r="A826" s="2" t="str">
        <f ca="1">IFERROR(__xludf.DUMMYFUNCTION("""COMPUTED_VALUE"""),"MNKZB19KQEPJF-558")</f>
        <v>MNKZB19KQEPJF-558</v>
      </c>
      <c r="B826" s="2">
        <f ca="1">IFERROR(__xludf.DUMMYFUNCTION("""COMPUTED_VALUE"""),1)</f>
        <v>1</v>
      </c>
      <c r="C826" s="2">
        <f ca="1">IFERROR(__xludf.DUMMYFUNCTION("""COMPUTED_VALUE"""),1)</f>
        <v>1</v>
      </c>
      <c r="D826" s="2">
        <f ca="1">IFERROR(__xludf.DUMMYFUNCTION("""COMPUTED_VALUE"""),1)</f>
        <v>1</v>
      </c>
      <c r="E826" s="2">
        <f ca="1">IFERROR(__xludf.DUMMYFUNCTION("""COMPUTED_VALUE"""),0)</f>
        <v>0</v>
      </c>
    </row>
    <row r="827" spans="1:5" ht="12.75">
      <c r="A827" s="2" t="str">
        <f ca="1">IFERROR(__xludf.DUMMYFUNCTION("""COMPUTED_VALUE"""),"MNKZB21KQE-PFJ558")</f>
        <v>MNKZB21KQE-PFJ558</v>
      </c>
      <c r="B827" s="2">
        <f ca="1">IFERROR(__xludf.DUMMYFUNCTION("""COMPUTED_VALUE"""),1)</f>
        <v>1</v>
      </c>
      <c r="C827" s="2">
        <f ca="1">IFERROR(__xludf.DUMMYFUNCTION("""COMPUTED_VALUE"""),1)</f>
        <v>1</v>
      </c>
      <c r="D827" s="2">
        <f ca="1">IFERROR(__xludf.DUMMYFUNCTION("""COMPUTED_VALUE"""),1)</f>
        <v>1</v>
      </c>
      <c r="E827" s="2">
        <f ca="1">IFERROR(__xludf.DUMMYFUNCTION("""COMPUTED_VALUE"""),0)</f>
        <v>0</v>
      </c>
    </row>
    <row r="828" spans="1:5" ht="12.75">
      <c r="A828" s="2" t="str">
        <f ca="1">IFERROR(__xludf.DUMMYFUNCTION("""COMPUTED_VALUE"""),"MNKZB26KQPFJ")</f>
        <v>MNKZB26KQPFJ</v>
      </c>
      <c r="B828" s="2">
        <f ca="1">IFERROR(__xludf.DUMMYFUNCTION("""COMPUTED_VALUE"""),1)</f>
        <v>1</v>
      </c>
      <c r="C828" s="2">
        <f ca="1">IFERROR(__xludf.DUMMYFUNCTION("""COMPUTED_VALUE"""),1)</f>
        <v>1</v>
      </c>
      <c r="D828" s="2">
        <f ca="1">IFERROR(__xludf.DUMMYFUNCTION("""COMPUTED_VALUE"""),1)</f>
        <v>1</v>
      </c>
      <c r="E828" s="2">
        <f ca="1">IFERROR(__xludf.DUMMYFUNCTION("""COMPUTED_VALUE"""),0)</f>
        <v>0</v>
      </c>
    </row>
    <row r="829" spans="1:5" ht="12.75">
      <c r="A829" s="2" t="str">
        <f ca="1">IFERROR(__xludf.DUMMYFUNCTION("""COMPUTED_VALUE"""),"MNKZB38KQTFD-558")</f>
        <v>MNKZB38KQTFD-558</v>
      </c>
      <c r="B829" s="2">
        <f ca="1">IFERROR(__xludf.DUMMYFUNCTION("""COMPUTED_VALUE"""),6)</f>
        <v>6</v>
      </c>
      <c r="C829" s="2">
        <f ca="1">IFERROR(__xludf.DUMMYFUNCTION("""COMPUTED_VALUE"""),6)</f>
        <v>6</v>
      </c>
      <c r="D829" s="2">
        <f ca="1">IFERROR(__xludf.DUMMYFUNCTION("""COMPUTED_VALUE"""),6)</f>
        <v>6</v>
      </c>
      <c r="E829" s="2">
        <f ca="1">IFERROR(__xludf.DUMMYFUNCTION("""COMPUTED_VALUE"""),0)</f>
        <v>0</v>
      </c>
    </row>
    <row r="830" spans="1:5" ht="12.75">
      <c r="A830" s="2" t="str">
        <f ca="1">IFERROR(__xludf.DUMMYFUNCTION("""COMPUTED_VALUE"""),"MNKZB58KQTFD-550")</f>
        <v>MNKZB58KQTFD-550</v>
      </c>
      <c r="B830" s="2">
        <f ca="1">IFERROR(__xludf.DUMMYFUNCTION("""COMPUTED_VALUE"""),1)</f>
        <v>1</v>
      </c>
      <c r="C830" s="2">
        <f ca="1">IFERROR(__xludf.DUMMYFUNCTION("""COMPUTED_VALUE"""),1)</f>
        <v>1</v>
      </c>
      <c r="D830" s="2">
        <f ca="1">IFERROR(__xludf.DUMMYFUNCTION("""COMPUTED_VALUE"""),1)</f>
        <v>1</v>
      </c>
      <c r="E830" s="2">
        <f ca="1">IFERROR(__xludf.DUMMYFUNCTION("""COMPUTED_VALUE"""),0)</f>
        <v>0</v>
      </c>
    </row>
    <row r="831" spans="1:5" ht="12.75">
      <c r="A831" s="2" t="str">
        <f ca="1">IFERROR(__xludf.DUMMYFUNCTION("""COMPUTED_VALUE"""),"MNKZB95KQTFD550")</f>
        <v>MNKZB95KQTFD550</v>
      </c>
      <c r="B831" s="2">
        <f ca="1">IFERROR(__xludf.DUMMYFUNCTION("""COMPUTED_VALUE"""),5)</f>
        <v>5</v>
      </c>
      <c r="C831" s="2">
        <f ca="1">IFERROR(__xludf.DUMMYFUNCTION("""COMPUTED_VALUE"""),5)</f>
        <v>5</v>
      </c>
      <c r="D831" s="2">
        <f ca="1">IFERROR(__xludf.DUMMYFUNCTION("""COMPUTED_VALUE"""),5)</f>
        <v>5</v>
      </c>
      <c r="E831" s="2">
        <f ca="1">IFERROR(__xludf.DUMMYFUNCTION("""COMPUTED_VALUE"""),0)</f>
        <v>0</v>
      </c>
    </row>
    <row r="832" spans="1:5" ht="12.75">
      <c r="A832" s="2" t="str">
        <f ca="1">IFERROR(__xludf.DUMMYFUNCTION("""COMPUTED_VALUE"""),"MNKZP120KCE-TFD-522")</f>
        <v>MNKZP120KCE-TFD-522</v>
      </c>
      <c r="B832" s="2">
        <f ca="1">IFERROR(__xludf.DUMMYFUNCTION("""COMPUTED_VALUE"""),1)</f>
        <v>1</v>
      </c>
      <c r="C832" s="2">
        <f ca="1">IFERROR(__xludf.DUMMYFUNCTION("""COMPUTED_VALUE"""),1)</f>
        <v>1</v>
      </c>
      <c r="D832" s="2">
        <f ca="1">IFERROR(__xludf.DUMMYFUNCTION("""COMPUTED_VALUE"""),1)</f>
        <v>1</v>
      </c>
      <c r="E832" s="2">
        <f ca="1">IFERROR(__xludf.DUMMYFUNCTION("""COMPUTED_VALUE"""),0)</f>
        <v>0</v>
      </c>
    </row>
    <row r="833" spans="1:5" ht="12.75">
      <c r="A833" s="2" t="str">
        <f ca="1">IFERROR(__xludf.DUMMYFUNCTION("""COMPUTED_VALUE"""),"MNKZP36K3E-PFJ-522")</f>
        <v>MNKZP36K3E-PFJ-522</v>
      </c>
      <c r="B833" s="2">
        <f ca="1">IFERROR(__xludf.DUMMYFUNCTION("""COMPUTED_VALUE"""),1)</f>
        <v>1</v>
      </c>
      <c r="C833" s="2">
        <f ca="1">IFERROR(__xludf.DUMMYFUNCTION("""COMPUTED_VALUE"""),1)</f>
        <v>1</v>
      </c>
      <c r="D833" s="2">
        <f ca="1">IFERROR(__xludf.DUMMYFUNCTION("""COMPUTED_VALUE"""),1)</f>
        <v>1</v>
      </c>
      <c r="E833" s="2">
        <f ca="1">IFERROR(__xludf.DUMMYFUNCTION("""COMPUTED_VALUE"""),0)</f>
        <v>0</v>
      </c>
    </row>
    <row r="834" spans="1:5" ht="12.75">
      <c r="A834" s="2" t="str">
        <f ca="1">IFERROR(__xludf.DUMMYFUNCTION("""COMPUTED_VALUE"""),"MNKZR108KCTFD-422")</f>
        <v>MNKZR108KCTFD-422</v>
      </c>
      <c r="B834" s="2">
        <f ca="1">IFERROR(__xludf.DUMMYFUNCTION("""COMPUTED_VALUE"""),4)</f>
        <v>4</v>
      </c>
      <c r="C834" s="2">
        <f ca="1">IFERROR(__xludf.DUMMYFUNCTION("""COMPUTED_VALUE"""),4)</f>
        <v>4</v>
      </c>
      <c r="D834" s="2">
        <f ca="1">IFERROR(__xludf.DUMMYFUNCTION("""COMPUTED_VALUE"""),4)</f>
        <v>4</v>
      </c>
      <c r="E834" s="2">
        <f ca="1">IFERROR(__xludf.DUMMYFUNCTION("""COMPUTED_VALUE"""),0)</f>
        <v>0</v>
      </c>
    </row>
    <row r="835" spans="1:5" ht="12.75">
      <c r="A835" s="2" t="str">
        <f ca="1">IFERROR(__xludf.DUMMYFUNCTION("""COMPUTED_VALUE"""),"MNKZR108KCTFD-522")</f>
        <v>MNKZR108KCTFD-522</v>
      </c>
      <c r="B835" s="2">
        <f ca="1">IFERROR(__xludf.DUMMYFUNCTION("""COMPUTED_VALUE"""),10)</f>
        <v>10</v>
      </c>
      <c r="C835" s="2">
        <f ca="1">IFERROR(__xludf.DUMMYFUNCTION("""COMPUTED_VALUE"""),10)</f>
        <v>10</v>
      </c>
      <c r="D835" s="2">
        <f ca="1">IFERROR(__xludf.DUMMYFUNCTION("""COMPUTED_VALUE"""),10)</f>
        <v>10</v>
      </c>
      <c r="E835" s="2">
        <f ca="1">IFERROR(__xludf.DUMMYFUNCTION("""COMPUTED_VALUE"""),0)</f>
        <v>0</v>
      </c>
    </row>
    <row r="836" spans="1:5" ht="12.75">
      <c r="A836" s="2" t="str">
        <f ca="1">IFERROR(__xludf.DUMMYFUNCTION("""COMPUTED_VALUE"""),"MNKZR160KCETFD-422")</f>
        <v>MNKZR160KCETFD-422</v>
      </c>
      <c r="B836" s="2">
        <f ca="1">IFERROR(__xludf.DUMMYFUNCTION("""COMPUTED_VALUE"""),5)</f>
        <v>5</v>
      </c>
      <c r="C836" s="2">
        <f ca="1">IFERROR(__xludf.DUMMYFUNCTION("""COMPUTED_VALUE"""),5)</f>
        <v>5</v>
      </c>
      <c r="D836" s="2">
        <f ca="1">IFERROR(__xludf.DUMMYFUNCTION("""COMPUTED_VALUE"""),5)</f>
        <v>5</v>
      </c>
      <c r="E836" s="2">
        <f ca="1">IFERROR(__xludf.DUMMYFUNCTION("""COMPUTED_VALUE"""),0)</f>
        <v>0</v>
      </c>
    </row>
    <row r="837" spans="1:5" ht="12.75">
      <c r="A837" s="2" t="str">
        <f ca="1">IFERROR(__xludf.DUMMYFUNCTION("""COMPUTED_VALUE"""),"MNKZR160KCETFD-522")</f>
        <v>MNKZR160KCETFD-522</v>
      </c>
      <c r="B837" s="2">
        <f ca="1">IFERROR(__xludf.DUMMYFUNCTION("""COMPUTED_VALUE"""),1)</f>
        <v>1</v>
      </c>
      <c r="C837" s="2">
        <f ca="1">IFERROR(__xludf.DUMMYFUNCTION("""COMPUTED_VALUE"""),1)</f>
        <v>1</v>
      </c>
      <c r="D837" s="2">
        <f ca="1">IFERROR(__xludf.DUMMYFUNCTION("""COMPUTED_VALUE"""),1)</f>
        <v>1</v>
      </c>
      <c r="E837" s="2">
        <f ca="1">IFERROR(__xludf.DUMMYFUNCTION("""COMPUTED_VALUE"""),0)</f>
        <v>0</v>
      </c>
    </row>
    <row r="838" spans="1:5" ht="12.75">
      <c r="A838" s="2" t="str">
        <f ca="1">IFERROR(__xludf.DUMMYFUNCTION("""COMPUTED_VALUE"""),"MNKZR160KC-TFD-422")</f>
        <v>MNKZR160KC-TFD-422</v>
      </c>
      <c r="B838" s="2">
        <f ca="1">IFERROR(__xludf.DUMMYFUNCTION("""COMPUTED_VALUE"""),1)</f>
        <v>1</v>
      </c>
      <c r="C838" s="2">
        <f ca="1">IFERROR(__xludf.DUMMYFUNCTION("""COMPUTED_VALUE"""),1)</f>
        <v>1</v>
      </c>
      <c r="D838" s="2">
        <f ca="1">IFERROR(__xludf.DUMMYFUNCTION("""COMPUTED_VALUE"""),1)</f>
        <v>1</v>
      </c>
      <c r="E838" s="2">
        <f ca="1">IFERROR(__xludf.DUMMYFUNCTION("""COMPUTED_VALUE"""),0)</f>
        <v>0</v>
      </c>
    </row>
    <row r="839" spans="1:5" ht="12.75">
      <c r="A839" s="2" t="str">
        <f ca="1">IFERROR(__xludf.DUMMYFUNCTION("""COMPUTED_VALUE"""),"MNKZR160KC-TFD-522")</f>
        <v>MNKZR160KC-TFD-522</v>
      </c>
      <c r="B839" s="2">
        <f ca="1">IFERROR(__xludf.DUMMYFUNCTION("""COMPUTED_VALUE"""),3)</f>
        <v>3</v>
      </c>
      <c r="C839" s="2">
        <f ca="1">IFERROR(__xludf.DUMMYFUNCTION("""COMPUTED_VALUE"""),3)</f>
        <v>3</v>
      </c>
      <c r="D839" s="2">
        <f ca="1">IFERROR(__xludf.DUMMYFUNCTION("""COMPUTED_VALUE"""),3)</f>
        <v>3</v>
      </c>
      <c r="E839" s="2">
        <f ca="1">IFERROR(__xludf.DUMMYFUNCTION("""COMPUTED_VALUE"""),0)</f>
        <v>0</v>
      </c>
    </row>
    <row r="840" spans="1:5" ht="12.75">
      <c r="A840" s="2" t="str">
        <f ca="1">IFERROR(__xludf.DUMMYFUNCTION("""COMPUTED_VALUE"""),"MNKZR160KCTFD-550")</f>
        <v>MNKZR160KCTFD-550</v>
      </c>
      <c r="B840" s="2">
        <f ca="1">IFERROR(__xludf.DUMMYFUNCTION("""COMPUTED_VALUE"""),3)</f>
        <v>3</v>
      </c>
      <c r="C840" s="2">
        <f ca="1">IFERROR(__xludf.DUMMYFUNCTION("""COMPUTED_VALUE"""),3)</f>
        <v>3</v>
      </c>
      <c r="D840" s="2">
        <f ca="1">IFERROR(__xludf.DUMMYFUNCTION("""COMPUTED_VALUE"""),3)</f>
        <v>3</v>
      </c>
      <c r="E840" s="2">
        <f ca="1">IFERROR(__xludf.DUMMYFUNCTION("""COMPUTED_VALUE"""),0)</f>
        <v>0</v>
      </c>
    </row>
    <row r="841" spans="1:5" ht="12.75">
      <c r="A841" s="2" t="str">
        <f ca="1">IFERROR(__xludf.DUMMYFUNCTION("""COMPUTED_VALUE"""),"MNKZR28K3-PFJ-522")</f>
        <v>MNKZR28K3-PFJ-522</v>
      </c>
      <c r="B841" s="2">
        <f ca="1">IFERROR(__xludf.DUMMYFUNCTION("""COMPUTED_VALUE"""),3)</f>
        <v>3</v>
      </c>
      <c r="C841" s="2">
        <f ca="1">IFERROR(__xludf.DUMMYFUNCTION("""COMPUTED_VALUE"""),3)</f>
        <v>3</v>
      </c>
      <c r="D841" s="2">
        <f ca="1">IFERROR(__xludf.DUMMYFUNCTION("""COMPUTED_VALUE"""),3)</f>
        <v>3</v>
      </c>
      <c r="E841" s="2">
        <f ca="1">IFERROR(__xludf.DUMMYFUNCTION("""COMPUTED_VALUE"""),0)</f>
        <v>0</v>
      </c>
    </row>
    <row r="842" spans="1:5" ht="12.75">
      <c r="A842" s="2" t="str">
        <f ca="1">IFERROR(__xludf.DUMMYFUNCTION("""COMPUTED_VALUE"""),"MNKZR45K3PFJ-522")</f>
        <v>MNKZR45K3PFJ-522</v>
      </c>
      <c r="B842" s="2">
        <f ca="1">IFERROR(__xludf.DUMMYFUNCTION("""COMPUTED_VALUE"""),2)</f>
        <v>2</v>
      </c>
      <c r="C842" s="2">
        <f ca="1">IFERROR(__xludf.DUMMYFUNCTION("""COMPUTED_VALUE"""),2)</f>
        <v>2</v>
      </c>
      <c r="D842" s="2">
        <f ca="1">IFERROR(__xludf.DUMMYFUNCTION("""COMPUTED_VALUE"""),2)</f>
        <v>2</v>
      </c>
      <c r="E842" s="2">
        <f ca="1">IFERROR(__xludf.DUMMYFUNCTION("""COMPUTED_VALUE"""),0)</f>
        <v>0</v>
      </c>
    </row>
    <row r="843" spans="1:5" ht="12.75">
      <c r="A843" s="2" t="str">
        <f ca="1">IFERROR(__xludf.DUMMYFUNCTION("""COMPUTED_VALUE"""),"MNKZR45KC-TFD-522")</f>
        <v>MNKZR45KC-TFD-522</v>
      </c>
      <c r="B843" s="2">
        <f ca="1">IFERROR(__xludf.DUMMYFUNCTION("""COMPUTED_VALUE"""),5)</f>
        <v>5</v>
      </c>
      <c r="C843" s="2">
        <f ca="1">IFERROR(__xludf.DUMMYFUNCTION("""COMPUTED_VALUE"""),5)</f>
        <v>5</v>
      </c>
      <c r="D843" s="2">
        <f ca="1">IFERROR(__xludf.DUMMYFUNCTION("""COMPUTED_VALUE"""),5)</f>
        <v>5</v>
      </c>
      <c r="E843" s="2">
        <f ca="1">IFERROR(__xludf.DUMMYFUNCTION("""COMPUTED_VALUE"""),0)</f>
        <v>0</v>
      </c>
    </row>
    <row r="844" spans="1:5" ht="12.75">
      <c r="A844" s="2" t="str">
        <f ca="1">IFERROR(__xludf.DUMMYFUNCTION("""COMPUTED_VALUE"""),"MNKZR47KCTFD-522")</f>
        <v>MNKZR47KCTFD-522</v>
      </c>
      <c r="B844" s="2">
        <f ca="1">IFERROR(__xludf.DUMMYFUNCTION("""COMPUTED_VALUE"""),9)</f>
        <v>9</v>
      </c>
      <c r="C844" s="2">
        <f ca="1">IFERROR(__xludf.DUMMYFUNCTION("""COMPUTED_VALUE"""),9)</f>
        <v>9</v>
      </c>
      <c r="D844" s="2">
        <f ca="1">IFERROR(__xludf.DUMMYFUNCTION("""COMPUTED_VALUE"""),9)</f>
        <v>9</v>
      </c>
      <c r="E844" s="2">
        <f ca="1">IFERROR(__xludf.DUMMYFUNCTION("""COMPUTED_VALUE"""),0)</f>
        <v>0</v>
      </c>
    </row>
    <row r="845" spans="1:5" ht="12.75">
      <c r="A845" s="2" t="str">
        <f ca="1">IFERROR(__xludf.DUMMYFUNCTION("""COMPUTED_VALUE"""),"MNKZR57KCTFD-522")</f>
        <v>MNKZR57KCTFD-522</v>
      </c>
      <c r="B845" s="2">
        <f ca="1">IFERROR(__xludf.DUMMYFUNCTION("""COMPUTED_VALUE"""),1)</f>
        <v>1</v>
      </c>
      <c r="C845" s="2">
        <f ca="1">IFERROR(__xludf.DUMMYFUNCTION("""COMPUTED_VALUE"""),1)</f>
        <v>1</v>
      </c>
      <c r="D845" s="2">
        <f ca="1">IFERROR(__xludf.DUMMYFUNCTION("""COMPUTED_VALUE"""),1)</f>
        <v>1</v>
      </c>
      <c r="E845" s="2">
        <f ca="1">IFERROR(__xludf.DUMMYFUNCTION("""COMPUTED_VALUE"""),0)</f>
        <v>0</v>
      </c>
    </row>
    <row r="846" spans="1:5" ht="12.75">
      <c r="A846" s="2" t="str">
        <f ca="1">IFERROR(__xludf.DUMMYFUNCTION("""COMPUTED_VALUE"""),"MNKZR68KCETFD-522")</f>
        <v>MNKZR68KCETFD-522</v>
      </c>
      <c r="B846" s="2">
        <f ca="1">IFERROR(__xludf.DUMMYFUNCTION("""COMPUTED_VALUE"""),8)</f>
        <v>8</v>
      </c>
      <c r="C846" s="2">
        <f ca="1">IFERROR(__xludf.DUMMYFUNCTION("""COMPUTED_VALUE"""),8)</f>
        <v>8</v>
      </c>
      <c r="D846" s="2">
        <f ca="1">IFERROR(__xludf.DUMMYFUNCTION("""COMPUTED_VALUE"""),8)</f>
        <v>8</v>
      </c>
      <c r="E846" s="2">
        <f ca="1">IFERROR(__xludf.DUMMYFUNCTION("""COMPUTED_VALUE"""),0)</f>
        <v>0</v>
      </c>
    </row>
    <row r="847" spans="1:5" ht="12.75">
      <c r="A847" s="2" t="str">
        <f ca="1">IFERROR(__xludf.DUMMYFUNCTION("""COMPUTED_VALUE"""),"MNKZR72KC-TFD-422")</f>
        <v>MNKZR72KC-TFD-422</v>
      </c>
      <c r="B847" s="2">
        <f ca="1">IFERROR(__xludf.DUMMYFUNCTION("""COMPUTED_VALUE"""),4)</f>
        <v>4</v>
      </c>
      <c r="C847" s="2">
        <f ca="1">IFERROR(__xludf.DUMMYFUNCTION("""COMPUTED_VALUE"""),4)</f>
        <v>4</v>
      </c>
      <c r="D847" s="2">
        <f ca="1">IFERROR(__xludf.DUMMYFUNCTION("""COMPUTED_VALUE"""),4)</f>
        <v>4</v>
      </c>
      <c r="E847" s="2">
        <f ca="1">IFERROR(__xludf.DUMMYFUNCTION("""COMPUTED_VALUE"""),0)</f>
        <v>0</v>
      </c>
    </row>
    <row r="848" spans="1:5" ht="12.75">
      <c r="A848" s="2" t="str">
        <f ca="1">IFERROR(__xludf.DUMMYFUNCTION("""COMPUTED_VALUE"""),"MNKZR81KCTFD422")</f>
        <v>MNKZR81KCTFD422</v>
      </c>
      <c r="B848" s="2">
        <f ca="1">IFERROR(__xludf.DUMMYFUNCTION("""COMPUTED_VALUE"""),1)</f>
        <v>1</v>
      </c>
      <c r="C848" s="2">
        <f ca="1">IFERROR(__xludf.DUMMYFUNCTION("""COMPUTED_VALUE"""),1)</f>
        <v>1</v>
      </c>
      <c r="D848" s="2">
        <f ca="1">IFERROR(__xludf.DUMMYFUNCTION("""COMPUTED_VALUE"""),1)</f>
        <v>1</v>
      </c>
      <c r="E848" s="2">
        <f ca="1">IFERROR(__xludf.DUMMYFUNCTION("""COMPUTED_VALUE"""),0)</f>
        <v>0</v>
      </c>
    </row>
    <row r="849" spans="1:5" ht="12.75">
      <c r="A849" s="2" t="str">
        <f ca="1">IFERROR(__xludf.DUMMYFUNCTION("""COMPUTED_VALUE"""),"MNKZR94KCETFD-522")</f>
        <v>MNKZR94KCETFD-522</v>
      </c>
      <c r="B849" s="2">
        <f ca="1">IFERROR(__xludf.DUMMYFUNCTION("""COMPUTED_VALUE"""),6)</f>
        <v>6</v>
      </c>
      <c r="C849" s="2">
        <f ca="1">IFERROR(__xludf.DUMMYFUNCTION("""COMPUTED_VALUE"""),6)</f>
        <v>6</v>
      </c>
      <c r="D849" s="2">
        <f ca="1">IFERROR(__xludf.DUMMYFUNCTION("""COMPUTED_VALUE"""),6)</f>
        <v>6</v>
      </c>
      <c r="E849" s="2">
        <f ca="1">IFERROR(__xludf.DUMMYFUNCTION("""COMPUTED_VALUE"""),0)</f>
        <v>0</v>
      </c>
    </row>
    <row r="850" spans="1:5" ht="12.75">
      <c r="A850" s="2" t="str">
        <f ca="1">IFERROR(__xludf.DUMMYFUNCTION("""COMPUTED_VALUE"""),"MNKZR94KCTFD - 522")</f>
        <v>MNKZR94KCTFD - 522</v>
      </c>
      <c r="B850" s="2">
        <f ca="1">IFERROR(__xludf.DUMMYFUNCTION("""COMPUTED_VALUE"""),2)</f>
        <v>2</v>
      </c>
      <c r="C850" s="2">
        <f ca="1">IFERROR(__xludf.DUMMYFUNCTION("""COMPUTED_VALUE"""),2)</f>
        <v>2</v>
      </c>
      <c r="D850" s="2">
        <f ca="1">IFERROR(__xludf.DUMMYFUNCTION("""COMPUTED_VALUE"""),2)</f>
        <v>2</v>
      </c>
      <c r="E850" s="2">
        <f ca="1">IFERROR(__xludf.DUMMYFUNCTION("""COMPUTED_VALUE"""),0)</f>
        <v>0</v>
      </c>
    </row>
    <row r="851" spans="1:5" ht="12.75">
      <c r="A851" s="2" t="str">
        <f ca="1">IFERROR(__xludf.DUMMYFUNCTION("""COMPUTED_VALUE"""),"MNKZR94KCTFD-422")</f>
        <v>MNKZR94KCTFD-422</v>
      </c>
      <c r="B851" s="2">
        <f ca="1">IFERROR(__xludf.DUMMYFUNCTION("""COMPUTED_VALUE"""),9)</f>
        <v>9</v>
      </c>
      <c r="C851" s="2">
        <f ca="1">IFERROR(__xludf.DUMMYFUNCTION("""COMPUTED_VALUE"""),9)</f>
        <v>9</v>
      </c>
      <c r="D851" s="2">
        <f ca="1">IFERROR(__xludf.DUMMYFUNCTION("""COMPUTED_VALUE"""),9)</f>
        <v>9</v>
      </c>
      <c r="E851" s="2">
        <f ca="1">IFERROR(__xludf.DUMMYFUNCTION("""COMPUTED_VALUE"""),0)</f>
        <v>0</v>
      </c>
    </row>
    <row r="852" spans="1:5" ht="12.75">
      <c r="A852" s="2" t="str">
        <f ca="1">IFERROR(__xludf.DUMMYFUNCTION("""COMPUTED_VALUE"""),"MNKZR94KCTFD-523")</f>
        <v>MNKZR94KCTFD-523</v>
      </c>
      <c r="B852" s="2">
        <f ca="1">IFERROR(__xludf.DUMMYFUNCTION("""COMPUTED_VALUE"""),2)</f>
        <v>2</v>
      </c>
      <c r="C852" s="2">
        <f ca="1">IFERROR(__xludf.DUMMYFUNCTION("""COMPUTED_VALUE"""),2)</f>
        <v>2</v>
      </c>
      <c r="D852" s="2">
        <f ca="1">IFERROR(__xludf.DUMMYFUNCTION("""COMPUTED_VALUE"""),2)</f>
        <v>2</v>
      </c>
      <c r="E852" s="2">
        <f ca="1">IFERROR(__xludf.DUMMYFUNCTION("""COMPUTED_VALUE"""),0)</f>
        <v>0</v>
      </c>
    </row>
    <row r="853" spans="1:5" ht="12.75">
      <c r="A853" s="2" t="str">
        <f ca="1">IFERROR(__xludf.DUMMYFUNCTION("""COMPUTED_VALUE"""),"OCVITLDH")</f>
        <v>OCVITLDH</v>
      </c>
      <c r="B853" s="2">
        <f ca="1">IFERROR(__xludf.DUMMYFUNCTION("""COMPUTED_VALUE"""),795)</f>
        <v>795</v>
      </c>
      <c r="C853" s="2">
        <f ca="1">IFERROR(__xludf.DUMMYFUNCTION("""COMPUTED_VALUE"""),795)</f>
        <v>795</v>
      </c>
      <c r="D853" s="2">
        <f ca="1">IFERROR(__xludf.DUMMYFUNCTION("""COMPUTED_VALUE"""),795)</f>
        <v>795</v>
      </c>
      <c r="E853" s="2">
        <f ca="1">IFERROR(__xludf.DUMMYFUNCTION("""COMPUTED_VALUE"""),0)</f>
        <v>0</v>
      </c>
    </row>
    <row r="854" spans="1:5" ht="12.75">
      <c r="A854" s="2" t="str">
        <f ca="1">IFERROR(__xludf.DUMMYFUNCTION("""COMPUTED_VALUE"""),"ODLBOTP0610061")</f>
        <v>ODLBOTP0610061</v>
      </c>
      <c r="B854" s="2">
        <f ca="1">IFERROR(__xludf.DUMMYFUNCTION("""COMPUTED_VALUE"""),30)</f>
        <v>30</v>
      </c>
      <c r="C854" s="2">
        <f ca="1">IFERROR(__xludf.DUMMYFUNCTION("""COMPUTED_VALUE"""),30)</f>
        <v>30</v>
      </c>
      <c r="D854" s="2">
        <f ca="1">IFERROR(__xludf.DUMMYFUNCTION("""COMPUTED_VALUE"""),30)</f>
        <v>30</v>
      </c>
      <c r="E854" s="2">
        <f ca="1">IFERROR(__xludf.DUMMYFUNCTION("""COMPUTED_VALUE"""),0)</f>
        <v>0</v>
      </c>
    </row>
    <row r="855" spans="1:5" ht="12.75">
      <c r="A855" s="2" t="str">
        <f ca="1">IFERROR(__xludf.DUMMYFUNCTION("""COMPUTED_VALUE"""),"ODLBOTP0610071")</f>
        <v>ODLBOTP0610071</v>
      </c>
      <c r="B855" s="2">
        <f ca="1">IFERROR(__xludf.DUMMYFUNCTION("""COMPUTED_VALUE"""),50)</f>
        <v>50</v>
      </c>
      <c r="C855" s="2">
        <f ca="1">IFERROR(__xludf.DUMMYFUNCTION("""COMPUTED_VALUE"""),50)</f>
        <v>50</v>
      </c>
      <c r="D855" s="2">
        <f ca="1">IFERROR(__xludf.DUMMYFUNCTION("""COMPUTED_VALUE"""),50)</f>
        <v>50</v>
      </c>
      <c r="E855" s="2">
        <f ca="1">IFERROR(__xludf.DUMMYFUNCTION("""COMPUTED_VALUE"""),0)</f>
        <v>0</v>
      </c>
    </row>
    <row r="856" spans="1:5" ht="12.75">
      <c r="A856" s="2" t="str">
        <f ca="1">IFERROR(__xludf.DUMMYFUNCTION("""COMPUTED_VALUE"""),"ODLBOTP0612061")</f>
        <v>ODLBOTP0612061</v>
      </c>
      <c r="B856" s="2">
        <f ca="1">IFERROR(__xludf.DUMMYFUNCTION("""COMPUTED_VALUE"""),10)</f>
        <v>10</v>
      </c>
      <c r="C856" s="2">
        <f ca="1">IFERROR(__xludf.DUMMYFUNCTION("""COMPUTED_VALUE"""),10)</f>
        <v>10</v>
      </c>
      <c r="D856" s="2">
        <f ca="1">IFERROR(__xludf.DUMMYFUNCTION("""COMPUTED_VALUE"""),10)</f>
        <v>10</v>
      </c>
      <c r="E856" s="2">
        <f ca="1">IFERROR(__xludf.DUMMYFUNCTION("""COMPUTED_VALUE"""),0)</f>
        <v>0</v>
      </c>
    </row>
    <row r="857" spans="1:5" ht="12.75">
      <c r="A857" s="2" t="str">
        <f ca="1">IFERROR(__xludf.DUMMYFUNCTION("""COMPUTED_VALUE"""),"ODLBOTS0610061")</f>
        <v>ODLBOTS0610061</v>
      </c>
      <c r="B857" s="2">
        <f ca="1">IFERROR(__xludf.DUMMYFUNCTION("""COMPUTED_VALUE"""),49)</f>
        <v>49</v>
      </c>
      <c r="C857" s="2">
        <f ca="1">IFERROR(__xludf.DUMMYFUNCTION("""COMPUTED_VALUE"""),50)</f>
        <v>50</v>
      </c>
      <c r="D857" s="2">
        <f ca="1">IFERROR(__xludf.DUMMYFUNCTION("""COMPUTED_VALUE"""),50)</f>
        <v>50</v>
      </c>
      <c r="E857" s="2">
        <f ca="1">IFERROR(__xludf.DUMMYFUNCTION("""COMPUTED_VALUE"""),0)</f>
        <v>0</v>
      </c>
    </row>
    <row r="858" spans="1:5" ht="12.75">
      <c r="A858" s="2" t="str">
        <f ca="1">IFERROR(__xludf.DUMMYFUNCTION("""COMPUTED_VALUE"""),"ODLBOTS0610071")</f>
        <v>ODLBOTS0610071</v>
      </c>
      <c r="B858" s="2">
        <f ca="1">IFERROR(__xludf.DUMMYFUNCTION("""COMPUTED_VALUE"""),205)</f>
        <v>205</v>
      </c>
      <c r="C858" s="2">
        <f ca="1">IFERROR(__xludf.DUMMYFUNCTION("""COMPUTED_VALUE"""),205)</f>
        <v>205</v>
      </c>
      <c r="D858" s="2">
        <f ca="1">IFERROR(__xludf.DUMMYFUNCTION("""COMPUTED_VALUE"""),205)</f>
        <v>205</v>
      </c>
      <c r="E858" s="2">
        <f ca="1">IFERROR(__xludf.DUMMYFUNCTION("""COMPUTED_VALUE"""),0)</f>
        <v>0</v>
      </c>
    </row>
    <row r="859" spans="1:5" ht="12.75">
      <c r="A859" s="2" t="str">
        <f ca="1">IFERROR(__xludf.DUMMYFUNCTION("""COMPUTED_VALUE"""),"ODLBOTS0612061")</f>
        <v>ODLBOTS0612061</v>
      </c>
      <c r="B859" s="2">
        <f ca="1">IFERROR(__xludf.DUMMYFUNCTION("""COMPUTED_VALUE"""),241)</f>
        <v>241</v>
      </c>
      <c r="C859" s="2">
        <f ca="1">IFERROR(__xludf.DUMMYFUNCTION("""COMPUTED_VALUE"""),241)</f>
        <v>241</v>
      </c>
      <c r="D859" s="2">
        <f ca="1">IFERROR(__xludf.DUMMYFUNCTION("""COMPUTED_VALUE"""),241)</f>
        <v>241</v>
      </c>
      <c r="E859" s="2">
        <f ca="1">IFERROR(__xludf.DUMMYFUNCTION("""COMPUTED_VALUE"""),0)</f>
        <v>0</v>
      </c>
    </row>
    <row r="860" spans="1:5" ht="12.75">
      <c r="A860" s="2" t="str">
        <f ca="1">IFERROR(__xludf.DUMMYFUNCTION("""COMPUTED_VALUE"""),"ODLBOTS0612071")</f>
        <v>ODLBOTS0612071</v>
      </c>
      <c r="B860" s="2">
        <f ca="1">IFERROR(__xludf.DUMMYFUNCTION("""COMPUTED_VALUE"""),192)</f>
        <v>192</v>
      </c>
      <c r="C860" s="2">
        <f ca="1">IFERROR(__xludf.DUMMYFUNCTION("""COMPUTED_VALUE"""),192)</f>
        <v>192</v>
      </c>
      <c r="D860" s="2">
        <f ca="1">IFERROR(__xludf.DUMMYFUNCTION("""COMPUTED_VALUE"""),192)</f>
        <v>192</v>
      </c>
      <c r="E860" s="2">
        <f ca="1">IFERROR(__xludf.DUMMYFUNCTION("""COMPUTED_VALUE"""),0)</f>
        <v>0</v>
      </c>
    </row>
    <row r="861" spans="1:5" ht="12.75">
      <c r="A861" s="2" t="str">
        <f ca="1">IFERROR(__xludf.DUMMYFUNCTION("""COMPUTED_VALUE"""),"ODLBOTS0612081")</f>
        <v>ODLBOTS0612081</v>
      </c>
      <c r="B861" s="2">
        <f ca="1">IFERROR(__xludf.DUMMYFUNCTION("""COMPUTED_VALUE"""),2)</f>
        <v>2</v>
      </c>
      <c r="C861" s="2">
        <f ca="1">IFERROR(__xludf.DUMMYFUNCTION("""COMPUTED_VALUE"""),2)</f>
        <v>2</v>
      </c>
      <c r="D861" s="2">
        <f ca="1">IFERROR(__xludf.DUMMYFUNCTION("""COMPUTED_VALUE"""),2)</f>
        <v>2</v>
      </c>
      <c r="E861" s="2">
        <f ca="1">IFERROR(__xludf.DUMMYFUNCTION("""COMPUTED_VALUE"""),0)</f>
        <v>0</v>
      </c>
    </row>
    <row r="862" spans="1:5" ht="12.75">
      <c r="A862" s="2" t="str">
        <f ca="1">IFERROR(__xludf.DUMMYFUNCTION("""COMPUTED_VALUE"""),"OGB100")</f>
        <v>OGB100</v>
      </c>
      <c r="B862" s="2">
        <f ca="1">IFERROR(__xludf.DUMMYFUNCTION("""COMPUTED_VALUE"""),54)</f>
        <v>54</v>
      </c>
      <c r="C862" s="2">
        <f ca="1">IFERROR(__xludf.DUMMYFUNCTION("""COMPUTED_VALUE"""),79)</f>
        <v>79</v>
      </c>
      <c r="D862" s="2">
        <f ca="1">IFERROR(__xludf.DUMMYFUNCTION("""COMPUTED_VALUE"""),54)</f>
        <v>54</v>
      </c>
      <c r="E862" s="2">
        <f ca="1">IFERROR(__xludf.DUMMYFUNCTION("""COMPUTED_VALUE"""),25)</f>
        <v>25</v>
      </c>
    </row>
    <row r="863" spans="1:5" ht="12.75">
      <c r="A863" s="2" t="str">
        <f ca="1">IFERROR(__xludf.DUMMYFUNCTION("""COMPUTED_VALUE"""),"OGB150")</f>
        <v>OGB150</v>
      </c>
      <c r="B863" s="2">
        <f ca="1">IFERROR(__xludf.DUMMYFUNCTION("""COMPUTED_VALUE"""),94)</f>
        <v>94</v>
      </c>
      <c r="C863" s="2">
        <f ca="1">IFERROR(__xludf.DUMMYFUNCTION("""COMPUTED_VALUE"""),168)</f>
        <v>168</v>
      </c>
      <c r="D863" s="2">
        <f ca="1">IFERROR(__xludf.DUMMYFUNCTION("""COMPUTED_VALUE"""),94)</f>
        <v>94</v>
      </c>
      <c r="E863" s="2">
        <f ca="1">IFERROR(__xludf.DUMMYFUNCTION("""COMPUTED_VALUE"""),74)</f>
        <v>74</v>
      </c>
    </row>
    <row r="864" spans="1:5" ht="12.75">
      <c r="A864" s="2" t="str">
        <f ca="1">IFERROR(__xludf.DUMMYFUNCTION("""COMPUTED_VALUE"""),"OGB200")</f>
        <v>OGB200</v>
      </c>
      <c r="B864" s="2">
        <f ca="1">IFERROR(__xludf.DUMMYFUNCTION("""COMPUTED_VALUE"""),1138)</f>
        <v>1138</v>
      </c>
      <c r="C864" s="2">
        <f ca="1">IFERROR(__xludf.DUMMYFUNCTION("""COMPUTED_VALUE"""),1290)</f>
        <v>1290</v>
      </c>
      <c r="D864" s="2">
        <f ca="1">IFERROR(__xludf.DUMMYFUNCTION("""COMPUTED_VALUE"""),1138)</f>
        <v>1138</v>
      </c>
      <c r="E864" s="2">
        <f ca="1">IFERROR(__xludf.DUMMYFUNCTION("""COMPUTED_VALUE"""),152)</f>
        <v>152</v>
      </c>
    </row>
    <row r="865" spans="1:5" ht="12.75">
      <c r="A865" s="2" t="str">
        <f ca="1">IFERROR(__xludf.DUMMYFUNCTION("""COMPUTED_VALUE"""),"OGB250")</f>
        <v>OGB250</v>
      </c>
      <c r="B865" s="2">
        <f ca="1">IFERROR(__xludf.DUMMYFUNCTION("""COMPUTED_VALUE"""),48)</f>
        <v>48</v>
      </c>
      <c r="C865" s="2">
        <f ca="1">IFERROR(__xludf.DUMMYFUNCTION("""COMPUTED_VALUE"""),176)</f>
        <v>176</v>
      </c>
      <c r="D865" s="2">
        <f ca="1">IFERROR(__xludf.DUMMYFUNCTION("""COMPUTED_VALUE"""),48)</f>
        <v>48</v>
      </c>
      <c r="E865" s="2">
        <f ca="1">IFERROR(__xludf.DUMMYFUNCTION("""COMPUTED_VALUE"""),128)</f>
        <v>128</v>
      </c>
    </row>
    <row r="866" spans="1:5" ht="12.75">
      <c r="A866" s="2" t="str">
        <f ca="1">IFERROR(__xludf.DUMMYFUNCTION("""COMPUTED_VALUE"""),"OGB300")</f>
        <v>OGB300</v>
      </c>
      <c r="B866" s="2">
        <f ca="1">IFERROR(__xludf.DUMMYFUNCTION("""COMPUTED_VALUE"""),42)</f>
        <v>42</v>
      </c>
      <c r="C866" s="2">
        <f ca="1">IFERROR(__xludf.DUMMYFUNCTION("""COMPUTED_VALUE"""),103)</f>
        <v>103</v>
      </c>
      <c r="D866" s="2">
        <f ca="1">IFERROR(__xludf.DUMMYFUNCTION("""COMPUTED_VALUE"""),42)</f>
        <v>42</v>
      </c>
      <c r="E866" s="2">
        <f ca="1">IFERROR(__xludf.DUMMYFUNCTION("""COMPUTED_VALUE"""),61)</f>
        <v>61</v>
      </c>
    </row>
    <row r="867" spans="1:5" ht="12.75">
      <c r="A867" s="2" t="str">
        <f ca="1">IFERROR(__xludf.DUMMYFUNCTION("""COMPUTED_VALUE"""),"OGB350")</f>
        <v>OGB350</v>
      </c>
      <c r="B867" s="2">
        <f ca="1">IFERROR(__xludf.DUMMYFUNCTION("""COMPUTED_VALUE"""),11)</f>
        <v>11</v>
      </c>
      <c r="C867" s="2">
        <f ca="1">IFERROR(__xludf.DUMMYFUNCTION("""COMPUTED_VALUE"""),47)</f>
        <v>47</v>
      </c>
      <c r="D867" s="2">
        <f ca="1">IFERROR(__xludf.DUMMYFUNCTION("""COMPUTED_VALUE"""),11)</f>
        <v>11</v>
      </c>
      <c r="E867" s="2">
        <f ca="1">IFERROR(__xludf.DUMMYFUNCTION("""COMPUTED_VALUE"""),36)</f>
        <v>36</v>
      </c>
    </row>
    <row r="868" spans="1:5" ht="12.75">
      <c r="A868" s="2" t="str">
        <f ca="1">IFERROR(__xludf.DUMMYFUNCTION("""COMPUTED_VALUE"""),"OGB400")</f>
        <v>OGB400</v>
      </c>
      <c r="B868" s="2">
        <f ca="1">IFERROR(__xludf.DUMMYFUNCTION("""COMPUTED_VALUE"""),11)</f>
        <v>11</v>
      </c>
      <c r="C868" s="2">
        <f ca="1">IFERROR(__xludf.DUMMYFUNCTION("""COMPUTED_VALUE"""),11)</f>
        <v>11</v>
      </c>
      <c r="D868" s="2">
        <f ca="1">IFERROR(__xludf.DUMMYFUNCTION("""COMPUTED_VALUE"""),11)</f>
        <v>11</v>
      </c>
      <c r="E868" s="2">
        <f ca="1">IFERROR(__xludf.DUMMYFUNCTION("""COMPUTED_VALUE"""),0)</f>
        <v>0</v>
      </c>
    </row>
    <row r="869" spans="1:5" ht="12.75">
      <c r="A869" s="2" t="str">
        <f ca="1">IFERROR(__xludf.DUMMYFUNCTION("""COMPUTED_VALUE"""),"OGBPL100")</f>
        <v>OGBPL100</v>
      </c>
      <c r="B869" s="2">
        <f ca="1">IFERROR(__xludf.DUMMYFUNCTION("""COMPUTED_VALUE"""),2)</f>
        <v>2</v>
      </c>
      <c r="C869" s="2">
        <f ca="1">IFERROR(__xludf.DUMMYFUNCTION("""COMPUTED_VALUE"""),2)</f>
        <v>2</v>
      </c>
      <c r="D869" s="2">
        <f ca="1">IFERROR(__xludf.DUMMYFUNCTION("""COMPUTED_VALUE"""),2)</f>
        <v>2</v>
      </c>
      <c r="E869" s="2">
        <f ca="1">IFERROR(__xludf.DUMMYFUNCTION("""COMPUTED_VALUE"""),0)</f>
        <v>0</v>
      </c>
    </row>
    <row r="870" spans="1:5" ht="12.75">
      <c r="A870" s="2" t="str">
        <f ca="1">IFERROR(__xludf.DUMMYFUNCTION("""COMPUTED_VALUE"""),"OGBPL150")</f>
        <v>OGBPL150</v>
      </c>
      <c r="B870" s="2">
        <f ca="1">IFERROR(__xludf.DUMMYFUNCTION("""COMPUTED_VALUE"""),7)</f>
        <v>7</v>
      </c>
      <c r="C870" s="2">
        <f ca="1">IFERROR(__xludf.DUMMYFUNCTION("""COMPUTED_VALUE"""),7)</f>
        <v>7</v>
      </c>
      <c r="D870" s="2">
        <f ca="1">IFERROR(__xludf.DUMMYFUNCTION("""COMPUTED_VALUE"""),7)</f>
        <v>7</v>
      </c>
      <c r="E870" s="2">
        <f ca="1">IFERROR(__xludf.DUMMYFUNCTION("""COMPUTED_VALUE"""),0)</f>
        <v>0</v>
      </c>
    </row>
    <row r="871" spans="1:5" ht="12.75">
      <c r="A871" s="2" t="str">
        <f ca="1">IFERROR(__xludf.DUMMYFUNCTION("""COMPUTED_VALUE"""),"OGBTS150")</f>
        <v>OGBTS150</v>
      </c>
      <c r="B871" s="2">
        <f ca="1">IFERROR(__xludf.DUMMYFUNCTION("""COMPUTED_VALUE"""),16)</f>
        <v>16</v>
      </c>
      <c r="C871" s="2">
        <f ca="1">IFERROR(__xludf.DUMMYFUNCTION("""COMPUTED_VALUE"""),66)</f>
        <v>66</v>
      </c>
      <c r="D871" s="2">
        <f ca="1">IFERROR(__xludf.DUMMYFUNCTION("""COMPUTED_VALUE"""),16)</f>
        <v>16</v>
      </c>
      <c r="E871" s="2">
        <f ca="1">IFERROR(__xludf.DUMMYFUNCTION("""COMPUTED_VALUE"""),50)</f>
        <v>50</v>
      </c>
    </row>
    <row r="872" spans="1:5" ht="12.75">
      <c r="A872" s="2" t="str">
        <f ca="1">IFERROR(__xludf.DUMMYFUNCTION("""COMPUTED_VALUE"""),"OGBTS200")</f>
        <v>OGBTS200</v>
      </c>
      <c r="B872" s="2">
        <f ca="1">IFERROR(__xludf.DUMMYFUNCTION("""COMPUTED_VALUE"""),886)</f>
        <v>886</v>
      </c>
      <c r="C872" s="2">
        <f ca="1">IFERROR(__xludf.DUMMYFUNCTION("""COMPUTED_VALUE"""),990)</f>
        <v>990</v>
      </c>
      <c r="D872" s="2">
        <f ca="1">IFERROR(__xludf.DUMMYFUNCTION("""COMPUTED_VALUE"""),886)</f>
        <v>886</v>
      </c>
      <c r="E872" s="2">
        <f ca="1">IFERROR(__xludf.DUMMYFUNCTION("""COMPUTED_VALUE"""),104)</f>
        <v>104</v>
      </c>
    </row>
    <row r="873" spans="1:5" ht="12.75">
      <c r="A873" s="2" t="str">
        <f ca="1">IFERROR(__xludf.DUMMYFUNCTION("""COMPUTED_VALUE"""),"OGBTS20032")</f>
        <v>OGBTS20032</v>
      </c>
      <c r="B873" s="2">
        <f ca="1">IFERROR(__xludf.DUMMYFUNCTION("""COMPUTED_VALUE"""),2)</f>
        <v>2</v>
      </c>
      <c r="C873" s="2">
        <f ca="1">IFERROR(__xludf.DUMMYFUNCTION("""COMPUTED_VALUE"""),2)</f>
        <v>2</v>
      </c>
      <c r="D873" s="2">
        <f ca="1">IFERROR(__xludf.DUMMYFUNCTION("""COMPUTED_VALUE"""),2)</f>
        <v>2</v>
      </c>
      <c r="E873" s="2">
        <f ca="1">IFERROR(__xludf.DUMMYFUNCTION("""COMPUTED_VALUE"""),0)</f>
        <v>0</v>
      </c>
    </row>
    <row r="874" spans="1:5" ht="12.75">
      <c r="A874" s="2" t="str">
        <f ca="1">IFERROR(__xludf.DUMMYFUNCTION("""COMPUTED_VALUE"""),"OGBTS250")</f>
        <v>OGBTS250</v>
      </c>
      <c r="B874" s="2">
        <f ca="1">IFERROR(__xludf.DUMMYFUNCTION("""COMPUTED_VALUE"""),132)</f>
        <v>132</v>
      </c>
      <c r="C874" s="2">
        <f ca="1">IFERROR(__xludf.DUMMYFUNCTION("""COMPUTED_VALUE"""),182)</f>
        <v>182</v>
      </c>
      <c r="D874" s="2">
        <f ca="1">IFERROR(__xludf.DUMMYFUNCTION("""COMPUTED_VALUE"""),132)</f>
        <v>132</v>
      </c>
      <c r="E874" s="2">
        <f ca="1">IFERROR(__xludf.DUMMYFUNCTION("""COMPUTED_VALUE"""),50)</f>
        <v>50</v>
      </c>
    </row>
    <row r="875" spans="1:5" ht="12.75">
      <c r="A875" s="2" t="str">
        <f ca="1">IFERROR(__xludf.DUMMYFUNCTION("""COMPUTED_VALUE"""),"OGBTS25032")</f>
        <v>OGBTS25032</v>
      </c>
      <c r="B875" s="2">
        <f ca="1">IFERROR(__xludf.DUMMYFUNCTION("""COMPUTED_VALUE"""),2)</f>
        <v>2</v>
      </c>
      <c r="C875" s="2">
        <f ca="1">IFERROR(__xludf.DUMMYFUNCTION("""COMPUTED_VALUE"""),2)</f>
        <v>2</v>
      </c>
      <c r="D875" s="2">
        <f ca="1">IFERROR(__xludf.DUMMYFUNCTION("""COMPUTED_VALUE"""),2)</f>
        <v>2</v>
      </c>
      <c r="E875" s="2">
        <f ca="1">IFERROR(__xludf.DUMMYFUNCTION("""COMPUTED_VALUE"""),0)</f>
        <v>0</v>
      </c>
    </row>
    <row r="876" spans="1:5" ht="12.75">
      <c r="A876" s="2" t="str">
        <f ca="1">IFERROR(__xludf.DUMMYFUNCTION("""COMPUTED_VALUE"""),"OGBTS300")</f>
        <v>OGBTS300</v>
      </c>
      <c r="B876" s="2">
        <f ca="1">IFERROR(__xludf.DUMMYFUNCTION("""COMPUTED_VALUE"""),51)</f>
        <v>51</v>
      </c>
      <c r="C876" s="2">
        <f ca="1">IFERROR(__xludf.DUMMYFUNCTION("""COMPUTED_VALUE"""),67)</f>
        <v>67</v>
      </c>
      <c r="D876" s="2">
        <f ca="1">IFERROR(__xludf.DUMMYFUNCTION("""COMPUTED_VALUE"""),51)</f>
        <v>51</v>
      </c>
      <c r="E876" s="2">
        <f ca="1">IFERROR(__xludf.DUMMYFUNCTION("""COMPUTED_VALUE"""),16)</f>
        <v>16</v>
      </c>
    </row>
    <row r="877" spans="1:5" ht="12.75">
      <c r="A877" s="2" t="str">
        <f ca="1">IFERROR(__xludf.DUMMYFUNCTION("""COMPUTED_VALUE"""),"OGBTS30032")</f>
        <v>OGBTS30032</v>
      </c>
      <c r="B877" s="2">
        <f ca="1">IFERROR(__xludf.DUMMYFUNCTION("""COMPUTED_VALUE"""),12)</f>
        <v>12</v>
      </c>
      <c r="C877" s="2">
        <f ca="1">IFERROR(__xludf.DUMMYFUNCTION("""COMPUTED_VALUE"""),12)</f>
        <v>12</v>
      </c>
      <c r="D877" s="2">
        <f ca="1">IFERROR(__xludf.DUMMYFUNCTION("""COMPUTED_VALUE"""),12)</f>
        <v>12</v>
      </c>
      <c r="E877" s="2">
        <f ca="1">IFERROR(__xludf.DUMMYFUNCTION("""COMPUTED_VALUE"""),0)</f>
        <v>0</v>
      </c>
    </row>
    <row r="878" spans="1:5" ht="12.75">
      <c r="A878" s="2" t="str">
        <f ca="1">IFERROR(__xludf.DUMMYFUNCTION("""COMPUTED_VALUE"""),"OGT100")</f>
        <v>OGT100</v>
      </c>
      <c r="B878" s="2">
        <f ca="1">IFERROR(__xludf.DUMMYFUNCTION("""COMPUTED_VALUE"""),136)</f>
        <v>136</v>
      </c>
      <c r="C878" s="2">
        <f ca="1">IFERROR(__xludf.DUMMYFUNCTION("""COMPUTED_VALUE"""),325)</f>
        <v>325</v>
      </c>
      <c r="D878" s="2">
        <f ca="1">IFERROR(__xludf.DUMMYFUNCTION("""COMPUTED_VALUE"""),136)</f>
        <v>136</v>
      </c>
      <c r="E878" s="2">
        <f ca="1">IFERROR(__xludf.DUMMYFUNCTION("""COMPUTED_VALUE"""),189)</f>
        <v>189</v>
      </c>
    </row>
    <row r="879" spans="1:5" ht="12.75">
      <c r="A879" s="2" t="str">
        <f ca="1">IFERROR(__xludf.DUMMYFUNCTION("""COMPUTED_VALUE"""),"OGT150")</f>
        <v>OGT150</v>
      </c>
      <c r="B879" s="2">
        <f ca="1">IFERROR(__xludf.DUMMYFUNCTION("""COMPUTED_VALUE"""),111)</f>
        <v>111</v>
      </c>
      <c r="C879" s="2">
        <f ca="1">IFERROR(__xludf.DUMMYFUNCTION("""COMPUTED_VALUE"""),237)</f>
        <v>237</v>
      </c>
      <c r="D879" s="2">
        <f ca="1">IFERROR(__xludf.DUMMYFUNCTION("""COMPUTED_VALUE"""),111)</f>
        <v>111</v>
      </c>
      <c r="E879" s="2">
        <f ca="1">IFERROR(__xludf.DUMMYFUNCTION("""COMPUTED_VALUE"""),126)</f>
        <v>126</v>
      </c>
    </row>
    <row r="880" spans="1:5" ht="12.75">
      <c r="A880" s="2" t="str">
        <f ca="1">IFERROR(__xludf.DUMMYFUNCTION("""COMPUTED_VALUE"""),"OGT200")</f>
        <v>OGT200</v>
      </c>
      <c r="B880" s="2">
        <f ca="1">IFERROR(__xludf.DUMMYFUNCTION("""COMPUTED_VALUE"""),217)</f>
        <v>217</v>
      </c>
      <c r="C880" s="2">
        <f ca="1">IFERROR(__xludf.DUMMYFUNCTION("""COMPUTED_VALUE"""),260)</f>
        <v>260</v>
      </c>
      <c r="D880" s="2">
        <f ca="1">IFERROR(__xludf.DUMMYFUNCTION("""COMPUTED_VALUE"""),217)</f>
        <v>217</v>
      </c>
      <c r="E880" s="2">
        <f ca="1">IFERROR(__xludf.DUMMYFUNCTION("""COMPUTED_VALUE"""),43)</f>
        <v>43</v>
      </c>
    </row>
    <row r="881" spans="1:5" ht="12.75">
      <c r="A881" s="2" t="str">
        <f ca="1">IFERROR(__xludf.DUMMYFUNCTION("""COMPUTED_VALUE"""),"OGT250")</f>
        <v>OGT250</v>
      </c>
      <c r="B881" s="2">
        <f ca="1">IFERROR(__xludf.DUMMYFUNCTION("""COMPUTED_VALUE"""),99)</f>
        <v>99</v>
      </c>
      <c r="C881" s="2">
        <f ca="1">IFERROR(__xludf.DUMMYFUNCTION("""COMPUTED_VALUE"""),118)</f>
        <v>118</v>
      </c>
      <c r="D881" s="2">
        <f ca="1">IFERROR(__xludf.DUMMYFUNCTION("""COMPUTED_VALUE"""),99)</f>
        <v>99</v>
      </c>
      <c r="E881" s="2">
        <f ca="1">IFERROR(__xludf.DUMMYFUNCTION("""COMPUTED_VALUE"""),19)</f>
        <v>19</v>
      </c>
    </row>
    <row r="882" spans="1:5" ht="12.75">
      <c r="A882" s="2" t="str">
        <f ca="1">IFERROR(__xludf.DUMMYFUNCTION("""COMPUTED_VALUE"""),"OGT300")</f>
        <v>OGT300</v>
      </c>
      <c r="B882" s="2">
        <f ca="1">IFERROR(__xludf.DUMMYFUNCTION("""COMPUTED_VALUE"""),4)</f>
        <v>4</v>
      </c>
      <c r="C882" s="2">
        <f ca="1">IFERROR(__xludf.DUMMYFUNCTION("""COMPUTED_VALUE"""),24)</f>
        <v>24</v>
      </c>
      <c r="D882" s="2">
        <f ca="1">IFERROR(__xludf.DUMMYFUNCTION("""COMPUTED_VALUE"""),4)</f>
        <v>4</v>
      </c>
      <c r="E882" s="2">
        <f ca="1">IFERROR(__xludf.DUMMYFUNCTION("""COMPUTED_VALUE"""),20)</f>
        <v>20</v>
      </c>
    </row>
    <row r="883" spans="1:5" ht="12.75">
      <c r="A883" s="2" t="str">
        <f ca="1">IFERROR(__xludf.DUMMYFUNCTION("""COMPUTED_VALUE"""),"OGT350")</f>
        <v>OGT350</v>
      </c>
      <c r="B883" s="2">
        <f ca="1">IFERROR(__xludf.DUMMYFUNCTION("""COMPUTED_VALUE"""),6)</f>
        <v>6</v>
      </c>
      <c r="C883" s="2">
        <f ca="1">IFERROR(__xludf.DUMMYFUNCTION("""COMPUTED_VALUE"""),19)</f>
        <v>19</v>
      </c>
      <c r="D883" s="2">
        <f ca="1">IFERROR(__xludf.DUMMYFUNCTION("""COMPUTED_VALUE"""),6)</f>
        <v>6</v>
      </c>
      <c r="E883" s="2">
        <f ca="1">IFERROR(__xludf.DUMMYFUNCTION("""COMPUTED_VALUE"""),13)</f>
        <v>13</v>
      </c>
    </row>
    <row r="884" spans="1:5" ht="12.75">
      <c r="A884" s="2" t="str">
        <f ca="1">IFERROR(__xludf.DUMMYFUNCTION("""COMPUTED_VALUE"""),"OGT400")</f>
        <v>OGT400</v>
      </c>
      <c r="B884" s="2">
        <f ca="1">IFERROR(__xludf.DUMMYFUNCTION("""COMPUTED_VALUE"""),13)</f>
        <v>13</v>
      </c>
      <c r="C884" s="2">
        <f ca="1">IFERROR(__xludf.DUMMYFUNCTION("""COMPUTED_VALUE"""),13)</f>
        <v>13</v>
      </c>
      <c r="D884" s="2">
        <f ca="1">IFERROR(__xludf.DUMMYFUNCTION("""COMPUTED_VALUE"""),13)</f>
        <v>13</v>
      </c>
      <c r="E884" s="2">
        <f ca="1">IFERROR(__xludf.DUMMYFUNCTION("""COMPUTED_VALUE"""),0)</f>
        <v>0</v>
      </c>
    </row>
    <row r="885" spans="1:5" ht="12.75">
      <c r="A885" s="2" t="str">
        <f ca="1">IFERROR(__xludf.DUMMYFUNCTION("""COMPUTED_VALUE"""),"OGTTS250")</f>
        <v>OGTTS250</v>
      </c>
      <c r="B885" s="2">
        <f ca="1">IFERROR(__xludf.DUMMYFUNCTION("""COMPUTED_VALUE"""),16)</f>
        <v>16</v>
      </c>
      <c r="C885" s="2">
        <f ca="1">IFERROR(__xludf.DUMMYFUNCTION("""COMPUTED_VALUE"""),16)</f>
        <v>16</v>
      </c>
      <c r="D885" s="2">
        <f ca="1">IFERROR(__xludf.DUMMYFUNCTION("""COMPUTED_VALUE"""),16)</f>
        <v>16</v>
      </c>
      <c r="E885" s="2">
        <f ca="1">IFERROR(__xludf.DUMMYFUNCTION("""COMPUTED_VALUE"""),0)</f>
        <v>0</v>
      </c>
    </row>
    <row r="886" spans="1:5" ht="12.75">
      <c r="A886" s="2" t="str">
        <f ca="1">IFERROR(__xludf.DUMMYFUNCTION("""COMPUTED_VALUE"""),"PHINLDDCL303PHIN10")</f>
        <v>PHINLDDCL303PHIN10</v>
      </c>
      <c r="B886" s="2">
        <f ca="1">IFERROR(__xludf.DUMMYFUNCTION("""COMPUTED_VALUE"""),3)</f>
        <v>3</v>
      </c>
      <c r="C886" s="2">
        <f ca="1">IFERROR(__xludf.DUMMYFUNCTION("""COMPUTED_VALUE"""),3)</f>
        <v>3</v>
      </c>
      <c r="D886" s="2">
        <f ca="1">IFERROR(__xludf.DUMMYFUNCTION("""COMPUTED_VALUE"""),3)</f>
        <v>3</v>
      </c>
      <c r="E886" s="2">
        <f ca="1">IFERROR(__xludf.DUMMYFUNCTION("""COMPUTED_VALUE"""),0)</f>
        <v>0</v>
      </c>
    </row>
    <row r="887" spans="1:5" ht="12.75">
      <c r="A887" s="2" t="str">
        <f ca="1">IFERROR(__xludf.DUMMYFUNCTION("""COMPUTED_VALUE"""),"PHINLDDML306PHIN19")</f>
        <v>PHINLDDML306PHIN19</v>
      </c>
      <c r="B887" s="2">
        <f ca="1">IFERROR(__xludf.DUMMYFUNCTION("""COMPUTED_VALUE"""),40)</f>
        <v>40</v>
      </c>
      <c r="C887" s="2">
        <f ca="1">IFERROR(__xludf.DUMMYFUNCTION("""COMPUTED_VALUE"""),40)</f>
        <v>40</v>
      </c>
      <c r="D887" s="2">
        <f ca="1">IFERROR(__xludf.DUMMYFUNCTION("""COMPUTED_VALUE"""),40)</f>
        <v>40</v>
      </c>
      <c r="E887" s="2">
        <f ca="1">IFERROR(__xludf.DUMMYFUNCTION("""COMPUTED_VALUE"""),0)</f>
        <v>0</v>
      </c>
    </row>
    <row r="888" spans="1:5" ht="12.75">
      <c r="A888" s="2" t="str">
        <f ca="1">IFERROR(__xludf.DUMMYFUNCTION("""COMPUTED_VALUE"""),"PHINLEMERSON048222")</f>
        <v>PHINLEMERSON048222</v>
      </c>
      <c r="B888" s="2">
        <f ca="1">IFERROR(__xludf.DUMMYFUNCTION("""COMPUTED_VALUE"""),7)</f>
        <v>7</v>
      </c>
      <c r="C888" s="2">
        <f ca="1">IFERROR(__xludf.DUMMYFUNCTION("""COMPUTED_VALUE"""),7)</f>
        <v>7</v>
      </c>
      <c r="D888" s="2">
        <f ca="1">IFERROR(__xludf.DUMMYFUNCTION("""COMPUTED_VALUE"""),7)</f>
        <v>7</v>
      </c>
      <c r="E888" s="2">
        <f ca="1">IFERROR(__xludf.DUMMYFUNCTION("""COMPUTED_VALUE"""),0)</f>
        <v>0</v>
      </c>
    </row>
    <row r="889" spans="1:5" ht="12.75">
      <c r="A889" s="2" t="str">
        <f ca="1">IFERROR(__xludf.DUMMYFUNCTION("""COMPUTED_VALUE"""),"QCG1.5JL")</f>
        <v>QCG1.5JL</v>
      </c>
      <c r="B889" s="2">
        <f ca="1">IFERROR(__xludf.DUMMYFUNCTION("""COMPUTED_VALUE"""),1)</f>
        <v>1</v>
      </c>
      <c r="C889" s="2">
        <f ca="1">IFERROR(__xludf.DUMMYFUNCTION("""COMPUTED_VALUE"""),1)</f>
        <v>1</v>
      </c>
      <c r="D889" s="2">
        <f ca="1">IFERROR(__xludf.DUMMYFUNCTION("""COMPUTED_VALUE"""),1)</f>
        <v>1</v>
      </c>
      <c r="E889" s="2">
        <f ca="1">IFERROR(__xludf.DUMMYFUNCTION("""COMPUTED_VALUE"""),0)</f>
        <v>0</v>
      </c>
    </row>
    <row r="890" spans="1:5" ht="12.75">
      <c r="A890" s="2" t="str">
        <f ca="1">IFERROR(__xludf.DUMMYFUNCTION("""COMPUTED_VALUE"""),"QHD0")</f>
        <v>QHD0</v>
      </c>
      <c r="B890" s="2">
        <f ca="1">IFERROR(__xludf.DUMMYFUNCTION("""COMPUTED_VALUE"""),6857.6)</f>
        <v>6857.6</v>
      </c>
      <c r="C890" s="2">
        <f ca="1">IFERROR(__xludf.DUMMYFUNCTION("""COMPUTED_VALUE"""),11364.19)</f>
        <v>11364.19</v>
      </c>
      <c r="D890" s="2">
        <f ca="1">IFERROR(__xludf.DUMMYFUNCTION("""COMPUTED_VALUE"""),6857.6)</f>
        <v>6857.6</v>
      </c>
      <c r="E890" s="2">
        <f ca="1">IFERROR(__xludf.DUMMYFUNCTION("""COMPUTED_VALUE"""),4506.59)</f>
        <v>4506.59</v>
      </c>
    </row>
    <row r="891" spans="1:5" ht="12.75">
      <c r="A891" s="2" t="str">
        <f ca="1">IFERROR(__xludf.DUMMYFUNCTION("""COMPUTED_VALUE"""),"QHD0Q")</f>
        <v>QHD0Q</v>
      </c>
      <c r="B891" s="2">
        <f ca="1">IFERROR(__xludf.DUMMYFUNCTION("""COMPUTED_VALUE"""),593)</f>
        <v>593</v>
      </c>
      <c r="C891" s="2">
        <f ca="1">IFERROR(__xludf.DUMMYFUNCTION("""COMPUTED_VALUE"""),593)</f>
        <v>593</v>
      </c>
      <c r="D891" s="2">
        <f ca="1">IFERROR(__xludf.DUMMYFUNCTION("""COMPUTED_VALUE"""),593)</f>
        <v>593</v>
      </c>
      <c r="E891" s="2">
        <f ca="1">IFERROR(__xludf.DUMMYFUNCTION("""COMPUTED_VALUE"""),0)</f>
        <v>0</v>
      </c>
    </row>
    <row r="892" spans="1:5" ht="12.75">
      <c r="A892" s="2" t="str">
        <f ca="1">IFERROR(__xludf.DUMMYFUNCTION("""COMPUTED_VALUE"""),"QHD15")</f>
        <v>QHD15</v>
      </c>
      <c r="B892" s="2">
        <f ca="1">IFERROR(__xludf.DUMMYFUNCTION("""COMPUTED_VALUE"""),9.26)</f>
        <v>9.26</v>
      </c>
      <c r="C892" s="2">
        <f ca="1">IFERROR(__xludf.DUMMYFUNCTION("""COMPUTED_VALUE"""),9.26)</f>
        <v>9.26</v>
      </c>
      <c r="D892" s="2">
        <f ca="1">IFERROR(__xludf.DUMMYFUNCTION("""COMPUTED_VALUE"""),9.26)</f>
        <v>9.26</v>
      </c>
      <c r="E892" s="2">
        <f ca="1">IFERROR(__xludf.DUMMYFUNCTION("""COMPUTED_VALUE"""),0)</f>
        <v>0</v>
      </c>
    </row>
    <row r="893" spans="1:5" ht="12.75">
      <c r="A893" s="2" t="str">
        <f ca="1">IFERROR(__xludf.DUMMYFUNCTION("""COMPUTED_VALUE"""),"QHD2")</f>
        <v>QHD2</v>
      </c>
      <c r="B893" s="2">
        <f ca="1">IFERROR(__xludf.DUMMYFUNCTION("""COMPUTED_VALUE"""),45.6)</f>
        <v>45.6</v>
      </c>
      <c r="C893" s="2">
        <f ca="1">IFERROR(__xludf.DUMMYFUNCTION("""COMPUTED_VALUE"""),45.6)</f>
        <v>45.6</v>
      </c>
      <c r="D893" s="2">
        <f ca="1">IFERROR(__xludf.DUMMYFUNCTION("""COMPUTED_VALUE"""),45.6)</f>
        <v>45.6</v>
      </c>
      <c r="E893" s="2">
        <f ca="1">IFERROR(__xludf.DUMMYFUNCTION("""COMPUTED_VALUE"""),0)</f>
        <v>0</v>
      </c>
    </row>
    <row r="894" spans="1:5" ht="12.75">
      <c r="A894" s="2" t="str">
        <f ca="1">IFERROR(__xludf.DUMMYFUNCTION("""COMPUTED_VALUE"""),"QHD5")</f>
        <v>QHD5</v>
      </c>
      <c r="B894" s="2">
        <f ca="1">IFERROR(__xludf.DUMMYFUNCTION("""COMPUTED_VALUE"""),410.35)</f>
        <v>410.35</v>
      </c>
      <c r="C894" s="2">
        <f ca="1">IFERROR(__xludf.DUMMYFUNCTION("""COMPUTED_VALUE"""),433.03)</f>
        <v>433.03</v>
      </c>
      <c r="D894" s="2">
        <f ca="1">IFERROR(__xludf.DUMMYFUNCTION("""COMPUTED_VALUE"""),410.35)</f>
        <v>410.35</v>
      </c>
      <c r="E894" s="2">
        <f ca="1">IFERROR(__xludf.DUMMYFUNCTION("""COMPUTED_VALUE"""),22.68)</f>
        <v>22.68</v>
      </c>
    </row>
    <row r="895" spans="1:5" ht="12.75">
      <c r="A895" s="2" t="str">
        <f ca="1">IFERROR(__xludf.DUMMYFUNCTION("""COMPUTED_VALUE"""),"QUATCN")</f>
        <v>QUATCN</v>
      </c>
      <c r="B895" s="2">
        <f ca="1">IFERROR(__xludf.DUMMYFUNCTION("""COMPUTED_VALUE"""),1)</f>
        <v>1</v>
      </c>
      <c r="C895" s="2">
        <f ca="1">IFERROR(__xludf.DUMMYFUNCTION("""COMPUTED_VALUE"""),1)</f>
        <v>1</v>
      </c>
      <c r="D895" s="2">
        <f ca="1">IFERROR(__xludf.DUMMYFUNCTION("""COMPUTED_VALUE"""),1)</f>
        <v>1</v>
      </c>
      <c r="E895" s="2">
        <f ca="1">IFERROR(__xludf.DUMMYFUNCTION("""COMPUTED_VALUE"""),0)</f>
        <v>0</v>
      </c>
    </row>
    <row r="896" spans="1:5" ht="12.75">
      <c r="A896" s="2" t="str">
        <f ca="1">IFERROR(__xludf.DUMMYFUNCTION("""COMPUTED_VALUE"""),"QUATCOCA")</f>
        <v>QUATCOCA</v>
      </c>
      <c r="B896" s="2">
        <f ca="1">IFERROR(__xludf.DUMMYFUNCTION("""COMPUTED_VALUE"""),12)</f>
        <v>12</v>
      </c>
      <c r="C896" s="2">
        <f ca="1">IFERROR(__xludf.DUMMYFUNCTION("""COMPUTED_VALUE"""),12)</f>
        <v>12</v>
      </c>
      <c r="D896" s="2">
        <f ca="1">IFERROR(__xludf.DUMMYFUNCTION("""COMPUTED_VALUE"""),12)</f>
        <v>12</v>
      </c>
      <c r="E896" s="2">
        <f ca="1">IFERROR(__xludf.DUMMYFUNCTION("""COMPUTED_VALUE"""),0)</f>
        <v>0</v>
      </c>
    </row>
    <row r="897" spans="1:5" ht="12.75">
      <c r="A897" s="2" t="str">
        <f ca="1">IFERROR(__xludf.DUMMYFUNCTION("""COMPUTED_VALUE"""),"RACCAM")</f>
        <v>RACCAM</v>
      </c>
      <c r="B897" s="2">
        <f ca="1">IFERROR(__xludf.DUMMYFUNCTION("""COMPUTED_VALUE"""),19)</f>
        <v>19</v>
      </c>
      <c r="C897" s="2">
        <f ca="1">IFERROR(__xludf.DUMMYFUNCTION("""COMPUTED_VALUE"""),24)</f>
        <v>24</v>
      </c>
      <c r="D897" s="2">
        <f ca="1">IFERROR(__xludf.DUMMYFUNCTION("""COMPUTED_VALUE"""),19)</f>
        <v>19</v>
      </c>
      <c r="E897" s="2">
        <f ca="1">IFERROR(__xludf.DUMMYFUNCTION("""COMPUTED_VALUE"""),5)</f>
        <v>5</v>
      </c>
    </row>
    <row r="898" spans="1:5" ht="12.75">
      <c r="A898" s="2" t="str">
        <f ca="1">IFERROR(__xludf.DUMMYFUNCTION("""COMPUTED_VALUE"""),"RASDTKP1")</f>
        <v>RASDTKP1</v>
      </c>
      <c r="B898" s="2">
        <f ca="1">IFERROR(__xludf.DUMMYFUNCTION("""COMPUTED_VALUE"""),49)</f>
        <v>49</v>
      </c>
      <c r="C898" s="2">
        <f ca="1">IFERROR(__xludf.DUMMYFUNCTION("""COMPUTED_VALUE"""),49)</f>
        <v>49</v>
      </c>
      <c r="D898" s="2">
        <f ca="1">IFERROR(__xludf.DUMMYFUNCTION("""COMPUTED_VALUE"""),49)</f>
        <v>49</v>
      </c>
      <c r="E898" s="2">
        <f ca="1">IFERROR(__xludf.DUMMYFUNCTION("""COMPUTED_VALUE"""),0)</f>
        <v>0</v>
      </c>
    </row>
    <row r="899" spans="1:5" ht="12.75">
      <c r="A899" s="2" t="str">
        <f ca="1">IFERROR(__xludf.DUMMYFUNCTION("""COMPUTED_VALUE"""),"RLASDCKP5")</f>
        <v>RLASDCKP5</v>
      </c>
      <c r="B899" s="2">
        <f ca="1">IFERROR(__xludf.DUMMYFUNCTION("""COMPUTED_VALUE"""),49)</f>
        <v>49</v>
      </c>
      <c r="C899" s="2">
        <f ca="1">IFERROR(__xludf.DUMMYFUNCTION("""COMPUTED_VALUE"""),49)</f>
        <v>49</v>
      </c>
      <c r="D899" s="2">
        <f ca="1">IFERROR(__xludf.DUMMYFUNCTION("""COMPUTED_VALUE"""),49)</f>
        <v>49</v>
      </c>
      <c r="E899" s="2">
        <f ca="1">IFERROR(__xludf.DUMMYFUNCTION("""COMPUTED_VALUE"""),0)</f>
        <v>0</v>
      </c>
    </row>
    <row r="900" spans="1:5" ht="12.75">
      <c r="A900" s="2" t="str">
        <f ca="1">IFERROR(__xludf.DUMMYFUNCTION("""COMPUTED_VALUE"""),"RLASDCTQ")</f>
        <v>RLASDCTQ</v>
      </c>
      <c r="B900" s="2">
        <f ca="1">IFERROR(__xludf.DUMMYFUNCTION("""COMPUTED_VALUE"""),4)</f>
        <v>4</v>
      </c>
      <c r="C900" s="2">
        <f ca="1">IFERROR(__xludf.DUMMYFUNCTION("""COMPUTED_VALUE"""),4)</f>
        <v>4</v>
      </c>
      <c r="D900" s="2">
        <f ca="1">IFERROR(__xludf.DUMMYFUNCTION("""COMPUTED_VALUE"""),4)</f>
        <v>4</v>
      </c>
      <c r="E900" s="2">
        <f ca="1">IFERROR(__xludf.DUMMYFUNCTION("""COMPUTED_VALUE"""),0)</f>
        <v>0</v>
      </c>
    </row>
    <row r="901" spans="1:5" ht="12.75">
      <c r="A901" s="2" t="str">
        <f ca="1">IFERROR(__xludf.DUMMYFUNCTION("""COMPUTED_VALUE"""),"Rơ le AS kép")</f>
        <v>Rơ le AS kép</v>
      </c>
      <c r="B901" s="2">
        <f ca="1">IFERROR(__xludf.DUMMYFUNCTION("""COMPUTED_VALUE"""),2)</f>
        <v>2</v>
      </c>
      <c r="C901" s="2">
        <f ca="1">IFERROR(__xludf.DUMMYFUNCTION("""COMPUTED_VALUE"""),2)</f>
        <v>2</v>
      </c>
      <c r="D901" s="2">
        <f ca="1">IFERROR(__xludf.DUMMYFUNCTION("""COMPUTED_VALUE"""),2)</f>
        <v>2</v>
      </c>
      <c r="E901" s="2">
        <f ca="1">IFERROR(__xludf.DUMMYFUNCTION("""COMPUTED_VALUE"""),0)</f>
        <v>0</v>
      </c>
    </row>
    <row r="902" spans="1:5" ht="12.75">
      <c r="A902" s="2" t="str">
        <f ca="1">IFERROR(__xludf.DUMMYFUNCTION("""COMPUTED_VALUE"""),"Rơ le bán dẫn")</f>
        <v>Rơ le bán dẫn</v>
      </c>
      <c r="B902" s="2">
        <f ca="1">IFERROR(__xludf.DUMMYFUNCTION("""COMPUTED_VALUE"""),90)</f>
        <v>90</v>
      </c>
      <c r="C902" s="2">
        <f ca="1">IFERROR(__xludf.DUMMYFUNCTION("""COMPUTED_VALUE"""),90)</f>
        <v>90</v>
      </c>
      <c r="D902" s="2">
        <f ca="1">IFERROR(__xludf.DUMMYFUNCTION("""COMPUTED_VALUE"""),90)</f>
        <v>90</v>
      </c>
      <c r="E902" s="2">
        <f ca="1">IFERROR(__xludf.DUMMYFUNCTION("""COMPUTED_VALUE"""),0)</f>
        <v>0</v>
      </c>
    </row>
    <row r="903" spans="1:5" ht="12.75">
      <c r="A903" s="2" t="str">
        <f ca="1">IFERROR(__xludf.DUMMYFUNCTION("""COMPUTED_VALUE"""),"RƠLETGNTMF603AP1")</f>
        <v>RƠLETGNTMF603AP1</v>
      </c>
      <c r="B903" s="2">
        <f ca="1">IFERROR(__xludf.DUMMYFUNCTION("""COMPUTED_VALUE"""),17)</f>
        <v>17</v>
      </c>
      <c r="C903" s="2">
        <f ca="1">IFERROR(__xludf.DUMMYFUNCTION("""COMPUTED_VALUE"""),17)</f>
        <v>17</v>
      </c>
      <c r="D903" s="2">
        <f ca="1">IFERROR(__xludf.DUMMYFUNCTION("""COMPUTED_VALUE"""),17)</f>
        <v>17</v>
      </c>
      <c r="E903" s="2">
        <f ca="1">IFERROR(__xludf.DUMMYFUNCTION("""COMPUTED_VALUE"""),0)</f>
        <v>0</v>
      </c>
    </row>
    <row r="904" spans="1:5" ht="12.75">
      <c r="A904" s="2" t="str">
        <f ca="1">IFERROR(__xludf.DUMMYFUNCTION("""COMPUTED_VALUE"""),"TAYHAN13772")</f>
        <v>TAYHAN13772</v>
      </c>
      <c r="B904" s="2">
        <f ca="1">IFERROR(__xludf.DUMMYFUNCTION("""COMPUTED_VALUE"""),2)</f>
        <v>2</v>
      </c>
      <c r="C904" s="2">
        <f ca="1">IFERROR(__xludf.DUMMYFUNCTION("""COMPUTED_VALUE"""),2)</f>
        <v>2</v>
      </c>
      <c r="D904" s="2">
        <f ca="1">IFERROR(__xludf.DUMMYFUNCTION("""COMPUTED_VALUE"""),2)</f>
        <v>2</v>
      </c>
      <c r="E904" s="2">
        <f ca="1">IFERROR(__xludf.DUMMYFUNCTION("""COMPUTED_VALUE"""),0)</f>
        <v>0</v>
      </c>
    </row>
    <row r="905" spans="1:5" ht="12.75">
      <c r="A905" s="2" t="str">
        <f ca="1">IFERROR(__xludf.DUMMYFUNCTION("""COMPUTED_VALUE"""),"TĐĐD")</f>
        <v>TĐĐD</v>
      </c>
      <c r="B905" s="2">
        <f ca="1">IFERROR(__xludf.DUMMYFUNCTION("""COMPUTED_VALUE"""),3)</f>
        <v>3</v>
      </c>
      <c r="C905" s="2">
        <f ca="1">IFERROR(__xludf.DUMMYFUNCTION("""COMPUTED_VALUE"""),3)</f>
        <v>3</v>
      </c>
      <c r="D905" s="2">
        <f ca="1">IFERROR(__xludf.DUMMYFUNCTION("""COMPUTED_VALUE"""),3)</f>
        <v>3</v>
      </c>
      <c r="E905" s="2">
        <f ca="1">IFERROR(__xludf.DUMMYFUNCTION("""COMPUTED_VALUE"""),0)</f>
        <v>0</v>
      </c>
    </row>
    <row r="906" spans="1:5" ht="12.75">
      <c r="A906" s="2" t="str">
        <f ca="1">IFERROR(__xludf.DUMMYFUNCTION("""COMPUTED_VALUE"""),"TE67")</f>
        <v>TE67</v>
      </c>
      <c r="B906" s="2">
        <f ca="1">IFERROR(__xludf.DUMMYFUNCTION("""COMPUTED_VALUE"""),189)</f>
        <v>189</v>
      </c>
      <c r="C906" s="2">
        <f ca="1">IFERROR(__xludf.DUMMYFUNCTION("""COMPUTED_VALUE"""),198)</f>
        <v>198</v>
      </c>
      <c r="D906" s="2">
        <f ca="1">IFERROR(__xludf.DUMMYFUNCTION("""COMPUTED_VALUE"""),189)</f>
        <v>189</v>
      </c>
      <c r="E906" s="2">
        <f ca="1">IFERROR(__xludf.DUMMYFUNCTION("""COMPUTED_VALUE"""),9)</f>
        <v>9</v>
      </c>
    </row>
    <row r="907" spans="1:5" ht="12.75">
      <c r="A907" s="2" t="str">
        <f ca="1">IFERROR(__xludf.DUMMYFUNCTION("""COMPUTED_VALUE"""),"TEMCHG15x30")</f>
        <v>TEMCHG15x30</v>
      </c>
      <c r="B907" s="2">
        <f ca="1">IFERROR(__xludf.DUMMYFUNCTION("""COMPUTED_VALUE"""),14688)</f>
        <v>14688</v>
      </c>
      <c r="C907" s="2">
        <f ca="1">IFERROR(__xludf.DUMMYFUNCTION("""COMPUTED_VALUE"""),14688)</f>
        <v>14688</v>
      </c>
      <c r="D907" s="2">
        <f ca="1">IFERROR(__xludf.DUMMYFUNCTION("""COMPUTED_VALUE"""),14688)</f>
        <v>14688</v>
      </c>
      <c r="E907" s="2">
        <f ca="1">IFERROR(__xludf.DUMMYFUNCTION("""COMPUTED_VALUE"""),0)</f>
        <v>0</v>
      </c>
    </row>
    <row r="908" spans="1:5" ht="12.75">
      <c r="A908" s="2" t="str">
        <f ca="1">IFERROR(__xludf.DUMMYFUNCTION("""COMPUTED_VALUE"""),"TMOCTA2CTWPF8.5070725")</f>
        <v>TMOCTA2CTWPF8.5070725</v>
      </c>
      <c r="B908" s="2">
        <f ca="1">IFERROR(__xludf.DUMMYFUNCTION("""COMPUTED_VALUE"""),6)</f>
        <v>6</v>
      </c>
      <c r="C908" s="2">
        <f ca="1">IFERROR(__xludf.DUMMYFUNCTION("""COMPUTED_VALUE"""),6)</f>
        <v>6</v>
      </c>
      <c r="D908" s="2">
        <f ca="1">IFERROR(__xludf.DUMMYFUNCTION("""COMPUTED_VALUE"""),6)</f>
        <v>6</v>
      </c>
      <c r="E908" s="2">
        <f ca="1">IFERROR(__xludf.DUMMYFUNCTION("""COMPUTED_VALUE"""),0)</f>
        <v>0</v>
      </c>
    </row>
    <row r="909" spans="1:5" ht="12.75">
      <c r="A909" s="2" t="str">
        <f ca="1">IFERROR(__xludf.DUMMYFUNCTION("""COMPUTED_VALUE"""),"TUIMAUS")</f>
        <v>TUIMAUS</v>
      </c>
      <c r="B909" s="2">
        <f ca="1">IFERROR(__xludf.DUMMYFUNCTION("""COMPUTED_VALUE"""),100)</f>
        <v>100</v>
      </c>
      <c r="C909" s="2">
        <f ca="1">IFERROR(__xludf.DUMMYFUNCTION("""COMPUTED_VALUE"""),100)</f>
        <v>100</v>
      </c>
      <c r="D909" s="2">
        <f ca="1">IFERROR(__xludf.DUMMYFUNCTION("""COMPUTED_VALUE"""),100)</f>
        <v>100</v>
      </c>
      <c r="E909" s="2">
        <f ca="1">IFERROR(__xludf.DUMMYFUNCTION("""COMPUTED_VALUE"""),0)</f>
        <v>0</v>
      </c>
    </row>
    <row r="910" spans="1:5" ht="12.75">
      <c r="A910" s="2" t="str">
        <f ca="1">IFERROR(__xludf.DUMMYFUNCTION("""COMPUTED_VALUE"""),"VANC10")</f>
        <v>VANC10</v>
      </c>
      <c r="B910" s="2">
        <f ca="1">IFERROR(__xludf.DUMMYFUNCTION("""COMPUTED_VALUE"""),28)</f>
        <v>28</v>
      </c>
      <c r="C910" s="2">
        <f ca="1">IFERROR(__xludf.DUMMYFUNCTION("""COMPUTED_VALUE"""),28)</f>
        <v>28</v>
      </c>
      <c r="D910" s="2">
        <f ca="1">IFERROR(__xludf.DUMMYFUNCTION("""COMPUTED_VALUE"""),28)</f>
        <v>28</v>
      </c>
      <c r="E910" s="2">
        <f ca="1">IFERROR(__xludf.DUMMYFUNCTION("""COMPUTED_VALUE"""),0)</f>
        <v>0</v>
      </c>
    </row>
    <row r="911" spans="1:5" ht="12.75">
      <c r="A911" s="2" t="str">
        <f ca="1">IFERROR(__xludf.DUMMYFUNCTION("""COMPUTED_VALUE"""),"VANC19")</f>
        <v>VANC19</v>
      </c>
      <c r="B911" s="2">
        <f ca="1">IFERROR(__xludf.DUMMYFUNCTION("""COMPUTED_VALUE"""),31)</f>
        <v>31</v>
      </c>
      <c r="C911" s="2">
        <f ca="1">IFERROR(__xludf.DUMMYFUNCTION("""COMPUTED_VALUE"""),31)</f>
        <v>31</v>
      </c>
      <c r="D911" s="2">
        <f ca="1">IFERROR(__xludf.DUMMYFUNCTION("""COMPUTED_VALUE"""),31)</f>
        <v>31</v>
      </c>
      <c r="E911" s="2">
        <f ca="1">IFERROR(__xludf.DUMMYFUNCTION("""COMPUTED_VALUE"""),0)</f>
        <v>0</v>
      </c>
    </row>
    <row r="912" spans="1:5" ht="12.75">
      <c r="A912" s="2" t="str">
        <f ca="1">IFERROR(__xludf.DUMMYFUNCTION("""COMPUTED_VALUE"""),"VANCH19")</f>
        <v>VANCH19</v>
      </c>
      <c r="B912" s="2">
        <f ca="1">IFERROR(__xludf.DUMMYFUNCTION("""COMPUTED_VALUE"""),1)</f>
        <v>1</v>
      </c>
      <c r="C912" s="2">
        <f ca="1">IFERROR(__xludf.DUMMYFUNCTION("""COMPUTED_VALUE"""),1)</f>
        <v>1</v>
      </c>
      <c r="D912" s="2">
        <f ca="1">IFERROR(__xludf.DUMMYFUNCTION("""COMPUTED_VALUE"""),1)</f>
        <v>1</v>
      </c>
      <c r="E912" s="2">
        <f ca="1">IFERROR(__xludf.DUMMYFUNCTION("""COMPUTED_VALUE"""),0)</f>
        <v>0</v>
      </c>
    </row>
    <row r="913" spans="1:5" ht="12.75">
      <c r="A913" s="2" t="str">
        <f ca="1">IFERROR(__xludf.DUMMYFUNCTION("""COMPUTED_VALUE"""),"VANCH22")</f>
        <v>VANCH22</v>
      </c>
      <c r="B913" s="2">
        <f ca="1">IFERROR(__xludf.DUMMYFUNCTION("""COMPUTED_VALUE"""),8)</f>
        <v>8</v>
      </c>
      <c r="C913" s="2">
        <f ca="1">IFERROR(__xludf.DUMMYFUNCTION("""COMPUTED_VALUE"""),8)</f>
        <v>8</v>
      </c>
      <c r="D913" s="2">
        <f ca="1">IFERROR(__xludf.DUMMYFUNCTION("""COMPUTED_VALUE"""),8)</f>
        <v>8</v>
      </c>
      <c r="E913" s="2">
        <f ca="1">IFERROR(__xludf.DUMMYFUNCTION("""COMPUTED_VALUE"""),0)</f>
        <v>0</v>
      </c>
    </row>
    <row r="914" spans="1:5" ht="12.75">
      <c r="A914" s="2" t="str">
        <f ca="1">IFERROR(__xludf.DUMMYFUNCTION("""COMPUTED_VALUE"""),"XAMGI")</f>
        <v>XAMGI</v>
      </c>
      <c r="B914" s="2">
        <f ca="1">IFERROR(__xludf.DUMMYFUNCTION("""COMPUTED_VALUE"""),17)</f>
        <v>17</v>
      </c>
      <c r="C914" s="2">
        <f ca="1">IFERROR(__xludf.DUMMYFUNCTION("""COMPUTED_VALUE"""),17)</f>
        <v>17</v>
      </c>
      <c r="D914" s="2">
        <f ca="1">IFERROR(__xludf.DUMMYFUNCTION("""COMPUTED_VALUE"""),17)</f>
        <v>17</v>
      </c>
      <c r="E914" s="2">
        <f ca="1">IFERROR(__xludf.DUMMYFUNCTION("""COMPUTED_VALUE"""),0)</f>
        <v>0</v>
      </c>
    </row>
    <row r="915" spans="1:5" ht="12.75">
      <c r="A915" s="2" t="str">
        <f ca="1">IFERROR(__xludf.DUMMYFUNCTION("""COMPUTED_VALUE"""),"XBOA012X13")</f>
        <v>XBOA012X13</v>
      </c>
      <c r="B915" s="2">
        <f ca="1">IFERROR(__xludf.DUMMYFUNCTION("""COMPUTED_VALUE"""),1129)</f>
        <v>1129</v>
      </c>
      <c r="C915" s="2">
        <f ca="1">IFERROR(__xludf.DUMMYFUNCTION("""COMPUTED_VALUE"""),1129)</f>
        <v>1129</v>
      </c>
      <c r="D915" s="2">
        <f ca="1">IFERROR(__xludf.DUMMYFUNCTION("""COMPUTED_VALUE"""),1129)</f>
        <v>1129</v>
      </c>
      <c r="E915" s="2">
        <f ca="1">IFERROR(__xludf.DUMMYFUNCTION("""COMPUTED_VALUE"""),0)</f>
        <v>0</v>
      </c>
    </row>
    <row r="916" spans="1:5" ht="12.75">
      <c r="A916" s="2" t="str">
        <f ca="1">IFERROR(__xludf.DUMMYFUNCTION("""COMPUTED_VALUE"""),"XBOA012X19")</f>
        <v>XBOA012X19</v>
      </c>
      <c r="B916" s="2">
        <f ca="1">IFERROR(__xludf.DUMMYFUNCTION("""COMPUTED_VALUE"""),2028)</f>
        <v>2028</v>
      </c>
      <c r="C916" s="2">
        <f ca="1">IFERROR(__xludf.DUMMYFUNCTION("""COMPUTED_VALUE"""),2028)</f>
        <v>2028</v>
      </c>
      <c r="D916" s="2">
        <f ca="1">IFERROR(__xludf.DUMMYFUNCTION("""COMPUTED_VALUE"""),2028)</f>
        <v>2028</v>
      </c>
      <c r="E916" s="2">
        <f ca="1">IFERROR(__xludf.DUMMYFUNCTION("""COMPUTED_VALUE"""),0)</f>
        <v>0</v>
      </c>
    </row>
    <row r="917" spans="1:5" ht="12.75">
      <c r="A917" s="2" t="str">
        <f ca="1">IFERROR(__xludf.DUMMYFUNCTION("""COMPUTED_VALUE"""),"XBOA012X19C0")</f>
        <v>XBOA012X19C0</v>
      </c>
      <c r="B917" s="2">
        <f ca="1">IFERROR(__xludf.DUMMYFUNCTION("""COMPUTED_VALUE"""),571)</f>
        <v>571</v>
      </c>
      <c r="C917" s="2">
        <f ca="1">IFERROR(__xludf.DUMMYFUNCTION("""COMPUTED_VALUE"""),745)</f>
        <v>745</v>
      </c>
      <c r="D917" s="2">
        <f ca="1">IFERROR(__xludf.DUMMYFUNCTION("""COMPUTED_VALUE"""),571)</f>
        <v>571</v>
      </c>
      <c r="E917" s="2">
        <f ca="1">IFERROR(__xludf.DUMMYFUNCTION("""COMPUTED_VALUE"""),174)</f>
        <v>174</v>
      </c>
    </row>
    <row r="918" spans="1:5" ht="12.75">
      <c r="A918" s="2" t="str">
        <f ca="1">IFERROR(__xludf.DUMMYFUNCTION("""COMPUTED_VALUE"""),"XBOA020X13")</f>
        <v>XBOA020X13</v>
      </c>
      <c r="B918" s="2">
        <f ca="1">IFERROR(__xludf.DUMMYFUNCTION("""COMPUTED_VALUE"""),550)</f>
        <v>550</v>
      </c>
      <c r="C918" s="2">
        <f ca="1">IFERROR(__xludf.DUMMYFUNCTION("""COMPUTED_VALUE"""),550)</f>
        <v>550</v>
      </c>
      <c r="D918" s="2">
        <f ca="1">IFERROR(__xludf.DUMMYFUNCTION("""COMPUTED_VALUE"""),550)</f>
        <v>550</v>
      </c>
      <c r="E918" s="2">
        <f ca="1">IFERROR(__xludf.DUMMYFUNCTION("""COMPUTED_VALUE"""),0)</f>
        <v>0</v>
      </c>
    </row>
    <row r="919" spans="1:5" ht="12.75">
      <c r="A919" s="2" t="str">
        <f ca="1">IFERROR(__xludf.DUMMYFUNCTION("""COMPUTED_VALUE"""),"XBOA020X19C0")</f>
        <v>XBOA020X19C0</v>
      </c>
      <c r="B919" s="2">
        <f ca="1">IFERROR(__xludf.DUMMYFUNCTION("""COMPUTED_VALUE"""),776)</f>
        <v>776</v>
      </c>
      <c r="C919" s="2">
        <f ca="1">IFERROR(__xludf.DUMMYFUNCTION("""COMPUTED_VALUE"""),875)</f>
        <v>875</v>
      </c>
      <c r="D919" s="2">
        <f ca="1">IFERROR(__xludf.DUMMYFUNCTION("""COMPUTED_VALUE"""),776)</f>
        <v>776</v>
      </c>
      <c r="E919" s="2">
        <f ca="1">IFERROR(__xludf.DUMMYFUNCTION("""COMPUTED_VALUE"""),99)</f>
        <v>99</v>
      </c>
    </row>
    <row r="920" spans="1:5" ht="12.75">
      <c r="A920" s="2" t="str">
        <f ca="1">IFERROR(__xludf.DUMMYFUNCTION("""COMPUTED_VALUE"""),"XBOA022X19")</f>
        <v>XBOA022X19</v>
      </c>
      <c r="B920" s="2">
        <f ca="1">IFERROR(__xludf.DUMMYFUNCTION("""COMPUTED_VALUE"""),1017)</f>
        <v>1017</v>
      </c>
      <c r="C920" s="2">
        <f ca="1">IFERROR(__xludf.DUMMYFUNCTION("""COMPUTED_VALUE"""),1017)</f>
        <v>1017</v>
      </c>
      <c r="D920" s="2">
        <f ca="1">IFERROR(__xludf.DUMMYFUNCTION("""COMPUTED_VALUE"""),1017)</f>
        <v>1017</v>
      </c>
      <c r="E920" s="2">
        <f ca="1">IFERROR(__xludf.DUMMYFUNCTION("""COMPUTED_VALUE"""),0)</f>
        <v>0</v>
      </c>
    </row>
    <row r="921" spans="1:5" ht="12.75">
      <c r="A921" s="2" t="str">
        <f ca="1">IFERROR(__xludf.DUMMYFUNCTION("""COMPUTED_VALUE"""),"XBOA025X13")</f>
        <v>XBOA025X13</v>
      </c>
      <c r="B921" s="2">
        <f ca="1">IFERROR(__xludf.DUMMYFUNCTION("""COMPUTED_VALUE"""),171)</f>
        <v>171</v>
      </c>
      <c r="C921" s="2">
        <f ca="1">IFERROR(__xludf.DUMMYFUNCTION("""COMPUTED_VALUE"""),171)</f>
        <v>171</v>
      </c>
      <c r="D921" s="2">
        <f ca="1">IFERROR(__xludf.DUMMYFUNCTION("""COMPUTED_VALUE"""),171)</f>
        <v>171</v>
      </c>
      <c r="E921" s="2">
        <f ca="1">IFERROR(__xludf.DUMMYFUNCTION("""COMPUTED_VALUE"""),0)</f>
        <v>0</v>
      </c>
    </row>
    <row r="922" spans="1:5" ht="12.75">
      <c r="A922" s="2" t="str">
        <f ca="1">IFERROR(__xludf.DUMMYFUNCTION("""COMPUTED_VALUE"""),"XBOA028X13C0")</f>
        <v>XBOA028X13C0</v>
      </c>
      <c r="B922" s="2">
        <f ca="1">IFERROR(__xludf.DUMMYFUNCTION("""COMPUTED_VALUE"""),15)</f>
        <v>15</v>
      </c>
      <c r="C922" s="2">
        <f ca="1">IFERROR(__xludf.DUMMYFUNCTION("""COMPUTED_VALUE"""),15)</f>
        <v>15</v>
      </c>
      <c r="D922" s="2">
        <f ca="1">IFERROR(__xludf.DUMMYFUNCTION("""COMPUTED_VALUE"""),15)</f>
        <v>15</v>
      </c>
      <c r="E922" s="2">
        <f ca="1">IFERROR(__xludf.DUMMYFUNCTION("""COMPUTED_VALUE"""),0)</f>
        <v>0</v>
      </c>
    </row>
    <row r="923" spans="1:5" ht="12.75">
      <c r="A923" s="2" t="str">
        <f ca="1">IFERROR(__xludf.DUMMYFUNCTION("""COMPUTED_VALUE"""),"XBOA028X19")</f>
        <v>XBOA028X19</v>
      </c>
      <c r="B923" s="2">
        <f ca="1">IFERROR(__xludf.DUMMYFUNCTION("""COMPUTED_VALUE"""),242)</f>
        <v>242</v>
      </c>
      <c r="C923" s="2">
        <f ca="1">IFERROR(__xludf.DUMMYFUNCTION("""COMPUTED_VALUE"""),242)</f>
        <v>242</v>
      </c>
      <c r="D923" s="2">
        <f ca="1">IFERROR(__xludf.DUMMYFUNCTION("""COMPUTED_VALUE"""),242)</f>
        <v>242</v>
      </c>
      <c r="E923" s="2">
        <f ca="1">IFERROR(__xludf.DUMMYFUNCTION("""COMPUTED_VALUE"""),0)</f>
        <v>0</v>
      </c>
    </row>
    <row r="924" spans="1:5" ht="12.75">
      <c r="A924" s="2" t="str">
        <f ca="1">IFERROR(__xludf.DUMMYFUNCTION("""COMPUTED_VALUE"""),"XBOA028X19C0")</f>
        <v>XBOA028X19C0</v>
      </c>
      <c r="B924" s="2">
        <f ca="1">IFERROR(__xludf.DUMMYFUNCTION("""COMPUTED_VALUE"""),609)</f>
        <v>609</v>
      </c>
      <c r="C924" s="2">
        <f ca="1">IFERROR(__xludf.DUMMYFUNCTION("""COMPUTED_VALUE"""),1176)</f>
        <v>1176</v>
      </c>
      <c r="D924" s="2">
        <f ca="1">IFERROR(__xludf.DUMMYFUNCTION("""COMPUTED_VALUE"""),609)</f>
        <v>609</v>
      </c>
      <c r="E924" s="2">
        <f ca="1">IFERROR(__xludf.DUMMYFUNCTION("""COMPUTED_VALUE"""),567)</f>
        <v>567</v>
      </c>
    </row>
    <row r="925" spans="1:5" ht="12.75">
      <c r="A925" s="2" t="str">
        <f ca="1">IFERROR(__xludf.DUMMYFUNCTION("""COMPUTED_VALUE"""),"XBOA028X25C0")</f>
        <v>XBOA028X25C0</v>
      </c>
      <c r="B925" s="2">
        <f ca="1">IFERROR(__xludf.DUMMYFUNCTION("""COMPUTED_VALUE"""),26)</f>
        <v>26</v>
      </c>
      <c r="C925" s="2">
        <f ca="1">IFERROR(__xludf.DUMMYFUNCTION("""COMPUTED_VALUE"""),26)</f>
        <v>26</v>
      </c>
      <c r="D925" s="2">
        <f ca="1">IFERROR(__xludf.DUMMYFUNCTION("""COMPUTED_VALUE"""),26)</f>
        <v>26</v>
      </c>
      <c r="E925" s="2">
        <f ca="1">IFERROR(__xludf.DUMMYFUNCTION("""COMPUTED_VALUE"""),0)</f>
        <v>0</v>
      </c>
    </row>
    <row r="926" spans="1:5" ht="12.75">
      <c r="A926" s="2" t="str">
        <f ca="1">IFERROR(__xludf.DUMMYFUNCTION("""COMPUTED_VALUE"""),"XBOA028X32")</f>
        <v>XBOA028X32</v>
      </c>
      <c r="B926" s="2">
        <f ca="1">IFERROR(__xludf.DUMMYFUNCTION("""COMPUTED_VALUE"""),86)</f>
        <v>86</v>
      </c>
      <c r="C926" s="2">
        <f ca="1">IFERROR(__xludf.DUMMYFUNCTION("""COMPUTED_VALUE"""),86)</f>
        <v>86</v>
      </c>
      <c r="D926" s="2">
        <f ca="1">IFERROR(__xludf.DUMMYFUNCTION("""COMPUTED_VALUE"""),86)</f>
        <v>86</v>
      </c>
      <c r="E926" s="2">
        <f ca="1">IFERROR(__xludf.DUMMYFUNCTION("""COMPUTED_VALUE"""),0)</f>
        <v>0</v>
      </c>
    </row>
    <row r="927" spans="1:5" ht="12.75">
      <c r="A927" s="2" t="str">
        <f ca="1">IFERROR(__xludf.DUMMYFUNCTION("""COMPUTED_VALUE"""),"XBOA032X09C0")</f>
        <v>XBOA032X09C0</v>
      </c>
      <c r="B927" s="2">
        <f ca="1">IFERROR(__xludf.DUMMYFUNCTION("""COMPUTED_VALUE"""),126)</f>
        <v>126</v>
      </c>
      <c r="C927" s="2">
        <f ca="1">IFERROR(__xludf.DUMMYFUNCTION("""COMPUTED_VALUE"""),126)</f>
        <v>126</v>
      </c>
      <c r="D927" s="2">
        <f ca="1">IFERROR(__xludf.DUMMYFUNCTION("""COMPUTED_VALUE"""),126)</f>
        <v>126</v>
      </c>
      <c r="E927" s="2">
        <f ca="1">IFERROR(__xludf.DUMMYFUNCTION("""COMPUTED_VALUE"""),0)</f>
        <v>0</v>
      </c>
    </row>
    <row r="928" spans="1:5" ht="12.75">
      <c r="A928" s="2" t="str">
        <f ca="1">IFERROR(__xludf.DUMMYFUNCTION("""COMPUTED_VALUE"""),"XBOA032X19")</f>
        <v>XBOA032X19</v>
      </c>
      <c r="B928" s="2">
        <f ca="1">IFERROR(__xludf.DUMMYFUNCTION("""COMPUTED_VALUE"""),52)</f>
        <v>52</v>
      </c>
      <c r="C928" s="2">
        <f ca="1">IFERROR(__xludf.DUMMYFUNCTION("""COMPUTED_VALUE"""),52)</f>
        <v>52</v>
      </c>
      <c r="D928" s="2">
        <f ca="1">IFERROR(__xludf.DUMMYFUNCTION("""COMPUTED_VALUE"""),52)</f>
        <v>52</v>
      </c>
      <c r="E928" s="2">
        <f ca="1">IFERROR(__xludf.DUMMYFUNCTION("""COMPUTED_VALUE"""),0)</f>
        <v>0</v>
      </c>
    </row>
    <row r="929" spans="1:5" ht="12.75">
      <c r="A929" s="2" t="str">
        <f ca="1">IFERROR(__xludf.DUMMYFUNCTION("""COMPUTED_VALUE"""),"XBOA035X13")</f>
        <v>XBOA035X13</v>
      </c>
      <c r="B929" s="2">
        <f ca="1">IFERROR(__xludf.DUMMYFUNCTION("""COMPUTED_VALUE"""),726)</f>
        <v>726</v>
      </c>
      <c r="C929" s="2">
        <f ca="1">IFERROR(__xludf.DUMMYFUNCTION("""COMPUTED_VALUE"""),726)</f>
        <v>726</v>
      </c>
      <c r="D929" s="2">
        <f ca="1">IFERROR(__xludf.DUMMYFUNCTION("""COMPUTED_VALUE"""),726)</f>
        <v>726</v>
      </c>
      <c r="E929" s="2">
        <f ca="1">IFERROR(__xludf.DUMMYFUNCTION("""COMPUTED_VALUE"""),0)</f>
        <v>0</v>
      </c>
    </row>
    <row r="930" spans="1:5" ht="12.75">
      <c r="A930" s="2" t="str">
        <f ca="1">IFERROR(__xludf.DUMMYFUNCTION("""COMPUTED_VALUE"""),"XBOA035X13C0")</f>
        <v>XBOA035X13C0</v>
      </c>
      <c r="B930" s="2">
        <f ca="1">IFERROR(__xludf.DUMMYFUNCTION("""COMPUTED_VALUE"""),207)</f>
        <v>207</v>
      </c>
      <c r="C930" s="2">
        <f ca="1">IFERROR(__xludf.DUMMYFUNCTION("""COMPUTED_VALUE"""),294)</f>
        <v>294</v>
      </c>
      <c r="D930" s="2">
        <f ca="1">IFERROR(__xludf.DUMMYFUNCTION("""COMPUTED_VALUE"""),207)</f>
        <v>207</v>
      </c>
      <c r="E930" s="2">
        <f ca="1">IFERROR(__xludf.DUMMYFUNCTION("""COMPUTED_VALUE"""),87)</f>
        <v>87</v>
      </c>
    </row>
    <row r="931" spans="1:5" ht="12.75">
      <c r="A931" s="2" t="str">
        <f ca="1">IFERROR(__xludf.DUMMYFUNCTION("""COMPUTED_VALUE"""),"XBOA035X25C0")</f>
        <v>XBOA035X25C0</v>
      </c>
      <c r="B931" s="2">
        <f ca="1">IFERROR(__xludf.DUMMYFUNCTION("""COMPUTED_VALUE"""),810)</f>
        <v>810</v>
      </c>
      <c r="C931" s="2">
        <f ca="1">IFERROR(__xludf.DUMMYFUNCTION("""COMPUTED_VALUE"""),810)</f>
        <v>810</v>
      </c>
      <c r="D931" s="2">
        <f ca="1">IFERROR(__xludf.DUMMYFUNCTION("""COMPUTED_VALUE"""),810)</f>
        <v>810</v>
      </c>
      <c r="E931" s="2">
        <f ca="1">IFERROR(__xludf.DUMMYFUNCTION("""COMPUTED_VALUE"""),0)</f>
        <v>0</v>
      </c>
    </row>
    <row r="932" spans="1:5" ht="12.75">
      <c r="A932" s="2" t="str">
        <f ca="1">IFERROR(__xludf.DUMMYFUNCTION("""COMPUTED_VALUE"""),"XBOA035X38")</f>
        <v>XBOA035X38</v>
      </c>
      <c r="B932" s="2">
        <f ca="1">IFERROR(__xludf.DUMMYFUNCTION("""COMPUTED_VALUE"""),27)</f>
        <v>27</v>
      </c>
      <c r="C932" s="2">
        <f ca="1">IFERROR(__xludf.DUMMYFUNCTION("""COMPUTED_VALUE"""),27)</f>
        <v>27</v>
      </c>
      <c r="D932" s="2">
        <f ca="1">IFERROR(__xludf.DUMMYFUNCTION("""COMPUTED_VALUE"""),27)</f>
        <v>27</v>
      </c>
      <c r="E932" s="2">
        <f ca="1">IFERROR(__xludf.DUMMYFUNCTION("""COMPUTED_VALUE"""),0)</f>
        <v>0</v>
      </c>
    </row>
    <row r="933" spans="1:5" ht="12.75">
      <c r="A933" s="2" t="str">
        <f ca="1">IFERROR(__xludf.DUMMYFUNCTION("""COMPUTED_VALUE"""),"XBOA042X09")</f>
        <v>XBOA042X09</v>
      </c>
      <c r="B933" s="2">
        <f ca="1">IFERROR(__xludf.DUMMYFUNCTION("""COMPUTED_VALUE"""),280)</f>
        <v>280</v>
      </c>
      <c r="C933" s="2">
        <f ca="1">IFERROR(__xludf.DUMMYFUNCTION("""COMPUTED_VALUE"""),280)</f>
        <v>280</v>
      </c>
      <c r="D933" s="2">
        <f ca="1">IFERROR(__xludf.DUMMYFUNCTION("""COMPUTED_VALUE"""),280)</f>
        <v>280</v>
      </c>
      <c r="E933" s="2">
        <f ca="1">IFERROR(__xludf.DUMMYFUNCTION("""COMPUTED_VALUE"""),0)</f>
        <v>0</v>
      </c>
    </row>
    <row r="934" spans="1:5" ht="12.75">
      <c r="A934" s="2" t="str">
        <f ca="1">IFERROR(__xludf.DUMMYFUNCTION("""COMPUTED_VALUE"""),"XBOA042X13")</f>
        <v>XBOA042X13</v>
      </c>
      <c r="B934" s="2">
        <f ca="1">IFERROR(__xludf.DUMMYFUNCTION("""COMPUTED_VALUE"""),2277)</f>
        <v>2277</v>
      </c>
      <c r="C934" s="2">
        <f ca="1">IFERROR(__xludf.DUMMYFUNCTION("""COMPUTED_VALUE"""),2277)</f>
        <v>2277</v>
      </c>
      <c r="D934" s="2">
        <f ca="1">IFERROR(__xludf.DUMMYFUNCTION("""COMPUTED_VALUE"""),2277)</f>
        <v>2277</v>
      </c>
      <c r="E934" s="2">
        <f ca="1">IFERROR(__xludf.DUMMYFUNCTION("""COMPUTED_VALUE"""),0)</f>
        <v>0</v>
      </c>
    </row>
    <row r="935" spans="1:5" ht="12.75">
      <c r="A935" s="2" t="str">
        <f ca="1">IFERROR(__xludf.DUMMYFUNCTION("""COMPUTED_VALUE"""),"XBOA048X38")</f>
        <v>XBOA048X38</v>
      </c>
      <c r="B935" s="2">
        <f ca="1">IFERROR(__xludf.DUMMYFUNCTION("""COMPUTED_VALUE"""),3)</f>
        <v>3</v>
      </c>
      <c r="C935" s="2">
        <f ca="1">IFERROR(__xludf.DUMMYFUNCTION("""COMPUTED_VALUE"""),3)</f>
        <v>3</v>
      </c>
      <c r="D935" s="2">
        <f ca="1">IFERROR(__xludf.DUMMYFUNCTION("""COMPUTED_VALUE"""),3)</f>
        <v>3</v>
      </c>
      <c r="E935" s="2">
        <f ca="1">IFERROR(__xludf.DUMMYFUNCTION("""COMPUTED_VALUE"""),0)</f>
        <v>0</v>
      </c>
    </row>
    <row r="936" spans="1:5" ht="12.75">
      <c r="A936" s="2" t="str">
        <f ca="1">IFERROR(__xludf.DUMMYFUNCTION("""COMPUTED_VALUE"""),"XBOA060X13")</f>
        <v>XBOA060X13</v>
      </c>
      <c r="B936" s="2">
        <f ca="1">IFERROR(__xludf.DUMMYFUNCTION("""COMPUTED_VALUE"""),737)</f>
        <v>737</v>
      </c>
      <c r="C936" s="2">
        <f ca="1">IFERROR(__xludf.DUMMYFUNCTION("""COMPUTED_VALUE"""),737)</f>
        <v>737</v>
      </c>
      <c r="D936" s="2">
        <f ca="1">IFERROR(__xludf.DUMMYFUNCTION("""COMPUTED_VALUE"""),737)</f>
        <v>737</v>
      </c>
      <c r="E936" s="2">
        <f ca="1">IFERROR(__xludf.DUMMYFUNCTION("""COMPUTED_VALUE"""),0)</f>
        <v>0</v>
      </c>
    </row>
    <row r="937" spans="1:5" ht="12.75">
      <c r="A937" s="2" t="str">
        <f ca="1">IFERROR(__xludf.DUMMYFUNCTION("""COMPUTED_VALUE"""),"XBOA060X13C0")</f>
        <v>XBOA060X13C0</v>
      </c>
      <c r="B937" s="2">
        <f ca="1">IFERROR(__xludf.DUMMYFUNCTION("""COMPUTED_VALUE"""),61)</f>
        <v>61</v>
      </c>
      <c r="C937" s="2">
        <f ca="1">IFERROR(__xludf.DUMMYFUNCTION("""COMPUTED_VALUE"""),61)</f>
        <v>61</v>
      </c>
      <c r="D937" s="2">
        <f ca="1">IFERROR(__xludf.DUMMYFUNCTION("""COMPUTED_VALUE"""),61)</f>
        <v>61</v>
      </c>
      <c r="E937" s="2">
        <f ca="1">IFERROR(__xludf.DUMMYFUNCTION("""COMPUTED_VALUE"""),0)</f>
        <v>0</v>
      </c>
    </row>
    <row r="938" spans="1:5" ht="12.75">
      <c r="A938" s="2" t="str">
        <f ca="1">IFERROR(__xludf.DUMMYFUNCTION("""COMPUTED_VALUE"""),"XBOA060X25C0")</f>
        <v>XBOA060X25C0</v>
      </c>
      <c r="B938" s="2">
        <f ca="1">IFERROR(__xludf.DUMMYFUNCTION("""COMPUTED_VALUE"""),4)</f>
        <v>4</v>
      </c>
      <c r="C938" s="2">
        <f ca="1">IFERROR(__xludf.DUMMYFUNCTION("""COMPUTED_VALUE"""),32)</f>
        <v>32</v>
      </c>
      <c r="D938" s="2">
        <f ca="1">IFERROR(__xludf.DUMMYFUNCTION("""COMPUTED_VALUE"""),4)</f>
        <v>4</v>
      </c>
      <c r="E938" s="2">
        <f ca="1">IFERROR(__xludf.DUMMYFUNCTION("""COMPUTED_VALUE"""),28)</f>
        <v>28</v>
      </c>
    </row>
    <row r="939" spans="1:5" ht="12.75">
      <c r="A939" s="2" t="str">
        <f ca="1">IFERROR(__xludf.DUMMYFUNCTION("""COMPUTED_VALUE"""),"XBOA060X38")</f>
        <v>XBOA060X38</v>
      </c>
      <c r="B939" s="2">
        <f ca="1">IFERROR(__xludf.DUMMYFUNCTION("""COMPUTED_VALUE"""),1)</f>
        <v>1</v>
      </c>
      <c r="C939" s="2">
        <f ca="1">IFERROR(__xludf.DUMMYFUNCTION("""COMPUTED_VALUE"""),1)</f>
        <v>1</v>
      </c>
      <c r="D939" s="2">
        <f ca="1">IFERROR(__xludf.DUMMYFUNCTION("""COMPUTED_VALUE"""),1)</f>
        <v>1</v>
      </c>
      <c r="E939" s="2">
        <f ca="1">IFERROR(__xludf.DUMMYFUNCTION("""COMPUTED_VALUE"""),0)</f>
        <v>0</v>
      </c>
    </row>
    <row r="940" spans="1:5" ht="12.75">
      <c r="A940" s="2" t="str">
        <f ca="1">IFERROR(__xludf.DUMMYFUNCTION("""COMPUTED_VALUE"""),"XBOA060X40C0")</f>
        <v>XBOA060X40C0</v>
      </c>
      <c r="B940" s="2">
        <f ca="1">IFERROR(__xludf.DUMMYFUNCTION("""COMPUTED_VALUE"""),5)</f>
        <v>5</v>
      </c>
      <c r="C940" s="2">
        <f ca="1">IFERROR(__xludf.DUMMYFUNCTION("""COMPUTED_VALUE"""),5)</f>
        <v>5</v>
      </c>
      <c r="D940" s="2">
        <f ca="1">IFERROR(__xludf.DUMMYFUNCTION("""COMPUTED_VALUE"""),5)</f>
        <v>5</v>
      </c>
      <c r="E940" s="2">
        <f ca="1">IFERROR(__xludf.DUMMYFUNCTION("""COMPUTED_VALUE"""),0)</f>
        <v>0</v>
      </c>
    </row>
    <row r="941" spans="1:5" ht="12.75">
      <c r="A941" s="2" t="str">
        <f ca="1">IFERROR(__xludf.DUMMYFUNCTION("""COMPUTED_VALUE"""),"XBOA076X50C0")</f>
        <v>XBOA076X50C0</v>
      </c>
      <c r="B941" s="2">
        <f ca="1">IFERROR(__xludf.DUMMYFUNCTION("""COMPUTED_VALUE"""),6)</f>
        <v>6</v>
      </c>
      <c r="C941" s="2">
        <f ca="1">IFERROR(__xludf.DUMMYFUNCTION("""COMPUTED_VALUE"""),6)</f>
        <v>6</v>
      </c>
      <c r="D941" s="2">
        <f ca="1">IFERROR(__xludf.DUMMYFUNCTION("""COMPUTED_VALUE"""),6)</f>
        <v>6</v>
      </c>
      <c r="E941" s="2">
        <f ca="1">IFERROR(__xludf.DUMMYFUNCTION("""COMPUTED_VALUE"""),0)</f>
        <v>0</v>
      </c>
    </row>
    <row r="942" spans="1:5" ht="12.75">
      <c r="A942" s="2" t="str">
        <f ca="1">IFERROR(__xludf.DUMMYFUNCTION("""COMPUTED_VALUE"""),"XBOA089X25")</f>
        <v>XBOA089X25</v>
      </c>
      <c r="B942" s="2">
        <f ca="1">IFERROR(__xludf.DUMMYFUNCTION("""COMPUTED_VALUE"""),69)</f>
        <v>69</v>
      </c>
      <c r="C942" s="2">
        <f ca="1">IFERROR(__xludf.DUMMYFUNCTION("""COMPUTED_VALUE"""),69)</f>
        <v>69</v>
      </c>
      <c r="D942" s="2">
        <f ca="1">IFERROR(__xludf.DUMMYFUNCTION("""COMPUTED_VALUE"""),69)</f>
        <v>69</v>
      </c>
      <c r="E942" s="2">
        <f ca="1">IFERROR(__xludf.DUMMYFUNCTION("""COMPUTED_VALUE"""),0)</f>
        <v>0</v>
      </c>
    </row>
    <row r="943" spans="1:5" ht="12.75">
      <c r="A943" s="2" t="str">
        <f ca="1">IFERROR(__xludf.DUMMYFUNCTION("""COMPUTED_VALUE"""),"XBOA089X38")</f>
        <v>XBOA089X38</v>
      </c>
      <c r="B943" s="2">
        <f ca="1">IFERROR(__xludf.DUMMYFUNCTION("""COMPUTED_VALUE"""),12)</f>
        <v>12</v>
      </c>
      <c r="C943" s="2">
        <f ca="1">IFERROR(__xludf.DUMMYFUNCTION("""COMPUTED_VALUE"""),12)</f>
        <v>12</v>
      </c>
      <c r="D943" s="2">
        <f ca="1">IFERROR(__xludf.DUMMYFUNCTION("""COMPUTED_VALUE"""),12)</f>
        <v>12</v>
      </c>
      <c r="E943" s="2">
        <f ca="1">IFERROR(__xludf.DUMMYFUNCTION("""COMPUTED_VALUE"""),0)</f>
        <v>0</v>
      </c>
    </row>
    <row r="944" spans="1:5" ht="12.75">
      <c r="A944" s="2" t="str">
        <f ca="1">IFERROR(__xludf.DUMMYFUNCTION("""COMPUTED_VALUE"""),"XBOA089X50")</f>
        <v>XBOA089X50</v>
      </c>
      <c r="B944" s="2">
        <f ca="1">IFERROR(__xludf.DUMMYFUNCTION("""COMPUTED_VALUE"""),5)</f>
        <v>5</v>
      </c>
      <c r="C944" s="2">
        <f ca="1">IFERROR(__xludf.DUMMYFUNCTION("""COMPUTED_VALUE"""),5)</f>
        <v>5</v>
      </c>
      <c r="D944" s="2">
        <f ca="1">IFERROR(__xludf.DUMMYFUNCTION("""COMPUTED_VALUE"""),5)</f>
        <v>5</v>
      </c>
      <c r="E944" s="2">
        <f ca="1">IFERROR(__xludf.DUMMYFUNCTION("""COMPUTED_VALUE"""),0)</f>
        <v>0</v>
      </c>
    </row>
    <row r="945" spans="1:5" ht="12.75">
      <c r="A945" s="2" t="str">
        <f ca="1">IFERROR(__xludf.DUMMYFUNCTION("""COMPUTED_VALUE"""),"XBOA089X50C0")</f>
        <v>XBOA089X50C0</v>
      </c>
      <c r="B945" s="2">
        <f ca="1">IFERROR(__xludf.DUMMYFUNCTION("""COMPUTED_VALUE"""),50)</f>
        <v>50</v>
      </c>
      <c r="C945" s="2">
        <f ca="1">IFERROR(__xludf.DUMMYFUNCTION("""COMPUTED_VALUE"""),50)</f>
        <v>50</v>
      </c>
      <c r="D945" s="2">
        <f ca="1">IFERROR(__xludf.DUMMYFUNCTION("""COMPUTED_VALUE"""),50)</f>
        <v>50</v>
      </c>
      <c r="E945" s="2">
        <f ca="1">IFERROR(__xludf.DUMMYFUNCTION("""COMPUTED_VALUE"""),0)</f>
        <v>0</v>
      </c>
    </row>
    <row r="946" spans="1:5" ht="12.75">
      <c r="A946" s="2" t="str">
        <f ca="1">IFERROR(__xludf.DUMMYFUNCTION("""COMPUTED_VALUE"""),"XBOA114X38")</f>
        <v>XBOA114X38</v>
      </c>
      <c r="B946" s="2">
        <f ca="1">IFERROR(__xludf.DUMMYFUNCTION("""COMPUTED_VALUE"""),28)</f>
        <v>28</v>
      </c>
      <c r="C946" s="2">
        <f ca="1">IFERROR(__xludf.DUMMYFUNCTION("""COMPUTED_VALUE"""),28)</f>
        <v>28</v>
      </c>
      <c r="D946" s="2">
        <f ca="1">IFERROR(__xludf.DUMMYFUNCTION("""COMPUTED_VALUE"""),28)</f>
        <v>28</v>
      </c>
      <c r="E946" s="2">
        <f ca="1">IFERROR(__xludf.DUMMYFUNCTION("""COMPUTED_VALUE"""),0)</f>
        <v>0</v>
      </c>
    </row>
    <row r="947" spans="1:5" ht="12.75">
      <c r="A947" s="2" t="str">
        <f ca="1">IFERROR(__xludf.DUMMYFUNCTION("""COMPUTED_VALUE"""),"XBOAE00613")</f>
        <v>XBOAE00613</v>
      </c>
      <c r="B947" s="2">
        <f ca="1">IFERROR(__xludf.DUMMYFUNCTION("""COMPUTED_VALUE"""),7601)</f>
        <v>7601</v>
      </c>
      <c r="C947" s="2">
        <f ca="1">IFERROR(__xludf.DUMMYFUNCTION("""COMPUTED_VALUE"""),9970)</f>
        <v>9970</v>
      </c>
      <c r="D947" s="2">
        <f ca="1">IFERROR(__xludf.DUMMYFUNCTION("""COMPUTED_VALUE"""),7601)</f>
        <v>7601</v>
      </c>
      <c r="E947" s="2">
        <f ca="1">IFERROR(__xludf.DUMMYFUNCTION("""COMPUTED_VALUE"""),2369)</f>
        <v>2369</v>
      </c>
    </row>
    <row r="948" spans="1:5" ht="12.75">
      <c r="A948" s="2" t="str">
        <f ca="1">IFERROR(__xludf.DUMMYFUNCTION("""COMPUTED_VALUE"""),"XBOAE00619")</f>
        <v>XBOAE00619</v>
      </c>
      <c r="B948" s="2">
        <f ca="1">IFERROR(__xludf.DUMMYFUNCTION("""COMPUTED_VALUE"""),6235)</f>
        <v>6235</v>
      </c>
      <c r="C948" s="2">
        <f ca="1">IFERROR(__xludf.DUMMYFUNCTION("""COMPUTED_VALUE"""),6823)</f>
        <v>6823</v>
      </c>
      <c r="D948" s="2">
        <f ca="1">IFERROR(__xludf.DUMMYFUNCTION("""COMPUTED_VALUE"""),6235)</f>
        <v>6235</v>
      </c>
      <c r="E948" s="2">
        <f ca="1">IFERROR(__xludf.DUMMYFUNCTION("""COMPUTED_VALUE"""),588)</f>
        <v>588</v>
      </c>
    </row>
    <row r="949" spans="1:5" ht="12.75">
      <c r="A949" s="2" t="str">
        <f ca="1">IFERROR(__xludf.DUMMYFUNCTION("""COMPUTED_VALUE"""),"XBOAE01013")</f>
        <v>XBOAE01013</v>
      </c>
      <c r="B949" s="2">
        <f ca="1">IFERROR(__xludf.DUMMYFUNCTION("""COMPUTED_VALUE"""),3846)</f>
        <v>3846</v>
      </c>
      <c r="C949" s="2">
        <f ca="1">IFERROR(__xludf.DUMMYFUNCTION("""COMPUTED_VALUE"""),5335)</f>
        <v>5335</v>
      </c>
      <c r="D949" s="2">
        <f ca="1">IFERROR(__xludf.DUMMYFUNCTION("""COMPUTED_VALUE"""),3846)</f>
        <v>3846</v>
      </c>
      <c r="E949" s="2">
        <f ca="1">IFERROR(__xludf.DUMMYFUNCTION("""COMPUTED_VALUE"""),1489)</f>
        <v>1489</v>
      </c>
    </row>
    <row r="950" spans="1:5" ht="12.75">
      <c r="A950" s="2" t="str">
        <f ca="1">IFERROR(__xludf.DUMMYFUNCTION("""COMPUTED_VALUE"""),"XBOAE01019")</f>
        <v>XBOAE01019</v>
      </c>
      <c r="B950" s="2">
        <f ca="1">IFERROR(__xludf.DUMMYFUNCTION("""COMPUTED_VALUE"""),1554)</f>
        <v>1554</v>
      </c>
      <c r="C950" s="2">
        <f ca="1">IFERROR(__xludf.DUMMYFUNCTION("""COMPUTED_VALUE"""),1942)</f>
        <v>1942</v>
      </c>
      <c r="D950" s="2">
        <f ca="1">IFERROR(__xludf.DUMMYFUNCTION("""COMPUTED_VALUE"""),1554)</f>
        <v>1554</v>
      </c>
      <c r="E950" s="2">
        <f ca="1">IFERROR(__xludf.DUMMYFUNCTION("""COMPUTED_VALUE"""),388)</f>
        <v>388</v>
      </c>
    </row>
    <row r="951" spans="1:5" ht="12.75">
      <c r="A951" s="2" t="str">
        <f ca="1">IFERROR(__xludf.DUMMYFUNCTION("""COMPUTED_VALUE"""),"XBOAE01025")</f>
        <v>XBOAE01025</v>
      </c>
      <c r="B951" s="2">
        <f ca="1">IFERROR(__xludf.DUMMYFUNCTION("""COMPUTED_VALUE"""),301)</f>
        <v>301</v>
      </c>
      <c r="C951" s="2">
        <f ca="1">IFERROR(__xludf.DUMMYFUNCTION("""COMPUTED_VALUE"""),301)</f>
        <v>301</v>
      </c>
      <c r="D951" s="2">
        <f ca="1">IFERROR(__xludf.DUMMYFUNCTION("""COMPUTED_VALUE"""),301)</f>
        <v>301</v>
      </c>
      <c r="E951" s="2">
        <f ca="1">IFERROR(__xludf.DUMMYFUNCTION("""COMPUTED_VALUE"""),0)</f>
        <v>0</v>
      </c>
    </row>
    <row r="952" spans="1:5" ht="12.75">
      <c r="A952" s="2" t="str">
        <f ca="1">IFERROR(__xludf.DUMMYFUNCTION("""COMPUTED_VALUE"""),"XBOAE01313")</f>
        <v>XBOAE01313</v>
      </c>
      <c r="B952" s="2">
        <f ca="1">IFERROR(__xludf.DUMMYFUNCTION("""COMPUTED_VALUE"""),4293)</f>
        <v>4293</v>
      </c>
      <c r="C952" s="2">
        <f ca="1">IFERROR(__xludf.DUMMYFUNCTION("""COMPUTED_VALUE"""),5490)</f>
        <v>5490</v>
      </c>
      <c r="D952" s="2">
        <f ca="1">IFERROR(__xludf.DUMMYFUNCTION("""COMPUTED_VALUE"""),4293)</f>
        <v>4293</v>
      </c>
      <c r="E952" s="2">
        <f ca="1">IFERROR(__xludf.DUMMYFUNCTION("""COMPUTED_VALUE"""),1197)</f>
        <v>1197</v>
      </c>
    </row>
    <row r="953" spans="1:5" ht="12.75">
      <c r="A953" s="2" t="str">
        <f ca="1">IFERROR(__xludf.DUMMYFUNCTION("""COMPUTED_VALUE"""),"XBOAE01319")</f>
        <v>XBOAE01319</v>
      </c>
      <c r="B953" s="2">
        <f ca="1">IFERROR(__xludf.DUMMYFUNCTION("""COMPUTED_VALUE"""),1240)</f>
        <v>1240</v>
      </c>
      <c r="C953" s="2">
        <f ca="1">IFERROR(__xludf.DUMMYFUNCTION("""COMPUTED_VALUE"""),1523)</f>
        <v>1523</v>
      </c>
      <c r="D953" s="2">
        <f ca="1">IFERROR(__xludf.DUMMYFUNCTION("""COMPUTED_VALUE"""),1240)</f>
        <v>1240</v>
      </c>
      <c r="E953" s="2">
        <f ca="1">IFERROR(__xludf.DUMMYFUNCTION("""COMPUTED_VALUE"""),283)</f>
        <v>283</v>
      </c>
    </row>
    <row r="954" spans="1:5" ht="12.75">
      <c r="A954" s="2" t="str">
        <f ca="1">IFERROR(__xludf.DUMMYFUNCTION("""COMPUTED_VALUE"""),"XBOAE01325")</f>
        <v>XBOAE01325</v>
      </c>
      <c r="B954" s="2">
        <f ca="1">IFERROR(__xludf.DUMMYFUNCTION("""COMPUTED_VALUE"""),722)</f>
        <v>722</v>
      </c>
      <c r="C954" s="2">
        <f ca="1">IFERROR(__xludf.DUMMYFUNCTION("""COMPUTED_VALUE"""),722)</f>
        <v>722</v>
      </c>
      <c r="D954" s="2">
        <f ca="1">IFERROR(__xludf.DUMMYFUNCTION("""COMPUTED_VALUE"""),722)</f>
        <v>722</v>
      </c>
      <c r="E954" s="2">
        <f ca="1">IFERROR(__xludf.DUMMYFUNCTION("""COMPUTED_VALUE"""),0)</f>
        <v>0</v>
      </c>
    </row>
    <row r="955" spans="1:5" ht="12.75">
      <c r="A955" s="2" t="str">
        <f ca="1">IFERROR(__xludf.DUMMYFUNCTION("""COMPUTED_VALUE"""),"XBOAE01613")</f>
        <v>XBOAE01613</v>
      </c>
      <c r="B955" s="2">
        <f ca="1">IFERROR(__xludf.DUMMYFUNCTION("""COMPUTED_VALUE"""),2707)</f>
        <v>2707</v>
      </c>
      <c r="C955" s="2">
        <f ca="1">IFERROR(__xludf.DUMMYFUNCTION("""COMPUTED_VALUE"""),2754)</f>
        <v>2754</v>
      </c>
      <c r="D955" s="2">
        <f ca="1">IFERROR(__xludf.DUMMYFUNCTION("""COMPUTED_VALUE"""),2707)</f>
        <v>2707</v>
      </c>
      <c r="E955" s="2">
        <f ca="1">IFERROR(__xludf.DUMMYFUNCTION("""COMPUTED_VALUE"""),47)</f>
        <v>47</v>
      </c>
    </row>
    <row r="956" spans="1:5" ht="12.75">
      <c r="A956" s="2" t="str">
        <f ca="1">IFERROR(__xludf.DUMMYFUNCTION("""COMPUTED_VALUE"""),"XBOAE01619")</f>
        <v>XBOAE01619</v>
      </c>
      <c r="B956" s="2">
        <f ca="1">IFERROR(__xludf.DUMMYFUNCTION("""COMPUTED_VALUE"""),2693)</f>
        <v>2693</v>
      </c>
      <c r="C956" s="2">
        <f ca="1">IFERROR(__xludf.DUMMYFUNCTION("""COMPUTED_VALUE"""),2794)</f>
        <v>2794</v>
      </c>
      <c r="D956" s="2">
        <f ca="1">IFERROR(__xludf.DUMMYFUNCTION("""COMPUTED_VALUE"""),2693)</f>
        <v>2693</v>
      </c>
      <c r="E956" s="2">
        <f ca="1">IFERROR(__xludf.DUMMYFUNCTION("""COMPUTED_VALUE"""),101)</f>
        <v>101</v>
      </c>
    </row>
    <row r="957" spans="1:5" ht="12.75">
      <c r="A957" s="2" t="str">
        <f ca="1">IFERROR(__xludf.DUMMYFUNCTION("""COMPUTED_VALUE"""),"XBOAE01625")</f>
        <v>XBOAE01625</v>
      </c>
      <c r="B957" s="2">
        <f ca="1">IFERROR(__xludf.DUMMYFUNCTION("""COMPUTED_VALUE"""),592)</f>
        <v>592</v>
      </c>
      <c r="C957" s="2">
        <f ca="1">IFERROR(__xludf.DUMMYFUNCTION("""COMPUTED_VALUE"""),592)</f>
        <v>592</v>
      </c>
      <c r="D957" s="2">
        <f ca="1">IFERROR(__xludf.DUMMYFUNCTION("""COMPUTED_VALUE"""),592)</f>
        <v>592</v>
      </c>
      <c r="E957" s="2">
        <f ca="1">IFERROR(__xludf.DUMMYFUNCTION("""COMPUTED_VALUE"""),0)</f>
        <v>0</v>
      </c>
    </row>
    <row r="958" spans="1:5" ht="12.75">
      <c r="A958" s="2" t="str">
        <f ca="1">IFERROR(__xludf.DUMMYFUNCTION("""COMPUTED_VALUE"""),"XBOAE01919")</f>
        <v>XBOAE01919</v>
      </c>
      <c r="B958" s="2">
        <f ca="1">IFERROR(__xludf.DUMMYFUNCTION("""COMPUTED_VALUE"""),2317)</f>
        <v>2317</v>
      </c>
      <c r="C958" s="2">
        <f ca="1">IFERROR(__xludf.DUMMYFUNCTION("""COMPUTED_VALUE"""),2369)</f>
        <v>2369</v>
      </c>
      <c r="D958" s="2">
        <f ca="1">IFERROR(__xludf.DUMMYFUNCTION("""COMPUTED_VALUE"""),2317)</f>
        <v>2317</v>
      </c>
      <c r="E958" s="2">
        <f ca="1">IFERROR(__xludf.DUMMYFUNCTION("""COMPUTED_VALUE"""),52)</f>
        <v>52</v>
      </c>
    </row>
    <row r="959" spans="1:5" ht="12.75">
      <c r="A959" s="2" t="str">
        <f ca="1">IFERROR(__xludf.DUMMYFUNCTION("""COMPUTED_VALUE"""),"XBOAE01925")</f>
        <v>XBOAE01925</v>
      </c>
      <c r="B959" s="2">
        <f ca="1">IFERROR(__xludf.DUMMYFUNCTION("""COMPUTED_VALUE"""),107)</f>
        <v>107</v>
      </c>
      <c r="C959" s="2">
        <f ca="1">IFERROR(__xludf.DUMMYFUNCTION("""COMPUTED_VALUE"""),107)</f>
        <v>107</v>
      </c>
      <c r="D959" s="2">
        <f ca="1">IFERROR(__xludf.DUMMYFUNCTION("""COMPUTED_VALUE"""),107)</f>
        <v>107</v>
      </c>
      <c r="E959" s="2">
        <f ca="1">IFERROR(__xludf.DUMMYFUNCTION("""COMPUTED_VALUE"""),0)</f>
        <v>0</v>
      </c>
    </row>
    <row r="960" spans="1:5" ht="12.75">
      <c r="A960" s="2" t="str">
        <f ca="1">IFERROR(__xludf.DUMMYFUNCTION("""COMPUTED_VALUE"""),"XBOAE02213")</f>
        <v>XBOAE02213</v>
      </c>
      <c r="B960" s="2">
        <f ca="1">IFERROR(__xludf.DUMMYFUNCTION("""COMPUTED_VALUE"""),1879)</f>
        <v>1879</v>
      </c>
      <c r="C960" s="2">
        <f ca="1">IFERROR(__xludf.DUMMYFUNCTION("""COMPUTED_VALUE"""),2550)</f>
        <v>2550</v>
      </c>
      <c r="D960" s="2">
        <f ca="1">IFERROR(__xludf.DUMMYFUNCTION("""COMPUTED_VALUE"""),1879)</f>
        <v>1879</v>
      </c>
      <c r="E960" s="2">
        <f ca="1">IFERROR(__xludf.DUMMYFUNCTION("""COMPUTED_VALUE"""),671)</f>
        <v>671</v>
      </c>
    </row>
    <row r="961" spans="1:5" ht="12.75">
      <c r="A961" s="2" t="str">
        <f ca="1">IFERROR(__xludf.DUMMYFUNCTION("""COMPUTED_VALUE"""),"XBOAE02219")</f>
        <v>XBOAE02219</v>
      </c>
      <c r="B961" s="2">
        <f ca="1">IFERROR(__xludf.DUMMYFUNCTION("""COMPUTED_VALUE"""),1010)</f>
        <v>1010</v>
      </c>
      <c r="C961" s="2">
        <f ca="1">IFERROR(__xludf.DUMMYFUNCTION("""COMPUTED_VALUE"""),1207)</f>
        <v>1207</v>
      </c>
      <c r="D961" s="2">
        <f ca="1">IFERROR(__xludf.DUMMYFUNCTION("""COMPUTED_VALUE"""),1010)</f>
        <v>1010</v>
      </c>
      <c r="E961" s="2">
        <f ca="1">IFERROR(__xludf.DUMMYFUNCTION("""COMPUTED_VALUE"""),197)</f>
        <v>197</v>
      </c>
    </row>
    <row r="962" spans="1:5" ht="12.75">
      <c r="A962" s="2" t="str">
        <f ca="1">IFERROR(__xludf.DUMMYFUNCTION("""COMPUTED_VALUE"""),"XBOAE02225")</f>
        <v>XBOAE02225</v>
      </c>
      <c r="B962" s="2">
        <f ca="1">IFERROR(__xludf.DUMMYFUNCTION("""COMPUTED_VALUE"""),416)</f>
        <v>416</v>
      </c>
      <c r="C962" s="2">
        <f ca="1">IFERROR(__xludf.DUMMYFUNCTION("""COMPUTED_VALUE"""),576)</f>
        <v>576</v>
      </c>
      <c r="D962" s="2">
        <f ca="1">IFERROR(__xludf.DUMMYFUNCTION("""COMPUTED_VALUE"""),416)</f>
        <v>416</v>
      </c>
      <c r="E962" s="2">
        <f ca="1">IFERROR(__xludf.DUMMYFUNCTION("""COMPUTED_VALUE"""),160)</f>
        <v>160</v>
      </c>
    </row>
    <row r="963" spans="1:5" ht="12.75">
      <c r="A963" s="2" t="str">
        <f ca="1">IFERROR(__xludf.DUMMYFUNCTION("""COMPUTED_VALUE"""),"XBOAE02519")</f>
        <v>XBOAE02519</v>
      </c>
      <c r="B963" s="2">
        <f ca="1">IFERROR(__xludf.DUMMYFUNCTION("""COMPUTED_VALUE"""),191)</f>
        <v>191</v>
      </c>
      <c r="C963" s="2">
        <f ca="1">IFERROR(__xludf.DUMMYFUNCTION("""COMPUTED_VALUE"""),191)</f>
        <v>191</v>
      </c>
      <c r="D963" s="2">
        <f ca="1">IFERROR(__xludf.DUMMYFUNCTION("""COMPUTED_VALUE"""),191)</f>
        <v>191</v>
      </c>
      <c r="E963" s="2">
        <f ca="1">IFERROR(__xludf.DUMMYFUNCTION("""COMPUTED_VALUE"""),0)</f>
        <v>0</v>
      </c>
    </row>
    <row r="964" spans="1:5" ht="12.75">
      <c r="A964" s="2" t="str">
        <f ca="1">IFERROR(__xludf.DUMMYFUNCTION("""COMPUTED_VALUE"""),"XBOAE02525")</f>
        <v>XBOAE02525</v>
      </c>
      <c r="B964" s="2">
        <f ca="1">IFERROR(__xludf.DUMMYFUNCTION("""COMPUTED_VALUE"""),187)</f>
        <v>187</v>
      </c>
      <c r="C964" s="2">
        <f ca="1">IFERROR(__xludf.DUMMYFUNCTION("""COMPUTED_VALUE"""),187)</f>
        <v>187</v>
      </c>
      <c r="D964" s="2">
        <f ca="1">IFERROR(__xludf.DUMMYFUNCTION("""COMPUTED_VALUE"""),187)</f>
        <v>187</v>
      </c>
      <c r="E964" s="2">
        <f ca="1">IFERROR(__xludf.DUMMYFUNCTION("""COMPUTED_VALUE"""),0)</f>
        <v>0</v>
      </c>
    </row>
    <row r="965" spans="1:5" ht="12.75">
      <c r="A965" s="2" t="str">
        <f ca="1">IFERROR(__xludf.DUMMYFUNCTION("""COMPUTED_VALUE"""),"XBOAE02809")</f>
        <v>XBOAE02809</v>
      </c>
      <c r="B965" s="2">
        <f ca="1">IFERROR(__xludf.DUMMYFUNCTION("""COMPUTED_VALUE"""),1340)</f>
        <v>1340</v>
      </c>
      <c r="C965" s="2">
        <f ca="1">IFERROR(__xludf.DUMMYFUNCTION("""COMPUTED_VALUE"""),1340)</f>
        <v>1340</v>
      </c>
      <c r="D965" s="2">
        <f ca="1">IFERROR(__xludf.DUMMYFUNCTION("""COMPUTED_VALUE"""),1340)</f>
        <v>1340</v>
      </c>
      <c r="E965" s="2">
        <f ca="1">IFERROR(__xludf.DUMMYFUNCTION("""COMPUTED_VALUE"""),0)</f>
        <v>0</v>
      </c>
    </row>
    <row r="966" spans="1:5" ht="12.75">
      <c r="A966" s="2" t="str">
        <f ca="1">IFERROR(__xludf.DUMMYFUNCTION("""COMPUTED_VALUE"""),"XBOAE02813")</f>
        <v>XBOAE02813</v>
      </c>
      <c r="B966" s="2">
        <f ca="1">IFERROR(__xludf.DUMMYFUNCTION("""COMPUTED_VALUE"""),1605)</f>
        <v>1605</v>
      </c>
      <c r="C966" s="2">
        <f ca="1">IFERROR(__xludf.DUMMYFUNCTION("""COMPUTED_VALUE"""),2333)</f>
        <v>2333</v>
      </c>
      <c r="D966" s="2">
        <f ca="1">IFERROR(__xludf.DUMMYFUNCTION("""COMPUTED_VALUE"""),1605)</f>
        <v>1605</v>
      </c>
      <c r="E966" s="2">
        <f ca="1">IFERROR(__xludf.DUMMYFUNCTION("""COMPUTED_VALUE"""),728)</f>
        <v>728</v>
      </c>
    </row>
    <row r="967" spans="1:5" ht="12.75">
      <c r="A967" s="2" t="str">
        <f ca="1">IFERROR(__xludf.DUMMYFUNCTION("""COMPUTED_VALUE"""),"XBOAE02819")</f>
        <v>XBOAE02819</v>
      </c>
      <c r="B967" s="2">
        <f ca="1">IFERROR(__xludf.DUMMYFUNCTION("""COMPUTED_VALUE"""),2253)</f>
        <v>2253</v>
      </c>
      <c r="C967" s="2">
        <f ca="1">IFERROR(__xludf.DUMMYFUNCTION("""COMPUTED_VALUE"""),2394)</f>
        <v>2394</v>
      </c>
      <c r="D967" s="2">
        <f ca="1">IFERROR(__xludf.DUMMYFUNCTION("""COMPUTED_VALUE"""),2253)</f>
        <v>2253</v>
      </c>
      <c r="E967" s="2">
        <f ca="1">IFERROR(__xludf.DUMMYFUNCTION("""COMPUTED_VALUE"""),141)</f>
        <v>141</v>
      </c>
    </row>
    <row r="968" spans="1:5" ht="12.75">
      <c r="A968" s="2" t="str">
        <f ca="1">IFERROR(__xludf.DUMMYFUNCTION("""COMPUTED_VALUE"""),"XBOAE02825")</f>
        <v>XBOAE02825</v>
      </c>
      <c r="B968" s="2">
        <f ca="1">IFERROR(__xludf.DUMMYFUNCTION("""COMPUTED_VALUE"""),827)</f>
        <v>827</v>
      </c>
      <c r="C968" s="2">
        <f ca="1">IFERROR(__xludf.DUMMYFUNCTION("""COMPUTED_VALUE"""),897)</f>
        <v>897</v>
      </c>
      <c r="D968" s="2">
        <f ca="1">IFERROR(__xludf.DUMMYFUNCTION("""COMPUTED_VALUE"""),827)</f>
        <v>827</v>
      </c>
      <c r="E968" s="2">
        <f ca="1">IFERROR(__xludf.DUMMYFUNCTION("""COMPUTED_VALUE"""),70)</f>
        <v>70</v>
      </c>
    </row>
    <row r="969" spans="1:5" ht="12.75">
      <c r="A969" s="2" t="str">
        <f ca="1">IFERROR(__xludf.DUMMYFUNCTION("""COMPUTED_VALUE"""),"XBOAE03219")</f>
        <v>XBOAE03219</v>
      </c>
      <c r="B969" s="2">
        <f ca="1">IFERROR(__xludf.DUMMYFUNCTION("""COMPUTED_VALUE"""),30)</f>
        <v>30</v>
      </c>
      <c r="C969" s="2">
        <f ca="1">IFERROR(__xludf.DUMMYFUNCTION("""COMPUTED_VALUE"""),30)</f>
        <v>30</v>
      </c>
      <c r="D969" s="2">
        <f ca="1">IFERROR(__xludf.DUMMYFUNCTION("""COMPUTED_VALUE"""),30)</f>
        <v>30</v>
      </c>
      <c r="E969" s="2">
        <f ca="1">IFERROR(__xludf.DUMMYFUNCTION("""COMPUTED_VALUE"""),0)</f>
        <v>0</v>
      </c>
    </row>
    <row r="970" spans="1:5" ht="12.75">
      <c r="A970" s="2" t="str">
        <f ca="1">IFERROR(__xludf.DUMMYFUNCTION("""COMPUTED_VALUE"""),"XBOAE03225")</f>
        <v>XBOAE03225</v>
      </c>
      <c r="B970" s="2">
        <f ca="1">IFERROR(__xludf.DUMMYFUNCTION("""COMPUTED_VALUE"""),534)</f>
        <v>534</v>
      </c>
      <c r="C970" s="2">
        <f ca="1">IFERROR(__xludf.DUMMYFUNCTION("""COMPUTED_VALUE"""),534)</f>
        <v>534</v>
      </c>
      <c r="D970" s="2">
        <f ca="1">IFERROR(__xludf.DUMMYFUNCTION("""COMPUTED_VALUE"""),534)</f>
        <v>534</v>
      </c>
      <c r="E970" s="2">
        <f ca="1">IFERROR(__xludf.DUMMYFUNCTION("""COMPUTED_VALUE"""),0)</f>
        <v>0</v>
      </c>
    </row>
    <row r="971" spans="1:5" ht="12.75">
      <c r="A971" s="2" t="str">
        <f ca="1">IFERROR(__xludf.DUMMYFUNCTION("""COMPUTED_VALUE"""),"XBOAE03513")</f>
        <v>XBOAE03513</v>
      </c>
      <c r="B971" s="2">
        <f ca="1">IFERROR(__xludf.DUMMYFUNCTION("""COMPUTED_VALUE"""),1664)</f>
        <v>1664</v>
      </c>
      <c r="C971" s="2">
        <f ca="1">IFERROR(__xludf.DUMMYFUNCTION("""COMPUTED_VALUE"""),1724)</f>
        <v>1724</v>
      </c>
      <c r="D971" s="2">
        <f ca="1">IFERROR(__xludf.DUMMYFUNCTION("""COMPUTED_VALUE"""),1664)</f>
        <v>1664</v>
      </c>
      <c r="E971" s="2">
        <f ca="1">IFERROR(__xludf.DUMMYFUNCTION("""COMPUTED_VALUE"""),60)</f>
        <v>60</v>
      </c>
    </row>
    <row r="972" spans="1:5" ht="12.75">
      <c r="A972" s="2" t="str">
        <f ca="1">IFERROR(__xludf.DUMMYFUNCTION("""COMPUTED_VALUE"""),"XBOAE03519")</f>
        <v>XBOAE03519</v>
      </c>
      <c r="B972" s="2">
        <f ca="1">IFERROR(__xludf.DUMMYFUNCTION("""COMPUTED_VALUE"""),994)</f>
        <v>994</v>
      </c>
      <c r="C972" s="2">
        <f ca="1">IFERROR(__xludf.DUMMYFUNCTION("""COMPUTED_VALUE"""),1106)</f>
        <v>1106</v>
      </c>
      <c r="D972" s="2">
        <f ca="1">IFERROR(__xludf.DUMMYFUNCTION("""COMPUTED_VALUE"""),994)</f>
        <v>994</v>
      </c>
      <c r="E972" s="2">
        <f ca="1">IFERROR(__xludf.DUMMYFUNCTION("""COMPUTED_VALUE"""),112)</f>
        <v>112</v>
      </c>
    </row>
    <row r="973" spans="1:5" ht="12.75">
      <c r="A973" s="2" t="str">
        <f ca="1">IFERROR(__xludf.DUMMYFUNCTION("""COMPUTED_VALUE"""),"XBOAE03525")</f>
        <v>XBOAE03525</v>
      </c>
      <c r="B973" s="2">
        <f ca="1">IFERROR(__xludf.DUMMYFUNCTION("""COMPUTED_VALUE"""),254)</f>
        <v>254</v>
      </c>
      <c r="C973" s="2">
        <f ca="1">IFERROR(__xludf.DUMMYFUNCTION("""COMPUTED_VALUE"""),425)</f>
        <v>425</v>
      </c>
      <c r="D973" s="2">
        <f ca="1">IFERROR(__xludf.DUMMYFUNCTION("""COMPUTED_VALUE"""),254)</f>
        <v>254</v>
      </c>
      <c r="E973" s="2">
        <f ca="1">IFERROR(__xludf.DUMMYFUNCTION("""COMPUTED_VALUE"""),171)</f>
        <v>171</v>
      </c>
    </row>
    <row r="974" spans="1:5" ht="12.75">
      <c r="A974" s="2" t="str">
        <f ca="1">IFERROR(__xludf.DUMMYFUNCTION("""COMPUTED_VALUE"""),"XBOAE03819")</f>
        <v>XBOAE03819</v>
      </c>
      <c r="B974" s="2">
        <f ca="1">IFERROR(__xludf.DUMMYFUNCTION("""COMPUTED_VALUE"""),342)</f>
        <v>342</v>
      </c>
      <c r="C974" s="2">
        <f ca="1">IFERROR(__xludf.DUMMYFUNCTION("""COMPUTED_VALUE"""),342)</f>
        <v>342</v>
      </c>
      <c r="D974" s="2">
        <f ca="1">IFERROR(__xludf.DUMMYFUNCTION("""COMPUTED_VALUE"""),342)</f>
        <v>342</v>
      </c>
      <c r="E974" s="2">
        <f ca="1">IFERROR(__xludf.DUMMYFUNCTION("""COMPUTED_VALUE"""),0)</f>
        <v>0</v>
      </c>
    </row>
    <row r="975" spans="1:5" ht="12.75">
      <c r="A975" s="2" t="str">
        <f ca="1">IFERROR(__xludf.DUMMYFUNCTION("""COMPUTED_VALUE"""),"XBOAE03825")</f>
        <v>XBOAE03825</v>
      </c>
      <c r="B975" s="2">
        <f ca="1">IFERROR(__xludf.DUMMYFUNCTION("""COMPUTED_VALUE"""),300)</f>
        <v>300</v>
      </c>
      <c r="C975" s="2">
        <f ca="1">IFERROR(__xludf.DUMMYFUNCTION("""COMPUTED_VALUE"""),300)</f>
        <v>300</v>
      </c>
      <c r="D975" s="2">
        <f ca="1">IFERROR(__xludf.DUMMYFUNCTION("""COMPUTED_VALUE"""),300)</f>
        <v>300</v>
      </c>
      <c r="E975" s="2">
        <f ca="1">IFERROR(__xludf.DUMMYFUNCTION("""COMPUTED_VALUE"""),0)</f>
        <v>0</v>
      </c>
    </row>
    <row r="976" spans="1:5" ht="12.75">
      <c r="A976" s="2" t="str">
        <f ca="1">IFERROR(__xludf.DUMMYFUNCTION("""COMPUTED_VALUE"""),"XBOAE04213")</f>
        <v>XBOAE04213</v>
      </c>
      <c r="B976" s="2">
        <f ca="1">IFERROR(__xludf.DUMMYFUNCTION("""COMPUTED_VALUE"""),704)</f>
        <v>704</v>
      </c>
      <c r="C976" s="2">
        <f ca="1">IFERROR(__xludf.DUMMYFUNCTION("""COMPUTED_VALUE"""),751)</f>
        <v>751</v>
      </c>
      <c r="D976" s="2">
        <f ca="1">IFERROR(__xludf.DUMMYFUNCTION("""COMPUTED_VALUE"""),704)</f>
        <v>704</v>
      </c>
      <c r="E976" s="2">
        <f ca="1">IFERROR(__xludf.DUMMYFUNCTION("""COMPUTED_VALUE"""),47)</f>
        <v>47</v>
      </c>
    </row>
    <row r="977" spans="1:5" ht="12.75">
      <c r="A977" s="2" t="str">
        <f ca="1">IFERROR(__xludf.DUMMYFUNCTION("""COMPUTED_VALUE"""),"XBOAE04219")</f>
        <v>XBOAE04219</v>
      </c>
      <c r="B977" s="2">
        <f ca="1">IFERROR(__xludf.DUMMYFUNCTION("""COMPUTED_VALUE"""),514)</f>
        <v>514</v>
      </c>
      <c r="C977" s="2">
        <f ca="1">IFERROR(__xludf.DUMMYFUNCTION("""COMPUTED_VALUE"""),638)</f>
        <v>638</v>
      </c>
      <c r="D977" s="2">
        <f ca="1">IFERROR(__xludf.DUMMYFUNCTION("""COMPUTED_VALUE"""),514)</f>
        <v>514</v>
      </c>
      <c r="E977" s="2">
        <f ca="1">IFERROR(__xludf.DUMMYFUNCTION("""COMPUTED_VALUE"""),124)</f>
        <v>124</v>
      </c>
    </row>
    <row r="978" spans="1:5" ht="12.75">
      <c r="A978" s="2" t="str">
        <f ca="1">IFERROR(__xludf.DUMMYFUNCTION("""COMPUTED_VALUE"""),"XBOAE04225")</f>
        <v>XBOAE04225</v>
      </c>
      <c r="B978" s="2">
        <f ca="1">IFERROR(__xludf.DUMMYFUNCTION("""COMPUTED_VALUE"""),39)</f>
        <v>39</v>
      </c>
      <c r="C978" s="2">
        <f ca="1">IFERROR(__xludf.DUMMYFUNCTION("""COMPUTED_VALUE"""),255)</f>
        <v>255</v>
      </c>
      <c r="D978" s="2">
        <f ca="1">IFERROR(__xludf.DUMMYFUNCTION("""COMPUTED_VALUE"""),39)</f>
        <v>39</v>
      </c>
      <c r="E978" s="2">
        <f ca="1">IFERROR(__xludf.DUMMYFUNCTION("""COMPUTED_VALUE"""),216)</f>
        <v>216</v>
      </c>
    </row>
    <row r="979" spans="1:5" ht="12.75">
      <c r="A979" s="2" t="str">
        <f ca="1">IFERROR(__xludf.DUMMYFUNCTION("""COMPUTED_VALUE"""),"XBOAE04232")</f>
        <v>XBOAE04232</v>
      </c>
      <c r="B979" s="2">
        <f ca="1">IFERROR(__xludf.DUMMYFUNCTION("""COMPUTED_VALUE"""),143)</f>
        <v>143</v>
      </c>
      <c r="C979" s="2">
        <f ca="1">IFERROR(__xludf.DUMMYFUNCTION("""COMPUTED_VALUE"""),143)</f>
        <v>143</v>
      </c>
      <c r="D979" s="2">
        <f ca="1">IFERROR(__xludf.DUMMYFUNCTION("""COMPUTED_VALUE"""),143)</f>
        <v>143</v>
      </c>
      <c r="E979" s="2">
        <f ca="1">IFERROR(__xludf.DUMMYFUNCTION("""COMPUTED_VALUE"""),0)</f>
        <v>0</v>
      </c>
    </row>
    <row r="980" spans="1:5" ht="12.75">
      <c r="A980" s="2" t="str">
        <f ca="1">IFERROR(__xludf.DUMMYFUNCTION("""COMPUTED_VALUE"""),"XBOAE04813")</f>
        <v>XBOAE04813</v>
      </c>
      <c r="B980" s="2">
        <f ca="1">IFERROR(__xludf.DUMMYFUNCTION("""COMPUTED_VALUE"""),638)</f>
        <v>638</v>
      </c>
      <c r="C980" s="2">
        <f ca="1">IFERROR(__xludf.DUMMYFUNCTION("""COMPUTED_VALUE"""),781)</f>
        <v>781</v>
      </c>
      <c r="D980" s="2">
        <f ca="1">IFERROR(__xludf.DUMMYFUNCTION("""COMPUTED_VALUE"""),638)</f>
        <v>638</v>
      </c>
      <c r="E980" s="2">
        <f ca="1">IFERROR(__xludf.DUMMYFUNCTION("""COMPUTED_VALUE"""),143)</f>
        <v>143</v>
      </c>
    </row>
    <row r="981" spans="1:5" ht="12.75">
      <c r="A981" s="2" t="str">
        <f ca="1">IFERROR(__xludf.DUMMYFUNCTION("""COMPUTED_VALUE"""),"XBOAE04819")</f>
        <v>XBOAE04819</v>
      </c>
      <c r="B981" s="2">
        <f ca="1">IFERROR(__xludf.DUMMYFUNCTION("""COMPUTED_VALUE"""),293)</f>
        <v>293</v>
      </c>
      <c r="C981" s="2">
        <f ca="1">IFERROR(__xludf.DUMMYFUNCTION("""COMPUTED_VALUE"""),293)</f>
        <v>293</v>
      </c>
      <c r="D981" s="2">
        <f ca="1">IFERROR(__xludf.DUMMYFUNCTION("""COMPUTED_VALUE"""),293)</f>
        <v>293</v>
      </c>
      <c r="E981" s="2">
        <f ca="1">IFERROR(__xludf.DUMMYFUNCTION("""COMPUTED_VALUE"""),0)</f>
        <v>0</v>
      </c>
    </row>
    <row r="982" spans="1:5" ht="12.75">
      <c r="A982" s="2" t="str">
        <f ca="1">IFERROR(__xludf.DUMMYFUNCTION("""COMPUTED_VALUE"""),"XBOAE04825")</f>
        <v>XBOAE04825</v>
      </c>
      <c r="B982" s="2">
        <f ca="1">IFERROR(__xludf.DUMMYFUNCTION("""COMPUTED_VALUE"""),103)</f>
        <v>103</v>
      </c>
      <c r="C982" s="2">
        <f ca="1">IFERROR(__xludf.DUMMYFUNCTION("""COMPUTED_VALUE"""),103)</f>
        <v>103</v>
      </c>
      <c r="D982" s="2">
        <f ca="1">IFERROR(__xludf.DUMMYFUNCTION("""COMPUTED_VALUE"""),103)</f>
        <v>103</v>
      </c>
      <c r="E982" s="2">
        <f ca="1">IFERROR(__xludf.DUMMYFUNCTION("""COMPUTED_VALUE"""),0)</f>
        <v>0</v>
      </c>
    </row>
    <row r="983" spans="1:5" ht="12.75">
      <c r="A983" s="2" t="str">
        <f ca="1">IFERROR(__xludf.DUMMYFUNCTION("""COMPUTED_VALUE"""),"XBOAE04838")</f>
        <v>XBOAE04838</v>
      </c>
      <c r="B983" s="2">
        <f ca="1">IFERROR(__xludf.DUMMYFUNCTION("""COMPUTED_VALUE"""),240)</f>
        <v>240</v>
      </c>
      <c r="C983" s="2">
        <f ca="1">IFERROR(__xludf.DUMMYFUNCTION("""COMPUTED_VALUE"""),240)</f>
        <v>240</v>
      </c>
      <c r="D983" s="2">
        <f ca="1">IFERROR(__xludf.DUMMYFUNCTION("""COMPUTED_VALUE"""),240)</f>
        <v>240</v>
      </c>
      <c r="E983" s="2">
        <f ca="1">IFERROR(__xludf.DUMMYFUNCTION("""COMPUTED_VALUE"""),0)</f>
        <v>0</v>
      </c>
    </row>
    <row r="984" spans="1:5" ht="12.75">
      <c r="A984" s="2" t="str">
        <f ca="1">IFERROR(__xludf.DUMMYFUNCTION("""COMPUTED_VALUE"""),"XBOAE05119")</f>
        <v>XBOAE05119</v>
      </c>
      <c r="B984" s="2">
        <f ca="1">IFERROR(__xludf.DUMMYFUNCTION("""COMPUTED_VALUE"""),140)</f>
        <v>140</v>
      </c>
      <c r="C984" s="2">
        <f ca="1">IFERROR(__xludf.DUMMYFUNCTION("""COMPUTED_VALUE"""),140)</f>
        <v>140</v>
      </c>
      <c r="D984" s="2">
        <f ca="1">IFERROR(__xludf.DUMMYFUNCTION("""COMPUTED_VALUE"""),140)</f>
        <v>140</v>
      </c>
      <c r="E984" s="2">
        <f ca="1">IFERROR(__xludf.DUMMYFUNCTION("""COMPUTED_VALUE"""),0)</f>
        <v>0</v>
      </c>
    </row>
    <row r="985" spans="1:5" ht="12.75">
      <c r="A985" s="2" t="str">
        <f ca="1">IFERROR(__xludf.DUMMYFUNCTION("""COMPUTED_VALUE"""),"XBOAE06013")</f>
        <v>XBOAE06013</v>
      </c>
      <c r="B985" s="2">
        <f ca="1">IFERROR(__xludf.DUMMYFUNCTION("""COMPUTED_VALUE"""),469)</f>
        <v>469</v>
      </c>
      <c r="C985" s="2">
        <f ca="1">IFERROR(__xludf.DUMMYFUNCTION("""COMPUTED_VALUE"""),501)</f>
        <v>501</v>
      </c>
      <c r="D985" s="2">
        <f ca="1">IFERROR(__xludf.DUMMYFUNCTION("""COMPUTED_VALUE"""),469)</f>
        <v>469</v>
      </c>
      <c r="E985" s="2">
        <f ca="1">IFERROR(__xludf.DUMMYFUNCTION("""COMPUTED_VALUE"""),32)</f>
        <v>32</v>
      </c>
    </row>
    <row r="986" spans="1:5" ht="12.75">
      <c r="A986" s="2" t="str">
        <f ca="1">IFERROR(__xludf.DUMMYFUNCTION("""COMPUTED_VALUE"""),"XBOAE06025")</f>
        <v>XBOAE06025</v>
      </c>
      <c r="B986" s="2">
        <f ca="1">IFERROR(__xludf.DUMMYFUNCTION("""COMPUTED_VALUE"""),302)</f>
        <v>302</v>
      </c>
      <c r="C986" s="2">
        <f ca="1">IFERROR(__xludf.DUMMYFUNCTION("""COMPUTED_VALUE"""),302)</f>
        <v>302</v>
      </c>
      <c r="D986" s="2">
        <f ca="1">IFERROR(__xludf.DUMMYFUNCTION("""COMPUTED_VALUE"""),302)</f>
        <v>302</v>
      </c>
      <c r="E986" s="2">
        <f ca="1">IFERROR(__xludf.DUMMYFUNCTION("""COMPUTED_VALUE"""),0)</f>
        <v>0</v>
      </c>
    </row>
    <row r="987" spans="1:5" ht="12.75">
      <c r="A987" s="2" t="str">
        <f ca="1">IFERROR(__xludf.DUMMYFUNCTION("""COMPUTED_VALUE"""),"XBOAE07613")</f>
        <v>XBOAE07613</v>
      </c>
      <c r="B987" s="2">
        <f ca="1">IFERROR(__xludf.DUMMYFUNCTION("""COMPUTED_VALUE"""),321)</f>
        <v>321</v>
      </c>
      <c r="C987" s="2">
        <f ca="1">IFERROR(__xludf.DUMMYFUNCTION("""COMPUTED_VALUE"""),321)</f>
        <v>321</v>
      </c>
      <c r="D987" s="2">
        <f ca="1">IFERROR(__xludf.DUMMYFUNCTION("""COMPUTED_VALUE"""),321)</f>
        <v>321</v>
      </c>
      <c r="E987" s="2">
        <f ca="1">IFERROR(__xludf.DUMMYFUNCTION("""COMPUTED_VALUE"""),0)</f>
        <v>0</v>
      </c>
    </row>
    <row r="988" spans="1:5" ht="12.75">
      <c r="A988" s="2" t="str">
        <f ca="1">IFERROR(__xludf.DUMMYFUNCTION("""COMPUTED_VALUE"""),"XBOAE07625")</f>
        <v>XBOAE07625</v>
      </c>
      <c r="B988" s="2">
        <f ca="1">IFERROR(__xludf.DUMMYFUNCTION("""COMPUTED_VALUE"""),402)</f>
        <v>402</v>
      </c>
      <c r="C988" s="2">
        <f ca="1">IFERROR(__xludf.DUMMYFUNCTION("""COMPUTED_VALUE"""),402)</f>
        <v>402</v>
      </c>
      <c r="D988" s="2">
        <f ca="1">IFERROR(__xludf.DUMMYFUNCTION("""COMPUTED_VALUE"""),402)</f>
        <v>402</v>
      </c>
      <c r="E988" s="2">
        <f ca="1">IFERROR(__xludf.DUMMYFUNCTION("""COMPUTED_VALUE"""),0)</f>
        <v>0</v>
      </c>
    </row>
    <row r="989" spans="1:5" ht="12.75">
      <c r="A989" s="2" t="str">
        <f ca="1">IFERROR(__xludf.DUMMYFUNCTION("""COMPUTED_VALUE"""),"XBOAE07632")</f>
        <v>XBOAE07632</v>
      </c>
      <c r="B989" s="2">
        <f ca="1">IFERROR(__xludf.DUMMYFUNCTION("""COMPUTED_VALUE"""),2)</f>
        <v>2</v>
      </c>
      <c r="C989" s="2">
        <f ca="1">IFERROR(__xludf.DUMMYFUNCTION("""COMPUTED_VALUE"""),2)</f>
        <v>2</v>
      </c>
      <c r="D989" s="2">
        <f ca="1">IFERROR(__xludf.DUMMYFUNCTION("""COMPUTED_VALUE"""),2)</f>
        <v>2</v>
      </c>
      <c r="E989" s="2">
        <f ca="1">IFERROR(__xludf.DUMMYFUNCTION("""COMPUTED_VALUE"""),0)</f>
        <v>0</v>
      </c>
    </row>
    <row r="990" spans="1:5" ht="12.75">
      <c r="A990" s="2" t="str">
        <f ca="1">IFERROR(__xludf.DUMMYFUNCTION("""COMPUTED_VALUE"""),"XBOAE09013")</f>
        <v>XBOAE09013</v>
      </c>
      <c r="B990" s="2">
        <f ca="1">IFERROR(__xludf.DUMMYFUNCTION("""COMPUTED_VALUE"""),15)</f>
        <v>15</v>
      </c>
      <c r="C990" s="2">
        <f ca="1">IFERROR(__xludf.DUMMYFUNCTION("""COMPUTED_VALUE"""),15)</f>
        <v>15</v>
      </c>
      <c r="D990" s="2">
        <f ca="1">IFERROR(__xludf.DUMMYFUNCTION("""COMPUTED_VALUE"""),15)</f>
        <v>15</v>
      </c>
      <c r="E990" s="2">
        <f ca="1">IFERROR(__xludf.DUMMYFUNCTION("""COMPUTED_VALUE"""),0)</f>
        <v>0</v>
      </c>
    </row>
    <row r="991" spans="1:5" ht="12.75">
      <c r="A991" s="2" t="str">
        <f ca="1">IFERROR(__xludf.DUMMYFUNCTION("""COMPUTED_VALUE"""),"XBOAE09019")</f>
        <v>XBOAE09019</v>
      </c>
      <c r="B991" s="2">
        <f ca="1">IFERROR(__xludf.DUMMYFUNCTION("""COMPUTED_VALUE"""),163)</f>
        <v>163</v>
      </c>
      <c r="C991" s="2">
        <f ca="1">IFERROR(__xludf.DUMMYFUNCTION("""COMPUTED_VALUE"""),163)</f>
        <v>163</v>
      </c>
      <c r="D991" s="2">
        <f ca="1">IFERROR(__xludf.DUMMYFUNCTION("""COMPUTED_VALUE"""),163)</f>
        <v>163</v>
      </c>
      <c r="E991" s="2">
        <f ca="1">IFERROR(__xludf.DUMMYFUNCTION("""COMPUTED_VALUE"""),0)</f>
        <v>0</v>
      </c>
    </row>
    <row r="992" spans="1:5" ht="12.75">
      <c r="A992" s="2" t="str">
        <f ca="1">IFERROR(__xludf.DUMMYFUNCTION("""COMPUTED_VALUE"""),"XBOAE09025")</f>
        <v>XBOAE09025</v>
      </c>
      <c r="B992" s="2">
        <f ca="1">IFERROR(__xludf.DUMMYFUNCTION("""COMPUTED_VALUE"""),23)</f>
        <v>23</v>
      </c>
      <c r="C992" s="2">
        <f ca="1">IFERROR(__xludf.DUMMYFUNCTION("""COMPUTED_VALUE"""),23)</f>
        <v>23</v>
      </c>
      <c r="D992" s="2">
        <f ca="1">IFERROR(__xludf.DUMMYFUNCTION("""COMPUTED_VALUE"""),23)</f>
        <v>23</v>
      </c>
      <c r="E992" s="2">
        <f ca="1">IFERROR(__xludf.DUMMYFUNCTION("""COMPUTED_VALUE"""),0)</f>
        <v>0</v>
      </c>
    </row>
    <row r="993" spans="1:5" ht="12.75">
      <c r="A993" s="2" t="str">
        <f ca="1">IFERROR(__xludf.DUMMYFUNCTION("""COMPUTED_VALUE"""),"XBOAE09032")</f>
        <v>XBOAE09032</v>
      </c>
      <c r="B993" s="2">
        <f ca="1">IFERROR(__xludf.DUMMYFUNCTION("""COMPUTED_VALUE"""),3)</f>
        <v>3</v>
      </c>
      <c r="C993" s="2">
        <f ca="1">IFERROR(__xludf.DUMMYFUNCTION("""COMPUTED_VALUE"""),3)</f>
        <v>3</v>
      </c>
      <c r="D993" s="2">
        <f ca="1">IFERROR(__xludf.DUMMYFUNCTION("""COMPUTED_VALUE"""),3)</f>
        <v>3</v>
      </c>
      <c r="E993" s="2">
        <f ca="1">IFERROR(__xludf.DUMMYFUNCTION("""COMPUTED_VALUE"""),0)</f>
        <v>0</v>
      </c>
    </row>
    <row r="994" spans="1:5" ht="12.75">
      <c r="A994" s="2" t="str">
        <f ca="1">IFERROR(__xludf.DUMMYFUNCTION("""COMPUTED_VALUE"""),"XBOAE11519")</f>
        <v>XBOAE11519</v>
      </c>
      <c r="B994" s="2">
        <f ca="1">IFERROR(__xludf.DUMMYFUNCTION("""COMPUTED_VALUE"""),33)</f>
        <v>33</v>
      </c>
      <c r="C994" s="2">
        <f ca="1">IFERROR(__xludf.DUMMYFUNCTION("""COMPUTED_VALUE"""),33)</f>
        <v>33</v>
      </c>
      <c r="D994" s="2">
        <f ca="1">IFERROR(__xludf.DUMMYFUNCTION("""COMPUTED_VALUE"""),33)</f>
        <v>33</v>
      </c>
      <c r="E994" s="2">
        <f ca="1">IFERROR(__xludf.DUMMYFUNCTION("""COMPUTED_VALUE"""),0)</f>
        <v>0</v>
      </c>
    </row>
    <row r="995" spans="1:5" ht="12.75">
      <c r="A995" s="2" t="str">
        <f ca="1">IFERROR(__xludf.DUMMYFUNCTION("""COMPUTED_VALUE"""),"XBOAE11525")</f>
        <v>XBOAE11525</v>
      </c>
      <c r="B995" s="2">
        <f ca="1">IFERROR(__xludf.DUMMYFUNCTION("""COMPUTED_VALUE"""),128)</f>
        <v>128</v>
      </c>
      <c r="C995" s="2">
        <f ca="1">IFERROR(__xludf.DUMMYFUNCTION("""COMPUTED_VALUE"""),128)</f>
        <v>128</v>
      </c>
      <c r="D995" s="2">
        <f ca="1">IFERROR(__xludf.DUMMYFUNCTION("""COMPUTED_VALUE"""),128)</f>
        <v>128</v>
      </c>
      <c r="E995" s="2">
        <f ca="1">IFERROR(__xludf.DUMMYFUNCTION("""COMPUTED_VALUE"""),0)</f>
        <v>0</v>
      </c>
    </row>
    <row r="996" spans="1:5" ht="12.75">
      <c r="A996" s="2" t="str">
        <f ca="1">IFERROR(__xludf.DUMMYFUNCTION("""COMPUTED_VALUE"""),"XBOAE11550")</f>
        <v>XBOAE11550</v>
      </c>
      <c r="B996" s="2">
        <f ca="1">IFERROR(__xludf.DUMMYFUNCTION("""COMPUTED_VALUE"""),20)</f>
        <v>20</v>
      </c>
      <c r="C996" s="2">
        <f ca="1">IFERROR(__xludf.DUMMYFUNCTION("""COMPUTED_VALUE"""),20)</f>
        <v>20</v>
      </c>
      <c r="D996" s="2">
        <f ca="1">IFERROR(__xludf.DUMMYFUNCTION("""COMPUTED_VALUE"""),20)</f>
        <v>20</v>
      </c>
      <c r="E996" s="2">
        <f ca="1">IFERROR(__xludf.DUMMYFUNCTION("""COMPUTED_VALUE"""),0)</f>
        <v>0</v>
      </c>
    </row>
    <row r="997" spans="1:5" ht="12.75">
      <c r="A997" s="2" t="str">
        <f ca="1">IFERROR(__xludf.DUMMYFUNCTION("""COMPUTED_VALUE"""),"XBOAF006X19")</f>
        <v>XBOAF006X19</v>
      </c>
      <c r="B997" s="2">
        <f ca="1">IFERROR(__xludf.DUMMYFUNCTION("""COMPUTED_VALUE"""),1576)</f>
        <v>1576</v>
      </c>
      <c r="C997" s="2">
        <f ca="1">IFERROR(__xludf.DUMMYFUNCTION("""COMPUTED_VALUE"""),1630)</f>
        <v>1630</v>
      </c>
      <c r="D997" s="2">
        <f ca="1">IFERROR(__xludf.DUMMYFUNCTION("""COMPUTED_VALUE"""),1576)</f>
        <v>1576</v>
      </c>
      <c r="E997" s="2">
        <f ca="1">IFERROR(__xludf.DUMMYFUNCTION("""COMPUTED_VALUE"""),54)</f>
        <v>54</v>
      </c>
    </row>
    <row r="998" spans="1:5" ht="12.75">
      <c r="A998" s="2" t="str">
        <f ca="1">IFERROR(__xludf.DUMMYFUNCTION("""COMPUTED_VALUE"""),"XBOAF012X19")</f>
        <v>XBOAF012X19</v>
      </c>
      <c r="B998" s="2">
        <f ca="1">IFERROR(__xludf.DUMMYFUNCTION("""COMPUTED_VALUE"""),921)</f>
        <v>921</v>
      </c>
      <c r="C998" s="2">
        <f ca="1">IFERROR(__xludf.DUMMYFUNCTION("""COMPUTED_VALUE"""),921)</f>
        <v>921</v>
      </c>
      <c r="D998" s="2">
        <f ca="1">IFERROR(__xludf.DUMMYFUNCTION("""COMPUTED_VALUE"""),921)</f>
        <v>921</v>
      </c>
      <c r="E998" s="2">
        <f ca="1">IFERROR(__xludf.DUMMYFUNCTION("""COMPUTED_VALUE"""),0)</f>
        <v>0</v>
      </c>
    </row>
    <row r="999" spans="1:5" ht="12.75">
      <c r="A999" s="2" t="str">
        <f ca="1">IFERROR(__xludf.DUMMYFUNCTION("""COMPUTED_VALUE"""),"XBOAF020X25")</f>
        <v>XBOAF020X25</v>
      </c>
      <c r="B999" s="2">
        <f ca="1">IFERROR(__xludf.DUMMYFUNCTION("""COMPUTED_VALUE"""),428)</f>
        <v>428</v>
      </c>
      <c r="C999" s="2">
        <f ca="1">IFERROR(__xludf.DUMMYFUNCTION("""COMPUTED_VALUE"""),428)</f>
        <v>428</v>
      </c>
      <c r="D999" s="2">
        <f ca="1">IFERROR(__xludf.DUMMYFUNCTION("""COMPUTED_VALUE"""),428)</f>
        <v>428</v>
      </c>
      <c r="E999" s="2">
        <f ca="1">IFERROR(__xludf.DUMMYFUNCTION("""COMPUTED_VALUE"""),0)</f>
        <v>0</v>
      </c>
    </row>
    <row r="1000" spans="1:5" ht="12.75">
      <c r="A1000" s="2" t="str">
        <f ca="1">IFERROR(__xludf.DUMMYFUNCTION("""COMPUTED_VALUE"""),"XBOAF022X13")</f>
        <v>XBOAF022X13</v>
      </c>
      <c r="B1000" s="2">
        <f ca="1">IFERROR(__xludf.DUMMYFUNCTION("""COMPUTED_VALUE"""),1154)</f>
        <v>1154</v>
      </c>
      <c r="C1000" s="2">
        <f ca="1">IFERROR(__xludf.DUMMYFUNCTION("""COMPUTED_VALUE"""),1154)</f>
        <v>1154</v>
      </c>
      <c r="D1000" s="2">
        <f ca="1">IFERROR(__xludf.DUMMYFUNCTION("""COMPUTED_VALUE"""),1154)</f>
        <v>1154</v>
      </c>
      <c r="E1000" s="2">
        <f ca="1">IFERROR(__xludf.DUMMYFUNCTION("""COMPUTED_VALUE"""),0)</f>
        <v>0</v>
      </c>
    </row>
    <row r="1001" spans="1:5" ht="12.75">
      <c r="A1001" s="2" t="str">
        <f ca="1">IFERROR(__xludf.DUMMYFUNCTION("""COMPUTED_VALUE"""),"XBOAF022X19")</f>
        <v>XBOAF022X19</v>
      </c>
      <c r="B1001" s="2">
        <f ca="1">IFERROR(__xludf.DUMMYFUNCTION("""COMPUTED_VALUE"""),132)</f>
        <v>132</v>
      </c>
      <c r="C1001" s="2">
        <f ca="1">IFERROR(__xludf.DUMMYFUNCTION("""COMPUTED_VALUE"""),132)</f>
        <v>132</v>
      </c>
      <c r="D1001" s="2">
        <f ca="1">IFERROR(__xludf.DUMMYFUNCTION("""COMPUTED_VALUE"""),132)</f>
        <v>132</v>
      </c>
      <c r="E1001" s="2">
        <f ca="1">IFERROR(__xludf.DUMMYFUNCTION("""COMPUTED_VALUE"""),0)</f>
        <v>0</v>
      </c>
    </row>
    <row r="1002" spans="1:5" ht="12.75">
      <c r="A1002" s="2" t="str">
        <f ca="1">IFERROR(__xludf.DUMMYFUNCTION("""COMPUTED_VALUE"""),"XBOAF022X25")</f>
        <v>XBOAF022X25</v>
      </c>
      <c r="B1002" s="2">
        <f ca="1">IFERROR(__xludf.DUMMYFUNCTION("""COMPUTED_VALUE"""),817)</f>
        <v>817</v>
      </c>
      <c r="C1002" s="2">
        <f ca="1">IFERROR(__xludf.DUMMYFUNCTION("""COMPUTED_VALUE"""),817)</f>
        <v>817</v>
      </c>
      <c r="D1002" s="2">
        <f ca="1">IFERROR(__xludf.DUMMYFUNCTION("""COMPUTED_VALUE"""),817)</f>
        <v>817</v>
      </c>
      <c r="E1002" s="2">
        <f ca="1">IFERROR(__xludf.DUMMYFUNCTION("""COMPUTED_VALUE"""),0)</f>
        <v>0</v>
      </c>
    </row>
    <row r="1003" spans="1:5" ht="12.75">
      <c r="A1003" s="2" t="str">
        <f ca="1">IFERROR(__xludf.DUMMYFUNCTION("""COMPUTED_VALUE"""),"XBOAF028X13")</f>
        <v>XBOAF028X13</v>
      </c>
      <c r="B1003" s="2">
        <f ca="1">IFERROR(__xludf.DUMMYFUNCTION("""COMPUTED_VALUE"""),7)</f>
        <v>7</v>
      </c>
      <c r="C1003" s="2">
        <f ca="1">IFERROR(__xludf.DUMMYFUNCTION("""COMPUTED_VALUE"""),7)</f>
        <v>7</v>
      </c>
      <c r="D1003" s="2">
        <f ca="1">IFERROR(__xludf.DUMMYFUNCTION("""COMPUTED_VALUE"""),7)</f>
        <v>7</v>
      </c>
      <c r="E1003" s="2">
        <f ca="1">IFERROR(__xludf.DUMMYFUNCTION("""COMPUTED_VALUE"""),0)</f>
        <v>0</v>
      </c>
    </row>
    <row r="1004" spans="1:5" ht="12.75">
      <c r="A1004" s="2" t="str">
        <f ca="1">IFERROR(__xludf.DUMMYFUNCTION("""COMPUTED_VALUE"""),"XBOAF028X19")</f>
        <v>XBOAF028X19</v>
      </c>
      <c r="B1004" s="2">
        <f ca="1">IFERROR(__xludf.DUMMYFUNCTION("""COMPUTED_VALUE"""),36)</f>
        <v>36</v>
      </c>
      <c r="C1004" s="2">
        <f ca="1">IFERROR(__xludf.DUMMYFUNCTION("""COMPUTED_VALUE"""),36)</f>
        <v>36</v>
      </c>
      <c r="D1004" s="2">
        <f ca="1">IFERROR(__xludf.DUMMYFUNCTION("""COMPUTED_VALUE"""),36)</f>
        <v>36</v>
      </c>
      <c r="E1004" s="2">
        <f ca="1">IFERROR(__xludf.DUMMYFUNCTION("""COMPUTED_VALUE"""),0)</f>
        <v>0</v>
      </c>
    </row>
    <row r="1005" spans="1:5" ht="12.75">
      <c r="A1005" s="2" t="str">
        <f ca="1">IFERROR(__xludf.DUMMYFUNCTION("""COMPUTED_VALUE"""),"XBOAF035X13")</f>
        <v>XBOAF035X13</v>
      </c>
      <c r="B1005" s="2">
        <f ca="1">IFERROR(__xludf.DUMMYFUNCTION("""COMPUTED_VALUE"""),22)</f>
        <v>22</v>
      </c>
      <c r="C1005" s="2">
        <f ca="1">IFERROR(__xludf.DUMMYFUNCTION("""COMPUTED_VALUE"""),22)</f>
        <v>22</v>
      </c>
      <c r="D1005" s="2">
        <f ca="1">IFERROR(__xludf.DUMMYFUNCTION("""COMPUTED_VALUE"""),22)</f>
        <v>22</v>
      </c>
      <c r="E1005" s="2">
        <f ca="1">IFERROR(__xludf.DUMMYFUNCTION("""COMPUTED_VALUE"""),0)</f>
        <v>0</v>
      </c>
    </row>
    <row r="1006" spans="1:5" ht="12.75">
      <c r="A1006" s="2" t="str">
        <f ca="1">IFERROR(__xludf.DUMMYFUNCTION("""COMPUTED_VALUE"""),"XBOAF035X25")</f>
        <v>XBOAF035X25</v>
      </c>
      <c r="B1006" s="2">
        <f ca="1">IFERROR(__xludf.DUMMYFUNCTION("""COMPUTED_VALUE"""),46)</f>
        <v>46</v>
      </c>
      <c r="C1006" s="2">
        <f ca="1">IFERROR(__xludf.DUMMYFUNCTION("""COMPUTED_VALUE"""),46)</f>
        <v>46</v>
      </c>
      <c r="D1006" s="2">
        <f ca="1">IFERROR(__xludf.DUMMYFUNCTION("""COMPUTED_VALUE"""),46)</f>
        <v>46</v>
      </c>
      <c r="E1006" s="2">
        <f ca="1">IFERROR(__xludf.DUMMYFUNCTION("""COMPUTED_VALUE"""),0)</f>
        <v>0</v>
      </c>
    </row>
    <row r="1007" spans="1:5" ht="12.75">
      <c r="A1007" s="2" t="str">
        <f ca="1">IFERROR(__xludf.DUMMYFUNCTION("""COMPUTED_VALUE"""),"XBOAF042X13")</f>
        <v>XBOAF042X13</v>
      </c>
      <c r="B1007" s="2">
        <f ca="1">IFERROR(__xludf.DUMMYFUNCTION("""COMPUTED_VALUE"""),148)</f>
        <v>148</v>
      </c>
      <c r="C1007" s="2">
        <f ca="1">IFERROR(__xludf.DUMMYFUNCTION("""COMPUTED_VALUE"""),148)</f>
        <v>148</v>
      </c>
      <c r="D1007" s="2">
        <f ca="1">IFERROR(__xludf.DUMMYFUNCTION("""COMPUTED_VALUE"""),148)</f>
        <v>148</v>
      </c>
      <c r="E1007" s="2">
        <f ca="1">IFERROR(__xludf.DUMMYFUNCTION("""COMPUTED_VALUE"""),0)</f>
        <v>0</v>
      </c>
    </row>
    <row r="1008" spans="1:5" ht="12.75">
      <c r="A1008" s="2" t="str">
        <f ca="1">IFERROR(__xludf.DUMMYFUNCTION("""COMPUTED_VALUE"""),"XBOAF042X19")</f>
        <v>XBOAF042X19</v>
      </c>
      <c r="B1008" s="2">
        <f ca="1">IFERROR(__xludf.DUMMYFUNCTION("""COMPUTED_VALUE"""),389)</f>
        <v>389</v>
      </c>
      <c r="C1008" s="2">
        <f ca="1">IFERROR(__xludf.DUMMYFUNCTION("""COMPUTED_VALUE"""),389)</f>
        <v>389</v>
      </c>
      <c r="D1008" s="2">
        <f ca="1">IFERROR(__xludf.DUMMYFUNCTION("""COMPUTED_VALUE"""),389)</f>
        <v>389</v>
      </c>
      <c r="E1008" s="2">
        <f ca="1">IFERROR(__xludf.DUMMYFUNCTION("""COMPUTED_VALUE"""),0)</f>
        <v>0</v>
      </c>
    </row>
    <row r="1009" spans="1:5" ht="12.75">
      <c r="A1009" s="2" t="str">
        <f ca="1">IFERROR(__xludf.DUMMYFUNCTION("""COMPUTED_VALUE"""),"XBOAF048X13")</f>
        <v>XBOAF048X13</v>
      </c>
      <c r="B1009" s="2">
        <f ca="1">IFERROR(__xludf.DUMMYFUNCTION("""COMPUTED_VALUE"""),163)</f>
        <v>163</v>
      </c>
      <c r="C1009" s="2">
        <f ca="1">IFERROR(__xludf.DUMMYFUNCTION("""COMPUTED_VALUE"""),163)</f>
        <v>163</v>
      </c>
      <c r="D1009" s="2">
        <f ca="1">IFERROR(__xludf.DUMMYFUNCTION("""COMPUTED_VALUE"""),163)</f>
        <v>163</v>
      </c>
      <c r="E1009" s="2">
        <f ca="1">IFERROR(__xludf.DUMMYFUNCTION("""COMPUTED_VALUE"""),0)</f>
        <v>0</v>
      </c>
    </row>
    <row r="1010" spans="1:5" ht="12.75">
      <c r="A1010" s="2" t="str">
        <f ca="1">IFERROR(__xludf.DUMMYFUNCTION("""COMPUTED_VALUE"""),"XBOAF060X13")</f>
        <v>XBOAF060X13</v>
      </c>
      <c r="B1010" s="2">
        <f ca="1">IFERROR(__xludf.DUMMYFUNCTION("""COMPUTED_VALUE"""),93)</f>
        <v>93</v>
      </c>
      <c r="C1010" s="2">
        <f ca="1">IFERROR(__xludf.DUMMYFUNCTION("""COMPUTED_VALUE"""),93)</f>
        <v>93</v>
      </c>
      <c r="D1010" s="2">
        <f ca="1">IFERROR(__xludf.DUMMYFUNCTION("""COMPUTED_VALUE"""),93)</f>
        <v>93</v>
      </c>
      <c r="E1010" s="2">
        <f ca="1">IFERROR(__xludf.DUMMYFUNCTION("""COMPUTED_VALUE"""),0)</f>
        <v>0</v>
      </c>
    </row>
    <row r="1011" spans="1:5" ht="12.75">
      <c r="A1011" s="2" t="str">
        <f ca="1">IFERROR(__xludf.DUMMYFUNCTION("""COMPUTED_VALUE"""),"XBOAF073X13")</f>
        <v>XBOAF073X13</v>
      </c>
      <c r="B1011" s="2">
        <f ca="1">IFERROR(__xludf.DUMMYFUNCTION("""COMPUTED_VALUE"""),60)</f>
        <v>60</v>
      </c>
      <c r="C1011" s="2">
        <f ca="1">IFERROR(__xludf.DUMMYFUNCTION("""COMPUTED_VALUE"""),60)</f>
        <v>60</v>
      </c>
      <c r="D1011" s="2">
        <f ca="1">IFERROR(__xludf.DUMMYFUNCTION("""COMPUTED_VALUE"""),60)</f>
        <v>60</v>
      </c>
      <c r="E1011" s="2">
        <f ca="1">IFERROR(__xludf.DUMMYFUNCTION("""COMPUTED_VALUE"""),0)</f>
        <v>0</v>
      </c>
    </row>
    <row r="1012" spans="1:5" ht="12.75">
      <c r="A1012" s="2" t="str">
        <f ca="1">IFERROR(__xludf.DUMMYFUNCTION("""COMPUTED_VALUE"""),"XBOAF089X50")</f>
        <v>XBOAF089X50</v>
      </c>
      <c r="B1012" s="2">
        <f ca="1">IFERROR(__xludf.DUMMYFUNCTION("""COMPUTED_VALUE"""),1)</f>
        <v>1</v>
      </c>
      <c r="C1012" s="2">
        <f ca="1">IFERROR(__xludf.DUMMYFUNCTION("""COMPUTED_VALUE"""),1)</f>
        <v>1</v>
      </c>
      <c r="D1012" s="2">
        <f ca="1">IFERROR(__xludf.DUMMYFUNCTION("""COMPUTED_VALUE"""),1)</f>
        <v>1</v>
      </c>
      <c r="E1012" s="2">
        <f ca="1">IFERROR(__xludf.DUMMYFUNCTION("""COMPUTED_VALUE"""),0)</f>
        <v>0</v>
      </c>
    </row>
    <row r="1013" spans="1:5" ht="12.75">
      <c r="A1013" s="2" t="str">
        <f ca="1">IFERROR(__xludf.DUMMYFUNCTION("""COMPUTED_VALUE"""),"XBOATT114X19")</f>
        <v>XBOATT114X19</v>
      </c>
      <c r="B1013" s="2">
        <f ca="1">IFERROR(__xludf.DUMMYFUNCTION("""COMPUTED_VALUE"""),44)</f>
        <v>44</v>
      </c>
      <c r="C1013" s="2">
        <f ca="1">IFERROR(__xludf.DUMMYFUNCTION("""COMPUTED_VALUE"""),44)</f>
        <v>44</v>
      </c>
      <c r="D1013" s="2">
        <f ca="1">IFERROR(__xludf.DUMMYFUNCTION("""COMPUTED_VALUE"""),44)</f>
        <v>44</v>
      </c>
      <c r="E1013" s="2">
        <f ca="1">IFERROR(__xludf.DUMMYFUNCTION("""COMPUTED_VALUE"""),0)</f>
        <v>0</v>
      </c>
    </row>
    <row r="1014" spans="1:5" ht="12.75">
      <c r="A1014" s="2" t="str">
        <f ca="1">IFERROR(__xludf.DUMMYFUNCTION("""COMPUTED_VALUE"""),"XBOATT67X13")</f>
        <v>XBOATT67X13</v>
      </c>
      <c r="B1014" s="2">
        <f ca="1">IFERROR(__xludf.DUMMYFUNCTION("""COMPUTED_VALUE"""),119)</f>
        <v>119</v>
      </c>
      <c r="C1014" s="2">
        <f ca="1">IFERROR(__xludf.DUMMYFUNCTION("""COMPUTED_VALUE"""),119)</f>
        <v>119</v>
      </c>
      <c r="D1014" s="2">
        <f ca="1">IFERROR(__xludf.DUMMYFUNCTION("""COMPUTED_VALUE"""),119)</f>
        <v>119</v>
      </c>
      <c r="E1014" s="2">
        <f ca="1">IFERROR(__xludf.DUMMYFUNCTION("""COMPUTED_VALUE"""),0)</f>
        <v>0</v>
      </c>
    </row>
    <row r="1015" spans="1:5" ht="12.75">
      <c r="A1015" s="2" t="str">
        <f ca="1">IFERROR(__xludf.DUMMYFUNCTION("""COMPUTED_VALUE"""),"XBOJ010X09")</f>
        <v>XBOJ010X09</v>
      </c>
      <c r="B1015" s="2">
        <f ca="1">IFERROR(__xludf.DUMMYFUNCTION("""COMPUTED_VALUE"""),787)</f>
        <v>787</v>
      </c>
      <c r="C1015" s="2">
        <f ca="1">IFERROR(__xludf.DUMMYFUNCTION("""COMPUTED_VALUE"""),787)</f>
        <v>787</v>
      </c>
      <c r="D1015" s="2">
        <f ca="1">IFERROR(__xludf.DUMMYFUNCTION("""COMPUTED_VALUE"""),787)</f>
        <v>787</v>
      </c>
      <c r="E1015" s="2">
        <f ca="1">IFERROR(__xludf.DUMMYFUNCTION("""COMPUTED_VALUE"""),0)</f>
        <v>0</v>
      </c>
    </row>
    <row r="1016" spans="1:5" ht="12.75">
      <c r="A1016" s="2" t="str">
        <f ca="1">IFERROR(__xludf.DUMMYFUNCTION("""COMPUTED_VALUE"""),"XBOJ013X09")</f>
        <v>XBOJ013X09</v>
      </c>
      <c r="B1016" s="2">
        <f ca="1">IFERROR(__xludf.DUMMYFUNCTION("""COMPUTED_VALUE"""),240)</f>
        <v>240</v>
      </c>
      <c r="C1016" s="2">
        <f ca="1">IFERROR(__xludf.DUMMYFUNCTION("""COMPUTED_VALUE"""),240)</f>
        <v>240</v>
      </c>
      <c r="D1016" s="2">
        <f ca="1">IFERROR(__xludf.DUMMYFUNCTION("""COMPUTED_VALUE"""),240)</f>
        <v>240</v>
      </c>
      <c r="E1016" s="2">
        <f ca="1">IFERROR(__xludf.DUMMYFUNCTION("""COMPUTED_VALUE"""),0)</f>
        <v>0</v>
      </c>
    </row>
    <row r="1017" spans="1:5" ht="12.75">
      <c r="A1017" s="2" t="str">
        <f ca="1">IFERROR(__xludf.DUMMYFUNCTION("""COMPUTED_VALUE"""),"XBOJ016X09")</f>
        <v>XBOJ016X09</v>
      </c>
      <c r="B1017" s="2">
        <f ca="1">IFERROR(__xludf.DUMMYFUNCTION("""COMPUTED_VALUE"""),53)</f>
        <v>53</v>
      </c>
      <c r="C1017" s="2">
        <f ca="1">IFERROR(__xludf.DUMMYFUNCTION("""COMPUTED_VALUE"""),53)</f>
        <v>53</v>
      </c>
      <c r="D1017" s="2">
        <f ca="1">IFERROR(__xludf.DUMMYFUNCTION("""COMPUTED_VALUE"""),53)</f>
        <v>53</v>
      </c>
      <c r="E1017" s="2">
        <f ca="1">IFERROR(__xludf.DUMMYFUNCTION("""COMPUTED_VALUE"""),0)</f>
        <v>0</v>
      </c>
    </row>
    <row r="1018" spans="1:5" ht="12.75">
      <c r="A1018" s="2" t="str">
        <f ca="1">IFERROR(__xludf.DUMMYFUNCTION("""COMPUTED_VALUE"""),"XBOS013X10")</f>
        <v>XBOS013X10</v>
      </c>
      <c r="B1018" s="2">
        <f ca="1">IFERROR(__xludf.DUMMYFUNCTION("""COMPUTED_VALUE"""),383)</f>
        <v>383</v>
      </c>
      <c r="C1018" s="2">
        <f ca="1">IFERROR(__xludf.DUMMYFUNCTION("""COMPUTED_VALUE"""),383)</f>
        <v>383</v>
      </c>
      <c r="D1018" s="2">
        <f ca="1">IFERROR(__xludf.DUMMYFUNCTION("""COMPUTED_VALUE"""),383)</f>
        <v>383</v>
      </c>
      <c r="E1018" s="2">
        <f ca="1">IFERROR(__xludf.DUMMYFUNCTION("""COMPUTED_VALUE"""),0)</f>
        <v>0</v>
      </c>
    </row>
    <row r="1019" spans="1:5" ht="12.75">
      <c r="A1019" s="2" t="str">
        <f ca="1">IFERROR(__xludf.DUMMYFUNCTION("""COMPUTED_VALUE"""),"XBOS016X25.023")</f>
        <v>XBOS016X25.023</v>
      </c>
      <c r="B1019" s="2">
        <f ca="1">IFERROR(__xludf.DUMMYFUNCTION("""COMPUTED_VALUE"""),300)</f>
        <v>300</v>
      </c>
      <c r="C1019" s="2">
        <f ca="1">IFERROR(__xludf.DUMMYFUNCTION("""COMPUTED_VALUE"""),300)</f>
        <v>300</v>
      </c>
      <c r="D1019" s="2">
        <f ca="1">IFERROR(__xludf.DUMMYFUNCTION("""COMPUTED_VALUE"""),300)</f>
        <v>300</v>
      </c>
      <c r="E1019" s="2">
        <f ca="1">IFERROR(__xludf.DUMMYFUNCTION("""COMPUTED_VALUE"""),0)</f>
        <v>0</v>
      </c>
    </row>
    <row r="1020" spans="1:5" ht="12.75">
      <c r="A1020" s="2" t="str">
        <f ca="1">IFERROR(__xludf.DUMMYFUNCTION("""COMPUTED_VALUE"""),"XBOS019X25")</f>
        <v>XBOS019X25</v>
      </c>
      <c r="B1020" s="2">
        <f ca="1">IFERROR(__xludf.DUMMYFUNCTION("""COMPUTED_VALUE"""),1062)</f>
        <v>1062</v>
      </c>
      <c r="C1020" s="2">
        <f ca="1">IFERROR(__xludf.DUMMYFUNCTION("""COMPUTED_VALUE"""),1062)</f>
        <v>1062</v>
      </c>
      <c r="D1020" s="2">
        <f ca="1">IFERROR(__xludf.DUMMYFUNCTION("""COMPUTED_VALUE"""),1062)</f>
        <v>1062</v>
      </c>
      <c r="E1020" s="2">
        <f ca="1">IFERROR(__xludf.DUMMYFUNCTION("""COMPUTED_VALUE"""),0)</f>
        <v>0</v>
      </c>
    </row>
    <row r="1021" spans="1:5" ht="12.75">
      <c r="A1021" s="2" t="str">
        <f ca="1">IFERROR(__xludf.DUMMYFUNCTION("""COMPUTED_VALUE"""),"XBOS022X13")</f>
        <v>XBOS022X13</v>
      </c>
      <c r="B1021" s="2">
        <f ca="1">IFERROR(__xludf.DUMMYFUNCTION("""COMPUTED_VALUE"""),131)</f>
        <v>131</v>
      </c>
      <c r="C1021" s="2">
        <f ca="1">IFERROR(__xludf.DUMMYFUNCTION("""COMPUTED_VALUE"""),131)</f>
        <v>131</v>
      </c>
      <c r="D1021" s="2">
        <f ca="1">IFERROR(__xludf.DUMMYFUNCTION("""COMPUTED_VALUE"""),131)</f>
        <v>131</v>
      </c>
      <c r="E1021" s="2">
        <f ca="1">IFERROR(__xludf.DUMMYFUNCTION("""COMPUTED_VALUE"""),0)</f>
        <v>0</v>
      </c>
    </row>
    <row r="1022" spans="1:5" ht="12.75">
      <c r="A1022" s="2" t="str">
        <f ca="1">IFERROR(__xludf.DUMMYFUNCTION("""COMPUTED_VALUE"""),"XBOS022X19.027")</f>
        <v>XBOS022X19.027</v>
      </c>
      <c r="B1022" s="2">
        <f ca="1">IFERROR(__xludf.DUMMYFUNCTION("""COMPUTED_VALUE"""),79)</f>
        <v>79</v>
      </c>
      <c r="C1022" s="2">
        <f ca="1">IFERROR(__xludf.DUMMYFUNCTION("""COMPUTED_VALUE"""),79)</f>
        <v>79</v>
      </c>
      <c r="D1022" s="2">
        <f ca="1">IFERROR(__xludf.DUMMYFUNCTION("""COMPUTED_VALUE"""),79)</f>
        <v>79</v>
      </c>
      <c r="E1022" s="2">
        <f ca="1">IFERROR(__xludf.DUMMYFUNCTION("""COMPUTED_VALUE"""),0)</f>
        <v>0</v>
      </c>
    </row>
    <row r="1023" spans="1:5" ht="12.75">
      <c r="A1023" s="2" t="str">
        <f ca="1">IFERROR(__xludf.DUMMYFUNCTION("""COMPUTED_VALUE"""),"XBOS022X25")</f>
        <v>XBOS022X25</v>
      </c>
      <c r="B1023" s="2">
        <f ca="1">IFERROR(__xludf.DUMMYFUNCTION("""COMPUTED_VALUE"""),145)</f>
        <v>145</v>
      </c>
      <c r="C1023" s="2">
        <f ca="1">IFERROR(__xludf.DUMMYFUNCTION("""COMPUTED_VALUE"""),145)</f>
        <v>145</v>
      </c>
      <c r="D1023" s="2">
        <f ca="1">IFERROR(__xludf.DUMMYFUNCTION("""COMPUTED_VALUE"""),145)</f>
        <v>145</v>
      </c>
      <c r="E1023" s="2">
        <f ca="1">IFERROR(__xludf.DUMMYFUNCTION("""COMPUTED_VALUE"""),0)</f>
        <v>0</v>
      </c>
    </row>
    <row r="1024" spans="1:5" ht="12.75">
      <c r="A1024" s="2" t="str">
        <f ca="1">IFERROR(__xludf.DUMMYFUNCTION("""COMPUTED_VALUE"""),"XBOS025X13.048")</f>
        <v>XBOS025X13.048</v>
      </c>
      <c r="B1024" s="2">
        <f ca="1">IFERROR(__xludf.DUMMYFUNCTION("""COMPUTED_VALUE"""),851)</f>
        <v>851</v>
      </c>
      <c r="C1024" s="2">
        <f ca="1">IFERROR(__xludf.DUMMYFUNCTION("""COMPUTED_VALUE"""),851)</f>
        <v>851</v>
      </c>
      <c r="D1024" s="2">
        <f ca="1">IFERROR(__xludf.DUMMYFUNCTION("""COMPUTED_VALUE"""),851)</f>
        <v>851</v>
      </c>
      <c r="E1024" s="2">
        <f ca="1">IFERROR(__xludf.DUMMYFUNCTION("""COMPUTED_VALUE"""),0)</f>
        <v>0</v>
      </c>
    </row>
    <row r="1025" spans="1:5" ht="12.75">
      <c r="A1025" s="2" t="str">
        <f ca="1">IFERROR(__xludf.DUMMYFUNCTION("""COMPUTED_VALUE"""),"XBOS025X19.024")</f>
        <v>XBOS025X19.024</v>
      </c>
      <c r="B1025" s="2">
        <f ca="1">IFERROR(__xludf.DUMMYFUNCTION("""COMPUTED_VALUE"""),1193)</f>
        <v>1193</v>
      </c>
      <c r="C1025" s="2">
        <f ca="1">IFERROR(__xludf.DUMMYFUNCTION("""COMPUTED_VALUE"""),1193)</f>
        <v>1193</v>
      </c>
      <c r="D1025" s="2">
        <f ca="1">IFERROR(__xludf.DUMMYFUNCTION("""COMPUTED_VALUE"""),1193)</f>
        <v>1193</v>
      </c>
      <c r="E1025" s="2">
        <f ca="1">IFERROR(__xludf.DUMMYFUNCTION("""COMPUTED_VALUE"""),0)</f>
        <v>0</v>
      </c>
    </row>
    <row r="1026" spans="1:5" ht="12.75">
      <c r="A1026" s="2" t="str">
        <f ca="1">IFERROR(__xludf.DUMMYFUNCTION("""COMPUTED_VALUE"""),"XBOS025X32")</f>
        <v>XBOS025X32</v>
      </c>
      <c r="B1026" s="2">
        <f ca="1">IFERROR(__xludf.DUMMYFUNCTION("""COMPUTED_VALUE"""),1)</f>
        <v>1</v>
      </c>
      <c r="C1026" s="2">
        <f ca="1">IFERROR(__xludf.DUMMYFUNCTION("""COMPUTED_VALUE"""),1)</f>
        <v>1</v>
      </c>
      <c r="D1026" s="2">
        <f ca="1">IFERROR(__xludf.DUMMYFUNCTION("""COMPUTED_VALUE"""),1)</f>
        <v>1</v>
      </c>
      <c r="E1026" s="2">
        <f ca="1">IFERROR(__xludf.DUMMYFUNCTION("""COMPUTED_VALUE"""),0)</f>
        <v>0</v>
      </c>
    </row>
    <row r="1027" spans="1:5" ht="12.75">
      <c r="A1027" s="2" t="str">
        <f ca="1">IFERROR(__xludf.DUMMYFUNCTION("""COMPUTED_VALUE"""),"XBOS028X19.024")</f>
        <v>XBOS028X19.024</v>
      </c>
      <c r="B1027" s="2">
        <f ca="1">IFERROR(__xludf.DUMMYFUNCTION("""COMPUTED_VALUE"""),504)</f>
        <v>504</v>
      </c>
      <c r="C1027" s="2">
        <f ca="1">IFERROR(__xludf.DUMMYFUNCTION("""COMPUTED_VALUE"""),504)</f>
        <v>504</v>
      </c>
      <c r="D1027" s="2">
        <f ca="1">IFERROR(__xludf.DUMMYFUNCTION("""COMPUTED_VALUE"""),504)</f>
        <v>504</v>
      </c>
      <c r="E1027" s="2">
        <f ca="1">IFERROR(__xludf.DUMMYFUNCTION("""COMPUTED_VALUE"""),0)</f>
        <v>0</v>
      </c>
    </row>
    <row r="1028" spans="1:5" ht="12.75">
      <c r="A1028" s="2" t="str">
        <f ca="1">IFERROR(__xludf.DUMMYFUNCTION("""COMPUTED_VALUE"""),"XBOS028X51")</f>
        <v>XBOS028X51</v>
      </c>
      <c r="B1028" s="2">
        <f ca="1">IFERROR(__xludf.DUMMYFUNCTION("""COMPUTED_VALUE"""),2)</f>
        <v>2</v>
      </c>
      <c r="C1028" s="2">
        <f ca="1">IFERROR(__xludf.DUMMYFUNCTION("""COMPUTED_VALUE"""),2)</f>
        <v>2</v>
      </c>
      <c r="D1028" s="2">
        <f ca="1">IFERROR(__xludf.DUMMYFUNCTION("""COMPUTED_VALUE"""),2)</f>
        <v>2</v>
      </c>
      <c r="E1028" s="2">
        <f ca="1">IFERROR(__xludf.DUMMYFUNCTION("""COMPUTED_VALUE"""),0)</f>
        <v>0</v>
      </c>
    </row>
    <row r="1029" spans="1:5" ht="12.75">
      <c r="A1029" s="2" t="str">
        <f ca="1">IFERROR(__xludf.DUMMYFUNCTION("""COMPUTED_VALUE"""),"XBOS032X51")</f>
        <v>XBOS032X51</v>
      </c>
      <c r="B1029" s="2">
        <f ca="1">IFERROR(__xludf.DUMMYFUNCTION("""COMPUTED_VALUE"""),3)</f>
        <v>3</v>
      </c>
      <c r="C1029" s="2">
        <f ca="1">IFERROR(__xludf.DUMMYFUNCTION("""COMPUTED_VALUE"""),3)</f>
        <v>3</v>
      </c>
      <c r="D1029" s="2">
        <f ca="1">IFERROR(__xludf.DUMMYFUNCTION("""COMPUTED_VALUE"""),3)</f>
        <v>3</v>
      </c>
      <c r="E1029" s="2">
        <f ca="1">IFERROR(__xludf.DUMMYFUNCTION("""COMPUTED_VALUE"""),0)</f>
        <v>0</v>
      </c>
    </row>
    <row r="1030" spans="1:5" ht="12.75">
      <c r="A1030" s="2" t="str">
        <f ca="1">IFERROR(__xludf.DUMMYFUNCTION("""COMPUTED_VALUE"""),"XBOS035X10.046")</f>
        <v>XBOS035X10.046</v>
      </c>
      <c r="B1030" s="2">
        <f ca="1">IFERROR(__xludf.DUMMYFUNCTION("""COMPUTED_VALUE"""),2300)</f>
        <v>2300</v>
      </c>
      <c r="C1030" s="2">
        <f ca="1">IFERROR(__xludf.DUMMYFUNCTION("""COMPUTED_VALUE"""),2300)</f>
        <v>2300</v>
      </c>
      <c r="D1030" s="2">
        <f ca="1">IFERROR(__xludf.DUMMYFUNCTION("""COMPUTED_VALUE"""),2300)</f>
        <v>2300</v>
      </c>
      <c r="E1030" s="2">
        <f ca="1">IFERROR(__xludf.DUMMYFUNCTION("""COMPUTED_VALUE"""),0)</f>
        <v>0</v>
      </c>
    </row>
    <row r="1031" spans="1:5" ht="12.75">
      <c r="A1031" s="2" t="str">
        <f ca="1">IFERROR(__xludf.DUMMYFUNCTION("""COMPUTED_VALUE"""),"XBOS035X13")</f>
        <v>XBOS035X13</v>
      </c>
      <c r="B1031" s="2">
        <f ca="1">IFERROR(__xludf.DUMMYFUNCTION("""COMPUTED_VALUE"""),733)</f>
        <v>733</v>
      </c>
      <c r="C1031" s="2">
        <f ca="1">IFERROR(__xludf.DUMMYFUNCTION("""COMPUTED_VALUE"""),755)</f>
        <v>755</v>
      </c>
      <c r="D1031" s="2">
        <f ca="1">IFERROR(__xludf.DUMMYFUNCTION("""COMPUTED_VALUE"""),733)</f>
        <v>733</v>
      </c>
      <c r="E1031" s="2">
        <f ca="1">IFERROR(__xludf.DUMMYFUNCTION("""COMPUTED_VALUE"""),22)</f>
        <v>22</v>
      </c>
    </row>
    <row r="1032" spans="1:5" ht="12.75">
      <c r="A1032" s="2" t="str">
        <f ca="1">IFERROR(__xludf.DUMMYFUNCTION("""COMPUTED_VALUE"""),"XBOS038X32")</f>
        <v>XBOS038X32</v>
      </c>
      <c r="B1032" s="2">
        <f ca="1">IFERROR(__xludf.DUMMYFUNCTION("""COMPUTED_VALUE"""),2)</f>
        <v>2</v>
      </c>
      <c r="C1032" s="2">
        <f ca="1">IFERROR(__xludf.DUMMYFUNCTION("""COMPUTED_VALUE"""),2)</f>
        <v>2</v>
      </c>
      <c r="D1032" s="2">
        <f ca="1">IFERROR(__xludf.DUMMYFUNCTION("""COMPUTED_VALUE"""),2)</f>
        <v>2</v>
      </c>
      <c r="E1032" s="2">
        <f ca="1">IFERROR(__xludf.DUMMYFUNCTION("""COMPUTED_VALUE"""),0)</f>
        <v>0</v>
      </c>
    </row>
    <row r="1033" spans="1:5" ht="12.75">
      <c r="A1033" s="2" t="str">
        <f ca="1">IFERROR(__xludf.DUMMYFUNCTION("""COMPUTED_VALUE"""),"XBOS042X10.040")</f>
        <v>XBOS042X10.040</v>
      </c>
      <c r="B1033" s="2">
        <f ca="1">IFERROR(__xludf.DUMMYFUNCTION("""COMPUTED_VALUE"""),1178)</f>
        <v>1178</v>
      </c>
      <c r="C1033" s="2">
        <f ca="1">IFERROR(__xludf.DUMMYFUNCTION("""COMPUTED_VALUE"""),1178)</f>
        <v>1178</v>
      </c>
      <c r="D1033" s="2">
        <f ca="1">IFERROR(__xludf.DUMMYFUNCTION("""COMPUTED_VALUE"""),1178)</f>
        <v>1178</v>
      </c>
      <c r="E1033" s="2">
        <f ca="1">IFERROR(__xludf.DUMMYFUNCTION("""COMPUTED_VALUE"""),0)</f>
        <v>0</v>
      </c>
    </row>
    <row r="1034" spans="1:5" ht="12.75">
      <c r="A1034" s="2" t="str">
        <f ca="1">IFERROR(__xludf.DUMMYFUNCTION("""COMPUTED_VALUE"""),"XBOS042X13")</f>
        <v>XBOS042X13</v>
      </c>
      <c r="B1034" s="2">
        <f ca="1">IFERROR(__xludf.DUMMYFUNCTION("""COMPUTED_VALUE"""),459)</f>
        <v>459</v>
      </c>
      <c r="C1034" s="2">
        <f ca="1">IFERROR(__xludf.DUMMYFUNCTION("""COMPUTED_VALUE"""),459)</f>
        <v>459</v>
      </c>
      <c r="D1034" s="2">
        <f ca="1">IFERROR(__xludf.DUMMYFUNCTION("""COMPUTED_VALUE"""),459)</f>
        <v>459</v>
      </c>
      <c r="E1034" s="2">
        <f ca="1">IFERROR(__xludf.DUMMYFUNCTION("""COMPUTED_VALUE"""),0)</f>
        <v>0</v>
      </c>
    </row>
    <row r="1035" spans="1:5" ht="12.75">
      <c r="A1035" s="2" t="str">
        <f ca="1">IFERROR(__xludf.DUMMYFUNCTION("""COMPUTED_VALUE"""),"XBOS042X19")</f>
        <v>XBOS042X19</v>
      </c>
      <c r="B1035" s="2">
        <f ca="1">IFERROR(__xludf.DUMMYFUNCTION("""COMPUTED_VALUE"""),105)</f>
        <v>105</v>
      </c>
      <c r="C1035" s="2">
        <f ca="1">IFERROR(__xludf.DUMMYFUNCTION("""COMPUTED_VALUE"""),350)</f>
        <v>350</v>
      </c>
      <c r="D1035" s="2">
        <f ca="1">IFERROR(__xludf.DUMMYFUNCTION("""COMPUTED_VALUE"""),105)</f>
        <v>105</v>
      </c>
      <c r="E1035" s="2">
        <f ca="1">IFERROR(__xludf.DUMMYFUNCTION("""COMPUTED_VALUE"""),245)</f>
        <v>245</v>
      </c>
    </row>
    <row r="1036" spans="1:5" ht="12.75">
      <c r="A1036" s="2" t="str">
        <f ca="1">IFERROR(__xludf.DUMMYFUNCTION("""COMPUTED_VALUE"""),"XBOS048X10")</f>
        <v>XBOS048X10</v>
      </c>
      <c r="B1036" s="2">
        <f ca="1">IFERROR(__xludf.DUMMYFUNCTION("""COMPUTED_VALUE"""),211)</f>
        <v>211</v>
      </c>
      <c r="C1036" s="2">
        <f ca="1">IFERROR(__xludf.DUMMYFUNCTION("""COMPUTED_VALUE"""),211)</f>
        <v>211</v>
      </c>
      <c r="D1036" s="2">
        <f ca="1">IFERROR(__xludf.DUMMYFUNCTION("""COMPUTED_VALUE"""),211)</f>
        <v>211</v>
      </c>
      <c r="E1036" s="2">
        <f ca="1">IFERROR(__xludf.DUMMYFUNCTION("""COMPUTED_VALUE"""),0)</f>
        <v>0</v>
      </c>
    </row>
    <row r="1037" spans="1:5" ht="12.75">
      <c r="A1037" s="2" t="str">
        <f ca="1">IFERROR(__xludf.DUMMYFUNCTION("""COMPUTED_VALUE"""),"XBOS048X13")</f>
        <v>XBOS048X13</v>
      </c>
      <c r="B1037" s="2">
        <f ca="1">IFERROR(__xludf.DUMMYFUNCTION("""COMPUTED_VALUE"""),1003)</f>
        <v>1003</v>
      </c>
      <c r="C1037" s="2">
        <f ca="1">IFERROR(__xludf.DUMMYFUNCTION("""COMPUTED_VALUE"""),1193)</f>
        <v>1193</v>
      </c>
      <c r="D1037" s="2">
        <f ca="1">IFERROR(__xludf.DUMMYFUNCTION("""COMPUTED_VALUE"""),1003)</f>
        <v>1003</v>
      </c>
      <c r="E1037" s="2">
        <f ca="1">IFERROR(__xludf.DUMMYFUNCTION("""COMPUTED_VALUE"""),190)</f>
        <v>190</v>
      </c>
    </row>
    <row r="1038" spans="1:5" ht="12.75">
      <c r="A1038" s="2" t="str">
        <f ca="1">IFERROR(__xludf.DUMMYFUNCTION("""COMPUTED_VALUE"""),"XBOS048X51")</f>
        <v>XBOS048X51</v>
      </c>
      <c r="B1038" s="2">
        <f ca="1">IFERROR(__xludf.DUMMYFUNCTION("""COMPUTED_VALUE"""),1)</f>
        <v>1</v>
      </c>
      <c r="C1038" s="2">
        <f ca="1">IFERROR(__xludf.DUMMYFUNCTION("""COMPUTED_VALUE"""),1)</f>
        <v>1</v>
      </c>
      <c r="D1038" s="2">
        <f ca="1">IFERROR(__xludf.DUMMYFUNCTION("""COMPUTED_VALUE"""),1)</f>
        <v>1</v>
      </c>
      <c r="E1038" s="2">
        <f ca="1">IFERROR(__xludf.DUMMYFUNCTION("""COMPUTED_VALUE"""),0)</f>
        <v>0</v>
      </c>
    </row>
    <row r="1039" spans="1:5" ht="12.75">
      <c r="A1039" s="2" t="str">
        <f ca="1">IFERROR(__xludf.DUMMYFUNCTION("""COMPUTED_VALUE"""),"XBOS051X25")</f>
        <v>XBOS051X25</v>
      </c>
      <c r="B1039" s="2">
        <f ca="1">IFERROR(__xludf.DUMMYFUNCTION("""COMPUTED_VALUE"""),3)</f>
        <v>3</v>
      </c>
      <c r="C1039" s="2">
        <f ca="1">IFERROR(__xludf.DUMMYFUNCTION("""COMPUTED_VALUE"""),3)</f>
        <v>3</v>
      </c>
      <c r="D1039" s="2">
        <f ca="1">IFERROR(__xludf.DUMMYFUNCTION("""COMPUTED_VALUE"""),3)</f>
        <v>3</v>
      </c>
      <c r="E1039" s="2">
        <f ca="1">IFERROR(__xludf.DUMMYFUNCTION("""COMPUTED_VALUE"""),0)</f>
        <v>0</v>
      </c>
    </row>
    <row r="1040" spans="1:5" ht="12.75">
      <c r="A1040" s="2" t="str">
        <f ca="1">IFERROR(__xludf.DUMMYFUNCTION("""COMPUTED_VALUE"""),"XBOS054X25")</f>
        <v>XBOS054X25</v>
      </c>
      <c r="B1040" s="2">
        <f ca="1">IFERROR(__xludf.DUMMYFUNCTION("""COMPUTED_VALUE"""),107)</f>
        <v>107</v>
      </c>
      <c r="C1040" s="2">
        <f ca="1">IFERROR(__xludf.DUMMYFUNCTION("""COMPUTED_VALUE"""),107)</f>
        <v>107</v>
      </c>
      <c r="D1040" s="2">
        <f ca="1">IFERROR(__xludf.DUMMYFUNCTION("""COMPUTED_VALUE"""),107)</f>
        <v>107</v>
      </c>
      <c r="E1040" s="2">
        <f ca="1">IFERROR(__xludf.DUMMYFUNCTION("""COMPUTED_VALUE"""),0)</f>
        <v>0</v>
      </c>
    </row>
    <row r="1041" spans="1:5" ht="12.75">
      <c r="A1041" s="2" t="str">
        <f ca="1">IFERROR(__xludf.DUMMYFUNCTION("""COMPUTED_VALUE"""),"XBOS060X10")</f>
        <v>XBOS060X10</v>
      </c>
      <c r="B1041" s="2">
        <f ca="1">IFERROR(__xludf.DUMMYFUNCTION("""COMPUTED_VALUE"""),287)</f>
        <v>287</v>
      </c>
      <c r="C1041" s="2">
        <f ca="1">IFERROR(__xludf.DUMMYFUNCTION("""COMPUTED_VALUE"""),287)</f>
        <v>287</v>
      </c>
      <c r="D1041" s="2">
        <f ca="1">IFERROR(__xludf.DUMMYFUNCTION("""COMPUTED_VALUE"""),287)</f>
        <v>287</v>
      </c>
      <c r="E1041" s="2">
        <f ca="1">IFERROR(__xludf.DUMMYFUNCTION("""COMPUTED_VALUE"""),0)</f>
        <v>0</v>
      </c>
    </row>
    <row r="1042" spans="1:5" ht="12.75">
      <c r="A1042" s="2" t="str">
        <f ca="1">IFERROR(__xludf.DUMMYFUNCTION("""COMPUTED_VALUE"""),"XBOS067X32")</f>
        <v>XBOS067X32</v>
      </c>
      <c r="B1042" s="2">
        <f ca="1">IFERROR(__xludf.DUMMYFUNCTION("""COMPUTED_VALUE"""),7)</f>
        <v>7</v>
      </c>
      <c r="C1042" s="2">
        <f ca="1">IFERROR(__xludf.DUMMYFUNCTION("""COMPUTED_VALUE"""),7)</f>
        <v>7</v>
      </c>
      <c r="D1042" s="2">
        <f ca="1">IFERROR(__xludf.DUMMYFUNCTION("""COMPUTED_VALUE"""),7)</f>
        <v>7</v>
      </c>
      <c r="E1042" s="2">
        <f ca="1">IFERROR(__xludf.DUMMYFUNCTION("""COMPUTED_VALUE"""),0)</f>
        <v>0</v>
      </c>
    </row>
    <row r="1043" spans="1:5" ht="12.75">
      <c r="A1043" s="2" t="str">
        <f ca="1">IFERROR(__xludf.DUMMYFUNCTION("""COMPUTED_VALUE"""),"XBOS073X13")</f>
        <v>XBOS073X13</v>
      </c>
      <c r="B1043" s="2">
        <f ca="1">IFERROR(__xludf.DUMMYFUNCTION("""COMPUTED_VALUE"""),57)</f>
        <v>57</v>
      </c>
      <c r="C1043" s="2">
        <f ca="1">IFERROR(__xludf.DUMMYFUNCTION("""COMPUTED_VALUE"""),57)</f>
        <v>57</v>
      </c>
      <c r="D1043" s="2">
        <f ca="1">IFERROR(__xludf.DUMMYFUNCTION("""COMPUTED_VALUE"""),57)</f>
        <v>57</v>
      </c>
      <c r="E1043" s="2">
        <f ca="1">IFERROR(__xludf.DUMMYFUNCTION("""COMPUTED_VALUE"""),0)</f>
        <v>0</v>
      </c>
    </row>
    <row r="1044" spans="1:5" ht="12.75">
      <c r="A1044" s="2" t="str">
        <f ca="1">IFERROR(__xludf.DUMMYFUNCTION("""COMPUTED_VALUE"""),"XBOS089X38")</f>
        <v>XBOS089X38</v>
      </c>
      <c r="B1044" s="2">
        <f ca="1">IFERROR(__xludf.DUMMYFUNCTION("""COMPUTED_VALUE"""),1)</f>
        <v>1</v>
      </c>
      <c r="C1044" s="2">
        <f ca="1">IFERROR(__xludf.DUMMYFUNCTION("""COMPUTED_VALUE"""),1)</f>
        <v>1</v>
      </c>
      <c r="D1044" s="2">
        <f ca="1">IFERROR(__xludf.DUMMYFUNCTION("""COMPUTED_VALUE"""),1)</f>
        <v>1</v>
      </c>
      <c r="E1044" s="2">
        <f ca="1">IFERROR(__xludf.DUMMYFUNCTION("""COMPUTED_VALUE"""),0)</f>
        <v>0</v>
      </c>
    </row>
    <row r="1045" spans="1:5" ht="12.75">
      <c r="A1045" s="2" t="str">
        <f ca="1">IFERROR(__xludf.DUMMYFUNCTION("""COMPUTED_VALUE"""),"XBOS114X51")</f>
        <v>XBOS114X51</v>
      </c>
      <c r="B1045" s="2">
        <f ca="1">IFERROR(__xludf.DUMMYFUNCTION("""COMPUTED_VALUE"""),1)</f>
        <v>1</v>
      </c>
      <c r="C1045" s="2">
        <f ca="1">IFERROR(__xludf.DUMMYFUNCTION("""COMPUTED_VALUE"""),1)</f>
        <v>1</v>
      </c>
      <c r="D1045" s="2">
        <f ca="1">IFERROR(__xludf.DUMMYFUNCTION("""COMPUTED_VALUE"""),1)</f>
        <v>1</v>
      </c>
      <c r="E1045" s="2">
        <f ca="1">IFERROR(__xludf.DUMMYFUNCTION("""COMPUTED_VALUE"""),0)</f>
        <v>0</v>
      </c>
    </row>
    <row r="1046" spans="1:5" ht="12.75">
      <c r="A1046" s="2" t="str">
        <f ca="1">IFERROR(__xludf.DUMMYFUNCTION("""COMPUTED_VALUE"""),"XBOS133X13")</f>
        <v>XBOS133X13</v>
      </c>
      <c r="B1046" s="2">
        <f ca="1">IFERROR(__xludf.DUMMYFUNCTION("""COMPUTED_VALUE"""),56)</f>
        <v>56</v>
      </c>
      <c r="C1046" s="2">
        <f ca="1">IFERROR(__xludf.DUMMYFUNCTION("""COMPUTED_VALUE"""),56)</f>
        <v>56</v>
      </c>
      <c r="D1046" s="2">
        <f ca="1">IFERROR(__xludf.DUMMYFUNCTION("""COMPUTED_VALUE"""),56)</f>
        <v>56</v>
      </c>
      <c r="E1046" s="2">
        <f ca="1">IFERROR(__xludf.DUMMYFUNCTION("""COMPUTED_VALUE"""),0)</f>
        <v>0</v>
      </c>
    </row>
    <row r="1047" spans="1:5" ht="12.75">
      <c r="A1047" s="2" t="str">
        <f ca="1">IFERROR(__xludf.DUMMYFUNCTION("""COMPUTED_VALUE"""),"XBOS133X19")</f>
        <v>XBOS133X19</v>
      </c>
      <c r="B1047" s="2">
        <f ca="1">IFERROR(__xludf.DUMMYFUNCTION("""COMPUTED_VALUE"""),92)</f>
        <v>92</v>
      </c>
      <c r="C1047" s="2">
        <f ca="1">IFERROR(__xludf.DUMMYFUNCTION("""COMPUTED_VALUE"""),92)</f>
        <v>92</v>
      </c>
      <c r="D1047" s="2">
        <f ca="1">IFERROR(__xludf.DUMMYFUNCTION("""COMPUTED_VALUE"""),92)</f>
        <v>92</v>
      </c>
      <c r="E1047" s="2">
        <f ca="1">IFERROR(__xludf.DUMMYFUNCTION("""COMPUTED_VALUE"""),0)</f>
        <v>0</v>
      </c>
    </row>
    <row r="1048" spans="1:5" ht="12.75">
      <c r="A1048" s="2" t="str">
        <f ca="1">IFERROR(__xludf.DUMMYFUNCTION("""COMPUTED_VALUE"""),"XBOS140X38")</f>
        <v>XBOS140X38</v>
      </c>
      <c r="B1048" s="2">
        <f ca="1">IFERROR(__xludf.DUMMYFUNCTION("""COMPUTED_VALUE"""),1)</f>
        <v>1</v>
      </c>
      <c r="C1048" s="2">
        <f ca="1">IFERROR(__xludf.DUMMYFUNCTION("""COMPUTED_VALUE"""),1)</f>
        <v>1</v>
      </c>
      <c r="D1048" s="2">
        <f ca="1">IFERROR(__xludf.DUMMYFUNCTION("""COMPUTED_VALUE"""),1)</f>
        <v>1</v>
      </c>
      <c r="E1048" s="2">
        <f ca="1">IFERROR(__xludf.DUMMYFUNCTION("""COMPUTED_VALUE"""),0)</f>
        <v>0</v>
      </c>
    </row>
    <row r="1049" spans="1:5" ht="12.75">
      <c r="A1049" s="2" t="str">
        <f ca="1">IFERROR(__xludf.DUMMYFUNCTION("""COMPUTED_VALUE"""),"XBOS160X19")</f>
        <v>XBOS160X19</v>
      </c>
      <c r="B1049" s="2">
        <f ca="1">IFERROR(__xludf.DUMMYFUNCTION("""COMPUTED_VALUE"""),71)</f>
        <v>71</v>
      </c>
      <c r="C1049" s="2">
        <f ca="1">IFERROR(__xludf.DUMMYFUNCTION("""COMPUTED_VALUE"""),71)</f>
        <v>71</v>
      </c>
      <c r="D1049" s="2">
        <f ca="1">IFERROR(__xludf.DUMMYFUNCTION("""COMPUTED_VALUE"""),71)</f>
        <v>71</v>
      </c>
      <c r="E1049" s="2">
        <f ca="1">IFERROR(__xludf.DUMMYFUNCTION("""COMPUTED_VALUE"""),0)</f>
        <v>0</v>
      </c>
    </row>
    <row r="1050" spans="1:5" ht="12.75">
      <c r="A1050" s="2" t="str">
        <f ca="1">IFERROR(__xludf.DUMMYFUNCTION("""COMPUTED_VALUE"""),"XBOSVN006X10.195")</f>
        <v>XBOSVN006X10.195</v>
      </c>
      <c r="B1050" s="2">
        <f ca="1">IFERROR(__xludf.DUMMYFUNCTION("""COMPUTED_VALUE"""),12135)</f>
        <v>12135</v>
      </c>
      <c r="C1050" s="2">
        <f ca="1">IFERROR(__xludf.DUMMYFUNCTION("""COMPUTED_VALUE"""),12561)</f>
        <v>12561</v>
      </c>
      <c r="D1050" s="2">
        <f ca="1">IFERROR(__xludf.DUMMYFUNCTION("""COMPUTED_VALUE"""),12135)</f>
        <v>12135</v>
      </c>
      <c r="E1050" s="2">
        <f ca="1">IFERROR(__xludf.DUMMYFUNCTION("""COMPUTED_VALUE"""),426)</f>
        <v>426</v>
      </c>
    </row>
    <row r="1051" spans="1:5" ht="12.75">
      <c r="A1051" s="2" t="str">
        <f ca="1">IFERROR(__xludf.DUMMYFUNCTION("""COMPUTED_VALUE"""),"XBOSVN006X13.120")</f>
        <v>XBOSVN006X13.120</v>
      </c>
      <c r="B1051" s="2">
        <f ca="1">IFERROR(__xludf.DUMMYFUNCTION("""COMPUTED_VALUE"""),4216)</f>
        <v>4216</v>
      </c>
      <c r="C1051" s="2">
        <f ca="1">IFERROR(__xludf.DUMMYFUNCTION("""COMPUTED_VALUE"""),6723)</f>
        <v>6723</v>
      </c>
      <c r="D1051" s="2">
        <f ca="1">IFERROR(__xludf.DUMMYFUNCTION("""COMPUTED_VALUE"""),4216)</f>
        <v>4216</v>
      </c>
      <c r="E1051" s="2">
        <f ca="1">IFERROR(__xludf.DUMMYFUNCTION("""COMPUTED_VALUE"""),2507)</f>
        <v>2507</v>
      </c>
    </row>
    <row r="1052" spans="1:5" ht="12.75">
      <c r="A1052" s="2" t="str">
        <f ca="1">IFERROR(__xludf.DUMMYFUNCTION("""COMPUTED_VALUE"""),"XBOSVN006X19")</f>
        <v>XBOSVN006X19</v>
      </c>
      <c r="B1052" s="2">
        <f ca="1">IFERROR(__xludf.DUMMYFUNCTION("""COMPUTED_VALUE"""),3616)</f>
        <v>3616</v>
      </c>
      <c r="C1052" s="2">
        <f ca="1">IFERROR(__xludf.DUMMYFUNCTION("""COMPUTED_VALUE"""),5362)</f>
        <v>5362</v>
      </c>
      <c r="D1052" s="2">
        <f ca="1">IFERROR(__xludf.DUMMYFUNCTION("""COMPUTED_VALUE"""),3616)</f>
        <v>3616</v>
      </c>
      <c r="E1052" s="2">
        <f ca="1">IFERROR(__xludf.DUMMYFUNCTION("""COMPUTED_VALUE"""),1746)</f>
        <v>1746</v>
      </c>
    </row>
    <row r="1053" spans="1:5" ht="12.75">
      <c r="A1053" s="2" t="str">
        <f ca="1">IFERROR(__xludf.DUMMYFUNCTION("""COMPUTED_VALUE"""),"XBOSVN006X19C0")</f>
        <v>XBOSVN006X19C0</v>
      </c>
      <c r="B1053" s="2">
        <f ca="1">IFERROR(__xludf.DUMMYFUNCTION("""COMPUTED_VALUE"""),229)</f>
        <v>229</v>
      </c>
      <c r="C1053" s="2">
        <f ca="1">IFERROR(__xludf.DUMMYFUNCTION("""COMPUTED_VALUE"""),229)</f>
        <v>229</v>
      </c>
      <c r="D1053" s="2">
        <f ca="1">IFERROR(__xludf.DUMMYFUNCTION("""COMPUTED_VALUE"""),229)</f>
        <v>229</v>
      </c>
      <c r="E1053" s="2">
        <f ca="1">IFERROR(__xludf.DUMMYFUNCTION("""COMPUTED_VALUE"""),0)</f>
        <v>0</v>
      </c>
    </row>
    <row r="1054" spans="1:5" ht="12.75">
      <c r="A1054" s="2" t="str">
        <f ca="1">IFERROR(__xludf.DUMMYFUNCTION("""COMPUTED_VALUE"""),"XBOSVN010X10.140")</f>
        <v>XBOSVN010X10.140</v>
      </c>
      <c r="B1054" s="2">
        <f ca="1">IFERROR(__xludf.DUMMYFUNCTION("""COMPUTED_VALUE"""),3480)</f>
        <v>3480</v>
      </c>
      <c r="C1054" s="2">
        <f ca="1">IFERROR(__xludf.DUMMYFUNCTION("""COMPUTED_VALUE"""),3766)</f>
        <v>3766</v>
      </c>
      <c r="D1054" s="2">
        <f ca="1">IFERROR(__xludf.DUMMYFUNCTION("""COMPUTED_VALUE"""),3480)</f>
        <v>3480</v>
      </c>
      <c r="E1054" s="2">
        <f ca="1">IFERROR(__xludf.DUMMYFUNCTION("""COMPUTED_VALUE"""),286)</f>
        <v>286</v>
      </c>
    </row>
    <row r="1055" spans="1:5" ht="12.75">
      <c r="A1055" s="2" t="str">
        <f ca="1">IFERROR(__xludf.DUMMYFUNCTION("""COMPUTED_VALUE"""),"XBOSVN010X13.100")</f>
        <v>XBOSVN010X13.100</v>
      </c>
      <c r="B1055" s="2">
        <f ca="1">IFERROR(__xludf.DUMMYFUNCTION("""COMPUTED_VALUE"""),21234)</f>
        <v>21234</v>
      </c>
      <c r="C1055" s="2">
        <f ca="1">IFERROR(__xludf.DUMMYFUNCTION("""COMPUTED_VALUE"""),24339)</f>
        <v>24339</v>
      </c>
      <c r="D1055" s="2">
        <f ca="1">IFERROR(__xludf.DUMMYFUNCTION("""COMPUTED_VALUE"""),21234)</f>
        <v>21234</v>
      </c>
      <c r="E1055" s="2">
        <f ca="1">IFERROR(__xludf.DUMMYFUNCTION("""COMPUTED_VALUE"""),3105)</f>
        <v>3105</v>
      </c>
    </row>
    <row r="1056" spans="1:5" ht="12.75">
      <c r="A1056" s="2" t="str">
        <f ca="1">IFERROR(__xludf.DUMMYFUNCTION("""COMPUTED_VALUE"""),"XBOSVN010X19")</f>
        <v>XBOSVN010X19</v>
      </c>
      <c r="B1056" s="2">
        <f ca="1">IFERROR(__xludf.DUMMYFUNCTION("""COMPUTED_VALUE"""),1519)</f>
        <v>1519</v>
      </c>
      <c r="C1056" s="2">
        <f ca="1">IFERROR(__xludf.DUMMYFUNCTION("""COMPUTED_VALUE"""),8046)</f>
        <v>8046</v>
      </c>
      <c r="D1056" s="2">
        <f ca="1">IFERROR(__xludf.DUMMYFUNCTION("""COMPUTED_VALUE"""),6979)</f>
        <v>6979</v>
      </c>
      <c r="E1056" s="2">
        <f ca="1">IFERROR(__xludf.DUMMYFUNCTION("""COMPUTED_VALUE"""),1067)</f>
        <v>1067</v>
      </c>
    </row>
    <row r="1057" spans="1:5" ht="12.75">
      <c r="A1057" s="2" t="str">
        <f ca="1">IFERROR(__xludf.DUMMYFUNCTION("""COMPUTED_VALUE"""),"XBOSVN010X25")</f>
        <v>XBOSVN010X25</v>
      </c>
      <c r="B1057" s="2">
        <f ca="1">IFERROR(__xludf.DUMMYFUNCTION("""COMPUTED_VALUE"""),1071)</f>
        <v>1071</v>
      </c>
      <c r="C1057" s="2">
        <f ca="1">IFERROR(__xludf.DUMMYFUNCTION("""COMPUTED_VALUE"""),1074)</f>
        <v>1074</v>
      </c>
      <c r="D1057" s="2">
        <f ca="1">IFERROR(__xludf.DUMMYFUNCTION("""COMPUTED_VALUE"""),1071)</f>
        <v>1071</v>
      </c>
      <c r="E1057" s="2">
        <f ca="1">IFERROR(__xludf.DUMMYFUNCTION("""COMPUTED_VALUE"""),3)</f>
        <v>3</v>
      </c>
    </row>
    <row r="1058" spans="1:5" ht="12.75">
      <c r="A1058" s="2" t="str">
        <f ca="1">IFERROR(__xludf.DUMMYFUNCTION("""COMPUTED_VALUE"""),"XBOSVN013X10.105")</f>
        <v>XBOSVN013X10.105</v>
      </c>
      <c r="B1058" s="2">
        <f ca="1">IFERROR(__xludf.DUMMYFUNCTION("""COMPUTED_VALUE"""),269)</f>
        <v>269</v>
      </c>
      <c r="C1058" s="2">
        <f ca="1">IFERROR(__xludf.DUMMYFUNCTION("""COMPUTED_VALUE"""),269)</f>
        <v>269</v>
      </c>
      <c r="D1058" s="2">
        <f ca="1">IFERROR(__xludf.DUMMYFUNCTION("""COMPUTED_VALUE"""),269)</f>
        <v>269</v>
      </c>
      <c r="E1058" s="2">
        <f ca="1">IFERROR(__xludf.DUMMYFUNCTION("""COMPUTED_VALUE"""),0)</f>
        <v>0</v>
      </c>
    </row>
    <row r="1059" spans="1:5" ht="12.75">
      <c r="A1059" s="2" t="str">
        <f ca="1">IFERROR(__xludf.DUMMYFUNCTION("""COMPUTED_VALUE"""),"XBOSVN013X10.120")</f>
        <v>XBOSVN013X10.120</v>
      </c>
      <c r="B1059" s="2">
        <f ca="1">IFERROR(__xludf.DUMMYFUNCTION("""COMPUTED_VALUE"""),1764)</f>
        <v>1764</v>
      </c>
      <c r="C1059" s="2">
        <f ca="1">IFERROR(__xludf.DUMMYFUNCTION("""COMPUTED_VALUE"""),1787)</f>
        <v>1787</v>
      </c>
      <c r="D1059" s="2">
        <f ca="1">IFERROR(__xludf.DUMMYFUNCTION("""COMPUTED_VALUE"""),1764)</f>
        <v>1764</v>
      </c>
      <c r="E1059" s="2">
        <f ca="1">IFERROR(__xludf.DUMMYFUNCTION("""COMPUTED_VALUE"""),23)</f>
        <v>23</v>
      </c>
    </row>
    <row r="1060" spans="1:5" ht="12.75">
      <c r="A1060" s="2" t="str">
        <f ca="1">IFERROR(__xludf.DUMMYFUNCTION("""COMPUTED_VALUE"""),"XBOSVN013X13")</f>
        <v>XBOSVN013X13</v>
      </c>
      <c r="B1060" s="2">
        <f ca="1">IFERROR(__xludf.DUMMYFUNCTION("""COMPUTED_VALUE"""),316)</f>
        <v>316</v>
      </c>
      <c r="C1060" s="2">
        <f ca="1">IFERROR(__xludf.DUMMYFUNCTION("""COMPUTED_VALUE"""),316)</f>
        <v>316</v>
      </c>
      <c r="D1060" s="2">
        <f ca="1">IFERROR(__xludf.DUMMYFUNCTION("""COMPUTED_VALUE"""),316)</f>
        <v>316</v>
      </c>
      <c r="E1060" s="2">
        <f ca="1">IFERROR(__xludf.DUMMYFUNCTION("""COMPUTED_VALUE"""),0)</f>
        <v>0</v>
      </c>
    </row>
    <row r="1061" spans="1:5" ht="12.75">
      <c r="A1061" s="2" t="str">
        <f ca="1">IFERROR(__xludf.DUMMYFUNCTION("""COMPUTED_VALUE"""),"XBOSVN013X13.080")</f>
        <v>XBOSVN013X13.080</v>
      </c>
      <c r="B1061" s="2">
        <f ca="1">IFERROR(__xludf.DUMMYFUNCTION("""COMPUTED_VALUE"""),13236)</f>
        <v>13236</v>
      </c>
      <c r="C1061" s="2">
        <f ca="1">IFERROR(__xludf.DUMMYFUNCTION("""COMPUTED_VALUE"""),16833)</f>
        <v>16833</v>
      </c>
      <c r="D1061" s="2">
        <f ca="1">IFERROR(__xludf.DUMMYFUNCTION("""COMPUTED_VALUE"""),13236)</f>
        <v>13236</v>
      </c>
      <c r="E1061" s="2">
        <f ca="1">IFERROR(__xludf.DUMMYFUNCTION("""COMPUTED_VALUE"""),3597)</f>
        <v>3597</v>
      </c>
    </row>
    <row r="1062" spans="1:5" ht="12.75">
      <c r="A1062" s="2" t="str">
        <f ca="1">IFERROR(__xludf.DUMMYFUNCTION("""COMPUTED_VALUE"""),"XBOSVN013X19")</f>
        <v>XBOSVN013X19</v>
      </c>
      <c r="B1062" s="2">
        <f ca="1">IFERROR(__xludf.DUMMYFUNCTION("""COMPUTED_VALUE"""),3609)</f>
        <v>3609</v>
      </c>
      <c r="C1062" s="2">
        <f ca="1">IFERROR(__xludf.DUMMYFUNCTION("""COMPUTED_VALUE"""),4141)</f>
        <v>4141</v>
      </c>
      <c r="D1062" s="2">
        <f ca="1">IFERROR(__xludf.DUMMYFUNCTION("""COMPUTED_VALUE"""),3609)</f>
        <v>3609</v>
      </c>
      <c r="E1062" s="2">
        <f ca="1">IFERROR(__xludf.DUMMYFUNCTION("""COMPUTED_VALUE"""),532)</f>
        <v>532</v>
      </c>
    </row>
    <row r="1063" spans="1:5" ht="12.75">
      <c r="A1063" s="2" t="str">
        <f ca="1">IFERROR(__xludf.DUMMYFUNCTION("""COMPUTED_VALUE"""),"XBOSVN013X25.025")</f>
        <v>XBOSVN013X25.025</v>
      </c>
      <c r="B1063" s="2">
        <f ca="1">IFERROR(__xludf.DUMMYFUNCTION("""COMPUTED_VALUE"""),794)</f>
        <v>794</v>
      </c>
      <c r="C1063" s="2">
        <f ca="1">IFERROR(__xludf.DUMMYFUNCTION("""COMPUTED_VALUE"""),854)</f>
        <v>854</v>
      </c>
      <c r="D1063" s="2">
        <f ca="1">IFERROR(__xludf.DUMMYFUNCTION("""COMPUTED_VALUE"""),794)</f>
        <v>794</v>
      </c>
      <c r="E1063" s="2">
        <f ca="1">IFERROR(__xludf.DUMMYFUNCTION("""COMPUTED_VALUE"""),60)</f>
        <v>60</v>
      </c>
    </row>
    <row r="1064" spans="1:5" ht="12.75">
      <c r="A1064" s="2" t="str">
        <f ca="1">IFERROR(__xludf.DUMMYFUNCTION("""COMPUTED_VALUE"""),"XBOSVN016X10.100")</f>
        <v>XBOSVN016X10.100</v>
      </c>
      <c r="B1064" s="2">
        <f ca="1">IFERROR(__xludf.DUMMYFUNCTION("""COMPUTED_VALUE"""),11602)</f>
        <v>11602</v>
      </c>
      <c r="C1064" s="2">
        <f ca="1">IFERROR(__xludf.DUMMYFUNCTION("""COMPUTED_VALUE"""),11602)</f>
        <v>11602</v>
      </c>
      <c r="D1064" s="2">
        <f ca="1">IFERROR(__xludf.DUMMYFUNCTION("""COMPUTED_VALUE"""),11602)</f>
        <v>11602</v>
      </c>
      <c r="E1064" s="2">
        <f ca="1">IFERROR(__xludf.DUMMYFUNCTION("""COMPUTED_VALUE"""),0)</f>
        <v>0</v>
      </c>
    </row>
    <row r="1065" spans="1:5" ht="12.75">
      <c r="A1065" s="2" t="str">
        <f ca="1">IFERROR(__xludf.DUMMYFUNCTION("""COMPUTED_VALUE"""),"XBOSVN016X13.072")</f>
        <v>XBOSVN016X13.072</v>
      </c>
      <c r="B1065" s="2">
        <f ca="1">IFERROR(__xludf.DUMMYFUNCTION("""COMPUTED_VALUE"""),3600)</f>
        <v>3600</v>
      </c>
      <c r="C1065" s="2">
        <f ca="1">IFERROR(__xludf.DUMMYFUNCTION("""COMPUTED_VALUE"""),3600)</f>
        <v>3600</v>
      </c>
      <c r="D1065" s="2">
        <f ca="1">IFERROR(__xludf.DUMMYFUNCTION("""COMPUTED_VALUE"""),3600)</f>
        <v>3600</v>
      </c>
      <c r="E1065" s="2">
        <f ca="1">IFERROR(__xludf.DUMMYFUNCTION("""COMPUTED_VALUE"""),0)</f>
        <v>0</v>
      </c>
    </row>
    <row r="1066" spans="1:5" ht="12.75">
      <c r="A1066" s="2" t="str">
        <f ca="1">IFERROR(__xludf.DUMMYFUNCTION("""COMPUTED_VALUE"""),"XBOSVN016X19")</f>
        <v>XBOSVN016X19</v>
      </c>
      <c r="B1066" s="2">
        <f ca="1">IFERROR(__xludf.DUMMYFUNCTION("""COMPUTED_VALUE"""),1176)</f>
        <v>1176</v>
      </c>
      <c r="C1066" s="2">
        <f ca="1">IFERROR(__xludf.DUMMYFUNCTION("""COMPUTED_VALUE"""),7560)</f>
        <v>7560</v>
      </c>
      <c r="D1066" s="2">
        <f ca="1">IFERROR(__xludf.DUMMYFUNCTION("""COMPUTED_VALUE"""),6936)</f>
        <v>6936</v>
      </c>
      <c r="E1066" s="2">
        <f ca="1">IFERROR(__xludf.DUMMYFUNCTION("""COMPUTED_VALUE"""),624)</f>
        <v>624</v>
      </c>
    </row>
    <row r="1067" spans="1:5" ht="12.75">
      <c r="A1067" s="2" t="str">
        <f ca="1">IFERROR(__xludf.DUMMYFUNCTION("""COMPUTED_VALUE"""),"XBOSVN016X25.023")</f>
        <v>XBOSVN016X25.023</v>
      </c>
      <c r="B1067" s="2">
        <f ca="1">IFERROR(__xludf.DUMMYFUNCTION("""COMPUTED_VALUE"""),440)</f>
        <v>440</v>
      </c>
      <c r="C1067" s="2">
        <f ca="1">IFERROR(__xludf.DUMMYFUNCTION("""COMPUTED_VALUE"""),640)</f>
        <v>640</v>
      </c>
      <c r="D1067" s="2">
        <f ca="1">IFERROR(__xludf.DUMMYFUNCTION("""COMPUTED_VALUE"""),440)</f>
        <v>440</v>
      </c>
      <c r="E1067" s="2">
        <f ca="1">IFERROR(__xludf.DUMMYFUNCTION("""COMPUTED_VALUE"""),200)</f>
        <v>200</v>
      </c>
    </row>
    <row r="1068" spans="1:5" ht="12.75">
      <c r="A1068" s="2" t="str">
        <f ca="1">IFERROR(__xludf.DUMMYFUNCTION("""COMPUTED_VALUE"""),"XBOSVN016X38")</f>
        <v>XBOSVN016X38</v>
      </c>
      <c r="B1068" s="2">
        <f ca="1">IFERROR(__xludf.DUMMYFUNCTION("""COMPUTED_VALUE"""),5)</f>
        <v>5</v>
      </c>
      <c r="C1068" s="2">
        <f ca="1">IFERROR(__xludf.DUMMYFUNCTION("""COMPUTED_VALUE"""),5)</f>
        <v>5</v>
      </c>
      <c r="D1068" s="2">
        <f ca="1">IFERROR(__xludf.DUMMYFUNCTION("""COMPUTED_VALUE"""),5)</f>
        <v>5</v>
      </c>
      <c r="E1068" s="2">
        <f ca="1">IFERROR(__xludf.DUMMYFUNCTION("""COMPUTED_VALUE"""),0)</f>
        <v>0</v>
      </c>
    </row>
    <row r="1069" spans="1:5" ht="12.75">
      <c r="A1069" s="2" t="str">
        <f ca="1">IFERROR(__xludf.DUMMYFUNCTION("""COMPUTED_VALUE"""),"XBOSVN019X10.080")</f>
        <v>XBOSVN019X10.080</v>
      </c>
      <c r="B1069" s="2">
        <f ca="1">IFERROR(__xludf.DUMMYFUNCTION("""COMPUTED_VALUE"""),5525)</f>
        <v>5525</v>
      </c>
      <c r="C1069" s="2">
        <f ca="1">IFERROR(__xludf.DUMMYFUNCTION("""COMPUTED_VALUE"""),5525)</f>
        <v>5525</v>
      </c>
      <c r="D1069" s="2">
        <f ca="1">IFERROR(__xludf.DUMMYFUNCTION("""COMPUTED_VALUE"""),5525)</f>
        <v>5525</v>
      </c>
      <c r="E1069" s="2">
        <f ca="1">IFERROR(__xludf.DUMMYFUNCTION("""COMPUTED_VALUE"""),0)</f>
        <v>0</v>
      </c>
    </row>
    <row r="1070" spans="1:5" ht="12.75">
      <c r="A1070" s="2" t="str">
        <f ca="1">IFERROR(__xludf.DUMMYFUNCTION("""COMPUTED_VALUE"""),"XBOSVN019X13.064")</f>
        <v>XBOSVN019X13.064</v>
      </c>
      <c r="B1070" s="2">
        <f ca="1">IFERROR(__xludf.DUMMYFUNCTION("""COMPUTED_VALUE"""),1313)</f>
        <v>1313</v>
      </c>
      <c r="C1070" s="2">
        <f ca="1">IFERROR(__xludf.DUMMYFUNCTION("""COMPUTED_VALUE"""),2855)</f>
        <v>2855</v>
      </c>
      <c r="D1070" s="2">
        <f ca="1">IFERROR(__xludf.DUMMYFUNCTION("""COMPUTED_VALUE"""),1313)</f>
        <v>1313</v>
      </c>
      <c r="E1070" s="2">
        <f ca="1">IFERROR(__xludf.DUMMYFUNCTION("""COMPUTED_VALUE"""),1542)</f>
        <v>1542</v>
      </c>
    </row>
    <row r="1071" spans="1:5" ht="12.75">
      <c r="A1071" s="2" t="str">
        <f ca="1">IFERROR(__xludf.DUMMYFUNCTION("""COMPUTED_VALUE"""),"XBOSVN019X19")</f>
        <v>XBOSVN019X19</v>
      </c>
      <c r="B1071" s="2">
        <f ca="1">IFERROR(__xludf.DUMMYFUNCTION("""COMPUTED_VALUE"""),3044)</f>
        <v>3044</v>
      </c>
      <c r="C1071" s="2">
        <f ca="1">IFERROR(__xludf.DUMMYFUNCTION("""COMPUTED_VALUE"""),5588)</f>
        <v>5588</v>
      </c>
      <c r="D1071" s="2">
        <f ca="1">IFERROR(__xludf.DUMMYFUNCTION("""COMPUTED_VALUE"""),3044)</f>
        <v>3044</v>
      </c>
      <c r="E1071" s="2">
        <f ca="1">IFERROR(__xludf.DUMMYFUNCTION("""COMPUTED_VALUE"""),2544)</f>
        <v>2544</v>
      </c>
    </row>
    <row r="1072" spans="1:5" ht="12.75">
      <c r="A1072" s="2" t="str">
        <f ca="1">IFERROR(__xludf.DUMMYFUNCTION("""COMPUTED_VALUE"""),"XBOSVN019X25")</f>
        <v>XBOSVN019X25</v>
      </c>
      <c r="B1072" s="2">
        <f ca="1">IFERROR(__xludf.DUMMYFUNCTION("""COMPUTED_VALUE"""),871)</f>
        <v>871</v>
      </c>
      <c r="C1072" s="2">
        <f ca="1">IFERROR(__xludf.DUMMYFUNCTION("""COMPUTED_VALUE"""),1598)</f>
        <v>1598</v>
      </c>
      <c r="D1072" s="2">
        <f ca="1">IFERROR(__xludf.DUMMYFUNCTION("""COMPUTED_VALUE"""),871)</f>
        <v>871</v>
      </c>
      <c r="E1072" s="2">
        <f ca="1">IFERROR(__xludf.DUMMYFUNCTION("""COMPUTED_VALUE"""),727)</f>
        <v>727</v>
      </c>
    </row>
    <row r="1073" spans="1:5" ht="12.75">
      <c r="A1073" s="2" t="str">
        <f ca="1">IFERROR(__xludf.DUMMYFUNCTION("""COMPUTED_VALUE"""),"XBOSVN022X10.072")</f>
        <v>XBOSVN022X10.072</v>
      </c>
      <c r="B1073" s="2">
        <f ca="1">IFERROR(__xludf.DUMMYFUNCTION("""COMPUTED_VALUE"""),10950)</f>
        <v>10950</v>
      </c>
      <c r="C1073" s="2">
        <f ca="1">IFERROR(__xludf.DUMMYFUNCTION("""COMPUTED_VALUE"""),12046)</f>
        <v>12046</v>
      </c>
      <c r="D1073" s="2">
        <f ca="1">IFERROR(__xludf.DUMMYFUNCTION("""COMPUTED_VALUE"""),10950)</f>
        <v>10950</v>
      </c>
      <c r="E1073" s="2">
        <f ca="1">IFERROR(__xludf.DUMMYFUNCTION("""COMPUTED_VALUE"""),1096)</f>
        <v>1096</v>
      </c>
    </row>
    <row r="1074" spans="1:5" ht="12.75">
      <c r="A1074" s="2" t="str">
        <f ca="1">IFERROR(__xludf.DUMMYFUNCTION("""COMPUTED_VALUE"""),"XBOSVN022X13")</f>
        <v>XBOSVN022X13</v>
      </c>
      <c r="B1074" s="2">
        <f ca="1">IFERROR(__xludf.DUMMYFUNCTION("""COMPUTED_VALUE"""),395)</f>
        <v>395</v>
      </c>
      <c r="C1074" s="2">
        <f ca="1">IFERROR(__xludf.DUMMYFUNCTION("""COMPUTED_VALUE"""),395)</f>
        <v>395</v>
      </c>
      <c r="D1074" s="2">
        <f ca="1">IFERROR(__xludf.DUMMYFUNCTION("""COMPUTED_VALUE"""),395)</f>
        <v>395</v>
      </c>
      <c r="E1074" s="2">
        <f ca="1">IFERROR(__xludf.DUMMYFUNCTION("""COMPUTED_VALUE"""),0)</f>
        <v>0</v>
      </c>
    </row>
    <row r="1075" spans="1:5" ht="12.75">
      <c r="A1075" s="2" t="str">
        <f ca="1">IFERROR(__xludf.DUMMYFUNCTION("""COMPUTED_VALUE"""),"XBOSVN022X13.056")</f>
        <v>XBOSVN022X13.056</v>
      </c>
      <c r="B1075" s="2">
        <f ca="1">IFERROR(__xludf.DUMMYFUNCTION("""COMPUTED_VALUE"""),5644)</f>
        <v>5644</v>
      </c>
      <c r="C1075" s="2">
        <f ca="1">IFERROR(__xludf.DUMMYFUNCTION("""COMPUTED_VALUE"""),7060)</f>
        <v>7060</v>
      </c>
      <c r="D1075" s="2">
        <f ca="1">IFERROR(__xludf.DUMMYFUNCTION("""COMPUTED_VALUE"""),5644)</f>
        <v>5644</v>
      </c>
      <c r="E1075" s="2">
        <f ca="1">IFERROR(__xludf.DUMMYFUNCTION("""COMPUTED_VALUE"""),1416)</f>
        <v>1416</v>
      </c>
    </row>
    <row r="1076" spans="1:5" ht="12.75">
      <c r="A1076" s="2" t="str">
        <f ca="1">IFERROR(__xludf.DUMMYFUNCTION("""COMPUTED_VALUE"""),"XBOSVN022X19.027")</f>
        <v>XBOSVN022X19.027</v>
      </c>
      <c r="B1076" s="2">
        <f ca="1">IFERROR(__xludf.DUMMYFUNCTION("""COMPUTED_VALUE"""),884)</f>
        <v>884</v>
      </c>
      <c r="C1076" s="2">
        <f ca="1">IFERROR(__xludf.DUMMYFUNCTION("""COMPUTED_VALUE"""),921)</f>
        <v>921</v>
      </c>
      <c r="D1076" s="2">
        <f ca="1">IFERROR(__xludf.DUMMYFUNCTION("""COMPUTED_VALUE"""),884)</f>
        <v>884</v>
      </c>
      <c r="E1076" s="2">
        <f ca="1">IFERROR(__xludf.DUMMYFUNCTION("""COMPUTED_VALUE"""),37)</f>
        <v>37</v>
      </c>
    </row>
    <row r="1077" spans="1:5" ht="12.75">
      <c r="A1077" s="2" t="str">
        <f ca="1">IFERROR(__xludf.DUMMYFUNCTION("""COMPUTED_VALUE"""),"XBOSVN022X25")</f>
        <v>XBOSVN022X25</v>
      </c>
      <c r="B1077" s="2">
        <f ca="1">IFERROR(__xludf.DUMMYFUNCTION("""COMPUTED_VALUE"""),836)</f>
        <v>836</v>
      </c>
      <c r="C1077" s="2">
        <f ca="1">IFERROR(__xludf.DUMMYFUNCTION("""COMPUTED_VALUE"""),1557)</f>
        <v>1557</v>
      </c>
      <c r="D1077" s="2">
        <f ca="1">IFERROR(__xludf.DUMMYFUNCTION("""COMPUTED_VALUE"""),836)</f>
        <v>836</v>
      </c>
      <c r="E1077" s="2">
        <f ca="1">IFERROR(__xludf.DUMMYFUNCTION("""COMPUTED_VALUE"""),721)</f>
        <v>721</v>
      </c>
    </row>
    <row r="1078" spans="1:5" ht="12.75">
      <c r="A1078" s="2" t="str">
        <f ca="1">IFERROR(__xludf.DUMMYFUNCTION("""COMPUTED_VALUE"""),"XBOSVN022X32")</f>
        <v>XBOSVN022X32</v>
      </c>
      <c r="B1078" s="2">
        <f ca="1">IFERROR(__xludf.DUMMYFUNCTION("""COMPUTED_VALUE"""),6)</f>
        <v>6</v>
      </c>
      <c r="C1078" s="2">
        <f ca="1">IFERROR(__xludf.DUMMYFUNCTION("""COMPUTED_VALUE"""),6)</f>
        <v>6</v>
      </c>
      <c r="D1078" s="2">
        <f ca="1">IFERROR(__xludf.DUMMYFUNCTION("""COMPUTED_VALUE"""),6)</f>
        <v>6</v>
      </c>
      <c r="E1078" s="2">
        <f ca="1">IFERROR(__xludf.DUMMYFUNCTION("""COMPUTED_VALUE"""),0)</f>
        <v>0</v>
      </c>
    </row>
    <row r="1079" spans="1:5" ht="12.75">
      <c r="A1079" s="2" t="str">
        <f ca="1">IFERROR(__xludf.DUMMYFUNCTION("""COMPUTED_VALUE"""),"XBOSVN025X10.063")</f>
        <v>XBOSVN025X10.063</v>
      </c>
      <c r="B1079" s="2">
        <f ca="1">IFERROR(__xludf.DUMMYFUNCTION("""COMPUTED_VALUE"""),1158)</f>
        <v>1158</v>
      </c>
      <c r="C1079" s="2">
        <f ca="1">IFERROR(__xludf.DUMMYFUNCTION("""COMPUTED_VALUE"""),1158)</f>
        <v>1158</v>
      </c>
      <c r="D1079" s="2">
        <f ca="1">IFERROR(__xludf.DUMMYFUNCTION("""COMPUTED_VALUE"""),1158)</f>
        <v>1158</v>
      </c>
      <c r="E1079" s="2">
        <f ca="1">IFERROR(__xludf.DUMMYFUNCTION("""COMPUTED_VALUE"""),0)</f>
        <v>0</v>
      </c>
    </row>
    <row r="1080" spans="1:5" ht="12.75">
      <c r="A1080" s="2" t="str">
        <f ca="1">IFERROR(__xludf.DUMMYFUNCTION("""COMPUTED_VALUE"""),"XBOSVN025X19.024")</f>
        <v>XBOSVN025X19.024</v>
      </c>
      <c r="B1080" s="2">
        <f ca="1">IFERROR(__xludf.DUMMYFUNCTION("""COMPUTED_VALUE"""),384)</f>
        <v>384</v>
      </c>
      <c r="C1080" s="2">
        <f ca="1">IFERROR(__xludf.DUMMYFUNCTION("""COMPUTED_VALUE"""),978)</f>
        <v>978</v>
      </c>
      <c r="D1080" s="2">
        <f ca="1">IFERROR(__xludf.DUMMYFUNCTION("""COMPUTED_VALUE"""),384)</f>
        <v>384</v>
      </c>
      <c r="E1080" s="2">
        <f ca="1">IFERROR(__xludf.DUMMYFUNCTION("""COMPUTED_VALUE"""),594)</f>
        <v>594</v>
      </c>
    </row>
    <row r="1081" spans="1:5" ht="12.75">
      <c r="A1081" s="2" t="str">
        <f ca="1">IFERROR(__xludf.DUMMYFUNCTION("""COMPUTED_VALUE"""),"XBOSVN025X25.017")</f>
        <v>XBOSVN025X25.017</v>
      </c>
      <c r="B1081" s="2">
        <f ca="1">IFERROR(__xludf.DUMMYFUNCTION("""COMPUTED_VALUE"""),252)</f>
        <v>252</v>
      </c>
      <c r="C1081" s="2">
        <f ca="1">IFERROR(__xludf.DUMMYFUNCTION("""COMPUTED_VALUE"""),252)</f>
        <v>252</v>
      </c>
      <c r="D1081" s="2">
        <f ca="1">IFERROR(__xludf.DUMMYFUNCTION("""COMPUTED_VALUE"""),252)</f>
        <v>252</v>
      </c>
      <c r="E1081" s="2">
        <f ca="1">IFERROR(__xludf.DUMMYFUNCTION("""COMPUTED_VALUE"""),0)</f>
        <v>0</v>
      </c>
    </row>
    <row r="1082" spans="1:5" ht="12.75">
      <c r="A1082" s="2" t="str">
        <f ca="1">IFERROR(__xludf.DUMMYFUNCTION("""COMPUTED_VALUE"""),"XBOSVN028X10")</f>
        <v>XBOSVN028X10</v>
      </c>
      <c r="B1082" s="2">
        <f ca="1">IFERROR(__xludf.DUMMYFUNCTION("""COMPUTED_VALUE"""),5205)</f>
        <v>5205</v>
      </c>
      <c r="C1082" s="2">
        <f ca="1">IFERROR(__xludf.DUMMYFUNCTION("""COMPUTED_VALUE"""),6331)</f>
        <v>6331</v>
      </c>
      <c r="D1082" s="2">
        <f ca="1">IFERROR(__xludf.DUMMYFUNCTION("""COMPUTED_VALUE"""),5205)</f>
        <v>5205</v>
      </c>
      <c r="E1082" s="2">
        <f ca="1">IFERROR(__xludf.DUMMYFUNCTION("""COMPUTED_VALUE"""),1126)</f>
        <v>1126</v>
      </c>
    </row>
    <row r="1083" spans="1:5" ht="12.75">
      <c r="A1083" s="2" t="str">
        <f ca="1">IFERROR(__xludf.DUMMYFUNCTION("""COMPUTED_VALUE"""),"XBOSVN028X13")</f>
        <v>XBOSVN028X13</v>
      </c>
      <c r="B1083" s="2">
        <f ca="1">IFERROR(__xludf.DUMMYFUNCTION("""COMPUTED_VALUE"""),674)</f>
        <v>674</v>
      </c>
      <c r="C1083" s="2">
        <f ca="1">IFERROR(__xludf.DUMMYFUNCTION("""COMPUTED_VALUE"""),677)</f>
        <v>677</v>
      </c>
      <c r="D1083" s="2">
        <f ca="1">IFERROR(__xludf.DUMMYFUNCTION("""COMPUTED_VALUE"""),674)</f>
        <v>674</v>
      </c>
      <c r="E1083" s="2">
        <f ca="1">IFERROR(__xludf.DUMMYFUNCTION("""COMPUTED_VALUE"""),3)</f>
        <v>3</v>
      </c>
    </row>
    <row r="1084" spans="1:5" ht="12.75">
      <c r="A1084" s="2" t="str">
        <f ca="1">IFERROR(__xludf.DUMMYFUNCTION("""COMPUTED_VALUE"""),"XBOSVN028X19.024")</f>
        <v>XBOSVN028X19.024</v>
      </c>
      <c r="B1084" s="2">
        <f ca="1">IFERROR(__xludf.DUMMYFUNCTION("""COMPUTED_VALUE"""),1021)</f>
        <v>1021</v>
      </c>
      <c r="C1084" s="2">
        <f ca="1">IFERROR(__xludf.DUMMYFUNCTION("""COMPUTED_VALUE"""),2424)</f>
        <v>2424</v>
      </c>
      <c r="D1084" s="2">
        <f ca="1">IFERROR(__xludf.DUMMYFUNCTION("""COMPUTED_VALUE"""),1021)</f>
        <v>1021</v>
      </c>
      <c r="E1084" s="2">
        <f ca="1">IFERROR(__xludf.DUMMYFUNCTION("""COMPUTED_VALUE"""),1403)</f>
        <v>1403</v>
      </c>
    </row>
    <row r="1085" spans="1:5" ht="12.75">
      <c r="A1085" s="2" t="str">
        <f ca="1">IFERROR(__xludf.DUMMYFUNCTION("""COMPUTED_VALUE"""),"XBOSVN028X25")</f>
        <v>XBOSVN028X25</v>
      </c>
      <c r="B1085" s="2">
        <f ca="1">IFERROR(__xludf.DUMMYFUNCTION("""COMPUTED_VALUE"""),403)</f>
        <v>403</v>
      </c>
      <c r="C1085" s="2">
        <f ca="1">IFERROR(__xludf.DUMMYFUNCTION("""COMPUTED_VALUE"""),600)</f>
        <v>600</v>
      </c>
      <c r="D1085" s="2">
        <f ca="1">IFERROR(__xludf.DUMMYFUNCTION("""COMPUTED_VALUE"""),403)</f>
        <v>403</v>
      </c>
      <c r="E1085" s="2">
        <f ca="1">IFERROR(__xludf.DUMMYFUNCTION("""COMPUTED_VALUE"""),197)</f>
        <v>197</v>
      </c>
    </row>
    <row r="1086" spans="1:5" ht="12.75">
      <c r="A1086" s="2" t="str">
        <f ca="1">IFERROR(__xludf.DUMMYFUNCTION("""COMPUTED_VALUE"""),"XBOSVN028X32")</f>
        <v>XBOSVN028X32</v>
      </c>
      <c r="B1086" s="2">
        <f ca="1">IFERROR(__xludf.DUMMYFUNCTION("""COMPUTED_VALUE"""),382)</f>
        <v>382</v>
      </c>
      <c r="C1086" s="2">
        <f ca="1">IFERROR(__xludf.DUMMYFUNCTION("""COMPUTED_VALUE"""),382)</f>
        <v>382</v>
      </c>
      <c r="D1086" s="2">
        <f ca="1">IFERROR(__xludf.DUMMYFUNCTION("""COMPUTED_VALUE"""),382)</f>
        <v>382</v>
      </c>
      <c r="E1086" s="2">
        <f ca="1">IFERROR(__xludf.DUMMYFUNCTION("""COMPUTED_VALUE"""),0)</f>
        <v>0</v>
      </c>
    </row>
    <row r="1087" spans="1:5" ht="12.75">
      <c r="A1087" s="2" t="str">
        <f ca="1">IFERROR(__xludf.DUMMYFUNCTION("""COMPUTED_VALUE"""),"XBOSVN032X10")</f>
        <v>XBOSVN032X10</v>
      </c>
      <c r="B1087" s="2">
        <f ca="1">IFERROR(__xludf.DUMMYFUNCTION("""COMPUTED_VALUE"""),1322)</f>
        <v>1322</v>
      </c>
      <c r="C1087" s="2">
        <f ca="1">IFERROR(__xludf.DUMMYFUNCTION("""COMPUTED_VALUE"""),1322)</f>
        <v>1322</v>
      </c>
      <c r="D1087" s="2">
        <f ca="1">IFERROR(__xludf.DUMMYFUNCTION("""COMPUTED_VALUE"""),1322)</f>
        <v>1322</v>
      </c>
      <c r="E1087" s="2">
        <f ca="1">IFERROR(__xludf.DUMMYFUNCTION("""COMPUTED_VALUE"""),0)</f>
        <v>0</v>
      </c>
    </row>
    <row r="1088" spans="1:5" ht="12.75">
      <c r="A1088" s="2" t="str">
        <f ca="1">IFERROR(__xludf.DUMMYFUNCTION("""COMPUTED_VALUE"""),"XBOSVN032X19")</f>
        <v>XBOSVN032X19</v>
      </c>
      <c r="B1088" s="2">
        <f ca="1">IFERROR(__xludf.DUMMYFUNCTION("""COMPUTED_VALUE"""),1917)</f>
        <v>1917</v>
      </c>
      <c r="C1088" s="2">
        <f ca="1">IFERROR(__xludf.DUMMYFUNCTION("""COMPUTED_VALUE"""),2333)</f>
        <v>2333</v>
      </c>
      <c r="D1088" s="2">
        <f ca="1">IFERROR(__xludf.DUMMYFUNCTION("""COMPUTED_VALUE"""),1917)</f>
        <v>1917</v>
      </c>
      <c r="E1088" s="2">
        <f ca="1">IFERROR(__xludf.DUMMYFUNCTION("""COMPUTED_VALUE"""),416)</f>
        <v>416</v>
      </c>
    </row>
    <row r="1089" spans="1:5" ht="12.75">
      <c r="A1089" s="2" t="str">
        <f ca="1">IFERROR(__xludf.DUMMYFUNCTION("""COMPUTED_VALUE"""),"XBOSVN032X25.016")</f>
        <v>XBOSVN032X25.016</v>
      </c>
      <c r="B1089" s="2">
        <f ca="1">IFERROR(__xludf.DUMMYFUNCTION("""COMPUTED_VALUE"""),2534)</f>
        <v>2534</v>
      </c>
      <c r="C1089" s="2">
        <f ca="1">IFERROR(__xludf.DUMMYFUNCTION("""COMPUTED_VALUE"""),2652)</f>
        <v>2652</v>
      </c>
      <c r="D1089" s="2">
        <f ca="1">IFERROR(__xludf.DUMMYFUNCTION("""COMPUTED_VALUE"""),2534)</f>
        <v>2534</v>
      </c>
      <c r="E1089" s="2">
        <f ca="1">IFERROR(__xludf.DUMMYFUNCTION("""COMPUTED_VALUE"""),118)</f>
        <v>118</v>
      </c>
    </row>
    <row r="1090" spans="1:5" ht="12.75">
      <c r="A1090" s="2" t="str">
        <f ca="1">IFERROR(__xludf.DUMMYFUNCTION("""COMPUTED_VALUE"""),"XBOSVN032X38")</f>
        <v>XBOSVN032X38</v>
      </c>
      <c r="B1090" s="2">
        <f ca="1">IFERROR(__xludf.DUMMYFUNCTION("""COMPUTED_VALUE"""),36)</f>
        <v>36</v>
      </c>
      <c r="C1090" s="2">
        <f ca="1">IFERROR(__xludf.DUMMYFUNCTION("""COMPUTED_VALUE"""),36)</f>
        <v>36</v>
      </c>
      <c r="D1090" s="2">
        <f ca="1">IFERROR(__xludf.DUMMYFUNCTION("""COMPUTED_VALUE"""),36)</f>
        <v>36</v>
      </c>
      <c r="E1090" s="2">
        <f ca="1">IFERROR(__xludf.DUMMYFUNCTION("""COMPUTED_VALUE"""),0)</f>
        <v>0</v>
      </c>
    </row>
    <row r="1091" spans="1:5" ht="12.75">
      <c r="A1091" s="2" t="str">
        <f ca="1">IFERROR(__xludf.DUMMYFUNCTION("""COMPUTED_VALUE"""),"XBOSVN035X10")</f>
        <v>XBOSVN035X10</v>
      </c>
      <c r="B1091" s="2">
        <f ca="1">IFERROR(__xludf.DUMMYFUNCTION("""COMPUTED_VALUE"""),1988)</f>
        <v>1988</v>
      </c>
      <c r="C1091" s="2">
        <f ca="1">IFERROR(__xludf.DUMMYFUNCTION("""COMPUTED_VALUE"""),2662)</f>
        <v>2662</v>
      </c>
      <c r="D1091" s="2">
        <f ca="1">IFERROR(__xludf.DUMMYFUNCTION("""COMPUTED_VALUE"""),1988)</f>
        <v>1988</v>
      </c>
      <c r="E1091" s="2">
        <f ca="1">IFERROR(__xludf.DUMMYFUNCTION("""COMPUTED_VALUE"""),674)</f>
        <v>674</v>
      </c>
    </row>
    <row r="1092" spans="1:5" ht="12.75">
      <c r="A1092" s="2" t="str">
        <f ca="1">IFERROR(__xludf.DUMMYFUNCTION("""COMPUTED_VALUE"""),"XBOSVN035X13")</f>
        <v>XBOSVN035X13</v>
      </c>
      <c r="B1092" s="2">
        <f ca="1">IFERROR(__xludf.DUMMYFUNCTION("""COMPUTED_VALUE"""),463)</f>
        <v>463</v>
      </c>
      <c r="C1092" s="2">
        <f ca="1">IFERROR(__xludf.DUMMYFUNCTION("""COMPUTED_VALUE"""),1705)</f>
        <v>1705</v>
      </c>
      <c r="D1092" s="2">
        <f ca="1">IFERROR(__xludf.DUMMYFUNCTION("""COMPUTED_VALUE"""),463)</f>
        <v>463</v>
      </c>
      <c r="E1092" s="2">
        <f ca="1">IFERROR(__xludf.DUMMYFUNCTION("""COMPUTED_VALUE"""),1242)</f>
        <v>1242</v>
      </c>
    </row>
    <row r="1093" spans="1:5" ht="12.75">
      <c r="A1093" s="2" t="str">
        <f ca="1">IFERROR(__xludf.DUMMYFUNCTION("""COMPUTED_VALUE"""),"XBOSVN035X19")</f>
        <v>XBOSVN035X19</v>
      </c>
      <c r="B1093" s="2">
        <f ca="1">IFERROR(__xludf.DUMMYFUNCTION("""COMPUTED_VALUE"""),157)</f>
        <v>157</v>
      </c>
      <c r="C1093" s="2">
        <f ca="1">IFERROR(__xludf.DUMMYFUNCTION("""COMPUTED_VALUE"""),491)</f>
        <v>491</v>
      </c>
      <c r="D1093" s="2">
        <f ca="1">IFERROR(__xludf.DUMMYFUNCTION("""COMPUTED_VALUE"""),157)</f>
        <v>157</v>
      </c>
      <c r="E1093" s="2">
        <f ca="1">IFERROR(__xludf.DUMMYFUNCTION("""COMPUTED_VALUE"""),334)</f>
        <v>334</v>
      </c>
    </row>
    <row r="1094" spans="1:5" ht="12.75">
      <c r="A1094" s="2" t="str">
        <f ca="1">IFERROR(__xludf.DUMMYFUNCTION("""COMPUTED_VALUE"""),"XBOSVN035X25")</f>
        <v>XBOSVN035X25</v>
      </c>
      <c r="B1094" s="2">
        <f ca="1">IFERROR(__xludf.DUMMYFUNCTION("""COMPUTED_VALUE"""),137)</f>
        <v>137</v>
      </c>
      <c r="C1094" s="2">
        <f ca="1">IFERROR(__xludf.DUMMYFUNCTION("""COMPUTED_VALUE"""),634)</f>
        <v>634</v>
      </c>
      <c r="D1094" s="2">
        <f ca="1">IFERROR(__xludf.DUMMYFUNCTION("""COMPUTED_VALUE"""),137)</f>
        <v>137</v>
      </c>
      <c r="E1094" s="2">
        <f ca="1">IFERROR(__xludf.DUMMYFUNCTION("""COMPUTED_VALUE"""),497)</f>
        <v>497</v>
      </c>
    </row>
    <row r="1095" spans="1:5" ht="12.75">
      <c r="A1095" s="2" t="str">
        <f ca="1">IFERROR(__xludf.DUMMYFUNCTION("""COMPUTED_VALUE"""),"XBOSVN035X32")</f>
        <v>XBOSVN035X32</v>
      </c>
      <c r="B1095" s="2">
        <f ca="1">IFERROR(__xludf.DUMMYFUNCTION("""COMPUTED_VALUE"""),9)</f>
        <v>9</v>
      </c>
      <c r="C1095" s="2">
        <f ca="1">IFERROR(__xludf.DUMMYFUNCTION("""COMPUTED_VALUE"""),9)</f>
        <v>9</v>
      </c>
      <c r="D1095" s="2">
        <f ca="1">IFERROR(__xludf.DUMMYFUNCTION("""COMPUTED_VALUE"""),9)</f>
        <v>9</v>
      </c>
      <c r="E1095" s="2">
        <f ca="1">IFERROR(__xludf.DUMMYFUNCTION("""COMPUTED_VALUE"""),0)</f>
        <v>0</v>
      </c>
    </row>
    <row r="1096" spans="1:5" ht="12.75">
      <c r="A1096" s="2" t="str">
        <f ca="1">IFERROR(__xludf.DUMMYFUNCTION("""COMPUTED_VALUE"""),"XBOSVN035X38")</f>
        <v>XBOSVN035X38</v>
      </c>
      <c r="B1096" s="2">
        <f ca="1">IFERROR(__xludf.DUMMYFUNCTION("""COMPUTED_VALUE"""),63)</f>
        <v>63</v>
      </c>
      <c r="C1096" s="2">
        <f ca="1">IFERROR(__xludf.DUMMYFUNCTION("""COMPUTED_VALUE"""),63)</f>
        <v>63</v>
      </c>
      <c r="D1096" s="2">
        <f ca="1">IFERROR(__xludf.DUMMYFUNCTION("""COMPUTED_VALUE"""),63)</f>
        <v>63</v>
      </c>
      <c r="E1096" s="2">
        <f ca="1">IFERROR(__xludf.DUMMYFUNCTION("""COMPUTED_VALUE"""),0)</f>
        <v>0</v>
      </c>
    </row>
    <row r="1097" spans="1:5" ht="12.75">
      <c r="A1097" s="2" t="str">
        <f ca="1">IFERROR(__xludf.DUMMYFUNCTION("""COMPUTED_VALUE"""),"XBOSVN038X19")</f>
        <v>XBOSVN038X19</v>
      </c>
      <c r="B1097" s="2">
        <f ca="1">IFERROR(__xludf.DUMMYFUNCTION("""COMPUTED_VALUE"""),380)</f>
        <v>380</v>
      </c>
      <c r="C1097" s="2">
        <f ca="1">IFERROR(__xludf.DUMMYFUNCTION("""COMPUTED_VALUE"""),405)</f>
        <v>405</v>
      </c>
      <c r="D1097" s="2">
        <f ca="1">IFERROR(__xludf.DUMMYFUNCTION("""COMPUTED_VALUE"""),380)</f>
        <v>380</v>
      </c>
      <c r="E1097" s="2">
        <f ca="1">IFERROR(__xludf.DUMMYFUNCTION("""COMPUTED_VALUE"""),25)</f>
        <v>25</v>
      </c>
    </row>
    <row r="1098" spans="1:5" ht="12.75">
      <c r="A1098" s="2" t="str">
        <f ca="1">IFERROR(__xludf.DUMMYFUNCTION("""COMPUTED_VALUE"""),"XBOSVN038X25")</f>
        <v>XBOSVN038X25</v>
      </c>
      <c r="B1098" s="2">
        <f ca="1">IFERROR(__xludf.DUMMYFUNCTION("""COMPUTED_VALUE"""),383)</f>
        <v>383</v>
      </c>
      <c r="C1098" s="2">
        <f ca="1">IFERROR(__xludf.DUMMYFUNCTION("""COMPUTED_VALUE"""),403)</f>
        <v>403</v>
      </c>
      <c r="D1098" s="2">
        <f ca="1">IFERROR(__xludf.DUMMYFUNCTION("""COMPUTED_VALUE"""),383)</f>
        <v>383</v>
      </c>
      <c r="E1098" s="2">
        <f ca="1">IFERROR(__xludf.DUMMYFUNCTION("""COMPUTED_VALUE"""),20)</f>
        <v>20</v>
      </c>
    </row>
    <row r="1099" spans="1:5" ht="12.75">
      <c r="A1099" s="2" t="str">
        <f ca="1">IFERROR(__xludf.DUMMYFUNCTION("""COMPUTED_VALUE"""),"XBOSVN038X38")</f>
        <v>XBOSVN038X38</v>
      </c>
      <c r="B1099" s="2">
        <f ca="1">IFERROR(__xludf.DUMMYFUNCTION("""COMPUTED_VALUE"""),27)</f>
        <v>27</v>
      </c>
      <c r="C1099" s="2">
        <f ca="1">IFERROR(__xludf.DUMMYFUNCTION("""COMPUTED_VALUE"""),27)</f>
        <v>27</v>
      </c>
      <c r="D1099" s="2">
        <f ca="1">IFERROR(__xludf.DUMMYFUNCTION("""COMPUTED_VALUE"""),27)</f>
        <v>27</v>
      </c>
      <c r="E1099" s="2">
        <f ca="1">IFERROR(__xludf.DUMMYFUNCTION("""COMPUTED_VALUE"""),0)</f>
        <v>0</v>
      </c>
    </row>
    <row r="1100" spans="1:5" ht="12.75">
      <c r="A1100" s="2" t="str">
        <f ca="1">IFERROR(__xludf.DUMMYFUNCTION("""COMPUTED_VALUE"""),"XBOSVN042X10")</f>
        <v>XBOSVN042X10</v>
      </c>
      <c r="B1100" s="2">
        <f ca="1">IFERROR(__xludf.DUMMYFUNCTION("""COMPUTED_VALUE"""),872)</f>
        <v>872</v>
      </c>
      <c r="C1100" s="2">
        <f ca="1">IFERROR(__xludf.DUMMYFUNCTION("""COMPUTED_VALUE"""),1268)</f>
        <v>1268</v>
      </c>
      <c r="D1100" s="2">
        <f ca="1">IFERROR(__xludf.DUMMYFUNCTION("""COMPUTED_VALUE"""),872)</f>
        <v>872</v>
      </c>
      <c r="E1100" s="2">
        <f ca="1">IFERROR(__xludf.DUMMYFUNCTION("""COMPUTED_VALUE"""),396)</f>
        <v>396</v>
      </c>
    </row>
    <row r="1101" spans="1:5" ht="12.75">
      <c r="A1101" s="2" t="str">
        <f ca="1">IFERROR(__xludf.DUMMYFUNCTION("""COMPUTED_VALUE"""),"XBOSVN042X19")</f>
        <v>XBOSVN042X19</v>
      </c>
      <c r="B1101" s="2">
        <f ca="1">IFERROR(__xludf.DUMMYFUNCTION("""COMPUTED_VALUE"""),427)</f>
        <v>427</v>
      </c>
      <c r="C1101" s="2">
        <f ca="1">IFERROR(__xludf.DUMMYFUNCTION("""COMPUTED_VALUE"""),781)</f>
        <v>781</v>
      </c>
      <c r="D1101" s="2">
        <f ca="1">IFERROR(__xludf.DUMMYFUNCTION("""COMPUTED_VALUE"""),427)</f>
        <v>427</v>
      </c>
      <c r="E1101" s="2">
        <f ca="1">IFERROR(__xludf.DUMMYFUNCTION("""COMPUTED_VALUE"""),354)</f>
        <v>354</v>
      </c>
    </row>
    <row r="1102" spans="1:5" ht="12.75">
      <c r="A1102" s="2" t="str">
        <f ca="1">IFERROR(__xludf.DUMMYFUNCTION("""COMPUTED_VALUE"""),"XBOSVN042X25")</f>
        <v>XBOSVN042X25</v>
      </c>
      <c r="B1102" s="2">
        <f ca="1">IFERROR(__xludf.DUMMYFUNCTION("""COMPUTED_VALUE"""),518)</f>
        <v>518</v>
      </c>
      <c r="C1102" s="2">
        <f ca="1">IFERROR(__xludf.DUMMYFUNCTION("""COMPUTED_VALUE"""),781)</f>
        <v>781</v>
      </c>
      <c r="D1102" s="2">
        <f ca="1">IFERROR(__xludf.DUMMYFUNCTION("""COMPUTED_VALUE"""),518)</f>
        <v>518</v>
      </c>
      <c r="E1102" s="2">
        <f ca="1">IFERROR(__xludf.DUMMYFUNCTION("""COMPUTED_VALUE"""),263)</f>
        <v>263</v>
      </c>
    </row>
    <row r="1103" spans="1:5" ht="12.75">
      <c r="A1103" s="2" t="str">
        <f ca="1">IFERROR(__xludf.DUMMYFUNCTION("""COMPUTED_VALUE"""),"XBOSVN048X10")</f>
        <v>XBOSVN048X10</v>
      </c>
      <c r="B1103" s="2">
        <f ca="1">IFERROR(__xludf.DUMMYFUNCTION("""COMPUTED_VALUE"""),2322)</f>
        <v>2322</v>
      </c>
      <c r="C1103" s="2">
        <f ca="1">IFERROR(__xludf.DUMMYFUNCTION("""COMPUTED_VALUE"""),2378)</f>
        <v>2378</v>
      </c>
      <c r="D1103" s="2">
        <f ca="1">IFERROR(__xludf.DUMMYFUNCTION("""COMPUTED_VALUE"""),2322)</f>
        <v>2322</v>
      </c>
      <c r="E1103" s="2">
        <f ca="1">IFERROR(__xludf.DUMMYFUNCTION("""COMPUTED_VALUE"""),56)</f>
        <v>56</v>
      </c>
    </row>
    <row r="1104" spans="1:5" ht="12.75">
      <c r="A1104" s="2" t="str">
        <f ca="1">IFERROR(__xludf.DUMMYFUNCTION("""COMPUTED_VALUE"""),"XBOSVN048X13")</f>
        <v>XBOSVN048X13</v>
      </c>
      <c r="B1104" s="2">
        <f ca="1">IFERROR(__xludf.DUMMYFUNCTION("""COMPUTED_VALUE"""),2)</f>
        <v>2</v>
      </c>
      <c r="C1104" s="2">
        <f ca="1">IFERROR(__xludf.DUMMYFUNCTION("""COMPUTED_VALUE"""),886)</f>
        <v>886</v>
      </c>
      <c r="D1104" s="2">
        <f ca="1">IFERROR(__xludf.DUMMYFUNCTION("""COMPUTED_VALUE"""),2)</f>
        <v>2</v>
      </c>
      <c r="E1104" s="2">
        <f ca="1">IFERROR(__xludf.DUMMYFUNCTION("""COMPUTED_VALUE"""),884)</f>
        <v>884</v>
      </c>
    </row>
    <row r="1105" spans="1:5" ht="12.75">
      <c r="A1105" s="2" t="str">
        <f ca="1">IFERROR(__xludf.DUMMYFUNCTION("""COMPUTED_VALUE"""),"XBOSVN048X19")</f>
        <v>XBOSVN048X19</v>
      </c>
      <c r="B1105" s="2">
        <f ca="1">IFERROR(__xludf.DUMMYFUNCTION("""COMPUTED_VALUE"""),449)</f>
        <v>449</v>
      </c>
      <c r="C1105" s="2">
        <f ca="1">IFERROR(__xludf.DUMMYFUNCTION("""COMPUTED_VALUE"""),449)</f>
        <v>449</v>
      </c>
      <c r="D1105" s="2">
        <f ca="1">IFERROR(__xludf.DUMMYFUNCTION("""COMPUTED_VALUE"""),449)</f>
        <v>449</v>
      </c>
      <c r="E1105" s="2">
        <f ca="1">IFERROR(__xludf.DUMMYFUNCTION("""COMPUTED_VALUE"""),0)</f>
        <v>0</v>
      </c>
    </row>
    <row r="1106" spans="1:5" ht="12.75">
      <c r="A1106" s="2" t="str">
        <f ca="1">IFERROR(__xludf.DUMMYFUNCTION("""COMPUTED_VALUE"""),"XBOSVN048X25")</f>
        <v>XBOSVN048X25</v>
      </c>
      <c r="B1106" s="2">
        <f ca="1">IFERROR(__xludf.DUMMYFUNCTION("""COMPUTED_VALUE"""),459)</f>
        <v>459</v>
      </c>
      <c r="C1106" s="2">
        <f ca="1">IFERROR(__xludf.DUMMYFUNCTION("""COMPUTED_VALUE"""),462)</f>
        <v>462</v>
      </c>
      <c r="D1106" s="2">
        <f ca="1">IFERROR(__xludf.DUMMYFUNCTION("""COMPUTED_VALUE"""),459)</f>
        <v>459</v>
      </c>
      <c r="E1106" s="2">
        <f ca="1">IFERROR(__xludf.DUMMYFUNCTION("""COMPUTED_VALUE"""),3)</f>
        <v>3</v>
      </c>
    </row>
    <row r="1107" spans="1:5" ht="12.75">
      <c r="A1107" s="2" t="str">
        <f ca="1">IFERROR(__xludf.DUMMYFUNCTION("""COMPUTED_VALUE"""),"XBOSVN048X32")</f>
        <v>XBOSVN048X32</v>
      </c>
      <c r="B1107" s="2">
        <f ca="1">IFERROR(__xludf.DUMMYFUNCTION("""COMPUTED_VALUE"""),8)</f>
        <v>8</v>
      </c>
      <c r="C1107" s="2">
        <f ca="1">IFERROR(__xludf.DUMMYFUNCTION("""COMPUTED_VALUE"""),8)</f>
        <v>8</v>
      </c>
      <c r="D1107" s="2">
        <f ca="1">IFERROR(__xludf.DUMMYFUNCTION("""COMPUTED_VALUE"""),8)</f>
        <v>8</v>
      </c>
      <c r="E1107" s="2">
        <f ca="1">IFERROR(__xludf.DUMMYFUNCTION("""COMPUTED_VALUE"""),0)</f>
        <v>0</v>
      </c>
    </row>
    <row r="1108" spans="1:5" ht="12.75">
      <c r="A1108" s="2" t="str">
        <f ca="1">IFERROR(__xludf.DUMMYFUNCTION("""COMPUTED_VALUE"""),"XBOSVN054X19")</f>
        <v>XBOSVN054X19</v>
      </c>
      <c r="B1108" s="2">
        <f ca="1">IFERROR(__xludf.DUMMYFUNCTION("""COMPUTED_VALUE"""),218)</f>
        <v>218</v>
      </c>
      <c r="C1108" s="2">
        <f ca="1">IFERROR(__xludf.DUMMYFUNCTION("""COMPUTED_VALUE"""),230)</f>
        <v>230</v>
      </c>
      <c r="D1108" s="2">
        <f ca="1">IFERROR(__xludf.DUMMYFUNCTION("""COMPUTED_VALUE"""),218)</f>
        <v>218</v>
      </c>
      <c r="E1108" s="2">
        <f ca="1">IFERROR(__xludf.DUMMYFUNCTION("""COMPUTED_VALUE"""),12)</f>
        <v>12</v>
      </c>
    </row>
    <row r="1109" spans="1:5" ht="12.75">
      <c r="A1109" s="2" t="str">
        <f ca="1">IFERROR(__xludf.DUMMYFUNCTION("""COMPUTED_VALUE"""),"XBOSVN054X25")</f>
        <v>XBOSVN054X25</v>
      </c>
      <c r="B1109" s="2">
        <f ca="1">IFERROR(__xludf.DUMMYFUNCTION("""COMPUTED_VALUE"""),751)</f>
        <v>751</v>
      </c>
      <c r="C1109" s="2">
        <f ca="1">IFERROR(__xludf.DUMMYFUNCTION("""COMPUTED_VALUE"""),762)</f>
        <v>762</v>
      </c>
      <c r="D1109" s="2">
        <f ca="1">IFERROR(__xludf.DUMMYFUNCTION("""COMPUTED_VALUE"""),751)</f>
        <v>751</v>
      </c>
      <c r="E1109" s="2">
        <f ca="1">IFERROR(__xludf.DUMMYFUNCTION("""COMPUTED_VALUE"""),11)</f>
        <v>11</v>
      </c>
    </row>
    <row r="1110" spans="1:5" ht="12.75">
      <c r="A1110" s="2" t="str">
        <f ca="1">IFERROR(__xludf.DUMMYFUNCTION("""COMPUTED_VALUE"""),"XBOSVN054X38")</f>
        <v>XBOSVN054X38</v>
      </c>
      <c r="B1110" s="2">
        <f ca="1">IFERROR(__xludf.DUMMYFUNCTION("""COMPUTED_VALUE"""),2)</f>
        <v>2</v>
      </c>
      <c r="C1110" s="2">
        <f ca="1">IFERROR(__xludf.DUMMYFUNCTION("""COMPUTED_VALUE"""),2)</f>
        <v>2</v>
      </c>
      <c r="D1110" s="2">
        <f ca="1">IFERROR(__xludf.DUMMYFUNCTION("""COMPUTED_VALUE"""),2)</f>
        <v>2</v>
      </c>
      <c r="E1110" s="2">
        <f ca="1">IFERROR(__xludf.DUMMYFUNCTION("""COMPUTED_VALUE"""),0)</f>
        <v>0</v>
      </c>
    </row>
    <row r="1111" spans="1:5" ht="12.75">
      <c r="A1111" s="2" t="str">
        <f ca="1">IFERROR(__xludf.DUMMYFUNCTION("""COMPUTED_VALUE"""),"XBOSVN054X51")</f>
        <v>XBOSVN054X51</v>
      </c>
      <c r="B1111" s="2">
        <f ca="1">IFERROR(__xludf.DUMMYFUNCTION("""COMPUTED_VALUE"""),1)</f>
        <v>1</v>
      </c>
      <c r="C1111" s="2">
        <f ca="1">IFERROR(__xludf.DUMMYFUNCTION("""COMPUTED_VALUE"""),1)</f>
        <v>1</v>
      </c>
      <c r="D1111" s="2">
        <f ca="1">IFERROR(__xludf.DUMMYFUNCTION("""COMPUTED_VALUE"""),1)</f>
        <v>1</v>
      </c>
      <c r="E1111" s="2">
        <f ca="1">IFERROR(__xludf.DUMMYFUNCTION("""COMPUTED_VALUE"""),0)</f>
        <v>0</v>
      </c>
    </row>
    <row r="1112" spans="1:5" ht="12.75">
      <c r="A1112" s="2" t="str">
        <f ca="1">IFERROR(__xludf.DUMMYFUNCTION("""COMPUTED_VALUE"""),"XBOSVN060X10")</f>
        <v>XBOSVN060X10</v>
      </c>
      <c r="B1112" s="2">
        <f ca="1">IFERROR(__xludf.DUMMYFUNCTION("""COMPUTED_VALUE"""),2440)</f>
        <v>2440</v>
      </c>
      <c r="C1112" s="2">
        <f ca="1">IFERROR(__xludf.DUMMYFUNCTION("""COMPUTED_VALUE"""),3013)</f>
        <v>3013</v>
      </c>
      <c r="D1112" s="2">
        <f ca="1">IFERROR(__xludf.DUMMYFUNCTION("""COMPUTED_VALUE"""),2440)</f>
        <v>2440</v>
      </c>
      <c r="E1112" s="2">
        <f ca="1">IFERROR(__xludf.DUMMYFUNCTION("""COMPUTED_VALUE"""),573)</f>
        <v>573</v>
      </c>
    </row>
    <row r="1113" spans="1:5" ht="12.75">
      <c r="A1113" s="2" t="str">
        <f ca="1">IFERROR(__xludf.DUMMYFUNCTION("""COMPUTED_VALUE"""),"XBOSVN060X13")</f>
        <v>XBOSVN060X13</v>
      </c>
      <c r="B1113" s="2">
        <f ca="1">IFERROR(__xludf.DUMMYFUNCTION("""COMPUTED_VALUE"""),58)</f>
        <v>58</v>
      </c>
      <c r="C1113" s="2">
        <f ca="1">IFERROR(__xludf.DUMMYFUNCTION("""COMPUTED_VALUE"""),696)</f>
        <v>696</v>
      </c>
      <c r="D1113" s="2">
        <f ca="1">IFERROR(__xludf.DUMMYFUNCTION("""COMPUTED_VALUE"""),418)</f>
        <v>418</v>
      </c>
      <c r="E1113" s="2">
        <f ca="1">IFERROR(__xludf.DUMMYFUNCTION("""COMPUTED_VALUE"""),278)</f>
        <v>278</v>
      </c>
    </row>
    <row r="1114" spans="1:5" ht="12.75">
      <c r="A1114" s="2" t="str">
        <f ca="1">IFERROR(__xludf.DUMMYFUNCTION("""COMPUTED_VALUE"""),"XBOSVN060X19")</f>
        <v>XBOSVN060X19</v>
      </c>
      <c r="B1114" s="2">
        <f ca="1">IFERROR(__xludf.DUMMYFUNCTION("""COMPUTED_VALUE"""),138)</f>
        <v>138</v>
      </c>
      <c r="C1114" s="2">
        <f ca="1">IFERROR(__xludf.DUMMYFUNCTION("""COMPUTED_VALUE"""),150)</f>
        <v>150</v>
      </c>
      <c r="D1114" s="2">
        <f ca="1">IFERROR(__xludf.DUMMYFUNCTION("""COMPUTED_VALUE"""),138)</f>
        <v>138</v>
      </c>
      <c r="E1114" s="2">
        <f ca="1">IFERROR(__xludf.DUMMYFUNCTION("""COMPUTED_VALUE"""),12)</f>
        <v>12</v>
      </c>
    </row>
    <row r="1115" spans="1:5" ht="12.75">
      <c r="A1115" s="2" t="str">
        <f ca="1">IFERROR(__xludf.DUMMYFUNCTION("""COMPUTED_VALUE"""),"XBOSVN060X25")</f>
        <v>XBOSVN060X25</v>
      </c>
      <c r="B1115" s="2">
        <f ca="1">IFERROR(__xludf.DUMMYFUNCTION("""COMPUTED_VALUE"""),15)</f>
        <v>15</v>
      </c>
      <c r="C1115" s="2">
        <f ca="1">IFERROR(__xludf.DUMMYFUNCTION("""COMPUTED_VALUE"""),30)</f>
        <v>30</v>
      </c>
      <c r="D1115" s="2">
        <f ca="1">IFERROR(__xludf.DUMMYFUNCTION("""COMPUTED_VALUE"""),15)</f>
        <v>15</v>
      </c>
      <c r="E1115" s="2">
        <f ca="1">IFERROR(__xludf.DUMMYFUNCTION("""COMPUTED_VALUE"""),15)</f>
        <v>15</v>
      </c>
    </row>
    <row r="1116" spans="1:5" ht="12.75">
      <c r="A1116" s="2" t="str">
        <f ca="1">IFERROR(__xludf.DUMMYFUNCTION("""COMPUTED_VALUE"""),"XBOSVN067X19")</f>
        <v>XBOSVN067X19</v>
      </c>
      <c r="B1116" s="2">
        <f ca="1">IFERROR(__xludf.DUMMYFUNCTION("""COMPUTED_VALUE"""),31)</f>
        <v>31</v>
      </c>
      <c r="C1116" s="2">
        <f ca="1">IFERROR(__xludf.DUMMYFUNCTION("""COMPUTED_VALUE"""),31)</f>
        <v>31</v>
      </c>
      <c r="D1116" s="2">
        <f ca="1">IFERROR(__xludf.DUMMYFUNCTION("""COMPUTED_VALUE"""),31)</f>
        <v>31</v>
      </c>
      <c r="E1116" s="2">
        <f ca="1">IFERROR(__xludf.DUMMYFUNCTION("""COMPUTED_VALUE"""),0)</f>
        <v>0</v>
      </c>
    </row>
    <row r="1117" spans="1:5" ht="12.75">
      <c r="A1117" s="2" t="str">
        <f ca="1">IFERROR(__xludf.DUMMYFUNCTION("""COMPUTED_VALUE"""),"XBOSVN067X25")</f>
        <v>XBOSVN067X25</v>
      </c>
      <c r="B1117" s="2">
        <f ca="1">IFERROR(__xludf.DUMMYFUNCTION("""COMPUTED_VALUE"""),8)</f>
        <v>8</v>
      </c>
      <c r="C1117" s="2">
        <f ca="1">IFERROR(__xludf.DUMMYFUNCTION("""COMPUTED_VALUE"""),10)</f>
        <v>10</v>
      </c>
      <c r="D1117" s="2">
        <f ca="1">IFERROR(__xludf.DUMMYFUNCTION("""COMPUTED_VALUE"""),8)</f>
        <v>8</v>
      </c>
      <c r="E1117" s="2">
        <f ca="1">IFERROR(__xludf.DUMMYFUNCTION("""COMPUTED_VALUE"""),2)</f>
        <v>2</v>
      </c>
    </row>
    <row r="1118" spans="1:5" ht="12.75">
      <c r="A1118" s="2" t="str">
        <f ca="1">IFERROR(__xludf.DUMMYFUNCTION("""COMPUTED_VALUE"""),"XBOSVN076X10")</f>
        <v>XBOSVN076X10</v>
      </c>
      <c r="B1118" s="2">
        <f ca="1">IFERROR(__xludf.DUMMYFUNCTION("""COMPUTED_VALUE"""),534)</f>
        <v>534</v>
      </c>
      <c r="C1118" s="2">
        <f ca="1">IFERROR(__xludf.DUMMYFUNCTION("""COMPUTED_VALUE"""),534)</f>
        <v>534</v>
      </c>
      <c r="D1118" s="2">
        <f ca="1">IFERROR(__xludf.DUMMYFUNCTION("""COMPUTED_VALUE"""),534)</f>
        <v>534</v>
      </c>
      <c r="E1118" s="2">
        <f ca="1">IFERROR(__xludf.DUMMYFUNCTION("""COMPUTED_VALUE"""),0)</f>
        <v>0</v>
      </c>
    </row>
    <row r="1119" spans="1:5" ht="12.75">
      <c r="A1119" s="2" t="str">
        <f ca="1">IFERROR(__xludf.DUMMYFUNCTION("""COMPUTED_VALUE"""),"XBOSVN076X13.014")</f>
        <v>XBOSVN076X13.014</v>
      </c>
      <c r="B1119" s="2">
        <f ca="1">IFERROR(__xludf.DUMMYFUNCTION("""COMPUTED_VALUE"""),445)</f>
        <v>445</v>
      </c>
      <c r="C1119" s="2">
        <f ca="1">IFERROR(__xludf.DUMMYFUNCTION("""COMPUTED_VALUE"""),660)</f>
        <v>660</v>
      </c>
      <c r="D1119" s="2">
        <f ca="1">IFERROR(__xludf.DUMMYFUNCTION("""COMPUTED_VALUE"""),445)</f>
        <v>445</v>
      </c>
      <c r="E1119" s="2">
        <f ca="1">IFERROR(__xludf.DUMMYFUNCTION("""COMPUTED_VALUE"""),215)</f>
        <v>215</v>
      </c>
    </row>
    <row r="1120" spans="1:5" ht="12.75">
      <c r="A1120" s="2" t="str">
        <f ca="1">IFERROR(__xludf.DUMMYFUNCTION("""COMPUTED_VALUE"""),"XBOSVN076X19")</f>
        <v>XBOSVN076X19</v>
      </c>
      <c r="B1120" s="2">
        <f ca="1">IFERROR(__xludf.DUMMYFUNCTION("""COMPUTED_VALUE"""),143)</f>
        <v>143</v>
      </c>
      <c r="C1120" s="2">
        <f ca="1">IFERROR(__xludf.DUMMYFUNCTION("""COMPUTED_VALUE"""),149)</f>
        <v>149</v>
      </c>
      <c r="D1120" s="2">
        <f ca="1">IFERROR(__xludf.DUMMYFUNCTION("""COMPUTED_VALUE"""),143)</f>
        <v>143</v>
      </c>
      <c r="E1120" s="2">
        <f ca="1">IFERROR(__xludf.DUMMYFUNCTION("""COMPUTED_VALUE"""),6)</f>
        <v>6</v>
      </c>
    </row>
    <row r="1121" spans="1:5" ht="12.75">
      <c r="A1121" s="2" t="str">
        <f ca="1">IFERROR(__xludf.DUMMYFUNCTION("""COMPUTED_VALUE"""),"XBOSVN076X25")</f>
        <v>XBOSVN076X25</v>
      </c>
      <c r="B1121" s="2">
        <f ca="1">IFERROR(__xludf.DUMMYFUNCTION("""COMPUTED_VALUE"""),44)</f>
        <v>44</v>
      </c>
      <c r="C1121" s="2">
        <f ca="1">IFERROR(__xludf.DUMMYFUNCTION("""COMPUTED_VALUE"""),57)</f>
        <v>57</v>
      </c>
      <c r="D1121" s="2">
        <f ca="1">IFERROR(__xludf.DUMMYFUNCTION("""COMPUTED_VALUE"""),53)</f>
        <v>53</v>
      </c>
      <c r="E1121" s="2">
        <f ca="1">IFERROR(__xludf.DUMMYFUNCTION("""COMPUTED_VALUE"""),4)</f>
        <v>4</v>
      </c>
    </row>
    <row r="1122" spans="1:5" ht="12.75">
      <c r="A1122" s="2" t="str">
        <f ca="1">IFERROR(__xludf.DUMMYFUNCTION("""COMPUTED_VALUE"""),"XBOSVN076X32")</f>
        <v>XBOSVN076X32</v>
      </c>
      <c r="B1122" s="2">
        <f ca="1">IFERROR(__xludf.DUMMYFUNCTION("""COMPUTED_VALUE"""),4)</f>
        <v>4</v>
      </c>
      <c r="C1122" s="2">
        <f ca="1">IFERROR(__xludf.DUMMYFUNCTION("""COMPUTED_VALUE"""),7)</f>
        <v>7</v>
      </c>
      <c r="D1122" s="2">
        <f ca="1">IFERROR(__xludf.DUMMYFUNCTION("""COMPUTED_VALUE"""),4)</f>
        <v>4</v>
      </c>
      <c r="E1122" s="2">
        <f ca="1">IFERROR(__xludf.DUMMYFUNCTION("""COMPUTED_VALUE"""),3)</f>
        <v>3</v>
      </c>
    </row>
    <row r="1123" spans="1:5" ht="12.75">
      <c r="A1123" s="2" t="str">
        <f ca="1">IFERROR(__xludf.DUMMYFUNCTION("""COMPUTED_VALUE"""),"XBOSVN076X51")</f>
        <v>XBOSVN076X51</v>
      </c>
      <c r="B1123" s="2">
        <f ca="1">IFERROR(__xludf.DUMMYFUNCTION("""COMPUTED_VALUE"""),53)</f>
        <v>53</v>
      </c>
      <c r="C1123" s="2">
        <f ca="1">IFERROR(__xludf.DUMMYFUNCTION("""COMPUTED_VALUE"""),53)</f>
        <v>53</v>
      </c>
      <c r="D1123" s="2">
        <f ca="1">IFERROR(__xludf.DUMMYFUNCTION("""COMPUTED_VALUE"""),53)</f>
        <v>53</v>
      </c>
      <c r="E1123" s="2">
        <f ca="1">IFERROR(__xludf.DUMMYFUNCTION("""COMPUTED_VALUE"""),0)</f>
        <v>0</v>
      </c>
    </row>
    <row r="1124" spans="1:5" ht="12.75">
      <c r="A1124" s="2" t="str">
        <f ca="1">IFERROR(__xludf.DUMMYFUNCTION("""COMPUTED_VALUE"""),"XBOSVN079X25")</f>
        <v>XBOSVN079X25</v>
      </c>
      <c r="B1124" s="2">
        <f ca="1">IFERROR(__xludf.DUMMYFUNCTION("""COMPUTED_VALUE"""),2)</f>
        <v>2</v>
      </c>
      <c r="C1124" s="2">
        <f ca="1">IFERROR(__xludf.DUMMYFUNCTION("""COMPUTED_VALUE"""),2)</f>
        <v>2</v>
      </c>
      <c r="D1124" s="2">
        <f ca="1">IFERROR(__xludf.DUMMYFUNCTION("""COMPUTED_VALUE"""),2)</f>
        <v>2</v>
      </c>
      <c r="E1124" s="2">
        <f ca="1">IFERROR(__xludf.DUMMYFUNCTION("""COMPUTED_VALUE"""),0)</f>
        <v>0</v>
      </c>
    </row>
    <row r="1125" spans="1:5" ht="12.75">
      <c r="A1125" s="2" t="str">
        <f ca="1">IFERROR(__xludf.DUMMYFUNCTION("""COMPUTED_VALUE"""),"XBOSVN079X32")</f>
        <v>XBOSVN079X32</v>
      </c>
      <c r="B1125" s="2">
        <f ca="1">IFERROR(__xludf.DUMMYFUNCTION("""COMPUTED_VALUE"""),6)</f>
        <v>6</v>
      </c>
      <c r="C1125" s="2">
        <f ca="1">IFERROR(__xludf.DUMMYFUNCTION("""COMPUTED_VALUE"""),6)</f>
        <v>6</v>
      </c>
      <c r="D1125" s="2">
        <f ca="1">IFERROR(__xludf.DUMMYFUNCTION("""COMPUTED_VALUE"""),6)</f>
        <v>6</v>
      </c>
      <c r="E1125" s="2">
        <f ca="1">IFERROR(__xludf.DUMMYFUNCTION("""COMPUTED_VALUE"""),0)</f>
        <v>0</v>
      </c>
    </row>
    <row r="1126" spans="1:5" ht="12.75">
      <c r="A1126" s="2" t="str">
        <f ca="1">IFERROR(__xludf.DUMMYFUNCTION("""COMPUTED_VALUE"""),"XBOSVN089X10")</f>
        <v>XBOSVN089X10</v>
      </c>
      <c r="B1126" s="2">
        <f ca="1">IFERROR(__xludf.DUMMYFUNCTION("""COMPUTED_VALUE"""),64)</f>
        <v>64</v>
      </c>
      <c r="C1126" s="2">
        <f ca="1">IFERROR(__xludf.DUMMYFUNCTION("""COMPUTED_VALUE"""),72)</f>
        <v>72</v>
      </c>
      <c r="D1126" s="2">
        <f ca="1">IFERROR(__xludf.DUMMYFUNCTION("""COMPUTED_VALUE"""),64)</f>
        <v>64</v>
      </c>
      <c r="E1126" s="2">
        <f ca="1">IFERROR(__xludf.DUMMYFUNCTION("""COMPUTED_VALUE"""),8)</f>
        <v>8</v>
      </c>
    </row>
    <row r="1127" spans="1:5" ht="12.75">
      <c r="A1127" s="2" t="str">
        <f ca="1">IFERROR(__xludf.DUMMYFUNCTION("""COMPUTED_VALUE"""),"XBOSVN089X13")</f>
        <v>XBOSVN089X13</v>
      </c>
      <c r="B1127" s="2">
        <f ca="1">IFERROR(__xludf.DUMMYFUNCTION("""COMPUTED_VALUE"""),100)</f>
        <v>100</v>
      </c>
      <c r="C1127" s="2">
        <f ca="1">IFERROR(__xludf.DUMMYFUNCTION("""COMPUTED_VALUE"""),267)</f>
        <v>267</v>
      </c>
      <c r="D1127" s="2">
        <f ca="1">IFERROR(__xludf.DUMMYFUNCTION("""COMPUTED_VALUE"""),100)</f>
        <v>100</v>
      </c>
      <c r="E1127" s="2">
        <f ca="1">IFERROR(__xludf.DUMMYFUNCTION("""COMPUTED_VALUE"""),167)</f>
        <v>167</v>
      </c>
    </row>
    <row r="1128" spans="1:5" ht="12.75">
      <c r="A1128" s="2" t="str">
        <f ca="1">IFERROR(__xludf.DUMMYFUNCTION("""COMPUTED_VALUE"""),"XBOSVN089X19")</f>
        <v>XBOSVN089X19</v>
      </c>
      <c r="B1128" s="2">
        <f ca="1">IFERROR(__xludf.DUMMYFUNCTION("""COMPUTED_VALUE"""),39)</f>
        <v>39</v>
      </c>
      <c r="C1128" s="2">
        <f ca="1">IFERROR(__xludf.DUMMYFUNCTION("""COMPUTED_VALUE"""),39)</f>
        <v>39</v>
      </c>
      <c r="D1128" s="2">
        <f ca="1">IFERROR(__xludf.DUMMYFUNCTION("""COMPUTED_VALUE"""),39)</f>
        <v>39</v>
      </c>
      <c r="E1128" s="2">
        <f ca="1">IFERROR(__xludf.DUMMYFUNCTION("""COMPUTED_VALUE"""),0)</f>
        <v>0</v>
      </c>
    </row>
    <row r="1129" spans="1:5" ht="12.75">
      <c r="A1129" s="2" t="str">
        <f ca="1">IFERROR(__xludf.DUMMYFUNCTION("""COMPUTED_VALUE"""),"XBOSVN089X25")</f>
        <v>XBOSVN089X25</v>
      </c>
      <c r="B1129" s="2">
        <f ca="1">IFERROR(__xludf.DUMMYFUNCTION("""COMPUTED_VALUE"""),44)</f>
        <v>44</v>
      </c>
      <c r="C1129" s="2">
        <f ca="1">IFERROR(__xludf.DUMMYFUNCTION("""COMPUTED_VALUE"""),45)</f>
        <v>45</v>
      </c>
      <c r="D1129" s="2">
        <f ca="1">IFERROR(__xludf.DUMMYFUNCTION("""COMPUTED_VALUE"""),44)</f>
        <v>44</v>
      </c>
      <c r="E1129" s="2">
        <f ca="1">IFERROR(__xludf.DUMMYFUNCTION("""COMPUTED_VALUE"""),1)</f>
        <v>1</v>
      </c>
    </row>
    <row r="1130" spans="1:5" ht="12.75">
      <c r="A1130" s="2" t="str">
        <f ca="1">IFERROR(__xludf.DUMMYFUNCTION("""COMPUTED_VALUE"""),"XBOSVN114X10")</f>
        <v>XBOSVN114X10</v>
      </c>
      <c r="B1130" s="2">
        <f ca="1">IFERROR(__xludf.DUMMYFUNCTION("""COMPUTED_VALUE"""),2)</f>
        <v>2</v>
      </c>
      <c r="C1130" s="2">
        <f ca="1">IFERROR(__xludf.DUMMYFUNCTION("""COMPUTED_VALUE"""),2)</f>
        <v>2</v>
      </c>
      <c r="D1130" s="2">
        <f ca="1">IFERROR(__xludf.DUMMYFUNCTION("""COMPUTED_VALUE"""),2)</f>
        <v>2</v>
      </c>
      <c r="E1130" s="2">
        <f ca="1">IFERROR(__xludf.DUMMYFUNCTION("""COMPUTED_VALUE"""),0)</f>
        <v>0</v>
      </c>
    </row>
    <row r="1131" spans="1:5" ht="12.75">
      <c r="A1131" s="2" t="str">
        <f ca="1">IFERROR(__xludf.DUMMYFUNCTION("""COMPUTED_VALUE"""),"XBOSVN114X13")</f>
        <v>XBOSVN114X13</v>
      </c>
      <c r="B1131" s="2">
        <f ca="1">IFERROR(__xludf.DUMMYFUNCTION("""COMPUTED_VALUE"""),556)</f>
        <v>556</v>
      </c>
      <c r="C1131" s="2">
        <f ca="1">IFERROR(__xludf.DUMMYFUNCTION("""COMPUTED_VALUE"""),591)</f>
        <v>591</v>
      </c>
      <c r="D1131" s="2">
        <f ca="1">IFERROR(__xludf.DUMMYFUNCTION("""COMPUTED_VALUE"""),556)</f>
        <v>556</v>
      </c>
      <c r="E1131" s="2">
        <f ca="1">IFERROR(__xludf.DUMMYFUNCTION("""COMPUTED_VALUE"""),35)</f>
        <v>35</v>
      </c>
    </row>
    <row r="1132" spans="1:5" ht="12.75">
      <c r="A1132" s="2" t="str">
        <f ca="1">IFERROR(__xludf.DUMMYFUNCTION("""COMPUTED_VALUE"""),"XBOSVN114X25")</f>
        <v>XBOSVN114X25</v>
      </c>
      <c r="B1132" s="2">
        <f ca="1">IFERROR(__xludf.DUMMYFUNCTION("""COMPUTED_VALUE"""),6)</f>
        <v>6</v>
      </c>
      <c r="C1132" s="2">
        <f ca="1">IFERROR(__xludf.DUMMYFUNCTION("""COMPUTED_VALUE"""),90)</f>
        <v>90</v>
      </c>
      <c r="D1132" s="2">
        <f ca="1">IFERROR(__xludf.DUMMYFUNCTION("""COMPUTED_VALUE"""),6)</f>
        <v>6</v>
      </c>
      <c r="E1132" s="2">
        <f ca="1">IFERROR(__xludf.DUMMYFUNCTION("""COMPUTED_VALUE"""),84)</f>
        <v>84</v>
      </c>
    </row>
    <row r="1133" spans="1:5" ht="12.75">
      <c r="A1133" s="2" t="str">
        <f ca="1">IFERROR(__xludf.DUMMYFUNCTION("""COMPUTED_VALUE"""),"XBOSVN114X32")</f>
        <v>XBOSVN114X32</v>
      </c>
      <c r="B1133" s="2">
        <f ca="1">IFERROR(__xludf.DUMMYFUNCTION("""COMPUTED_VALUE"""),1)</f>
        <v>1</v>
      </c>
      <c r="C1133" s="2">
        <f ca="1">IFERROR(__xludf.DUMMYFUNCTION("""COMPUTED_VALUE"""),1)</f>
        <v>1</v>
      </c>
      <c r="D1133" s="2">
        <f ca="1">IFERROR(__xludf.DUMMYFUNCTION("""COMPUTED_VALUE"""),1)</f>
        <v>1</v>
      </c>
      <c r="E1133" s="2">
        <f ca="1">IFERROR(__xludf.DUMMYFUNCTION("""COMPUTED_VALUE"""),0)</f>
        <v>0</v>
      </c>
    </row>
    <row r="1134" spans="1:5" ht="12.75">
      <c r="A1134" s="2" t="str">
        <f ca="1">IFERROR(__xludf.DUMMYFUNCTION("""COMPUTED_VALUE"""),"XBOTS016X09")</f>
        <v>XBOTS016X09</v>
      </c>
      <c r="B1134" s="2">
        <f ca="1">IFERROR(__xludf.DUMMYFUNCTION("""COMPUTED_VALUE"""),16100)</f>
        <v>16100</v>
      </c>
      <c r="C1134" s="2">
        <f ca="1">IFERROR(__xludf.DUMMYFUNCTION("""COMPUTED_VALUE"""),16100)</f>
        <v>16100</v>
      </c>
      <c r="D1134" s="2">
        <f ca="1">IFERROR(__xludf.DUMMYFUNCTION("""COMPUTED_VALUE"""),16100)</f>
        <v>16100</v>
      </c>
      <c r="E1134" s="2">
        <f ca="1">IFERROR(__xludf.DUMMYFUNCTION("""COMPUTED_VALUE"""),0)</f>
        <v>0</v>
      </c>
    </row>
    <row r="1135" spans="1:5" ht="12.75">
      <c r="A1135" s="2" t="str">
        <f ca="1">IFERROR(__xludf.DUMMYFUNCTION("""COMPUTED_VALUE"""),"XBOTSVN019X09")</f>
        <v>XBOTSVN019X09</v>
      </c>
      <c r="B1135" s="2">
        <f ca="1">IFERROR(__xludf.DUMMYFUNCTION("""COMPUTED_VALUE"""),7034)</f>
        <v>7034</v>
      </c>
      <c r="C1135" s="2">
        <f ca="1">IFERROR(__xludf.DUMMYFUNCTION("""COMPUTED_VALUE"""),7034)</f>
        <v>7034</v>
      </c>
      <c r="D1135" s="2">
        <f ca="1">IFERROR(__xludf.DUMMYFUNCTION("""COMPUTED_VALUE"""),7034)</f>
        <v>7034</v>
      </c>
      <c r="E1135" s="2">
        <f ca="1">IFERROR(__xludf.DUMMYFUNCTION("""COMPUTED_VALUE"""),0)</f>
        <v>0</v>
      </c>
    </row>
    <row r="1136" spans="1:5" ht="12.75">
      <c r="A1136" s="2" t="str">
        <f ca="1">IFERROR(__xludf.DUMMYFUNCTION("""COMPUTED_VALUE"""),"XDKRLX06C0")</f>
        <v>XDKRLX06C0</v>
      </c>
      <c r="B1136" s="2">
        <f ca="1">IFERROR(__xludf.DUMMYFUNCTION("""COMPUTED_VALUE"""),2)</f>
        <v>2</v>
      </c>
      <c r="C1136" s="2">
        <f ca="1">IFERROR(__xludf.DUMMYFUNCTION("""COMPUTED_VALUE"""),2.5)</f>
        <v>2.5</v>
      </c>
      <c r="D1136" s="2">
        <f ca="1">IFERROR(__xludf.DUMMYFUNCTION("""COMPUTED_VALUE"""),2.5)</f>
        <v>2.5</v>
      </c>
      <c r="E1136" s="2">
        <f ca="1">IFERROR(__xludf.DUMMYFUNCTION("""COMPUTED_VALUE"""),0)</f>
        <v>0</v>
      </c>
    </row>
    <row r="1137" spans="1:5" ht="12.75">
      <c r="A1137" s="2" t="str">
        <f ca="1">IFERROR(__xludf.DUMMYFUNCTION("""COMPUTED_VALUE"""),"XDKRLX10C0")</f>
        <v>XDKRLX10C0</v>
      </c>
      <c r="B1137" s="2">
        <f ca="1">IFERROR(__xludf.DUMMYFUNCTION("""COMPUTED_VALUE"""),2)</f>
        <v>2</v>
      </c>
      <c r="C1137" s="2">
        <f ca="1">IFERROR(__xludf.DUMMYFUNCTION("""COMPUTED_VALUE"""),2.6)</f>
        <v>2.6</v>
      </c>
      <c r="D1137" s="2">
        <f ca="1">IFERROR(__xludf.DUMMYFUNCTION("""COMPUTED_VALUE"""),2.6)</f>
        <v>2.6</v>
      </c>
      <c r="E1137" s="2">
        <f ca="1">IFERROR(__xludf.DUMMYFUNCTION("""COMPUTED_VALUE"""),0)</f>
        <v>0</v>
      </c>
    </row>
    <row r="1138" spans="1:5" ht="12.75">
      <c r="A1138" s="2" t="str">
        <f ca="1">IFERROR(__xludf.DUMMYFUNCTION("""COMPUTED_VALUE"""),"XDKRLX12C0")</f>
        <v>XDKRLX12C0</v>
      </c>
      <c r="B1138" s="2">
        <f ca="1">IFERROR(__xludf.DUMMYFUNCTION("""COMPUTED_VALUE"""),1)</f>
        <v>1</v>
      </c>
      <c r="C1138" s="2">
        <f ca="1">IFERROR(__xludf.DUMMYFUNCTION("""COMPUTED_VALUE"""),1)</f>
        <v>1</v>
      </c>
      <c r="D1138" s="2">
        <f ca="1">IFERROR(__xludf.DUMMYFUNCTION("""COMPUTED_VALUE"""),1)</f>
        <v>1</v>
      </c>
      <c r="E1138" s="2">
        <f ca="1">IFERROR(__xludf.DUMMYFUNCTION("""COMPUTED_VALUE"""),0)</f>
        <v>0</v>
      </c>
    </row>
    <row r="1139" spans="1:5" ht="12.75">
      <c r="A1139" s="2" t="str">
        <f ca="1">IFERROR(__xludf.DUMMYFUNCTION("""COMPUTED_VALUE"""),"XK0616150")</f>
        <v>XK0616150</v>
      </c>
      <c r="B1139" s="2">
        <f ca="1">IFERROR(__xludf.DUMMYFUNCTION("""COMPUTED_VALUE"""),0.02)</f>
        <v>0.02</v>
      </c>
      <c r="C1139" s="2">
        <f ca="1">IFERROR(__xludf.DUMMYFUNCTION("""COMPUTED_VALUE"""),0.02)</f>
        <v>0.02</v>
      </c>
      <c r="D1139" s="2">
        <f ca="1">IFERROR(__xludf.DUMMYFUNCTION("""COMPUTED_VALUE"""),0.02)</f>
        <v>0.02</v>
      </c>
      <c r="E1139" s="2">
        <f ca="1">IFERROR(__xludf.DUMMYFUNCTION("""COMPUTED_VALUE"""),0)</f>
        <v>0</v>
      </c>
    </row>
    <row r="1140" spans="1:5" ht="12.75">
      <c r="A1140" s="2" t="str">
        <f ca="1">IFERROR(__xludf.DUMMYFUNCTION("""COMPUTED_VALUE"""),"XKKOREA0610")</f>
        <v>XKKOREA0610</v>
      </c>
      <c r="B1140" s="2">
        <f ca="1">IFERROR(__xludf.DUMMYFUNCTION("""COMPUTED_VALUE"""),0.35)</f>
        <v>0.35</v>
      </c>
      <c r="C1140" s="2">
        <f ca="1">IFERROR(__xludf.DUMMYFUNCTION("""COMPUTED_VALUE"""),0.35)</f>
        <v>0.35</v>
      </c>
      <c r="D1140" s="2">
        <f ca="1">IFERROR(__xludf.DUMMYFUNCTION("""COMPUTED_VALUE"""),0.35)</f>
        <v>0.35</v>
      </c>
      <c r="E1140" s="2">
        <f ca="1">IFERROR(__xludf.DUMMYFUNCTION("""COMPUTED_VALUE"""),0)</f>
        <v>0</v>
      </c>
    </row>
    <row r="1141" spans="1:5" ht="12.75">
      <c r="A1141" s="2" t="str">
        <f ca="1">IFERROR(__xludf.DUMMYFUNCTION("""COMPUTED_VALUE"""),"XKKOREA0616")</f>
        <v>XKKOREA0616</v>
      </c>
      <c r="B1141" s="2">
        <f ca="1">IFERROR(__xludf.DUMMYFUNCTION("""COMPUTED_VALUE"""),18.26)</f>
        <v>18.260000000000002</v>
      </c>
      <c r="C1141" s="2">
        <f ca="1">IFERROR(__xludf.DUMMYFUNCTION("""COMPUTED_VALUE"""),18.58)</f>
        <v>18.579999999999998</v>
      </c>
      <c r="D1141" s="2">
        <f ca="1">IFERROR(__xludf.DUMMYFUNCTION("""COMPUTED_VALUE"""),18.58)</f>
        <v>18.579999999999998</v>
      </c>
      <c r="E1141" s="2">
        <f ca="1">IFERROR(__xludf.DUMMYFUNCTION("""COMPUTED_VALUE"""),0)</f>
        <v>0</v>
      </c>
    </row>
    <row r="1142" spans="1:5" ht="12.75">
      <c r="A1142" s="2" t="str">
        <f ca="1">IFERROR(__xludf.DUMMYFUNCTION("""COMPUTED_VALUE"""),"XKKOREA1016")</f>
        <v>XKKOREA1016</v>
      </c>
      <c r="B1142" s="2">
        <f ca="1">IFERROR(__xludf.DUMMYFUNCTION("""COMPUTED_VALUE"""),0.45)</f>
        <v>0.45</v>
      </c>
      <c r="C1142" s="2">
        <f ca="1">IFERROR(__xludf.DUMMYFUNCTION("""COMPUTED_VALUE"""),0.45)</f>
        <v>0.45</v>
      </c>
      <c r="D1142" s="2">
        <f ca="1">IFERROR(__xludf.DUMMYFUNCTION("""COMPUTED_VALUE"""),0.45)</f>
        <v>0.45</v>
      </c>
      <c r="E1142" s="2">
        <f ca="1">IFERROR(__xludf.DUMMYFUNCTION("""COMPUTED_VALUE"""),0)</f>
        <v>0</v>
      </c>
    </row>
    <row r="1143" spans="1:5" ht="12.75">
      <c r="A1143" s="2" t="str">
        <f ca="1">IFERROR(__xludf.DUMMYFUNCTION("""COMPUTED_VALUE"""),"XKTAISEI0610")</f>
        <v>XKTAISEI0610</v>
      </c>
      <c r="B1143" s="2">
        <f ca="1">IFERROR(__xludf.DUMMYFUNCTION("""COMPUTED_VALUE"""),0.99)</f>
        <v>0.99</v>
      </c>
      <c r="C1143" s="2">
        <f ca="1">IFERROR(__xludf.DUMMYFUNCTION("""COMPUTED_VALUE"""),0.99)</f>
        <v>0.99</v>
      </c>
      <c r="D1143" s="2">
        <f ca="1">IFERROR(__xludf.DUMMYFUNCTION("""COMPUTED_VALUE"""),0.99)</f>
        <v>0.99</v>
      </c>
      <c r="E1143" s="2">
        <f ca="1">IFERROR(__xludf.DUMMYFUNCTION("""COMPUTED_VALUE"""),0)</f>
        <v>0</v>
      </c>
    </row>
    <row r="1144" spans="1:5" ht="12.75">
      <c r="A1144" s="2" t="str">
        <f ca="1">IFERROR(__xludf.DUMMYFUNCTION("""COMPUTED_VALUE"""),"XKTSLT0610C1")</f>
        <v>XKTSLT0610C1</v>
      </c>
      <c r="B1144" s="2">
        <f ca="1">IFERROR(__xludf.DUMMYFUNCTION("""COMPUTED_VALUE"""),0.14)</f>
        <v>0.14000000000000001</v>
      </c>
      <c r="C1144" s="2">
        <f ca="1">IFERROR(__xludf.DUMMYFUNCTION("""COMPUTED_VALUE"""),0.14)</f>
        <v>0.14000000000000001</v>
      </c>
      <c r="D1144" s="2">
        <f ca="1">IFERROR(__xludf.DUMMYFUNCTION("""COMPUTED_VALUE"""),0.14)</f>
        <v>0.14000000000000001</v>
      </c>
      <c r="E1144" s="2">
        <f ca="1">IFERROR(__xludf.DUMMYFUNCTION("""COMPUTED_VALUE"""),0)</f>
        <v>0</v>
      </c>
    </row>
    <row r="1145" spans="1:5" ht="12.75">
      <c r="A1145" s="2" t="str">
        <f ca="1">IFERROR(__xludf.DUMMYFUNCTION("""COMPUTED_VALUE"""),"XKTSLT0612C1")</f>
        <v>XKTSLT0612C1</v>
      </c>
      <c r="B1145" s="2">
        <f ca="1">IFERROR(__xludf.DUMMYFUNCTION("""COMPUTED_VALUE"""),0.06)</f>
        <v>0.06</v>
      </c>
      <c r="C1145" s="2">
        <f ca="1">IFERROR(__xludf.DUMMYFUNCTION("""COMPUTED_VALUE"""),0.06)</f>
        <v>0.06</v>
      </c>
      <c r="D1145" s="2">
        <f ca="1">IFERROR(__xludf.DUMMYFUNCTION("""COMPUTED_VALUE"""),0.06)</f>
        <v>0.06</v>
      </c>
      <c r="E1145" s="2">
        <f ca="1">IFERROR(__xludf.DUMMYFUNCTION("""COMPUTED_VALUE"""),0)</f>
        <v>0</v>
      </c>
    </row>
    <row r="1146" spans="1:5" ht="12.75">
      <c r="A1146" s="2" t="str">
        <f ca="1">IFERROR(__xludf.DUMMYFUNCTION("""COMPUTED_VALUE"""),"XKTSLX0610C0")</f>
        <v>XKTSLX0610C0</v>
      </c>
      <c r="B1146" s="2">
        <f ca="1">IFERROR(__xludf.DUMMYFUNCTION("""COMPUTED_VALUE"""),65.77)</f>
        <v>65.77</v>
      </c>
      <c r="C1146" s="2">
        <f ca="1">IFERROR(__xludf.DUMMYFUNCTION("""COMPUTED_VALUE"""),82.02)</f>
        <v>82.02</v>
      </c>
      <c r="D1146" s="2">
        <f ca="1">IFERROR(__xludf.DUMMYFUNCTION("""COMPUTED_VALUE"""),82.02)</f>
        <v>82.02</v>
      </c>
      <c r="E1146" s="2">
        <f ca="1">IFERROR(__xludf.DUMMYFUNCTION("""COMPUTED_VALUE"""),0)</f>
        <v>0</v>
      </c>
    </row>
    <row r="1147" spans="1:5" ht="12.75">
      <c r="A1147" s="2" t="str">
        <f ca="1">IFERROR(__xludf.DUMMYFUNCTION("""COMPUTED_VALUE"""),"XKTSLX0612C0")</f>
        <v>XKTSLX0612C0</v>
      </c>
      <c r="B1147" s="2">
        <f ca="1">IFERROR(__xludf.DUMMYFUNCTION("""COMPUTED_VALUE"""),49.36)</f>
        <v>49.36</v>
      </c>
      <c r="C1147" s="2">
        <f ca="1">IFERROR(__xludf.DUMMYFUNCTION("""COMPUTED_VALUE"""),49.81)</f>
        <v>49.81</v>
      </c>
      <c r="D1147" s="2">
        <f ca="1">IFERROR(__xludf.DUMMYFUNCTION("""COMPUTED_VALUE"""),49.81)</f>
        <v>49.81</v>
      </c>
      <c r="E1147" s="2">
        <f ca="1">IFERROR(__xludf.DUMMYFUNCTION("""COMPUTED_VALUE"""),0)</f>
        <v>0</v>
      </c>
    </row>
    <row r="1148" spans="1:5" ht="12.75">
      <c r="A1148" s="2" t="str">
        <f ca="1">IFERROR(__xludf.DUMMYFUNCTION("""COMPUTED_VALUE"""),"XKTSLX0612C1")</f>
        <v>XKTSLX0612C1</v>
      </c>
      <c r="B1148" s="2">
        <f ca="1">IFERROR(__xludf.DUMMYFUNCTION("""COMPUTED_VALUE"""),0.48)</f>
        <v>0.48</v>
      </c>
      <c r="C1148" s="2">
        <f ca="1">IFERROR(__xludf.DUMMYFUNCTION("""COMPUTED_VALUE"""),0.48)</f>
        <v>0.48</v>
      </c>
      <c r="D1148" s="2">
        <f ca="1">IFERROR(__xludf.DUMMYFUNCTION("""COMPUTED_VALUE"""),0.48)</f>
        <v>0.48</v>
      </c>
      <c r="E1148" s="2">
        <f ca="1">IFERROR(__xludf.DUMMYFUNCTION("""COMPUTED_VALUE"""),0)</f>
        <v>0</v>
      </c>
    </row>
    <row r="1149" spans="1:5" ht="12.75">
      <c r="A1149" s="2" t="str">
        <f ca="1">IFERROR(__xludf.DUMMYFUNCTION("""COMPUTED_VALUE"""),"XKTSLX0616C0")</f>
        <v>XKTSLX0616C0</v>
      </c>
      <c r="B1149" s="2">
        <f ca="1">IFERROR(__xludf.DUMMYFUNCTION("""COMPUTED_VALUE"""),0.56)</f>
        <v>0.56000000000000005</v>
      </c>
      <c r="C1149" s="2">
        <f ca="1">IFERROR(__xludf.DUMMYFUNCTION("""COMPUTED_VALUE"""),0.56)</f>
        <v>0.56000000000000005</v>
      </c>
      <c r="D1149" s="2">
        <f ca="1">IFERROR(__xludf.DUMMYFUNCTION("""COMPUTED_VALUE"""),0.56)</f>
        <v>0.56000000000000005</v>
      </c>
      <c r="E1149" s="2">
        <f ca="1">IFERROR(__xludf.DUMMYFUNCTION("""COMPUTED_VALUE"""),0)</f>
        <v>0</v>
      </c>
    </row>
    <row r="1150" spans="1:5" ht="12.75">
      <c r="A1150" s="2" t="str">
        <f ca="1">IFERROR(__xludf.DUMMYFUNCTION("""COMPUTED_VALUE"""),"XKTSLX1016C0")</f>
        <v>XKTSLX1016C0</v>
      </c>
      <c r="B1150" s="2">
        <f ca="1">IFERROR(__xludf.DUMMYFUNCTION("""COMPUTED_VALUE"""),7.87)</f>
        <v>7.87</v>
      </c>
      <c r="C1150" s="2">
        <f ca="1">IFERROR(__xludf.DUMMYFUNCTION("""COMPUTED_VALUE"""),12.21)</f>
        <v>12.21</v>
      </c>
      <c r="D1150" s="2">
        <f ca="1">IFERROR(__xludf.DUMMYFUNCTION("""COMPUTED_VALUE"""),12.21)</f>
        <v>12.21</v>
      </c>
      <c r="E1150" s="2">
        <f ca="1">IFERROR(__xludf.DUMMYFUNCTION("""COMPUTED_VALUE"""),0)</f>
        <v>0</v>
      </c>
    </row>
    <row r="1151" spans="1:5" ht="12.75">
      <c r="A1151" s="2" t="str">
        <f ca="1">IFERROR(__xludf.DUMMYFUNCTION("""COMPUTED_VALUE"""),"XTA1312208")</f>
        <v>XTA1312208</v>
      </c>
      <c r="B1151" s="2">
        <f ca="1">IFERROR(__xludf.DUMMYFUNCTION("""COMPUTED_VALUE"""),1)</f>
        <v>1</v>
      </c>
      <c r="C1151" s="2">
        <f ca="1">IFERROR(__xludf.DUMMYFUNCTION("""COMPUTED_VALUE"""),1)</f>
        <v>1</v>
      </c>
      <c r="D1151" s="2">
        <f ca="1">IFERROR(__xludf.DUMMYFUNCTION("""COMPUTED_VALUE"""),1)</f>
        <v>1</v>
      </c>
      <c r="E1151" s="2">
        <f ca="1">IFERROR(__xludf.DUMMYFUNCTION("""COMPUTED_VALUE"""),0)</f>
        <v>0</v>
      </c>
    </row>
    <row r="1152" spans="1:5" ht="12.75">
      <c r="A1152" s="2" t="str">
        <f ca="1">IFERROR(__xludf.DUMMYFUNCTION("""COMPUTED_VALUE"""),"XTA251202C0BD")</f>
        <v>XTA251202C0BD</v>
      </c>
      <c r="B1152" s="2">
        <f ca="1">IFERROR(__xludf.DUMMYFUNCTION("""COMPUTED_VALUE"""),158)</f>
        <v>158</v>
      </c>
      <c r="C1152" s="2">
        <f ca="1">IFERROR(__xludf.DUMMYFUNCTION("""COMPUTED_VALUE"""),158)</f>
        <v>158</v>
      </c>
      <c r="D1152" s="2">
        <f ca="1">IFERROR(__xludf.DUMMYFUNCTION("""COMPUTED_VALUE"""),158)</f>
        <v>158</v>
      </c>
      <c r="E1152" s="2">
        <f ca="1">IFERROR(__xludf.DUMMYFUNCTION("""COMPUTED_VALUE"""),0)</f>
        <v>0</v>
      </c>
    </row>
    <row r="1153" spans="1:5" ht="12.75">
      <c r="A1153" s="2" t="str">
        <f ca="1">IFERROR(__xludf.DUMMYFUNCTION("""COMPUTED_VALUE"""),"XTA2512204BD")</f>
        <v>XTA2512204BD</v>
      </c>
      <c r="B1153" s="2">
        <f ca="1">IFERROR(__xludf.DUMMYFUNCTION("""COMPUTED_VALUE"""),1)</f>
        <v>1</v>
      </c>
      <c r="C1153" s="2">
        <f ca="1">IFERROR(__xludf.DUMMYFUNCTION("""COMPUTED_VALUE"""),1)</f>
        <v>1</v>
      </c>
      <c r="D1153" s="2">
        <f ca="1">IFERROR(__xludf.DUMMYFUNCTION("""COMPUTED_VALUE"""),1)</f>
        <v>1</v>
      </c>
      <c r="E1153" s="2">
        <f ca="1">IFERROR(__xludf.DUMMYFUNCTION("""COMPUTED_VALUE"""),0)</f>
        <v>0</v>
      </c>
    </row>
    <row r="1154" spans="1:5" ht="12.75">
      <c r="A1154" s="2" t="str">
        <f ca="1">IFERROR(__xludf.DUMMYFUNCTION("""COMPUTED_VALUE"""),"XTA3212203D")</f>
        <v>XTA3212203D</v>
      </c>
      <c r="B1154" s="2">
        <f ca="1">IFERROR(__xludf.DUMMYFUNCTION("""COMPUTED_VALUE"""),287)</f>
        <v>287</v>
      </c>
      <c r="C1154" s="2">
        <f ca="1">IFERROR(__xludf.DUMMYFUNCTION("""COMPUTED_VALUE"""),287)</f>
        <v>287</v>
      </c>
      <c r="D1154" s="2">
        <f ca="1">IFERROR(__xludf.DUMMYFUNCTION("""COMPUTED_VALUE"""),287)</f>
        <v>287</v>
      </c>
      <c r="E1154" s="2">
        <f ca="1">IFERROR(__xludf.DUMMYFUNCTION("""COMPUTED_VALUE"""),0)</f>
        <v>0</v>
      </c>
    </row>
    <row r="1155" spans="1:5" ht="12.75">
      <c r="A1155" s="2" t="str">
        <f ca="1">IFERROR(__xludf.DUMMYFUNCTION("""COMPUTED_VALUE"""),"XTAE191207C0")</f>
        <v>XTAE191207C0</v>
      </c>
      <c r="B1155" s="2">
        <f ca="1">IFERROR(__xludf.DUMMYFUNCTION("""COMPUTED_VALUE"""),7)</f>
        <v>7</v>
      </c>
      <c r="C1155" s="2">
        <f ca="1">IFERROR(__xludf.DUMMYFUNCTION("""COMPUTED_VALUE"""),7)</f>
        <v>7</v>
      </c>
      <c r="D1155" s="2">
        <f ca="1">IFERROR(__xludf.DUMMYFUNCTION("""COMPUTED_VALUE"""),7)</f>
        <v>7</v>
      </c>
      <c r="E1155" s="2">
        <f ca="1">IFERROR(__xludf.DUMMYFUNCTION("""COMPUTED_VALUE"""),0)</f>
        <v>0</v>
      </c>
    </row>
    <row r="1156" spans="1:5" ht="12.75">
      <c r="A1156" s="2" t="str">
        <f ca="1">IFERROR(__xludf.DUMMYFUNCTION("""COMPUTED_VALUE"""),"XTAE191207C0D")</f>
        <v>XTAE191207C0D</v>
      </c>
      <c r="B1156" s="2">
        <f ca="1">IFERROR(__xludf.DUMMYFUNCTION("""COMPUTED_VALUE"""),20)</f>
        <v>20</v>
      </c>
      <c r="C1156" s="2">
        <f ca="1">IFERROR(__xludf.DUMMYFUNCTION("""COMPUTED_VALUE"""),20)</f>
        <v>20</v>
      </c>
      <c r="D1156" s="2">
        <f ca="1">IFERROR(__xludf.DUMMYFUNCTION("""COMPUTED_VALUE"""),20)</f>
        <v>20</v>
      </c>
      <c r="E1156" s="2">
        <f ca="1">IFERROR(__xludf.DUMMYFUNCTION("""COMPUTED_VALUE"""),0)</f>
        <v>0</v>
      </c>
    </row>
    <row r="1157" spans="1:5" ht="12.75">
      <c r="A1157" s="2" t="str">
        <f ca="1">IFERROR(__xludf.DUMMYFUNCTION("""COMPUTED_VALUE"""),"XTAE251205BD")</f>
        <v>XTAE251205BD</v>
      </c>
      <c r="B1157" s="2">
        <f ca="1">IFERROR(__xludf.DUMMYFUNCTION("""COMPUTED_VALUE"""),184)</f>
        <v>184</v>
      </c>
      <c r="C1157" s="2">
        <f ca="1">IFERROR(__xludf.DUMMYFUNCTION("""COMPUTED_VALUE"""),184)</f>
        <v>184</v>
      </c>
      <c r="D1157" s="2">
        <f ca="1">IFERROR(__xludf.DUMMYFUNCTION("""COMPUTED_VALUE"""),184)</f>
        <v>184</v>
      </c>
      <c r="E1157" s="2">
        <f ca="1">IFERROR(__xludf.DUMMYFUNCTION("""COMPUTED_VALUE"""),0)</f>
        <v>0</v>
      </c>
    </row>
    <row r="1158" spans="1:5" ht="12.75">
      <c r="A1158" s="2" t="str">
        <f ca="1">IFERROR(__xludf.DUMMYFUNCTION("""COMPUTED_VALUE"""),"XTAE251205C0D")</f>
        <v>XTAE251205C0D</v>
      </c>
      <c r="B1158" s="2">
        <f ca="1">IFERROR(__xludf.DUMMYFUNCTION("""COMPUTED_VALUE"""),70)</f>
        <v>70</v>
      </c>
      <c r="C1158" s="2">
        <f ca="1">IFERROR(__xludf.DUMMYFUNCTION("""COMPUTED_VALUE"""),70)</f>
        <v>70</v>
      </c>
      <c r="D1158" s="2">
        <f ca="1">IFERROR(__xludf.DUMMYFUNCTION("""COMPUTED_VALUE"""),70)</f>
        <v>70</v>
      </c>
      <c r="E1158" s="2">
        <f ca="1">IFERROR(__xludf.DUMMYFUNCTION("""COMPUTED_VALUE"""),0)</f>
        <v>0</v>
      </c>
    </row>
    <row r="1159" spans="1:5" ht="12.75">
      <c r="A1159" s="2" t="str">
        <f ca="1">IFERROR(__xludf.DUMMYFUNCTION("""COMPUTED_VALUE"""),"XTAEACDI091215")</f>
        <v>XTAEACDI091215</v>
      </c>
      <c r="B1159" s="2">
        <f ca="1">IFERROR(__xludf.DUMMYFUNCTION("""COMPUTED_VALUE"""),40)</f>
        <v>40</v>
      </c>
      <c r="C1159" s="2">
        <f ca="1">IFERROR(__xludf.DUMMYFUNCTION("""COMPUTED_VALUE"""),40)</f>
        <v>40</v>
      </c>
      <c r="D1159" s="2">
        <f ca="1">IFERROR(__xludf.DUMMYFUNCTION("""COMPUTED_VALUE"""),40)</f>
        <v>40</v>
      </c>
      <c r="E1159" s="2">
        <f ca="1">IFERROR(__xludf.DUMMYFUNCTION("""COMPUTED_VALUE"""),0)</f>
        <v>0</v>
      </c>
    </row>
    <row r="1160" spans="1:5" ht="12.75">
      <c r="A1160" s="2" t="str">
        <f ca="1">IFERROR(__xludf.DUMMYFUNCTION("""COMPUTED_VALUE"""),"XTAEACDI131211D")</f>
        <v>XTAEACDI131211D</v>
      </c>
      <c r="B1160" s="2">
        <f ca="1">IFERROR(__xludf.DUMMYFUNCTION("""COMPUTED_VALUE"""),19)</f>
        <v>19</v>
      </c>
      <c r="C1160" s="2">
        <f ca="1">IFERROR(__xludf.DUMMYFUNCTION("""COMPUTED_VALUE"""),19)</f>
        <v>19</v>
      </c>
      <c r="D1160" s="2">
        <f ca="1">IFERROR(__xludf.DUMMYFUNCTION("""COMPUTED_VALUE"""),19)</f>
        <v>19</v>
      </c>
      <c r="E1160" s="2">
        <f ca="1">IFERROR(__xludf.DUMMYFUNCTION("""COMPUTED_VALUE"""),0)</f>
        <v>0</v>
      </c>
    </row>
    <row r="1161" spans="1:5" ht="12.75">
      <c r="A1161" s="2" t="str">
        <f ca="1">IFERROR(__xludf.DUMMYFUNCTION("""COMPUTED_VALUE"""),"XTAEACDI161210")</f>
        <v>XTAEACDI161210</v>
      </c>
      <c r="B1161" s="2">
        <f ca="1">IFERROR(__xludf.DUMMYFUNCTION("""COMPUTED_VALUE"""),1)</f>
        <v>1</v>
      </c>
      <c r="C1161" s="2">
        <f ca="1">IFERROR(__xludf.DUMMYFUNCTION("""COMPUTED_VALUE"""),1)</f>
        <v>1</v>
      </c>
      <c r="D1161" s="2">
        <f ca="1">IFERROR(__xludf.DUMMYFUNCTION("""COMPUTED_VALUE"""),1)</f>
        <v>1</v>
      </c>
      <c r="E1161" s="2">
        <f ca="1">IFERROR(__xludf.DUMMYFUNCTION("""COMPUTED_VALUE"""),0)</f>
        <v>0</v>
      </c>
    </row>
    <row r="1162" spans="1:5" ht="12.75">
      <c r="A1162" s="2" t="str">
        <f ca="1">IFERROR(__xludf.DUMMYFUNCTION("""COMPUTED_VALUE"""),"XTAEACDI251205")</f>
        <v>XTAEACDI251205</v>
      </c>
      <c r="B1162" s="2">
        <f ca="1">IFERROR(__xludf.DUMMYFUNCTION("""COMPUTED_VALUE"""),1)</f>
        <v>1</v>
      </c>
      <c r="C1162" s="2">
        <f ca="1">IFERROR(__xludf.DUMMYFUNCTION("""COMPUTED_VALUE"""),1)</f>
        <v>1</v>
      </c>
      <c r="D1162" s="2">
        <f ca="1">IFERROR(__xludf.DUMMYFUNCTION("""COMPUTED_VALUE"""),1)</f>
        <v>1</v>
      </c>
      <c r="E1162" s="2">
        <f ca="1">IFERROR(__xludf.DUMMYFUNCTION("""COMPUTED_VALUE"""),0)</f>
        <v>0</v>
      </c>
    </row>
    <row r="1163" spans="1:5" ht="12.75">
      <c r="A1163" s="2" t="str">
        <f ca="1">IFERROR(__xludf.DUMMYFUNCTION("""COMPUTED_VALUE"""),"XTAF2512204")</f>
        <v>XTAF2512204</v>
      </c>
      <c r="B1163" s="2">
        <f ca="1">IFERROR(__xludf.DUMMYFUNCTION("""COMPUTED_VALUE"""),1)</f>
        <v>1</v>
      </c>
      <c r="C1163" s="2">
        <f ca="1">IFERROR(__xludf.DUMMYFUNCTION("""COMPUTED_VALUE"""),1)</f>
        <v>1</v>
      </c>
      <c r="D1163" s="2">
        <f ca="1">IFERROR(__xludf.DUMMYFUNCTION("""COMPUTED_VALUE"""),1)</f>
        <v>1</v>
      </c>
      <c r="E1163" s="2">
        <f ca="1">IFERROR(__xludf.DUMMYFUNCTION("""COMPUTED_VALUE"""),0)</f>
        <v>0</v>
      </c>
    </row>
    <row r="1164" spans="1:5" ht="12.75">
      <c r="A1164" s="2" t="str">
        <f ca="1">IFERROR(__xludf.DUMMYFUNCTION("""COMPUTED_VALUE"""),"XTS0612224D")</f>
        <v>XTS0612224D</v>
      </c>
      <c r="B1164" s="2">
        <f ca="1">IFERROR(__xludf.DUMMYFUNCTION("""COMPUTED_VALUE"""),1)</f>
        <v>1</v>
      </c>
      <c r="C1164" s="2">
        <f ca="1">IFERROR(__xludf.DUMMYFUNCTION("""COMPUTED_VALUE"""),1)</f>
        <v>1</v>
      </c>
      <c r="D1164" s="2">
        <f ca="1">IFERROR(__xludf.DUMMYFUNCTION("""COMPUTED_VALUE"""),1)</f>
        <v>1</v>
      </c>
      <c r="E1164" s="2">
        <f ca="1">IFERROR(__xludf.DUMMYFUNCTION("""COMPUTED_VALUE"""),0)</f>
        <v>0</v>
      </c>
    </row>
    <row r="1165" spans="1:5" ht="12.75">
      <c r="A1165" s="2" t="str">
        <f ca="1">IFERROR(__xludf.DUMMYFUNCTION("""COMPUTED_VALUE"""),"XTS0614020D")</f>
        <v>XTS0614020D</v>
      </c>
      <c r="B1165" s="2">
        <f ca="1">IFERROR(__xludf.DUMMYFUNCTION("""COMPUTED_VALUE"""),25)</f>
        <v>25</v>
      </c>
      <c r="C1165" s="2">
        <f ca="1">IFERROR(__xludf.DUMMYFUNCTION("""COMPUTED_VALUE"""),25)</f>
        <v>25</v>
      </c>
      <c r="D1165" s="2">
        <f ca="1">IFERROR(__xludf.DUMMYFUNCTION("""COMPUTED_VALUE"""),25)</f>
        <v>25</v>
      </c>
      <c r="E1165" s="2">
        <f ca="1">IFERROR(__xludf.DUMMYFUNCTION("""COMPUTED_VALUE"""),0)</f>
        <v>0</v>
      </c>
    </row>
    <row r="1166" spans="1:5" ht="12.75">
      <c r="A1166" s="2" t="str">
        <f ca="1">IFERROR(__xludf.DUMMYFUNCTION("""COMPUTED_VALUE"""),"XTS13020914D")</f>
        <v>XTS13020914D</v>
      </c>
      <c r="B1166" s="2">
        <f ca="1">IFERROR(__xludf.DUMMYFUNCTION("""COMPUTED_VALUE"""),1)</f>
        <v>1</v>
      </c>
      <c r="C1166" s="2">
        <f ca="1">IFERROR(__xludf.DUMMYFUNCTION("""COMPUTED_VALUE"""),1)</f>
        <v>1</v>
      </c>
      <c r="D1166" s="2">
        <f ca="1">IFERROR(__xludf.DUMMYFUNCTION("""COMPUTED_VALUE"""),1)</f>
        <v>1</v>
      </c>
      <c r="E1166" s="2">
        <f ca="1">IFERROR(__xludf.DUMMYFUNCTION("""COMPUTED_VALUE"""),0)</f>
        <v>0</v>
      </c>
    </row>
    <row r="1167" spans="1:5" ht="12.75">
      <c r="A1167" s="2" t="str">
        <f ca="1">IFERROR(__xludf.DUMMYFUNCTION("""COMPUTED_VALUE"""),"XTS1612214BD")</f>
        <v>XTS1612214BD</v>
      </c>
      <c r="B1167" s="2">
        <f ca="1">IFERROR(__xludf.DUMMYFUNCTION("""COMPUTED_VALUE"""),1)</f>
        <v>1</v>
      </c>
      <c r="C1167" s="2">
        <f ca="1">IFERROR(__xludf.DUMMYFUNCTION("""COMPUTED_VALUE"""),1)</f>
        <v>1</v>
      </c>
      <c r="D1167" s="2">
        <f ca="1">IFERROR(__xludf.DUMMYFUNCTION("""COMPUTED_VALUE"""),1)</f>
        <v>1</v>
      </c>
      <c r="E1167" s="2">
        <f ca="1">IFERROR(__xludf.DUMMYFUNCTION("""COMPUTED_VALUE"""),0)</f>
        <v>0</v>
      </c>
    </row>
    <row r="1168" spans="1:5" ht="12.75">
      <c r="A1168" s="2" t="str">
        <f ca="1">IFERROR(__xludf.DUMMYFUNCTION("""COMPUTED_VALUE"""),"XTS2512208D")</f>
        <v>XTS2512208D</v>
      </c>
      <c r="B1168" s="2">
        <f ca="1">IFERROR(__xludf.DUMMYFUNCTION("""COMPUTED_VALUE"""),69)</f>
        <v>69</v>
      </c>
      <c r="C1168" s="2">
        <f ca="1">IFERROR(__xludf.DUMMYFUNCTION("""COMPUTED_VALUE"""),85)</f>
        <v>85</v>
      </c>
      <c r="D1168" s="2">
        <f ca="1">IFERROR(__xludf.DUMMYFUNCTION("""COMPUTED_VALUE"""),69)</f>
        <v>69</v>
      </c>
      <c r="E1168" s="2">
        <f ca="1">IFERROR(__xludf.DUMMYFUNCTION("""COMPUTED_VALUE"""),16)</f>
        <v>16</v>
      </c>
    </row>
    <row r="1169" spans="1:5" ht="12.75">
      <c r="A1169" s="2" t="str">
        <f ca="1">IFERROR(__xludf.DUMMYFUNCTION("""COMPUTED_VALUE"""),"XTS2514010BD")</f>
        <v>XTS2514010BD</v>
      </c>
      <c r="B1169" s="2">
        <f ca="1">IFERROR(__xludf.DUMMYFUNCTION("""COMPUTED_VALUE"""),3)</f>
        <v>3</v>
      </c>
      <c r="C1169" s="2">
        <f ca="1">IFERROR(__xludf.DUMMYFUNCTION("""COMPUTED_VALUE"""),3)</f>
        <v>3</v>
      </c>
      <c r="D1169" s="2">
        <f ca="1">IFERROR(__xludf.DUMMYFUNCTION("""COMPUTED_VALUE"""),3)</f>
        <v>3</v>
      </c>
      <c r="E1169" s="2">
        <f ca="1">IFERROR(__xludf.DUMMYFUNCTION("""COMPUTED_VALUE"""),0)</f>
        <v>0</v>
      </c>
    </row>
    <row r="1170" spans="1:5" ht="12.75">
      <c r="A1170" s="2" t="str">
        <f ca="1">IFERROR(__xludf.DUMMYFUNCTION("""COMPUTED_VALUE"""),"XTSVN1314015D")</f>
        <v>XTSVN1314015D</v>
      </c>
      <c r="B1170" s="2">
        <f ca="1">IFERROR(__xludf.DUMMYFUNCTION("""COMPUTED_VALUE"""),5)</f>
        <v>5</v>
      </c>
      <c r="C1170" s="2">
        <f ca="1">IFERROR(__xludf.DUMMYFUNCTION("""COMPUTED_VALUE"""),5)</f>
        <v>5</v>
      </c>
      <c r="D1170" s="2">
        <f ca="1">IFERROR(__xludf.DUMMYFUNCTION("""COMPUTED_VALUE"""),5)</f>
        <v>5</v>
      </c>
      <c r="E1170" s="2">
        <f ca="1">IFERROR(__xludf.DUMMYFUNCTION("""COMPUTED_VALUE"""),0)</f>
        <v>0</v>
      </c>
    </row>
    <row r="1171" spans="1:5" ht="12.75">
      <c r="A1171" s="2" t="str">
        <f ca="1">IFERROR(__xludf.DUMMYFUNCTION("""COMPUTED_VALUE"""),"XTSVN1912209D")</f>
        <v>XTSVN1912209D</v>
      </c>
      <c r="B1171" s="2">
        <f ca="1">IFERROR(__xludf.DUMMYFUNCTION("""COMPUTED_VALUE"""),18)</f>
        <v>18</v>
      </c>
      <c r="C1171" s="2">
        <f ca="1">IFERROR(__xludf.DUMMYFUNCTION("""COMPUTED_VALUE"""),18)</f>
        <v>18</v>
      </c>
      <c r="D1171" s="2">
        <f ca="1">IFERROR(__xludf.DUMMYFUNCTION("""COMPUTED_VALUE"""),18)</f>
        <v>18</v>
      </c>
      <c r="E1171" s="2">
        <f ca="1">IFERROR(__xludf.DUMMYFUNCTION("""COMPUTED_VALUE"""),0)</f>
        <v>0</v>
      </c>
    </row>
    <row r="1172" spans="1:5" ht="12.75">
      <c r="A1172" s="2" t="str">
        <f ca="1">IFERROR(__xludf.DUMMYFUNCTION("""COMPUTED_VALUE"""),"XTSVN2512208D")</f>
        <v>XTSVN2512208D</v>
      </c>
      <c r="B1172" s="2">
        <f ca="1">IFERROR(__xludf.DUMMYFUNCTION("""COMPUTED_VALUE"""),1)</f>
        <v>1</v>
      </c>
      <c r="C1172" s="2">
        <f ca="1">IFERROR(__xludf.DUMMYFUNCTION("""COMPUTED_VALUE"""),1)</f>
        <v>1</v>
      </c>
      <c r="D1172" s="2">
        <f ca="1">IFERROR(__xludf.DUMMYFUNCTION("""COMPUTED_VALUE"""),1)</f>
        <v>1</v>
      </c>
      <c r="E1172" s="2">
        <f ca="1">IFERROR(__xludf.DUMMYFUNCTION("""COMPUTED_VALUE"""),0)</f>
        <v>0</v>
      </c>
    </row>
    <row r="1173" spans="1:5" ht="12.75">
      <c r="A1173" s="2" t="str">
        <f ca="1">IFERROR(__xludf.DUMMYFUNCTION("""COMPUTED_VALUE"""),"XTSVN3812205D")</f>
        <v>XTSVN3812205D</v>
      </c>
      <c r="B1173" s="2">
        <f ca="1">IFERROR(__xludf.DUMMYFUNCTION("""COMPUTED_VALUE"""),13)</f>
        <v>13</v>
      </c>
      <c r="C1173" s="2">
        <f ca="1">IFERROR(__xludf.DUMMYFUNCTION("""COMPUTED_VALUE"""),13)</f>
        <v>13</v>
      </c>
      <c r="D1173" s="2">
        <f ca="1">IFERROR(__xludf.DUMMYFUNCTION("""COMPUTED_VALUE"""),13)</f>
        <v>13</v>
      </c>
      <c r="E1173" s="2">
        <f ca="1">IFERROR(__xludf.DUMMYFUNCTION("""COMPUTED_VALUE"""),0)</f>
        <v>0</v>
      </c>
    </row>
    <row r="1174" spans="1:5" ht="12.75">
      <c r="A1174" s="2" t="str">
        <f ca="1">IFERROR(__xludf.DUMMYFUNCTION("""COMPUTED_VALUE"""),"XULYAMKHO")</f>
        <v>XULYAMKHO</v>
      </c>
      <c r="B1174" s="2">
        <f ca="1">IFERROR(__xludf.DUMMYFUNCTION("""COMPUTED_VALUE"""),10000)</f>
        <v>10000</v>
      </c>
      <c r="C1174" s="2">
        <f ca="1">IFERROR(__xludf.DUMMYFUNCTION("""COMPUTED_VALUE"""),12000)</f>
        <v>12000</v>
      </c>
      <c r="D1174" s="2">
        <f ca="1">IFERROR(__xludf.DUMMYFUNCTION("""COMPUTED_VALUE"""),11000)</f>
        <v>11000</v>
      </c>
      <c r="E1174" s="2">
        <f ca="1">IFERROR(__xludf.DUMMYFUNCTION("""COMPUTED_VALUE"""),1000)</f>
        <v>1000</v>
      </c>
    </row>
    <row r="1175" spans="1:5" ht="12.75">
      <c r="A1175" s="2" t="str">
        <f ca="1">IFERROR(__xludf.DUMMYFUNCTION("""COMPUTED_VALUE"""),"YJ-125")</f>
        <v>YJ-125</v>
      </c>
      <c r="B1175" s="2">
        <f ca="1">IFERROR(__xludf.DUMMYFUNCTION("""COMPUTED_VALUE"""),1)</f>
        <v>1</v>
      </c>
      <c r="C1175" s="2">
        <f ca="1">IFERROR(__xludf.DUMMYFUNCTION("""COMPUTED_VALUE"""),1)</f>
        <v>1</v>
      </c>
      <c r="D1175" s="2">
        <f ca="1">IFERROR(__xludf.DUMMYFUNCTION("""COMPUTED_VALUE"""),1)</f>
        <v>1</v>
      </c>
      <c r="E1175" s="2">
        <f ca="1">IFERROR(__xludf.DUMMYFUNCTION("""COMPUTED_VALUE"""),0)</f>
        <v>0</v>
      </c>
    </row>
    <row r="1176" spans="1:5" ht="12.75">
      <c r="A1176" s="2" t="str">
        <f ca="1">IFERROR(__xludf.DUMMYFUNCTION("""COMPUTED_VALUE"""),"ZBOA035091")</f>
        <v>ZBOA035091</v>
      </c>
      <c r="B1176" s="2">
        <f ca="1">IFERROR(__xludf.DUMMYFUNCTION("""COMPUTED_VALUE"""),5)</f>
        <v>5</v>
      </c>
      <c r="C1176" s="2">
        <f ca="1">IFERROR(__xludf.DUMMYFUNCTION("""COMPUTED_VALUE"""),5)</f>
        <v>5</v>
      </c>
      <c r="D1176" s="2">
        <f ca="1">IFERROR(__xludf.DUMMYFUNCTION("""COMPUTED_VALUE"""),5)</f>
        <v>5</v>
      </c>
      <c r="E1176" s="2">
        <f ca="1">IFERROR(__xludf.DUMMYFUNCTION("""COMPUTED_VALUE"""),0)</f>
        <v>0</v>
      </c>
    </row>
    <row r="1177" spans="1:5" ht="12.75">
      <c r="A1177" s="2" t="str">
        <f ca="1">IFERROR(__xludf.DUMMYFUNCTION("""COMPUTED_VALUE"""),"ZBOSDT0548914")</f>
        <v>ZBOSDT0548914</v>
      </c>
      <c r="B1177" s="2">
        <f ca="1">IFERROR(__xludf.DUMMYFUNCTION("""COMPUTED_VALUE"""),3)</f>
        <v>3</v>
      </c>
      <c r="C1177" s="2">
        <f ca="1">IFERROR(__xludf.DUMMYFUNCTION("""COMPUTED_VALUE"""),3)</f>
        <v>3</v>
      </c>
      <c r="D1177" s="2">
        <f ca="1">IFERROR(__xludf.DUMMYFUNCTION("""COMPUTED_VALUE"""),3)</f>
        <v>3</v>
      </c>
      <c r="E1177" s="2">
        <f ca="1">IFERROR(__xludf.DUMMYFUNCTION("""COMPUTED_VALUE"""),0)</f>
        <v>0</v>
      </c>
    </row>
    <row r="1178" spans="1:5" ht="12.75">
      <c r="A1178" s="2"/>
      <c r="B1178" s="2" t="str">
        <f ca="1">IFERROR(__xludf.DUMMYFUNCTION("""COMPUTED_VALUE"""),"")</f>
        <v/>
      </c>
      <c r="C1178" s="2" t="str">
        <f ca="1">IFERROR(__xludf.DUMMYFUNCTION("""COMPUTED_VALUE"""),"")</f>
        <v/>
      </c>
      <c r="D1178" s="2" t="str">
        <f ca="1">IFERROR(__xludf.DUMMYFUNCTION("""COMPUTED_VALUE"""),"")</f>
        <v/>
      </c>
      <c r="E1178" s="2" t="str">
        <f ca="1">IFERROR(__xludf.DUMMYFUNCTION("""COMPUTED_VALUE"""),"")</f>
        <v/>
      </c>
    </row>
    <row r="1179" spans="1:5" ht="12.75">
      <c r="A1179" s="2" t="str">
        <f ca="1">IFERROR(__xludf.DUMMYFUNCTION("""COMPUTED_VALUE"""),"DOCHLTS0635061")</f>
        <v>DOCHLTS0635061</v>
      </c>
      <c r="B1179" s="2">
        <f ca="1">IFERROR(__xludf.DUMMYFUNCTION("""COMPUTED_VALUE"""),0)</f>
        <v>0</v>
      </c>
      <c r="C1179" s="2">
        <f ca="1">IFERROR(__xludf.DUMMYFUNCTION("""COMPUTED_VALUE"""),1)</f>
        <v>1</v>
      </c>
      <c r="D1179" s="2">
        <f ca="1">IFERROR(__xludf.DUMMYFUNCTION("""COMPUTED_VALUE"""),1)</f>
        <v>1</v>
      </c>
      <c r="E1179" s="2">
        <f ca="1">IFERROR(__xludf.DUMMYFUNCTION("""COMPUTED_VALUE"""),0)</f>
        <v>0</v>
      </c>
    </row>
    <row r="1180" spans="1:5" ht="12.75">
      <c r="A1180" s="2" t="str">
        <f ca="1">IFERROR(__xludf.DUMMYFUNCTION("""COMPUTED_VALUE"""),"DOCHLTS1588071")</f>
        <v>DOCHLTS1588071</v>
      </c>
      <c r="B1180" s="2">
        <f ca="1">IFERROR(__xludf.DUMMYFUNCTION("""COMPUTED_VALUE"""),0)</f>
        <v>0</v>
      </c>
      <c r="C1180" s="2">
        <f ca="1">IFERROR(__xludf.DUMMYFUNCTION("""COMPUTED_VALUE"""),99)</f>
        <v>99</v>
      </c>
      <c r="D1180" s="2">
        <f ca="1">IFERROR(__xludf.DUMMYFUNCTION("""COMPUTED_VALUE"""),4)</f>
        <v>4</v>
      </c>
      <c r="E1180" s="2">
        <f ca="1">IFERROR(__xludf.DUMMYFUNCTION("""COMPUTED_VALUE"""),95)</f>
        <v>95</v>
      </c>
    </row>
    <row r="1181" spans="1:5" ht="12.75">
      <c r="A1181" s="2" t="str">
        <f ca="1">IFERROR(__xludf.DUMMYFUNCTION("""COMPUTED_VALUE"""),"DOCTAISEI0952061")</f>
        <v>DOCTAISEI0952061</v>
      </c>
      <c r="B1181" s="2">
        <f ca="1">IFERROR(__xludf.DUMMYFUNCTION("""COMPUTED_VALUE"""),0)</f>
        <v>0</v>
      </c>
      <c r="C1181" s="2">
        <f ca="1">IFERROR(__xludf.DUMMYFUNCTION("""COMPUTED_VALUE"""),74)</f>
        <v>74</v>
      </c>
      <c r="D1181" s="2">
        <f ca="1">IFERROR(__xludf.DUMMYFUNCTION("""COMPUTED_VALUE"""),10)</f>
        <v>10</v>
      </c>
      <c r="E1181" s="2">
        <f ca="1">IFERROR(__xludf.DUMMYFUNCTION("""COMPUTED_VALUE"""),64)</f>
        <v>64</v>
      </c>
    </row>
    <row r="1182" spans="1:5" ht="12.75">
      <c r="A1182" s="2" t="str">
        <f ca="1">IFERROR(__xludf.DUMMYFUNCTION("""COMPUTED_VALUE"""),"DOT3493127")</f>
        <v>DOT3493127</v>
      </c>
      <c r="B1182" s="2">
        <f ca="1">IFERROR(__xludf.DUMMYFUNCTION("""COMPUTED_VALUE"""),0)</f>
        <v>0</v>
      </c>
      <c r="C1182" s="2">
        <f ca="1">IFERROR(__xludf.DUMMYFUNCTION("""COMPUTED_VALUE"""),3)</f>
        <v>3</v>
      </c>
      <c r="D1182" s="2">
        <f ca="1">IFERROR(__xludf.DUMMYFUNCTION("""COMPUTED_VALUE"""),3)</f>
        <v>3</v>
      </c>
      <c r="E1182" s="2">
        <f ca="1">IFERROR(__xludf.DUMMYFUNCTION("""COMPUTED_VALUE"""),0)</f>
        <v>0</v>
      </c>
    </row>
    <row r="1183" spans="1:5" ht="12.75">
      <c r="A1183" s="2" t="str">
        <f ca="1">IFERROR(__xludf.DUMMYFUNCTION("""COMPUTED_VALUE"""),"DOT4128143")</f>
        <v>DOT4128143</v>
      </c>
      <c r="B1183" s="2">
        <f ca="1">IFERROR(__xludf.DUMMYFUNCTION("""COMPUTED_VALUE"""),0)</f>
        <v>0</v>
      </c>
      <c r="C1183" s="2">
        <f ca="1">IFERROR(__xludf.DUMMYFUNCTION("""COMPUTED_VALUE"""),25)</f>
        <v>25</v>
      </c>
      <c r="D1183" s="2">
        <f ca="1">IFERROR(__xludf.DUMMYFUNCTION("""COMPUTED_VALUE"""),1)</f>
        <v>1</v>
      </c>
      <c r="E1183" s="2">
        <f ca="1">IFERROR(__xludf.DUMMYFUNCTION("""COMPUTED_VALUE"""),24)</f>
        <v>24</v>
      </c>
    </row>
    <row r="1184" spans="1:5" ht="12.75">
      <c r="A1184" s="2" t="str">
        <f ca="1">IFERROR(__xludf.DUMMYFUNCTION("""COMPUTED_VALUE"""),"GA32TQ10")</f>
        <v>GA32TQ10</v>
      </c>
      <c r="B1184" s="2">
        <f ca="1">IFERROR(__xludf.DUMMYFUNCTION("""COMPUTED_VALUE"""),0)</f>
        <v>0</v>
      </c>
      <c r="C1184" s="2">
        <f ca="1">IFERROR(__xludf.DUMMYFUNCTION("""COMPUTED_VALUE"""),2)</f>
        <v>2</v>
      </c>
      <c r="D1184" s="2">
        <f ca="1">IFERROR(__xludf.DUMMYFUNCTION("""COMPUTED_VALUE"""),1)</f>
        <v>1</v>
      </c>
      <c r="E1184" s="2">
        <f ca="1">IFERROR(__xludf.DUMMYFUNCTION("""COMPUTED_VALUE"""),1)</f>
        <v>1</v>
      </c>
    </row>
    <row r="1185" spans="1:5" ht="12.75">
      <c r="A1185" s="2" t="str">
        <f ca="1">IFERROR(__xludf.DUMMYFUNCTION("""COMPUTED_VALUE"""),"XTS1912209D")</f>
        <v>XTS1912209D</v>
      </c>
      <c r="B1185" s="2">
        <f ca="1">IFERROR(__xludf.DUMMYFUNCTION("""COMPUTED_VALUE"""),0)</f>
        <v>0</v>
      </c>
      <c r="C1185" s="2">
        <f ca="1">IFERROR(__xludf.DUMMYFUNCTION("""COMPUTED_VALUE"""),1)</f>
        <v>1</v>
      </c>
      <c r="D1185" s="2">
        <f ca="1">IFERROR(__xludf.DUMMYFUNCTION("""COMPUTED_VALUE"""),1)</f>
        <v>1</v>
      </c>
      <c r="E1185" s="2">
        <f ca="1">IFERROR(__xludf.DUMMYFUNCTION("""COMPUTED_VALUE"""),0)</f>
        <v>0</v>
      </c>
    </row>
    <row r="1186" spans="1:5" ht="12.75">
      <c r="A1186" s="2" t="str">
        <f ca="1">IFERROR(__xludf.DUMMYFUNCTION("""COMPUTED_VALUE"""),"HIKVISION-VTPW22")</f>
        <v>HIKVISION-VTPW22</v>
      </c>
      <c r="B1186" s="2">
        <f ca="1">IFERROR(__xludf.DUMMYFUNCTION("""COMPUTED_VALUE"""),0)</f>
        <v>0</v>
      </c>
      <c r="C1186" s="2">
        <f ca="1">IFERROR(__xludf.DUMMYFUNCTION("""COMPUTED_VALUE"""),1)</f>
        <v>1</v>
      </c>
      <c r="D1186" s="2">
        <f ca="1">IFERROR(__xludf.DUMMYFUNCTION("""COMPUTED_VALUE"""),1)</f>
        <v>1</v>
      </c>
      <c r="E1186" s="2">
        <f ca="1">IFERROR(__xludf.DUMMYFUNCTION("""COMPUTED_VALUE"""),0)</f>
        <v>0</v>
      </c>
    </row>
    <row r="1187" spans="1:5" ht="12.75">
      <c r="A1187" s="2" t="str">
        <f ca="1">IFERROR(__xludf.DUMMYFUNCTION("""COMPUTED_VALUE"""),"HIKVISION-VTPW23")</f>
        <v>HIKVISION-VTPW23</v>
      </c>
      <c r="B1187" s="2">
        <f ca="1">IFERROR(__xludf.DUMMYFUNCTION("""COMPUTED_VALUE"""),0)</f>
        <v>0</v>
      </c>
      <c r="C1187" s="2">
        <f ca="1">IFERROR(__xludf.DUMMYFUNCTION("""COMPUTED_VALUE"""),1)</f>
        <v>1</v>
      </c>
      <c r="D1187" s="2">
        <f ca="1">IFERROR(__xludf.DUMMYFUNCTION("""COMPUTED_VALUE"""),1)</f>
        <v>1</v>
      </c>
      <c r="E1187" s="2">
        <f ca="1">IFERROR(__xludf.DUMMYFUNCTION("""COMPUTED_VALUE"""),0)</f>
        <v>0</v>
      </c>
    </row>
    <row r="1188" spans="1:5" ht="12.75">
      <c r="A1188" s="2" t="str">
        <f ca="1">IFERROR(__xludf.DUMMYFUNCTION("""COMPUTED_VALUE"""),"XBOAE02513")</f>
        <v>XBOAE02513</v>
      </c>
      <c r="B1188" s="2">
        <f ca="1">IFERROR(__xludf.DUMMYFUNCTION("""COMPUTED_VALUE"""),0)</f>
        <v>0</v>
      </c>
      <c r="C1188" s="2">
        <f ca="1">IFERROR(__xludf.DUMMYFUNCTION("""COMPUTED_VALUE"""),240)</f>
        <v>240</v>
      </c>
      <c r="D1188" s="2">
        <f ca="1">IFERROR(__xludf.DUMMYFUNCTION("""COMPUTED_VALUE"""),240)</f>
        <v>240</v>
      </c>
      <c r="E1188" s="2">
        <f ca="1">IFERROR(__xludf.DUMMYFUNCTION("""COMPUTED_VALUE"""),0)</f>
        <v>0</v>
      </c>
    </row>
    <row r="1189" spans="1:5" ht="12.75">
      <c r="A1189" s="2" t="str">
        <f ca="1">IFERROR(__xludf.DUMMYFUNCTION("""COMPUTED_VALUE"""),"XBOAE03213")</f>
        <v>XBOAE03213</v>
      </c>
      <c r="B1189" s="2">
        <f ca="1">IFERROR(__xludf.DUMMYFUNCTION("""COMPUTED_VALUE"""),0)</f>
        <v>0</v>
      </c>
      <c r="C1189" s="2">
        <f ca="1">IFERROR(__xludf.DUMMYFUNCTION("""COMPUTED_VALUE"""),104)</f>
        <v>104</v>
      </c>
      <c r="D1189" s="2">
        <f ca="1">IFERROR(__xludf.DUMMYFUNCTION("""COMPUTED_VALUE"""),104)</f>
        <v>104</v>
      </c>
      <c r="E1189" s="2">
        <f ca="1">IFERROR(__xludf.DUMMYFUNCTION("""COMPUTED_VALUE"""),0)</f>
        <v>0</v>
      </c>
    </row>
    <row r="1190" spans="1:5" ht="12.75">
      <c r="A1190" s="2" t="str">
        <f ca="1">IFERROR(__xludf.DUMMYFUNCTION("""COMPUTED_VALUE"""),"XTAE501202D")</f>
        <v>XTAE501202D</v>
      </c>
      <c r="B1190" s="2">
        <f ca="1">IFERROR(__xludf.DUMMYFUNCTION("""COMPUTED_VALUE"""),0)</f>
        <v>0</v>
      </c>
      <c r="C1190" s="2">
        <f ca="1">IFERROR(__xludf.DUMMYFUNCTION("""COMPUTED_VALUE"""),204)</f>
        <v>204</v>
      </c>
      <c r="D1190" s="2">
        <f ca="1">IFERROR(__xludf.DUMMYFUNCTION("""COMPUTED_VALUE"""),204)</f>
        <v>204</v>
      </c>
      <c r="E1190" s="2">
        <f ca="1">IFERROR(__xludf.DUMMYFUNCTION("""COMPUTED_VALUE"""),0)</f>
        <v>0</v>
      </c>
    </row>
    <row r="1191" spans="1:5" ht="12.75">
      <c r="A1191" s="2" t="str">
        <f ca="1">IFERROR(__xludf.DUMMYFUNCTION("""COMPUTED_VALUE"""),"XTAEACDI251205BD")</f>
        <v>XTAEACDI251205BD</v>
      </c>
      <c r="B1191" s="2">
        <f ca="1">IFERROR(__xludf.DUMMYFUNCTION("""COMPUTED_VALUE"""),0)</f>
        <v>0</v>
      </c>
      <c r="C1191" s="2">
        <f ca="1">IFERROR(__xludf.DUMMYFUNCTION("""COMPUTED_VALUE"""),126)</f>
        <v>126</v>
      </c>
      <c r="D1191" s="2">
        <f ca="1">IFERROR(__xludf.DUMMYFUNCTION("""COMPUTED_VALUE"""),126)</f>
        <v>126</v>
      </c>
      <c r="E1191" s="2">
        <f ca="1">IFERROR(__xludf.DUMMYFUNCTION("""COMPUTED_VALUE"""),0)</f>
        <v>0</v>
      </c>
    </row>
    <row r="1192" spans="1:5" ht="12.75">
      <c r="A1192" s="2" t="str">
        <f ca="1">IFERROR(__xludf.DUMMYFUNCTION("""COMPUTED_VALUE"""),"XTAEACDI251205D")</f>
        <v>XTAEACDI251205D</v>
      </c>
      <c r="B1192" s="2">
        <f ca="1">IFERROR(__xludf.DUMMYFUNCTION("""COMPUTED_VALUE"""),0)</f>
        <v>0</v>
      </c>
      <c r="C1192" s="2">
        <f ca="1">IFERROR(__xludf.DUMMYFUNCTION("""COMPUTED_VALUE"""),40)</f>
        <v>40</v>
      </c>
      <c r="D1192" s="2">
        <f ca="1">IFERROR(__xludf.DUMMYFUNCTION("""COMPUTED_VALUE"""),40)</f>
        <v>40</v>
      </c>
      <c r="E1192" s="2">
        <f ca="1">IFERROR(__xludf.DUMMYFUNCTION("""COMPUTED_VALUE"""),0)</f>
        <v>0</v>
      </c>
    </row>
    <row r="1193" spans="1:5" ht="12.75">
      <c r="A1193" s="2" t="str">
        <f ca="1">IFERROR(__xludf.DUMMYFUNCTION("""COMPUTED_VALUE"""),"XTSVN1914010")</f>
        <v>XTSVN1914010</v>
      </c>
      <c r="B1193" s="2">
        <f ca="1">IFERROR(__xludf.DUMMYFUNCTION("""COMPUTED_VALUE"""),19)</f>
        <v>19</v>
      </c>
      <c r="C1193" s="2">
        <f ca="1">IFERROR(__xludf.DUMMYFUNCTION("""COMPUTED_VALUE"""),141)</f>
        <v>141</v>
      </c>
      <c r="D1193" s="2">
        <f ca="1">IFERROR(__xludf.DUMMYFUNCTION("""COMPUTED_VALUE"""),141)</f>
        <v>141</v>
      </c>
      <c r="E1193" s="2">
        <f ca="1">IFERROR(__xludf.DUMMYFUNCTION("""COMPUTED_VALUE"""),0)</f>
        <v>0</v>
      </c>
    </row>
    <row r="1194" spans="1:5" ht="12.75">
      <c r="A1194" s="2" t="str">
        <f ca="1">IFERROR(__xludf.DUMMYFUNCTION("""COMPUTED_VALUE"""),"XTSVN51122914")</f>
        <v>XTSVN51122914</v>
      </c>
      <c r="B1194" s="2">
        <f ca="1">IFERROR(__xludf.DUMMYFUNCTION("""COMPUTED_VALUE"""),1)</f>
        <v>1</v>
      </c>
      <c r="C1194" s="2">
        <f ca="1">IFERROR(__xludf.DUMMYFUNCTION("""COMPUTED_VALUE"""),31)</f>
        <v>31</v>
      </c>
      <c r="D1194" s="2">
        <f ca="1">IFERROR(__xludf.DUMMYFUNCTION("""COMPUTED_VALUE"""),31)</f>
        <v>31</v>
      </c>
      <c r="E1194" s="2">
        <f ca="1">IFERROR(__xludf.DUMMYFUNCTION("""COMPUTED_VALUE"""),0)</f>
        <v>0</v>
      </c>
    </row>
    <row r="1195" spans="1:5" ht="12.75">
      <c r="A1195" s="2" t="str">
        <f ca="1">IFERROR(__xludf.DUMMYFUNCTION("""COMPUTED_VALUE"""),"XTA250284C0")</f>
        <v>XTA250284C0</v>
      </c>
      <c r="B1195" s="2">
        <f ca="1">IFERROR(__xludf.DUMMYFUNCTION("""COMPUTED_VALUE"""),195)</f>
        <v>195</v>
      </c>
      <c r="C1195" s="2">
        <f ca="1">IFERROR(__xludf.DUMMYFUNCTION("""COMPUTED_VALUE"""),195)</f>
        <v>195</v>
      </c>
      <c r="D1195" s="2">
        <f ca="1">IFERROR(__xludf.DUMMYFUNCTION("""COMPUTED_VALUE"""),195)</f>
        <v>195</v>
      </c>
      <c r="E1195" s="2">
        <f ca="1">IFERROR(__xludf.DUMMYFUNCTION("""COMPUTED_VALUE"""),0)</f>
        <v>0</v>
      </c>
    </row>
    <row r="1196" spans="1:5" ht="12.75">
      <c r="A1196" s="2" t="str">
        <f ca="1">IFERROR(__xludf.DUMMYFUNCTION("""COMPUTED_VALUE"""),"XTA250284C0D")</f>
        <v>XTA250284C0D</v>
      </c>
      <c r="B1196" s="2">
        <f ca="1">IFERROR(__xludf.DUMMYFUNCTION("""COMPUTED_VALUE"""),296)</f>
        <v>296</v>
      </c>
      <c r="C1196" s="2">
        <f ca="1">IFERROR(__xludf.DUMMYFUNCTION("""COMPUTED_VALUE"""),296)</f>
        <v>296</v>
      </c>
      <c r="D1196" s="2">
        <f ca="1">IFERROR(__xludf.DUMMYFUNCTION("""COMPUTED_VALUE"""),296)</f>
        <v>296</v>
      </c>
      <c r="E1196" s="2">
        <f ca="1">IFERROR(__xludf.DUMMYFUNCTION("""COMPUTED_VALUE"""),0)</f>
        <v>0</v>
      </c>
    </row>
    <row r="1197" spans="1:5" ht="12.75">
      <c r="A1197" s="2" t="str">
        <f ca="1">IFERROR(__xludf.DUMMYFUNCTION("""COMPUTED_VALUE"""),"XTAEACDI131211")</f>
        <v>XTAEACDI131211</v>
      </c>
      <c r="B1197" s="2">
        <f ca="1">IFERROR(__xludf.DUMMYFUNCTION("""COMPUTED_VALUE"""),7)</f>
        <v>7</v>
      </c>
      <c r="C1197" s="2">
        <f ca="1">IFERROR(__xludf.DUMMYFUNCTION("""COMPUTED_VALUE"""),7)</f>
        <v>7</v>
      </c>
      <c r="D1197" s="2">
        <f ca="1">IFERROR(__xludf.DUMMYFUNCTION("""COMPUTED_VALUE"""),7)</f>
        <v>7</v>
      </c>
      <c r="E1197" s="2">
        <f ca="1">IFERROR(__xludf.DUMMYFUNCTION("""COMPUTED_VALUE"""),0)</f>
        <v>0</v>
      </c>
    </row>
    <row r="1198" spans="1:5" ht="12.75">
      <c r="A1198" s="2" t="str">
        <f ca="1">IFERROR(__xludf.DUMMYFUNCTION("""COMPUTED_VALUE"""),"XTHB2512204D")</f>
        <v>XTHB2512204D</v>
      </c>
      <c r="B1198" s="2">
        <f ca="1">IFERROR(__xludf.DUMMYFUNCTION("""COMPUTED_VALUE"""),2)</f>
        <v>2</v>
      </c>
      <c r="C1198" s="2">
        <f ca="1">IFERROR(__xludf.DUMMYFUNCTION("""COMPUTED_VALUE"""),2)</f>
        <v>2</v>
      </c>
      <c r="D1198" s="2">
        <f ca="1">IFERROR(__xludf.DUMMYFUNCTION("""COMPUTED_VALUE"""),2)</f>
        <v>2</v>
      </c>
      <c r="E1198" s="2">
        <f ca="1">IFERROR(__xludf.DUMMYFUNCTION("""COMPUTED_VALUE"""),0)</f>
        <v>0</v>
      </c>
    </row>
    <row r="1199" spans="1:5" ht="12.75">
      <c r="A1199" s="2" t="str">
        <f ca="1">IFERROR(__xludf.DUMMYFUNCTION("""COMPUTED_VALUE"""),"XTS0612224")</f>
        <v>XTS0612224</v>
      </c>
      <c r="B1199" s="2">
        <f ca="1">IFERROR(__xludf.DUMMYFUNCTION("""COMPUTED_VALUE"""),2)</f>
        <v>2</v>
      </c>
      <c r="C1199" s="2">
        <f ca="1">IFERROR(__xludf.DUMMYFUNCTION("""COMPUTED_VALUE"""),2)</f>
        <v>2</v>
      </c>
      <c r="D1199" s="2">
        <f ca="1">IFERROR(__xludf.DUMMYFUNCTION("""COMPUTED_VALUE"""),2)</f>
        <v>2</v>
      </c>
      <c r="E1199" s="2">
        <f ca="1">IFERROR(__xludf.DUMMYFUNCTION("""COMPUTED_VALUE"""),0)</f>
        <v>0</v>
      </c>
    </row>
    <row r="1200" spans="1:5" ht="12.75">
      <c r="A1200" s="2" t="str">
        <f ca="1">IFERROR(__xludf.DUMMYFUNCTION("""COMPUTED_VALUE"""),"XTS0614020")</f>
        <v>XTS0614020</v>
      </c>
      <c r="B1200" s="2">
        <f ca="1">IFERROR(__xludf.DUMMYFUNCTION("""COMPUTED_VALUE"""),71)</f>
        <v>71</v>
      </c>
      <c r="C1200" s="2">
        <f ca="1">IFERROR(__xludf.DUMMYFUNCTION("""COMPUTED_VALUE"""),71)</f>
        <v>71</v>
      </c>
      <c r="D1200" s="2">
        <f ca="1">IFERROR(__xludf.DUMMYFUNCTION("""COMPUTED_VALUE"""),71)</f>
        <v>71</v>
      </c>
      <c r="E1200" s="2">
        <f ca="1">IFERROR(__xludf.DUMMYFUNCTION("""COMPUTED_VALUE"""),0)</f>
        <v>0</v>
      </c>
    </row>
    <row r="1201" spans="1:5" ht="12.75">
      <c r="A1201" s="2" t="str">
        <f ca="1">IFERROR(__xludf.DUMMYFUNCTION("""COMPUTED_VALUE"""),"XTS3212206")</f>
        <v>XTS3212206</v>
      </c>
      <c r="B1201" s="2">
        <f ca="1">IFERROR(__xludf.DUMMYFUNCTION("""COMPUTED_VALUE"""),3)</f>
        <v>3</v>
      </c>
      <c r="C1201" s="2">
        <f ca="1">IFERROR(__xludf.DUMMYFUNCTION("""COMPUTED_VALUE"""),3)</f>
        <v>3</v>
      </c>
      <c r="D1201" s="2">
        <f ca="1">IFERROR(__xludf.DUMMYFUNCTION("""COMPUTED_VALUE"""),3)</f>
        <v>3</v>
      </c>
      <c r="E1201" s="2">
        <f ca="1">IFERROR(__xludf.DUMMYFUNCTION("""COMPUTED_VALUE"""),0)</f>
        <v>0</v>
      </c>
    </row>
    <row r="1202" spans="1:5" ht="12.75">
      <c r="A1202" s="2" t="str">
        <f ca="1">IFERROR(__xludf.DUMMYFUNCTION("""COMPUTED_VALUE"""),"XTS5112204")</f>
        <v>XTS5112204</v>
      </c>
      <c r="B1202" s="2">
        <f ca="1">IFERROR(__xludf.DUMMYFUNCTION("""COMPUTED_VALUE"""),1)</f>
        <v>1</v>
      </c>
      <c r="C1202" s="2">
        <f ca="1">IFERROR(__xludf.DUMMYFUNCTION("""COMPUTED_VALUE"""),1)</f>
        <v>1</v>
      </c>
      <c r="D1202" s="2">
        <f ca="1">IFERROR(__xludf.DUMMYFUNCTION("""COMPUTED_VALUE"""),1)</f>
        <v>1</v>
      </c>
      <c r="E1202" s="2">
        <f ca="1">IFERROR(__xludf.DUMMYFUNCTION("""COMPUTED_VALUE"""),0)</f>
        <v>0</v>
      </c>
    </row>
    <row r="1203" spans="1:5" ht="12.75">
      <c r="A1203" s="2" t="str">
        <f ca="1">IFERROR(__xludf.DUMMYFUNCTION("""COMPUTED_VALUE"""),"XTSVN1012221")</f>
        <v>XTSVN1012221</v>
      </c>
      <c r="B1203" s="2">
        <f ca="1">IFERROR(__xludf.DUMMYFUNCTION("""COMPUTED_VALUE"""),19)</f>
        <v>19</v>
      </c>
      <c r="C1203" s="2">
        <f ca="1">IFERROR(__xludf.DUMMYFUNCTION("""COMPUTED_VALUE"""),25)</f>
        <v>25</v>
      </c>
      <c r="D1203" s="2">
        <f ca="1">IFERROR(__xludf.DUMMYFUNCTION("""COMPUTED_VALUE"""),19)</f>
        <v>19</v>
      </c>
      <c r="E1203" s="2">
        <f ca="1">IFERROR(__xludf.DUMMYFUNCTION("""COMPUTED_VALUE"""),6)</f>
        <v>6</v>
      </c>
    </row>
    <row r="1204" spans="1:5" ht="12.75">
      <c r="A1204" s="2" t="str">
        <f ca="1">IFERROR(__xludf.DUMMYFUNCTION("""COMPUTED_VALUE"""),"XTSVN1312215")</f>
        <v>XTSVN1312215</v>
      </c>
      <c r="B1204" s="2">
        <f ca="1">IFERROR(__xludf.DUMMYFUNCTION("""COMPUTED_VALUE"""),142)</f>
        <v>142</v>
      </c>
      <c r="C1204" s="2">
        <f ca="1">IFERROR(__xludf.DUMMYFUNCTION("""COMPUTED_VALUE"""),142)</f>
        <v>142</v>
      </c>
      <c r="D1204" s="2">
        <f ca="1">IFERROR(__xludf.DUMMYFUNCTION("""COMPUTED_VALUE"""),142)</f>
        <v>142</v>
      </c>
      <c r="E1204" s="2">
        <f ca="1">IFERROR(__xludf.DUMMYFUNCTION("""COMPUTED_VALUE"""),0)</f>
        <v>0</v>
      </c>
    </row>
    <row r="1205" spans="1:5" ht="12.75">
      <c r="A1205" s="2" t="str">
        <f ca="1">IFERROR(__xludf.DUMMYFUNCTION("""COMPUTED_VALUE"""),"XTSVN1314015")</f>
        <v>XTSVN1314015</v>
      </c>
      <c r="B1205" s="2">
        <f ca="1">IFERROR(__xludf.DUMMYFUNCTION("""COMPUTED_VALUE"""),33)</f>
        <v>33</v>
      </c>
      <c r="C1205" s="2">
        <f ca="1">IFERROR(__xludf.DUMMYFUNCTION("""COMPUTED_VALUE"""),33)</f>
        <v>33</v>
      </c>
      <c r="D1205" s="2">
        <f ca="1">IFERROR(__xludf.DUMMYFUNCTION("""COMPUTED_VALUE"""),33)</f>
        <v>33</v>
      </c>
      <c r="E1205" s="2">
        <f ca="1">IFERROR(__xludf.DUMMYFUNCTION("""COMPUTED_VALUE"""),0)</f>
        <v>0</v>
      </c>
    </row>
    <row r="1206" spans="1:5" ht="12.75">
      <c r="A1206" s="2" t="str">
        <f ca="1">IFERROR(__xludf.DUMMYFUNCTION("""COMPUTED_VALUE"""),"XTSVN2512208")</f>
        <v>XTSVN2512208</v>
      </c>
      <c r="B1206" s="2">
        <f ca="1">IFERROR(__xludf.DUMMYFUNCTION("""COMPUTED_VALUE"""),330)</f>
        <v>330</v>
      </c>
      <c r="C1206" s="2">
        <f ca="1">IFERROR(__xludf.DUMMYFUNCTION("""COMPUTED_VALUE"""),345)</f>
        <v>345</v>
      </c>
      <c r="D1206" s="2">
        <f ca="1">IFERROR(__xludf.DUMMYFUNCTION("""COMPUTED_VALUE"""),330)</f>
        <v>330</v>
      </c>
      <c r="E1206" s="2">
        <f ca="1">IFERROR(__xludf.DUMMYFUNCTION("""COMPUTED_VALUE"""),15)</f>
        <v>15</v>
      </c>
    </row>
    <row r="1207" spans="1:5" ht="12.75">
      <c r="A1207" s="2" t="str">
        <f ca="1">IFERROR(__xludf.DUMMYFUNCTION("""COMPUTED_VALUE"""),"XTSVN2514010")</f>
        <v>XTSVN2514010</v>
      </c>
      <c r="B1207" s="2">
        <f ca="1">IFERROR(__xludf.DUMMYFUNCTION("""COMPUTED_VALUE"""),12)</f>
        <v>12</v>
      </c>
      <c r="C1207" s="2">
        <f ca="1">IFERROR(__xludf.DUMMYFUNCTION("""COMPUTED_VALUE"""),12)</f>
        <v>12</v>
      </c>
      <c r="D1207" s="2">
        <f ca="1">IFERROR(__xludf.DUMMYFUNCTION("""COMPUTED_VALUE"""),12)</f>
        <v>12</v>
      </c>
      <c r="E1207" s="2">
        <f ca="1">IFERROR(__xludf.DUMMYFUNCTION("""COMPUTED_VALUE"""),0)</f>
        <v>0</v>
      </c>
    </row>
    <row r="1208" spans="1:5" ht="12.75">
      <c r="A1208" s="2" t="str">
        <f ca="1">IFERROR(__xludf.DUMMYFUNCTION("""COMPUTED_VALUE"""),"XTSVN3212206")</f>
        <v>XTSVN3212206</v>
      </c>
      <c r="B1208" s="2">
        <f ca="1">IFERROR(__xludf.DUMMYFUNCTION("""COMPUTED_VALUE"""),102)</f>
        <v>102</v>
      </c>
      <c r="C1208" s="2">
        <f ca="1">IFERROR(__xludf.DUMMYFUNCTION("""COMPUTED_VALUE"""),102)</f>
        <v>102</v>
      </c>
      <c r="D1208" s="2">
        <f ca="1">IFERROR(__xludf.DUMMYFUNCTION("""COMPUTED_VALUE"""),102)</f>
        <v>102</v>
      </c>
      <c r="E1208" s="2">
        <f ca="1">IFERROR(__xludf.DUMMYFUNCTION("""COMPUTED_VALUE"""),0)</f>
        <v>0</v>
      </c>
    </row>
    <row r="1209" spans="1:5" ht="12.75">
      <c r="A1209" s="2" t="str">
        <f ca="1">IFERROR(__xludf.DUMMYFUNCTION("""COMPUTED_VALUE"""),"XTSVN3812205")</f>
        <v>XTSVN3812205</v>
      </c>
      <c r="B1209" s="2">
        <f ca="1">IFERROR(__xludf.DUMMYFUNCTION("""COMPUTED_VALUE"""),52)</f>
        <v>52</v>
      </c>
      <c r="C1209" s="2">
        <f ca="1">IFERROR(__xludf.DUMMYFUNCTION("""COMPUTED_VALUE"""),61)</f>
        <v>61</v>
      </c>
      <c r="D1209" s="2">
        <f ca="1">IFERROR(__xludf.DUMMYFUNCTION("""COMPUTED_VALUE"""),52)</f>
        <v>52</v>
      </c>
      <c r="E1209" s="2">
        <f ca="1">IFERROR(__xludf.DUMMYFUNCTION("""COMPUTED_VALUE"""),9)</f>
        <v>9</v>
      </c>
    </row>
    <row r="1210" spans="1:5" ht="12.75">
      <c r="A1210" s="2" t="str">
        <f ca="1">IFERROR(__xludf.DUMMYFUNCTION("""COMPUTED_VALUE"""),"AL6PET1545")</f>
        <v>AL6PET1545</v>
      </c>
      <c r="B1210" s="2">
        <f ca="1">IFERROR(__xludf.DUMMYFUNCTION("""COMPUTED_VALUE"""),0)</f>
        <v>0</v>
      </c>
      <c r="C1210" s="2">
        <f ca="1">IFERROR(__xludf.DUMMYFUNCTION("""COMPUTED_VALUE"""),1523.25)</f>
        <v>1523.25</v>
      </c>
      <c r="D1210" s="2">
        <f ca="1">IFERROR(__xludf.DUMMYFUNCTION("""COMPUTED_VALUE"""),1523.25)</f>
        <v>1523.25</v>
      </c>
      <c r="E1210" s="2">
        <f ca="1">IFERROR(__xludf.DUMMYFUNCTION("""COMPUTED_VALUE"""),0)</f>
        <v>0</v>
      </c>
    </row>
    <row r="1211" spans="1:5" ht="12.75">
      <c r="A1211" s="2" t="str">
        <f ca="1">IFERROR(__xludf.DUMMYFUNCTION("""COMPUTED_VALUE"""),"AL6PET1555")</f>
        <v>AL6PET1555</v>
      </c>
      <c r="B1211" s="2">
        <f ca="1">IFERROR(__xludf.DUMMYFUNCTION("""COMPUTED_VALUE"""),0)</f>
        <v>0</v>
      </c>
      <c r="C1211" s="2">
        <f ca="1">IFERROR(__xludf.DUMMYFUNCTION("""COMPUTED_VALUE"""),772.2)</f>
        <v>772.2</v>
      </c>
      <c r="D1211" s="2">
        <f ca="1">IFERROR(__xludf.DUMMYFUNCTION("""COMPUTED_VALUE"""),772.2)</f>
        <v>772.2</v>
      </c>
      <c r="E1211" s="2">
        <f ca="1">IFERROR(__xludf.DUMMYFUNCTION("""COMPUTED_VALUE"""),0)</f>
        <v>0</v>
      </c>
    </row>
    <row r="1212" spans="1:5" ht="12.75">
      <c r="A1212" s="2" t="str">
        <f ca="1">IFERROR(__xludf.DUMMYFUNCTION("""COMPUTED_VALUE"""),"AL6PET1565")</f>
        <v>AL6PET1565</v>
      </c>
      <c r="B1212" s="2">
        <f ca="1">IFERROR(__xludf.DUMMYFUNCTION("""COMPUTED_VALUE"""),0)</f>
        <v>0</v>
      </c>
      <c r="C1212" s="2">
        <f ca="1">IFERROR(__xludf.DUMMYFUNCTION("""COMPUTED_VALUE"""),460.65)</f>
        <v>460.65</v>
      </c>
      <c r="D1212" s="2">
        <f ca="1">IFERROR(__xludf.DUMMYFUNCTION("""COMPUTED_VALUE"""),460.65)</f>
        <v>460.65</v>
      </c>
      <c r="E1212" s="2">
        <f ca="1">IFERROR(__xludf.DUMMYFUNCTION("""COMPUTED_VALUE"""),0)</f>
        <v>0</v>
      </c>
    </row>
    <row r="1213" spans="1:5" ht="12.75">
      <c r="A1213" s="2" t="str">
        <f ca="1">IFERROR(__xludf.DUMMYFUNCTION("""COMPUTED_VALUE"""),"BPL5OZOG078x56")</f>
        <v>BPL5OZOG078x56</v>
      </c>
      <c r="B1213" s="2">
        <f ca="1">IFERROR(__xludf.DUMMYFUNCTION("""COMPUTED_VALUE"""),0)</f>
        <v>0</v>
      </c>
      <c r="C1213" s="2">
        <f ca="1">IFERROR(__xludf.DUMMYFUNCTION("""COMPUTED_VALUE"""),84.8)</f>
        <v>84.8</v>
      </c>
      <c r="D1213" s="2">
        <f ca="1">IFERROR(__xludf.DUMMYFUNCTION("""COMPUTED_VALUE"""),84.8)</f>
        <v>84.8</v>
      </c>
      <c r="E1213" s="2">
        <f ca="1">IFERROR(__xludf.DUMMYFUNCTION("""COMPUTED_VALUE"""),0)</f>
        <v>0</v>
      </c>
    </row>
    <row r="1214" spans="1:5" ht="12.75">
      <c r="A1214" s="2" t="str">
        <f ca="1">IFERROR(__xludf.DUMMYFUNCTION("""COMPUTED_VALUE"""),"BPL5OZOG090x56")</f>
        <v>BPL5OZOG090x56</v>
      </c>
      <c r="B1214" s="2">
        <f ca="1">IFERROR(__xludf.DUMMYFUNCTION("""COMPUTED_VALUE"""),0)</f>
        <v>0</v>
      </c>
      <c r="C1214" s="2">
        <f ca="1">IFERROR(__xludf.DUMMYFUNCTION("""COMPUTED_VALUE"""),240)</f>
        <v>240</v>
      </c>
      <c r="D1214" s="2">
        <f ca="1">IFERROR(__xludf.DUMMYFUNCTION("""COMPUTED_VALUE"""),240)</f>
        <v>240</v>
      </c>
      <c r="E1214" s="2">
        <f ca="1">IFERROR(__xludf.DUMMYFUNCTION("""COMPUTED_VALUE"""),0)</f>
        <v>0</v>
      </c>
    </row>
    <row r="1215" spans="1:5" ht="12.75">
      <c r="A1215" s="2" t="str">
        <f ca="1">IFERROR(__xludf.DUMMYFUNCTION("""COMPUTED_VALUE"""),"BTTOG25x12")</f>
        <v>BTTOG25x12</v>
      </c>
      <c r="B1215" s="2">
        <f ca="1">IFERROR(__xludf.DUMMYFUNCTION("""COMPUTED_VALUE"""),0)</f>
        <v>0</v>
      </c>
      <c r="C1215" s="2">
        <f ca="1">IFERROR(__xludf.DUMMYFUNCTION("""COMPUTED_VALUE"""),301.89)</f>
        <v>301.89</v>
      </c>
      <c r="D1215" s="2">
        <f ca="1">IFERROR(__xludf.DUMMYFUNCTION("""COMPUTED_VALUE"""),301.89)</f>
        <v>301.89</v>
      </c>
      <c r="E1215" s="2">
        <f ca="1">IFERROR(__xludf.DUMMYFUNCTION("""COMPUTED_VALUE"""),0)</f>
        <v>0</v>
      </c>
    </row>
    <row r="1216" spans="1:5" ht="12.75">
      <c r="A1216" s="2" t="str">
        <f ca="1">IFERROR(__xludf.DUMMYFUNCTION("""COMPUTED_VALUE"""),"DMTL-1294")</f>
        <v>DMTL-1294</v>
      </c>
      <c r="B1216" s="2">
        <f ca="1">IFERROR(__xludf.DUMMYFUNCTION("""COMPUTED_VALUE"""),0)</f>
        <v>0</v>
      </c>
      <c r="C1216" s="2">
        <f ca="1">IFERROR(__xludf.DUMMYFUNCTION("""COMPUTED_VALUE"""),136.35)</f>
        <v>136.35</v>
      </c>
      <c r="D1216" s="2">
        <f ca="1">IFERROR(__xludf.DUMMYFUNCTION("""COMPUTED_VALUE"""),136.35)</f>
        <v>136.35</v>
      </c>
      <c r="E1216" s="2">
        <f ca="1">IFERROR(__xludf.DUMMYFUNCTION("""COMPUTED_VALUE"""),0)</f>
        <v>0</v>
      </c>
    </row>
    <row r="1217" spans="1:5" ht="12.75">
      <c r="A1217" s="2" t="str">
        <f ca="1">IFERROR(__xludf.DUMMYFUNCTION("""COMPUTED_VALUE"""),"GB12x500")</f>
        <v>GB12x500</v>
      </c>
      <c r="B1217" s="2">
        <f ca="1">IFERROR(__xludf.DUMMYFUNCTION("""COMPUTED_VALUE"""),0)</f>
        <v>0</v>
      </c>
      <c r="C1217" s="2">
        <f ca="1">IFERROR(__xludf.DUMMYFUNCTION("""COMPUTED_VALUE"""),16739.2)</f>
        <v>16739.2</v>
      </c>
      <c r="D1217" s="2">
        <f ca="1">IFERROR(__xludf.DUMMYFUNCTION("""COMPUTED_VALUE"""),16739.2)</f>
        <v>16739.2</v>
      </c>
      <c r="E1217" s="2">
        <f ca="1">IFERROR(__xludf.DUMMYFUNCTION("""COMPUTED_VALUE"""),0)</f>
        <v>0</v>
      </c>
    </row>
    <row r="1218" spans="1:5" ht="12.75">
      <c r="A1218" s="2" t="str">
        <f ca="1">IFERROR(__xludf.DUMMYFUNCTION("""COMPUTED_VALUE"""),"HKTKCSGB1500")</f>
        <v>HKTKCSGB1500</v>
      </c>
      <c r="B1218" s="2">
        <f ca="1">IFERROR(__xludf.DUMMYFUNCTION("""COMPUTED_VALUE"""),0)</f>
        <v>0</v>
      </c>
      <c r="C1218" s="2">
        <f ca="1">IFERROR(__xludf.DUMMYFUNCTION("""COMPUTED_VALUE"""),1)</f>
        <v>1</v>
      </c>
      <c r="D1218" s="2">
        <f ca="1">IFERROR(__xludf.DUMMYFUNCTION("""COMPUTED_VALUE"""),1)</f>
        <v>1</v>
      </c>
      <c r="E1218" s="2">
        <f ca="1">IFERROR(__xludf.DUMMYFUNCTION("""COMPUTED_VALUE"""),0)</f>
        <v>0</v>
      </c>
    </row>
    <row r="1219" spans="1:5" ht="12.75">
      <c r="A1219" s="2" t="str">
        <f ca="1">IFERROR(__xludf.DUMMYFUNCTION("""COMPUTED_VALUE"""),"HKTNL36")</f>
        <v>HKTNL36</v>
      </c>
      <c r="B1219" s="2">
        <f ca="1">IFERROR(__xludf.DUMMYFUNCTION("""COMPUTED_VALUE"""),0)</f>
        <v>0</v>
      </c>
      <c r="C1219" s="2">
        <f ca="1">IFERROR(__xludf.DUMMYFUNCTION("""COMPUTED_VALUE"""),17.15)</f>
        <v>17.149999999999999</v>
      </c>
      <c r="D1219" s="2">
        <f ca="1">IFERROR(__xludf.DUMMYFUNCTION("""COMPUTED_VALUE"""),17.15)</f>
        <v>17.149999999999999</v>
      </c>
      <c r="E1219" s="2">
        <f ca="1">IFERROR(__xludf.DUMMYFUNCTION("""COMPUTED_VALUE"""),0)</f>
        <v>0</v>
      </c>
    </row>
    <row r="1220" spans="1:5" ht="12.75">
      <c r="A1220" s="2" t="str">
        <f ca="1">IFERROR(__xludf.DUMMYFUNCTION("""COMPUTED_VALUE"""),"HKTNL45")</f>
        <v>HKTNL45</v>
      </c>
      <c r="B1220" s="2">
        <f ca="1">IFERROR(__xludf.DUMMYFUNCTION("""COMPUTED_VALUE"""),0)</f>
        <v>0</v>
      </c>
      <c r="C1220" s="2">
        <f ca="1">IFERROR(__xludf.DUMMYFUNCTION("""COMPUTED_VALUE"""),190.25)</f>
        <v>190.25</v>
      </c>
      <c r="D1220" s="2">
        <f ca="1">IFERROR(__xludf.DUMMYFUNCTION("""COMPUTED_VALUE"""),190.25)</f>
        <v>190.25</v>
      </c>
      <c r="E1220" s="2">
        <f ca="1">IFERROR(__xludf.DUMMYFUNCTION("""COMPUTED_VALUE"""),0)</f>
        <v>0</v>
      </c>
    </row>
    <row r="1221" spans="1:5" ht="12.75">
      <c r="A1221" s="2" t="str">
        <f ca="1">IFERROR(__xludf.DUMMYFUNCTION("""COMPUTED_VALUE"""),"HKTNL52")</f>
        <v>HKTNL52</v>
      </c>
      <c r="B1221" s="2">
        <f ca="1">IFERROR(__xludf.DUMMYFUNCTION("""COMPUTED_VALUE"""),0)</f>
        <v>0</v>
      </c>
      <c r="C1221" s="2">
        <f ca="1">IFERROR(__xludf.DUMMYFUNCTION("""COMPUTED_VALUE"""),26.3499999999999)</f>
        <v>26.349999999999898</v>
      </c>
      <c r="D1221" s="2">
        <f ca="1">IFERROR(__xludf.DUMMYFUNCTION("""COMPUTED_VALUE"""),26.3499999999999)</f>
        <v>26.349999999999898</v>
      </c>
      <c r="E1221" s="2">
        <f ca="1">IFERROR(__xludf.DUMMYFUNCTION("""COMPUTED_VALUE"""),0)</f>
        <v>0</v>
      </c>
    </row>
    <row r="1222" spans="1:5" ht="12.75">
      <c r="A1222" s="2" t="str">
        <f ca="1">IFERROR(__xludf.DUMMYFUNCTION("""COMPUTED_VALUE"""),"HKTNL58")</f>
        <v>HKTNL58</v>
      </c>
      <c r="B1222" s="2">
        <f ca="1">IFERROR(__xludf.DUMMYFUNCTION("""COMPUTED_VALUE"""),0)</f>
        <v>0</v>
      </c>
      <c r="C1222" s="2">
        <f ca="1">IFERROR(__xludf.DUMMYFUNCTION("""COMPUTED_VALUE"""),102)</f>
        <v>102</v>
      </c>
      <c r="D1222" s="2">
        <f ca="1">IFERROR(__xludf.DUMMYFUNCTION("""COMPUTED_VALUE"""),102)</f>
        <v>102</v>
      </c>
      <c r="E1222" s="2">
        <f ca="1">IFERROR(__xludf.DUMMYFUNCTION("""COMPUTED_VALUE"""),0)</f>
        <v>0</v>
      </c>
    </row>
    <row r="1223" spans="1:5" ht="12.75">
      <c r="A1223" s="2" t="str">
        <f ca="1">IFERROR(__xludf.DUMMYFUNCTION("""COMPUTED_VALUE"""),"HKTNL67")</f>
        <v>HKTNL67</v>
      </c>
      <c r="B1223" s="2">
        <f ca="1">IFERROR(__xludf.DUMMYFUNCTION("""COMPUTED_VALUE"""),0)</f>
        <v>0</v>
      </c>
      <c r="C1223" s="2">
        <f ca="1">IFERROR(__xludf.DUMMYFUNCTION("""COMPUTED_VALUE"""),92.6)</f>
        <v>92.6</v>
      </c>
      <c r="D1223" s="2">
        <f ca="1">IFERROR(__xludf.DUMMYFUNCTION("""COMPUTED_VALUE"""),92.6)</f>
        <v>92.6</v>
      </c>
      <c r="E1223" s="2">
        <f ca="1">IFERROR(__xludf.DUMMYFUNCTION("""COMPUTED_VALUE"""),0)</f>
        <v>0</v>
      </c>
    </row>
    <row r="1224" spans="1:5" ht="12.75">
      <c r="A1224" s="2" t="str">
        <f ca="1">IFERROR(__xludf.DUMMYFUNCTION("""COMPUTED_VALUE"""),"HKTNL83")</f>
        <v>HKTNL83</v>
      </c>
      <c r="B1224" s="2">
        <f ca="1">IFERROR(__xludf.DUMMYFUNCTION("""COMPUTED_VALUE"""),0)</f>
        <v>0</v>
      </c>
      <c r="C1224" s="2">
        <f ca="1">IFERROR(__xludf.DUMMYFUNCTION("""COMPUTED_VALUE"""),16)</f>
        <v>16</v>
      </c>
      <c r="D1224" s="2">
        <f ca="1">IFERROR(__xludf.DUMMYFUNCTION("""COMPUTED_VALUE"""),16)</f>
        <v>16</v>
      </c>
      <c r="E1224" s="2">
        <f ca="1">IFERROR(__xludf.DUMMYFUNCTION("""COMPUTED_VALUE"""),0)</f>
        <v>0</v>
      </c>
    </row>
    <row r="1225" spans="1:5" ht="12.75">
      <c r="A1225" s="2" t="str">
        <f ca="1">IFERROR(__xludf.DUMMYFUNCTION("""COMPUTED_VALUE"""),"JACKET072500")</f>
        <v>JACKET072500</v>
      </c>
      <c r="B1225" s="2">
        <f ca="1">IFERROR(__xludf.DUMMYFUNCTION("""COMPUTED_VALUE"""),0)</f>
        <v>0</v>
      </c>
      <c r="C1225" s="2">
        <f ca="1">IFERROR(__xludf.DUMMYFUNCTION("""COMPUTED_VALUE"""),97.71)</f>
        <v>97.71</v>
      </c>
      <c r="D1225" s="2">
        <f ca="1">IFERROR(__xludf.DUMMYFUNCTION("""COMPUTED_VALUE"""),97.71)</f>
        <v>97.71</v>
      </c>
      <c r="E1225" s="2">
        <f ca="1">IFERROR(__xludf.DUMMYFUNCTION("""COMPUTED_VALUE"""),0)</f>
        <v>0</v>
      </c>
    </row>
    <row r="1226" spans="1:5" ht="12.75">
      <c r="A1226" s="2" t="str">
        <f ca="1">IFERROR(__xludf.DUMMYFUNCTION("""COMPUTED_VALUE"""),"JACKET084500")</f>
        <v>JACKET084500</v>
      </c>
      <c r="B1226" s="2">
        <f ca="1">IFERROR(__xludf.DUMMYFUNCTION("""COMPUTED_VALUE"""),0)</f>
        <v>0</v>
      </c>
      <c r="C1226" s="2">
        <f ca="1">IFERROR(__xludf.DUMMYFUNCTION("""COMPUTED_VALUE"""),250.76)</f>
        <v>250.76</v>
      </c>
      <c r="D1226" s="2">
        <f ca="1">IFERROR(__xludf.DUMMYFUNCTION("""COMPUTED_VALUE"""),250.76)</f>
        <v>250.76</v>
      </c>
      <c r="E1226" s="2">
        <f ca="1">IFERROR(__xludf.DUMMYFUNCTION("""COMPUTED_VALUE"""),0)</f>
        <v>0</v>
      </c>
    </row>
    <row r="1227" spans="1:5" ht="12.75">
      <c r="A1227" s="2" t="str">
        <f ca="1">IFERROR(__xludf.DUMMYFUNCTION("""COMPUTED_VALUE"""),"JACKET12500")</f>
        <v>JACKET12500</v>
      </c>
      <c r="B1227" s="2">
        <f ca="1">IFERROR(__xludf.DUMMYFUNCTION("""COMPUTED_VALUE"""),0)</f>
        <v>0</v>
      </c>
      <c r="C1227" s="2">
        <f ca="1">IFERROR(__xludf.DUMMYFUNCTION("""COMPUTED_VALUE"""),47.05)</f>
        <v>47.05</v>
      </c>
      <c r="D1227" s="2">
        <f ca="1">IFERROR(__xludf.DUMMYFUNCTION("""COMPUTED_VALUE"""),47.05)</f>
        <v>47.05</v>
      </c>
      <c r="E1227" s="2">
        <f ca="1">IFERROR(__xludf.DUMMYFUNCTION("""COMPUTED_VALUE"""),0)</f>
        <v>0</v>
      </c>
    </row>
    <row r="1228" spans="1:5" ht="12.75">
      <c r="A1228" s="2" t="str">
        <f ca="1">IFERROR(__xludf.DUMMYFUNCTION("""COMPUTED_VALUE"""),"JACKET13500")</f>
        <v>JACKET13500</v>
      </c>
      <c r="B1228" s="2">
        <f ca="1">IFERROR(__xludf.DUMMYFUNCTION("""COMPUTED_VALUE"""),0)</f>
        <v>0</v>
      </c>
      <c r="C1228" s="2">
        <f ca="1">IFERROR(__xludf.DUMMYFUNCTION("""COMPUTED_VALUE"""),9)</f>
        <v>9</v>
      </c>
      <c r="D1228" s="2">
        <f ca="1">IFERROR(__xludf.DUMMYFUNCTION("""COMPUTED_VALUE"""),9)</f>
        <v>9</v>
      </c>
      <c r="E1228" s="2">
        <f ca="1">IFERROR(__xludf.DUMMYFUNCTION("""COMPUTED_VALUE"""),0)</f>
        <v>0</v>
      </c>
    </row>
    <row r="1229" spans="1:5" ht="12.75">
      <c r="A1229" s="2" t="str">
        <f ca="1">IFERROR(__xludf.DUMMYFUNCTION("""COMPUTED_VALUE"""),"JACKET1500")</f>
        <v>JACKET1500</v>
      </c>
      <c r="B1229" s="2">
        <f ca="1">IFERROR(__xludf.DUMMYFUNCTION("""COMPUTED_VALUE"""),0)</f>
        <v>0</v>
      </c>
      <c r="C1229" s="2">
        <f ca="1">IFERROR(__xludf.DUMMYFUNCTION("""COMPUTED_VALUE"""),62.52)</f>
        <v>62.52</v>
      </c>
      <c r="D1229" s="2">
        <f ca="1">IFERROR(__xludf.DUMMYFUNCTION("""COMPUTED_VALUE"""),62.52)</f>
        <v>62.52</v>
      </c>
      <c r="E1229" s="2">
        <f ca="1">IFERROR(__xludf.DUMMYFUNCTION("""COMPUTED_VALUE"""),0)</f>
        <v>0</v>
      </c>
    </row>
    <row r="1230" spans="1:5" ht="12.75">
      <c r="A1230" s="2" t="str">
        <f ca="1">IFERROR(__xludf.DUMMYFUNCTION("""COMPUTED_VALUE"""),"KEO1395")</f>
        <v>KEO1395</v>
      </c>
      <c r="B1230" s="2">
        <f ca="1">IFERROR(__xludf.DUMMYFUNCTION("""COMPUTED_VALUE"""),0)</f>
        <v>0</v>
      </c>
      <c r="C1230" s="2">
        <f ca="1">IFERROR(__xludf.DUMMYFUNCTION("""COMPUTED_VALUE"""),54.35)</f>
        <v>54.35</v>
      </c>
      <c r="D1230" s="2">
        <f ca="1">IFERROR(__xludf.DUMMYFUNCTION("""COMPUTED_VALUE"""),54.35)</f>
        <v>54.35</v>
      </c>
      <c r="E1230" s="2">
        <f ca="1">IFERROR(__xludf.DUMMYFUNCTION("""COMPUTED_VALUE"""),0)</f>
        <v>0</v>
      </c>
    </row>
    <row r="1231" spans="1:5" ht="12.75">
      <c r="A1231" s="2" t="str">
        <f ca="1">IFERROR(__xludf.DUMMYFUNCTION("""COMPUTED_VALUE"""),"MNKPEGASUS0.36")</f>
        <v>MNKPEGASUS0.36</v>
      </c>
      <c r="B1231" s="2">
        <f ca="1">IFERROR(__xludf.DUMMYFUNCTION("""COMPUTED_VALUE"""),0)</f>
        <v>0</v>
      </c>
      <c r="C1231" s="2">
        <f ca="1">IFERROR(__xludf.DUMMYFUNCTION("""COMPUTED_VALUE"""),1)</f>
        <v>1</v>
      </c>
      <c r="D1231" s="2">
        <f ca="1">IFERROR(__xludf.DUMMYFUNCTION("""COMPUTED_VALUE"""),1)</f>
        <v>1</v>
      </c>
      <c r="E1231" s="2">
        <f ca="1">IFERROR(__xludf.DUMMYFUNCTION("""COMPUTED_VALUE"""),0)</f>
        <v>0</v>
      </c>
    </row>
    <row r="1232" spans="1:5" ht="12.75">
      <c r="A1232" s="2" t="str">
        <f ca="1">IFERROR(__xludf.DUMMYFUNCTION("""COMPUTED_VALUE"""),"SXDAYTHEP009")</f>
        <v>SXDAYTHEP009</v>
      </c>
      <c r="B1232" s="2">
        <f ca="1">IFERROR(__xludf.DUMMYFUNCTION("""COMPUTED_VALUE"""),0)</f>
        <v>0</v>
      </c>
      <c r="C1232" s="2">
        <f ca="1">IFERROR(__xludf.DUMMYFUNCTION("""COMPUTED_VALUE"""),6274.2)</f>
        <v>6274.2</v>
      </c>
      <c r="D1232" s="2">
        <f ca="1">IFERROR(__xludf.DUMMYFUNCTION("""COMPUTED_VALUE"""),6274.2)</f>
        <v>6274.2</v>
      </c>
      <c r="E1232" s="2">
        <f ca="1">IFERROR(__xludf.DUMMYFUNCTION("""COMPUTED_VALUE"""),0)</f>
        <v>0</v>
      </c>
    </row>
    <row r="1233" spans="1:5" ht="12.75">
      <c r="A1233" s="2" t="str">
        <f ca="1">IFERROR(__xludf.DUMMYFUNCTION("""COMPUTED_VALUE"""),"SXDAYTHEP010")</f>
        <v>SXDAYTHEP010</v>
      </c>
      <c r="B1233" s="2">
        <f ca="1">IFERROR(__xludf.DUMMYFUNCTION("""COMPUTED_VALUE"""),0)</f>
        <v>0</v>
      </c>
      <c r="C1233" s="2">
        <f ca="1">IFERROR(__xludf.DUMMYFUNCTION("""COMPUTED_VALUE"""),2459.85)</f>
        <v>2459.85</v>
      </c>
      <c r="D1233" s="2">
        <f ca="1">IFERROR(__xludf.DUMMYFUNCTION("""COMPUTED_VALUE"""),2459.85)</f>
        <v>2459.85</v>
      </c>
      <c r="E1233" s="2">
        <f ca="1">IFERROR(__xludf.DUMMYFUNCTION("""COMPUTED_VALUE"""),0)</f>
        <v>0</v>
      </c>
    </row>
    <row r="1234" spans="1:5" ht="12.75">
      <c r="A1234" s="2" t="str">
        <f ca="1">IFERROR(__xludf.DUMMYFUNCTION("""COMPUTED_VALUE"""),"SXDAYTHEP010DB")</f>
        <v>SXDAYTHEP010DB</v>
      </c>
      <c r="B1234" s="2">
        <f ca="1">IFERROR(__xludf.DUMMYFUNCTION("""COMPUTED_VALUE"""),0)</f>
        <v>0</v>
      </c>
      <c r="C1234" s="2">
        <f ca="1">IFERROR(__xludf.DUMMYFUNCTION("""COMPUTED_VALUE"""),3)</f>
        <v>3</v>
      </c>
      <c r="D1234" s="2">
        <f ca="1">IFERROR(__xludf.DUMMYFUNCTION("""COMPUTED_VALUE"""),3)</f>
        <v>3</v>
      </c>
      <c r="E1234" s="2">
        <f ca="1">IFERROR(__xludf.DUMMYFUNCTION("""COMPUTED_VALUE"""),0)</f>
        <v>0</v>
      </c>
    </row>
    <row r="1235" spans="1:5" ht="12.75">
      <c r="A1235" s="2" t="str">
        <f ca="1">IFERROR(__xludf.DUMMYFUNCTION("""COMPUTED_VALUE"""),"SXDAYTHEP011")</f>
        <v>SXDAYTHEP011</v>
      </c>
      <c r="B1235" s="2">
        <f ca="1">IFERROR(__xludf.DUMMYFUNCTION("""COMPUTED_VALUE"""),0)</f>
        <v>0</v>
      </c>
      <c r="C1235" s="2">
        <f ca="1">IFERROR(__xludf.DUMMYFUNCTION("""COMPUTED_VALUE"""),2924.9)</f>
        <v>2924.9</v>
      </c>
      <c r="D1235" s="2">
        <f ca="1">IFERROR(__xludf.DUMMYFUNCTION("""COMPUTED_VALUE"""),2924.9)</f>
        <v>2924.9</v>
      </c>
      <c r="E1235" s="2">
        <f ca="1">IFERROR(__xludf.DUMMYFUNCTION("""COMPUTED_VALUE"""),0)</f>
        <v>0</v>
      </c>
    </row>
    <row r="1236" spans="1:5" ht="12.75">
      <c r="A1236" s="2" t="str">
        <f ca="1">IFERROR(__xludf.DUMMYFUNCTION("""COMPUTED_VALUE"""),"SXDAYTHEP011DB")</f>
        <v>SXDAYTHEP011DB</v>
      </c>
      <c r="B1236" s="2">
        <f ca="1">IFERROR(__xludf.DUMMYFUNCTION("""COMPUTED_VALUE"""),0)</f>
        <v>0</v>
      </c>
      <c r="C1236" s="2">
        <f ca="1">IFERROR(__xludf.DUMMYFUNCTION("""COMPUTED_VALUE"""),2.5)</f>
        <v>2.5</v>
      </c>
      <c r="D1236" s="2">
        <f ca="1">IFERROR(__xludf.DUMMYFUNCTION("""COMPUTED_VALUE"""),2.5)</f>
        <v>2.5</v>
      </c>
      <c r="E1236" s="2">
        <f ca="1">IFERROR(__xludf.DUMMYFUNCTION("""COMPUTED_VALUE"""),0)</f>
        <v>0</v>
      </c>
    </row>
    <row r="1237" spans="1:5" ht="12.75">
      <c r="A1237" s="2" t="str">
        <f ca="1">IFERROR(__xludf.DUMMYFUNCTION("""COMPUTED_VALUE"""),"SXDAYTHEP08")</f>
        <v>SXDAYTHEP08</v>
      </c>
      <c r="B1237" s="2">
        <f ca="1">IFERROR(__xludf.DUMMYFUNCTION("""COMPUTED_VALUE"""),0)</f>
        <v>0</v>
      </c>
      <c r="C1237" s="2">
        <f ca="1">IFERROR(__xludf.DUMMYFUNCTION("""COMPUTED_VALUE"""),1735)</f>
        <v>1735</v>
      </c>
      <c r="D1237" s="2">
        <f ca="1">IFERROR(__xludf.DUMMYFUNCTION("""COMPUTED_VALUE"""),1735)</f>
        <v>1735</v>
      </c>
      <c r="E1237" s="2">
        <f ca="1">IFERROR(__xludf.DUMMYFUNCTION("""COMPUTED_VALUE"""),0)</f>
        <v>0</v>
      </c>
    </row>
    <row r="1238" spans="1:5" ht="12.75">
      <c r="A1238" s="2" t="str">
        <f ca="1">IFERROR(__xludf.DUMMYFUNCTION("""COMPUTED_VALUE"""),"ACSV")</f>
        <v>ACSV</v>
      </c>
      <c r="B1238" s="2">
        <f ca="1">IFERROR(__xludf.DUMMYFUNCTION("""COMPUTED_VALUE"""),0)</f>
        <v>0</v>
      </c>
      <c r="C1238" s="2">
        <f ca="1">IFERROR(__xludf.DUMMYFUNCTION("""COMPUTED_VALUE"""),7)</f>
        <v>7</v>
      </c>
      <c r="D1238" s="2">
        <f ca="1">IFERROR(__xludf.DUMMYFUNCTION("""COMPUTED_VALUE"""),4)</f>
        <v>4</v>
      </c>
      <c r="E1238" s="2">
        <f ca="1">IFERROR(__xludf.DUMMYFUNCTION("""COMPUTED_VALUE"""),3)</f>
        <v>3</v>
      </c>
    </row>
    <row r="1239" spans="1:5" ht="12.75">
      <c r="A1239" s="2" t="str">
        <f ca="1">IFERROR(__xludf.DUMMYFUNCTION("""COMPUTED_VALUE"""),"ACSVVIP")</f>
        <v>ACSVVIP</v>
      </c>
      <c r="B1239" s="2">
        <f ca="1">IFERROR(__xludf.DUMMYFUNCTION("""COMPUTED_VALUE"""),0)</f>
        <v>0</v>
      </c>
      <c r="C1239" s="2">
        <f ca="1">IFERROR(__xludf.DUMMYFUNCTION("""COMPUTED_VALUE"""),3)</f>
        <v>3</v>
      </c>
      <c r="D1239" s="2">
        <f ca="1">IFERROR(__xludf.DUMMYFUNCTION("""COMPUTED_VALUE"""),0)</f>
        <v>0</v>
      </c>
      <c r="E1239" s="2">
        <f ca="1">IFERROR(__xludf.DUMMYFUNCTION("""COMPUTED_VALUE"""),3)</f>
        <v>3</v>
      </c>
    </row>
    <row r="1240" spans="1:5" ht="12.75">
      <c r="A1240" s="2" t="str">
        <f ca="1">IFERROR(__xludf.DUMMYFUNCTION("""COMPUTED_VALUE"""),"ACTDL")</f>
        <v>ACTDL</v>
      </c>
      <c r="B1240" s="2">
        <f ca="1">IFERROR(__xludf.DUMMYFUNCTION("""COMPUTED_VALUE"""),0)</f>
        <v>0</v>
      </c>
      <c r="C1240" s="2">
        <f ca="1">IFERROR(__xludf.DUMMYFUNCTION("""COMPUTED_VALUE"""),101)</f>
        <v>101</v>
      </c>
      <c r="D1240" s="2">
        <f ca="1">IFERROR(__xludf.DUMMYFUNCTION("""COMPUTED_VALUE"""),98)</f>
        <v>98</v>
      </c>
      <c r="E1240" s="2">
        <f ca="1">IFERROR(__xludf.DUMMYFUNCTION("""COMPUTED_VALUE"""),3)</f>
        <v>3</v>
      </c>
    </row>
    <row r="1241" spans="1:5" ht="12.75">
      <c r="A1241" s="2" t="str">
        <f ca="1">IFERROR(__xludf.DUMMYFUNCTION("""COMPUTED_VALUE"""),"ACTV")</f>
        <v>ACTV</v>
      </c>
      <c r="B1241" s="2">
        <f ca="1">IFERROR(__xludf.DUMMYFUNCTION("""COMPUTED_VALUE"""),0)</f>
        <v>0</v>
      </c>
      <c r="C1241" s="2">
        <f ca="1">IFERROR(__xludf.DUMMYFUNCTION("""COMPUTED_VALUE"""),7)</f>
        <v>7</v>
      </c>
      <c r="D1241" s="2">
        <f ca="1">IFERROR(__xludf.DUMMYFUNCTION("""COMPUTED_VALUE"""),6)</f>
        <v>6</v>
      </c>
      <c r="E1241" s="2">
        <f ca="1">IFERROR(__xludf.DUMMYFUNCTION("""COMPUTED_VALUE"""),1)</f>
        <v>1</v>
      </c>
    </row>
    <row r="1242" spans="1:5" ht="12.75">
      <c r="A1242" s="2" t="str">
        <f ca="1">IFERROR(__xludf.DUMMYFUNCTION("""COMPUTED_VALUE"""),"BCTRANGSGM")</f>
        <v>BCTRANGSGM</v>
      </c>
      <c r="B1242" s="2">
        <f ca="1">IFERROR(__xludf.DUMMYFUNCTION("""COMPUTED_VALUE"""),0)</f>
        <v>0</v>
      </c>
      <c r="C1242" s="2">
        <f ca="1">IFERROR(__xludf.DUMMYFUNCTION("""COMPUTED_VALUE"""),4886.4)</f>
        <v>4886.3999999999996</v>
      </c>
      <c r="D1242" s="2">
        <f ca="1">IFERROR(__xludf.DUMMYFUNCTION("""COMPUTED_VALUE"""),0)</f>
        <v>0</v>
      </c>
      <c r="E1242" s="2">
        <f ca="1">IFERROR(__xludf.DUMMYFUNCTION("""COMPUTED_VALUE"""),4886.4)</f>
        <v>4886.3999999999996</v>
      </c>
    </row>
    <row r="1243" spans="1:5" ht="12.75">
      <c r="A1243" s="2" t="str">
        <f ca="1">IFERROR(__xludf.DUMMYFUNCTION("""COMPUTED_VALUE"""),"BKDH60X60CB")</f>
        <v>BKDH60X60CB</v>
      </c>
      <c r="B1243" s="2">
        <f ca="1">IFERROR(__xludf.DUMMYFUNCTION("""COMPUTED_VALUE"""),0)</f>
        <v>0</v>
      </c>
      <c r="C1243" s="2">
        <f ca="1">IFERROR(__xludf.DUMMYFUNCTION("""COMPUTED_VALUE"""),43)</f>
        <v>43</v>
      </c>
      <c r="D1243" s="2">
        <f ca="1">IFERROR(__xludf.DUMMYFUNCTION("""COMPUTED_VALUE"""),0)</f>
        <v>0</v>
      </c>
      <c r="E1243" s="2">
        <f ca="1">IFERROR(__xludf.DUMMYFUNCTION("""COMPUTED_VALUE"""),43)</f>
        <v>43</v>
      </c>
    </row>
    <row r="1244" spans="1:5" ht="12.75">
      <c r="A1244" s="2" t="str">
        <f ca="1">IFERROR(__xludf.DUMMYFUNCTION("""COMPUTED_VALUE"""),"BKDO16940CB")</f>
        <v>BKDO16940CB</v>
      </c>
      <c r="B1244" s="2">
        <f ca="1">IFERROR(__xludf.DUMMYFUNCTION("""COMPUTED_VALUE"""),0)</f>
        <v>0</v>
      </c>
      <c r="C1244" s="2">
        <f ca="1">IFERROR(__xludf.DUMMYFUNCTION("""COMPUTED_VALUE"""),6)</f>
        <v>6</v>
      </c>
      <c r="D1244" s="2">
        <f ca="1">IFERROR(__xludf.DUMMYFUNCTION("""COMPUTED_VALUE"""),0)</f>
        <v>0</v>
      </c>
      <c r="E1244" s="2">
        <f ca="1">IFERROR(__xludf.DUMMYFUNCTION("""COMPUTED_VALUE"""),6)</f>
        <v>6</v>
      </c>
    </row>
    <row r="1245" spans="1:5" ht="12.75">
      <c r="A1245" s="2" t="str">
        <f ca="1">IFERROR(__xludf.DUMMYFUNCTION("""COMPUTED_VALUE"""),"BTTO114X50CB")</f>
        <v>BTTO114X50CB</v>
      </c>
      <c r="B1245" s="2">
        <f ca="1">IFERROR(__xludf.DUMMYFUNCTION("""COMPUTED_VALUE"""),0)</f>
        <v>0</v>
      </c>
      <c r="C1245" s="2">
        <f ca="1">IFERROR(__xludf.DUMMYFUNCTION("""COMPUTED_VALUE"""),161)</f>
        <v>161</v>
      </c>
      <c r="D1245" s="2">
        <f ca="1">IFERROR(__xludf.DUMMYFUNCTION("""COMPUTED_VALUE"""),0)</f>
        <v>0</v>
      </c>
      <c r="E1245" s="2">
        <f ca="1">IFERROR(__xludf.DUMMYFUNCTION("""COMPUTED_VALUE"""),161)</f>
        <v>161</v>
      </c>
    </row>
    <row r="1246" spans="1:5" ht="12.75">
      <c r="A1246" s="2" t="str">
        <f ca="1">IFERROR(__xludf.DUMMYFUNCTION("""COMPUTED_VALUE"""),"BTTO43X60CB")</f>
        <v>BTTO43X60CB</v>
      </c>
      <c r="B1246" s="2">
        <f ca="1">IFERROR(__xludf.DUMMYFUNCTION("""COMPUTED_VALUE"""),0)</f>
        <v>0</v>
      </c>
      <c r="C1246" s="2">
        <f ca="1">IFERROR(__xludf.DUMMYFUNCTION("""COMPUTED_VALUE"""),20)</f>
        <v>20</v>
      </c>
      <c r="D1246" s="2">
        <f ca="1">IFERROR(__xludf.DUMMYFUNCTION("""COMPUTED_VALUE"""),0)</f>
        <v>0</v>
      </c>
      <c r="E1246" s="2">
        <f ca="1">IFERROR(__xludf.DUMMYFUNCTION("""COMPUTED_VALUE"""),20)</f>
        <v>20</v>
      </c>
    </row>
    <row r="1247" spans="1:5" ht="12.75">
      <c r="A1247" s="2" t="str">
        <f ca="1">IFERROR(__xludf.DUMMYFUNCTION("""COMPUTED_VALUE"""),"BTTO89X50CB")</f>
        <v>BTTO89X50CB</v>
      </c>
      <c r="B1247" s="2">
        <f ca="1">IFERROR(__xludf.DUMMYFUNCTION("""COMPUTED_VALUE"""),0)</f>
        <v>0</v>
      </c>
      <c r="C1247" s="2">
        <f ca="1">IFERROR(__xludf.DUMMYFUNCTION("""COMPUTED_VALUE"""),6)</f>
        <v>6</v>
      </c>
      <c r="D1247" s="2">
        <f ca="1">IFERROR(__xludf.DUMMYFUNCTION("""COMPUTED_VALUE"""),0)</f>
        <v>0</v>
      </c>
      <c r="E1247" s="2">
        <f ca="1">IFERROR(__xludf.DUMMYFUNCTION("""COMPUTED_VALUE"""),6)</f>
        <v>6</v>
      </c>
    </row>
    <row r="1248" spans="1:5" ht="12.75">
      <c r="A1248" s="2" t="str">
        <f ca="1">IFERROR(__xludf.DUMMYFUNCTION("""COMPUTED_VALUE"""),"DOC0635040")</f>
        <v>DOC0635040</v>
      </c>
      <c r="B1248" s="2">
        <f ca="1">IFERROR(__xludf.DUMMYFUNCTION("""COMPUTED_VALUE"""),0)</f>
        <v>0</v>
      </c>
      <c r="C1248" s="2">
        <f ca="1">IFERROR(__xludf.DUMMYFUNCTION("""COMPUTED_VALUE"""),323)</f>
        <v>323</v>
      </c>
      <c r="D1248" s="2">
        <f ca="1">IFERROR(__xludf.DUMMYFUNCTION("""COMPUTED_VALUE"""),0)</f>
        <v>0</v>
      </c>
      <c r="E1248" s="2">
        <f ca="1">IFERROR(__xludf.DUMMYFUNCTION("""COMPUTED_VALUE"""),323)</f>
        <v>323</v>
      </c>
    </row>
    <row r="1249" spans="1:5" ht="12.75">
      <c r="A1249" s="2" t="str">
        <f ca="1">IFERROR(__xludf.DUMMYFUNCTION("""COMPUTED_VALUE"""),"DOC0635051")</f>
        <v>DOC0635051</v>
      </c>
      <c r="B1249" s="2">
        <f ca="1">IFERROR(__xludf.DUMMYFUNCTION("""COMPUTED_VALUE"""),0)</f>
        <v>0</v>
      </c>
      <c r="C1249" s="2">
        <f ca="1">IFERROR(__xludf.DUMMYFUNCTION("""COMPUTED_VALUE"""),240)</f>
        <v>240</v>
      </c>
      <c r="D1249" s="2">
        <f ca="1">IFERROR(__xludf.DUMMYFUNCTION("""COMPUTED_VALUE"""),0)</f>
        <v>0</v>
      </c>
      <c r="E1249" s="2">
        <f ca="1">IFERROR(__xludf.DUMMYFUNCTION("""COMPUTED_VALUE"""),240)</f>
        <v>240</v>
      </c>
    </row>
    <row r="1250" spans="1:5" ht="12.75">
      <c r="A1250" s="2" t="str">
        <f ca="1">IFERROR(__xludf.DUMMYFUNCTION("""COMPUTED_VALUE"""),"DOC0635066")</f>
        <v>DOC0635066</v>
      </c>
      <c r="B1250" s="2">
        <f ca="1">IFERROR(__xludf.DUMMYFUNCTION("""COMPUTED_VALUE"""),0)</f>
        <v>0</v>
      </c>
      <c r="C1250" s="2">
        <f ca="1">IFERROR(__xludf.DUMMYFUNCTION("""COMPUTED_VALUE"""),310)</f>
        <v>310</v>
      </c>
      <c r="D1250" s="2">
        <f ca="1">IFERROR(__xludf.DUMMYFUNCTION("""COMPUTED_VALUE"""),0)</f>
        <v>0</v>
      </c>
      <c r="E1250" s="2">
        <f ca="1">IFERROR(__xludf.DUMMYFUNCTION("""COMPUTED_VALUE"""),310)</f>
        <v>310</v>
      </c>
    </row>
    <row r="1251" spans="1:5" ht="12.75">
      <c r="A1251" s="2" t="str">
        <f ca="1">IFERROR(__xludf.DUMMYFUNCTION("""COMPUTED_VALUE"""),"DOC0794071")</f>
        <v>DOC0794071</v>
      </c>
      <c r="B1251" s="2">
        <f ca="1">IFERROR(__xludf.DUMMYFUNCTION("""COMPUTED_VALUE"""),0)</f>
        <v>0</v>
      </c>
      <c r="C1251" s="2">
        <f ca="1">IFERROR(__xludf.DUMMYFUNCTION("""COMPUTED_VALUE"""),2)</f>
        <v>2</v>
      </c>
      <c r="D1251" s="2">
        <f ca="1">IFERROR(__xludf.DUMMYFUNCTION("""COMPUTED_VALUE"""),0)</f>
        <v>0</v>
      </c>
      <c r="E1251" s="2">
        <f ca="1">IFERROR(__xludf.DUMMYFUNCTION("""COMPUTED_VALUE"""),2)</f>
        <v>2</v>
      </c>
    </row>
    <row r="1252" spans="1:5" ht="12.75">
      <c r="A1252" s="2" t="str">
        <f ca="1">IFERROR(__xludf.DUMMYFUNCTION("""COMPUTED_VALUE"""),"DOC0952055")</f>
        <v>DOC0952055</v>
      </c>
      <c r="B1252" s="2">
        <f ca="1">IFERROR(__xludf.DUMMYFUNCTION("""COMPUTED_VALUE"""),0)</f>
        <v>0</v>
      </c>
      <c r="C1252" s="2">
        <f ca="1">IFERROR(__xludf.DUMMYFUNCTION("""COMPUTED_VALUE"""),3)</f>
        <v>3</v>
      </c>
      <c r="D1252" s="2">
        <f ca="1">IFERROR(__xludf.DUMMYFUNCTION("""COMPUTED_VALUE"""),0)</f>
        <v>0</v>
      </c>
      <c r="E1252" s="2">
        <f ca="1">IFERROR(__xludf.DUMMYFUNCTION("""COMPUTED_VALUE"""),3)</f>
        <v>3</v>
      </c>
    </row>
    <row r="1253" spans="1:5" ht="12.75">
      <c r="A1253" s="2" t="str">
        <f ca="1">IFERROR(__xludf.DUMMYFUNCTION("""COMPUTED_VALUE"""),"DOC0952081")</f>
        <v>DOC0952081</v>
      </c>
      <c r="B1253" s="2">
        <f ca="1">IFERROR(__xludf.DUMMYFUNCTION("""COMPUTED_VALUE"""),0)</f>
        <v>0</v>
      </c>
      <c r="C1253" s="2">
        <f ca="1">IFERROR(__xludf.DUMMYFUNCTION("""COMPUTED_VALUE"""),231)</f>
        <v>231</v>
      </c>
      <c r="D1253" s="2">
        <f ca="1">IFERROR(__xludf.DUMMYFUNCTION("""COMPUTED_VALUE"""),0)</f>
        <v>0</v>
      </c>
      <c r="E1253" s="2">
        <f ca="1">IFERROR(__xludf.DUMMYFUNCTION("""COMPUTED_VALUE"""),231)</f>
        <v>231</v>
      </c>
    </row>
    <row r="1254" spans="1:5" ht="12.75">
      <c r="A1254" s="2" t="str">
        <f ca="1">IFERROR(__xludf.DUMMYFUNCTION("""COMPUTED_VALUE"""),"DOC1588100")</f>
        <v>DOC1588100</v>
      </c>
      <c r="B1254" s="2">
        <f ca="1">IFERROR(__xludf.DUMMYFUNCTION("""COMPUTED_VALUE"""),0)</f>
        <v>0</v>
      </c>
      <c r="C1254" s="2">
        <f ca="1">IFERROR(__xludf.DUMMYFUNCTION("""COMPUTED_VALUE"""),123)</f>
        <v>123</v>
      </c>
      <c r="D1254" s="2">
        <f ca="1">IFERROR(__xludf.DUMMYFUNCTION("""COMPUTED_VALUE"""),0)</f>
        <v>0</v>
      </c>
      <c r="E1254" s="2">
        <f ca="1">IFERROR(__xludf.DUMMYFUNCTION("""COMPUTED_VALUE"""),123)</f>
        <v>123</v>
      </c>
    </row>
    <row r="1255" spans="1:5" ht="12.75">
      <c r="A1255" s="2" t="str">
        <f ca="1">IFERROR(__xludf.DUMMYFUNCTION("""COMPUTED_VALUE"""),"DOCHL063505615")</f>
        <v>DOCHL063505615</v>
      </c>
      <c r="B1255" s="2">
        <f ca="1">IFERROR(__xludf.DUMMYFUNCTION("""COMPUTED_VALUE"""),0)</f>
        <v>0</v>
      </c>
      <c r="C1255" s="2">
        <f ca="1">IFERROR(__xludf.DUMMYFUNCTION("""COMPUTED_VALUE"""),2)</f>
        <v>2</v>
      </c>
      <c r="D1255" s="2">
        <f ca="1">IFERROR(__xludf.DUMMYFUNCTION("""COMPUTED_VALUE"""),0)</f>
        <v>0</v>
      </c>
      <c r="E1255" s="2">
        <f ca="1">IFERROR(__xludf.DUMMYFUNCTION("""COMPUTED_VALUE"""),2)</f>
        <v>2</v>
      </c>
    </row>
    <row r="1256" spans="1:5" ht="12.75">
      <c r="A1256" s="2" t="str">
        <f ca="1">IFERROR(__xludf.DUMMYFUNCTION("""COMPUTED_VALUE"""),"DOCHL095207115")</f>
        <v>DOCHL095207115</v>
      </c>
      <c r="B1256" s="2">
        <f ca="1">IFERROR(__xludf.DUMMYFUNCTION("""COMPUTED_VALUE"""),0)</f>
        <v>0</v>
      </c>
      <c r="C1256" s="2">
        <f ca="1">IFERROR(__xludf.DUMMYFUNCTION("""COMPUTED_VALUE"""),328)</f>
        <v>328</v>
      </c>
      <c r="D1256" s="2">
        <f ca="1">IFERROR(__xludf.DUMMYFUNCTION("""COMPUTED_VALUE"""),0)</f>
        <v>0</v>
      </c>
      <c r="E1256" s="2">
        <f ca="1">IFERROR(__xludf.DUMMYFUNCTION("""COMPUTED_VALUE"""),328)</f>
        <v>328</v>
      </c>
    </row>
    <row r="1257" spans="1:5" ht="12.75">
      <c r="A1257" s="2" t="str">
        <f ca="1">IFERROR(__xludf.DUMMYFUNCTION("""COMPUTED_VALUE"""),"DOCHL158809115")</f>
        <v>DOCHL158809115</v>
      </c>
      <c r="B1257" s="2">
        <f ca="1">IFERROR(__xludf.DUMMYFUNCTION("""COMPUTED_VALUE"""),0)</f>
        <v>0</v>
      </c>
      <c r="C1257" s="2">
        <f ca="1">IFERROR(__xludf.DUMMYFUNCTION("""COMPUTED_VALUE"""),2)</f>
        <v>2</v>
      </c>
      <c r="D1257" s="2">
        <f ca="1">IFERROR(__xludf.DUMMYFUNCTION("""COMPUTED_VALUE"""),0)</f>
        <v>0</v>
      </c>
      <c r="E1257" s="2">
        <f ca="1">IFERROR(__xludf.DUMMYFUNCTION("""COMPUTED_VALUE"""),2)</f>
        <v>2</v>
      </c>
    </row>
    <row r="1258" spans="1:5" ht="12.75">
      <c r="A1258" s="2" t="str">
        <f ca="1">IFERROR(__xludf.DUMMYFUNCTION("""COMPUTED_VALUE"""),"DOCHL190507115")</f>
        <v>DOCHL190507115</v>
      </c>
      <c r="B1258" s="2">
        <f ca="1">IFERROR(__xludf.DUMMYFUNCTION("""COMPUTED_VALUE"""),0)</f>
        <v>0</v>
      </c>
      <c r="C1258" s="2">
        <f ca="1">IFERROR(__xludf.DUMMYFUNCTION("""COMPUTED_VALUE"""),9)</f>
        <v>9</v>
      </c>
      <c r="D1258" s="2">
        <f ca="1">IFERROR(__xludf.DUMMYFUNCTION("""COMPUTED_VALUE"""),0)</f>
        <v>0</v>
      </c>
      <c r="E1258" s="2">
        <f ca="1">IFERROR(__xludf.DUMMYFUNCTION("""COMPUTED_VALUE"""),9)</f>
        <v>9</v>
      </c>
    </row>
    <row r="1259" spans="1:5" ht="12.75">
      <c r="A1259" s="2" t="str">
        <f ca="1">IFERROR(__xludf.DUMMYFUNCTION("""COMPUTED_VALUE"""),"DOCHLTS0635071")</f>
        <v>DOCHLTS0635071</v>
      </c>
      <c r="B1259" s="2">
        <f ca="1">IFERROR(__xludf.DUMMYFUNCTION("""COMPUTED_VALUE"""),0)</f>
        <v>0</v>
      </c>
      <c r="C1259" s="2">
        <f ca="1">IFERROR(__xludf.DUMMYFUNCTION("""COMPUTED_VALUE"""),396)</f>
        <v>396</v>
      </c>
      <c r="D1259" s="2">
        <f ca="1">IFERROR(__xludf.DUMMYFUNCTION("""COMPUTED_VALUE"""),0)</f>
        <v>0</v>
      </c>
      <c r="E1259" s="2">
        <f ca="1">IFERROR(__xludf.DUMMYFUNCTION("""COMPUTED_VALUE"""),396)</f>
        <v>396</v>
      </c>
    </row>
    <row r="1260" spans="1:5" ht="12.75">
      <c r="A1260" s="2" t="str">
        <f ca="1">IFERROR(__xludf.DUMMYFUNCTION("""COMPUTED_VALUE"""),"DOCHLTS1905100")</f>
        <v>DOCHLTS1905100</v>
      </c>
      <c r="B1260" s="2">
        <f ca="1">IFERROR(__xludf.DUMMYFUNCTION("""COMPUTED_VALUE"""),0)</f>
        <v>0</v>
      </c>
      <c r="C1260" s="2">
        <f ca="1">IFERROR(__xludf.DUMMYFUNCTION("""COMPUTED_VALUE"""),186)</f>
        <v>186</v>
      </c>
      <c r="D1260" s="2">
        <f ca="1">IFERROR(__xludf.DUMMYFUNCTION("""COMPUTED_VALUE"""),0)</f>
        <v>0</v>
      </c>
      <c r="E1260" s="2">
        <f ca="1">IFERROR(__xludf.DUMMYFUNCTION("""COMPUTED_VALUE"""),186)</f>
        <v>186</v>
      </c>
    </row>
    <row r="1261" spans="1:5" ht="12.75">
      <c r="A1261" s="2" t="str">
        <f ca="1">IFERROR(__xludf.DUMMYFUNCTION("""COMPUTED_VALUE"""),"DOCRB0635071")</f>
        <v>DOCRB0635071</v>
      </c>
      <c r="B1261" s="2">
        <f ca="1">IFERROR(__xludf.DUMMYFUNCTION("""COMPUTED_VALUE"""),0)</f>
        <v>0</v>
      </c>
      <c r="C1261" s="2">
        <f ca="1">IFERROR(__xludf.DUMMYFUNCTION("""COMPUTED_VALUE"""),132)</f>
        <v>132</v>
      </c>
      <c r="D1261" s="2">
        <f ca="1">IFERROR(__xludf.DUMMYFUNCTION("""COMPUTED_VALUE"""),0)</f>
        <v>0</v>
      </c>
      <c r="E1261" s="2">
        <f ca="1">IFERROR(__xludf.DUMMYFUNCTION("""COMPUTED_VALUE"""),132)</f>
        <v>132</v>
      </c>
    </row>
    <row r="1262" spans="1:5" ht="12.75">
      <c r="A1262" s="2" t="str">
        <f ca="1">IFERROR(__xludf.DUMMYFUNCTION("""COMPUTED_VALUE"""),"DOCRB0952071")</f>
        <v>DOCRB0952071</v>
      </c>
      <c r="B1262" s="2">
        <f ca="1">IFERROR(__xludf.DUMMYFUNCTION("""COMPUTED_VALUE"""),0)</f>
        <v>0</v>
      </c>
      <c r="C1262" s="2">
        <f ca="1">IFERROR(__xludf.DUMMYFUNCTION("""COMPUTED_VALUE"""),30)</f>
        <v>30</v>
      </c>
      <c r="D1262" s="2">
        <f ca="1">IFERROR(__xludf.DUMMYFUNCTION("""COMPUTED_VALUE"""),0)</f>
        <v>0</v>
      </c>
      <c r="E1262" s="2">
        <f ca="1">IFERROR(__xludf.DUMMYFUNCTION("""COMPUTED_VALUE"""),30)</f>
        <v>30</v>
      </c>
    </row>
    <row r="1263" spans="1:5" ht="12.75">
      <c r="A1263" s="2" t="str">
        <f ca="1">IFERROR(__xludf.DUMMYFUNCTION("""COMPUTED_VALUE"""),"DOCRB0952081")</f>
        <v>DOCRB0952081</v>
      </c>
      <c r="B1263" s="2">
        <f ca="1">IFERROR(__xludf.DUMMYFUNCTION("""COMPUTED_VALUE"""),0)</f>
        <v>0</v>
      </c>
      <c r="C1263" s="2">
        <f ca="1">IFERROR(__xludf.DUMMYFUNCTION("""COMPUTED_VALUE"""),214)</f>
        <v>214</v>
      </c>
      <c r="D1263" s="2">
        <f ca="1">IFERROR(__xludf.DUMMYFUNCTION("""COMPUTED_VALUE"""),0)</f>
        <v>0</v>
      </c>
      <c r="E1263" s="2">
        <f ca="1">IFERROR(__xludf.DUMMYFUNCTION("""COMPUTED_VALUE"""),214)</f>
        <v>214</v>
      </c>
    </row>
    <row r="1264" spans="1:5" ht="12.75">
      <c r="A1264" s="2" t="str">
        <f ca="1">IFERROR(__xludf.DUMMYFUNCTION("""COMPUTED_VALUE"""),"DOCRB1270071")</f>
        <v>DOCRB1270071</v>
      </c>
      <c r="B1264" s="2">
        <f ca="1">IFERROR(__xludf.DUMMYFUNCTION("""COMPUTED_VALUE"""),0)</f>
        <v>0</v>
      </c>
      <c r="C1264" s="2">
        <f ca="1">IFERROR(__xludf.DUMMYFUNCTION("""COMPUTED_VALUE"""),158)</f>
        <v>158</v>
      </c>
      <c r="D1264" s="2">
        <f ca="1">IFERROR(__xludf.DUMMYFUNCTION("""COMPUTED_VALUE"""),0)</f>
        <v>0</v>
      </c>
      <c r="E1264" s="2">
        <f ca="1">IFERROR(__xludf.DUMMYFUNCTION("""COMPUTED_VALUE"""),158)</f>
        <v>158</v>
      </c>
    </row>
    <row r="1265" spans="1:5" ht="12.75">
      <c r="A1265" s="2" t="str">
        <f ca="1">IFERROR(__xludf.DUMMYFUNCTION("""COMPUTED_VALUE"""),"DOCRB1270081")</f>
        <v>DOCRB1270081</v>
      </c>
      <c r="B1265" s="2">
        <f ca="1">IFERROR(__xludf.DUMMYFUNCTION("""COMPUTED_VALUE"""),0)</f>
        <v>0</v>
      </c>
      <c r="C1265" s="2">
        <f ca="1">IFERROR(__xludf.DUMMYFUNCTION("""COMPUTED_VALUE"""),107)</f>
        <v>107</v>
      </c>
      <c r="D1265" s="2">
        <f ca="1">IFERROR(__xludf.DUMMYFUNCTION("""COMPUTED_VALUE"""),0)</f>
        <v>0</v>
      </c>
      <c r="E1265" s="2">
        <f ca="1">IFERROR(__xludf.DUMMYFUNCTION("""COMPUTED_VALUE"""),107)</f>
        <v>107</v>
      </c>
    </row>
    <row r="1266" spans="1:5" ht="12.75">
      <c r="A1266" s="2" t="str">
        <f ca="1">IFERROR(__xludf.DUMMYFUNCTION("""COMPUTED_VALUE"""),"DOCRB1588071")</f>
        <v>DOCRB1588071</v>
      </c>
      <c r="B1266" s="2">
        <f ca="1">IFERROR(__xludf.DUMMYFUNCTION("""COMPUTED_VALUE"""),0)</f>
        <v>0</v>
      </c>
      <c r="C1266" s="2">
        <f ca="1">IFERROR(__xludf.DUMMYFUNCTION("""COMPUTED_VALUE"""),47)</f>
        <v>47</v>
      </c>
      <c r="D1266" s="2">
        <f ca="1">IFERROR(__xludf.DUMMYFUNCTION("""COMPUTED_VALUE"""),0)</f>
        <v>0</v>
      </c>
      <c r="E1266" s="2">
        <f ca="1">IFERROR(__xludf.DUMMYFUNCTION("""COMPUTED_VALUE"""),47)</f>
        <v>47</v>
      </c>
    </row>
    <row r="1267" spans="1:5" ht="12.75">
      <c r="A1267" s="2" t="str">
        <f ca="1">IFERROR(__xludf.DUMMYFUNCTION("""COMPUTED_VALUE"""),"DOCRB1588081")</f>
        <v>DOCRB1588081</v>
      </c>
      <c r="B1267" s="2">
        <f ca="1">IFERROR(__xludf.DUMMYFUNCTION("""COMPUTED_VALUE"""),0)</f>
        <v>0</v>
      </c>
      <c r="C1267" s="2">
        <f ca="1">IFERROR(__xludf.DUMMYFUNCTION("""COMPUTED_VALUE"""),100)</f>
        <v>100</v>
      </c>
      <c r="D1267" s="2">
        <f ca="1">IFERROR(__xludf.DUMMYFUNCTION("""COMPUTED_VALUE"""),0)</f>
        <v>0</v>
      </c>
      <c r="E1267" s="2">
        <f ca="1">IFERROR(__xludf.DUMMYFUNCTION("""COMPUTED_VALUE"""),100)</f>
        <v>100</v>
      </c>
    </row>
    <row r="1268" spans="1:5" ht="12.75">
      <c r="A1268" s="2" t="str">
        <f ca="1">IFERROR(__xludf.DUMMYFUNCTION("""COMPUTED_VALUE"""),"DOCRB1905100")</f>
        <v>DOCRB1905100</v>
      </c>
      <c r="B1268" s="2">
        <f ca="1">IFERROR(__xludf.DUMMYFUNCTION("""COMPUTED_VALUE"""),0)</f>
        <v>0</v>
      </c>
      <c r="C1268" s="2">
        <f ca="1">IFERROR(__xludf.DUMMYFUNCTION("""COMPUTED_VALUE"""),8)</f>
        <v>8</v>
      </c>
      <c r="D1268" s="2">
        <f ca="1">IFERROR(__xludf.DUMMYFUNCTION("""COMPUTED_VALUE"""),0)</f>
        <v>0</v>
      </c>
      <c r="E1268" s="2">
        <f ca="1">IFERROR(__xludf.DUMMYFUNCTION("""COMPUTED_VALUE"""),8)</f>
        <v>8</v>
      </c>
    </row>
    <row r="1269" spans="1:5" ht="12.75">
      <c r="A1269" s="2" t="str">
        <f ca="1">IFERROR(__xludf.DUMMYFUNCTION("""COMPUTED_VALUE"""),"DOCTAISEI0635081")</f>
        <v>DOCTAISEI0635081</v>
      </c>
      <c r="B1269" s="2">
        <f ca="1">IFERROR(__xludf.DUMMYFUNCTION("""COMPUTED_VALUE"""),0)</f>
        <v>0</v>
      </c>
      <c r="C1269" s="2">
        <f ca="1">IFERROR(__xludf.DUMMYFUNCTION("""COMPUTED_VALUE"""),60)</f>
        <v>60</v>
      </c>
      <c r="D1269" s="2">
        <f ca="1">IFERROR(__xludf.DUMMYFUNCTION("""COMPUTED_VALUE"""),0)</f>
        <v>0</v>
      </c>
      <c r="E1269" s="2">
        <f ca="1">IFERROR(__xludf.DUMMYFUNCTION("""COMPUTED_VALUE"""),60)</f>
        <v>60</v>
      </c>
    </row>
    <row r="1270" spans="1:5" ht="12.75">
      <c r="A1270" s="2" t="str">
        <f ca="1">IFERROR(__xludf.DUMMYFUNCTION("""COMPUTED_VALUE"""),"DOCTAISEI0952071")</f>
        <v>DOCTAISEI0952071</v>
      </c>
      <c r="B1270" s="2">
        <f ca="1">IFERROR(__xludf.DUMMYFUNCTION("""COMPUTED_VALUE"""),0)</f>
        <v>0</v>
      </c>
      <c r="C1270" s="2">
        <f ca="1">IFERROR(__xludf.DUMMYFUNCTION("""COMPUTED_VALUE"""),324)</f>
        <v>324</v>
      </c>
      <c r="D1270" s="2">
        <f ca="1">IFERROR(__xludf.DUMMYFUNCTION("""COMPUTED_VALUE"""),0)</f>
        <v>0</v>
      </c>
      <c r="E1270" s="2">
        <f ca="1">IFERROR(__xludf.DUMMYFUNCTION("""COMPUTED_VALUE"""),324)</f>
        <v>324</v>
      </c>
    </row>
    <row r="1271" spans="1:5" ht="12.75">
      <c r="A1271" s="2" t="str">
        <f ca="1">IFERROR(__xludf.DUMMYFUNCTION("""COMPUTED_VALUE"""),"DOHLLWC0635081")</f>
        <v>DOHLLWC0635081</v>
      </c>
      <c r="B1271" s="2">
        <f ca="1">IFERROR(__xludf.DUMMYFUNCTION("""COMPUTED_VALUE"""),0)</f>
        <v>0</v>
      </c>
      <c r="C1271" s="2">
        <f ca="1">IFERROR(__xludf.DUMMYFUNCTION("""COMPUTED_VALUE"""),167)</f>
        <v>167</v>
      </c>
      <c r="D1271" s="2">
        <f ca="1">IFERROR(__xludf.DUMMYFUNCTION("""COMPUTED_VALUE"""),0)</f>
        <v>0</v>
      </c>
      <c r="E1271" s="2">
        <f ca="1">IFERROR(__xludf.DUMMYFUNCTION("""COMPUTED_VALUE"""),167)</f>
        <v>167</v>
      </c>
    </row>
    <row r="1272" spans="1:5" ht="12.75">
      <c r="A1272" s="2" t="str">
        <f ca="1">IFERROR(__xludf.DUMMYFUNCTION("""COMPUTED_VALUE"""),"DOHLLWC1270081")</f>
        <v>DOHLLWC1270081</v>
      </c>
      <c r="B1272" s="2">
        <f ca="1">IFERROR(__xludf.DUMMYFUNCTION("""COMPUTED_VALUE"""),0)</f>
        <v>0</v>
      </c>
      <c r="C1272" s="2">
        <f ca="1">IFERROR(__xludf.DUMMYFUNCTION("""COMPUTED_VALUE"""),1317.5)</f>
        <v>1317.5</v>
      </c>
      <c r="D1272" s="2">
        <f ca="1">IFERROR(__xludf.DUMMYFUNCTION("""COMPUTED_VALUE"""),0)</f>
        <v>0</v>
      </c>
      <c r="E1272" s="2">
        <f ca="1">IFERROR(__xludf.DUMMYFUNCTION("""COMPUTED_VALUE"""),1317.5)</f>
        <v>1317.5</v>
      </c>
    </row>
    <row r="1273" spans="1:5" ht="12.75">
      <c r="A1273" s="2" t="str">
        <f ca="1">IFERROR(__xludf.DUMMYFUNCTION("""COMPUTED_VALUE"""),"DOHLLWC1905102")</f>
        <v>DOHLLWC1905102</v>
      </c>
      <c r="B1273" s="2">
        <f ca="1">IFERROR(__xludf.DUMMYFUNCTION("""COMPUTED_VALUE"""),0)</f>
        <v>0</v>
      </c>
      <c r="C1273" s="2">
        <f ca="1">IFERROR(__xludf.DUMMYFUNCTION("""COMPUTED_VALUE"""),151.5)</f>
        <v>151.5</v>
      </c>
      <c r="D1273" s="2">
        <f ca="1">IFERROR(__xludf.DUMMYFUNCTION("""COMPUTED_VALUE"""),0)</f>
        <v>0</v>
      </c>
      <c r="E1273" s="2">
        <f ca="1">IFERROR(__xludf.DUMMYFUNCTION("""COMPUTED_VALUE"""),151.5)</f>
        <v>151.5</v>
      </c>
    </row>
    <row r="1274" spans="1:5" ht="12.75">
      <c r="A1274" s="2" t="str">
        <f ca="1">IFERROR(__xludf.DUMMYFUNCTION("""COMPUTED_VALUE"""),"DOLWC127081")</f>
        <v>DOLWC127081</v>
      </c>
      <c r="B1274" s="2">
        <f ca="1">IFERROR(__xludf.DUMMYFUNCTION("""COMPUTED_VALUE"""),0)</f>
        <v>0</v>
      </c>
      <c r="C1274" s="2">
        <f ca="1">IFERROR(__xludf.DUMMYFUNCTION("""COMPUTED_VALUE"""),371.6)</f>
        <v>371.6</v>
      </c>
      <c r="D1274" s="2">
        <f ca="1">IFERROR(__xludf.DUMMYFUNCTION("""COMPUTED_VALUE"""),0)</f>
        <v>0</v>
      </c>
      <c r="E1274" s="2">
        <f ca="1">IFERROR(__xludf.DUMMYFUNCTION("""COMPUTED_VALUE"""),371.6)</f>
        <v>371.6</v>
      </c>
    </row>
    <row r="1275" spans="1:5" ht="12.75">
      <c r="A1275" s="2" t="str">
        <f ca="1">IFERROR(__xludf.DUMMYFUNCTION("""COMPUTED_VALUE"""),"DOLWC952081")</f>
        <v>DOLWC952081</v>
      </c>
      <c r="B1275" s="2">
        <f ca="1">IFERROR(__xludf.DUMMYFUNCTION("""COMPUTED_VALUE"""),0)</f>
        <v>0</v>
      </c>
      <c r="C1275" s="2">
        <f ca="1">IFERROR(__xludf.DUMMYFUNCTION("""COMPUTED_VALUE"""),213.2)</f>
        <v>213.2</v>
      </c>
      <c r="D1275" s="2">
        <f ca="1">IFERROR(__xludf.DUMMYFUNCTION("""COMPUTED_VALUE"""),0)</f>
        <v>0</v>
      </c>
      <c r="E1275" s="2">
        <f ca="1">IFERROR(__xludf.DUMMYFUNCTION("""COMPUTED_VALUE"""),213.2)</f>
        <v>213.2</v>
      </c>
    </row>
    <row r="1276" spans="1:5" ht="12.75">
      <c r="A1276" s="2" t="str">
        <f ca="1">IFERROR(__xludf.DUMMYFUNCTION("""COMPUTED_VALUE"""),"DOLWCTS0635061")</f>
        <v>DOLWCTS0635061</v>
      </c>
      <c r="B1276" s="2">
        <f ca="1">IFERROR(__xludf.DUMMYFUNCTION("""COMPUTED_VALUE"""),0)</f>
        <v>0</v>
      </c>
      <c r="C1276" s="2">
        <f ca="1">IFERROR(__xludf.DUMMYFUNCTION("""COMPUTED_VALUE"""),46)</f>
        <v>46</v>
      </c>
      <c r="D1276" s="2">
        <f ca="1">IFERROR(__xludf.DUMMYFUNCTION("""COMPUTED_VALUE"""),0)</f>
        <v>0</v>
      </c>
      <c r="E1276" s="2">
        <f ca="1">IFERROR(__xludf.DUMMYFUNCTION("""COMPUTED_VALUE"""),46)</f>
        <v>46</v>
      </c>
    </row>
    <row r="1277" spans="1:5" ht="12.75">
      <c r="A1277" s="2" t="str">
        <f ca="1">IFERROR(__xludf.DUMMYFUNCTION("""COMPUTED_VALUE"""),"DOLWCTS0635065")</f>
        <v>DOLWCTS0635065</v>
      </c>
      <c r="B1277" s="2">
        <f ca="1">IFERROR(__xludf.DUMMYFUNCTION("""COMPUTED_VALUE"""),0)</f>
        <v>0</v>
      </c>
      <c r="C1277" s="2">
        <f ca="1">IFERROR(__xludf.DUMMYFUNCTION("""COMPUTED_VALUE"""),150.5)</f>
        <v>150.5</v>
      </c>
      <c r="D1277" s="2">
        <f ca="1">IFERROR(__xludf.DUMMYFUNCTION("""COMPUTED_VALUE"""),0)</f>
        <v>0</v>
      </c>
      <c r="E1277" s="2">
        <f ca="1">IFERROR(__xludf.DUMMYFUNCTION("""COMPUTED_VALUE"""),150.5)</f>
        <v>150.5</v>
      </c>
    </row>
    <row r="1278" spans="1:5" ht="12.75">
      <c r="A1278" s="2" t="str">
        <f ca="1">IFERROR(__xludf.DUMMYFUNCTION("""COMPUTED_VALUE"""),"DOLWCTSKI0635061")</f>
        <v>DOLWCTSKI0635061</v>
      </c>
      <c r="B1278" s="2">
        <f ca="1">IFERROR(__xludf.DUMMYFUNCTION("""COMPUTED_VALUE"""),0)</f>
        <v>0</v>
      </c>
      <c r="C1278" s="2">
        <f ca="1">IFERROR(__xludf.DUMMYFUNCTION("""COMPUTED_VALUE"""),234.7)</f>
        <v>234.7</v>
      </c>
      <c r="D1278" s="2">
        <f ca="1">IFERROR(__xludf.DUMMYFUNCTION("""COMPUTED_VALUE"""),0)</f>
        <v>0</v>
      </c>
      <c r="E1278" s="2">
        <f ca="1">IFERROR(__xludf.DUMMYFUNCTION("""COMPUTED_VALUE"""),234.7)</f>
        <v>234.7</v>
      </c>
    </row>
    <row r="1279" spans="1:5" ht="12.75">
      <c r="A1279" s="2" t="str">
        <f ca="1">IFERROR(__xludf.DUMMYFUNCTION("""COMPUTED_VALUE"""),"DOLWCTSKI0635071")</f>
        <v>DOLWCTSKI0635071</v>
      </c>
      <c r="B1279" s="2">
        <f ca="1">IFERROR(__xludf.DUMMYFUNCTION("""COMPUTED_VALUE"""),0)</f>
        <v>0</v>
      </c>
      <c r="C1279" s="2">
        <f ca="1">IFERROR(__xludf.DUMMYFUNCTION("""COMPUTED_VALUE"""),382.7)</f>
        <v>382.7</v>
      </c>
      <c r="D1279" s="2">
        <f ca="1">IFERROR(__xludf.DUMMYFUNCTION("""COMPUTED_VALUE"""),0)</f>
        <v>0</v>
      </c>
      <c r="E1279" s="2">
        <f ca="1">IFERROR(__xludf.DUMMYFUNCTION("""COMPUTED_VALUE"""),382.7)</f>
        <v>382.7</v>
      </c>
    </row>
    <row r="1280" spans="1:5" ht="12.75">
      <c r="A1280" s="2" t="str">
        <f ca="1">IFERROR(__xludf.DUMMYFUNCTION("""COMPUTED_VALUE"""),"DOLWCTSKI0635081")</f>
        <v>DOLWCTSKI0635081</v>
      </c>
      <c r="B1280" s="2">
        <f ca="1">IFERROR(__xludf.DUMMYFUNCTION("""COMPUTED_VALUE"""),0)</f>
        <v>0</v>
      </c>
      <c r="C1280" s="2">
        <f ca="1">IFERROR(__xludf.DUMMYFUNCTION("""COMPUTED_VALUE"""),260.4)</f>
        <v>260.39999999999998</v>
      </c>
      <c r="D1280" s="2">
        <f ca="1">IFERROR(__xludf.DUMMYFUNCTION("""COMPUTED_VALUE"""),0)</f>
        <v>0</v>
      </c>
      <c r="E1280" s="2">
        <f ca="1">IFERROR(__xludf.DUMMYFUNCTION("""COMPUTED_VALUE"""),260.4)</f>
        <v>260.39999999999998</v>
      </c>
    </row>
    <row r="1281" spans="1:5" ht="12.75">
      <c r="A1281" s="2" t="str">
        <f ca="1">IFERROR(__xludf.DUMMYFUNCTION("""COMPUTED_VALUE"""),"DOLWCTSKI0952061")</f>
        <v>DOLWCTSKI0952061</v>
      </c>
      <c r="B1281" s="2">
        <f ca="1">IFERROR(__xludf.DUMMYFUNCTION("""COMPUTED_VALUE"""),0)</f>
        <v>0</v>
      </c>
      <c r="C1281" s="2">
        <f ca="1">IFERROR(__xludf.DUMMYFUNCTION("""COMPUTED_VALUE"""),120.6)</f>
        <v>120.6</v>
      </c>
      <c r="D1281" s="2">
        <f ca="1">IFERROR(__xludf.DUMMYFUNCTION("""COMPUTED_VALUE"""),0)</f>
        <v>0</v>
      </c>
      <c r="E1281" s="2">
        <f ca="1">IFERROR(__xludf.DUMMYFUNCTION("""COMPUTED_VALUE"""),120.6)</f>
        <v>120.6</v>
      </c>
    </row>
    <row r="1282" spans="1:5" ht="12.75">
      <c r="A1282" s="2" t="str">
        <f ca="1">IFERROR(__xludf.DUMMYFUNCTION("""COMPUTED_VALUE"""),"DOLWCTSKI0952071")</f>
        <v>DOLWCTSKI0952071</v>
      </c>
      <c r="B1282" s="2">
        <f ca="1">IFERROR(__xludf.DUMMYFUNCTION("""COMPUTED_VALUE"""),0)</f>
        <v>0</v>
      </c>
      <c r="C1282" s="2">
        <f ca="1">IFERROR(__xludf.DUMMYFUNCTION("""COMPUTED_VALUE"""),117.9)</f>
        <v>117.9</v>
      </c>
      <c r="D1282" s="2">
        <f ca="1">IFERROR(__xludf.DUMMYFUNCTION("""COMPUTED_VALUE"""),0)</f>
        <v>0</v>
      </c>
      <c r="E1282" s="2">
        <f ca="1">IFERROR(__xludf.DUMMYFUNCTION("""COMPUTED_VALUE"""),117.9)</f>
        <v>117.9</v>
      </c>
    </row>
    <row r="1283" spans="1:5" ht="12.75">
      <c r="A1283" s="2" t="str">
        <f ca="1">IFERROR(__xludf.DUMMYFUNCTION("""COMPUTED_VALUE"""),"DOLWCTSKI0952081")</f>
        <v>DOLWCTSKI0952081</v>
      </c>
      <c r="B1283" s="2">
        <f ca="1">IFERROR(__xludf.DUMMYFUNCTION("""COMPUTED_VALUE"""),0)</f>
        <v>0</v>
      </c>
      <c r="C1283" s="2">
        <f ca="1">IFERROR(__xludf.DUMMYFUNCTION("""COMPUTED_VALUE"""),238)</f>
        <v>238</v>
      </c>
      <c r="D1283" s="2">
        <f ca="1">IFERROR(__xludf.DUMMYFUNCTION("""COMPUTED_VALUE"""),0)</f>
        <v>0</v>
      </c>
      <c r="E1283" s="2">
        <f ca="1">IFERROR(__xludf.DUMMYFUNCTION("""COMPUTED_VALUE"""),238)</f>
        <v>238</v>
      </c>
    </row>
    <row r="1284" spans="1:5" ht="12.75">
      <c r="A1284" s="2" t="str">
        <f ca="1">IFERROR(__xludf.DUMMYFUNCTION("""COMPUTED_VALUE"""),"DOLWCTSKI1270061")</f>
        <v>DOLWCTSKI1270061</v>
      </c>
      <c r="B1284" s="2">
        <f ca="1">IFERROR(__xludf.DUMMYFUNCTION("""COMPUTED_VALUE"""),0)</f>
        <v>0</v>
      </c>
      <c r="C1284" s="2">
        <f ca="1">IFERROR(__xludf.DUMMYFUNCTION("""COMPUTED_VALUE"""),120)</f>
        <v>120</v>
      </c>
      <c r="D1284" s="2">
        <f ca="1">IFERROR(__xludf.DUMMYFUNCTION("""COMPUTED_VALUE"""),0)</f>
        <v>0</v>
      </c>
      <c r="E1284" s="2">
        <f ca="1">IFERROR(__xludf.DUMMYFUNCTION("""COMPUTED_VALUE"""),120)</f>
        <v>120</v>
      </c>
    </row>
    <row r="1285" spans="1:5" ht="12.75">
      <c r="A1285" s="2" t="str">
        <f ca="1">IFERROR(__xludf.DUMMYFUNCTION("""COMPUTED_VALUE"""),"DOLWCTSKI1270071")</f>
        <v>DOLWCTSKI1270071</v>
      </c>
      <c r="B1285" s="2">
        <f ca="1">IFERROR(__xludf.DUMMYFUNCTION("""COMPUTED_VALUE"""),0)</f>
        <v>0</v>
      </c>
      <c r="C1285" s="2">
        <f ca="1">IFERROR(__xludf.DUMMYFUNCTION("""COMPUTED_VALUE"""),76.5)</f>
        <v>76.5</v>
      </c>
      <c r="D1285" s="2">
        <f ca="1">IFERROR(__xludf.DUMMYFUNCTION("""COMPUTED_VALUE"""),0)</f>
        <v>0</v>
      </c>
      <c r="E1285" s="2">
        <f ca="1">IFERROR(__xludf.DUMMYFUNCTION("""COMPUTED_VALUE"""),76.5)</f>
        <v>76.5</v>
      </c>
    </row>
    <row r="1286" spans="1:5" ht="12.75">
      <c r="A1286" s="2" t="str">
        <f ca="1">IFERROR(__xludf.DUMMYFUNCTION("""COMPUTED_VALUE"""),"DOLWCTSKI1588071")</f>
        <v>DOLWCTSKI1588071</v>
      </c>
      <c r="B1286" s="2">
        <f ca="1">IFERROR(__xludf.DUMMYFUNCTION("""COMPUTED_VALUE"""),0)</f>
        <v>0</v>
      </c>
      <c r="C1286" s="2">
        <f ca="1">IFERROR(__xludf.DUMMYFUNCTION("""COMPUTED_VALUE"""),156.2)</f>
        <v>156.19999999999999</v>
      </c>
      <c r="D1286" s="2">
        <f ca="1">IFERROR(__xludf.DUMMYFUNCTION("""COMPUTED_VALUE"""),0)</f>
        <v>0</v>
      </c>
      <c r="E1286" s="2">
        <f ca="1">IFERROR(__xludf.DUMMYFUNCTION("""COMPUTED_VALUE"""),156.2)</f>
        <v>156.19999999999999</v>
      </c>
    </row>
    <row r="1287" spans="1:5" ht="12.75">
      <c r="A1287" s="2" t="str">
        <f ca="1">IFERROR(__xludf.DUMMYFUNCTION("""COMPUTED_VALUE"""),"DOLWCTSKI1588081")</f>
        <v>DOLWCTSKI1588081</v>
      </c>
      <c r="B1287" s="2">
        <f ca="1">IFERROR(__xludf.DUMMYFUNCTION("""COMPUTED_VALUE"""),0)</f>
        <v>0</v>
      </c>
      <c r="C1287" s="2">
        <f ca="1">IFERROR(__xludf.DUMMYFUNCTION("""COMPUTED_VALUE"""),459.9)</f>
        <v>459.9</v>
      </c>
      <c r="D1287" s="2">
        <f ca="1">IFERROR(__xludf.DUMMYFUNCTION("""COMPUTED_VALUE"""),0)</f>
        <v>0</v>
      </c>
      <c r="E1287" s="2">
        <f ca="1">IFERROR(__xludf.DUMMYFUNCTION("""COMPUTED_VALUE"""),459.9)</f>
        <v>459.9</v>
      </c>
    </row>
    <row r="1288" spans="1:5" ht="12.75">
      <c r="A1288" s="2" t="str">
        <f ca="1">IFERROR(__xludf.DUMMYFUNCTION("""COMPUTED_VALUE"""),"DOT1905071")</f>
        <v>DOT1905071</v>
      </c>
      <c r="B1288" s="2">
        <f ca="1">IFERROR(__xludf.DUMMYFUNCTION("""COMPUTED_VALUE"""),0)</f>
        <v>0</v>
      </c>
      <c r="C1288" s="2">
        <f ca="1">IFERROR(__xludf.DUMMYFUNCTION("""COMPUTED_VALUE"""),15)</f>
        <v>15</v>
      </c>
      <c r="D1288" s="2">
        <f ca="1">IFERROR(__xludf.DUMMYFUNCTION("""COMPUTED_VALUE"""),0)</f>
        <v>0</v>
      </c>
      <c r="E1288" s="2">
        <f ca="1">IFERROR(__xludf.DUMMYFUNCTION("""COMPUTED_VALUE"""),15)</f>
        <v>15</v>
      </c>
    </row>
    <row r="1289" spans="1:5" ht="12.75">
      <c r="A1289" s="2" t="str">
        <f ca="1">IFERROR(__xludf.DUMMYFUNCTION("""COMPUTED_VALUE"""),"DOT2200060212")</f>
        <v>DOT2200060212</v>
      </c>
      <c r="B1289" s="2">
        <f ca="1">IFERROR(__xludf.DUMMYFUNCTION("""COMPUTED_VALUE"""),0)</f>
        <v>0</v>
      </c>
      <c r="C1289" s="2">
        <f ca="1">IFERROR(__xludf.DUMMYFUNCTION("""COMPUTED_VALUE"""),15)</f>
        <v>15</v>
      </c>
      <c r="D1289" s="2">
        <f ca="1">IFERROR(__xludf.DUMMYFUNCTION("""COMPUTED_VALUE"""),0)</f>
        <v>0</v>
      </c>
      <c r="E1289" s="2">
        <f ca="1">IFERROR(__xludf.DUMMYFUNCTION("""COMPUTED_VALUE"""),15)</f>
        <v>15</v>
      </c>
    </row>
    <row r="1290" spans="1:5" ht="12.75">
      <c r="A1290" s="2" t="str">
        <f ca="1">IFERROR(__xludf.DUMMYFUNCTION("""COMPUTED_VALUE"""),"DOT2200060262")</f>
        <v>DOT2200060262</v>
      </c>
      <c r="B1290" s="2">
        <f ca="1">IFERROR(__xludf.DUMMYFUNCTION("""COMPUTED_VALUE"""),0)</f>
        <v>0</v>
      </c>
      <c r="C1290" s="2">
        <f ca="1">IFERROR(__xludf.DUMMYFUNCTION("""COMPUTED_VALUE"""),31)</f>
        <v>31</v>
      </c>
      <c r="D1290" s="2">
        <f ca="1">IFERROR(__xludf.DUMMYFUNCTION("""COMPUTED_VALUE"""),0)</f>
        <v>0</v>
      </c>
      <c r="E1290" s="2">
        <f ca="1">IFERROR(__xludf.DUMMYFUNCTION("""COMPUTED_VALUE"""),31)</f>
        <v>31</v>
      </c>
    </row>
    <row r="1291" spans="1:5" ht="12.75">
      <c r="A1291" s="2" t="str">
        <f ca="1">IFERROR(__xludf.DUMMYFUNCTION("""COMPUTED_VALUE"""),"DOT254008149")</f>
        <v>DOT254008149</v>
      </c>
      <c r="B1291" s="2">
        <f ca="1">IFERROR(__xludf.DUMMYFUNCTION("""COMPUTED_VALUE"""),0)</f>
        <v>0</v>
      </c>
      <c r="C1291" s="2">
        <f ca="1">IFERROR(__xludf.DUMMYFUNCTION("""COMPUTED_VALUE"""),47)</f>
        <v>47</v>
      </c>
      <c r="D1291" s="2">
        <f ca="1">IFERROR(__xludf.DUMMYFUNCTION("""COMPUTED_VALUE"""),0)</f>
        <v>0</v>
      </c>
      <c r="E1291" s="2">
        <f ca="1">IFERROR(__xludf.DUMMYFUNCTION("""COMPUTED_VALUE"""),47)</f>
        <v>47</v>
      </c>
    </row>
    <row r="1292" spans="1:5" ht="12.75">
      <c r="A1292" s="2" t="str">
        <f ca="1">IFERROR(__xludf.DUMMYFUNCTION("""COMPUTED_VALUE"""),"DOT2858081")</f>
        <v>DOT2858081</v>
      </c>
      <c r="B1292" s="2">
        <f ca="1">IFERROR(__xludf.DUMMYFUNCTION("""COMPUTED_VALUE"""),0)</f>
        <v>0</v>
      </c>
      <c r="C1292" s="2">
        <f ca="1">IFERROR(__xludf.DUMMYFUNCTION("""COMPUTED_VALUE"""),63)</f>
        <v>63</v>
      </c>
      <c r="D1292" s="2">
        <f ca="1">IFERROR(__xludf.DUMMYFUNCTION("""COMPUTED_VALUE"""),0)</f>
        <v>0</v>
      </c>
      <c r="E1292" s="2">
        <f ca="1">IFERROR(__xludf.DUMMYFUNCTION("""COMPUTED_VALUE"""),63)</f>
        <v>63</v>
      </c>
    </row>
    <row r="1293" spans="1:5" ht="12.75">
      <c r="A1293" s="2" t="str">
        <f ca="1">IFERROR(__xludf.DUMMYFUNCTION("""COMPUTED_VALUE"""),"DOT285810046")</f>
        <v>DOT285810046</v>
      </c>
      <c r="B1293" s="2">
        <f ca="1">IFERROR(__xludf.DUMMYFUNCTION("""COMPUTED_VALUE"""),0)</f>
        <v>0</v>
      </c>
      <c r="C1293" s="2">
        <f ca="1">IFERROR(__xludf.DUMMYFUNCTION("""COMPUTED_VALUE"""),25)</f>
        <v>25</v>
      </c>
      <c r="D1293" s="2">
        <f ca="1">IFERROR(__xludf.DUMMYFUNCTION("""COMPUTED_VALUE"""),0)</f>
        <v>0</v>
      </c>
      <c r="E1293" s="2">
        <f ca="1">IFERROR(__xludf.DUMMYFUNCTION("""COMPUTED_VALUE"""),25)</f>
        <v>25</v>
      </c>
    </row>
    <row r="1294" spans="1:5" ht="12.75">
      <c r="A1294" s="2" t="str">
        <f ca="1">IFERROR(__xludf.DUMMYFUNCTION("""COMPUTED_VALUE"""),"DOT317510058")</f>
        <v>DOT317510058</v>
      </c>
      <c r="B1294" s="2">
        <f ca="1">IFERROR(__xludf.DUMMYFUNCTION("""COMPUTED_VALUE"""),0)</f>
        <v>0</v>
      </c>
      <c r="C1294" s="2">
        <f ca="1">IFERROR(__xludf.DUMMYFUNCTION("""COMPUTED_VALUE"""),9)</f>
        <v>9</v>
      </c>
      <c r="D1294" s="2">
        <f ca="1">IFERROR(__xludf.DUMMYFUNCTION("""COMPUTED_VALUE"""),0)</f>
        <v>0</v>
      </c>
      <c r="E1294" s="2">
        <f ca="1">IFERROR(__xludf.DUMMYFUNCTION("""COMPUTED_VALUE"""),9)</f>
        <v>9</v>
      </c>
    </row>
    <row r="1295" spans="1:5" ht="12.75">
      <c r="A1295" s="2" t="str">
        <f ca="1">IFERROR(__xludf.DUMMYFUNCTION("""COMPUTED_VALUE"""),"DOT3493081")</f>
        <v>DOT3493081</v>
      </c>
      <c r="B1295" s="2">
        <f ca="1">IFERROR(__xludf.DUMMYFUNCTION("""COMPUTED_VALUE"""),0)</f>
        <v>0</v>
      </c>
      <c r="C1295" s="2">
        <f ca="1">IFERROR(__xludf.DUMMYFUNCTION("""COMPUTED_VALUE"""),4)</f>
        <v>4</v>
      </c>
      <c r="D1295" s="2">
        <f ca="1">IFERROR(__xludf.DUMMYFUNCTION("""COMPUTED_VALUE"""),0)</f>
        <v>0</v>
      </c>
      <c r="E1295" s="2">
        <f ca="1">IFERROR(__xludf.DUMMYFUNCTION("""COMPUTED_VALUE"""),4)</f>
        <v>4</v>
      </c>
    </row>
    <row r="1296" spans="1:5" ht="12.75">
      <c r="A1296" s="2" t="str">
        <f ca="1">IFERROR(__xludf.DUMMYFUNCTION("""COMPUTED_VALUE"""),"DOT3810120(NM)")</f>
        <v>DOT3810120(NM)</v>
      </c>
      <c r="B1296" s="2">
        <f ca="1">IFERROR(__xludf.DUMMYFUNCTION("""COMPUTED_VALUE"""),0)</f>
        <v>0</v>
      </c>
      <c r="C1296" s="2">
        <f ca="1">IFERROR(__xludf.DUMMYFUNCTION("""COMPUTED_VALUE"""),2)</f>
        <v>2</v>
      </c>
      <c r="D1296" s="2">
        <f ca="1">IFERROR(__xludf.DUMMYFUNCTION("""COMPUTED_VALUE"""),0)</f>
        <v>0</v>
      </c>
      <c r="E1296" s="2">
        <f ca="1">IFERROR(__xludf.DUMMYFUNCTION("""COMPUTED_VALUE"""),2)</f>
        <v>2</v>
      </c>
    </row>
    <row r="1297" spans="1:5" ht="12.75">
      <c r="A1297" s="2" t="str">
        <f ca="1">IFERROR(__xludf.DUMMYFUNCTION("""COMPUTED_VALUE"""),"DOT4128081")</f>
        <v>DOT4128081</v>
      </c>
      <c r="B1297" s="2">
        <f ca="1">IFERROR(__xludf.DUMMYFUNCTION("""COMPUTED_VALUE"""),0)</f>
        <v>0</v>
      </c>
      <c r="C1297" s="2">
        <f ca="1">IFERROR(__xludf.DUMMYFUNCTION("""COMPUTED_VALUE"""),4)</f>
        <v>4</v>
      </c>
      <c r="D1297" s="2">
        <f ca="1">IFERROR(__xludf.DUMMYFUNCTION("""COMPUTED_VALUE"""),0)</f>
        <v>0</v>
      </c>
      <c r="E1297" s="2">
        <f ca="1">IFERROR(__xludf.DUMMYFUNCTION("""COMPUTED_VALUE"""),4)</f>
        <v>4</v>
      </c>
    </row>
    <row r="1298" spans="1:5" ht="12.75">
      <c r="A1298" s="2" t="str">
        <f ca="1">IFERROR(__xludf.DUMMYFUNCTION("""COMPUTED_VALUE"""),"DOT4450120")</f>
        <v>DOT4450120</v>
      </c>
      <c r="B1298" s="2">
        <f ca="1">IFERROR(__xludf.DUMMYFUNCTION("""COMPUTED_VALUE"""),0)</f>
        <v>0</v>
      </c>
      <c r="C1298" s="2">
        <f ca="1">IFERROR(__xludf.DUMMYFUNCTION("""COMPUTED_VALUE"""),10)</f>
        <v>10</v>
      </c>
      <c r="D1298" s="2">
        <f ca="1">IFERROR(__xludf.DUMMYFUNCTION("""COMPUTED_VALUE"""),0)</f>
        <v>0</v>
      </c>
      <c r="E1298" s="2">
        <f ca="1">IFERROR(__xludf.DUMMYFUNCTION("""COMPUTED_VALUE"""),10)</f>
        <v>10</v>
      </c>
    </row>
    <row r="1299" spans="1:5" ht="12.75">
      <c r="A1299" s="2" t="str">
        <f ca="1">IFERROR(__xludf.DUMMYFUNCTION("""COMPUTED_VALUE"""),"DOT8000401885")</f>
        <v>DOT8000401885</v>
      </c>
      <c r="B1299" s="2">
        <f ca="1">IFERROR(__xludf.DUMMYFUNCTION("""COMPUTED_VALUE"""),0)</f>
        <v>0</v>
      </c>
      <c r="C1299" s="2">
        <f ca="1">IFERROR(__xludf.DUMMYFUNCTION("""COMPUTED_VALUE"""),163)</f>
        <v>163</v>
      </c>
      <c r="D1299" s="2">
        <f ca="1">IFERROR(__xludf.DUMMYFUNCTION("""COMPUTED_VALUE"""),0)</f>
        <v>0</v>
      </c>
      <c r="E1299" s="2">
        <f ca="1">IFERROR(__xludf.DUMMYFUNCTION("""COMPUTED_VALUE"""),163)</f>
        <v>163</v>
      </c>
    </row>
    <row r="1300" spans="1:5" ht="12.75">
      <c r="A1300" s="2" t="str">
        <f ca="1">IFERROR(__xludf.DUMMYFUNCTION("""COMPUTED_VALUE"""),"DOTHL190510229")</f>
        <v>DOTHL190510229</v>
      </c>
      <c r="B1300" s="2">
        <f ca="1">IFERROR(__xludf.DUMMYFUNCTION("""COMPUTED_VALUE"""),0)</f>
        <v>0</v>
      </c>
      <c r="C1300" s="2">
        <f ca="1">IFERROR(__xludf.DUMMYFUNCTION("""COMPUTED_VALUE"""),6)</f>
        <v>6</v>
      </c>
      <c r="D1300" s="2">
        <f ca="1">IFERROR(__xludf.DUMMYFUNCTION("""COMPUTED_VALUE"""),0)</f>
        <v>0</v>
      </c>
      <c r="E1300" s="2">
        <f ca="1">IFERROR(__xludf.DUMMYFUNCTION("""COMPUTED_VALUE"""),6)</f>
        <v>6</v>
      </c>
    </row>
    <row r="1301" spans="1:5" ht="12.75">
      <c r="A1301" s="2" t="str">
        <f ca="1">IFERROR(__xludf.DUMMYFUNCTION("""COMPUTED_VALUE"""),"DOTHL285808129")</f>
        <v>DOTHL285808129</v>
      </c>
      <c r="B1301" s="2">
        <f ca="1">IFERROR(__xludf.DUMMYFUNCTION("""COMPUTED_VALUE"""),0)</f>
        <v>0</v>
      </c>
      <c r="C1301" s="2">
        <f ca="1">IFERROR(__xludf.DUMMYFUNCTION("""COMPUTED_VALUE"""),204)</f>
        <v>204</v>
      </c>
      <c r="D1301" s="2">
        <f ca="1">IFERROR(__xludf.DUMMYFUNCTION("""COMPUTED_VALUE"""),0)</f>
        <v>0</v>
      </c>
      <c r="E1301" s="2">
        <f ca="1">IFERROR(__xludf.DUMMYFUNCTION("""COMPUTED_VALUE"""),204)</f>
        <v>204</v>
      </c>
    </row>
    <row r="1302" spans="1:5" ht="12.75">
      <c r="A1302" s="2" t="str">
        <f ca="1">IFERROR(__xludf.DUMMYFUNCTION("""COMPUTED_VALUE"""),"DOTHL285812729")</f>
        <v>DOTHL285812729</v>
      </c>
      <c r="B1302" s="2">
        <f ca="1">IFERROR(__xludf.DUMMYFUNCTION("""COMPUTED_VALUE"""),0)</f>
        <v>0</v>
      </c>
      <c r="C1302" s="2">
        <f ca="1">IFERROR(__xludf.DUMMYFUNCTION("""COMPUTED_VALUE"""),7)</f>
        <v>7</v>
      </c>
      <c r="D1302" s="2">
        <f ca="1">IFERROR(__xludf.DUMMYFUNCTION("""COMPUTED_VALUE"""),0)</f>
        <v>0</v>
      </c>
      <c r="E1302" s="2">
        <f ca="1">IFERROR(__xludf.DUMMYFUNCTION("""COMPUTED_VALUE"""),7)</f>
        <v>7</v>
      </c>
    </row>
    <row r="1303" spans="1:5" ht="12.75">
      <c r="A1303" s="2" t="str">
        <f ca="1">IFERROR(__xludf.DUMMYFUNCTION("""COMPUTED_VALUE"""),"DOTHL381014329")</f>
        <v>DOTHL381014329</v>
      </c>
      <c r="B1303" s="2">
        <f ca="1">IFERROR(__xludf.DUMMYFUNCTION("""COMPUTED_VALUE"""),0)</f>
        <v>0</v>
      </c>
      <c r="C1303" s="2">
        <f ca="1">IFERROR(__xludf.DUMMYFUNCTION("""COMPUTED_VALUE"""),46)</f>
        <v>46</v>
      </c>
      <c r="D1303" s="2">
        <f ca="1">IFERROR(__xludf.DUMMYFUNCTION("""COMPUTED_VALUE"""),0)</f>
        <v>0</v>
      </c>
      <c r="E1303" s="2">
        <f ca="1">IFERROR(__xludf.DUMMYFUNCTION("""COMPUTED_VALUE"""),46)</f>
        <v>46</v>
      </c>
    </row>
    <row r="1304" spans="1:5" ht="12.75">
      <c r="A1304" s="2" t="str">
        <f ca="1">IFERROR(__xludf.DUMMYFUNCTION("""COMPUTED_VALUE"""),"DOTHL412817029")</f>
        <v>DOTHL412817029</v>
      </c>
      <c r="B1304" s="2">
        <f ca="1">IFERROR(__xludf.DUMMYFUNCTION("""COMPUTED_VALUE"""),0)</f>
        <v>0</v>
      </c>
      <c r="C1304" s="2">
        <f ca="1">IFERROR(__xludf.DUMMYFUNCTION("""COMPUTED_VALUE"""),4)</f>
        <v>4</v>
      </c>
      <c r="D1304" s="2">
        <f ca="1">IFERROR(__xludf.DUMMYFUNCTION("""COMPUTED_VALUE"""),0)</f>
        <v>0</v>
      </c>
      <c r="E1304" s="2">
        <f ca="1">IFERROR(__xludf.DUMMYFUNCTION("""COMPUTED_VALUE"""),4)</f>
        <v>4</v>
      </c>
    </row>
    <row r="1305" spans="1:5" ht="12.75">
      <c r="A1305" s="2" t="str">
        <f ca="1">IFERROR(__xludf.DUMMYFUNCTION("""COMPUTED_VALUE"""),"DOTRB28581058")</f>
        <v>DOTRB28581058</v>
      </c>
      <c r="B1305" s="2">
        <f ca="1">IFERROR(__xludf.DUMMYFUNCTION("""COMPUTED_VALUE"""),0)</f>
        <v>0</v>
      </c>
      <c r="C1305" s="2">
        <f ca="1">IFERROR(__xludf.DUMMYFUNCTION("""COMPUTED_VALUE"""),73)</f>
        <v>73</v>
      </c>
      <c r="D1305" s="2">
        <f ca="1">IFERROR(__xludf.DUMMYFUNCTION("""COMPUTED_VALUE"""),0)</f>
        <v>0</v>
      </c>
      <c r="E1305" s="2">
        <f ca="1">IFERROR(__xludf.DUMMYFUNCTION("""COMPUTED_VALUE"""),73)</f>
        <v>73</v>
      </c>
    </row>
    <row r="1306" spans="1:5" ht="12.75">
      <c r="A1306" s="2" t="str">
        <f ca="1">IFERROR(__xludf.DUMMYFUNCTION("""COMPUTED_VALUE"""),"DOTRB317512058")</f>
        <v>DOTRB317512058</v>
      </c>
      <c r="B1306" s="2">
        <f ca="1">IFERROR(__xludf.DUMMYFUNCTION("""COMPUTED_VALUE"""),0)</f>
        <v>0</v>
      </c>
      <c r="C1306" s="2">
        <f ca="1">IFERROR(__xludf.DUMMYFUNCTION("""COMPUTED_VALUE"""),9)</f>
        <v>9</v>
      </c>
      <c r="D1306" s="2">
        <f ca="1">IFERROR(__xludf.DUMMYFUNCTION("""COMPUTED_VALUE"""),0)</f>
        <v>0</v>
      </c>
      <c r="E1306" s="2">
        <f ca="1">IFERROR(__xludf.DUMMYFUNCTION("""COMPUTED_VALUE"""),9)</f>
        <v>9</v>
      </c>
    </row>
    <row r="1307" spans="1:5" ht="12.75">
      <c r="A1307" s="2" t="str">
        <f ca="1">IFERROR(__xludf.DUMMYFUNCTION("""COMPUTED_VALUE"""),"DOTRB412814258")</f>
        <v>DOTRB412814258</v>
      </c>
      <c r="B1307" s="2">
        <f ca="1">IFERROR(__xludf.DUMMYFUNCTION("""COMPUTED_VALUE"""),0)</f>
        <v>0</v>
      </c>
      <c r="C1307" s="2">
        <f ca="1">IFERROR(__xludf.DUMMYFUNCTION("""COMPUTED_VALUE"""),75)</f>
        <v>75</v>
      </c>
      <c r="D1307" s="2">
        <f ca="1">IFERROR(__xludf.DUMMYFUNCTION("""COMPUTED_VALUE"""),0)</f>
        <v>0</v>
      </c>
      <c r="E1307" s="2">
        <f ca="1">IFERROR(__xludf.DUMMYFUNCTION("""COMPUTED_VALUE"""),75)</f>
        <v>75</v>
      </c>
    </row>
    <row r="1308" spans="1:5" ht="12.75">
      <c r="A1308" s="2" t="str">
        <f ca="1">IFERROR(__xludf.DUMMYFUNCTION("""COMPUTED_VALUE"""),"DOTTS090010830")</f>
        <v>DOTTS090010830</v>
      </c>
      <c r="B1308" s="2">
        <f ca="1">IFERROR(__xludf.DUMMYFUNCTION("""COMPUTED_VALUE"""),0)</f>
        <v>0</v>
      </c>
      <c r="C1308" s="2">
        <f ca="1">IFERROR(__xludf.DUMMYFUNCTION("""COMPUTED_VALUE"""),105.9)</f>
        <v>105.9</v>
      </c>
      <c r="D1308" s="2">
        <f ca="1">IFERROR(__xludf.DUMMYFUNCTION("""COMPUTED_VALUE"""),0)</f>
        <v>0</v>
      </c>
      <c r="E1308" s="2">
        <f ca="1">IFERROR(__xludf.DUMMYFUNCTION("""COMPUTED_VALUE"""),105.9)</f>
        <v>105.9</v>
      </c>
    </row>
    <row r="1309" spans="1:5" ht="12.75">
      <c r="A1309" s="2" t="str">
        <f ca="1">IFERROR(__xludf.DUMMYFUNCTION("""COMPUTED_VALUE"""),"DOTTS158805158")</f>
        <v>DOTTS158805158</v>
      </c>
      <c r="B1309" s="2">
        <f ca="1">IFERROR(__xludf.DUMMYFUNCTION("""COMPUTED_VALUE"""),0)</f>
        <v>0</v>
      </c>
      <c r="C1309" s="2">
        <f ca="1">IFERROR(__xludf.DUMMYFUNCTION("""COMPUTED_VALUE"""),360)</f>
        <v>360</v>
      </c>
      <c r="D1309" s="2">
        <f ca="1">IFERROR(__xludf.DUMMYFUNCTION("""COMPUTED_VALUE"""),0)</f>
        <v>0</v>
      </c>
      <c r="E1309" s="2">
        <f ca="1">IFERROR(__xludf.DUMMYFUNCTION("""COMPUTED_VALUE"""),360)</f>
        <v>360</v>
      </c>
    </row>
    <row r="1310" spans="1:5" ht="12.75">
      <c r="A1310" s="2" t="str">
        <f ca="1">IFERROR(__xludf.DUMMYFUNCTION("""COMPUTED_VALUE"""),"DOTTS300035020")</f>
        <v>DOTTS300035020</v>
      </c>
      <c r="B1310" s="2">
        <f ca="1">IFERROR(__xludf.DUMMYFUNCTION("""COMPUTED_VALUE"""),0)</f>
        <v>0</v>
      </c>
      <c r="C1310" s="2">
        <f ca="1">IFERROR(__xludf.DUMMYFUNCTION("""COMPUTED_VALUE"""),0.12)</f>
        <v>0.12</v>
      </c>
      <c r="D1310" s="2">
        <f ca="1">IFERROR(__xludf.DUMMYFUNCTION("""COMPUTED_VALUE"""),0)</f>
        <v>0</v>
      </c>
      <c r="E1310" s="2">
        <f ca="1">IFERROR(__xludf.DUMMYFUNCTION("""COMPUTED_VALUE"""),0.12)</f>
        <v>0.12</v>
      </c>
    </row>
    <row r="1311" spans="1:5" ht="12.75">
      <c r="A1311" s="2" t="str">
        <f ca="1">IFERROR(__xludf.DUMMYFUNCTION("""COMPUTED_VALUE"""),"DOTVNTS222208129")</f>
        <v>DOTVNTS222208129</v>
      </c>
      <c r="B1311" s="2">
        <f ca="1">IFERROR(__xludf.DUMMYFUNCTION("""COMPUTED_VALUE"""),0)</f>
        <v>0</v>
      </c>
      <c r="C1311" s="2">
        <f ca="1">IFERROR(__xludf.DUMMYFUNCTION("""COMPUTED_VALUE"""),18)</f>
        <v>18</v>
      </c>
      <c r="D1311" s="2">
        <f ca="1">IFERROR(__xludf.DUMMYFUNCTION("""COMPUTED_VALUE"""),0)</f>
        <v>0</v>
      </c>
      <c r="E1311" s="2">
        <f ca="1">IFERROR(__xludf.DUMMYFUNCTION("""COMPUTED_VALUE"""),18)</f>
        <v>18</v>
      </c>
    </row>
    <row r="1312" spans="1:5" ht="12.75">
      <c r="A1312" s="2" t="str">
        <f ca="1">IFERROR(__xludf.DUMMYFUNCTION("""COMPUTED_VALUE"""),"DOTVNTS28581029")</f>
        <v>DOTVNTS28581029</v>
      </c>
      <c r="B1312" s="2">
        <f ca="1">IFERROR(__xludf.DUMMYFUNCTION("""COMPUTED_VALUE"""),0)</f>
        <v>0</v>
      </c>
      <c r="C1312" s="2">
        <f ca="1">IFERROR(__xludf.DUMMYFUNCTION("""COMPUTED_VALUE"""),24)</f>
        <v>24</v>
      </c>
      <c r="D1312" s="2">
        <f ca="1">IFERROR(__xludf.DUMMYFUNCTION("""COMPUTED_VALUE"""),0)</f>
        <v>0</v>
      </c>
      <c r="E1312" s="2">
        <f ca="1">IFERROR(__xludf.DUMMYFUNCTION("""COMPUTED_VALUE"""),24)</f>
        <v>24</v>
      </c>
    </row>
    <row r="1313" spans="1:5" ht="12.75">
      <c r="A1313" s="2" t="str">
        <f ca="1">IFERROR(__xludf.DUMMYFUNCTION("""COMPUTED_VALUE"""),"DOTVNTS349312029")</f>
        <v>DOTVNTS349312029</v>
      </c>
      <c r="B1313" s="2">
        <f ca="1">IFERROR(__xludf.DUMMYFUNCTION("""COMPUTED_VALUE"""),0)</f>
        <v>0</v>
      </c>
      <c r="C1313" s="2">
        <f ca="1">IFERROR(__xludf.DUMMYFUNCTION("""COMPUTED_VALUE"""),11)</f>
        <v>11</v>
      </c>
      <c r="D1313" s="2">
        <f ca="1">IFERROR(__xludf.DUMMYFUNCTION("""COMPUTED_VALUE"""),0)</f>
        <v>0</v>
      </c>
      <c r="E1313" s="2">
        <f ca="1">IFERROR(__xludf.DUMMYFUNCTION("""COMPUTED_VALUE"""),11)</f>
        <v>11</v>
      </c>
    </row>
    <row r="1314" spans="1:5" ht="12.75">
      <c r="A1314" s="2" t="str">
        <f ca="1">IFERROR(__xludf.DUMMYFUNCTION("""COMPUTED_VALUE"""),"DOTVNTS412812029")</f>
        <v>DOTVNTS412812029</v>
      </c>
      <c r="B1314" s="2">
        <f ca="1">IFERROR(__xludf.DUMMYFUNCTION("""COMPUTED_VALUE"""),0)</f>
        <v>0</v>
      </c>
      <c r="C1314" s="2">
        <f ca="1">IFERROR(__xludf.DUMMYFUNCTION("""COMPUTED_VALUE"""),17)</f>
        <v>17</v>
      </c>
      <c r="D1314" s="2">
        <f ca="1">IFERROR(__xludf.DUMMYFUNCTION("""COMPUTED_VALUE"""),0)</f>
        <v>0</v>
      </c>
      <c r="E1314" s="2">
        <f ca="1">IFERROR(__xludf.DUMMYFUNCTION("""COMPUTED_VALUE"""),17)</f>
        <v>17</v>
      </c>
    </row>
    <row r="1315" spans="1:5" ht="12.75">
      <c r="A1315" s="2" t="str">
        <f ca="1">IFERROR(__xludf.DUMMYFUNCTION("""COMPUTED_VALUE"""),"DOTVNTS412814029")</f>
        <v>DOTVNTS412814029</v>
      </c>
      <c r="B1315" s="2">
        <f ca="1">IFERROR(__xludf.DUMMYFUNCTION("""COMPUTED_VALUE"""),0)</f>
        <v>0</v>
      </c>
      <c r="C1315" s="2">
        <f ca="1">IFERROR(__xludf.DUMMYFUNCTION("""COMPUTED_VALUE"""),11)</f>
        <v>11</v>
      </c>
      <c r="D1315" s="2">
        <f ca="1">IFERROR(__xludf.DUMMYFUNCTION("""COMPUTED_VALUE"""),0)</f>
        <v>0</v>
      </c>
      <c r="E1315" s="2">
        <f ca="1">IFERROR(__xludf.DUMMYFUNCTION("""COMPUTED_VALUE"""),11)</f>
        <v>11</v>
      </c>
    </row>
    <row r="1316" spans="1:5" ht="12.75">
      <c r="A1316" s="2" t="str">
        <f ca="1">IFERROR(__xludf.DUMMYFUNCTION("""COMPUTED_VALUE"""),"GA134TAISEI")</f>
        <v>GA134TAISEI</v>
      </c>
      <c r="B1316" s="2">
        <f ca="1">IFERROR(__xludf.DUMMYFUNCTION("""COMPUTED_VALUE"""),0)</f>
        <v>0</v>
      </c>
      <c r="C1316" s="2">
        <f ca="1">IFERROR(__xludf.DUMMYFUNCTION("""COMPUTED_VALUE"""),2)</f>
        <v>2</v>
      </c>
      <c r="D1316" s="2">
        <f ca="1">IFERROR(__xludf.DUMMYFUNCTION("""COMPUTED_VALUE"""),0)</f>
        <v>0</v>
      </c>
      <c r="E1316" s="2">
        <f ca="1">IFERROR(__xludf.DUMMYFUNCTION("""COMPUTED_VALUE"""),2)</f>
        <v>2</v>
      </c>
    </row>
    <row r="1317" spans="1:5" ht="12.75">
      <c r="A1317" s="2" t="str">
        <f ca="1">IFERROR(__xludf.DUMMYFUNCTION("""COMPUTED_VALUE"""),"GA32TQ9.5")</f>
        <v>GA32TQ9.5</v>
      </c>
      <c r="B1317" s="2">
        <f ca="1">IFERROR(__xludf.DUMMYFUNCTION("""COMPUTED_VALUE"""),0)</f>
        <v>0</v>
      </c>
      <c r="C1317" s="2">
        <f ca="1">IFERROR(__xludf.DUMMYFUNCTION("""COMPUTED_VALUE"""),40)</f>
        <v>40</v>
      </c>
      <c r="D1317" s="2">
        <f ca="1">IFERROR(__xludf.DUMMYFUNCTION("""COMPUTED_VALUE"""),0)</f>
        <v>0</v>
      </c>
      <c r="E1317" s="2">
        <f ca="1">IFERROR(__xludf.DUMMYFUNCTION("""COMPUTED_VALUE"""),40)</f>
        <v>40</v>
      </c>
    </row>
    <row r="1318" spans="1:5" ht="12.75">
      <c r="A1318" s="2" t="str">
        <f ca="1">IFERROR(__xludf.DUMMYFUNCTION("""COMPUTED_VALUE"""),"GA407CHEM-EU")</f>
        <v>GA407CHEM-EU</v>
      </c>
      <c r="B1318" s="2">
        <f ca="1">IFERROR(__xludf.DUMMYFUNCTION("""COMPUTED_VALUE"""),0)</f>
        <v>0</v>
      </c>
      <c r="C1318" s="2">
        <f ca="1">IFERROR(__xludf.DUMMYFUNCTION("""COMPUTED_VALUE"""),19)</f>
        <v>19</v>
      </c>
      <c r="D1318" s="2">
        <f ca="1">IFERROR(__xludf.DUMMYFUNCTION("""COMPUTED_VALUE"""),0)</f>
        <v>0</v>
      </c>
      <c r="E1318" s="2">
        <f ca="1">IFERROR(__xludf.DUMMYFUNCTION("""COMPUTED_VALUE"""),19)</f>
        <v>19</v>
      </c>
    </row>
    <row r="1319" spans="1:5" ht="12.75">
      <c r="A1319" s="2" t="str">
        <f ca="1">IFERROR(__xludf.DUMMYFUNCTION("""COMPUTED_VALUE"""),"HKBKLOGO63")</f>
        <v>HKBKLOGO63</v>
      </c>
      <c r="B1319" s="2">
        <f ca="1">IFERROR(__xludf.DUMMYFUNCTION("""COMPUTED_VALUE"""),0)</f>
        <v>0</v>
      </c>
      <c r="C1319" s="2">
        <f ca="1">IFERROR(__xludf.DUMMYFUNCTION("""COMPUTED_VALUE"""),280)</f>
        <v>280</v>
      </c>
      <c r="D1319" s="2">
        <f ca="1">IFERROR(__xludf.DUMMYFUNCTION("""COMPUTED_VALUE"""),0)</f>
        <v>0</v>
      </c>
      <c r="E1319" s="2">
        <f ca="1">IFERROR(__xludf.DUMMYFUNCTION("""COMPUTED_VALUE"""),280)</f>
        <v>280</v>
      </c>
    </row>
    <row r="1320" spans="1:5" ht="12.75">
      <c r="A1320" s="2" t="str">
        <f ca="1">IFERROR(__xludf.DUMMYFUNCTION("""COMPUTED_VALUE"""),"HKBXBAN2.5")</f>
        <v>HKBXBAN2.5</v>
      </c>
      <c r="B1320" s="2">
        <f ca="1">IFERROR(__xludf.DUMMYFUNCTION("""COMPUTED_VALUE"""),0)</f>
        <v>0</v>
      </c>
      <c r="C1320" s="2">
        <f ca="1">IFERROR(__xludf.DUMMYFUNCTION("""COMPUTED_VALUE"""),7)</f>
        <v>7</v>
      </c>
      <c r="D1320" s="2">
        <f ca="1">IFERROR(__xludf.DUMMYFUNCTION("""COMPUTED_VALUE"""),0)</f>
        <v>0</v>
      </c>
      <c r="E1320" s="2">
        <f ca="1">IFERROR(__xludf.DUMMYFUNCTION("""COMPUTED_VALUE"""),7)</f>
        <v>7</v>
      </c>
    </row>
    <row r="1321" spans="1:5" ht="12.75">
      <c r="A1321" s="2" t="str">
        <f ca="1">IFERROR(__xludf.DUMMYFUNCTION("""COMPUTED_VALUE"""),"HKĐCG134")</f>
        <v>HKĐCG134</v>
      </c>
      <c r="B1321" s="2">
        <f ca="1">IFERROR(__xludf.DUMMYFUNCTION("""COMPUTED_VALUE"""),0)</f>
        <v>0</v>
      </c>
      <c r="C1321" s="2">
        <f ca="1">IFERROR(__xludf.DUMMYFUNCTION("""COMPUTED_VALUE"""),74)</f>
        <v>74</v>
      </c>
      <c r="D1321" s="2">
        <f ca="1">IFERROR(__xludf.DUMMYFUNCTION("""COMPUTED_VALUE"""),0)</f>
        <v>0</v>
      </c>
      <c r="E1321" s="2">
        <f ca="1">IFERROR(__xludf.DUMMYFUNCTION("""COMPUTED_VALUE"""),74)</f>
        <v>74</v>
      </c>
    </row>
    <row r="1322" spans="1:5" ht="12.75">
      <c r="A1322" s="2" t="str">
        <f ca="1">IFERROR(__xludf.DUMMYFUNCTION("""COMPUTED_VALUE"""),"HKDONGHOHD")</f>
        <v>HKDONGHOHD</v>
      </c>
      <c r="B1322" s="2">
        <f ca="1">IFERROR(__xludf.DUMMYFUNCTION("""COMPUTED_VALUE"""),0)</f>
        <v>0</v>
      </c>
      <c r="C1322" s="2">
        <f ca="1">IFERROR(__xludf.DUMMYFUNCTION("""COMPUTED_VALUE"""),8)</f>
        <v>8</v>
      </c>
      <c r="D1322" s="2">
        <f ca="1">IFERROR(__xludf.DUMMYFUNCTION("""COMPUTED_VALUE"""),0)</f>
        <v>0</v>
      </c>
      <c r="E1322" s="2">
        <f ca="1">IFERROR(__xludf.DUMMYFUNCTION("""COMPUTED_VALUE"""),8)</f>
        <v>8</v>
      </c>
    </row>
    <row r="1323" spans="1:5" ht="12.75">
      <c r="A1323" s="2" t="str">
        <f ca="1">IFERROR(__xludf.DUMMYFUNCTION("""COMPUTED_VALUE"""),"HKHMAFRV")</f>
        <v>HKHMAFRV</v>
      </c>
      <c r="B1323" s="2">
        <f ca="1">IFERROR(__xludf.DUMMYFUNCTION("""COMPUTED_VALUE"""),0)</f>
        <v>0</v>
      </c>
      <c r="C1323" s="2">
        <f ca="1">IFERROR(__xludf.DUMMYFUNCTION("""COMPUTED_VALUE"""),4)</f>
        <v>4</v>
      </c>
      <c r="D1323" s="2">
        <f ca="1">IFERROR(__xludf.DUMMYFUNCTION("""COMPUTED_VALUE"""),0)</f>
        <v>0</v>
      </c>
      <c r="E1323" s="2">
        <f ca="1">IFERROR(__xludf.DUMMYFUNCTION("""COMPUTED_VALUE"""),4)</f>
        <v>4</v>
      </c>
    </row>
    <row r="1324" spans="1:5" ht="12.75">
      <c r="A1324" s="2" t="str">
        <f ca="1">IFERROR(__xludf.DUMMYFUNCTION("""COMPUTED_VALUE"""),"HKHOPDUNGRUOU")</f>
        <v>HKHOPDUNGRUOU</v>
      </c>
      <c r="B1324" s="2">
        <f ca="1">IFERROR(__xludf.DUMMYFUNCTION("""COMPUTED_VALUE"""),0)</f>
        <v>0</v>
      </c>
      <c r="C1324" s="2">
        <f ca="1">IFERROR(__xludf.DUMMYFUNCTION("""COMPUTED_VALUE"""),9)</f>
        <v>9</v>
      </c>
      <c r="D1324" s="2">
        <f ca="1">IFERROR(__xludf.DUMMYFUNCTION("""COMPUTED_VALUE"""),5)</f>
        <v>5</v>
      </c>
      <c r="E1324" s="2">
        <f ca="1">IFERROR(__xludf.DUMMYFUNCTION("""COMPUTED_VALUE"""),4)</f>
        <v>4</v>
      </c>
    </row>
    <row r="1325" spans="1:5" ht="12.75">
      <c r="A1325" s="2" t="str">
        <f ca="1">IFERROR(__xludf.DUMMYFUNCTION("""COMPUTED_VALUE"""),"HKRVBARON")</f>
        <v>HKRVBARON</v>
      </c>
      <c r="B1325" s="2">
        <f ca="1">IFERROR(__xludf.DUMMYFUNCTION("""COMPUTED_VALUE"""),0)</f>
        <v>0</v>
      </c>
      <c r="C1325" s="2">
        <f ca="1">IFERROR(__xludf.DUMMYFUNCTION("""COMPUTED_VALUE"""),31)</f>
        <v>31</v>
      </c>
      <c r="D1325" s="2">
        <f ca="1">IFERROR(__xludf.DUMMYFUNCTION("""COMPUTED_VALUE"""),27)</f>
        <v>27</v>
      </c>
      <c r="E1325" s="2">
        <f ca="1">IFERROR(__xludf.DUMMYFUNCTION("""COMPUTED_VALUE"""),4)</f>
        <v>4</v>
      </c>
    </row>
    <row r="1326" spans="1:5" ht="12.75">
      <c r="A1326" s="2" t="str">
        <f ca="1">IFERROR(__xludf.DUMMYFUNCTION("""COMPUTED_VALUE"""),"HKRVCOLONIE")</f>
        <v>HKRVCOLONIE</v>
      </c>
      <c r="B1326" s="2">
        <f ca="1">IFERROR(__xludf.DUMMYFUNCTION("""COMPUTED_VALUE"""),0)</f>
        <v>0</v>
      </c>
      <c r="C1326" s="2">
        <f ca="1">IFERROR(__xludf.DUMMYFUNCTION("""COMPUTED_VALUE"""),4)</f>
        <v>4</v>
      </c>
      <c r="D1326" s="2">
        <f ca="1">IFERROR(__xludf.DUMMYFUNCTION("""COMPUTED_VALUE"""),0)</f>
        <v>0</v>
      </c>
      <c r="E1326" s="2">
        <f ca="1">IFERROR(__xludf.DUMMYFUNCTION("""COMPUTED_VALUE"""),4)</f>
        <v>4</v>
      </c>
    </row>
    <row r="1327" spans="1:5" ht="12.75">
      <c r="A1327" s="2" t="str">
        <f ca="1">IFERROR(__xludf.DUMMYFUNCTION("""COMPUTED_VALUE"""),"HKTTHU2810")</f>
        <v>HKTTHU2810</v>
      </c>
      <c r="B1327" s="2">
        <f ca="1">IFERROR(__xludf.DUMMYFUNCTION("""COMPUTED_VALUE"""),0)</f>
        <v>0</v>
      </c>
      <c r="C1327" s="2">
        <f ca="1">IFERROR(__xludf.DUMMYFUNCTION("""COMPUTED_VALUE"""),3)</f>
        <v>3</v>
      </c>
      <c r="D1327" s="2">
        <f ca="1">IFERROR(__xludf.DUMMYFUNCTION("""COMPUTED_VALUE"""),0)</f>
        <v>0</v>
      </c>
      <c r="E1327" s="2">
        <f ca="1">IFERROR(__xludf.DUMMYFUNCTION("""COMPUTED_VALUE"""),3)</f>
        <v>3</v>
      </c>
    </row>
    <row r="1328" spans="1:5" ht="12.75">
      <c r="A1328" s="2" t="str">
        <f ca="1">IFERROR(__xludf.DUMMYFUNCTION("""COMPUTED_VALUE"""),"HKTTHU2812")</f>
        <v>HKTTHU2812</v>
      </c>
      <c r="B1328" s="2">
        <f ca="1">IFERROR(__xludf.DUMMYFUNCTION("""COMPUTED_VALUE"""),0)</f>
        <v>0</v>
      </c>
      <c r="C1328" s="2">
        <f ca="1">IFERROR(__xludf.DUMMYFUNCTION("""COMPUTED_VALUE"""),9)</f>
        <v>9</v>
      </c>
      <c r="D1328" s="2">
        <f ca="1">IFERROR(__xludf.DUMMYFUNCTION("""COMPUTED_VALUE"""),0)</f>
        <v>0</v>
      </c>
      <c r="E1328" s="2">
        <f ca="1">IFERROR(__xludf.DUMMYFUNCTION("""COMPUTED_VALUE"""),9)</f>
        <v>9</v>
      </c>
    </row>
    <row r="1329" spans="1:5" ht="12.75">
      <c r="A1329" s="2" t="str">
        <f ca="1">IFERROR(__xludf.DUMMYFUNCTION("""COMPUTED_VALUE"""),"HKTTHU3528")</f>
        <v>HKTTHU3528</v>
      </c>
      <c r="B1329" s="2">
        <f ca="1">IFERROR(__xludf.DUMMYFUNCTION("""COMPUTED_VALUE"""),0)</f>
        <v>0</v>
      </c>
      <c r="C1329" s="2">
        <f ca="1">IFERROR(__xludf.DUMMYFUNCTION("""COMPUTED_VALUE"""),12)</f>
        <v>12</v>
      </c>
      <c r="D1329" s="2">
        <f ca="1">IFERROR(__xludf.DUMMYFUNCTION("""COMPUTED_VALUE"""),0)</f>
        <v>0</v>
      </c>
      <c r="E1329" s="2">
        <f ca="1">IFERROR(__xludf.DUMMYFUNCTION("""COMPUTED_VALUE"""),12)</f>
        <v>12</v>
      </c>
    </row>
    <row r="1330" spans="1:5" ht="12.75">
      <c r="A1330" s="2" t="str">
        <f ca="1">IFERROR(__xludf.DUMMYFUNCTION("""COMPUTED_VALUE"""),"HKTTHU5435")</f>
        <v>HKTTHU5435</v>
      </c>
      <c r="B1330" s="2">
        <f ca="1">IFERROR(__xludf.DUMMYFUNCTION("""COMPUTED_VALUE"""),0)</f>
        <v>0</v>
      </c>
      <c r="C1330" s="2">
        <f ca="1">IFERROR(__xludf.DUMMYFUNCTION("""COMPUTED_VALUE"""),2)</f>
        <v>2</v>
      </c>
      <c r="D1330" s="2">
        <f ca="1">IFERROR(__xludf.DUMMYFUNCTION("""COMPUTED_VALUE"""),0)</f>
        <v>0</v>
      </c>
      <c r="E1330" s="2">
        <f ca="1">IFERROR(__xludf.DUMMYFUNCTION("""COMPUTED_VALUE"""),2)</f>
        <v>2</v>
      </c>
    </row>
    <row r="1331" spans="1:5" ht="12.75">
      <c r="A1331" s="2" t="str">
        <f ca="1">IFERROR(__xludf.DUMMYFUNCTION("""COMPUTED_VALUE"""),"HKVBCG33T")</f>
        <v>HKVBCG33T</v>
      </c>
      <c r="B1331" s="2">
        <f ca="1">IFERROR(__xludf.DUMMYFUNCTION("""COMPUTED_VALUE"""),0)</f>
        <v>0</v>
      </c>
      <c r="C1331" s="2">
        <f ca="1">IFERROR(__xludf.DUMMYFUNCTION("""COMPUTED_VALUE"""),4)</f>
        <v>4</v>
      </c>
      <c r="D1331" s="2">
        <f ca="1">IFERROR(__xludf.DUMMYFUNCTION("""COMPUTED_VALUE"""),0)</f>
        <v>0</v>
      </c>
      <c r="E1331" s="2">
        <f ca="1">IFERROR(__xludf.DUMMYFUNCTION("""COMPUTED_VALUE"""),4)</f>
        <v>4</v>
      </c>
    </row>
    <row r="1332" spans="1:5" ht="12.75">
      <c r="A1332" s="2" t="str">
        <f ca="1">IFERROR(__xludf.DUMMYFUNCTION("""COMPUTED_VALUE"""),"HKVBCG37T")</f>
        <v>HKVBCG37T</v>
      </c>
      <c r="B1332" s="2">
        <f ca="1">IFERROR(__xludf.DUMMYFUNCTION("""COMPUTED_VALUE"""),0)</f>
        <v>0</v>
      </c>
      <c r="C1332" s="2">
        <f ca="1">IFERROR(__xludf.DUMMYFUNCTION("""COMPUTED_VALUE"""),14)</f>
        <v>14</v>
      </c>
      <c r="D1332" s="2">
        <f ca="1">IFERROR(__xludf.DUMMYFUNCTION("""COMPUTED_VALUE"""),0)</f>
        <v>0</v>
      </c>
      <c r="E1332" s="2">
        <f ca="1">IFERROR(__xludf.DUMMYFUNCTION("""COMPUTED_VALUE"""),14)</f>
        <v>14</v>
      </c>
    </row>
    <row r="1333" spans="1:5" ht="12.75">
      <c r="A1333" s="2" t="str">
        <f ca="1">IFERROR(__xludf.DUMMYFUNCTION("""COMPUTED_VALUE"""),"HKVBCG75T")</f>
        <v>HKVBCG75T</v>
      </c>
      <c r="B1333" s="2">
        <f ca="1">IFERROR(__xludf.DUMMYFUNCTION("""COMPUTED_VALUE"""),0)</f>
        <v>0</v>
      </c>
      <c r="C1333" s="2">
        <f ca="1">IFERROR(__xludf.DUMMYFUNCTION("""COMPUTED_VALUE"""),5)</f>
        <v>5</v>
      </c>
      <c r="D1333" s="2">
        <f ca="1">IFERROR(__xludf.DUMMYFUNCTION("""COMPUTED_VALUE"""),0)</f>
        <v>0</v>
      </c>
      <c r="E1333" s="2">
        <f ca="1">IFERROR(__xludf.DUMMYFUNCTION("""COMPUTED_VALUE"""),5)</f>
        <v>5</v>
      </c>
    </row>
    <row r="1334" spans="1:5" ht="12.75">
      <c r="A1334" s="2" t="str">
        <f ca="1">IFERROR(__xludf.DUMMYFUNCTION("""COMPUTED_VALUE"""),"JC07940EE15M")</f>
        <v>JC07940EE15M</v>
      </c>
      <c r="B1334" s="2">
        <f ca="1">IFERROR(__xludf.DUMMYFUNCTION("""COMPUTED_VALUE"""),0)</f>
        <v>0</v>
      </c>
      <c r="C1334" s="2">
        <f ca="1">IFERROR(__xludf.DUMMYFUNCTION("""COMPUTED_VALUE"""),1)</f>
        <v>1</v>
      </c>
      <c r="D1334" s="2">
        <f ca="1">IFERROR(__xludf.DUMMYFUNCTION("""COMPUTED_VALUE"""),0)</f>
        <v>0</v>
      </c>
      <c r="E1334" s="2">
        <f ca="1">IFERROR(__xludf.DUMMYFUNCTION("""COMPUTED_VALUE"""),1)</f>
        <v>1</v>
      </c>
    </row>
    <row r="1335" spans="1:5" ht="12.75">
      <c r="A1335" s="2" t="str">
        <f ca="1">IFERROR(__xludf.DUMMYFUNCTION("""COMPUTED_VALUE"""),"JC09520IA15M")</f>
        <v>JC09520IA15M</v>
      </c>
      <c r="B1335" s="2">
        <f ca="1">IFERROR(__xludf.DUMMYFUNCTION("""COMPUTED_VALUE"""),0)</f>
        <v>0</v>
      </c>
      <c r="C1335" s="2">
        <f ca="1">IFERROR(__xludf.DUMMYFUNCTION("""COMPUTED_VALUE"""),1)</f>
        <v>1</v>
      </c>
      <c r="D1335" s="2">
        <f ca="1">IFERROR(__xludf.DUMMYFUNCTION("""COMPUTED_VALUE"""),0)</f>
        <v>0</v>
      </c>
      <c r="E1335" s="2">
        <f ca="1">IFERROR(__xludf.DUMMYFUNCTION("""COMPUTED_VALUE"""),1)</f>
        <v>1</v>
      </c>
    </row>
    <row r="1336" spans="1:5" ht="12.75">
      <c r="A1336" s="2" t="str">
        <f ca="1">IFERROR(__xludf.DUMMYFUNCTION("""COMPUTED_VALUE"""),"JC12700IA15M")</f>
        <v>JC12700IA15M</v>
      </c>
      <c r="B1336" s="2">
        <f ca="1">IFERROR(__xludf.DUMMYFUNCTION("""COMPUTED_VALUE"""),0)</f>
        <v>0</v>
      </c>
      <c r="C1336" s="2">
        <f ca="1">IFERROR(__xludf.DUMMYFUNCTION("""COMPUTED_VALUE"""),2)</f>
        <v>2</v>
      </c>
      <c r="D1336" s="2">
        <f ca="1">IFERROR(__xludf.DUMMYFUNCTION("""COMPUTED_VALUE"""),0)</f>
        <v>0</v>
      </c>
      <c r="E1336" s="2">
        <f ca="1">IFERROR(__xludf.DUMMYFUNCTION("""COMPUTED_VALUE"""),2)</f>
        <v>2</v>
      </c>
    </row>
    <row r="1337" spans="1:5" ht="12.75">
      <c r="A1337" s="2" t="str">
        <f ca="1">IFERROR(__xludf.DUMMYFUNCTION("""COMPUTED_VALUE"""),"MAUHL1588071")</f>
        <v>MAUHL1588071</v>
      </c>
      <c r="B1337" s="2">
        <f ca="1">IFERROR(__xludf.DUMMYFUNCTION("""COMPUTED_VALUE"""),0)</f>
        <v>0</v>
      </c>
      <c r="C1337" s="2">
        <f ca="1">IFERROR(__xludf.DUMMYFUNCTION("""COMPUTED_VALUE"""),2)</f>
        <v>2</v>
      </c>
      <c r="D1337" s="2">
        <f ca="1">IFERROR(__xludf.DUMMYFUNCTION("""COMPUTED_VALUE"""),0)</f>
        <v>0</v>
      </c>
      <c r="E1337" s="2">
        <f ca="1">IFERROR(__xludf.DUMMYFUNCTION("""COMPUTED_VALUE"""),2)</f>
        <v>2</v>
      </c>
    </row>
    <row r="1338" spans="1:5" ht="12.75">
      <c r="A1338" s="2" t="str">
        <f ca="1">IFERROR(__xludf.DUMMYFUNCTION("""COMPUTED_VALUE"""),"MAUHL1905122")</f>
        <v>MAUHL1905122</v>
      </c>
      <c r="B1338" s="2">
        <f ca="1">IFERROR(__xludf.DUMMYFUNCTION("""COMPUTED_VALUE"""),0)</f>
        <v>0</v>
      </c>
      <c r="C1338" s="2">
        <f ca="1">IFERROR(__xludf.DUMMYFUNCTION("""COMPUTED_VALUE"""),5)</f>
        <v>5</v>
      </c>
      <c r="D1338" s="2">
        <f ca="1">IFERROR(__xludf.DUMMYFUNCTION("""COMPUTED_VALUE"""),0)</f>
        <v>0</v>
      </c>
      <c r="E1338" s="2">
        <f ca="1">IFERROR(__xludf.DUMMYFUNCTION("""COMPUTED_VALUE"""),5)</f>
        <v>5</v>
      </c>
    </row>
    <row r="1339" spans="1:5" ht="12.75">
      <c r="A1339" s="2" t="str">
        <f ca="1">IFERROR(__xludf.DUMMYFUNCTION("""COMPUTED_VALUE"""),"MAUOGB200")</f>
        <v>MAUOGB200</v>
      </c>
      <c r="B1339" s="2">
        <f ca="1">IFERROR(__xludf.DUMMYFUNCTION("""COMPUTED_VALUE"""),0)</f>
        <v>0</v>
      </c>
      <c r="C1339" s="2">
        <f ca="1">IFERROR(__xludf.DUMMYFUNCTION("""COMPUTED_VALUE"""),2)</f>
        <v>2</v>
      </c>
      <c r="D1339" s="2">
        <f ca="1">IFERROR(__xludf.DUMMYFUNCTION("""COMPUTED_VALUE"""),0)</f>
        <v>0</v>
      </c>
      <c r="E1339" s="2">
        <f ca="1">IFERROR(__xludf.DUMMYFUNCTION("""COMPUTED_VALUE"""),2)</f>
        <v>2</v>
      </c>
    </row>
    <row r="1340" spans="1:5" ht="12.75">
      <c r="A1340" s="2" t="str">
        <f ca="1">IFERROR(__xludf.DUMMYFUNCTION("""COMPUTED_VALUE"""),"MAUOGB250")</f>
        <v>MAUOGB250</v>
      </c>
      <c r="B1340" s="2">
        <f ca="1">IFERROR(__xludf.DUMMYFUNCTION("""COMPUTED_VALUE"""),0)</f>
        <v>0</v>
      </c>
      <c r="C1340" s="2">
        <f ca="1">IFERROR(__xludf.DUMMYFUNCTION("""COMPUTED_VALUE"""),2)</f>
        <v>2</v>
      </c>
      <c r="D1340" s="2">
        <f ca="1">IFERROR(__xludf.DUMMYFUNCTION("""COMPUTED_VALUE"""),0)</f>
        <v>0</v>
      </c>
      <c r="E1340" s="2">
        <f ca="1">IFERROR(__xludf.DUMMYFUNCTION("""COMPUTED_VALUE"""),2)</f>
        <v>2</v>
      </c>
    </row>
    <row r="1341" spans="1:5" ht="12.75">
      <c r="A1341" s="2" t="str">
        <f ca="1">IFERROR(__xludf.DUMMYFUNCTION("""COMPUTED_VALUE"""),"MAUOGB300")</f>
        <v>MAUOGB300</v>
      </c>
      <c r="B1341" s="2">
        <f ca="1">IFERROR(__xludf.DUMMYFUNCTION("""COMPUTED_VALUE"""),0)</f>
        <v>0</v>
      </c>
      <c r="C1341" s="2">
        <f ca="1">IFERROR(__xludf.DUMMYFUNCTION("""COMPUTED_VALUE"""),2)</f>
        <v>2</v>
      </c>
      <c r="D1341" s="2">
        <f ca="1">IFERROR(__xludf.DUMMYFUNCTION("""COMPUTED_VALUE"""),0)</f>
        <v>0</v>
      </c>
      <c r="E1341" s="2">
        <f ca="1">IFERROR(__xludf.DUMMYFUNCTION("""COMPUTED_VALUE"""),2)</f>
        <v>2</v>
      </c>
    </row>
    <row r="1342" spans="1:5" ht="12.75">
      <c r="A1342" s="2" t="str">
        <f ca="1">IFERROR(__xludf.DUMMYFUNCTION("""COMPUTED_VALUE"""),"MAUOGB350")</f>
        <v>MAUOGB350</v>
      </c>
      <c r="B1342" s="2">
        <f ca="1">IFERROR(__xludf.DUMMYFUNCTION("""COMPUTED_VALUE"""),0)</f>
        <v>0</v>
      </c>
      <c r="C1342" s="2">
        <f ca="1">IFERROR(__xludf.DUMMYFUNCTION("""COMPUTED_VALUE"""),2)</f>
        <v>2</v>
      </c>
      <c r="D1342" s="2">
        <f ca="1">IFERROR(__xludf.DUMMYFUNCTION("""COMPUTED_VALUE"""),0)</f>
        <v>0</v>
      </c>
      <c r="E1342" s="2">
        <f ca="1">IFERROR(__xludf.DUMMYFUNCTION("""COMPUTED_VALUE"""),2)</f>
        <v>2</v>
      </c>
    </row>
    <row r="1343" spans="1:5" ht="12.75">
      <c r="A1343" s="2" t="str">
        <f ca="1">IFERROR(__xludf.DUMMYFUNCTION("""COMPUTED_VALUE"""),"MAUOGT200")</f>
        <v>MAUOGT200</v>
      </c>
      <c r="B1343" s="2">
        <f ca="1">IFERROR(__xludf.DUMMYFUNCTION("""COMPUTED_VALUE"""),0)</f>
        <v>0</v>
      </c>
      <c r="C1343" s="2">
        <f ca="1">IFERROR(__xludf.DUMMYFUNCTION("""COMPUTED_VALUE"""),2)</f>
        <v>2</v>
      </c>
      <c r="D1343" s="2">
        <f ca="1">IFERROR(__xludf.DUMMYFUNCTION("""COMPUTED_VALUE"""),0)</f>
        <v>0</v>
      </c>
      <c r="E1343" s="2">
        <f ca="1">IFERROR(__xludf.DUMMYFUNCTION("""COMPUTED_VALUE"""),2)</f>
        <v>2</v>
      </c>
    </row>
    <row r="1344" spans="1:5" ht="12.75">
      <c r="A1344" s="2" t="str">
        <f ca="1">IFERROR(__xludf.DUMMYFUNCTION("""COMPUTED_VALUE"""),"MAUOSUP06x13")</f>
        <v>MAUOSUP06x13</v>
      </c>
      <c r="B1344" s="2">
        <f ca="1">IFERROR(__xludf.DUMMYFUNCTION("""COMPUTED_VALUE"""),0)</f>
        <v>0</v>
      </c>
      <c r="C1344" s="2">
        <f ca="1">IFERROR(__xludf.DUMMYFUNCTION("""COMPUTED_VALUE"""),6)</f>
        <v>6</v>
      </c>
      <c r="D1344" s="2">
        <f ca="1">IFERROR(__xludf.DUMMYFUNCTION("""COMPUTED_VALUE"""),0)</f>
        <v>0</v>
      </c>
      <c r="E1344" s="2">
        <f ca="1">IFERROR(__xludf.DUMMYFUNCTION("""COMPUTED_VALUE"""),6)</f>
        <v>6</v>
      </c>
    </row>
    <row r="1345" spans="1:5" ht="12.75">
      <c r="A1345" s="2" t="str">
        <f ca="1">IFERROR(__xludf.DUMMYFUNCTION("""COMPUTED_VALUE"""),"MAUOSUP10x13")</f>
        <v>MAUOSUP10x13</v>
      </c>
      <c r="B1345" s="2">
        <f ca="1">IFERROR(__xludf.DUMMYFUNCTION("""COMPUTED_VALUE"""),0)</f>
        <v>0</v>
      </c>
      <c r="C1345" s="2">
        <f ca="1">IFERROR(__xludf.DUMMYFUNCTION("""COMPUTED_VALUE"""),8)</f>
        <v>8</v>
      </c>
      <c r="D1345" s="2">
        <f ca="1">IFERROR(__xludf.DUMMYFUNCTION("""COMPUTED_VALUE"""),0)</f>
        <v>0</v>
      </c>
      <c r="E1345" s="2">
        <f ca="1">IFERROR(__xludf.DUMMYFUNCTION("""COMPUTED_VALUE"""),8)</f>
        <v>8</v>
      </c>
    </row>
    <row r="1346" spans="1:5" ht="12.75">
      <c r="A1346" s="2" t="str">
        <f ca="1">IFERROR(__xludf.DUMMYFUNCTION("""COMPUTED_VALUE"""),"MAUOSUP114x25C0")</f>
        <v>MAUOSUP114x25C0</v>
      </c>
      <c r="B1346" s="2">
        <f ca="1">IFERROR(__xludf.DUMMYFUNCTION("""COMPUTED_VALUE"""),0)</f>
        <v>0</v>
      </c>
      <c r="C1346" s="2">
        <f ca="1">IFERROR(__xludf.DUMMYFUNCTION("""COMPUTED_VALUE"""),1)</f>
        <v>1</v>
      </c>
      <c r="D1346" s="2">
        <f ca="1">IFERROR(__xludf.DUMMYFUNCTION("""COMPUTED_VALUE"""),0)</f>
        <v>0</v>
      </c>
      <c r="E1346" s="2">
        <f ca="1">IFERROR(__xludf.DUMMYFUNCTION("""COMPUTED_VALUE"""),1)</f>
        <v>1</v>
      </c>
    </row>
    <row r="1347" spans="1:5" ht="12.75">
      <c r="A1347" s="2" t="str">
        <f ca="1">IFERROR(__xludf.DUMMYFUNCTION("""COMPUTED_VALUE"""),"MAUOSUP13x13")</f>
        <v>MAUOSUP13x13</v>
      </c>
      <c r="B1347" s="2">
        <f ca="1">IFERROR(__xludf.DUMMYFUNCTION("""COMPUTED_VALUE"""),0)</f>
        <v>0</v>
      </c>
      <c r="C1347" s="2">
        <f ca="1">IFERROR(__xludf.DUMMYFUNCTION("""COMPUTED_VALUE"""),14)</f>
        <v>14</v>
      </c>
      <c r="D1347" s="2">
        <f ca="1">IFERROR(__xludf.DUMMYFUNCTION("""COMPUTED_VALUE"""),0)</f>
        <v>0</v>
      </c>
      <c r="E1347" s="2">
        <f ca="1">IFERROR(__xludf.DUMMYFUNCTION("""COMPUTED_VALUE"""),14)</f>
        <v>14</v>
      </c>
    </row>
    <row r="1348" spans="1:5" ht="12.75">
      <c r="A1348" s="2" t="str">
        <f ca="1">IFERROR(__xludf.DUMMYFUNCTION("""COMPUTED_VALUE"""),"MAUOSUP22x10")</f>
        <v>MAUOSUP22x10</v>
      </c>
      <c r="B1348" s="2">
        <f ca="1">IFERROR(__xludf.DUMMYFUNCTION("""COMPUTED_VALUE"""),0)</f>
        <v>0</v>
      </c>
      <c r="C1348" s="2">
        <f ca="1">IFERROR(__xludf.DUMMYFUNCTION("""COMPUTED_VALUE"""),4)</f>
        <v>4</v>
      </c>
      <c r="D1348" s="2">
        <f ca="1">IFERROR(__xludf.DUMMYFUNCTION("""COMPUTED_VALUE"""),0)</f>
        <v>0</v>
      </c>
      <c r="E1348" s="2">
        <f ca="1">IFERROR(__xludf.DUMMYFUNCTION("""COMPUTED_VALUE"""),4)</f>
        <v>4</v>
      </c>
    </row>
    <row r="1349" spans="1:5" ht="12.75">
      <c r="A1349" s="2" t="str">
        <f ca="1">IFERROR(__xludf.DUMMYFUNCTION("""COMPUTED_VALUE"""),"MAUOSUP22x13")</f>
        <v>MAUOSUP22x13</v>
      </c>
      <c r="B1349" s="2">
        <f ca="1">IFERROR(__xludf.DUMMYFUNCTION("""COMPUTED_VALUE"""),0)</f>
        <v>0</v>
      </c>
      <c r="C1349" s="2">
        <f ca="1">IFERROR(__xludf.DUMMYFUNCTION("""COMPUTED_VALUE"""),27)</f>
        <v>27</v>
      </c>
      <c r="D1349" s="2">
        <f ca="1">IFERROR(__xludf.DUMMYFUNCTION("""COMPUTED_VALUE"""),0)</f>
        <v>0</v>
      </c>
      <c r="E1349" s="2">
        <f ca="1">IFERROR(__xludf.DUMMYFUNCTION("""COMPUTED_VALUE"""),27)</f>
        <v>27</v>
      </c>
    </row>
    <row r="1350" spans="1:5" ht="12.75">
      <c r="A1350" s="2" t="str">
        <f ca="1">IFERROR(__xludf.DUMMYFUNCTION("""COMPUTED_VALUE"""),"MAUOSUP25x19")</f>
        <v>MAUOSUP25x19</v>
      </c>
      <c r="B1350" s="2">
        <f ca="1">IFERROR(__xludf.DUMMYFUNCTION("""COMPUTED_VALUE"""),0)</f>
        <v>0</v>
      </c>
      <c r="C1350" s="2">
        <f ca="1">IFERROR(__xludf.DUMMYFUNCTION("""COMPUTED_VALUE"""),7)</f>
        <v>7</v>
      </c>
      <c r="D1350" s="2">
        <f ca="1">IFERROR(__xludf.DUMMYFUNCTION("""COMPUTED_VALUE"""),0)</f>
        <v>0</v>
      </c>
      <c r="E1350" s="2">
        <f ca="1">IFERROR(__xludf.DUMMYFUNCTION("""COMPUTED_VALUE"""),7)</f>
        <v>7</v>
      </c>
    </row>
    <row r="1351" spans="1:5" ht="12.75">
      <c r="A1351" s="2" t="str">
        <f ca="1">IFERROR(__xludf.DUMMYFUNCTION("""COMPUTED_VALUE"""),"MAUOSUP25x25")</f>
        <v>MAUOSUP25x25</v>
      </c>
      <c r="B1351" s="2">
        <f ca="1">IFERROR(__xludf.DUMMYFUNCTION("""COMPUTED_VALUE"""),0)</f>
        <v>0</v>
      </c>
      <c r="C1351" s="2">
        <f ca="1">IFERROR(__xludf.DUMMYFUNCTION("""COMPUTED_VALUE"""),14)</f>
        <v>14</v>
      </c>
      <c r="D1351" s="2">
        <f ca="1">IFERROR(__xludf.DUMMYFUNCTION("""COMPUTED_VALUE"""),0)</f>
        <v>0</v>
      </c>
      <c r="E1351" s="2">
        <f ca="1">IFERROR(__xludf.DUMMYFUNCTION("""COMPUTED_VALUE"""),14)</f>
        <v>14</v>
      </c>
    </row>
    <row r="1352" spans="1:5" ht="12.75">
      <c r="A1352" s="2" t="str">
        <f ca="1">IFERROR(__xludf.DUMMYFUNCTION("""COMPUTED_VALUE"""),"MAUOSUP32x19")</f>
        <v>MAUOSUP32x19</v>
      </c>
      <c r="B1352" s="2">
        <f ca="1">IFERROR(__xludf.DUMMYFUNCTION("""COMPUTED_VALUE"""),0)</f>
        <v>0</v>
      </c>
      <c r="C1352" s="2">
        <f ca="1">IFERROR(__xludf.DUMMYFUNCTION("""COMPUTED_VALUE"""),9)</f>
        <v>9</v>
      </c>
      <c r="D1352" s="2">
        <f ca="1">IFERROR(__xludf.DUMMYFUNCTION("""COMPUTED_VALUE"""),0)</f>
        <v>0</v>
      </c>
      <c r="E1352" s="2">
        <f ca="1">IFERROR(__xludf.DUMMYFUNCTION("""COMPUTED_VALUE"""),9)</f>
        <v>9</v>
      </c>
    </row>
    <row r="1353" spans="1:5" ht="12.75">
      <c r="A1353" s="2" t="str">
        <f ca="1">IFERROR(__xludf.DUMMYFUNCTION("""COMPUTED_VALUE"""),"MAUOSUP32x25")</f>
        <v>MAUOSUP32x25</v>
      </c>
      <c r="B1353" s="2">
        <f ca="1">IFERROR(__xludf.DUMMYFUNCTION("""COMPUTED_VALUE"""),0)</f>
        <v>0</v>
      </c>
      <c r="C1353" s="2">
        <f ca="1">IFERROR(__xludf.DUMMYFUNCTION("""COMPUTED_VALUE"""),10)</f>
        <v>10</v>
      </c>
      <c r="D1353" s="2">
        <f ca="1">IFERROR(__xludf.DUMMYFUNCTION("""COMPUTED_VALUE"""),0)</f>
        <v>0</v>
      </c>
      <c r="E1353" s="2">
        <f ca="1">IFERROR(__xludf.DUMMYFUNCTION("""COMPUTED_VALUE"""),10)</f>
        <v>10</v>
      </c>
    </row>
    <row r="1354" spans="1:5" ht="12.75">
      <c r="A1354" s="2" t="str">
        <f ca="1">IFERROR(__xludf.DUMMYFUNCTION("""COMPUTED_VALUE"""),"MAUOSUP35x25")</f>
        <v>MAUOSUP35x25</v>
      </c>
      <c r="B1354" s="2">
        <f ca="1">IFERROR(__xludf.DUMMYFUNCTION("""COMPUTED_VALUE"""),0)</f>
        <v>0</v>
      </c>
      <c r="C1354" s="2">
        <f ca="1">IFERROR(__xludf.DUMMYFUNCTION("""COMPUTED_VALUE"""),14)</f>
        <v>14</v>
      </c>
      <c r="D1354" s="2">
        <f ca="1">IFERROR(__xludf.DUMMYFUNCTION("""COMPUTED_VALUE"""),0)</f>
        <v>0</v>
      </c>
      <c r="E1354" s="2">
        <f ca="1">IFERROR(__xludf.DUMMYFUNCTION("""COMPUTED_VALUE"""),14)</f>
        <v>14</v>
      </c>
    </row>
    <row r="1355" spans="1:5" ht="12.75">
      <c r="A1355" s="2" t="str">
        <f ca="1">IFERROR(__xludf.DUMMYFUNCTION("""COMPUTED_VALUE"""),"MAUOSUP42x25")</f>
        <v>MAUOSUP42x25</v>
      </c>
      <c r="B1355" s="2">
        <f ca="1">IFERROR(__xludf.DUMMYFUNCTION("""COMPUTED_VALUE"""),0)</f>
        <v>0</v>
      </c>
      <c r="C1355" s="2">
        <f ca="1">IFERROR(__xludf.DUMMYFUNCTION("""COMPUTED_VALUE"""),14)</f>
        <v>14</v>
      </c>
      <c r="D1355" s="2">
        <f ca="1">IFERROR(__xludf.DUMMYFUNCTION("""COMPUTED_VALUE"""),0)</f>
        <v>0</v>
      </c>
      <c r="E1355" s="2">
        <f ca="1">IFERROR(__xludf.DUMMYFUNCTION("""COMPUTED_VALUE"""),14)</f>
        <v>14</v>
      </c>
    </row>
    <row r="1356" spans="1:5" ht="12.75">
      <c r="A1356" s="2" t="str">
        <f ca="1">IFERROR(__xludf.DUMMYFUNCTION("""COMPUTED_VALUE"""),"MAUOSUP48x25C0")</f>
        <v>MAUOSUP48x25C0</v>
      </c>
      <c r="B1356" s="2">
        <f ca="1">IFERROR(__xludf.DUMMYFUNCTION("""COMPUTED_VALUE"""),0)</f>
        <v>0</v>
      </c>
      <c r="C1356" s="2">
        <f ca="1">IFERROR(__xludf.DUMMYFUNCTION("""COMPUTED_VALUE"""),1)</f>
        <v>1</v>
      </c>
      <c r="D1356" s="2">
        <f ca="1">IFERROR(__xludf.DUMMYFUNCTION("""COMPUTED_VALUE"""),0)</f>
        <v>0</v>
      </c>
      <c r="E1356" s="2">
        <f ca="1">IFERROR(__xludf.DUMMYFUNCTION("""COMPUTED_VALUE"""),1)</f>
        <v>1</v>
      </c>
    </row>
    <row r="1357" spans="1:5" ht="12.75">
      <c r="A1357" s="2" t="str">
        <f ca="1">IFERROR(__xludf.DUMMYFUNCTION("""COMPUTED_VALUE"""),"MAUOSUP60x25C0")</f>
        <v>MAUOSUP60x25C0</v>
      </c>
      <c r="B1357" s="2">
        <f ca="1">IFERROR(__xludf.DUMMYFUNCTION("""COMPUTED_VALUE"""),0)</f>
        <v>0</v>
      </c>
      <c r="C1357" s="2">
        <f ca="1">IFERROR(__xludf.DUMMYFUNCTION("""COMPUTED_VALUE"""),1)</f>
        <v>1</v>
      </c>
      <c r="D1357" s="2">
        <f ca="1">IFERROR(__xludf.DUMMYFUNCTION("""COMPUTED_VALUE"""),0)</f>
        <v>0</v>
      </c>
      <c r="E1357" s="2">
        <f ca="1">IFERROR(__xludf.DUMMYFUNCTION("""COMPUTED_VALUE"""),1)</f>
        <v>1</v>
      </c>
    </row>
    <row r="1358" spans="1:5" ht="12.75">
      <c r="A1358" s="2" t="str">
        <f ca="1">IFERROR(__xludf.DUMMYFUNCTION("""COMPUTED_VALUE"""),"MAUOSUPVN06x13")</f>
        <v>MAUOSUPVN06x13</v>
      </c>
      <c r="B1358" s="2">
        <f ca="1">IFERROR(__xludf.DUMMYFUNCTION("""COMPUTED_VALUE"""),0)</f>
        <v>0</v>
      </c>
      <c r="C1358" s="2">
        <f ca="1">IFERROR(__xludf.DUMMYFUNCTION("""COMPUTED_VALUE"""),22)</f>
        <v>22</v>
      </c>
      <c r="D1358" s="2">
        <f ca="1">IFERROR(__xludf.DUMMYFUNCTION("""COMPUTED_VALUE"""),0)</f>
        <v>0</v>
      </c>
      <c r="E1358" s="2">
        <f ca="1">IFERROR(__xludf.DUMMYFUNCTION("""COMPUTED_VALUE"""),22)</f>
        <v>22</v>
      </c>
    </row>
    <row r="1359" spans="1:5" ht="12.75">
      <c r="A1359" s="2" t="str">
        <f ca="1">IFERROR(__xludf.DUMMYFUNCTION("""COMPUTED_VALUE"""),"MAUOSUPVN06x19")</f>
        <v>MAUOSUPVN06x19</v>
      </c>
      <c r="B1359" s="2">
        <f ca="1">IFERROR(__xludf.DUMMYFUNCTION("""COMPUTED_VALUE"""),0)</f>
        <v>0</v>
      </c>
      <c r="C1359" s="2">
        <f ca="1">IFERROR(__xludf.DUMMYFUNCTION("""COMPUTED_VALUE"""),12)</f>
        <v>12</v>
      </c>
      <c r="D1359" s="2">
        <f ca="1">IFERROR(__xludf.DUMMYFUNCTION("""COMPUTED_VALUE"""),0)</f>
        <v>0</v>
      </c>
      <c r="E1359" s="2">
        <f ca="1">IFERROR(__xludf.DUMMYFUNCTION("""COMPUTED_VALUE"""),12)</f>
        <v>12</v>
      </c>
    </row>
    <row r="1360" spans="1:5" ht="12.75">
      <c r="A1360" s="2" t="str">
        <f ca="1">IFERROR(__xludf.DUMMYFUNCTION("""COMPUTED_VALUE"""),"MAUOSUPVN10x13")</f>
        <v>MAUOSUPVN10x13</v>
      </c>
      <c r="B1360" s="2">
        <f ca="1">IFERROR(__xludf.DUMMYFUNCTION("""COMPUTED_VALUE"""),0)</f>
        <v>0</v>
      </c>
      <c r="C1360" s="2">
        <f ca="1">IFERROR(__xludf.DUMMYFUNCTION("""COMPUTED_VALUE"""),21)</f>
        <v>21</v>
      </c>
      <c r="D1360" s="2">
        <f ca="1">IFERROR(__xludf.DUMMYFUNCTION("""COMPUTED_VALUE"""),0)</f>
        <v>0</v>
      </c>
      <c r="E1360" s="2">
        <f ca="1">IFERROR(__xludf.DUMMYFUNCTION("""COMPUTED_VALUE"""),21)</f>
        <v>21</v>
      </c>
    </row>
    <row r="1361" spans="1:5" ht="12.75">
      <c r="A1361" s="2" t="str">
        <f ca="1">IFERROR(__xludf.DUMMYFUNCTION("""COMPUTED_VALUE"""),"MAUOSUPVN10x19")</f>
        <v>MAUOSUPVN10x19</v>
      </c>
      <c r="B1361" s="2">
        <f ca="1">IFERROR(__xludf.DUMMYFUNCTION("""COMPUTED_VALUE"""),0)</f>
        <v>0</v>
      </c>
      <c r="C1361" s="2">
        <f ca="1">IFERROR(__xludf.DUMMYFUNCTION("""COMPUTED_VALUE"""),14)</f>
        <v>14</v>
      </c>
      <c r="D1361" s="2">
        <f ca="1">IFERROR(__xludf.DUMMYFUNCTION("""COMPUTED_VALUE"""),0)</f>
        <v>0</v>
      </c>
      <c r="E1361" s="2">
        <f ca="1">IFERROR(__xludf.DUMMYFUNCTION("""COMPUTED_VALUE"""),14)</f>
        <v>14</v>
      </c>
    </row>
    <row r="1362" spans="1:5" ht="12.75">
      <c r="A1362" s="2" t="str">
        <f ca="1">IFERROR(__xludf.DUMMYFUNCTION("""COMPUTED_VALUE"""),"MAUOSUPVN13x13")</f>
        <v>MAUOSUPVN13x13</v>
      </c>
      <c r="B1362" s="2">
        <f ca="1">IFERROR(__xludf.DUMMYFUNCTION("""COMPUTED_VALUE"""),0)</f>
        <v>0</v>
      </c>
      <c r="C1362" s="2">
        <f ca="1">IFERROR(__xludf.DUMMYFUNCTION("""COMPUTED_VALUE"""),25)</f>
        <v>25</v>
      </c>
      <c r="D1362" s="2">
        <f ca="1">IFERROR(__xludf.DUMMYFUNCTION("""COMPUTED_VALUE"""),0)</f>
        <v>0</v>
      </c>
      <c r="E1362" s="2">
        <f ca="1">IFERROR(__xludf.DUMMYFUNCTION("""COMPUTED_VALUE"""),25)</f>
        <v>25</v>
      </c>
    </row>
    <row r="1363" spans="1:5" ht="12.75">
      <c r="A1363" s="2" t="str">
        <f ca="1">IFERROR(__xludf.DUMMYFUNCTION("""COMPUTED_VALUE"""),"MAUOSUPVN13x19")</f>
        <v>MAUOSUPVN13x19</v>
      </c>
      <c r="B1363" s="2">
        <f ca="1">IFERROR(__xludf.DUMMYFUNCTION("""COMPUTED_VALUE"""),0)</f>
        <v>0</v>
      </c>
      <c r="C1363" s="2">
        <f ca="1">IFERROR(__xludf.DUMMYFUNCTION("""COMPUTED_VALUE"""),8)</f>
        <v>8</v>
      </c>
      <c r="D1363" s="2">
        <f ca="1">IFERROR(__xludf.DUMMYFUNCTION("""COMPUTED_VALUE"""),0)</f>
        <v>0</v>
      </c>
      <c r="E1363" s="2">
        <f ca="1">IFERROR(__xludf.DUMMYFUNCTION("""COMPUTED_VALUE"""),8)</f>
        <v>8</v>
      </c>
    </row>
    <row r="1364" spans="1:5" ht="12.75">
      <c r="A1364" s="2" t="str">
        <f ca="1">IFERROR(__xludf.DUMMYFUNCTION("""COMPUTED_VALUE"""),"MAUOSUPVN16x13")</f>
        <v>MAUOSUPVN16x13</v>
      </c>
      <c r="B1364" s="2">
        <f ca="1">IFERROR(__xludf.DUMMYFUNCTION("""COMPUTED_VALUE"""),0)</f>
        <v>0</v>
      </c>
      <c r="C1364" s="2">
        <f ca="1">IFERROR(__xludf.DUMMYFUNCTION("""COMPUTED_VALUE"""),21)</f>
        <v>21</v>
      </c>
      <c r="D1364" s="2">
        <f ca="1">IFERROR(__xludf.DUMMYFUNCTION("""COMPUTED_VALUE"""),0)</f>
        <v>0</v>
      </c>
      <c r="E1364" s="2">
        <f ca="1">IFERROR(__xludf.DUMMYFUNCTION("""COMPUTED_VALUE"""),21)</f>
        <v>21</v>
      </c>
    </row>
    <row r="1365" spans="1:5" ht="12.75">
      <c r="A1365" s="2" t="str">
        <f ca="1">IFERROR(__xludf.DUMMYFUNCTION("""COMPUTED_VALUE"""),"MAUOSUPVN19x13")</f>
        <v>MAUOSUPVN19x13</v>
      </c>
      <c r="B1365" s="2">
        <f ca="1">IFERROR(__xludf.DUMMYFUNCTION("""COMPUTED_VALUE"""),0)</f>
        <v>0</v>
      </c>
      <c r="C1365" s="2">
        <f ca="1">IFERROR(__xludf.DUMMYFUNCTION("""COMPUTED_VALUE"""),16)</f>
        <v>16</v>
      </c>
      <c r="D1365" s="2">
        <f ca="1">IFERROR(__xludf.DUMMYFUNCTION("""COMPUTED_VALUE"""),0)</f>
        <v>0</v>
      </c>
      <c r="E1365" s="2">
        <f ca="1">IFERROR(__xludf.DUMMYFUNCTION("""COMPUTED_VALUE"""),16)</f>
        <v>16</v>
      </c>
    </row>
    <row r="1366" spans="1:5" ht="12.75">
      <c r="A1366" s="2" t="str">
        <f ca="1">IFERROR(__xludf.DUMMYFUNCTION("""COMPUTED_VALUE"""),"MAUOSUPVN22x10")</f>
        <v>MAUOSUPVN22x10</v>
      </c>
      <c r="B1366" s="2">
        <f ca="1">IFERROR(__xludf.DUMMYFUNCTION("""COMPUTED_VALUE"""),0)</f>
        <v>0</v>
      </c>
      <c r="C1366" s="2">
        <f ca="1">IFERROR(__xludf.DUMMYFUNCTION("""COMPUTED_VALUE"""),21)</f>
        <v>21</v>
      </c>
      <c r="D1366" s="2">
        <f ca="1">IFERROR(__xludf.DUMMYFUNCTION("""COMPUTED_VALUE"""),0)</f>
        <v>0</v>
      </c>
      <c r="E1366" s="2">
        <f ca="1">IFERROR(__xludf.DUMMYFUNCTION("""COMPUTED_VALUE"""),21)</f>
        <v>21</v>
      </c>
    </row>
    <row r="1367" spans="1:5" ht="12.75">
      <c r="A1367" s="2" t="str">
        <f ca="1">IFERROR(__xludf.DUMMYFUNCTION("""COMPUTED_VALUE"""),"MAUOSUPVN22x13")</f>
        <v>MAUOSUPVN22x13</v>
      </c>
      <c r="B1367" s="2">
        <f ca="1">IFERROR(__xludf.DUMMYFUNCTION("""COMPUTED_VALUE"""),0)</f>
        <v>0</v>
      </c>
      <c r="C1367" s="2">
        <f ca="1">IFERROR(__xludf.DUMMYFUNCTION("""COMPUTED_VALUE"""),23)</f>
        <v>23</v>
      </c>
      <c r="D1367" s="2">
        <f ca="1">IFERROR(__xludf.DUMMYFUNCTION("""COMPUTED_VALUE"""),0)</f>
        <v>0</v>
      </c>
      <c r="E1367" s="2">
        <f ca="1">IFERROR(__xludf.DUMMYFUNCTION("""COMPUTED_VALUE"""),23)</f>
        <v>23</v>
      </c>
    </row>
    <row r="1368" spans="1:5" ht="12.75">
      <c r="A1368" s="2" t="str">
        <f ca="1">IFERROR(__xludf.DUMMYFUNCTION("""COMPUTED_VALUE"""),"MAUOSUPVN22x19")</f>
        <v>MAUOSUPVN22x19</v>
      </c>
      <c r="B1368" s="2">
        <f ca="1">IFERROR(__xludf.DUMMYFUNCTION("""COMPUTED_VALUE"""),0)</f>
        <v>0</v>
      </c>
      <c r="C1368" s="2">
        <f ca="1">IFERROR(__xludf.DUMMYFUNCTION("""COMPUTED_VALUE"""),9)</f>
        <v>9</v>
      </c>
      <c r="D1368" s="2">
        <f ca="1">IFERROR(__xludf.DUMMYFUNCTION("""COMPUTED_VALUE"""),0)</f>
        <v>0</v>
      </c>
      <c r="E1368" s="2">
        <f ca="1">IFERROR(__xludf.DUMMYFUNCTION("""COMPUTED_VALUE"""),9)</f>
        <v>9</v>
      </c>
    </row>
    <row r="1369" spans="1:5" ht="12.75">
      <c r="A1369" s="2" t="str">
        <f ca="1">IFERROR(__xludf.DUMMYFUNCTION("""COMPUTED_VALUE"""),"MAUOSUPVN28x10")</f>
        <v>MAUOSUPVN28x10</v>
      </c>
      <c r="B1369" s="2">
        <f ca="1">IFERROR(__xludf.DUMMYFUNCTION("""COMPUTED_VALUE"""),0)</f>
        <v>0</v>
      </c>
      <c r="C1369" s="2">
        <f ca="1">IFERROR(__xludf.DUMMYFUNCTION("""COMPUTED_VALUE"""),16)</f>
        <v>16</v>
      </c>
      <c r="D1369" s="2">
        <f ca="1">IFERROR(__xludf.DUMMYFUNCTION("""COMPUTED_VALUE"""),0)</f>
        <v>0</v>
      </c>
      <c r="E1369" s="2">
        <f ca="1">IFERROR(__xludf.DUMMYFUNCTION("""COMPUTED_VALUE"""),16)</f>
        <v>16</v>
      </c>
    </row>
    <row r="1370" spans="1:5" ht="12.75">
      <c r="A1370" s="2" t="str">
        <f ca="1">IFERROR(__xludf.DUMMYFUNCTION("""COMPUTED_VALUE"""),"MAUOSUPVN28x19")</f>
        <v>MAUOSUPVN28x19</v>
      </c>
      <c r="B1370" s="2">
        <f ca="1">IFERROR(__xludf.DUMMYFUNCTION("""COMPUTED_VALUE"""),0)</f>
        <v>0</v>
      </c>
      <c r="C1370" s="2">
        <f ca="1">IFERROR(__xludf.DUMMYFUNCTION("""COMPUTED_VALUE"""),10)</f>
        <v>10</v>
      </c>
      <c r="D1370" s="2">
        <f ca="1">IFERROR(__xludf.DUMMYFUNCTION("""COMPUTED_VALUE"""),0)</f>
        <v>0</v>
      </c>
      <c r="E1370" s="2">
        <f ca="1">IFERROR(__xludf.DUMMYFUNCTION("""COMPUTED_VALUE"""),10)</f>
        <v>10</v>
      </c>
    </row>
    <row r="1371" spans="1:5" ht="12.75">
      <c r="A1371" s="2" t="str">
        <f ca="1">IFERROR(__xludf.DUMMYFUNCTION("""COMPUTED_VALUE"""),"MAUOSUPVN35x10")</f>
        <v>MAUOSUPVN35x10</v>
      </c>
      <c r="B1371" s="2">
        <f ca="1">IFERROR(__xludf.DUMMYFUNCTION("""COMPUTED_VALUE"""),0)</f>
        <v>0</v>
      </c>
      <c r="C1371" s="2">
        <f ca="1">IFERROR(__xludf.DUMMYFUNCTION("""COMPUTED_VALUE"""),20)</f>
        <v>20</v>
      </c>
      <c r="D1371" s="2">
        <f ca="1">IFERROR(__xludf.DUMMYFUNCTION("""COMPUTED_VALUE"""),0)</f>
        <v>0</v>
      </c>
      <c r="E1371" s="2">
        <f ca="1">IFERROR(__xludf.DUMMYFUNCTION("""COMPUTED_VALUE"""),20)</f>
        <v>20</v>
      </c>
    </row>
    <row r="1372" spans="1:5" ht="12.75">
      <c r="A1372" s="2" t="str">
        <f ca="1">IFERROR(__xludf.DUMMYFUNCTION("""COMPUTED_VALUE"""),"MAUOSUPVN35x13")</f>
        <v>MAUOSUPVN35x13</v>
      </c>
      <c r="B1372" s="2">
        <f ca="1">IFERROR(__xludf.DUMMYFUNCTION("""COMPUTED_VALUE"""),0)</f>
        <v>0</v>
      </c>
      <c r="C1372" s="2">
        <f ca="1">IFERROR(__xludf.DUMMYFUNCTION("""COMPUTED_VALUE"""),12)</f>
        <v>12</v>
      </c>
      <c r="D1372" s="2">
        <f ca="1">IFERROR(__xludf.DUMMYFUNCTION("""COMPUTED_VALUE"""),0)</f>
        <v>0</v>
      </c>
      <c r="E1372" s="2">
        <f ca="1">IFERROR(__xludf.DUMMYFUNCTION("""COMPUTED_VALUE"""),12)</f>
        <v>12</v>
      </c>
    </row>
    <row r="1373" spans="1:5" ht="12.75">
      <c r="A1373" s="2" t="str">
        <f ca="1">IFERROR(__xludf.DUMMYFUNCTION("""COMPUTED_VALUE"""),"MAUOSUPVN35x19")</f>
        <v>MAUOSUPVN35x19</v>
      </c>
      <c r="B1373" s="2">
        <f ca="1">IFERROR(__xludf.DUMMYFUNCTION("""COMPUTED_VALUE"""),0)</f>
        <v>0</v>
      </c>
      <c r="C1373" s="2">
        <f ca="1">IFERROR(__xludf.DUMMYFUNCTION("""COMPUTED_VALUE"""),4)</f>
        <v>4</v>
      </c>
      <c r="D1373" s="2">
        <f ca="1">IFERROR(__xludf.DUMMYFUNCTION("""COMPUTED_VALUE"""),0)</f>
        <v>0</v>
      </c>
      <c r="E1373" s="2">
        <f ca="1">IFERROR(__xludf.DUMMYFUNCTION("""COMPUTED_VALUE"""),4)</f>
        <v>4</v>
      </c>
    </row>
    <row r="1374" spans="1:5" ht="12.75">
      <c r="A1374" s="2" t="str">
        <f ca="1">IFERROR(__xludf.DUMMYFUNCTION("""COMPUTED_VALUE"""),"MAUOSUPVN35x25")</f>
        <v>MAUOSUPVN35x25</v>
      </c>
      <c r="B1374" s="2">
        <f ca="1">IFERROR(__xludf.DUMMYFUNCTION("""COMPUTED_VALUE"""),0)</f>
        <v>0</v>
      </c>
      <c r="C1374" s="2">
        <f ca="1">IFERROR(__xludf.DUMMYFUNCTION("""COMPUTED_VALUE"""),6)</f>
        <v>6</v>
      </c>
      <c r="D1374" s="2">
        <f ca="1">IFERROR(__xludf.DUMMYFUNCTION("""COMPUTED_VALUE"""),0)</f>
        <v>0</v>
      </c>
      <c r="E1374" s="2">
        <f ca="1">IFERROR(__xludf.DUMMYFUNCTION("""COMPUTED_VALUE"""),6)</f>
        <v>6</v>
      </c>
    </row>
    <row r="1375" spans="1:5" ht="12.75">
      <c r="A1375" s="2" t="str">
        <f ca="1">IFERROR(__xludf.DUMMYFUNCTION("""COMPUTED_VALUE"""),"MAUOSUPVN42x10")</f>
        <v>MAUOSUPVN42x10</v>
      </c>
      <c r="B1375" s="2">
        <f ca="1">IFERROR(__xludf.DUMMYFUNCTION("""COMPUTED_VALUE"""),0)</f>
        <v>0</v>
      </c>
      <c r="C1375" s="2">
        <f ca="1">IFERROR(__xludf.DUMMYFUNCTION("""COMPUTED_VALUE"""),16)</f>
        <v>16</v>
      </c>
      <c r="D1375" s="2">
        <f ca="1">IFERROR(__xludf.DUMMYFUNCTION("""COMPUTED_VALUE"""),0)</f>
        <v>0</v>
      </c>
      <c r="E1375" s="2">
        <f ca="1">IFERROR(__xludf.DUMMYFUNCTION("""COMPUTED_VALUE"""),16)</f>
        <v>16</v>
      </c>
    </row>
    <row r="1376" spans="1:5" ht="12.75">
      <c r="A1376" s="2" t="str">
        <f ca="1">IFERROR(__xludf.DUMMYFUNCTION("""COMPUTED_VALUE"""),"MAUOSUPVN42x13")</f>
        <v>MAUOSUPVN42x13</v>
      </c>
      <c r="B1376" s="2">
        <f ca="1">IFERROR(__xludf.DUMMYFUNCTION("""COMPUTED_VALUE"""),0)</f>
        <v>0</v>
      </c>
      <c r="C1376" s="2">
        <f ca="1">IFERROR(__xludf.DUMMYFUNCTION("""COMPUTED_VALUE"""),16)</f>
        <v>16</v>
      </c>
      <c r="D1376" s="2">
        <f ca="1">IFERROR(__xludf.DUMMYFUNCTION("""COMPUTED_VALUE"""),0)</f>
        <v>0</v>
      </c>
      <c r="E1376" s="2">
        <f ca="1">IFERROR(__xludf.DUMMYFUNCTION("""COMPUTED_VALUE"""),16)</f>
        <v>16</v>
      </c>
    </row>
    <row r="1377" spans="1:5" ht="12.75">
      <c r="A1377" s="2" t="str">
        <f ca="1">IFERROR(__xludf.DUMMYFUNCTION("""COMPUTED_VALUE"""),"MAUOSUPVN42x19")</f>
        <v>MAUOSUPVN42x19</v>
      </c>
      <c r="B1377" s="2">
        <f ca="1">IFERROR(__xludf.DUMMYFUNCTION("""COMPUTED_VALUE"""),0)</f>
        <v>0</v>
      </c>
      <c r="C1377" s="2">
        <f ca="1">IFERROR(__xludf.DUMMYFUNCTION("""COMPUTED_VALUE"""),6)</f>
        <v>6</v>
      </c>
      <c r="D1377" s="2">
        <f ca="1">IFERROR(__xludf.DUMMYFUNCTION("""COMPUTED_VALUE"""),0)</f>
        <v>0</v>
      </c>
      <c r="E1377" s="2">
        <f ca="1">IFERROR(__xludf.DUMMYFUNCTION("""COMPUTED_VALUE"""),6)</f>
        <v>6</v>
      </c>
    </row>
    <row r="1378" spans="1:5" ht="12.75">
      <c r="A1378" s="2" t="str">
        <f ca="1">IFERROR(__xludf.DUMMYFUNCTION("""COMPUTED_VALUE"""),"MAUOSUPVN42x25")</f>
        <v>MAUOSUPVN42x25</v>
      </c>
      <c r="B1378" s="2">
        <f ca="1">IFERROR(__xludf.DUMMYFUNCTION("""COMPUTED_VALUE"""),0)</f>
        <v>0</v>
      </c>
      <c r="C1378" s="2">
        <f ca="1">IFERROR(__xludf.DUMMYFUNCTION("""COMPUTED_VALUE"""),6)</f>
        <v>6</v>
      </c>
      <c r="D1378" s="2">
        <f ca="1">IFERROR(__xludf.DUMMYFUNCTION("""COMPUTED_VALUE"""),0)</f>
        <v>0</v>
      </c>
      <c r="E1378" s="2">
        <f ca="1">IFERROR(__xludf.DUMMYFUNCTION("""COMPUTED_VALUE"""),6)</f>
        <v>6</v>
      </c>
    </row>
    <row r="1379" spans="1:5" ht="12.75">
      <c r="A1379" s="2" t="str">
        <f ca="1">IFERROR(__xludf.DUMMYFUNCTION("""COMPUTED_VALUE"""),"MAUOSUPVN48x10")</f>
        <v>MAUOSUPVN48x10</v>
      </c>
      <c r="B1379" s="2">
        <f ca="1">IFERROR(__xludf.DUMMYFUNCTION("""COMPUTED_VALUE"""),0)</f>
        <v>0</v>
      </c>
      <c r="C1379" s="2">
        <f ca="1">IFERROR(__xludf.DUMMYFUNCTION("""COMPUTED_VALUE"""),20)</f>
        <v>20</v>
      </c>
      <c r="D1379" s="2">
        <f ca="1">IFERROR(__xludf.DUMMYFUNCTION("""COMPUTED_VALUE"""),0)</f>
        <v>0</v>
      </c>
      <c r="E1379" s="2">
        <f ca="1">IFERROR(__xludf.DUMMYFUNCTION("""COMPUTED_VALUE"""),20)</f>
        <v>20</v>
      </c>
    </row>
    <row r="1380" spans="1:5" ht="12.75">
      <c r="A1380" s="2" t="str">
        <f ca="1">IFERROR(__xludf.DUMMYFUNCTION("""COMPUTED_VALUE"""),"MAUOSUPVN48x19")</f>
        <v>MAUOSUPVN48x19</v>
      </c>
      <c r="B1380" s="2">
        <f ca="1">IFERROR(__xludf.DUMMYFUNCTION("""COMPUTED_VALUE"""),0)</f>
        <v>0</v>
      </c>
      <c r="C1380" s="2">
        <f ca="1">IFERROR(__xludf.DUMMYFUNCTION("""COMPUTED_VALUE"""),10)</f>
        <v>10</v>
      </c>
      <c r="D1380" s="2">
        <f ca="1">IFERROR(__xludf.DUMMYFUNCTION("""COMPUTED_VALUE"""),0)</f>
        <v>0</v>
      </c>
      <c r="E1380" s="2">
        <f ca="1">IFERROR(__xludf.DUMMYFUNCTION("""COMPUTED_VALUE"""),10)</f>
        <v>10</v>
      </c>
    </row>
    <row r="1381" spans="1:5" ht="12.75">
      <c r="A1381" s="2" t="str">
        <f ca="1">IFERROR(__xludf.DUMMYFUNCTION("""COMPUTED_VALUE"""),"MAUOSUPVN48x25")</f>
        <v>MAUOSUPVN48x25</v>
      </c>
      <c r="B1381" s="2">
        <f ca="1">IFERROR(__xludf.DUMMYFUNCTION("""COMPUTED_VALUE"""),0)</f>
        <v>0</v>
      </c>
      <c r="C1381" s="2">
        <f ca="1">IFERROR(__xludf.DUMMYFUNCTION("""COMPUTED_VALUE"""),10)</f>
        <v>10</v>
      </c>
      <c r="D1381" s="2">
        <f ca="1">IFERROR(__xludf.DUMMYFUNCTION("""COMPUTED_VALUE"""),0)</f>
        <v>0</v>
      </c>
      <c r="E1381" s="2">
        <f ca="1">IFERROR(__xludf.DUMMYFUNCTION("""COMPUTED_VALUE"""),10)</f>
        <v>10</v>
      </c>
    </row>
    <row r="1382" spans="1:5" ht="12.75">
      <c r="A1382" s="2" t="str">
        <f ca="1">IFERROR(__xludf.DUMMYFUNCTION("""COMPUTED_VALUE"""),"MAUOSUPVN54x25")</f>
        <v>MAUOSUPVN54x25</v>
      </c>
      <c r="B1382" s="2">
        <f ca="1">IFERROR(__xludf.DUMMYFUNCTION("""COMPUTED_VALUE"""),0)</f>
        <v>0</v>
      </c>
      <c r="C1382" s="2">
        <f ca="1">IFERROR(__xludf.DUMMYFUNCTION("""COMPUTED_VALUE"""),8)</f>
        <v>8</v>
      </c>
      <c r="D1382" s="2">
        <f ca="1">IFERROR(__xludf.DUMMYFUNCTION("""COMPUTED_VALUE"""),0)</f>
        <v>0</v>
      </c>
      <c r="E1382" s="2">
        <f ca="1">IFERROR(__xludf.DUMMYFUNCTION("""COMPUTED_VALUE"""),8)</f>
        <v>8</v>
      </c>
    </row>
    <row r="1383" spans="1:5" ht="12.75">
      <c r="A1383" s="2" t="str">
        <f ca="1">IFERROR(__xludf.DUMMYFUNCTION("""COMPUTED_VALUE"""),"MAUOSUPVN60x10")</f>
        <v>MAUOSUPVN60x10</v>
      </c>
      <c r="B1383" s="2">
        <f ca="1">IFERROR(__xludf.DUMMYFUNCTION("""COMPUTED_VALUE"""),0)</f>
        <v>0</v>
      </c>
      <c r="C1383" s="2">
        <f ca="1">IFERROR(__xludf.DUMMYFUNCTION("""COMPUTED_VALUE"""),7)</f>
        <v>7</v>
      </c>
      <c r="D1383" s="2">
        <f ca="1">IFERROR(__xludf.DUMMYFUNCTION("""COMPUTED_VALUE"""),0)</f>
        <v>0</v>
      </c>
      <c r="E1383" s="2">
        <f ca="1">IFERROR(__xludf.DUMMYFUNCTION("""COMPUTED_VALUE"""),7)</f>
        <v>7</v>
      </c>
    </row>
    <row r="1384" spans="1:5" ht="12.75">
      <c r="A1384" s="2" t="str">
        <f ca="1">IFERROR(__xludf.DUMMYFUNCTION("""COMPUTED_VALUE"""),"MAUOSUPVN60x13")</f>
        <v>MAUOSUPVN60x13</v>
      </c>
      <c r="B1384" s="2">
        <f ca="1">IFERROR(__xludf.DUMMYFUNCTION("""COMPUTED_VALUE"""),0)</f>
        <v>0</v>
      </c>
      <c r="C1384" s="2">
        <f ca="1">IFERROR(__xludf.DUMMYFUNCTION("""COMPUTED_VALUE"""),5)</f>
        <v>5</v>
      </c>
      <c r="D1384" s="2">
        <f ca="1">IFERROR(__xludf.DUMMYFUNCTION("""COMPUTED_VALUE"""),0)</f>
        <v>0</v>
      </c>
      <c r="E1384" s="2">
        <f ca="1">IFERROR(__xludf.DUMMYFUNCTION("""COMPUTED_VALUE"""),5)</f>
        <v>5</v>
      </c>
    </row>
    <row r="1385" spans="1:5" ht="12.75">
      <c r="A1385" s="2" t="str">
        <f ca="1">IFERROR(__xludf.DUMMYFUNCTION("""COMPUTED_VALUE"""),"MAUTASUD25122914C0B")</f>
        <v>MAUTASUD25122914C0B</v>
      </c>
      <c r="B1385" s="2">
        <f ca="1">IFERROR(__xludf.DUMMYFUNCTION("""COMPUTED_VALUE"""),0)</f>
        <v>0</v>
      </c>
      <c r="C1385" s="2">
        <f ca="1">IFERROR(__xludf.DUMMYFUNCTION("""COMPUTED_VALUE"""),1)</f>
        <v>1</v>
      </c>
      <c r="D1385" s="2">
        <f ca="1">IFERROR(__xludf.DUMMYFUNCTION("""COMPUTED_VALUE"""),0)</f>
        <v>0</v>
      </c>
      <c r="E1385" s="2">
        <f ca="1">IFERROR(__xludf.DUMMYFUNCTION("""COMPUTED_VALUE"""),1)</f>
        <v>1</v>
      </c>
    </row>
    <row r="1386" spans="1:5" ht="12.75">
      <c r="A1386" s="2" t="str">
        <f ca="1">IFERROR(__xludf.DUMMYFUNCTION("""COMPUTED_VALUE"""),"MAUTASUD50122914C0")</f>
        <v>MAUTASUD50122914C0</v>
      </c>
      <c r="B1386" s="2">
        <f ca="1">IFERROR(__xludf.DUMMYFUNCTION("""COMPUTED_VALUE"""),0)</f>
        <v>0</v>
      </c>
      <c r="C1386" s="2">
        <f ca="1">IFERROR(__xludf.DUMMYFUNCTION("""COMPUTED_VALUE"""),1)</f>
        <v>1</v>
      </c>
      <c r="D1386" s="2">
        <f ca="1">IFERROR(__xludf.DUMMYFUNCTION("""COMPUTED_VALUE"""),0)</f>
        <v>0</v>
      </c>
      <c r="E1386" s="2">
        <f ca="1">IFERROR(__xludf.DUMMYFUNCTION("""COMPUTED_VALUE"""),1)</f>
        <v>1</v>
      </c>
    </row>
    <row r="1387" spans="1:5" ht="12.75">
      <c r="A1387" s="2" t="str">
        <f ca="1">IFERROR(__xludf.DUMMYFUNCTION("""COMPUTED_VALUE"""),"MAUTP1905120")</f>
        <v>MAUTP1905120</v>
      </c>
      <c r="B1387" s="2">
        <f ca="1">IFERROR(__xludf.DUMMYFUNCTION("""COMPUTED_VALUE"""),0)</f>
        <v>0</v>
      </c>
      <c r="C1387" s="2">
        <f ca="1">IFERROR(__xludf.DUMMYFUNCTION("""COMPUTED_VALUE"""),5)</f>
        <v>5</v>
      </c>
      <c r="D1387" s="2">
        <f ca="1">IFERROR(__xludf.DUMMYFUNCTION("""COMPUTED_VALUE"""),0)</f>
        <v>0</v>
      </c>
      <c r="E1387" s="2">
        <f ca="1">IFERROR(__xludf.DUMMYFUNCTION("""COMPUTED_VALUE"""),5)</f>
        <v>5</v>
      </c>
    </row>
    <row r="1388" spans="1:5" ht="12.75">
      <c r="A1388" s="2" t="str">
        <f ca="1">IFERROR(__xludf.DUMMYFUNCTION("""COMPUTED_VALUE"""),"MAUTP3175120")</f>
        <v>MAUTP3175120</v>
      </c>
      <c r="B1388" s="2">
        <f ca="1">IFERROR(__xludf.DUMMYFUNCTION("""COMPUTED_VALUE"""),0)</f>
        <v>0</v>
      </c>
      <c r="C1388" s="2">
        <f ca="1">IFERROR(__xludf.DUMMYFUNCTION("""COMPUTED_VALUE"""),14)</f>
        <v>14</v>
      </c>
      <c r="D1388" s="2">
        <f ca="1">IFERROR(__xludf.DUMMYFUNCTION("""COMPUTED_VALUE"""),0)</f>
        <v>0</v>
      </c>
      <c r="E1388" s="2">
        <f ca="1">IFERROR(__xludf.DUMMYFUNCTION("""COMPUTED_VALUE"""),14)</f>
        <v>14</v>
      </c>
    </row>
    <row r="1389" spans="1:5" ht="12.75">
      <c r="A1389" s="2" t="str">
        <f ca="1">IFERROR(__xludf.DUMMYFUNCTION("""COMPUTED_VALUE"""),"MAUTS3493140")</f>
        <v>MAUTS3493140</v>
      </c>
      <c r="B1389" s="2">
        <f ca="1">IFERROR(__xludf.DUMMYFUNCTION("""COMPUTED_VALUE"""),0)</f>
        <v>0</v>
      </c>
      <c r="C1389" s="2">
        <f ca="1">IFERROR(__xludf.DUMMYFUNCTION("""COMPUTED_VALUE"""),2)</f>
        <v>2</v>
      </c>
      <c r="D1389" s="2">
        <f ca="1">IFERROR(__xludf.DUMMYFUNCTION("""COMPUTED_VALUE"""),0)</f>
        <v>0</v>
      </c>
      <c r="E1389" s="2">
        <f ca="1">IFERROR(__xludf.DUMMYFUNCTION("""COMPUTED_VALUE"""),2)</f>
        <v>2</v>
      </c>
    </row>
    <row r="1390" spans="1:5" ht="12.75">
      <c r="A1390" s="2" t="str">
        <f ca="1">IFERROR(__xludf.DUMMYFUNCTION("""COMPUTED_VALUE"""),"MNKDMT36-4VM")</f>
        <v>MNKDMT36-4VM</v>
      </c>
      <c r="B1390" s="2">
        <f ca="1">IFERROR(__xludf.DUMMYFUNCTION("""COMPUTED_VALUE"""),0)</f>
        <v>0</v>
      </c>
      <c r="C1390" s="2">
        <f ca="1">IFERROR(__xludf.DUMMYFUNCTION("""COMPUTED_VALUE"""),1)</f>
        <v>1</v>
      </c>
      <c r="D1390" s="2">
        <f ca="1">IFERROR(__xludf.DUMMYFUNCTION("""COMPUTED_VALUE"""),0)</f>
        <v>0</v>
      </c>
      <c r="E1390" s="2">
        <f ca="1">IFERROR(__xludf.DUMMYFUNCTION("""COMPUTED_VALUE"""),1)</f>
        <v>1</v>
      </c>
    </row>
    <row r="1391" spans="1:5" ht="12.75">
      <c r="A1391" s="2" t="str">
        <f ca="1">IFERROR(__xludf.DUMMYFUNCTION("""COMPUTED_VALUE"""),"OGT125")</f>
        <v>OGT125</v>
      </c>
      <c r="B1391" s="2">
        <f ca="1">IFERROR(__xludf.DUMMYFUNCTION("""COMPUTED_VALUE"""),0)</f>
        <v>0</v>
      </c>
      <c r="C1391" s="2">
        <f ca="1">IFERROR(__xludf.DUMMYFUNCTION("""COMPUTED_VALUE"""),74)</f>
        <v>74</v>
      </c>
      <c r="D1391" s="2">
        <f ca="1">IFERROR(__xludf.DUMMYFUNCTION("""COMPUTED_VALUE"""),0)</f>
        <v>0</v>
      </c>
      <c r="E1391" s="2">
        <f ca="1">IFERROR(__xludf.DUMMYFUNCTION("""COMPUTED_VALUE"""),74)</f>
        <v>74</v>
      </c>
    </row>
    <row r="1392" spans="1:5" ht="12.75">
      <c r="A1392" s="2" t="str">
        <f ca="1">IFERROR(__xludf.DUMMYFUNCTION("""COMPUTED_VALUE"""),"XBOA006X13C0")</f>
        <v>XBOA006X13C0</v>
      </c>
      <c r="B1392" s="2">
        <f ca="1">IFERROR(__xludf.DUMMYFUNCTION("""COMPUTED_VALUE"""),0)</f>
        <v>0</v>
      </c>
      <c r="C1392" s="2">
        <f ca="1">IFERROR(__xludf.DUMMYFUNCTION("""COMPUTED_VALUE"""),96)</f>
        <v>96</v>
      </c>
      <c r="D1392" s="2">
        <f ca="1">IFERROR(__xludf.DUMMYFUNCTION("""COMPUTED_VALUE"""),0)</f>
        <v>0</v>
      </c>
      <c r="E1392" s="2">
        <f ca="1">IFERROR(__xludf.DUMMYFUNCTION("""COMPUTED_VALUE"""),96)</f>
        <v>96</v>
      </c>
    </row>
    <row r="1393" spans="1:5" ht="12.75">
      <c r="A1393" s="2" t="str">
        <f ca="1">IFERROR(__xludf.DUMMYFUNCTION("""COMPUTED_VALUE"""),"XBOA010X13C0")</f>
        <v>XBOA010X13C0</v>
      </c>
      <c r="B1393" s="2">
        <f ca="1">IFERROR(__xludf.DUMMYFUNCTION("""COMPUTED_VALUE"""),0)</f>
        <v>0</v>
      </c>
      <c r="C1393" s="2">
        <f ca="1">IFERROR(__xludf.DUMMYFUNCTION("""COMPUTED_VALUE"""),671)</f>
        <v>671</v>
      </c>
      <c r="D1393" s="2">
        <f ca="1">IFERROR(__xludf.DUMMYFUNCTION("""COMPUTED_VALUE"""),0)</f>
        <v>0</v>
      </c>
      <c r="E1393" s="2">
        <f ca="1">IFERROR(__xludf.DUMMYFUNCTION("""COMPUTED_VALUE"""),671)</f>
        <v>671</v>
      </c>
    </row>
    <row r="1394" spans="1:5" ht="12.75">
      <c r="A1394" s="2" t="str">
        <f ca="1">IFERROR(__xludf.DUMMYFUNCTION("""COMPUTED_VALUE"""),"XBOA020X19")</f>
        <v>XBOA020X19</v>
      </c>
      <c r="B1394" s="2">
        <f ca="1">IFERROR(__xludf.DUMMYFUNCTION("""COMPUTED_VALUE"""),0)</f>
        <v>0</v>
      </c>
      <c r="C1394" s="2">
        <f ca="1">IFERROR(__xludf.DUMMYFUNCTION("""COMPUTED_VALUE"""),23)</f>
        <v>23</v>
      </c>
      <c r="D1394" s="2">
        <f ca="1">IFERROR(__xludf.DUMMYFUNCTION("""COMPUTED_VALUE"""),0)</f>
        <v>0</v>
      </c>
      <c r="E1394" s="2">
        <f ca="1">IFERROR(__xludf.DUMMYFUNCTION("""COMPUTED_VALUE"""),23)</f>
        <v>23</v>
      </c>
    </row>
    <row r="1395" spans="1:5" ht="12.75">
      <c r="A1395" s="2" t="str">
        <f ca="1">IFERROR(__xludf.DUMMYFUNCTION("""COMPUTED_VALUE"""),"XBOA022X09")</f>
        <v>XBOA022X09</v>
      </c>
      <c r="B1395" s="2">
        <f ca="1">IFERROR(__xludf.DUMMYFUNCTION("""COMPUTED_VALUE"""),0)</f>
        <v>0</v>
      </c>
      <c r="C1395" s="2">
        <f ca="1">IFERROR(__xludf.DUMMYFUNCTION("""COMPUTED_VALUE"""),605)</f>
        <v>605</v>
      </c>
      <c r="D1395" s="2">
        <f ca="1">IFERROR(__xludf.DUMMYFUNCTION("""COMPUTED_VALUE"""),0)</f>
        <v>0</v>
      </c>
      <c r="E1395" s="2">
        <f ca="1">IFERROR(__xludf.DUMMYFUNCTION("""COMPUTED_VALUE"""),605)</f>
        <v>605</v>
      </c>
    </row>
    <row r="1396" spans="1:5" ht="12.75">
      <c r="A1396" s="2" t="str">
        <f ca="1">IFERROR(__xludf.DUMMYFUNCTION("""COMPUTED_VALUE"""),"XBOA035X09C0")</f>
        <v>XBOA035X09C0</v>
      </c>
      <c r="B1396" s="2">
        <f ca="1">IFERROR(__xludf.DUMMYFUNCTION("""COMPUTED_VALUE"""),0)</f>
        <v>0</v>
      </c>
      <c r="C1396" s="2">
        <f ca="1">IFERROR(__xludf.DUMMYFUNCTION("""COMPUTED_VALUE"""),555)</f>
        <v>555</v>
      </c>
      <c r="D1396" s="2">
        <f ca="1">IFERROR(__xludf.DUMMYFUNCTION("""COMPUTED_VALUE"""),0)</f>
        <v>0</v>
      </c>
      <c r="E1396" s="2">
        <f ca="1">IFERROR(__xludf.DUMMYFUNCTION("""COMPUTED_VALUE"""),555)</f>
        <v>555</v>
      </c>
    </row>
    <row r="1397" spans="1:5" ht="12.75">
      <c r="A1397" s="2" t="str">
        <f ca="1">IFERROR(__xludf.DUMMYFUNCTION("""COMPUTED_VALUE"""),"XBOA035X19C0")</f>
        <v>XBOA035X19C0</v>
      </c>
      <c r="B1397" s="2">
        <f ca="1">IFERROR(__xludf.DUMMYFUNCTION("""COMPUTED_VALUE"""),0)</f>
        <v>0</v>
      </c>
      <c r="C1397" s="2">
        <f ca="1">IFERROR(__xludf.DUMMYFUNCTION("""COMPUTED_VALUE"""),40)</f>
        <v>40</v>
      </c>
      <c r="D1397" s="2">
        <f ca="1">IFERROR(__xludf.DUMMYFUNCTION("""COMPUTED_VALUE"""),0)</f>
        <v>0</v>
      </c>
      <c r="E1397" s="2">
        <f ca="1">IFERROR(__xludf.DUMMYFUNCTION("""COMPUTED_VALUE"""),40)</f>
        <v>40</v>
      </c>
    </row>
    <row r="1398" spans="1:5" ht="12.75">
      <c r="A1398" s="2" t="str">
        <f ca="1">IFERROR(__xludf.DUMMYFUNCTION("""COMPUTED_VALUE"""),"XBOA042X09C0")</f>
        <v>XBOA042X09C0</v>
      </c>
      <c r="B1398" s="2">
        <f ca="1">IFERROR(__xludf.DUMMYFUNCTION("""COMPUTED_VALUE"""),0)</f>
        <v>0</v>
      </c>
      <c r="C1398" s="2">
        <f ca="1">IFERROR(__xludf.DUMMYFUNCTION("""COMPUTED_VALUE"""),21)</f>
        <v>21</v>
      </c>
      <c r="D1398" s="2">
        <f ca="1">IFERROR(__xludf.DUMMYFUNCTION("""COMPUTED_VALUE"""),0)</f>
        <v>0</v>
      </c>
      <c r="E1398" s="2">
        <f ca="1">IFERROR(__xludf.DUMMYFUNCTION("""COMPUTED_VALUE"""),21)</f>
        <v>21</v>
      </c>
    </row>
    <row r="1399" spans="1:5" ht="12.75">
      <c r="A1399" s="2" t="str">
        <f ca="1">IFERROR(__xludf.DUMMYFUNCTION("""COMPUTED_VALUE"""),"XBOA048X25C0")</f>
        <v>XBOA048X25C0</v>
      </c>
      <c r="B1399" s="2">
        <f ca="1">IFERROR(__xludf.DUMMYFUNCTION("""COMPUTED_VALUE"""),0)</f>
        <v>0</v>
      </c>
      <c r="C1399" s="2">
        <f ca="1">IFERROR(__xludf.DUMMYFUNCTION("""COMPUTED_VALUE"""),40)</f>
        <v>40</v>
      </c>
      <c r="D1399" s="2">
        <f ca="1">IFERROR(__xludf.DUMMYFUNCTION("""COMPUTED_VALUE"""),0)</f>
        <v>0</v>
      </c>
      <c r="E1399" s="2">
        <f ca="1">IFERROR(__xludf.DUMMYFUNCTION("""COMPUTED_VALUE"""),40)</f>
        <v>40</v>
      </c>
    </row>
    <row r="1400" spans="1:5" ht="12.75">
      <c r="A1400" s="2" t="str">
        <f ca="1">IFERROR(__xludf.DUMMYFUNCTION("""COMPUTED_VALUE"""),"XBOA076X25C0")</f>
        <v>XBOA076X25C0</v>
      </c>
      <c r="B1400" s="2">
        <f ca="1">IFERROR(__xludf.DUMMYFUNCTION("""COMPUTED_VALUE"""),0)</f>
        <v>0</v>
      </c>
      <c r="C1400" s="2">
        <f ca="1">IFERROR(__xludf.DUMMYFUNCTION("""COMPUTED_VALUE"""),42)</f>
        <v>42</v>
      </c>
      <c r="D1400" s="2">
        <f ca="1">IFERROR(__xludf.DUMMYFUNCTION("""COMPUTED_VALUE"""),0)</f>
        <v>0</v>
      </c>
      <c r="E1400" s="2">
        <f ca="1">IFERROR(__xludf.DUMMYFUNCTION("""COMPUTED_VALUE"""),42)</f>
        <v>42</v>
      </c>
    </row>
    <row r="1401" spans="1:5" ht="12.75">
      <c r="A1401" s="2" t="str">
        <f ca="1">IFERROR(__xludf.DUMMYFUNCTION("""COMPUTED_VALUE"""),"XBOA089X13C0")</f>
        <v>XBOA089X13C0</v>
      </c>
      <c r="B1401" s="2">
        <f ca="1">IFERROR(__xludf.DUMMYFUNCTION("""COMPUTED_VALUE"""),0)</f>
        <v>0</v>
      </c>
      <c r="C1401" s="2">
        <f ca="1">IFERROR(__xludf.DUMMYFUNCTION("""COMPUTED_VALUE"""),119)</f>
        <v>119</v>
      </c>
      <c r="D1401" s="2">
        <f ca="1">IFERROR(__xludf.DUMMYFUNCTION("""COMPUTED_VALUE"""),0)</f>
        <v>0</v>
      </c>
      <c r="E1401" s="2">
        <f ca="1">IFERROR(__xludf.DUMMYFUNCTION("""COMPUTED_VALUE"""),119)</f>
        <v>119</v>
      </c>
    </row>
    <row r="1402" spans="1:5" ht="12.75">
      <c r="A1402" s="2" t="str">
        <f ca="1">IFERROR(__xludf.DUMMYFUNCTION("""COMPUTED_VALUE"""),"XBOA089X25C0")</f>
        <v>XBOA089X25C0</v>
      </c>
      <c r="B1402" s="2">
        <f ca="1">IFERROR(__xludf.DUMMYFUNCTION("""COMPUTED_VALUE"""),0)</f>
        <v>0</v>
      </c>
      <c r="C1402" s="2">
        <f ca="1">IFERROR(__xludf.DUMMYFUNCTION("""COMPUTED_VALUE"""),78)</f>
        <v>78</v>
      </c>
      <c r="D1402" s="2">
        <f ca="1">IFERROR(__xludf.DUMMYFUNCTION("""COMPUTED_VALUE"""),0)</f>
        <v>0</v>
      </c>
      <c r="E1402" s="2">
        <f ca="1">IFERROR(__xludf.DUMMYFUNCTION("""COMPUTED_VALUE"""),78)</f>
        <v>78</v>
      </c>
    </row>
    <row r="1403" spans="1:5" ht="12.75">
      <c r="A1403" s="2" t="str">
        <f ca="1">IFERROR(__xludf.DUMMYFUNCTION("""COMPUTED_VALUE"""),"XBOA114X40C0")</f>
        <v>XBOA114X40C0</v>
      </c>
      <c r="B1403" s="2">
        <f ca="1">IFERROR(__xludf.DUMMYFUNCTION("""COMPUTED_VALUE"""),0)</f>
        <v>0</v>
      </c>
      <c r="C1403" s="2">
        <f ca="1">IFERROR(__xludf.DUMMYFUNCTION("""COMPUTED_VALUE"""),20)</f>
        <v>20</v>
      </c>
      <c r="D1403" s="2">
        <f ca="1">IFERROR(__xludf.DUMMYFUNCTION("""COMPUTED_VALUE"""),0)</f>
        <v>0</v>
      </c>
      <c r="E1403" s="2">
        <f ca="1">IFERROR(__xludf.DUMMYFUNCTION("""COMPUTED_VALUE"""),20)</f>
        <v>20</v>
      </c>
    </row>
    <row r="1404" spans="1:5" ht="12.75">
      <c r="A1404" s="2" t="str">
        <f ca="1">IFERROR(__xludf.DUMMYFUNCTION("""COMPUTED_VALUE"""),"XBOAE02209")</f>
        <v>XBOAE02209</v>
      </c>
      <c r="B1404" s="2">
        <f ca="1">IFERROR(__xludf.DUMMYFUNCTION("""COMPUTED_VALUE"""),0)</f>
        <v>0</v>
      </c>
      <c r="C1404" s="2">
        <f ca="1">IFERROR(__xludf.DUMMYFUNCTION("""COMPUTED_VALUE"""),270)</f>
        <v>270</v>
      </c>
      <c r="D1404" s="2">
        <f ca="1">IFERROR(__xludf.DUMMYFUNCTION("""COMPUTED_VALUE"""),0)</f>
        <v>0</v>
      </c>
      <c r="E1404" s="2">
        <f ca="1">IFERROR(__xludf.DUMMYFUNCTION("""COMPUTED_VALUE"""),270)</f>
        <v>270</v>
      </c>
    </row>
    <row r="1405" spans="1:5" ht="12.75">
      <c r="A1405" s="2" t="str">
        <f ca="1">IFERROR(__xludf.DUMMYFUNCTION("""COMPUTED_VALUE"""),"XBOAE02219C0")</f>
        <v>XBOAE02219C0</v>
      </c>
      <c r="B1405" s="2">
        <f ca="1">IFERROR(__xludf.DUMMYFUNCTION("""COMPUTED_VALUE"""),0)</f>
        <v>0</v>
      </c>
      <c r="C1405" s="2">
        <f ca="1">IFERROR(__xludf.DUMMYFUNCTION("""COMPUTED_VALUE"""),300)</f>
        <v>300</v>
      </c>
      <c r="D1405" s="2">
        <f ca="1">IFERROR(__xludf.DUMMYFUNCTION("""COMPUTED_VALUE"""),0)</f>
        <v>0</v>
      </c>
      <c r="E1405" s="2">
        <f ca="1">IFERROR(__xludf.DUMMYFUNCTION("""COMPUTED_VALUE"""),300)</f>
        <v>300</v>
      </c>
    </row>
    <row r="1406" spans="1:5" ht="12.75">
      <c r="A1406" s="2" t="str">
        <f ca="1">IFERROR(__xludf.DUMMYFUNCTION("""COMPUTED_VALUE"""),"XBOAE02809C0")</f>
        <v>XBOAE02809C0</v>
      </c>
      <c r="B1406" s="2">
        <f ca="1">IFERROR(__xludf.DUMMYFUNCTION("""COMPUTED_VALUE"""),0)</f>
        <v>0</v>
      </c>
      <c r="C1406" s="2">
        <f ca="1">IFERROR(__xludf.DUMMYFUNCTION("""COMPUTED_VALUE"""),252)</f>
        <v>252</v>
      </c>
      <c r="D1406" s="2">
        <f ca="1">IFERROR(__xludf.DUMMYFUNCTION("""COMPUTED_VALUE"""),0)</f>
        <v>0</v>
      </c>
      <c r="E1406" s="2">
        <f ca="1">IFERROR(__xludf.DUMMYFUNCTION("""COMPUTED_VALUE"""),252)</f>
        <v>252</v>
      </c>
    </row>
    <row r="1407" spans="1:5" ht="12.75">
      <c r="A1407" s="2" t="str">
        <f ca="1">IFERROR(__xludf.DUMMYFUNCTION("""COMPUTED_VALUE"""),"XBOAE04219C0")</f>
        <v>XBOAE04219C0</v>
      </c>
      <c r="B1407" s="2">
        <f ca="1">IFERROR(__xludf.DUMMYFUNCTION("""COMPUTED_VALUE"""),0)</f>
        <v>0</v>
      </c>
      <c r="C1407" s="2">
        <f ca="1">IFERROR(__xludf.DUMMYFUNCTION("""COMPUTED_VALUE"""),60)</f>
        <v>60</v>
      </c>
      <c r="D1407" s="2">
        <f ca="1">IFERROR(__xludf.DUMMYFUNCTION("""COMPUTED_VALUE"""),0)</f>
        <v>0</v>
      </c>
      <c r="E1407" s="2">
        <f ca="1">IFERROR(__xludf.DUMMYFUNCTION("""COMPUTED_VALUE"""),60)</f>
        <v>60</v>
      </c>
    </row>
    <row r="1408" spans="1:5" ht="12.75">
      <c r="A1408" s="2" t="str">
        <f ca="1">IFERROR(__xludf.DUMMYFUNCTION("""COMPUTED_VALUE"""),"XBOAE05419C0")</f>
        <v>XBOAE05419C0</v>
      </c>
      <c r="B1408" s="2">
        <f ca="1">IFERROR(__xludf.DUMMYFUNCTION("""COMPUTED_VALUE"""),0)</f>
        <v>0</v>
      </c>
      <c r="C1408" s="2">
        <f ca="1">IFERROR(__xludf.DUMMYFUNCTION("""COMPUTED_VALUE"""),72)</f>
        <v>72</v>
      </c>
      <c r="D1408" s="2">
        <f ca="1">IFERROR(__xludf.DUMMYFUNCTION("""COMPUTED_VALUE"""),0)</f>
        <v>0</v>
      </c>
      <c r="E1408" s="2">
        <f ca="1">IFERROR(__xludf.DUMMYFUNCTION("""COMPUTED_VALUE"""),72)</f>
        <v>72</v>
      </c>
    </row>
    <row r="1409" spans="1:5" ht="12.75">
      <c r="A1409" s="2" t="str">
        <f ca="1">IFERROR(__xludf.DUMMYFUNCTION("""COMPUTED_VALUE"""),"XBOAF006X13")</f>
        <v>XBOAF006X13</v>
      </c>
      <c r="B1409" s="2">
        <f ca="1">IFERROR(__xludf.DUMMYFUNCTION("""COMPUTED_VALUE"""),0)</f>
        <v>0</v>
      </c>
      <c r="C1409" s="2">
        <f ca="1">IFERROR(__xludf.DUMMYFUNCTION("""COMPUTED_VALUE"""),2395)</f>
        <v>2395</v>
      </c>
      <c r="D1409" s="2">
        <f ca="1">IFERROR(__xludf.DUMMYFUNCTION("""COMPUTED_VALUE"""),0)</f>
        <v>0</v>
      </c>
      <c r="E1409" s="2">
        <f ca="1">IFERROR(__xludf.DUMMYFUNCTION("""COMPUTED_VALUE"""),2395)</f>
        <v>2395</v>
      </c>
    </row>
    <row r="1410" spans="1:5" ht="12.75">
      <c r="A1410" s="2" t="str">
        <f ca="1">IFERROR(__xludf.DUMMYFUNCTION("""COMPUTED_VALUE"""),"XBOAF010X13")</f>
        <v>XBOAF010X13</v>
      </c>
      <c r="B1410" s="2">
        <f ca="1">IFERROR(__xludf.DUMMYFUNCTION("""COMPUTED_VALUE"""),0)</f>
        <v>0</v>
      </c>
      <c r="C1410" s="2">
        <f ca="1">IFERROR(__xludf.DUMMYFUNCTION("""COMPUTED_VALUE"""),2569)</f>
        <v>2569</v>
      </c>
      <c r="D1410" s="2">
        <f ca="1">IFERROR(__xludf.DUMMYFUNCTION("""COMPUTED_VALUE"""),0)</f>
        <v>0</v>
      </c>
      <c r="E1410" s="2">
        <f ca="1">IFERROR(__xludf.DUMMYFUNCTION("""COMPUTED_VALUE"""),2569)</f>
        <v>2569</v>
      </c>
    </row>
    <row r="1411" spans="1:5" ht="12.75">
      <c r="A1411" s="2" t="str">
        <f ca="1">IFERROR(__xludf.DUMMYFUNCTION("""COMPUTED_VALUE"""),"XBOAF022X09")</f>
        <v>XBOAF022X09</v>
      </c>
      <c r="B1411" s="2">
        <f ca="1">IFERROR(__xludf.DUMMYFUNCTION("""COMPUTED_VALUE"""),0)</f>
        <v>0</v>
      </c>
      <c r="C1411" s="2">
        <f ca="1">IFERROR(__xludf.DUMMYFUNCTION("""COMPUTED_VALUE"""),1204)</f>
        <v>1204</v>
      </c>
      <c r="D1411" s="2">
        <f ca="1">IFERROR(__xludf.DUMMYFUNCTION("""COMPUTED_VALUE"""),0)</f>
        <v>0</v>
      </c>
      <c r="E1411" s="2">
        <f ca="1">IFERROR(__xludf.DUMMYFUNCTION("""COMPUTED_VALUE"""),1204)</f>
        <v>1204</v>
      </c>
    </row>
    <row r="1412" spans="1:5" ht="12.75">
      <c r="A1412" s="2" t="str">
        <f ca="1">IFERROR(__xludf.DUMMYFUNCTION("""COMPUTED_VALUE"""),"XBOAF028X09")</f>
        <v>XBOAF028X09</v>
      </c>
      <c r="B1412" s="2">
        <f ca="1">IFERROR(__xludf.DUMMYFUNCTION("""COMPUTED_VALUE"""),0)</f>
        <v>0</v>
      </c>
      <c r="C1412" s="2">
        <f ca="1">IFERROR(__xludf.DUMMYFUNCTION("""COMPUTED_VALUE"""),153)</f>
        <v>153</v>
      </c>
      <c r="D1412" s="2">
        <f ca="1">IFERROR(__xludf.DUMMYFUNCTION("""COMPUTED_VALUE"""),0)</f>
        <v>0</v>
      </c>
      <c r="E1412" s="2">
        <f ca="1">IFERROR(__xludf.DUMMYFUNCTION("""COMPUTED_VALUE"""),153)</f>
        <v>153</v>
      </c>
    </row>
    <row r="1413" spans="1:5" ht="12.75">
      <c r="A1413" s="2" t="str">
        <f ca="1">IFERROR(__xludf.DUMMYFUNCTION("""COMPUTED_VALUE"""),"XBOAF042X09")</f>
        <v>XBOAF042X09</v>
      </c>
      <c r="B1413" s="2">
        <f ca="1">IFERROR(__xludf.DUMMYFUNCTION("""COMPUTED_VALUE"""),0)</f>
        <v>0</v>
      </c>
      <c r="C1413" s="2">
        <f ca="1">IFERROR(__xludf.DUMMYFUNCTION("""COMPUTED_VALUE"""),356)</f>
        <v>356</v>
      </c>
      <c r="D1413" s="2">
        <f ca="1">IFERROR(__xludf.DUMMYFUNCTION("""COMPUTED_VALUE"""),0)</f>
        <v>0</v>
      </c>
      <c r="E1413" s="2">
        <f ca="1">IFERROR(__xludf.DUMMYFUNCTION("""COMPUTED_VALUE"""),356)</f>
        <v>356</v>
      </c>
    </row>
    <row r="1414" spans="1:5" ht="12.75">
      <c r="A1414" s="2" t="str">
        <f ca="1">IFERROR(__xludf.DUMMYFUNCTION("""COMPUTED_VALUE"""),"XBOS019X10")</f>
        <v>XBOS019X10</v>
      </c>
      <c r="B1414" s="2">
        <f ca="1">IFERROR(__xludf.DUMMYFUNCTION("""COMPUTED_VALUE"""),0)</f>
        <v>0</v>
      </c>
      <c r="C1414" s="2">
        <f ca="1">IFERROR(__xludf.DUMMYFUNCTION("""COMPUTED_VALUE"""),2025)</f>
        <v>2025</v>
      </c>
      <c r="D1414" s="2">
        <f ca="1">IFERROR(__xludf.DUMMYFUNCTION("""COMPUTED_VALUE"""),0)</f>
        <v>0</v>
      </c>
      <c r="E1414" s="2">
        <f ca="1">IFERROR(__xludf.DUMMYFUNCTION("""COMPUTED_VALUE"""),2025)</f>
        <v>2025</v>
      </c>
    </row>
    <row r="1415" spans="1:5" ht="12.75">
      <c r="A1415" s="2" t="str">
        <f ca="1">IFERROR(__xludf.DUMMYFUNCTION("""COMPUTED_VALUE"""),"XBOS022X10")</f>
        <v>XBOS022X10</v>
      </c>
      <c r="B1415" s="2">
        <f ca="1">IFERROR(__xludf.DUMMYFUNCTION("""COMPUTED_VALUE"""),0)</f>
        <v>0</v>
      </c>
      <c r="C1415" s="2">
        <f ca="1">IFERROR(__xludf.DUMMYFUNCTION("""COMPUTED_VALUE"""),268)</f>
        <v>268</v>
      </c>
      <c r="D1415" s="2">
        <f ca="1">IFERROR(__xludf.DUMMYFUNCTION("""COMPUTED_VALUE"""),0)</f>
        <v>0</v>
      </c>
      <c r="E1415" s="2">
        <f ca="1">IFERROR(__xludf.DUMMYFUNCTION("""COMPUTED_VALUE"""),268)</f>
        <v>268</v>
      </c>
    </row>
    <row r="1416" spans="1:5" ht="12.75">
      <c r="A1416" s="2" t="str">
        <f ca="1">IFERROR(__xludf.DUMMYFUNCTION("""COMPUTED_VALUE"""),"XBOS035X19")</f>
        <v>XBOS035X19</v>
      </c>
      <c r="B1416" s="2">
        <f ca="1">IFERROR(__xludf.DUMMYFUNCTION("""COMPUTED_VALUE"""),0)</f>
        <v>0</v>
      </c>
      <c r="C1416" s="2">
        <f ca="1">IFERROR(__xludf.DUMMYFUNCTION("""COMPUTED_VALUE"""),228)</f>
        <v>228</v>
      </c>
      <c r="D1416" s="2">
        <f ca="1">IFERROR(__xludf.DUMMYFUNCTION("""COMPUTED_VALUE"""),0)</f>
        <v>0</v>
      </c>
      <c r="E1416" s="2">
        <f ca="1">IFERROR(__xludf.DUMMYFUNCTION("""COMPUTED_VALUE"""),228)</f>
        <v>228</v>
      </c>
    </row>
    <row r="1417" spans="1:5" ht="12.75">
      <c r="A1417" s="2" t="str">
        <f ca="1">IFERROR(__xludf.DUMMYFUNCTION("""COMPUTED_VALUE"""),"XBOS042X10")</f>
        <v>XBOS042X10</v>
      </c>
      <c r="B1417" s="2">
        <f ca="1">IFERROR(__xludf.DUMMYFUNCTION("""COMPUTED_VALUE"""),0)</f>
        <v>0</v>
      </c>
      <c r="C1417" s="2">
        <f ca="1">IFERROR(__xludf.DUMMYFUNCTION("""COMPUTED_VALUE"""),118)</f>
        <v>118</v>
      </c>
      <c r="D1417" s="2">
        <f ca="1">IFERROR(__xludf.DUMMYFUNCTION("""COMPUTED_VALUE"""),0)</f>
        <v>0</v>
      </c>
      <c r="E1417" s="2">
        <f ca="1">IFERROR(__xludf.DUMMYFUNCTION("""COMPUTED_VALUE"""),118)</f>
        <v>118</v>
      </c>
    </row>
    <row r="1418" spans="1:5" ht="12.75">
      <c r="A1418" s="2" t="str">
        <f ca="1">IFERROR(__xludf.DUMMYFUNCTION("""COMPUTED_VALUE"""),"XBOS042X38")</f>
        <v>XBOS042X38</v>
      </c>
      <c r="B1418" s="2">
        <f ca="1">IFERROR(__xludf.DUMMYFUNCTION("""COMPUTED_VALUE"""),0)</f>
        <v>0</v>
      </c>
      <c r="C1418" s="2">
        <f ca="1">IFERROR(__xludf.DUMMYFUNCTION("""COMPUTED_VALUE"""),2)</f>
        <v>2</v>
      </c>
      <c r="D1418" s="2">
        <f ca="1">IFERROR(__xludf.DUMMYFUNCTION("""COMPUTED_VALUE"""),0)</f>
        <v>0</v>
      </c>
      <c r="E1418" s="2">
        <f ca="1">IFERROR(__xludf.DUMMYFUNCTION("""COMPUTED_VALUE"""),2)</f>
        <v>2</v>
      </c>
    </row>
    <row r="1419" spans="1:5" ht="12.75">
      <c r="A1419" s="2" t="str">
        <f ca="1">IFERROR(__xludf.DUMMYFUNCTION("""COMPUTED_VALUE"""),"XBOS076X10")</f>
        <v>XBOS076X10</v>
      </c>
      <c r="B1419" s="2">
        <f ca="1">IFERROR(__xludf.DUMMYFUNCTION("""COMPUTED_VALUE"""),0)</f>
        <v>0</v>
      </c>
      <c r="C1419" s="2">
        <f ca="1">IFERROR(__xludf.DUMMYFUNCTION("""COMPUTED_VALUE"""),19)</f>
        <v>19</v>
      </c>
      <c r="D1419" s="2">
        <f ca="1">IFERROR(__xludf.DUMMYFUNCTION("""COMPUTED_VALUE"""),0)</f>
        <v>0</v>
      </c>
      <c r="E1419" s="2">
        <f ca="1">IFERROR(__xludf.DUMMYFUNCTION("""COMPUTED_VALUE"""),19)</f>
        <v>19</v>
      </c>
    </row>
    <row r="1420" spans="1:5" ht="12.75">
      <c r="A1420" s="2" t="str">
        <f ca="1">IFERROR(__xludf.DUMMYFUNCTION("""COMPUTED_VALUE"""),"XBOS076X13")</f>
        <v>XBOS076X13</v>
      </c>
      <c r="B1420" s="2">
        <f ca="1">IFERROR(__xludf.DUMMYFUNCTION("""COMPUTED_VALUE"""),0)</f>
        <v>0</v>
      </c>
      <c r="C1420" s="2">
        <f ca="1">IFERROR(__xludf.DUMMYFUNCTION("""COMPUTED_VALUE"""),5)</f>
        <v>5</v>
      </c>
      <c r="D1420" s="2">
        <f ca="1">IFERROR(__xludf.DUMMYFUNCTION("""COMPUTED_VALUE"""),0)</f>
        <v>0</v>
      </c>
      <c r="E1420" s="2">
        <f ca="1">IFERROR(__xludf.DUMMYFUNCTION("""COMPUTED_VALUE"""),5)</f>
        <v>5</v>
      </c>
    </row>
    <row r="1421" spans="1:5" ht="12.75">
      <c r="A1421" s="2" t="str">
        <f ca="1">IFERROR(__xludf.DUMMYFUNCTION("""COMPUTED_VALUE"""),"XBOS076X25")</f>
        <v>XBOS076X25</v>
      </c>
      <c r="B1421" s="2">
        <f ca="1">IFERROR(__xludf.DUMMYFUNCTION("""COMPUTED_VALUE"""),0)</f>
        <v>0</v>
      </c>
      <c r="C1421" s="2">
        <f ca="1">IFERROR(__xludf.DUMMYFUNCTION("""COMPUTED_VALUE"""),4)</f>
        <v>4</v>
      </c>
      <c r="D1421" s="2">
        <f ca="1">IFERROR(__xludf.DUMMYFUNCTION("""COMPUTED_VALUE"""),0)</f>
        <v>0</v>
      </c>
      <c r="E1421" s="2">
        <f ca="1">IFERROR(__xludf.DUMMYFUNCTION("""COMPUTED_VALUE"""),4)</f>
        <v>4</v>
      </c>
    </row>
    <row r="1422" spans="1:5" ht="12.75">
      <c r="A1422" s="2" t="str">
        <f ca="1">IFERROR(__xludf.DUMMYFUNCTION("""COMPUTED_VALUE"""),"XBOS089X32")</f>
        <v>XBOS089X32</v>
      </c>
      <c r="B1422" s="2">
        <f ca="1">IFERROR(__xludf.DUMMYFUNCTION("""COMPUTED_VALUE"""),0)</f>
        <v>0</v>
      </c>
      <c r="C1422" s="2">
        <f ca="1">IFERROR(__xludf.DUMMYFUNCTION("""COMPUTED_VALUE"""),2)</f>
        <v>2</v>
      </c>
      <c r="D1422" s="2">
        <f ca="1">IFERROR(__xludf.DUMMYFUNCTION("""COMPUTED_VALUE"""),0)</f>
        <v>0</v>
      </c>
      <c r="E1422" s="2">
        <f ca="1">IFERROR(__xludf.DUMMYFUNCTION("""COMPUTED_VALUE"""),2)</f>
        <v>2</v>
      </c>
    </row>
    <row r="1423" spans="1:5" ht="12.75">
      <c r="A1423" s="2" t="str">
        <f ca="1">IFERROR(__xludf.DUMMYFUNCTION("""COMPUTED_VALUE"""),"XBOS114X32")</f>
        <v>XBOS114X32</v>
      </c>
      <c r="B1423" s="2">
        <f ca="1">IFERROR(__xludf.DUMMYFUNCTION("""COMPUTED_VALUE"""),0)</f>
        <v>0</v>
      </c>
      <c r="C1423" s="2">
        <f ca="1">IFERROR(__xludf.DUMMYFUNCTION("""COMPUTED_VALUE"""),1)</f>
        <v>1</v>
      </c>
      <c r="D1423" s="2">
        <f ca="1">IFERROR(__xludf.DUMMYFUNCTION("""COMPUTED_VALUE"""),0)</f>
        <v>0</v>
      </c>
      <c r="E1423" s="2">
        <f ca="1">IFERROR(__xludf.DUMMYFUNCTION("""COMPUTED_VALUE"""),1)</f>
        <v>1</v>
      </c>
    </row>
    <row r="1424" spans="1:5" ht="12.75">
      <c r="A1424" s="2" t="str">
        <f ca="1">IFERROR(__xludf.DUMMYFUNCTION("""COMPUTED_VALUE"""),"XBOS140X32")</f>
        <v>XBOS140X32</v>
      </c>
      <c r="B1424" s="2">
        <f ca="1">IFERROR(__xludf.DUMMYFUNCTION("""COMPUTED_VALUE"""),0)</f>
        <v>0</v>
      </c>
      <c r="C1424" s="2">
        <f ca="1">IFERROR(__xludf.DUMMYFUNCTION("""COMPUTED_VALUE"""),1)</f>
        <v>1</v>
      </c>
      <c r="D1424" s="2">
        <f ca="1">IFERROR(__xludf.DUMMYFUNCTION("""COMPUTED_VALUE"""),0)</f>
        <v>0</v>
      </c>
      <c r="E1424" s="2">
        <f ca="1">IFERROR(__xludf.DUMMYFUNCTION("""COMPUTED_VALUE"""),1)</f>
        <v>1</v>
      </c>
    </row>
    <row r="1425" spans="1:5" ht="12.75">
      <c r="A1425" s="2" t="str">
        <f ca="1">IFERROR(__xludf.DUMMYFUNCTION("""COMPUTED_VALUE"""),"XBOSVN016X10")</f>
        <v>XBOSVN016X10</v>
      </c>
      <c r="B1425" s="2">
        <f ca="1">IFERROR(__xludf.DUMMYFUNCTION("""COMPUTED_VALUE"""),0)</f>
        <v>0</v>
      </c>
      <c r="C1425" s="2">
        <f ca="1">IFERROR(__xludf.DUMMYFUNCTION("""COMPUTED_VALUE"""),509)</f>
        <v>509</v>
      </c>
      <c r="D1425" s="2">
        <f ca="1">IFERROR(__xludf.DUMMYFUNCTION("""COMPUTED_VALUE"""),0)</f>
        <v>0</v>
      </c>
      <c r="E1425" s="2">
        <f ca="1">IFERROR(__xludf.DUMMYFUNCTION("""COMPUTED_VALUE"""),509)</f>
        <v>509</v>
      </c>
    </row>
    <row r="1426" spans="1:5" ht="12.75">
      <c r="A1426" s="2" t="str">
        <f ca="1">IFERROR(__xludf.DUMMYFUNCTION("""COMPUTED_VALUE"""),"XBOSVN016X13.070")</f>
        <v>XBOSVN016X13.070</v>
      </c>
      <c r="B1426" s="2">
        <f ca="1">IFERROR(__xludf.DUMMYFUNCTION("""COMPUTED_VALUE"""),0)</f>
        <v>0</v>
      </c>
      <c r="C1426" s="2">
        <f ca="1">IFERROR(__xludf.DUMMYFUNCTION("""COMPUTED_VALUE"""),912)</f>
        <v>912</v>
      </c>
      <c r="D1426" s="2">
        <f ca="1">IFERROR(__xludf.DUMMYFUNCTION("""COMPUTED_VALUE"""),0)</f>
        <v>0</v>
      </c>
      <c r="E1426" s="2">
        <f ca="1">IFERROR(__xludf.DUMMYFUNCTION("""COMPUTED_VALUE"""),912)</f>
        <v>912</v>
      </c>
    </row>
    <row r="1427" spans="1:5" ht="12.75">
      <c r="A1427" s="2" t="str">
        <f ca="1">IFERROR(__xludf.DUMMYFUNCTION("""COMPUTED_VALUE"""),"XBOSVN019X13")</f>
        <v>XBOSVN019X13</v>
      </c>
      <c r="B1427" s="2">
        <f ca="1">IFERROR(__xludf.DUMMYFUNCTION("""COMPUTED_VALUE"""),0)</f>
        <v>0</v>
      </c>
      <c r="C1427" s="2">
        <f ca="1">IFERROR(__xludf.DUMMYFUNCTION("""COMPUTED_VALUE"""),115)</f>
        <v>115</v>
      </c>
      <c r="D1427" s="2">
        <f ca="1">IFERROR(__xludf.DUMMYFUNCTION("""COMPUTED_VALUE"""),0)</f>
        <v>0</v>
      </c>
      <c r="E1427" s="2">
        <f ca="1">IFERROR(__xludf.DUMMYFUNCTION("""COMPUTED_VALUE"""),115)</f>
        <v>115</v>
      </c>
    </row>
    <row r="1428" spans="1:5" ht="12.75">
      <c r="A1428" s="2" t="str">
        <f ca="1">IFERROR(__xludf.DUMMYFUNCTION("""COMPUTED_VALUE"""),"XBOSVN025X13")</f>
        <v>XBOSVN025X13</v>
      </c>
      <c r="B1428" s="2">
        <f ca="1">IFERROR(__xludf.DUMMYFUNCTION("""COMPUTED_VALUE"""),0)</f>
        <v>0</v>
      </c>
      <c r="C1428" s="2">
        <f ca="1">IFERROR(__xludf.DUMMYFUNCTION("""COMPUTED_VALUE"""),1203)</f>
        <v>1203</v>
      </c>
      <c r="D1428" s="2">
        <f ca="1">IFERROR(__xludf.DUMMYFUNCTION("""COMPUTED_VALUE"""),0)</f>
        <v>0</v>
      </c>
      <c r="E1428" s="2">
        <f ca="1">IFERROR(__xludf.DUMMYFUNCTION("""COMPUTED_VALUE"""),1203)</f>
        <v>1203</v>
      </c>
    </row>
    <row r="1429" spans="1:5" ht="12.75">
      <c r="A1429" s="2" t="str">
        <f ca="1">IFERROR(__xludf.DUMMYFUNCTION("""COMPUTED_VALUE"""),"XBOSVN025X25")</f>
        <v>XBOSVN025X25</v>
      </c>
      <c r="B1429" s="2">
        <f ca="1">IFERROR(__xludf.DUMMYFUNCTION("""COMPUTED_VALUE"""),0)</f>
        <v>0</v>
      </c>
      <c r="C1429" s="2">
        <f ca="1">IFERROR(__xludf.DUMMYFUNCTION("""COMPUTED_VALUE"""),2)</f>
        <v>2</v>
      </c>
      <c r="D1429" s="2">
        <f ca="1">IFERROR(__xludf.DUMMYFUNCTION("""COMPUTED_VALUE"""),0)</f>
        <v>0</v>
      </c>
      <c r="E1429" s="2">
        <f ca="1">IFERROR(__xludf.DUMMYFUNCTION("""COMPUTED_VALUE"""),2)</f>
        <v>2</v>
      </c>
    </row>
    <row r="1430" spans="1:5" ht="12.75">
      <c r="A1430" s="2" t="str">
        <f ca="1">IFERROR(__xludf.DUMMYFUNCTION("""COMPUTED_VALUE"""),"XBOSVN028X38")</f>
        <v>XBOSVN028X38</v>
      </c>
      <c r="B1430" s="2">
        <f ca="1">IFERROR(__xludf.DUMMYFUNCTION("""COMPUTED_VALUE"""),0)</f>
        <v>0</v>
      </c>
      <c r="C1430" s="2">
        <f ca="1">IFERROR(__xludf.DUMMYFUNCTION("""COMPUTED_VALUE"""),5)</f>
        <v>5</v>
      </c>
      <c r="D1430" s="2">
        <f ca="1">IFERROR(__xludf.DUMMYFUNCTION("""COMPUTED_VALUE"""),0)</f>
        <v>0</v>
      </c>
      <c r="E1430" s="2">
        <f ca="1">IFERROR(__xludf.DUMMYFUNCTION("""COMPUTED_VALUE"""),5)</f>
        <v>5</v>
      </c>
    </row>
    <row r="1431" spans="1:5" ht="12.75">
      <c r="A1431" s="2" t="str">
        <f ca="1">IFERROR(__xludf.DUMMYFUNCTION("""COMPUTED_VALUE"""),"XBOSVN032X13")</f>
        <v>XBOSVN032X13</v>
      </c>
      <c r="B1431" s="2">
        <f ca="1">IFERROR(__xludf.DUMMYFUNCTION("""COMPUTED_VALUE"""),0)</f>
        <v>0</v>
      </c>
      <c r="C1431" s="2">
        <f ca="1">IFERROR(__xludf.DUMMYFUNCTION("""COMPUTED_VALUE"""),944)</f>
        <v>944</v>
      </c>
      <c r="D1431" s="2">
        <f ca="1">IFERROR(__xludf.DUMMYFUNCTION("""COMPUTED_VALUE"""),0)</f>
        <v>0</v>
      </c>
      <c r="E1431" s="2">
        <f ca="1">IFERROR(__xludf.DUMMYFUNCTION("""COMPUTED_VALUE"""),944)</f>
        <v>944</v>
      </c>
    </row>
    <row r="1432" spans="1:5" ht="12.75">
      <c r="A1432" s="2" t="str">
        <f ca="1">IFERROR(__xludf.DUMMYFUNCTION("""COMPUTED_VALUE"""),"XBOSVN042X13")</f>
        <v>XBOSVN042X13</v>
      </c>
      <c r="B1432" s="2">
        <f ca="1">IFERROR(__xludf.DUMMYFUNCTION("""COMPUTED_VALUE"""),0)</f>
        <v>0</v>
      </c>
      <c r="C1432" s="2">
        <f ca="1">IFERROR(__xludf.DUMMYFUNCTION("""COMPUTED_VALUE"""),1543)</f>
        <v>1543</v>
      </c>
      <c r="D1432" s="2">
        <f ca="1">IFERROR(__xludf.DUMMYFUNCTION("""COMPUTED_VALUE"""),0)</f>
        <v>0</v>
      </c>
      <c r="E1432" s="2">
        <f ca="1">IFERROR(__xludf.DUMMYFUNCTION("""COMPUTED_VALUE"""),1543)</f>
        <v>1543</v>
      </c>
    </row>
    <row r="1433" spans="1:5" ht="12.75">
      <c r="A1433" s="2" t="str">
        <f ca="1">IFERROR(__xludf.DUMMYFUNCTION("""COMPUTED_VALUE"""),"XBOSVN051X10")</f>
        <v>XBOSVN051X10</v>
      </c>
      <c r="B1433" s="2">
        <f ca="1">IFERROR(__xludf.DUMMYFUNCTION("""COMPUTED_VALUE"""),0)</f>
        <v>0</v>
      </c>
      <c r="C1433" s="2">
        <f ca="1">IFERROR(__xludf.DUMMYFUNCTION("""COMPUTED_VALUE"""),18)</f>
        <v>18</v>
      </c>
      <c r="D1433" s="2">
        <f ca="1">IFERROR(__xludf.DUMMYFUNCTION("""COMPUTED_VALUE"""),0)</f>
        <v>0</v>
      </c>
      <c r="E1433" s="2">
        <f ca="1">IFERROR(__xludf.DUMMYFUNCTION("""COMPUTED_VALUE"""),18)</f>
        <v>18</v>
      </c>
    </row>
    <row r="1434" spans="1:5" ht="12.75">
      <c r="A1434" s="2" t="str">
        <f ca="1">IFERROR(__xludf.DUMMYFUNCTION("""COMPUTED_VALUE"""),"XBOSVN051X19")</f>
        <v>XBOSVN051X19</v>
      </c>
      <c r="B1434" s="2">
        <f ca="1">IFERROR(__xludf.DUMMYFUNCTION("""COMPUTED_VALUE"""),0)</f>
        <v>0</v>
      </c>
      <c r="C1434" s="2">
        <f ca="1">IFERROR(__xludf.DUMMYFUNCTION("""COMPUTED_VALUE"""),4)</f>
        <v>4</v>
      </c>
      <c r="D1434" s="2">
        <f ca="1">IFERROR(__xludf.DUMMYFUNCTION("""COMPUTED_VALUE"""),0)</f>
        <v>0</v>
      </c>
      <c r="E1434" s="2">
        <f ca="1">IFERROR(__xludf.DUMMYFUNCTION("""COMPUTED_VALUE"""),4)</f>
        <v>4</v>
      </c>
    </row>
    <row r="1435" spans="1:5" ht="12.75">
      <c r="A1435" s="2" t="str">
        <f ca="1">IFERROR(__xludf.DUMMYFUNCTION("""COMPUTED_VALUE"""),"XBOSVN051X38")</f>
        <v>XBOSVN051X38</v>
      </c>
      <c r="B1435" s="2">
        <f ca="1">IFERROR(__xludf.DUMMYFUNCTION("""COMPUTED_VALUE"""),0)</f>
        <v>0</v>
      </c>
      <c r="C1435" s="2">
        <f ca="1">IFERROR(__xludf.DUMMYFUNCTION("""COMPUTED_VALUE"""),1)</f>
        <v>1</v>
      </c>
      <c r="D1435" s="2">
        <f ca="1">IFERROR(__xludf.DUMMYFUNCTION("""COMPUTED_VALUE"""),0)</f>
        <v>0</v>
      </c>
      <c r="E1435" s="2">
        <f ca="1">IFERROR(__xludf.DUMMYFUNCTION("""COMPUTED_VALUE"""),1)</f>
        <v>1</v>
      </c>
    </row>
    <row r="1436" spans="1:5" ht="12.75">
      <c r="A1436" s="2" t="str">
        <f ca="1">IFERROR(__xludf.DUMMYFUNCTION("""COMPUTED_VALUE"""),"XBOSVN060X32")</f>
        <v>XBOSVN060X32</v>
      </c>
      <c r="B1436" s="2">
        <f ca="1">IFERROR(__xludf.DUMMYFUNCTION("""COMPUTED_VALUE"""),0)</f>
        <v>0</v>
      </c>
      <c r="C1436" s="2">
        <f ca="1">IFERROR(__xludf.DUMMYFUNCTION("""COMPUTED_VALUE"""),3)</f>
        <v>3</v>
      </c>
      <c r="D1436" s="2">
        <f ca="1">IFERROR(__xludf.DUMMYFUNCTION("""COMPUTED_VALUE"""),0)</f>
        <v>0</v>
      </c>
      <c r="E1436" s="2">
        <f ca="1">IFERROR(__xludf.DUMMYFUNCTION("""COMPUTED_VALUE"""),3)</f>
        <v>3</v>
      </c>
    </row>
    <row r="1437" spans="1:5" ht="12.75">
      <c r="A1437" s="2" t="str">
        <f ca="1">IFERROR(__xludf.DUMMYFUNCTION("""COMPUTED_VALUE"""),"XBOSVN089X38")</f>
        <v>XBOSVN089X38</v>
      </c>
      <c r="B1437" s="2">
        <f ca="1">IFERROR(__xludf.DUMMYFUNCTION("""COMPUTED_VALUE"""),0)</f>
        <v>0</v>
      </c>
      <c r="C1437" s="2">
        <f ca="1">IFERROR(__xludf.DUMMYFUNCTION("""COMPUTED_VALUE"""),3)</f>
        <v>3</v>
      </c>
      <c r="D1437" s="2">
        <f ca="1">IFERROR(__xludf.DUMMYFUNCTION("""COMPUTED_VALUE"""),0)</f>
        <v>0</v>
      </c>
      <c r="E1437" s="2">
        <f ca="1">IFERROR(__xludf.DUMMYFUNCTION("""COMPUTED_VALUE"""),3)</f>
        <v>3</v>
      </c>
    </row>
    <row r="1438" spans="1:5" ht="12.75">
      <c r="A1438" s="2" t="str">
        <f ca="1">IFERROR(__xludf.DUMMYFUNCTION("""COMPUTED_VALUE"""),"XBOSVN114X19")</f>
        <v>XBOSVN114X19</v>
      </c>
      <c r="B1438" s="2">
        <f ca="1">IFERROR(__xludf.DUMMYFUNCTION("""COMPUTED_VALUE"""),0)</f>
        <v>0</v>
      </c>
      <c r="C1438" s="2">
        <f ca="1">IFERROR(__xludf.DUMMYFUNCTION("""COMPUTED_VALUE"""),2)</f>
        <v>2</v>
      </c>
      <c r="D1438" s="2">
        <f ca="1">IFERROR(__xludf.DUMMYFUNCTION("""COMPUTED_VALUE"""),0)</f>
        <v>0</v>
      </c>
      <c r="E1438" s="2">
        <f ca="1">IFERROR(__xludf.DUMMYFUNCTION("""COMPUTED_VALUE"""),2)</f>
        <v>2</v>
      </c>
    </row>
    <row r="1439" spans="1:5" ht="12.75">
      <c r="A1439" s="2" t="str">
        <f ca="1">IFERROR(__xludf.DUMMYFUNCTION("""COMPUTED_VALUE"""),"XBOSVN140X25")</f>
        <v>XBOSVN140X25</v>
      </c>
      <c r="B1439" s="2">
        <f ca="1">IFERROR(__xludf.DUMMYFUNCTION("""COMPUTED_VALUE"""),0)</f>
        <v>0</v>
      </c>
      <c r="C1439" s="2">
        <f ca="1">IFERROR(__xludf.DUMMYFUNCTION("""COMPUTED_VALUE"""),4)</f>
        <v>4</v>
      </c>
      <c r="D1439" s="2">
        <f ca="1">IFERROR(__xludf.DUMMYFUNCTION("""COMPUTED_VALUE"""),0)</f>
        <v>0</v>
      </c>
      <c r="E1439" s="2">
        <f ca="1">IFERROR(__xludf.DUMMYFUNCTION("""COMPUTED_VALUE"""),4)</f>
        <v>4</v>
      </c>
    </row>
    <row r="1440" spans="1:5" ht="12.75">
      <c r="A1440" s="2" t="str">
        <f ca="1">IFERROR(__xludf.DUMMYFUNCTION("""COMPUTED_VALUE"""),"XTA251204C0B")</f>
        <v>XTA251204C0B</v>
      </c>
      <c r="B1440" s="2">
        <f ca="1">IFERROR(__xludf.DUMMYFUNCTION("""COMPUTED_VALUE"""),0)</f>
        <v>0</v>
      </c>
      <c r="C1440" s="2">
        <f ca="1">IFERROR(__xludf.DUMMYFUNCTION("""COMPUTED_VALUE"""),79)</f>
        <v>79</v>
      </c>
      <c r="D1440" s="2">
        <f ca="1">IFERROR(__xludf.DUMMYFUNCTION("""COMPUTED_VALUE"""),0)</f>
        <v>0</v>
      </c>
      <c r="E1440" s="2">
        <f ca="1">IFERROR(__xludf.DUMMYFUNCTION("""COMPUTED_VALUE"""),79)</f>
        <v>79</v>
      </c>
    </row>
    <row r="1441" spans="1:5" ht="12.75">
      <c r="A1441" s="2" t="str">
        <f ca="1">IFERROR(__xludf.DUMMYFUNCTION("""COMPUTED_VALUE"""),"XTA5012203BD")</f>
        <v>XTA5012203BD</v>
      </c>
      <c r="B1441" s="2">
        <f ca="1">IFERROR(__xludf.DUMMYFUNCTION("""COMPUTED_VALUE"""),0)</f>
        <v>0</v>
      </c>
      <c r="C1441" s="2">
        <f ca="1">IFERROR(__xludf.DUMMYFUNCTION("""COMPUTED_VALUE"""),1)</f>
        <v>1</v>
      </c>
      <c r="D1441" s="2">
        <f ca="1">IFERROR(__xludf.DUMMYFUNCTION("""COMPUTED_VALUE"""),0)</f>
        <v>0</v>
      </c>
      <c r="E1441" s="2">
        <f ca="1">IFERROR(__xludf.DUMMYFUNCTION("""COMPUTED_VALUE"""),1)</f>
        <v>1</v>
      </c>
    </row>
    <row r="1442" spans="1:5" ht="12.75">
      <c r="A1442" s="2" t="str">
        <f ca="1">IFERROR(__xludf.DUMMYFUNCTION("""COMPUTED_VALUE"""),"XTAE161210C0BD")</f>
        <v>XTAE161210C0BD</v>
      </c>
      <c r="B1442" s="2">
        <f ca="1">IFERROR(__xludf.DUMMYFUNCTION("""COMPUTED_VALUE"""),0)</f>
        <v>0</v>
      </c>
      <c r="C1442" s="2">
        <f ca="1">IFERROR(__xludf.DUMMYFUNCTION("""COMPUTED_VALUE"""),95)</f>
        <v>95</v>
      </c>
      <c r="D1442" s="2">
        <f ca="1">IFERROR(__xludf.DUMMYFUNCTION("""COMPUTED_VALUE"""),0)</f>
        <v>0</v>
      </c>
      <c r="E1442" s="2">
        <f ca="1">IFERROR(__xludf.DUMMYFUNCTION("""COMPUTED_VALUE"""),95)</f>
        <v>95</v>
      </c>
    </row>
    <row r="1443" spans="1:5" ht="12.75">
      <c r="A1443" s="2" t="str">
        <f ca="1">IFERROR(__xludf.DUMMYFUNCTION("""COMPUTED_VALUE"""),"XTAE251205C0BD")</f>
        <v>XTAE251205C0BD</v>
      </c>
      <c r="B1443" s="2">
        <f ca="1">IFERROR(__xludf.DUMMYFUNCTION("""COMPUTED_VALUE"""),0)</f>
        <v>0</v>
      </c>
      <c r="C1443" s="2">
        <f ca="1">IFERROR(__xludf.DUMMYFUNCTION("""COMPUTED_VALUE"""),98)</f>
        <v>98</v>
      </c>
      <c r="D1443" s="2">
        <f ca="1">IFERROR(__xludf.DUMMYFUNCTION("""COMPUTED_VALUE"""),0)</f>
        <v>0</v>
      </c>
      <c r="E1443" s="2">
        <f ca="1">IFERROR(__xludf.DUMMYFUNCTION("""COMPUTED_VALUE"""),98)</f>
        <v>98</v>
      </c>
    </row>
    <row r="1444" spans="1:5" ht="12.75">
      <c r="A1444" s="2" t="str">
        <f ca="1">IFERROR(__xludf.DUMMYFUNCTION("""COMPUTED_VALUE"""),"XTS13122914")</f>
        <v>XTS13122914</v>
      </c>
      <c r="B1444" s="2">
        <f ca="1">IFERROR(__xludf.DUMMYFUNCTION("""COMPUTED_VALUE"""),0)</f>
        <v>0</v>
      </c>
      <c r="C1444" s="2">
        <f ca="1">IFERROR(__xludf.DUMMYFUNCTION("""COMPUTED_VALUE"""),1)</f>
        <v>1</v>
      </c>
      <c r="D1444" s="2">
        <f ca="1">IFERROR(__xludf.DUMMYFUNCTION("""COMPUTED_VALUE"""),0)</f>
        <v>0</v>
      </c>
      <c r="E1444" s="2">
        <f ca="1">IFERROR(__xludf.DUMMYFUNCTION("""COMPUTED_VALUE"""),1)</f>
        <v>1</v>
      </c>
    </row>
    <row r="1445" spans="1:5" ht="12.75">
      <c r="A1445" s="2" t="str">
        <f ca="1">IFERROR(__xludf.DUMMYFUNCTION("""COMPUTED_VALUE"""),"XTSVN1612214BD")</f>
        <v>XTSVN1612214BD</v>
      </c>
      <c r="B1445" s="2">
        <f ca="1">IFERROR(__xludf.DUMMYFUNCTION("""COMPUTED_VALUE"""),0)</f>
        <v>0</v>
      </c>
      <c r="C1445" s="2">
        <f ca="1">IFERROR(__xludf.DUMMYFUNCTION("""COMPUTED_VALUE"""),16)</f>
        <v>16</v>
      </c>
      <c r="D1445" s="2">
        <f ca="1">IFERROR(__xludf.DUMMYFUNCTION("""COMPUTED_VALUE"""),0)</f>
        <v>0</v>
      </c>
      <c r="E1445" s="2">
        <f ca="1">IFERROR(__xludf.DUMMYFUNCTION("""COMPUTED_VALUE"""),16)</f>
        <v>16</v>
      </c>
    </row>
    <row r="1446" spans="1:5" ht="12.75">
      <c r="A1446" s="2" t="str">
        <f ca="1">IFERROR(__xludf.DUMMYFUNCTION("""COMPUTED_VALUE"""),"XTSVN1912209")</f>
        <v>XTSVN1912209</v>
      </c>
      <c r="B1446" s="2">
        <f ca="1">IFERROR(__xludf.DUMMYFUNCTION("""COMPUTED_VALUE"""),0)</f>
        <v>0</v>
      </c>
      <c r="C1446" s="2">
        <f ca="1">IFERROR(__xludf.DUMMYFUNCTION("""COMPUTED_VALUE"""),20)</f>
        <v>20</v>
      </c>
      <c r="D1446" s="2">
        <f ca="1">IFERROR(__xludf.DUMMYFUNCTION("""COMPUTED_VALUE"""),0)</f>
        <v>0</v>
      </c>
      <c r="E1446" s="2">
        <f ca="1">IFERROR(__xludf.DUMMYFUNCTION("""COMPUTED_VALUE"""),20)</f>
        <v>20</v>
      </c>
    </row>
    <row r="1447" spans="1:5" ht="12.75">
      <c r="A1447" s="2" t="str">
        <f ca="1">IFERROR(__xludf.DUMMYFUNCTION("""COMPUTED_VALUE"""),"DTHIT")</f>
        <v>DTHIT</v>
      </c>
      <c r="B1447" s="2">
        <f ca="1">IFERROR(__xludf.DUMMYFUNCTION("""COMPUTED_VALUE"""),0)</f>
        <v>0</v>
      </c>
      <c r="C1447" s="2">
        <f ca="1">IFERROR(__xludf.DUMMYFUNCTION("""COMPUTED_VALUE"""),10860)</f>
        <v>10860</v>
      </c>
      <c r="D1447" s="2">
        <f ca="1">IFERROR(__xludf.DUMMYFUNCTION("""COMPUTED_VALUE"""),10860)</f>
        <v>10860</v>
      </c>
      <c r="E1447" s="2">
        <f ca="1">IFERROR(__xludf.DUMMYFUNCTION("""COMPUTED_VALUE"""),0)</f>
        <v>0</v>
      </c>
    </row>
    <row r="1448" spans="1:5" ht="12.75">
      <c r="A1448" s="2" t="str">
        <f ca="1">IFERROR(__xludf.DUMMYFUNCTION("""COMPUTED_VALUE"""),"HKBPLKB0.12x1.6")</f>
        <v>HKBPLKB0.12x1.6</v>
      </c>
      <c r="B1448" s="2">
        <f ca="1">IFERROR(__xludf.DUMMYFUNCTION("""COMPUTED_VALUE"""),0)</f>
        <v>0</v>
      </c>
      <c r="C1448" s="2">
        <f ca="1">IFERROR(__xludf.DUMMYFUNCTION("""COMPUTED_VALUE"""),1.6)</f>
        <v>1.6</v>
      </c>
      <c r="D1448" s="2">
        <f ca="1">IFERROR(__xludf.DUMMYFUNCTION("""COMPUTED_VALUE"""),1.6)</f>
        <v>1.6</v>
      </c>
      <c r="E1448" s="2">
        <f ca="1">IFERROR(__xludf.DUMMYFUNCTION("""COMPUTED_VALUE"""),0)</f>
        <v>0</v>
      </c>
    </row>
    <row r="1449" spans="1:5" ht="12.75">
      <c r="A1449" s="2" t="str">
        <f ca="1">IFERROR(__xludf.DUMMYFUNCTION("""COMPUTED_VALUE"""),"HKMCD10M070L030")</f>
        <v>HKMCD10M070L030</v>
      </c>
      <c r="B1449" s="2">
        <f ca="1">IFERROR(__xludf.DUMMYFUNCTION("""COMPUTED_VALUE"""),0)</f>
        <v>0</v>
      </c>
      <c r="C1449" s="2">
        <f ca="1">IFERROR(__xludf.DUMMYFUNCTION("""COMPUTED_VALUE"""),7.4)</f>
        <v>7.4</v>
      </c>
      <c r="D1449" s="2">
        <f ca="1">IFERROR(__xludf.DUMMYFUNCTION("""COMPUTED_VALUE"""),7.4)</f>
        <v>7.4</v>
      </c>
      <c r="E1449" s="2">
        <f ca="1">IFERROR(__xludf.DUMMYFUNCTION("""COMPUTED_VALUE"""),0)</f>
        <v>0</v>
      </c>
    </row>
    <row r="1450" spans="1:5" ht="12.75">
      <c r="A1450" s="2" t="str">
        <f ca="1">IFERROR(__xludf.DUMMYFUNCTION("""COMPUTED_VALUE"""),"HKTODL1/2x50")</f>
        <v>HKTODL1/2x50</v>
      </c>
      <c r="B1450" s="2">
        <f ca="1">IFERROR(__xludf.DUMMYFUNCTION("""COMPUTED_VALUE"""),0)</f>
        <v>0</v>
      </c>
      <c r="C1450" s="2">
        <f ca="1">IFERROR(__xludf.DUMMYFUNCTION("""COMPUTED_VALUE"""),6)</f>
        <v>6</v>
      </c>
      <c r="D1450" s="2">
        <f ca="1">IFERROR(__xludf.DUMMYFUNCTION("""COMPUTED_VALUE"""),6)</f>
        <v>6</v>
      </c>
      <c r="E1450" s="2">
        <f ca="1">IFERROR(__xludf.DUMMYFUNCTION("""COMPUTED_VALUE"""),0)</f>
        <v>0</v>
      </c>
    </row>
    <row r="1451" spans="1:5" ht="12.75">
      <c r="A1451" s="2" t="str">
        <f ca="1">IFERROR(__xludf.DUMMYFUNCTION("""COMPUTED_VALUE"""),"HKTODL1/4x50")</f>
        <v>HKTODL1/4x50</v>
      </c>
      <c r="B1451" s="2">
        <f ca="1">IFERROR(__xludf.DUMMYFUNCTION("""COMPUTED_VALUE"""),0)</f>
        <v>0</v>
      </c>
      <c r="C1451" s="2">
        <f ca="1">IFERROR(__xludf.DUMMYFUNCTION("""COMPUTED_VALUE"""),17)</f>
        <v>17</v>
      </c>
      <c r="D1451" s="2">
        <f ca="1">IFERROR(__xludf.DUMMYFUNCTION("""COMPUTED_VALUE"""),17)</f>
        <v>17</v>
      </c>
      <c r="E1451" s="2">
        <f ca="1">IFERROR(__xludf.DUMMYFUNCTION("""COMPUTED_VALUE"""),0)</f>
        <v>0</v>
      </c>
    </row>
    <row r="1452" spans="1:5" ht="12.75">
      <c r="A1452" s="2" t="str">
        <f ca="1">IFERROR(__xludf.DUMMYFUNCTION("""COMPUTED_VALUE"""),"HKTODL3/8x50")</f>
        <v>HKTODL3/8x50</v>
      </c>
      <c r="B1452" s="2">
        <f ca="1">IFERROR(__xludf.DUMMYFUNCTION("""COMPUTED_VALUE"""),0)</f>
        <v>0</v>
      </c>
      <c r="C1452" s="2">
        <f ca="1">IFERROR(__xludf.DUMMYFUNCTION("""COMPUTED_VALUE"""),17)</f>
        <v>17</v>
      </c>
      <c r="D1452" s="2">
        <f ca="1">IFERROR(__xludf.DUMMYFUNCTION("""COMPUTED_VALUE"""),17)</f>
        <v>17</v>
      </c>
      <c r="E1452" s="2">
        <f ca="1">IFERROR(__xludf.DUMMYFUNCTION("""COMPUTED_VALUE"""),0)</f>
        <v>0</v>
      </c>
    </row>
    <row r="1453" spans="1:5" ht="12.75">
      <c r="A1453" s="2" t="str">
        <f ca="1">IFERROR(__xludf.DUMMYFUNCTION("""COMPUTED_VALUE"""),"OGBSX100PL")</f>
        <v>OGBSX100PL</v>
      </c>
      <c r="B1453" s="2">
        <f ca="1">IFERROR(__xludf.DUMMYFUNCTION("""COMPUTED_VALUE"""),0)</f>
        <v>0</v>
      </c>
      <c r="C1453" s="2">
        <f ca="1">IFERROR(__xludf.DUMMYFUNCTION("""COMPUTED_VALUE"""),12)</f>
        <v>12</v>
      </c>
      <c r="D1453" s="2">
        <f ca="1">IFERROR(__xludf.DUMMYFUNCTION("""COMPUTED_VALUE"""),12)</f>
        <v>12</v>
      </c>
      <c r="E1453" s="2">
        <f ca="1">IFERROR(__xludf.DUMMYFUNCTION("""COMPUTED_VALUE"""),0)</f>
        <v>0</v>
      </c>
    </row>
    <row r="1454" spans="1:5" ht="12.75">
      <c r="A1454" s="2" t="str">
        <f ca="1">IFERROR(__xludf.DUMMYFUNCTION("""COMPUTED_VALUE"""),"OGBSX150")</f>
        <v>OGBSX150</v>
      </c>
      <c r="B1454" s="2">
        <f ca="1">IFERROR(__xludf.DUMMYFUNCTION("""COMPUTED_VALUE"""),0)</f>
        <v>0</v>
      </c>
      <c r="C1454" s="2">
        <f ca="1">IFERROR(__xludf.DUMMYFUNCTION("""COMPUTED_VALUE"""),1275)</f>
        <v>1275</v>
      </c>
      <c r="D1454" s="2">
        <f ca="1">IFERROR(__xludf.DUMMYFUNCTION("""COMPUTED_VALUE"""),1275)</f>
        <v>1275</v>
      </c>
      <c r="E1454" s="2">
        <f ca="1">IFERROR(__xludf.DUMMYFUNCTION("""COMPUTED_VALUE"""),0)</f>
        <v>0</v>
      </c>
    </row>
    <row r="1455" spans="1:5" ht="12.75">
      <c r="A1455" s="2" t="str">
        <f ca="1">IFERROR(__xludf.DUMMYFUNCTION("""COMPUTED_VALUE"""),"OGBSX150PL")</f>
        <v>OGBSX150PL</v>
      </c>
      <c r="B1455" s="2">
        <f ca="1">IFERROR(__xludf.DUMMYFUNCTION("""COMPUTED_VALUE"""),0)</f>
        <v>0</v>
      </c>
      <c r="C1455" s="2">
        <f ca="1">IFERROR(__xludf.DUMMYFUNCTION("""COMPUTED_VALUE"""),257)</f>
        <v>257</v>
      </c>
      <c r="D1455" s="2">
        <f ca="1">IFERROR(__xludf.DUMMYFUNCTION("""COMPUTED_VALUE"""),257)</f>
        <v>257</v>
      </c>
      <c r="E1455" s="2">
        <f ca="1">IFERROR(__xludf.DUMMYFUNCTION("""COMPUTED_VALUE"""),0)</f>
        <v>0</v>
      </c>
    </row>
    <row r="1456" spans="1:5" ht="12.75">
      <c r="A1456" s="2" t="str">
        <f ca="1">IFERROR(__xludf.DUMMYFUNCTION("""COMPUTED_VALUE"""),"OGBSX200")</f>
        <v>OGBSX200</v>
      </c>
      <c r="B1456" s="2">
        <f ca="1">IFERROR(__xludf.DUMMYFUNCTION("""COMPUTED_VALUE"""),0)</f>
        <v>0</v>
      </c>
      <c r="C1456" s="2">
        <f ca="1">IFERROR(__xludf.DUMMYFUNCTION("""COMPUTED_VALUE"""),241)</f>
        <v>241</v>
      </c>
      <c r="D1456" s="2">
        <f ca="1">IFERROR(__xludf.DUMMYFUNCTION("""COMPUTED_VALUE"""),241)</f>
        <v>241</v>
      </c>
      <c r="E1456" s="2">
        <f ca="1">IFERROR(__xludf.DUMMYFUNCTION("""COMPUTED_VALUE"""),0)</f>
        <v>0</v>
      </c>
    </row>
    <row r="1457" spans="1:5" ht="12.75">
      <c r="A1457" s="2" t="str">
        <f ca="1">IFERROR(__xludf.DUMMYFUNCTION("""COMPUTED_VALUE"""),"OGBSX200PL")</f>
        <v>OGBSX200PL</v>
      </c>
      <c r="B1457" s="2">
        <f ca="1">IFERROR(__xludf.DUMMYFUNCTION("""COMPUTED_VALUE"""),0)</f>
        <v>0</v>
      </c>
      <c r="C1457" s="2">
        <f ca="1">IFERROR(__xludf.DUMMYFUNCTION("""COMPUTED_VALUE"""),285)</f>
        <v>285</v>
      </c>
      <c r="D1457" s="2">
        <f ca="1">IFERROR(__xludf.DUMMYFUNCTION("""COMPUTED_VALUE"""),285)</f>
        <v>285</v>
      </c>
      <c r="E1457" s="2">
        <f ca="1">IFERROR(__xludf.DUMMYFUNCTION("""COMPUTED_VALUE"""),0)</f>
        <v>0</v>
      </c>
    </row>
    <row r="1458" spans="1:5" ht="12.75">
      <c r="A1458" s="2" t="str">
        <f ca="1">IFERROR(__xludf.DUMMYFUNCTION("""COMPUTED_VALUE"""),"OGBSX250")</f>
        <v>OGBSX250</v>
      </c>
      <c r="B1458" s="2">
        <f ca="1">IFERROR(__xludf.DUMMYFUNCTION("""COMPUTED_VALUE"""),0)</f>
        <v>0</v>
      </c>
      <c r="C1458" s="2">
        <f ca="1">IFERROR(__xludf.DUMMYFUNCTION("""COMPUTED_VALUE"""),441)</f>
        <v>441</v>
      </c>
      <c r="D1458" s="2">
        <f ca="1">IFERROR(__xludf.DUMMYFUNCTION("""COMPUTED_VALUE"""),441)</f>
        <v>441</v>
      </c>
      <c r="E1458" s="2">
        <f ca="1">IFERROR(__xludf.DUMMYFUNCTION("""COMPUTED_VALUE"""),0)</f>
        <v>0</v>
      </c>
    </row>
    <row r="1459" spans="1:5" ht="12.75">
      <c r="A1459" s="2" t="str">
        <f ca="1">IFERROR(__xludf.DUMMYFUNCTION("""COMPUTED_VALUE"""),"OGBSX250PL")</f>
        <v>OGBSX250PL</v>
      </c>
      <c r="B1459" s="2">
        <f ca="1">IFERROR(__xludf.DUMMYFUNCTION("""COMPUTED_VALUE"""),0)</f>
        <v>0</v>
      </c>
      <c r="C1459" s="2">
        <f ca="1">IFERROR(__xludf.DUMMYFUNCTION("""COMPUTED_VALUE"""),105)</f>
        <v>105</v>
      </c>
      <c r="D1459" s="2">
        <f ca="1">IFERROR(__xludf.DUMMYFUNCTION("""COMPUTED_VALUE"""),105)</f>
        <v>105</v>
      </c>
      <c r="E1459" s="2">
        <f ca="1">IFERROR(__xludf.DUMMYFUNCTION("""COMPUTED_VALUE"""),0)</f>
        <v>0</v>
      </c>
    </row>
    <row r="1460" spans="1:5" ht="12.75">
      <c r="A1460" s="2" t="str">
        <f ca="1">IFERROR(__xludf.DUMMYFUNCTION("""COMPUTED_VALUE"""),"OGBSX300")</f>
        <v>OGBSX300</v>
      </c>
      <c r="B1460" s="2">
        <f ca="1">IFERROR(__xludf.DUMMYFUNCTION("""COMPUTED_VALUE"""),0)</f>
        <v>0</v>
      </c>
      <c r="C1460" s="2">
        <f ca="1">IFERROR(__xludf.DUMMYFUNCTION("""COMPUTED_VALUE"""),212)</f>
        <v>212</v>
      </c>
      <c r="D1460" s="2">
        <f ca="1">IFERROR(__xludf.DUMMYFUNCTION("""COMPUTED_VALUE"""),212)</f>
        <v>212</v>
      </c>
      <c r="E1460" s="2">
        <f ca="1">IFERROR(__xludf.DUMMYFUNCTION("""COMPUTED_VALUE"""),0)</f>
        <v>0</v>
      </c>
    </row>
    <row r="1461" spans="1:5" ht="12.75">
      <c r="A1461" s="2" t="str">
        <f ca="1">IFERROR(__xludf.DUMMYFUNCTION("""COMPUTED_VALUE"""),"OGBSX350")</f>
        <v>OGBSX350</v>
      </c>
      <c r="B1461" s="2">
        <f ca="1">IFERROR(__xludf.DUMMYFUNCTION("""COMPUTED_VALUE"""),0)</f>
        <v>0</v>
      </c>
      <c r="C1461" s="2">
        <f ca="1">IFERROR(__xludf.DUMMYFUNCTION("""COMPUTED_VALUE"""),300)</f>
        <v>300</v>
      </c>
      <c r="D1461" s="2">
        <f ca="1">IFERROR(__xludf.DUMMYFUNCTION("""COMPUTED_VALUE"""),300)</f>
        <v>300</v>
      </c>
      <c r="E1461" s="2">
        <f ca="1">IFERROR(__xludf.DUMMYFUNCTION("""COMPUTED_VALUE"""),0)</f>
        <v>0</v>
      </c>
    </row>
    <row r="1462" spans="1:5" ht="12.75">
      <c r="A1462" s="2" t="str">
        <f ca="1">IFERROR(__xludf.DUMMYFUNCTION("""COMPUTED_VALUE"""),"OGTSX150")</f>
        <v>OGTSX150</v>
      </c>
      <c r="B1462" s="2">
        <f ca="1">IFERROR(__xludf.DUMMYFUNCTION("""COMPUTED_VALUE"""),0)</f>
        <v>0</v>
      </c>
      <c r="C1462" s="2">
        <f ca="1">IFERROR(__xludf.DUMMYFUNCTION("""COMPUTED_VALUE"""),330)</f>
        <v>330</v>
      </c>
      <c r="D1462" s="2">
        <f ca="1">IFERROR(__xludf.DUMMYFUNCTION("""COMPUTED_VALUE"""),330)</f>
        <v>330</v>
      </c>
      <c r="E1462" s="2">
        <f ca="1">IFERROR(__xludf.DUMMYFUNCTION("""COMPUTED_VALUE"""),0)</f>
        <v>0</v>
      </c>
    </row>
    <row r="1463" spans="1:5" ht="12.75">
      <c r="A1463" s="2" t="str">
        <f ca="1">IFERROR(__xludf.DUMMYFUNCTION("""COMPUTED_VALUE"""),"OGTSX200")</f>
        <v>OGTSX200</v>
      </c>
      <c r="B1463" s="2">
        <f ca="1">IFERROR(__xludf.DUMMYFUNCTION("""COMPUTED_VALUE"""),0)</f>
        <v>0</v>
      </c>
      <c r="C1463" s="2">
        <f ca="1">IFERROR(__xludf.DUMMYFUNCTION("""COMPUTED_VALUE"""),2168)</f>
        <v>2168</v>
      </c>
      <c r="D1463" s="2">
        <f ca="1">IFERROR(__xludf.DUMMYFUNCTION("""COMPUTED_VALUE"""),2168)</f>
        <v>2168</v>
      </c>
      <c r="E1463" s="2">
        <f ca="1">IFERROR(__xludf.DUMMYFUNCTION("""COMPUTED_VALUE"""),0)</f>
        <v>0</v>
      </c>
    </row>
    <row r="1464" spans="1:5" ht="12.75">
      <c r="A1464" s="2" t="str">
        <f ca="1">IFERROR(__xludf.DUMMYFUNCTION("""COMPUTED_VALUE"""),"OGTSX250")</f>
        <v>OGTSX250</v>
      </c>
      <c r="B1464" s="2">
        <f ca="1">IFERROR(__xludf.DUMMYFUNCTION("""COMPUTED_VALUE"""),0)</f>
        <v>0</v>
      </c>
      <c r="C1464" s="2">
        <f ca="1">IFERROR(__xludf.DUMMYFUNCTION("""COMPUTED_VALUE"""),192)</f>
        <v>192</v>
      </c>
      <c r="D1464" s="2">
        <f ca="1">IFERROR(__xludf.DUMMYFUNCTION("""COMPUTED_VALUE"""),192)</f>
        <v>192</v>
      </c>
      <c r="E1464" s="2">
        <f ca="1">IFERROR(__xludf.DUMMYFUNCTION("""COMPUTED_VALUE"""),0)</f>
        <v>0</v>
      </c>
    </row>
    <row r="1465" spans="1:5" ht="12.75">
      <c r="A1465" s="2" t="str">
        <f ca="1">IFERROR(__xludf.DUMMYFUNCTION("""COMPUTED_VALUE"""),"OGTSX300")</f>
        <v>OGTSX300</v>
      </c>
      <c r="B1465" s="2">
        <f ca="1">IFERROR(__xludf.DUMMYFUNCTION("""COMPUTED_VALUE"""),0)</f>
        <v>0</v>
      </c>
      <c r="C1465" s="2">
        <f ca="1">IFERROR(__xludf.DUMMYFUNCTION("""COMPUTED_VALUE"""),191)</f>
        <v>191</v>
      </c>
      <c r="D1465" s="2">
        <f ca="1">IFERROR(__xludf.DUMMYFUNCTION("""COMPUTED_VALUE"""),191)</f>
        <v>191</v>
      </c>
      <c r="E1465" s="2">
        <f ca="1">IFERROR(__xludf.DUMMYFUNCTION("""COMPUTED_VALUE"""),0)</f>
        <v>0</v>
      </c>
    </row>
    <row r="1466" spans="1:5" ht="12.75">
      <c r="A1466" s="2" t="str">
        <f ca="1">IFERROR(__xludf.DUMMYFUNCTION("""COMPUTED_VALUE"""),"AMTAISEI")</f>
        <v>AMTAISEI</v>
      </c>
      <c r="B1466" s="2">
        <f ca="1">IFERROR(__xludf.DUMMYFUNCTION("""COMPUTED_VALUE"""),0)</f>
        <v>0</v>
      </c>
      <c r="C1466" s="2">
        <f ca="1">IFERROR(__xludf.DUMMYFUNCTION("""COMPUTED_VALUE"""),5)</f>
        <v>5</v>
      </c>
      <c r="D1466" s="2">
        <f ca="1">IFERROR(__xludf.DUMMYFUNCTION("""COMPUTED_VALUE"""),5)</f>
        <v>5</v>
      </c>
      <c r="E1466" s="2">
        <f ca="1">IFERROR(__xludf.DUMMYFUNCTION("""COMPUTED_VALUE"""),0)</f>
        <v>0</v>
      </c>
    </row>
    <row r="1467" spans="1:5" ht="12.75">
      <c r="A1467" s="2" t="str">
        <f ca="1">IFERROR(__xludf.DUMMYFUNCTION("""COMPUTED_VALUE"""),"AODPDO")</f>
        <v>AODPDO</v>
      </c>
      <c r="B1467" s="2">
        <f ca="1">IFERROR(__xludf.DUMMYFUNCTION("""COMPUTED_VALUE"""),0)</f>
        <v>0</v>
      </c>
      <c r="C1467" s="2">
        <f ca="1">IFERROR(__xludf.DUMMYFUNCTION("""COMPUTED_VALUE"""),23)</f>
        <v>23</v>
      </c>
      <c r="D1467" s="2">
        <f ca="1">IFERROR(__xludf.DUMMYFUNCTION("""COMPUTED_VALUE"""),23)</f>
        <v>23</v>
      </c>
      <c r="E1467" s="2">
        <f ca="1">IFERROR(__xludf.DUMMYFUNCTION("""COMPUTED_VALUE"""),0)</f>
        <v>0</v>
      </c>
    </row>
    <row r="1468" spans="1:5" ht="12.75">
      <c r="A1468" s="2" t="str">
        <f ca="1">IFERROR(__xludf.DUMMYFUNCTION("""COMPUTED_VALUE"""),"AODPXANH")</f>
        <v>AODPXANH</v>
      </c>
      <c r="B1468" s="2">
        <f ca="1">IFERROR(__xludf.DUMMYFUNCTION("""COMPUTED_VALUE"""),0)</f>
        <v>0</v>
      </c>
      <c r="C1468" s="2">
        <f ca="1">IFERROR(__xludf.DUMMYFUNCTION("""COMPUTED_VALUE"""),23)</f>
        <v>23</v>
      </c>
      <c r="D1468" s="2">
        <f ca="1">IFERROR(__xludf.DUMMYFUNCTION("""COMPUTED_VALUE"""),23)</f>
        <v>23</v>
      </c>
      <c r="E1468" s="2">
        <f ca="1">IFERROR(__xludf.DUMMYFUNCTION("""COMPUTED_VALUE"""),0)</f>
        <v>0</v>
      </c>
    </row>
    <row r="1469" spans="1:5" ht="12.75">
      <c r="A1469" s="2" t="str">
        <f ca="1">IFERROR(__xludf.DUMMYFUNCTION("""COMPUTED_VALUE"""),"C01BP59")</f>
        <v>C01BP59</v>
      </c>
      <c r="B1469" s="2">
        <f ca="1">IFERROR(__xludf.DUMMYFUNCTION("""COMPUTED_VALUE"""),0)</f>
        <v>0</v>
      </c>
      <c r="C1469" s="2">
        <f ca="1">IFERROR(__xludf.DUMMYFUNCTION("""COMPUTED_VALUE"""),1)</f>
        <v>1</v>
      </c>
      <c r="D1469" s="2">
        <f ca="1">IFERROR(__xludf.DUMMYFUNCTION("""COMPUTED_VALUE"""),1)</f>
        <v>1</v>
      </c>
      <c r="E1469" s="2">
        <f ca="1">IFERROR(__xludf.DUMMYFUNCTION("""COMPUTED_VALUE"""),0)</f>
        <v>0</v>
      </c>
    </row>
    <row r="1470" spans="1:5" ht="12.75">
      <c r="A1470" s="2" t="str">
        <f ca="1">IFERROR(__xludf.DUMMYFUNCTION("""COMPUTED_VALUE"""),"C01BP62")</f>
        <v>C01BP62</v>
      </c>
      <c r="B1470" s="2">
        <f ca="1">IFERROR(__xludf.DUMMYFUNCTION("""COMPUTED_VALUE"""),0)</f>
        <v>0</v>
      </c>
      <c r="C1470" s="2">
        <f ca="1">IFERROR(__xludf.DUMMYFUNCTION("""COMPUTED_VALUE"""),1)</f>
        <v>1</v>
      </c>
      <c r="D1470" s="2">
        <f ca="1">IFERROR(__xludf.DUMMYFUNCTION("""COMPUTED_VALUE"""),1)</f>
        <v>1</v>
      </c>
      <c r="E1470" s="2">
        <f ca="1">IFERROR(__xludf.DUMMYFUNCTION("""COMPUTED_VALUE"""),0)</f>
        <v>0</v>
      </c>
    </row>
    <row r="1471" spans="1:5" ht="12.75">
      <c r="A1471" s="2" t="str">
        <f ca="1">IFERROR(__xludf.DUMMYFUNCTION("""COMPUTED_VALUE"""),"C01BP63")</f>
        <v>C01BP63</v>
      </c>
      <c r="B1471" s="2">
        <f ca="1">IFERROR(__xludf.DUMMYFUNCTION("""COMPUTED_VALUE"""),0)</f>
        <v>0</v>
      </c>
      <c r="C1471" s="2">
        <f ca="1">IFERROR(__xludf.DUMMYFUNCTION("""COMPUTED_VALUE"""),1)</f>
        <v>1</v>
      </c>
      <c r="D1471" s="2">
        <f ca="1">IFERROR(__xludf.DUMMYFUNCTION("""COMPUTED_VALUE"""),1)</f>
        <v>1</v>
      </c>
      <c r="E1471" s="2">
        <f ca="1">IFERROR(__xludf.DUMMYFUNCTION("""COMPUTED_VALUE"""),0)</f>
        <v>0</v>
      </c>
    </row>
    <row r="1472" spans="1:5" ht="12.75">
      <c r="A1472" s="2" t="str">
        <f ca="1">IFERROR(__xludf.DUMMYFUNCTION("""COMPUTED_VALUE"""),"C01BP64")</f>
        <v>C01BP64</v>
      </c>
      <c r="B1472" s="2">
        <f ca="1">IFERROR(__xludf.DUMMYFUNCTION("""COMPUTED_VALUE"""),0)</f>
        <v>0</v>
      </c>
      <c r="C1472" s="2">
        <f ca="1">IFERROR(__xludf.DUMMYFUNCTION("""COMPUTED_VALUE"""),1)</f>
        <v>1</v>
      </c>
      <c r="D1472" s="2">
        <f ca="1">IFERROR(__xludf.DUMMYFUNCTION("""COMPUTED_VALUE"""),1)</f>
        <v>1</v>
      </c>
      <c r="E1472" s="2">
        <f ca="1">IFERROR(__xludf.DUMMYFUNCTION("""COMPUTED_VALUE"""),0)</f>
        <v>0</v>
      </c>
    </row>
    <row r="1473" spans="1:5" ht="12.75">
      <c r="A1473" s="2" t="str">
        <f ca="1">IFERROR(__xludf.DUMMYFUNCTION("""COMPUTED_VALUE"""),"C01BP65")</f>
        <v>C01BP65</v>
      </c>
      <c r="B1473" s="2">
        <f ca="1">IFERROR(__xludf.DUMMYFUNCTION("""COMPUTED_VALUE"""),0)</f>
        <v>0</v>
      </c>
      <c r="C1473" s="2">
        <f ca="1">IFERROR(__xludf.DUMMYFUNCTION("""COMPUTED_VALUE"""),1)</f>
        <v>1</v>
      </c>
      <c r="D1473" s="2">
        <f ca="1">IFERROR(__xludf.DUMMYFUNCTION("""COMPUTED_VALUE"""),1)</f>
        <v>1</v>
      </c>
      <c r="E1473" s="2">
        <f ca="1">IFERROR(__xludf.DUMMYFUNCTION("""COMPUTED_VALUE"""),0)</f>
        <v>0</v>
      </c>
    </row>
    <row r="1474" spans="1:5" ht="12.75">
      <c r="A1474" s="2" t="str">
        <f ca="1">IFERROR(__xludf.DUMMYFUNCTION("""COMPUTED_VALUE"""),"C01BP66")</f>
        <v>C01BP66</v>
      </c>
      <c r="B1474" s="2">
        <f ca="1">IFERROR(__xludf.DUMMYFUNCTION("""COMPUTED_VALUE"""),0)</f>
        <v>0</v>
      </c>
      <c r="C1474" s="2">
        <f ca="1">IFERROR(__xludf.DUMMYFUNCTION("""COMPUTED_VALUE"""),1)</f>
        <v>1</v>
      </c>
      <c r="D1474" s="2">
        <f ca="1">IFERROR(__xludf.DUMMYFUNCTION("""COMPUTED_VALUE"""),1)</f>
        <v>1</v>
      </c>
      <c r="E1474" s="2">
        <f ca="1">IFERROR(__xludf.DUMMYFUNCTION("""COMPUTED_VALUE"""),0)</f>
        <v>0</v>
      </c>
    </row>
    <row r="1475" spans="1:5" ht="12.75">
      <c r="A1475" s="2" t="str">
        <f ca="1">IFERROR(__xludf.DUMMYFUNCTION("""COMPUTED_VALUE"""),"C01BP67")</f>
        <v>C01BP67</v>
      </c>
      <c r="B1475" s="2">
        <f ca="1">IFERROR(__xludf.DUMMYFUNCTION("""COMPUTED_VALUE"""),0)</f>
        <v>0</v>
      </c>
      <c r="C1475" s="2">
        <f ca="1">IFERROR(__xludf.DUMMYFUNCTION("""COMPUTED_VALUE"""),1)</f>
        <v>1</v>
      </c>
      <c r="D1475" s="2">
        <f ca="1">IFERROR(__xludf.DUMMYFUNCTION("""COMPUTED_VALUE"""),1)</f>
        <v>1</v>
      </c>
      <c r="E1475" s="2">
        <f ca="1">IFERROR(__xludf.DUMMYFUNCTION("""COMPUTED_VALUE"""),0)</f>
        <v>0</v>
      </c>
    </row>
    <row r="1476" spans="1:5" ht="12.75">
      <c r="A1476" s="2" t="str">
        <f ca="1">IFERROR(__xludf.DUMMYFUNCTION("""COMPUTED_VALUE"""),"C01BP68")</f>
        <v>C01BP68</v>
      </c>
      <c r="B1476" s="2">
        <f ca="1">IFERROR(__xludf.DUMMYFUNCTION("""COMPUTED_VALUE"""),0)</f>
        <v>0</v>
      </c>
      <c r="C1476" s="2">
        <f ca="1">IFERROR(__xludf.DUMMYFUNCTION("""COMPUTED_VALUE"""),1)</f>
        <v>1</v>
      </c>
      <c r="D1476" s="2">
        <f ca="1">IFERROR(__xludf.DUMMYFUNCTION("""COMPUTED_VALUE"""),1)</f>
        <v>1</v>
      </c>
      <c r="E1476" s="2">
        <f ca="1">IFERROR(__xludf.DUMMYFUNCTION("""COMPUTED_VALUE"""),0)</f>
        <v>0</v>
      </c>
    </row>
    <row r="1477" spans="1:5" ht="12.75">
      <c r="A1477" s="2" t="str">
        <f ca="1">IFERROR(__xludf.DUMMYFUNCTION("""COMPUTED_VALUE"""),"C01BP69")</f>
        <v>C01BP69</v>
      </c>
      <c r="B1477" s="2">
        <f ca="1">IFERROR(__xludf.DUMMYFUNCTION("""COMPUTED_VALUE"""),0)</f>
        <v>0</v>
      </c>
      <c r="C1477" s="2">
        <f ca="1">IFERROR(__xludf.DUMMYFUNCTION("""COMPUTED_VALUE"""),1)</f>
        <v>1</v>
      </c>
      <c r="D1477" s="2">
        <f ca="1">IFERROR(__xludf.DUMMYFUNCTION("""COMPUTED_VALUE"""),1)</f>
        <v>1</v>
      </c>
      <c r="E1477" s="2">
        <f ca="1">IFERROR(__xludf.DUMMYFUNCTION("""COMPUTED_VALUE"""),0)</f>
        <v>0</v>
      </c>
    </row>
    <row r="1478" spans="1:5" ht="12.75">
      <c r="A1478" s="2" t="str">
        <f ca="1">IFERROR(__xludf.DUMMYFUNCTION("""COMPUTED_VALUE"""),"C01CH63")</f>
        <v>C01CH63</v>
      </c>
      <c r="B1478" s="2">
        <f ca="1">IFERROR(__xludf.DUMMYFUNCTION("""COMPUTED_VALUE"""),0)</f>
        <v>0</v>
      </c>
      <c r="C1478" s="2">
        <f ca="1">IFERROR(__xludf.DUMMYFUNCTION("""COMPUTED_VALUE"""),1)</f>
        <v>1</v>
      </c>
      <c r="D1478" s="2">
        <f ca="1">IFERROR(__xludf.DUMMYFUNCTION("""COMPUTED_VALUE"""),1)</f>
        <v>1</v>
      </c>
      <c r="E1478" s="2">
        <f ca="1">IFERROR(__xludf.DUMMYFUNCTION("""COMPUTED_VALUE"""),0)</f>
        <v>0</v>
      </c>
    </row>
    <row r="1479" spans="1:5" ht="12.75">
      <c r="A1479" s="2" t="str">
        <f ca="1">IFERROR(__xludf.DUMMYFUNCTION("""COMPUTED_VALUE"""),"C01CH64")</f>
        <v>C01CH64</v>
      </c>
      <c r="B1479" s="2">
        <f ca="1">IFERROR(__xludf.DUMMYFUNCTION("""COMPUTED_VALUE"""),0)</f>
        <v>0</v>
      </c>
      <c r="C1479" s="2">
        <f ca="1">IFERROR(__xludf.DUMMYFUNCTION("""COMPUTED_VALUE"""),1)</f>
        <v>1</v>
      </c>
      <c r="D1479" s="2">
        <f ca="1">IFERROR(__xludf.DUMMYFUNCTION("""COMPUTED_VALUE"""),1)</f>
        <v>1</v>
      </c>
      <c r="E1479" s="2">
        <f ca="1">IFERROR(__xludf.DUMMYFUNCTION("""COMPUTED_VALUE"""),0)</f>
        <v>0</v>
      </c>
    </row>
    <row r="1480" spans="1:5" ht="12.75">
      <c r="A1480" s="2" t="str">
        <f ca="1">IFERROR(__xludf.DUMMYFUNCTION("""COMPUTED_VALUE"""),"C01CH65")</f>
        <v>C01CH65</v>
      </c>
      <c r="B1480" s="2">
        <f ca="1">IFERROR(__xludf.DUMMYFUNCTION("""COMPUTED_VALUE"""),0)</f>
        <v>0</v>
      </c>
      <c r="C1480" s="2">
        <f ca="1">IFERROR(__xludf.DUMMYFUNCTION("""COMPUTED_VALUE"""),1)</f>
        <v>1</v>
      </c>
      <c r="D1480" s="2">
        <f ca="1">IFERROR(__xludf.DUMMYFUNCTION("""COMPUTED_VALUE"""),1)</f>
        <v>1</v>
      </c>
      <c r="E1480" s="2">
        <f ca="1">IFERROR(__xludf.DUMMYFUNCTION("""COMPUTED_VALUE"""),0)</f>
        <v>0</v>
      </c>
    </row>
    <row r="1481" spans="1:5" ht="12.75">
      <c r="A1481" s="2" t="str">
        <f ca="1">IFERROR(__xludf.DUMMYFUNCTION("""COMPUTED_VALUE"""),"C01CH67")</f>
        <v>C01CH67</v>
      </c>
      <c r="B1481" s="2">
        <f ca="1">IFERROR(__xludf.DUMMYFUNCTION("""COMPUTED_VALUE"""),0)</f>
        <v>0</v>
      </c>
      <c r="C1481" s="2">
        <f ca="1">IFERROR(__xludf.DUMMYFUNCTION("""COMPUTED_VALUE"""),1)</f>
        <v>1</v>
      </c>
      <c r="D1481" s="2">
        <f ca="1">IFERROR(__xludf.DUMMYFUNCTION("""COMPUTED_VALUE"""),1)</f>
        <v>1</v>
      </c>
      <c r="E1481" s="2">
        <f ca="1">IFERROR(__xludf.DUMMYFUNCTION("""COMPUTED_VALUE"""),0)</f>
        <v>0</v>
      </c>
    </row>
    <row r="1482" spans="1:5" ht="12.75">
      <c r="A1482" s="2" t="str">
        <f ca="1">IFERROR(__xludf.DUMMYFUNCTION("""COMPUTED_VALUE"""),"C01CH68")</f>
        <v>C01CH68</v>
      </c>
      <c r="B1482" s="2">
        <f ca="1">IFERROR(__xludf.DUMMYFUNCTION("""COMPUTED_VALUE"""),0)</f>
        <v>0</v>
      </c>
      <c r="C1482" s="2">
        <f ca="1">IFERROR(__xludf.DUMMYFUNCTION("""COMPUTED_VALUE"""),1)</f>
        <v>1</v>
      </c>
      <c r="D1482" s="2">
        <f ca="1">IFERROR(__xludf.DUMMYFUNCTION("""COMPUTED_VALUE"""),1)</f>
        <v>1</v>
      </c>
      <c r="E1482" s="2">
        <f ca="1">IFERROR(__xludf.DUMMYFUNCTION("""COMPUTED_VALUE"""),0)</f>
        <v>0</v>
      </c>
    </row>
    <row r="1483" spans="1:5" ht="12.75">
      <c r="A1483" s="2" t="str">
        <f ca="1">IFERROR(__xludf.DUMMYFUNCTION("""COMPUTED_VALUE"""),"C01CH69")</f>
        <v>C01CH69</v>
      </c>
      <c r="B1483" s="2">
        <f ca="1">IFERROR(__xludf.DUMMYFUNCTION("""COMPUTED_VALUE"""),0)</f>
        <v>0</v>
      </c>
      <c r="C1483" s="2">
        <f ca="1">IFERROR(__xludf.DUMMYFUNCTION("""COMPUTED_VALUE"""),1)</f>
        <v>1</v>
      </c>
      <c r="D1483" s="2">
        <f ca="1">IFERROR(__xludf.DUMMYFUNCTION("""COMPUTED_VALUE"""),1)</f>
        <v>1</v>
      </c>
      <c r="E1483" s="2">
        <f ca="1">IFERROR(__xludf.DUMMYFUNCTION("""COMPUTED_VALUE"""),0)</f>
        <v>0</v>
      </c>
    </row>
    <row r="1484" spans="1:5" ht="12.75">
      <c r="A1484" s="2" t="str">
        <f ca="1">IFERROR(__xludf.DUMMYFUNCTION("""COMPUTED_VALUE"""),"C01CH70")</f>
        <v>C01CH70</v>
      </c>
      <c r="B1484" s="2">
        <f ca="1">IFERROR(__xludf.DUMMYFUNCTION("""COMPUTED_VALUE"""),0)</f>
        <v>0</v>
      </c>
      <c r="C1484" s="2">
        <f ca="1">IFERROR(__xludf.DUMMYFUNCTION("""COMPUTED_VALUE"""),1)</f>
        <v>1</v>
      </c>
      <c r="D1484" s="2">
        <f ca="1">IFERROR(__xludf.DUMMYFUNCTION("""COMPUTED_VALUE"""),1)</f>
        <v>1</v>
      </c>
      <c r="E1484" s="2">
        <f ca="1">IFERROR(__xludf.DUMMYFUNCTION("""COMPUTED_VALUE"""),0)</f>
        <v>0</v>
      </c>
    </row>
    <row r="1485" spans="1:5" ht="12.75">
      <c r="A1485" s="2" t="str">
        <f ca="1">IFERROR(__xludf.DUMMYFUNCTION("""COMPUTED_VALUE"""),"C01CH71")</f>
        <v>C01CH71</v>
      </c>
      <c r="B1485" s="2">
        <f ca="1">IFERROR(__xludf.DUMMYFUNCTION("""COMPUTED_VALUE"""),0)</f>
        <v>0</v>
      </c>
      <c r="C1485" s="2">
        <f ca="1">IFERROR(__xludf.DUMMYFUNCTION("""COMPUTED_VALUE"""),1)</f>
        <v>1</v>
      </c>
      <c r="D1485" s="2">
        <f ca="1">IFERROR(__xludf.DUMMYFUNCTION("""COMPUTED_VALUE"""),1)</f>
        <v>1</v>
      </c>
      <c r="E1485" s="2">
        <f ca="1">IFERROR(__xludf.DUMMYFUNCTION("""COMPUTED_VALUE"""),0)</f>
        <v>0</v>
      </c>
    </row>
    <row r="1486" spans="1:5" ht="12.75">
      <c r="A1486" s="2" t="str">
        <f ca="1">IFERROR(__xludf.DUMMYFUNCTION("""COMPUTED_VALUE"""),"C01ĐT29")</f>
        <v>C01ĐT29</v>
      </c>
      <c r="B1486" s="2">
        <f ca="1">IFERROR(__xludf.DUMMYFUNCTION("""COMPUTED_VALUE"""),0)</f>
        <v>0</v>
      </c>
      <c r="C1486" s="2">
        <f ca="1">IFERROR(__xludf.DUMMYFUNCTION("""COMPUTED_VALUE"""),1)</f>
        <v>1</v>
      </c>
      <c r="D1486" s="2">
        <f ca="1">IFERROR(__xludf.DUMMYFUNCTION("""COMPUTED_VALUE"""),1)</f>
        <v>1</v>
      </c>
      <c r="E1486" s="2">
        <f ca="1">IFERROR(__xludf.DUMMYFUNCTION("""COMPUTED_VALUE"""),0)</f>
        <v>0</v>
      </c>
    </row>
    <row r="1487" spans="1:5" ht="12.75">
      <c r="A1487" s="2" t="str">
        <f ca="1">IFERROR(__xludf.DUMMYFUNCTION("""COMPUTED_VALUE"""),"CATALOGS")</f>
        <v>CATALOGS</v>
      </c>
      <c r="B1487" s="2">
        <f ca="1">IFERROR(__xludf.DUMMYFUNCTION("""COMPUTED_VALUE"""),0)</f>
        <v>0</v>
      </c>
      <c r="C1487" s="2">
        <f ca="1">IFERROR(__xludf.DUMMYFUNCTION("""COMPUTED_VALUE"""),830)</f>
        <v>830</v>
      </c>
      <c r="D1487" s="2">
        <f ca="1">IFERROR(__xludf.DUMMYFUNCTION("""COMPUTED_VALUE"""),830)</f>
        <v>830</v>
      </c>
      <c r="E1487" s="2">
        <f ca="1">IFERROR(__xludf.DUMMYFUNCTION("""COMPUTED_VALUE"""),0)</f>
        <v>0</v>
      </c>
    </row>
    <row r="1488" spans="1:5" ht="12.75">
      <c r="A1488" s="2" t="str">
        <f ca="1">IFERROR(__xludf.DUMMYFUNCTION("""COMPUTED_VALUE"""),"CATALOGTAISEIVNFULL")</f>
        <v>CATALOGTAISEIVNFULL</v>
      </c>
      <c r="B1488" s="2">
        <f ca="1">IFERROR(__xludf.DUMMYFUNCTION("""COMPUTED_VALUE"""),0)</f>
        <v>0</v>
      </c>
      <c r="C1488" s="2">
        <f ca="1">IFERROR(__xludf.DUMMYFUNCTION("""COMPUTED_VALUE"""),700)</f>
        <v>700</v>
      </c>
      <c r="D1488" s="2">
        <f ca="1">IFERROR(__xludf.DUMMYFUNCTION("""COMPUTED_VALUE"""),700)</f>
        <v>700</v>
      </c>
      <c r="E1488" s="2">
        <f ca="1">IFERROR(__xludf.DUMMYFUNCTION("""COMPUTED_VALUE"""),0)</f>
        <v>0</v>
      </c>
    </row>
    <row r="1489" spans="1:5" ht="12.75">
      <c r="A1489" s="2" t="str">
        <f ca="1">IFERROR(__xludf.DUMMYFUNCTION("""COMPUTED_VALUE"""),"CHUOT")</f>
        <v>CHUOT</v>
      </c>
      <c r="B1489" s="2">
        <f ca="1">IFERROR(__xludf.DUMMYFUNCTION("""COMPUTED_VALUE"""),0)</f>
        <v>0</v>
      </c>
      <c r="C1489" s="2">
        <f ca="1">IFERROR(__xludf.DUMMYFUNCTION("""COMPUTED_VALUE"""),1)</f>
        <v>1</v>
      </c>
      <c r="D1489" s="2">
        <f ca="1">IFERROR(__xludf.DUMMYFUNCTION("""COMPUTED_VALUE"""),1)</f>
        <v>1</v>
      </c>
      <c r="E1489" s="2">
        <f ca="1">IFERROR(__xludf.DUMMYFUNCTION("""COMPUTED_VALUE"""),0)</f>
        <v>0</v>
      </c>
    </row>
    <row r="1490" spans="1:5" ht="12.75">
      <c r="A1490" s="2" t="str">
        <f ca="1">IFERROR(__xludf.DUMMYFUNCTION("""COMPUTED_VALUE"""),"EZVIZ-VTPW24")</f>
        <v>EZVIZ-VTPW24</v>
      </c>
      <c r="B1490" s="2">
        <f ca="1">IFERROR(__xludf.DUMMYFUNCTION("""COMPUTED_VALUE"""),0)</f>
        <v>0</v>
      </c>
      <c r="C1490" s="2">
        <f ca="1">IFERROR(__xludf.DUMMYFUNCTION("""COMPUTED_VALUE"""),1)</f>
        <v>1</v>
      </c>
      <c r="D1490" s="2">
        <f ca="1">IFERROR(__xludf.DUMMYFUNCTION("""COMPUTED_VALUE"""),1)</f>
        <v>1</v>
      </c>
      <c r="E1490" s="2">
        <f ca="1">IFERROR(__xludf.DUMMYFUNCTION("""COMPUTED_VALUE"""),0)</f>
        <v>0</v>
      </c>
    </row>
    <row r="1491" spans="1:5" ht="12.75">
      <c r="A1491" s="2" t="str">
        <f ca="1">IFERROR(__xludf.DUMMYFUNCTION("""COMPUTED_VALUE"""),"HKKITTESTCOVID")</f>
        <v>HKKITTESTCOVID</v>
      </c>
      <c r="B1491" s="2">
        <f ca="1">IFERROR(__xludf.DUMMYFUNCTION("""COMPUTED_VALUE"""),0)</f>
        <v>0</v>
      </c>
      <c r="C1491" s="2">
        <f ca="1">IFERROR(__xludf.DUMMYFUNCTION("""COMPUTED_VALUE"""),23)</f>
        <v>23</v>
      </c>
      <c r="D1491" s="2">
        <f ca="1">IFERROR(__xludf.DUMMYFUNCTION("""COMPUTED_VALUE"""),23)</f>
        <v>23</v>
      </c>
      <c r="E1491" s="2">
        <f ca="1">IFERROR(__xludf.DUMMYFUNCTION("""COMPUTED_VALUE"""),0)</f>
        <v>0</v>
      </c>
    </row>
    <row r="1492" spans="1:5" ht="12.75">
      <c r="A1492" s="2" t="str">
        <f ca="1">IFERROR(__xludf.DUMMYFUNCTION("""COMPUTED_VALUE"""),"HKQLD")</f>
        <v>HKQLD</v>
      </c>
      <c r="B1492" s="2">
        <f ca="1">IFERROR(__xludf.DUMMYFUNCTION("""COMPUTED_VALUE"""),0)</f>
        <v>0</v>
      </c>
      <c r="C1492" s="2">
        <f ca="1">IFERROR(__xludf.DUMMYFUNCTION("""COMPUTED_VALUE"""),19)</f>
        <v>19</v>
      </c>
      <c r="D1492" s="2">
        <f ca="1">IFERROR(__xludf.DUMMYFUNCTION("""COMPUTED_VALUE"""),19)</f>
        <v>19</v>
      </c>
      <c r="E1492" s="2">
        <f ca="1">IFERROR(__xludf.DUMMYFUNCTION("""COMPUTED_VALUE"""),0)</f>
        <v>0</v>
      </c>
    </row>
    <row r="1493" spans="1:5" ht="12.75">
      <c r="A1493" s="2" t="str">
        <f ca="1">IFERROR(__xludf.DUMMYFUNCTION("""COMPUTED_VALUE"""),"PHIM")</f>
        <v>PHIM</v>
      </c>
      <c r="B1493" s="2">
        <f ca="1">IFERROR(__xludf.DUMMYFUNCTION("""COMPUTED_VALUE"""),0)</f>
        <v>0</v>
      </c>
      <c r="C1493" s="2">
        <f ca="1">IFERROR(__xludf.DUMMYFUNCTION("""COMPUTED_VALUE"""),2)</f>
        <v>2</v>
      </c>
      <c r="D1493" s="2">
        <f ca="1">IFERROR(__xludf.DUMMYFUNCTION("""COMPUTED_VALUE"""),2)</f>
        <v>2</v>
      </c>
      <c r="E1493" s="2">
        <f ca="1">IFERROR(__xludf.DUMMYFUNCTION("""COMPUTED_VALUE"""),0)</f>
        <v>0</v>
      </c>
    </row>
    <row r="1494" spans="1:5" ht="12.75">
      <c r="A1494" s="2"/>
      <c r="B1494" s="2" t="str">
        <f ca="1">IFERROR(__xludf.DUMMYFUNCTION("""COMPUTED_VALUE"""),"")</f>
        <v/>
      </c>
      <c r="C1494" s="2" t="str">
        <f ca="1">IFERROR(__xludf.DUMMYFUNCTION("""COMPUTED_VALUE"""),"")</f>
        <v/>
      </c>
      <c r="D1494" s="2" t="str">
        <f ca="1">IFERROR(__xludf.DUMMYFUNCTION("""COMPUTED_VALUE"""),"")</f>
        <v/>
      </c>
      <c r="E1494" s="2" t="str">
        <f ca="1">IFERROR(__xludf.DUMMYFUNCTION("""COMPUTED_VALUE"""),"")</f>
        <v/>
      </c>
    </row>
    <row r="1495" spans="1:5" ht="12.75">
      <c r="A1495" s="2"/>
      <c r="B1495" s="2" t="str">
        <f ca="1">IFERROR(__xludf.DUMMYFUNCTION("""COMPUTED_VALUE"""),"")</f>
        <v/>
      </c>
      <c r="C1495" s="2" t="str">
        <f ca="1">IFERROR(__xludf.DUMMYFUNCTION("""COMPUTED_VALUE"""),"")</f>
        <v/>
      </c>
      <c r="D1495" s="2" t="str">
        <f ca="1">IFERROR(__xludf.DUMMYFUNCTION("""COMPUTED_VALUE"""),"")</f>
        <v/>
      </c>
      <c r="E1495" s="2" t="str">
        <f ca="1">IFERROR(__xludf.DUMMYFUNCTION("""COMPUTED_VALUE"""),"")</f>
        <v/>
      </c>
    </row>
    <row r="1496" spans="1:5" ht="12.75">
      <c r="A1496" s="2"/>
      <c r="B1496" s="2" t="str">
        <f ca="1">IFERROR(__xludf.DUMMYFUNCTION("""COMPUTED_VALUE"""),"")</f>
        <v/>
      </c>
      <c r="C1496" s="2" t="str">
        <f ca="1">IFERROR(__xludf.DUMMYFUNCTION("""COMPUTED_VALUE"""),"")</f>
        <v/>
      </c>
      <c r="D1496" s="2" t="str">
        <f ca="1">IFERROR(__xludf.DUMMYFUNCTION("""COMPUTED_VALUE"""),"")</f>
        <v/>
      </c>
      <c r="E1496" s="2" t="str">
        <f ca="1">IFERROR(__xludf.DUMMYFUNCTION("""COMPUTED_VALUE"""),"")</f>
        <v/>
      </c>
    </row>
    <row r="1497" spans="1:5" ht="12.75">
      <c r="A1497" s="2"/>
      <c r="B1497" s="2" t="str">
        <f ca="1">IFERROR(__xludf.DUMMYFUNCTION("""COMPUTED_VALUE"""),"")</f>
        <v/>
      </c>
      <c r="C1497" s="2" t="str">
        <f ca="1">IFERROR(__xludf.DUMMYFUNCTION("""COMPUTED_VALUE"""),"")</f>
        <v/>
      </c>
      <c r="D1497" s="2" t="str">
        <f ca="1">IFERROR(__xludf.DUMMYFUNCTION("""COMPUTED_VALUE"""),"")</f>
        <v/>
      </c>
      <c r="E1497" s="2" t="str">
        <f ca="1">IFERROR(__xludf.DUMMYFUNCTION("""COMPUTED_VALUE"""),"")</f>
        <v/>
      </c>
    </row>
    <row r="1498" spans="1:5" ht="12.75">
      <c r="A1498" s="2"/>
      <c r="B1498" s="2" t="str">
        <f ca="1">IFERROR(__xludf.DUMMYFUNCTION("""COMPUTED_VALUE"""),"")</f>
        <v/>
      </c>
      <c r="C1498" s="2" t="str">
        <f ca="1">IFERROR(__xludf.DUMMYFUNCTION("""COMPUTED_VALUE"""),"")</f>
        <v/>
      </c>
      <c r="D1498" s="2" t="str">
        <f ca="1">IFERROR(__xludf.DUMMYFUNCTION("""COMPUTED_VALUE"""),"")</f>
        <v/>
      </c>
      <c r="E1498" s="2" t="str">
        <f ca="1">IFERROR(__xludf.DUMMYFUNCTION("""COMPUTED_VALUE"""),"")</f>
        <v/>
      </c>
    </row>
    <row r="1499" spans="1:5" ht="12.75">
      <c r="A1499" s="2"/>
      <c r="B1499" s="2" t="str">
        <f ca="1">IFERROR(__xludf.DUMMYFUNCTION("""COMPUTED_VALUE"""),"")</f>
        <v/>
      </c>
      <c r="C1499" s="2" t="str">
        <f ca="1">IFERROR(__xludf.DUMMYFUNCTION("""COMPUTED_VALUE"""),"")</f>
        <v/>
      </c>
      <c r="D1499" s="2" t="str">
        <f ca="1">IFERROR(__xludf.DUMMYFUNCTION("""COMPUTED_VALUE"""),"")</f>
        <v/>
      </c>
      <c r="E1499" s="2" t="str">
        <f ca="1">IFERROR(__xludf.DUMMYFUNCTION("""COMPUTED_VALUE"""),"")</f>
        <v/>
      </c>
    </row>
    <row r="1500" spans="1:5" ht="12.75">
      <c r="A1500" s="2"/>
      <c r="B1500" s="2" t="str">
        <f ca="1">IFERROR(__xludf.DUMMYFUNCTION("""COMPUTED_VALUE"""),"")</f>
        <v/>
      </c>
      <c r="C1500" s="2" t="str">
        <f ca="1">IFERROR(__xludf.DUMMYFUNCTION("""COMPUTED_VALUE"""),"")</f>
        <v/>
      </c>
      <c r="D1500" s="2" t="str">
        <f ca="1">IFERROR(__xludf.DUMMYFUNCTION("""COMPUTED_VALUE"""),"")</f>
        <v/>
      </c>
      <c r="E1500" s="2" t="str">
        <f ca="1">IFERROR(__xludf.DUMMYFUNCTION("""COMPUTED_VALUE"""),"")</f>
        <v/>
      </c>
    </row>
    <row r="1501" spans="1:5" ht="12.75">
      <c r="A1501" s="2"/>
      <c r="B1501" s="2" t="str">
        <f ca="1">IFERROR(__xludf.DUMMYFUNCTION("""COMPUTED_VALUE"""),"")</f>
        <v/>
      </c>
      <c r="C1501" s="2" t="str">
        <f ca="1">IFERROR(__xludf.DUMMYFUNCTION("""COMPUTED_VALUE"""),"")</f>
        <v/>
      </c>
      <c r="D1501" s="2" t="str">
        <f ca="1">IFERROR(__xludf.DUMMYFUNCTION("""COMPUTED_VALUE"""),"")</f>
        <v/>
      </c>
      <c r="E1501" s="2" t="str">
        <f ca="1">IFERROR(__xludf.DUMMYFUNCTION("""COMPUTED_VALUE"""),"")</f>
        <v/>
      </c>
    </row>
    <row r="1502" spans="1:5" ht="12.75">
      <c r="A1502" s="2"/>
      <c r="B1502" s="2" t="str">
        <f ca="1">IFERROR(__xludf.DUMMYFUNCTION("""COMPUTED_VALUE"""),"")</f>
        <v/>
      </c>
      <c r="C1502" s="2" t="str">
        <f ca="1">IFERROR(__xludf.DUMMYFUNCTION("""COMPUTED_VALUE"""),"")</f>
        <v/>
      </c>
      <c r="D1502" s="2" t="str">
        <f ca="1">IFERROR(__xludf.DUMMYFUNCTION("""COMPUTED_VALUE"""),"")</f>
        <v/>
      </c>
      <c r="E1502" s="2" t="str">
        <f ca="1">IFERROR(__xludf.DUMMYFUNCTION("""COMPUTED_VALUE"""),"")</f>
        <v/>
      </c>
    </row>
    <row r="1503" spans="1:5" ht="12.75">
      <c r="A1503" s="2"/>
      <c r="B1503" s="2" t="str">
        <f ca="1">IFERROR(__xludf.DUMMYFUNCTION("""COMPUTED_VALUE"""),"")</f>
        <v/>
      </c>
      <c r="C1503" s="2" t="str">
        <f ca="1">IFERROR(__xludf.DUMMYFUNCTION("""COMPUTED_VALUE"""),"")</f>
        <v/>
      </c>
      <c r="D1503" s="2" t="str">
        <f ca="1">IFERROR(__xludf.DUMMYFUNCTION("""COMPUTED_VALUE"""),"")</f>
        <v/>
      </c>
      <c r="E1503" s="2" t="str">
        <f ca="1">IFERROR(__xludf.DUMMYFUNCTION("""COMPUTED_VALUE"""),"")</f>
        <v/>
      </c>
    </row>
    <row r="1504" spans="1:5" ht="12.75">
      <c r="A1504" s="2"/>
      <c r="B1504" s="2" t="str">
        <f ca="1">IFERROR(__xludf.DUMMYFUNCTION("""COMPUTED_VALUE"""),"")</f>
        <v/>
      </c>
      <c r="C1504" s="2" t="str">
        <f ca="1">IFERROR(__xludf.DUMMYFUNCTION("""COMPUTED_VALUE"""),"")</f>
        <v/>
      </c>
      <c r="D1504" s="2" t="str">
        <f ca="1">IFERROR(__xludf.DUMMYFUNCTION("""COMPUTED_VALUE"""),"")</f>
        <v/>
      </c>
      <c r="E1504" s="2" t="str">
        <f ca="1">IFERROR(__xludf.DUMMYFUNCTION("""COMPUTED_VALUE"""),"")</f>
        <v/>
      </c>
    </row>
    <row r="1505" spans="1:5" ht="12.75">
      <c r="A1505" s="2"/>
      <c r="B1505" s="2" t="str">
        <f ca="1">IFERROR(__xludf.DUMMYFUNCTION("""COMPUTED_VALUE"""),"")</f>
        <v/>
      </c>
      <c r="C1505" s="2" t="str">
        <f ca="1">IFERROR(__xludf.DUMMYFUNCTION("""COMPUTED_VALUE"""),"")</f>
        <v/>
      </c>
      <c r="D1505" s="2" t="str">
        <f ca="1">IFERROR(__xludf.DUMMYFUNCTION("""COMPUTED_VALUE"""),"")</f>
        <v/>
      </c>
      <c r="E1505" s="2" t="str">
        <f ca="1">IFERROR(__xludf.DUMMYFUNCTION("""COMPUTED_VALUE"""),"")</f>
        <v/>
      </c>
    </row>
    <row r="1506" spans="1:5" ht="12.75">
      <c r="A1506" s="2"/>
      <c r="B1506" s="2" t="str">
        <f ca="1">IFERROR(__xludf.DUMMYFUNCTION("""COMPUTED_VALUE"""),"")</f>
        <v/>
      </c>
      <c r="C1506" s="2" t="str">
        <f ca="1">IFERROR(__xludf.DUMMYFUNCTION("""COMPUTED_VALUE"""),"")</f>
        <v/>
      </c>
      <c r="D1506" s="2" t="str">
        <f ca="1">IFERROR(__xludf.DUMMYFUNCTION("""COMPUTED_VALUE"""),"")</f>
        <v/>
      </c>
      <c r="E1506" s="2" t="str">
        <f ca="1">IFERROR(__xludf.DUMMYFUNCTION("""COMPUTED_VALUE"""),"")</f>
        <v/>
      </c>
    </row>
    <row r="1507" spans="1:5" ht="12.75">
      <c r="A1507" s="2"/>
      <c r="B1507" s="2" t="str">
        <f ca="1">IFERROR(__xludf.DUMMYFUNCTION("""COMPUTED_VALUE"""),"")</f>
        <v/>
      </c>
      <c r="C1507" s="2" t="str">
        <f ca="1">IFERROR(__xludf.DUMMYFUNCTION("""COMPUTED_VALUE"""),"")</f>
        <v/>
      </c>
      <c r="D1507" s="2" t="str">
        <f ca="1">IFERROR(__xludf.DUMMYFUNCTION("""COMPUTED_VALUE"""),"")</f>
        <v/>
      </c>
      <c r="E1507" s="2" t="str">
        <f ca="1">IFERROR(__xludf.DUMMYFUNCTION("""COMPUTED_VALUE"""),"")</f>
        <v/>
      </c>
    </row>
    <row r="1508" spans="1:5" ht="12.75">
      <c r="A1508" s="2"/>
      <c r="B1508" s="2" t="str">
        <f ca="1">IFERROR(__xludf.DUMMYFUNCTION("""COMPUTED_VALUE"""),"")</f>
        <v/>
      </c>
      <c r="C1508" s="2" t="str">
        <f ca="1">IFERROR(__xludf.DUMMYFUNCTION("""COMPUTED_VALUE"""),"")</f>
        <v/>
      </c>
      <c r="D1508" s="2" t="str">
        <f ca="1">IFERROR(__xludf.DUMMYFUNCTION("""COMPUTED_VALUE"""),"")</f>
        <v/>
      </c>
      <c r="E1508" s="2" t="str">
        <f ca="1">IFERROR(__xludf.DUMMYFUNCTION("""COMPUTED_VALUE"""),"")</f>
        <v/>
      </c>
    </row>
    <row r="1509" spans="1:5" ht="12.75">
      <c r="A1509" s="2"/>
      <c r="B1509" s="2" t="str">
        <f ca="1">IFERROR(__xludf.DUMMYFUNCTION("""COMPUTED_VALUE"""),"")</f>
        <v/>
      </c>
      <c r="C1509" s="2" t="str">
        <f ca="1">IFERROR(__xludf.DUMMYFUNCTION("""COMPUTED_VALUE"""),"")</f>
        <v/>
      </c>
      <c r="D1509" s="2" t="str">
        <f ca="1">IFERROR(__xludf.DUMMYFUNCTION("""COMPUTED_VALUE"""),"")</f>
        <v/>
      </c>
      <c r="E1509" s="2" t="str">
        <f ca="1">IFERROR(__xludf.DUMMYFUNCTION("""COMPUTED_VALUE"""),"")</f>
        <v/>
      </c>
    </row>
    <row r="1510" spans="1:5" ht="12.75">
      <c r="A1510" s="2"/>
      <c r="B1510" s="2" t="str">
        <f ca="1">IFERROR(__xludf.DUMMYFUNCTION("""COMPUTED_VALUE"""),"")</f>
        <v/>
      </c>
      <c r="C1510" s="2" t="str">
        <f ca="1">IFERROR(__xludf.DUMMYFUNCTION("""COMPUTED_VALUE"""),"")</f>
        <v/>
      </c>
      <c r="D1510" s="2" t="str">
        <f ca="1">IFERROR(__xludf.DUMMYFUNCTION("""COMPUTED_VALUE"""),"")</f>
        <v/>
      </c>
      <c r="E1510" s="2" t="str">
        <f ca="1">IFERROR(__xludf.DUMMYFUNCTION("""COMPUTED_VALUE"""),"")</f>
        <v/>
      </c>
    </row>
    <row r="1511" spans="1:5" ht="12.75">
      <c r="A1511" s="2"/>
      <c r="B1511" s="2" t="str">
        <f ca="1">IFERROR(__xludf.DUMMYFUNCTION("""COMPUTED_VALUE"""),"")</f>
        <v/>
      </c>
      <c r="C1511" s="2" t="str">
        <f ca="1">IFERROR(__xludf.DUMMYFUNCTION("""COMPUTED_VALUE"""),"")</f>
        <v/>
      </c>
      <c r="D1511" s="2" t="str">
        <f ca="1">IFERROR(__xludf.DUMMYFUNCTION("""COMPUTED_VALUE"""),"")</f>
        <v/>
      </c>
      <c r="E1511" s="2" t="str">
        <f ca="1">IFERROR(__xludf.DUMMYFUNCTION("""COMPUTED_VALUE"""),"")</f>
        <v/>
      </c>
    </row>
    <row r="1512" spans="1:5" ht="12.75">
      <c r="A1512" s="2"/>
      <c r="B1512" s="2" t="str">
        <f ca="1">IFERROR(__xludf.DUMMYFUNCTION("""COMPUTED_VALUE"""),"")</f>
        <v/>
      </c>
      <c r="C1512" s="2" t="str">
        <f ca="1">IFERROR(__xludf.DUMMYFUNCTION("""COMPUTED_VALUE"""),"")</f>
        <v/>
      </c>
      <c r="D1512" s="2" t="str">
        <f ca="1">IFERROR(__xludf.DUMMYFUNCTION("""COMPUTED_VALUE"""),"")</f>
        <v/>
      </c>
      <c r="E1512" s="2" t="str">
        <f ca="1">IFERROR(__xludf.DUMMYFUNCTION("""COMPUTED_VALUE"""),"")</f>
        <v/>
      </c>
    </row>
    <row r="1513" spans="1:5" ht="12.75">
      <c r="A1513" s="2"/>
      <c r="B1513" s="2" t="str">
        <f ca="1">IFERROR(__xludf.DUMMYFUNCTION("""COMPUTED_VALUE"""),"")</f>
        <v/>
      </c>
      <c r="C1513" s="2" t="str">
        <f ca="1">IFERROR(__xludf.DUMMYFUNCTION("""COMPUTED_VALUE"""),"")</f>
        <v/>
      </c>
      <c r="D1513" s="2" t="str">
        <f ca="1">IFERROR(__xludf.DUMMYFUNCTION("""COMPUTED_VALUE"""),"")</f>
        <v/>
      </c>
      <c r="E1513" s="2" t="str">
        <f ca="1">IFERROR(__xludf.DUMMYFUNCTION("""COMPUTED_VALUE"""),"")</f>
        <v/>
      </c>
    </row>
    <row r="1514" spans="1:5" ht="12.75">
      <c r="A1514" s="2"/>
      <c r="B1514" s="2" t="str">
        <f ca="1">IFERROR(__xludf.DUMMYFUNCTION("""COMPUTED_VALUE"""),"")</f>
        <v/>
      </c>
      <c r="C1514" s="2" t="str">
        <f ca="1">IFERROR(__xludf.DUMMYFUNCTION("""COMPUTED_VALUE"""),"")</f>
        <v/>
      </c>
      <c r="D1514" s="2" t="str">
        <f ca="1">IFERROR(__xludf.DUMMYFUNCTION("""COMPUTED_VALUE"""),"")</f>
        <v/>
      </c>
      <c r="E1514" s="2" t="str">
        <f ca="1">IFERROR(__xludf.DUMMYFUNCTION("""COMPUTED_VALUE"""),"")</f>
        <v/>
      </c>
    </row>
    <row r="1515" spans="1:5" ht="12.75">
      <c r="A1515" s="2"/>
      <c r="B1515" s="2" t="str">
        <f ca="1">IFERROR(__xludf.DUMMYFUNCTION("""COMPUTED_VALUE"""),"")</f>
        <v/>
      </c>
      <c r="C1515" s="2" t="str">
        <f ca="1">IFERROR(__xludf.DUMMYFUNCTION("""COMPUTED_VALUE"""),"")</f>
        <v/>
      </c>
      <c r="D1515" s="2" t="str">
        <f ca="1">IFERROR(__xludf.DUMMYFUNCTION("""COMPUTED_VALUE"""),"")</f>
        <v/>
      </c>
      <c r="E1515" s="2" t="str">
        <f ca="1">IFERROR(__xludf.DUMMYFUNCTION("""COMPUTED_VALUE"""),"")</f>
        <v/>
      </c>
    </row>
    <row r="1516" spans="1:5" ht="12.75">
      <c r="A1516" s="2"/>
      <c r="B1516" s="2" t="str">
        <f ca="1">IFERROR(__xludf.DUMMYFUNCTION("""COMPUTED_VALUE"""),"")</f>
        <v/>
      </c>
      <c r="C1516" s="2" t="str">
        <f ca="1">IFERROR(__xludf.DUMMYFUNCTION("""COMPUTED_VALUE"""),"")</f>
        <v/>
      </c>
      <c r="D1516" s="2" t="str">
        <f ca="1">IFERROR(__xludf.DUMMYFUNCTION("""COMPUTED_VALUE"""),"")</f>
        <v/>
      </c>
      <c r="E1516" s="2" t="str">
        <f ca="1">IFERROR(__xludf.DUMMYFUNCTION("""COMPUTED_VALUE"""),"")</f>
        <v/>
      </c>
    </row>
    <row r="1517" spans="1:5" ht="12.75">
      <c r="A1517" s="2"/>
      <c r="B1517" s="2" t="str">
        <f ca="1">IFERROR(__xludf.DUMMYFUNCTION("""COMPUTED_VALUE"""),"")</f>
        <v/>
      </c>
      <c r="C1517" s="2" t="str">
        <f ca="1">IFERROR(__xludf.DUMMYFUNCTION("""COMPUTED_VALUE"""),"")</f>
        <v/>
      </c>
      <c r="D1517" s="2" t="str">
        <f ca="1">IFERROR(__xludf.DUMMYFUNCTION("""COMPUTED_VALUE"""),"")</f>
        <v/>
      </c>
      <c r="E1517" s="2" t="str">
        <f ca="1">IFERROR(__xludf.DUMMYFUNCTION("""COMPUTED_VALUE"""),"")</f>
        <v/>
      </c>
    </row>
    <row r="1518" spans="1:5" ht="12.75">
      <c r="A1518" s="2"/>
      <c r="B1518" s="2" t="str">
        <f ca="1">IFERROR(__xludf.DUMMYFUNCTION("""COMPUTED_VALUE"""),"")</f>
        <v/>
      </c>
      <c r="C1518" s="2" t="str">
        <f ca="1">IFERROR(__xludf.DUMMYFUNCTION("""COMPUTED_VALUE"""),"")</f>
        <v/>
      </c>
      <c r="D1518" s="2" t="str">
        <f ca="1">IFERROR(__xludf.DUMMYFUNCTION("""COMPUTED_VALUE"""),"")</f>
        <v/>
      </c>
      <c r="E1518" s="2" t="str">
        <f ca="1">IFERROR(__xludf.DUMMYFUNCTION("""COMPUTED_VALUE"""),"")</f>
        <v/>
      </c>
    </row>
    <row r="1519" spans="1:5" ht="12.75">
      <c r="A1519" s="2"/>
      <c r="B1519" s="2" t="str">
        <f ca="1">IFERROR(__xludf.DUMMYFUNCTION("""COMPUTED_VALUE"""),"")</f>
        <v/>
      </c>
      <c r="C1519" s="2" t="str">
        <f ca="1">IFERROR(__xludf.DUMMYFUNCTION("""COMPUTED_VALUE"""),"")</f>
        <v/>
      </c>
      <c r="D1519" s="2" t="str">
        <f ca="1">IFERROR(__xludf.DUMMYFUNCTION("""COMPUTED_VALUE"""),"")</f>
        <v/>
      </c>
      <c r="E1519" s="2" t="str">
        <f ca="1">IFERROR(__xludf.DUMMYFUNCTION("""COMPUTED_VALUE"""),"")</f>
        <v/>
      </c>
    </row>
    <row r="1520" spans="1:5" ht="12.75">
      <c r="A1520" s="2"/>
      <c r="B1520" s="2" t="str">
        <f ca="1">IFERROR(__xludf.DUMMYFUNCTION("""COMPUTED_VALUE"""),"")</f>
        <v/>
      </c>
      <c r="C1520" s="2" t="str">
        <f ca="1">IFERROR(__xludf.DUMMYFUNCTION("""COMPUTED_VALUE"""),"")</f>
        <v/>
      </c>
      <c r="D1520" s="2" t="str">
        <f ca="1">IFERROR(__xludf.DUMMYFUNCTION("""COMPUTED_VALUE"""),"")</f>
        <v/>
      </c>
      <c r="E1520" s="2" t="str">
        <f ca="1">IFERROR(__xludf.DUMMYFUNCTION("""COMPUTED_VALUE"""),"")</f>
        <v/>
      </c>
    </row>
    <row r="1521" spans="1:5" ht="12.75">
      <c r="A1521" s="2"/>
      <c r="B1521" s="2" t="str">
        <f ca="1">IFERROR(__xludf.DUMMYFUNCTION("""COMPUTED_VALUE"""),"")</f>
        <v/>
      </c>
      <c r="C1521" s="2" t="str">
        <f ca="1">IFERROR(__xludf.DUMMYFUNCTION("""COMPUTED_VALUE"""),"")</f>
        <v/>
      </c>
      <c r="D1521" s="2" t="str">
        <f ca="1">IFERROR(__xludf.DUMMYFUNCTION("""COMPUTED_VALUE"""),"")</f>
        <v/>
      </c>
      <c r="E1521" s="2" t="str">
        <f ca="1">IFERROR(__xludf.DUMMYFUNCTION("""COMPUTED_VALUE"""),"")</f>
        <v/>
      </c>
    </row>
    <row r="1522" spans="1:5" ht="12.75">
      <c r="A1522" s="2"/>
      <c r="B1522" s="2" t="str">
        <f ca="1">IFERROR(__xludf.DUMMYFUNCTION("""COMPUTED_VALUE"""),"")</f>
        <v/>
      </c>
      <c r="C1522" s="2" t="str">
        <f ca="1">IFERROR(__xludf.DUMMYFUNCTION("""COMPUTED_VALUE"""),"")</f>
        <v/>
      </c>
      <c r="D1522" s="2" t="str">
        <f ca="1">IFERROR(__xludf.DUMMYFUNCTION("""COMPUTED_VALUE"""),"")</f>
        <v/>
      </c>
      <c r="E1522" s="2" t="str">
        <f ca="1">IFERROR(__xludf.DUMMYFUNCTION("""COMPUTED_VALUE"""),"")</f>
        <v/>
      </c>
    </row>
    <row r="1523" spans="1:5" ht="12.75">
      <c r="A1523" s="2"/>
      <c r="B1523" s="2" t="str">
        <f ca="1">IFERROR(__xludf.DUMMYFUNCTION("""COMPUTED_VALUE"""),"")</f>
        <v/>
      </c>
      <c r="C1523" s="2" t="str">
        <f ca="1">IFERROR(__xludf.DUMMYFUNCTION("""COMPUTED_VALUE"""),"")</f>
        <v/>
      </c>
      <c r="D1523" s="2" t="str">
        <f ca="1">IFERROR(__xludf.DUMMYFUNCTION("""COMPUTED_VALUE"""),"")</f>
        <v/>
      </c>
      <c r="E1523" s="2" t="str">
        <f ca="1">IFERROR(__xludf.DUMMYFUNCTION("""COMPUTED_VALUE"""),"")</f>
        <v/>
      </c>
    </row>
    <row r="1524" spans="1:5" ht="12.75">
      <c r="A1524" s="2"/>
      <c r="B1524" s="2" t="str">
        <f ca="1">IFERROR(__xludf.DUMMYFUNCTION("""COMPUTED_VALUE"""),"")</f>
        <v/>
      </c>
      <c r="C1524" s="2" t="str">
        <f ca="1">IFERROR(__xludf.DUMMYFUNCTION("""COMPUTED_VALUE"""),"")</f>
        <v/>
      </c>
      <c r="D1524" s="2" t="str">
        <f ca="1">IFERROR(__xludf.DUMMYFUNCTION("""COMPUTED_VALUE"""),"")</f>
        <v/>
      </c>
      <c r="E1524" s="2" t="str">
        <f ca="1">IFERROR(__xludf.DUMMYFUNCTION("""COMPUTED_VALUE"""),"")</f>
        <v/>
      </c>
    </row>
    <row r="1525" spans="1:5" ht="12.75">
      <c r="A1525" s="2"/>
      <c r="B1525" s="2" t="str">
        <f ca="1">IFERROR(__xludf.DUMMYFUNCTION("""COMPUTED_VALUE"""),"")</f>
        <v/>
      </c>
      <c r="C1525" s="2" t="str">
        <f ca="1">IFERROR(__xludf.DUMMYFUNCTION("""COMPUTED_VALUE"""),"")</f>
        <v/>
      </c>
      <c r="D1525" s="2" t="str">
        <f ca="1">IFERROR(__xludf.DUMMYFUNCTION("""COMPUTED_VALUE"""),"")</f>
        <v/>
      </c>
      <c r="E1525" s="2" t="str">
        <f ca="1">IFERROR(__xludf.DUMMYFUNCTION("""COMPUTED_VALUE"""),"")</f>
        <v/>
      </c>
    </row>
    <row r="1526" spans="1:5" ht="12.75">
      <c r="A1526" s="2"/>
      <c r="B1526" s="2" t="str">
        <f ca="1">IFERROR(__xludf.DUMMYFUNCTION("""COMPUTED_VALUE"""),"")</f>
        <v/>
      </c>
      <c r="C1526" s="2" t="str">
        <f ca="1">IFERROR(__xludf.DUMMYFUNCTION("""COMPUTED_VALUE"""),"")</f>
        <v/>
      </c>
      <c r="D1526" s="2" t="str">
        <f ca="1">IFERROR(__xludf.DUMMYFUNCTION("""COMPUTED_VALUE"""),"")</f>
        <v/>
      </c>
      <c r="E1526" s="2" t="str">
        <f ca="1">IFERROR(__xludf.DUMMYFUNCTION("""COMPUTED_VALUE"""),"")</f>
        <v/>
      </c>
    </row>
    <row r="1527" spans="1:5" ht="12.75">
      <c r="A1527" s="2"/>
      <c r="B1527" s="2" t="str">
        <f ca="1">IFERROR(__xludf.DUMMYFUNCTION("""COMPUTED_VALUE"""),"")</f>
        <v/>
      </c>
      <c r="C1527" s="2" t="str">
        <f ca="1">IFERROR(__xludf.DUMMYFUNCTION("""COMPUTED_VALUE"""),"")</f>
        <v/>
      </c>
      <c r="D1527" s="2" t="str">
        <f ca="1">IFERROR(__xludf.DUMMYFUNCTION("""COMPUTED_VALUE"""),"")</f>
        <v/>
      </c>
      <c r="E1527" s="2" t="str">
        <f ca="1">IFERROR(__xludf.DUMMYFUNCTION("""COMPUTED_VALUE"""),"")</f>
        <v/>
      </c>
    </row>
    <row r="1528" spans="1:5" ht="12.75">
      <c r="A1528" s="2"/>
      <c r="B1528" s="2" t="str">
        <f ca="1">IFERROR(__xludf.DUMMYFUNCTION("""COMPUTED_VALUE"""),"")</f>
        <v/>
      </c>
      <c r="C1528" s="2" t="str">
        <f ca="1">IFERROR(__xludf.DUMMYFUNCTION("""COMPUTED_VALUE"""),"")</f>
        <v/>
      </c>
      <c r="D1528" s="2" t="str">
        <f ca="1">IFERROR(__xludf.DUMMYFUNCTION("""COMPUTED_VALUE"""),"")</f>
        <v/>
      </c>
      <c r="E1528" s="2" t="str">
        <f ca="1">IFERROR(__xludf.DUMMYFUNCTION("""COMPUTED_VALUE"""),"")</f>
        <v/>
      </c>
    </row>
    <row r="1529" spans="1:5" ht="12.75">
      <c r="A1529" s="2"/>
      <c r="B1529" s="2" t="str">
        <f ca="1">IFERROR(__xludf.DUMMYFUNCTION("""COMPUTED_VALUE"""),"")</f>
        <v/>
      </c>
      <c r="C1529" s="2" t="str">
        <f ca="1">IFERROR(__xludf.DUMMYFUNCTION("""COMPUTED_VALUE"""),"")</f>
        <v/>
      </c>
      <c r="D1529" s="2" t="str">
        <f ca="1">IFERROR(__xludf.DUMMYFUNCTION("""COMPUTED_VALUE"""),"")</f>
        <v/>
      </c>
      <c r="E1529" s="2" t="str">
        <f ca="1">IFERROR(__xludf.DUMMYFUNCTION("""COMPUTED_VALUE"""),"")</f>
        <v/>
      </c>
    </row>
    <row r="1530" spans="1:5" ht="12.75">
      <c r="A1530" s="2"/>
      <c r="B1530" s="2" t="str">
        <f ca="1">IFERROR(__xludf.DUMMYFUNCTION("""COMPUTED_VALUE"""),"")</f>
        <v/>
      </c>
      <c r="C1530" s="2" t="str">
        <f ca="1">IFERROR(__xludf.DUMMYFUNCTION("""COMPUTED_VALUE"""),"")</f>
        <v/>
      </c>
      <c r="D1530" s="2" t="str">
        <f ca="1">IFERROR(__xludf.DUMMYFUNCTION("""COMPUTED_VALUE"""),"")</f>
        <v/>
      </c>
      <c r="E1530" s="2" t="str">
        <f ca="1">IFERROR(__xludf.DUMMYFUNCTION("""COMPUTED_VALUE"""),"")</f>
        <v/>
      </c>
    </row>
    <row r="1531" spans="1:5" ht="12.75">
      <c r="A1531" s="2"/>
      <c r="B1531" s="2" t="str">
        <f ca="1">IFERROR(__xludf.DUMMYFUNCTION("""COMPUTED_VALUE"""),"")</f>
        <v/>
      </c>
      <c r="C1531" s="2" t="str">
        <f ca="1">IFERROR(__xludf.DUMMYFUNCTION("""COMPUTED_VALUE"""),"")</f>
        <v/>
      </c>
      <c r="D1531" s="2" t="str">
        <f ca="1">IFERROR(__xludf.DUMMYFUNCTION("""COMPUTED_VALUE"""),"")</f>
        <v/>
      </c>
      <c r="E1531" s="2" t="str">
        <f ca="1">IFERROR(__xludf.DUMMYFUNCTION("""COMPUTED_VALUE"""),"")</f>
        <v/>
      </c>
    </row>
    <row r="1532" spans="1:5" ht="12.75">
      <c r="A1532" s="2"/>
      <c r="B1532" s="2" t="str">
        <f ca="1">IFERROR(__xludf.DUMMYFUNCTION("""COMPUTED_VALUE"""),"")</f>
        <v/>
      </c>
      <c r="C1532" s="2" t="str">
        <f ca="1">IFERROR(__xludf.DUMMYFUNCTION("""COMPUTED_VALUE"""),"")</f>
        <v/>
      </c>
      <c r="D1532" s="2" t="str">
        <f ca="1">IFERROR(__xludf.DUMMYFUNCTION("""COMPUTED_VALUE"""),"")</f>
        <v/>
      </c>
      <c r="E1532" s="2" t="str">
        <f ca="1">IFERROR(__xludf.DUMMYFUNCTION("""COMPUTED_VALUE"""),"")</f>
        <v/>
      </c>
    </row>
    <row r="1533" spans="1:5" ht="12.75">
      <c r="A1533" s="2"/>
      <c r="B1533" s="2" t="str">
        <f ca="1">IFERROR(__xludf.DUMMYFUNCTION("""COMPUTED_VALUE"""),"")</f>
        <v/>
      </c>
      <c r="C1533" s="2" t="str">
        <f ca="1">IFERROR(__xludf.DUMMYFUNCTION("""COMPUTED_VALUE"""),"")</f>
        <v/>
      </c>
      <c r="D1533" s="2" t="str">
        <f ca="1">IFERROR(__xludf.DUMMYFUNCTION("""COMPUTED_VALUE"""),"")</f>
        <v/>
      </c>
      <c r="E1533" s="2" t="str">
        <f ca="1">IFERROR(__xludf.DUMMYFUNCTION("""COMPUTED_VALUE"""),"")</f>
        <v/>
      </c>
    </row>
    <row r="1534" spans="1:5" ht="12.75">
      <c r="A1534" s="2"/>
      <c r="B1534" s="2" t="str">
        <f ca="1">IFERROR(__xludf.DUMMYFUNCTION("""COMPUTED_VALUE"""),"")</f>
        <v/>
      </c>
      <c r="C1534" s="2" t="str">
        <f ca="1">IFERROR(__xludf.DUMMYFUNCTION("""COMPUTED_VALUE"""),"")</f>
        <v/>
      </c>
      <c r="D1534" s="2" t="str">
        <f ca="1">IFERROR(__xludf.DUMMYFUNCTION("""COMPUTED_VALUE"""),"")</f>
        <v/>
      </c>
      <c r="E1534" s="2" t="str">
        <f ca="1">IFERROR(__xludf.DUMMYFUNCTION("""COMPUTED_VALUE"""),"")</f>
        <v/>
      </c>
    </row>
    <row r="1535" spans="1:5" ht="12.75">
      <c r="A1535" s="2"/>
      <c r="B1535" s="2" t="str">
        <f ca="1">IFERROR(__xludf.DUMMYFUNCTION("""COMPUTED_VALUE"""),"")</f>
        <v/>
      </c>
      <c r="C1535" s="2" t="str">
        <f ca="1">IFERROR(__xludf.DUMMYFUNCTION("""COMPUTED_VALUE"""),"")</f>
        <v/>
      </c>
      <c r="D1535" s="2" t="str">
        <f ca="1">IFERROR(__xludf.DUMMYFUNCTION("""COMPUTED_VALUE"""),"")</f>
        <v/>
      </c>
      <c r="E1535" s="2" t="str">
        <f ca="1">IFERROR(__xludf.DUMMYFUNCTION("""COMPUTED_VALUE"""),"")</f>
        <v/>
      </c>
    </row>
    <row r="1536" spans="1:5" ht="12.75">
      <c r="A1536" s="2"/>
      <c r="B1536" s="2" t="str">
        <f ca="1">IFERROR(__xludf.DUMMYFUNCTION("""COMPUTED_VALUE"""),"")</f>
        <v/>
      </c>
      <c r="C1536" s="2" t="str">
        <f ca="1">IFERROR(__xludf.DUMMYFUNCTION("""COMPUTED_VALUE"""),"")</f>
        <v/>
      </c>
      <c r="D1536" s="2" t="str">
        <f ca="1">IFERROR(__xludf.DUMMYFUNCTION("""COMPUTED_VALUE"""),"")</f>
        <v/>
      </c>
      <c r="E1536" s="2" t="str">
        <f ca="1">IFERROR(__xludf.DUMMYFUNCTION("""COMPUTED_VALUE"""),"")</f>
        <v/>
      </c>
    </row>
    <row r="1537" spans="1:5" ht="12.75">
      <c r="A1537" s="2"/>
      <c r="B1537" s="2" t="str">
        <f ca="1">IFERROR(__xludf.DUMMYFUNCTION("""COMPUTED_VALUE"""),"")</f>
        <v/>
      </c>
      <c r="C1537" s="2" t="str">
        <f ca="1">IFERROR(__xludf.DUMMYFUNCTION("""COMPUTED_VALUE"""),"")</f>
        <v/>
      </c>
      <c r="D1537" s="2" t="str">
        <f ca="1">IFERROR(__xludf.DUMMYFUNCTION("""COMPUTED_VALUE"""),"")</f>
        <v/>
      </c>
      <c r="E1537" s="2" t="str">
        <f ca="1">IFERROR(__xludf.DUMMYFUNCTION("""COMPUTED_VALUE"""),"")</f>
        <v/>
      </c>
    </row>
    <row r="1538" spans="1:5" ht="12.75">
      <c r="A1538" s="2"/>
      <c r="B1538" s="2" t="str">
        <f ca="1">IFERROR(__xludf.DUMMYFUNCTION("""COMPUTED_VALUE"""),"")</f>
        <v/>
      </c>
      <c r="C1538" s="2" t="str">
        <f ca="1">IFERROR(__xludf.DUMMYFUNCTION("""COMPUTED_VALUE"""),"")</f>
        <v/>
      </c>
      <c r="D1538" s="2" t="str">
        <f ca="1">IFERROR(__xludf.DUMMYFUNCTION("""COMPUTED_VALUE"""),"")</f>
        <v/>
      </c>
      <c r="E1538" s="2" t="str">
        <f ca="1">IFERROR(__xludf.DUMMYFUNCTION("""COMPUTED_VALUE"""),"")</f>
        <v/>
      </c>
    </row>
    <row r="1539" spans="1:5" ht="12.75">
      <c r="A1539" s="2"/>
      <c r="B1539" s="2" t="str">
        <f ca="1">IFERROR(__xludf.DUMMYFUNCTION("""COMPUTED_VALUE"""),"")</f>
        <v/>
      </c>
      <c r="C1539" s="2" t="str">
        <f ca="1">IFERROR(__xludf.DUMMYFUNCTION("""COMPUTED_VALUE"""),"")</f>
        <v/>
      </c>
      <c r="D1539" s="2" t="str">
        <f ca="1">IFERROR(__xludf.DUMMYFUNCTION("""COMPUTED_VALUE"""),"")</f>
        <v/>
      </c>
      <c r="E1539" s="2" t="str">
        <f ca="1">IFERROR(__xludf.DUMMYFUNCTION("""COMPUTED_VALUE"""),"")</f>
        <v/>
      </c>
    </row>
    <row r="1540" spans="1:5" ht="12.75">
      <c r="A1540" s="2"/>
      <c r="B1540" s="2" t="str">
        <f ca="1">IFERROR(__xludf.DUMMYFUNCTION("""COMPUTED_VALUE"""),"")</f>
        <v/>
      </c>
      <c r="C1540" s="2" t="str">
        <f ca="1">IFERROR(__xludf.DUMMYFUNCTION("""COMPUTED_VALUE"""),"")</f>
        <v/>
      </c>
      <c r="D1540" s="2" t="str">
        <f ca="1">IFERROR(__xludf.DUMMYFUNCTION("""COMPUTED_VALUE"""),"")</f>
        <v/>
      </c>
      <c r="E1540" s="2" t="str">
        <f ca="1">IFERROR(__xludf.DUMMYFUNCTION("""COMPUTED_VALUE"""),"")</f>
        <v/>
      </c>
    </row>
    <row r="1541" spans="1:5" ht="12.75">
      <c r="A1541" s="2"/>
      <c r="B1541" s="2" t="str">
        <f ca="1">IFERROR(__xludf.DUMMYFUNCTION("""COMPUTED_VALUE"""),"")</f>
        <v/>
      </c>
      <c r="C1541" s="2" t="str">
        <f ca="1">IFERROR(__xludf.DUMMYFUNCTION("""COMPUTED_VALUE"""),"")</f>
        <v/>
      </c>
      <c r="D1541" s="2" t="str">
        <f ca="1">IFERROR(__xludf.DUMMYFUNCTION("""COMPUTED_VALUE"""),"")</f>
        <v/>
      </c>
      <c r="E1541" s="2" t="str">
        <f ca="1">IFERROR(__xludf.DUMMYFUNCTION("""COMPUTED_VALUE"""),"")</f>
        <v/>
      </c>
    </row>
    <row r="1542" spans="1:5" ht="12.75">
      <c r="A1542" s="2"/>
      <c r="B1542" s="2" t="str">
        <f ca="1">IFERROR(__xludf.DUMMYFUNCTION("""COMPUTED_VALUE"""),"")</f>
        <v/>
      </c>
      <c r="C1542" s="2" t="str">
        <f ca="1">IFERROR(__xludf.DUMMYFUNCTION("""COMPUTED_VALUE"""),"")</f>
        <v/>
      </c>
      <c r="D1542" s="2" t="str">
        <f ca="1">IFERROR(__xludf.DUMMYFUNCTION("""COMPUTED_VALUE"""),"")</f>
        <v/>
      </c>
      <c r="E1542" s="2" t="str">
        <f ca="1">IFERROR(__xludf.DUMMYFUNCTION("""COMPUTED_VALUE"""),"")</f>
        <v/>
      </c>
    </row>
    <row r="1543" spans="1:5" ht="12.75">
      <c r="A1543" s="2"/>
      <c r="B1543" s="2" t="str">
        <f ca="1">IFERROR(__xludf.DUMMYFUNCTION("""COMPUTED_VALUE"""),"")</f>
        <v/>
      </c>
      <c r="C1543" s="2" t="str">
        <f ca="1">IFERROR(__xludf.DUMMYFUNCTION("""COMPUTED_VALUE"""),"")</f>
        <v/>
      </c>
      <c r="D1543" s="2" t="str">
        <f ca="1">IFERROR(__xludf.DUMMYFUNCTION("""COMPUTED_VALUE"""),"")</f>
        <v/>
      </c>
      <c r="E1543" s="2" t="str">
        <f ca="1">IFERROR(__xludf.DUMMYFUNCTION("""COMPUTED_VALUE"""),"")</f>
        <v/>
      </c>
    </row>
    <row r="1544" spans="1:5" ht="12.75">
      <c r="A1544" s="2"/>
      <c r="B1544" s="2" t="str">
        <f ca="1">IFERROR(__xludf.DUMMYFUNCTION("""COMPUTED_VALUE"""),"")</f>
        <v/>
      </c>
      <c r="C1544" s="2" t="str">
        <f ca="1">IFERROR(__xludf.DUMMYFUNCTION("""COMPUTED_VALUE"""),"")</f>
        <v/>
      </c>
      <c r="D1544" s="2" t="str">
        <f ca="1">IFERROR(__xludf.DUMMYFUNCTION("""COMPUTED_VALUE"""),"")</f>
        <v/>
      </c>
      <c r="E1544" s="2" t="str">
        <f ca="1">IFERROR(__xludf.DUMMYFUNCTION("""COMPUTED_VALUE"""),"")</f>
        <v/>
      </c>
    </row>
    <row r="1545" spans="1:5" ht="12.75">
      <c r="A1545" s="2"/>
      <c r="B1545" s="2" t="str">
        <f ca="1">IFERROR(__xludf.DUMMYFUNCTION("""COMPUTED_VALUE"""),"")</f>
        <v/>
      </c>
      <c r="C1545" s="2" t="str">
        <f ca="1">IFERROR(__xludf.DUMMYFUNCTION("""COMPUTED_VALUE"""),"")</f>
        <v/>
      </c>
      <c r="D1545" s="2" t="str">
        <f ca="1">IFERROR(__xludf.DUMMYFUNCTION("""COMPUTED_VALUE"""),"")</f>
        <v/>
      </c>
      <c r="E1545" s="2" t="str">
        <f ca="1">IFERROR(__xludf.DUMMYFUNCTION("""COMPUTED_VALUE"""),"")</f>
        <v/>
      </c>
    </row>
    <row r="1546" spans="1:5" ht="12.75">
      <c r="A1546" s="2"/>
      <c r="B1546" s="2" t="str">
        <f ca="1">IFERROR(__xludf.DUMMYFUNCTION("""COMPUTED_VALUE"""),"")</f>
        <v/>
      </c>
      <c r="C1546" s="2" t="str">
        <f ca="1">IFERROR(__xludf.DUMMYFUNCTION("""COMPUTED_VALUE"""),"")</f>
        <v/>
      </c>
      <c r="D1546" s="2" t="str">
        <f ca="1">IFERROR(__xludf.DUMMYFUNCTION("""COMPUTED_VALUE"""),"")</f>
        <v/>
      </c>
      <c r="E1546" s="2" t="str">
        <f ca="1">IFERROR(__xludf.DUMMYFUNCTION("""COMPUTED_VALUE"""),"")</f>
        <v/>
      </c>
    </row>
    <row r="1547" spans="1:5" ht="12.75">
      <c r="A1547" s="2"/>
      <c r="B1547" s="2" t="str">
        <f ca="1">IFERROR(__xludf.DUMMYFUNCTION("""COMPUTED_VALUE"""),"")</f>
        <v/>
      </c>
      <c r="C1547" s="2" t="str">
        <f ca="1">IFERROR(__xludf.DUMMYFUNCTION("""COMPUTED_VALUE"""),"")</f>
        <v/>
      </c>
      <c r="D1547" s="2" t="str">
        <f ca="1">IFERROR(__xludf.DUMMYFUNCTION("""COMPUTED_VALUE"""),"")</f>
        <v/>
      </c>
      <c r="E1547" s="2" t="str">
        <f ca="1">IFERROR(__xludf.DUMMYFUNCTION("""COMPUTED_VALUE"""),"")</f>
        <v/>
      </c>
    </row>
    <row r="1548" spans="1:5" ht="12.75">
      <c r="A1548" s="2"/>
      <c r="B1548" s="2" t="str">
        <f ca="1">IFERROR(__xludf.DUMMYFUNCTION("""COMPUTED_VALUE"""),"")</f>
        <v/>
      </c>
      <c r="C1548" s="2" t="str">
        <f ca="1">IFERROR(__xludf.DUMMYFUNCTION("""COMPUTED_VALUE"""),"")</f>
        <v/>
      </c>
      <c r="D1548" s="2" t="str">
        <f ca="1">IFERROR(__xludf.DUMMYFUNCTION("""COMPUTED_VALUE"""),"")</f>
        <v/>
      </c>
      <c r="E1548" s="2" t="str">
        <f ca="1">IFERROR(__xludf.DUMMYFUNCTION("""COMPUTED_VALUE"""),"")</f>
        <v/>
      </c>
    </row>
    <row r="1549" spans="1:5" ht="12.75">
      <c r="A1549" s="2"/>
      <c r="B1549" s="2" t="str">
        <f ca="1">IFERROR(__xludf.DUMMYFUNCTION("""COMPUTED_VALUE"""),"")</f>
        <v/>
      </c>
      <c r="C1549" s="2" t="str">
        <f ca="1">IFERROR(__xludf.DUMMYFUNCTION("""COMPUTED_VALUE"""),"")</f>
        <v/>
      </c>
      <c r="D1549" s="2" t="str">
        <f ca="1">IFERROR(__xludf.DUMMYFUNCTION("""COMPUTED_VALUE"""),"")</f>
        <v/>
      </c>
      <c r="E1549" s="2" t="str">
        <f ca="1">IFERROR(__xludf.DUMMYFUNCTION("""COMPUTED_VALUE"""),"")</f>
        <v/>
      </c>
    </row>
    <row r="1550" spans="1:5" ht="12.75">
      <c r="A1550" s="2"/>
      <c r="B1550" s="2" t="str">
        <f ca="1">IFERROR(__xludf.DUMMYFUNCTION("""COMPUTED_VALUE"""),"")</f>
        <v/>
      </c>
      <c r="C1550" s="2" t="str">
        <f ca="1">IFERROR(__xludf.DUMMYFUNCTION("""COMPUTED_VALUE"""),"")</f>
        <v/>
      </c>
      <c r="D1550" s="2" t="str">
        <f ca="1">IFERROR(__xludf.DUMMYFUNCTION("""COMPUTED_VALUE"""),"")</f>
        <v/>
      </c>
      <c r="E1550" s="2" t="str">
        <f ca="1">IFERROR(__xludf.DUMMYFUNCTION("""COMPUTED_VALUE"""),"")</f>
        <v/>
      </c>
    </row>
    <row r="1551" spans="1:5" ht="12.75">
      <c r="A1551" s="2"/>
      <c r="B1551" s="2" t="str">
        <f ca="1">IFERROR(__xludf.DUMMYFUNCTION("""COMPUTED_VALUE"""),"")</f>
        <v/>
      </c>
      <c r="C1551" s="2" t="str">
        <f ca="1">IFERROR(__xludf.DUMMYFUNCTION("""COMPUTED_VALUE"""),"")</f>
        <v/>
      </c>
      <c r="D1551" s="2" t="str">
        <f ca="1">IFERROR(__xludf.DUMMYFUNCTION("""COMPUTED_VALUE"""),"")</f>
        <v/>
      </c>
      <c r="E1551" s="2" t="str">
        <f ca="1">IFERROR(__xludf.DUMMYFUNCTION("""COMPUTED_VALUE"""),"")</f>
        <v/>
      </c>
    </row>
    <row r="1552" spans="1:5" ht="12.75">
      <c r="A1552" s="2"/>
      <c r="B1552" s="2" t="str">
        <f ca="1">IFERROR(__xludf.DUMMYFUNCTION("""COMPUTED_VALUE"""),"")</f>
        <v/>
      </c>
      <c r="C1552" s="2" t="str">
        <f ca="1">IFERROR(__xludf.DUMMYFUNCTION("""COMPUTED_VALUE"""),"")</f>
        <v/>
      </c>
      <c r="D1552" s="2" t="str">
        <f ca="1">IFERROR(__xludf.DUMMYFUNCTION("""COMPUTED_VALUE"""),"")</f>
        <v/>
      </c>
      <c r="E1552" s="2" t="str">
        <f ca="1">IFERROR(__xludf.DUMMYFUNCTION("""COMPUTED_VALUE"""),"")</f>
        <v/>
      </c>
    </row>
    <row r="1553" spans="1:5" ht="12.75">
      <c r="A1553" s="2"/>
      <c r="B1553" s="2" t="str">
        <f ca="1">IFERROR(__xludf.DUMMYFUNCTION("""COMPUTED_VALUE"""),"")</f>
        <v/>
      </c>
      <c r="C1553" s="2" t="str">
        <f ca="1">IFERROR(__xludf.DUMMYFUNCTION("""COMPUTED_VALUE"""),"")</f>
        <v/>
      </c>
      <c r="D1553" s="2" t="str">
        <f ca="1">IFERROR(__xludf.DUMMYFUNCTION("""COMPUTED_VALUE"""),"")</f>
        <v/>
      </c>
      <c r="E1553" s="2" t="str">
        <f ca="1">IFERROR(__xludf.DUMMYFUNCTION("""COMPUTED_VALUE"""),"")</f>
        <v/>
      </c>
    </row>
    <row r="1554" spans="1:5" ht="12.75">
      <c r="A1554" s="2"/>
      <c r="B1554" s="2" t="str">
        <f ca="1">IFERROR(__xludf.DUMMYFUNCTION("""COMPUTED_VALUE"""),"")</f>
        <v/>
      </c>
      <c r="C1554" s="2" t="str">
        <f ca="1">IFERROR(__xludf.DUMMYFUNCTION("""COMPUTED_VALUE"""),"")</f>
        <v/>
      </c>
      <c r="D1554" s="2" t="str">
        <f ca="1">IFERROR(__xludf.DUMMYFUNCTION("""COMPUTED_VALUE"""),"")</f>
        <v/>
      </c>
      <c r="E1554" s="2" t="str">
        <f ca="1">IFERROR(__xludf.DUMMYFUNCTION("""COMPUTED_VALUE"""),"")</f>
        <v/>
      </c>
    </row>
    <row r="1555" spans="1:5" ht="12.75">
      <c r="A1555" s="2"/>
      <c r="B1555" s="2" t="str">
        <f ca="1">IFERROR(__xludf.DUMMYFUNCTION("""COMPUTED_VALUE"""),"")</f>
        <v/>
      </c>
      <c r="C1555" s="2" t="str">
        <f ca="1">IFERROR(__xludf.DUMMYFUNCTION("""COMPUTED_VALUE"""),"")</f>
        <v/>
      </c>
      <c r="D1555" s="2" t="str">
        <f ca="1">IFERROR(__xludf.DUMMYFUNCTION("""COMPUTED_VALUE"""),"")</f>
        <v/>
      </c>
      <c r="E1555" s="2" t="str">
        <f ca="1">IFERROR(__xludf.DUMMYFUNCTION("""COMPUTED_VALUE"""),"")</f>
        <v/>
      </c>
    </row>
    <row r="1556" spans="1:5" ht="12.75">
      <c r="A1556" s="2"/>
      <c r="B1556" s="2" t="str">
        <f ca="1">IFERROR(__xludf.DUMMYFUNCTION("""COMPUTED_VALUE"""),"")</f>
        <v/>
      </c>
      <c r="C1556" s="2" t="str">
        <f ca="1">IFERROR(__xludf.DUMMYFUNCTION("""COMPUTED_VALUE"""),"")</f>
        <v/>
      </c>
      <c r="D1556" s="2" t="str">
        <f ca="1">IFERROR(__xludf.DUMMYFUNCTION("""COMPUTED_VALUE"""),"")</f>
        <v/>
      </c>
      <c r="E1556" s="2" t="str">
        <f ca="1">IFERROR(__xludf.DUMMYFUNCTION("""COMPUTED_VALUE"""),"")</f>
        <v/>
      </c>
    </row>
    <row r="1557" spans="1:5" ht="12.75">
      <c r="A1557" s="2"/>
      <c r="B1557" s="2" t="str">
        <f ca="1">IFERROR(__xludf.DUMMYFUNCTION("""COMPUTED_VALUE"""),"")</f>
        <v/>
      </c>
      <c r="C1557" s="2" t="str">
        <f ca="1">IFERROR(__xludf.DUMMYFUNCTION("""COMPUTED_VALUE"""),"")</f>
        <v/>
      </c>
      <c r="D1557" s="2" t="str">
        <f ca="1">IFERROR(__xludf.DUMMYFUNCTION("""COMPUTED_VALUE"""),"")</f>
        <v/>
      </c>
      <c r="E1557" s="2" t="str">
        <f ca="1">IFERROR(__xludf.DUMMYFUNCTION("""COMPUTED_VALUE"""),"")</f>
        <v/>
      </c>
    </row>
    <row r="1558" spans="1:5" ht="12.75">
      <c r="A1558" s="2"/>
      <c r="B1558" s="2" t="str">
        <f ca="1">IFERROR(__xludf.DUMMYFUNCTION("""COMPUTED_VALUE"""),"")</f>
        <v/>
      </c>
      <c r="C1558" s="2" t="str">
        <f ca="1">IFERROR(__xludf.DUMMYFUNCTION("""COMPUTED_VALUE"""),"")</f>
        <v/>
      </c>
      <c r="D1558" s="2" t="str">
        <f ca="1">IFERROR(__xludf.DUMMYFUNCTION("""COMPUTED_VALUE"""),"")</f>
        <v/>
      </c>
      <c r="E1558" s="2" t="str">
        <f ca="1">IFERROR(__xludf.DUMMYFUNCTION("""COMPUTED_VALUE"""),"")</f>
        <v/>
      </c>
    </row>
    <row r="1559" spans="1:5" ht="12.75">
      <c r="A1559" s="2"/>
      <c r="B1559" s="2" t="str">
        <f ca="1">IFERROR(__xludf.DUMMYFUNCTION("""COMPUTED_VALUE"""),"")</f>
        <v/>
      </c>
      <c r="C1559" s="2" t="str">
        <f ca="1">IFERROR(__xludf.DUMMYFUNCTION("""COMPUTED_VALUE"""),"")</f>
        <v/>
      </c>
      <c r="D1559" s="2" t="str">
        <f ca="1">IFERROR(__xludf.DUMMYFUNCTION("""COMPUTED_VALUE"""),"")</f>
        <v/>
      </c>
      <c r="E1559" s="2" t="str">
        <f ca="1">IFERROR(__xludf.DUMMYFUNCTION("""COMPUTED_VALUE"""),"")</f>
        <v/>
      </c>
    </row>
    <row r="1560" spans="1:5" ht="12.75">
      <c r="A1560" s="2"/>
      <c r="B1560" s="2" t="str">
        <f ca="1">IFERROR(__xludf.DUMMYFUNCTION("""COMPUTED_VALUE"""),"")</f>
        <v/>
      </c>
      <c r="C1560" s="2" t="str">
        <f ca="1">IFERROR(__xludf.DUMMYFUNCTION("""COMPUTED_VALUE"""),"")</f>
        <v/>
      </c>
      <c r="D1560" s="2" t="str">
        <f ca="1">IFERROR(__xludf.DUMMYFUNCTION("""COMPUTED_VALUE"""),"")</f>
        <v/>
      </c>
      <c r="E1560" s="2" t="str">
        <f ca="1">IFERROR(__xludf.DUMMYFUNCTION("""COMPUTED_VALUE"""),"")</f>
        <v/>
      </c>
    </row>
    <row r="1561" spans="1:5" ht="12.75">
      <c r="A1561" s="2"/>
      <c r="B1561" s="2" t="str">
        <f ca="1">IFERROR(__xludf.DUMMYFUNCTION("""COMPUTED_VALUE"""),"")</f>
        <v/>
      </c>
      <c r="C1561" s="2" t="str">
        <f ca="1">IFERROR(__xludf.DUMMYFUNCTION("""COMPUTED_VALUE"""),"")</f>
        <v/>
      </c>
      <c r="D1561" s="2" t="str">
        <f ca="1">IFERROR(__xludf.DUMMYFUNCTION("""COMPUTED_VALUE"""),"")</f>
        <v/>
      </c>
      <c r="E1561" s="2" t="str">
        <f ca="1">IFERROR(__xludf.DUMMYFUNCTION("""COMPUTED_VALUE"""),"")</f>
        <v/>
      </c>
    </row>
    <row r="1562" spans="1:5" ht="12.75">
      <c r="A1562" s="2"/>
      <c r="B1562" s="2" t="str">
        <f ca="1">IFERROR(__xludf.DUMMYFUNCTION("""COMPUTED_VALUE"""),"")</f>
        <v/>
      </c>
      <c r="C1562" s="2" t="str">
        <f ca="1">IFERROR(__xludf.DUMMYFUNCTION("""COMPUTED_VALUE"""),"")</f>
        <v/>
      </c>
      <c r="D1562" s="2" t="str">
        <f ca="1">IFERROR(__xludf.DUMMYFUNCTION("""COMPUTED_VALUE"""),"")</f>
        <v/>
      </c>
      <c r="E1562" s="2" t="str">
        <f ca="1">IFERROR(__xludf.DUMMYFUNCTION("""COMPUTED_VALUE"""),"")</f>
        <v/>
      </c>
    </row>
    <row r="1563" spans="1:5" ht="12.75">
      <c r="A1563" s="2"/>
      <c r="B1563" s="2" t="str">
        <f ca="1">IFERROR(__xludf.DUMMYFUNCTION("""COMPUTED_VALUE"""),"")</f>
        <v/>
      </c>
      <c r="C1563" s="2" t="str">
        <f ca="1">IFERROR(__xludf.DUMMYFUNCTION("""COMPUTED_VALUE"""),"")</f>
        <v/>
      </c>
      <c r="D1563" s="2" t="str">
        <f ca="1">IFERROR(__xludf.DUMMYFUNCTION("""COMPUTED_VALUE"""),"")</f>
        <v/>
      </c>
      <c r="E1563" s="2" t="str">
        <f ca="1">IFERROR(__xludf.DUMMYFUNCTION("""COMPUTED_VALUE"""),"")</f>
        <v/>
      </c>
    </row>
    <row r="1564" spans="1:5" ht="12.75">
      <c r="A1564" s="2"/>
      <c r="B1564" s="2" t="str">
        <f ca="1">IFERROR(__xludf.DUMMYFUNCTION("""COMPUTED_VALUE"""),"")</f>
        <v/>
      </c>
      <c r="C1564" s="2" t="str">
        <f ca="1">IFERROR(__xludf.DUMMYFUNCTION("""COMPUTED_VALUE"""),"")</f>
        <v/>
      </c>
      <c r="D1564" s="2" t="str">
        <f ca="1">IFERROR(__xludf.DUMMYFUNCTION("""COMPUTED_VALUE"""),"")</f>
        <v/>
      </c>
      <c r="E1564" s="2" t="str">
        <f ca="1">IFERROR(__xludf.DUMMYFUNCTION("""COMPUTED_VALUE"""),"")</f>
        <v/>
      </c>
    </row>
    <row r="1565" spans="1:5" ht="12.75">
      <c r="A1565" s="2"/>
      <c r="B1565" s="2" t="str">
        <f ca="1">IFERROR(__xludf.DUMMYFUNCTION("""COMPUTED_VALUE"""),"")</f>
        <v/>
      </c>
      <c r="C1565" s="2" t="str">
        <f ca="1">IFERROR(__xludf.DUMMYFUNCTION("""COMPUTED_VALUE"""),"")</f>
        <v/>
      </c>
      <c r="D1565" s="2" t="str">
        <f ca="1">IFERROR(__xludf.DUMMYFUNCTION("""COMPUTED_VALUE"""),"")</f>
        <v/>
      </c>
      <c r="E1565" s="2" t="str">
        <f ca="1">IFERROR(__xludf.DUMMYFUNCTION("""COMPUTED_VALUE"""),"")</f>
        <v/>
      </c>
    </row>
    <row r="1566" spans="1:5" ht="12.75">
      <c r="A1566" s="2"/>
      <c r="B1566" s="2" t="str">
        <f ca="1">IFERROR(__xludf.DUMMYFUNCTION("""COMPUTED_VALUE"""),"")</f>
        <v/>
      </c>
      <c r="C1566" s="2" t="str">
        <f ca="1">IFERROR(__xludf.DUMMYFUNCTION("""COMPUTED_VALUE"""),"")</f>
        <v/>
      </c>
      <c r="D1566" s="2" t="str">
        <f ca="1">IFERROR(__xludf.DUMMYFUNCTION("""COMPUTED_VALUE"""),"")</f>
        <v/>
      </c>
      <c r="E1566" s="2" t="str">
        <f ca="1">IFERROR(__xludf.DUMMYFUNCTION("""COMPUTED_VALUE"""),"")</f>
        <v/>
      </c>
    </row>
    <row r="1567" spans="1:5" ht="12.75">
      <c r="A1567" s="2"/>
      <c r="B1567" s="2" t="str">
        <f ca="1">IFERROR(__xludf.DUMMYFUNCTION("""COMPUTED_VALUE"""),"")</f>
        <v/>
      </c>
      <c r="C1567" s="2" t="str">
        <f ca="1">IFERROR(__xludf.DUMMYFUNCTION("""COMPUTED_VALUE"""),"")</f>
        <v/>
      </c>
      <c r="D1567" s="2" t="str">
        <f ca="1">IFERROR(__xludf.DUMMYFUNCTION("""COMPUTED_VALUE"""),"")</f>
        <v/>
      </c>
      <c r="E1567" s="2" t="str">
        <f ca="1">IFERROR(__xludf.DUMMYFUNCTION("""COMPUTED_VALUE"""),"")</f>
        <v/>
      </c>
    </row>
    <row r="1568" spans="1:5" ht="12.75">
      <c r="A1568" s="2"/>
      <c r="B1568" s="2" t="str">
        <f ca="1">IFERROR(__xludf.DUMMYFUNCTION("""COMPUTED_VALUE"""),"")</f>
        <v/>
      </c>
      <c r="C1568" s="2" t="str">
        <f ca="1">IFERROR(__xludf.DUMMYFUNCTION("""COMPUTED_VALUE"""),"")</f>
        <v/>
      </c>
      <c r="D1568" s="2" t="str">
        <f ca="1">IFERROR(__xludf.DUMMYFUNCTION("""COMPUTED_VALUE"""),"")</f>
        <v/>
      </c>
      <c r="E1568" s="2" t="str">
        <f ca="1">IFERROR(__xludf.DUMMYFUNCTION("""COMPUTED_VALUE"""),"")</f>
        <v/>
      </c>
    </row>
    <row r="1569" spans="1:5" ht="12.75">
      <c r="A1569" s="2"/>
      <c r="B1569" s="2" t="str">
        <f ca="1">IFERROR(__xludf.DUMMYFUNCTION("""COMPUTED_VALUE"""),"")</f>
        <v/>
      </c>
      <c r="C1569" s="2" t="str">
        <f ca="1">IFERROR(__xludf.DUMMYFUNCTION("""COMPUTED_VALUE"""),"")</f>
        <v/>
      </c>
      <c r="D1569" s="2" t="str">
        <f ca="1">IFERROR(__xludf.DUMMYFUNCTION("""COMPUTED_VALUE"""),"")</f>
        <v/>
      </c>
      <c r="E1569" s="2" t="str">
        <f ca="1">IFERROR(__xludf.DUMMYFUNCTION("""COMPUTED_VALUE"""),"")</f>
        <v/>
      </c>
    </row>
    <row r="1570" spans="1:5" ht="12.75">
      <c r="A1570" s="2"/>
      <c r="B1570" s="2" t="str">
        <f ca="1">IFERROR(__xludf.DUMMYFUNCTION("""COMPUTED_VALUE"""),"")</f>
        <v/>
      </c>
      <c r="C1570" s="2" t="str">
        <f ca="1">IFERROR(__xludf.DUMMYFUNCTION("""COMPUTED_VALUE"""),"")</f>
        <v/>
      </c>
      <c r="D1570" s="2" t="str">
        <f ca="1">IFERROR(__xludf.DUMMYFUNCTION("""COMPUTED_VALUE"""),"")</f>
        <v/>
      </c>
      <c r="E1570" s="2" t="str">
        <f ca="1">IFERROR(__xludf.DUMMYFUNCTION("""COMPUTED_VALUE"""),"")</f>
        <v/>
      </c>
    </row>
    <row r="1571" spans="1:5" ht="12.75">
      <c r="A1571" s="2"/>
      <c r="B1571" s="2" t="str">
        <f ca="1">IFERROR(__xludf.DUMMYFUNCTION("""COMPUTED_VALUE"""),"")</f>
        <v/>
      </c>
      <c r="C1571" s="2" t="str">
        <f ca="1">IFERROR(__xludf.DUMMYFUNCTION("""COMPUTED_VALUE"""),"")</f>
        <v/>
      </c>
      <c r="D1571" s="2" t="str">
        <f ca="1">IFERROR(__xludf.DUMMYFUNCTION("""COMPUTED_VALUE"""),"")</f>
        <v/>
      </c>
      <c r="E1571" s="2" t="str">
        <f ca="1">IFERROR(__xludf.DUMMYFUNCTION("""COMPUTED_VALUE"""),"")</f>
        <v/>
      </c>
    </row>
    <row r="1572" spans="1:5" ht="12.75">
      <c r="A1572" s="2"/>
      <c r="B1572" s="2" t="str">
        <f ca="1">IFERROR(__xludf.DUMMYFUNCTION("""COMPUTED_VALUE"""),"")</f>
        <v/>
      </c>
      <c r="C1572" s="2" t="str">
        <f ca="1">IFERROR(__xludf.DUMMYFUNCTION("""COMPUTED_VALUE"""),"")</f>
        <v/>
      </c>
      <c r="D1572" s="2" t="str">
        <f ca="1">IFERROR(__xludf.DUMMYFUNCTION("""COMPUTED_VALUE"""),"")</f>
        <v/>
      </c>
      <c r="E1572" s="2" t="str">
        <f ca="1">IFERROR(__xludf.DUMMYFUNCTION("""COMPUTED_VALUE"""),"")</f>
        <v/>
      </c>
    </row>
    <row r="1573" spans="1:5" ht="12.75">
      <c r="A1573" s="2"/>
      <c r="B1573" s="2" t="str">
        <f ca="1">IFERROR(__xludf.DUMMYFUNCTION("""COMPUTED_VALUE"""),"")</f>
        <v/>
      </c>
      <c r="C1573" s="2" t="str">
        <f ca="1">IFERROR(__xludf.DUMMYFUNCTION("""COMPUTED_VALUE"""),"")</f>
        <v/>
      </c>
      <c r="D1573" s="2" t="str">
        <f ca="1">IFERROR(__xludf.DUMMYFUNCTION("""COMPUTED_VALUE"""),"")</f>
        <v/>
      </c>
      <c r="E1573" s="2" t="str">
        <f ca="1">IFERROR(__xludf.DUMMYFUNCTION("""COMPUTED_VALUE"""),"")</f>
        <v/>
      </c>
    </row>
    <row r="1574" spans="1:5" ht="12.75">
      <c r="A1574" s="2"/>
      <c r="B1574" s="2" t="str">
        <f ca="1">IFERROR(__xludf.DUMMYFUNCTION("""COMPUTED_VALUE"""),"")</f>
        <v/>
      </c>
      <c r="C1574" s="2" t="str">
        <f ca="1">IFERROR(__xludf.DUMMYFUNCTION("""COMPUTED_VALUE"""),"")</f>
        <v/>
      </c>
      <c r="D1574" s="2" t="str">
        <f ca="1">IFERROR(__xludf.DUMMYFUNCTION("""COMPUTED_VALUE"""),"")</f>
        <v/>
      </c>
      <c r="E1574" s="2" t="str">
        <f ca="1">IFERROR(__xludf.DUMMYFUNCTION("""COMPUTED_VALUE"""),"")</f>
        <v/>
      </c>
    </row>
    <row r="1575" spans="1:5" ht="12.75">
      <c r="A1575" s="2"/>
      <c r="B1575" s="2" t="str">
        <f ca="1">IFERROR(__xludf.DUMMYFUNCTION("""COMPUTED_VALUE"""),"")</f>
        <v/>
      </c>
      <c r="C1575" s="2" t="str">
        <f ca="1">IFERROR(__xludf.DUMMYFUNCTION("""COMPUTED_VALUE"""),"")</f>
        <v/>
      </c>
      <c r="D1575" s="2" t="str">
        <f ca="1">IFERROR(__xludf.DUMMYFUNCTION("""COMPUTED_VALUE"""),"")</f>
        <v/>
      </c>
      <c r="E1575" s="2" t="str">
        <f ca="1">IFERROR(__xludf.DUMMYFUNCTION("""COMPUTED_VALUE"""),"")</f>
        <v/>
      </c>
    </row>
    <row r="1576" spans="1:5" ht="12.75">
      <c r="A1576" s="2"/>
      <c r="B1576" s="2" t="str">
        <f ca="1">IFERROR(__xludf.DUMMYFUNCTION("""COMPUTED_VALUE"""),"")</f>
        <v/>
      </c>
      <c r="C1576" s="2" t="str">
        <f ca="1">IFERROR(__xludf.DUMMYFUNCTION("""COMPUTED_VALUE"""),"")</f>
        <v/>
      </c>
      <c r="D1576" s="2" t="str">
        <f ca="1">IFERROR(__xludf.DUMMYFUNCTION("""COMPUTED_VALUE"""),"")</f>
        <v/>
      </c>
      <c r="E1576" s="2" t="str">
        <f ca="1">IFERROR(__xludf.DUMMYFUNCTION("""COMPUTED_VALUE"""),"")</f>
        <v/>
      </c>
    </row>
    <row r="1577" spans="1:5" ht="12.75">
      <c r="A1577" s="2"/>
      <c r="B1577" s="2" t="str">
        <f ca="1">IFERROR(__xludf.DUMMYFUNCTION("""COMPUTED_VALUE"""),"")</f>
        <v/>
      </c>
      <c r="C1577" s="2" t="str">
        <f ca="1">IFERROR(__xludf.DUMMYFUNCTION("""COMPUTED_VALUE"""),"")</f>
        <v/>
      </c>
      <c r="D1577" s="2" t="str">
        <f ca="1">IFERROR(__xludf.DUMMYFUNCTION("""COMPUTED_VALUE"""),"")</f>
        <v/>
      </c>
      <c r="E1577" s="2" t="str">
        <f ca="1">IFERROR(__xludf.DUMMYFUNCTION("""COMPUTED_VALUE"""),"")</f>
        <v/>
      </c>
    </row>
    <row r="1578" spans="1:5" ht="12.75">
      <c r="A1578" s="2"/>
      <c r="B1578" s="2" t="str">
        <f ca="1">IFERROR(__xludf.DUMMYFUNCTION("""COMPUTED_VALUE"""),"")</f>
        <v/>
      </c>
      <c r="C1578" s="2" t="str">
        <f ca="1">IFERROR(__xludf.DUMMYFUNCTION("""COMPUTED_VALUE"""),"")</f>
        <v/>
      </c>
      <c r="D1578" s="2" t="str">
        <f ca="1">IFERROR(__xludf.DUMMYFUNCTION("""COMPUTED_VALUE"""),"")</f>
        <v/>
      </c>
      <c r="E1578" s="2" t="str">
        <f ca="1">IFERROR(__xludf.DUMMYFUNCTION("""COMPUTED_VALUE"""),"")</f>
        <v/>
      </c>
    </row>
    <row r="1579" spans="1:5" ht="12.75">
      <c r="A1579" s="2"/>
      <c r="B1579" s="2" t="str">
        <f ca="1">IFERROR(__xludf.DUMMYFUNCTION("""COMPUTED_VALUE"""),"")</f>
        <v/>
      </c>
      <c r="C1579" s="2" t="str">
        <f ca="1">IFERROR(__xludf.DUMMYFUNCTION("""COMPUTED_VALUE"""),"")</f>
        <v/>
      </c>
      <c r="D1579" s="2" t="str">
        <f ca="1">IFERROR(__xludf.DUMMYFUNCTION("""COMPUTED_VALUE"""),"")</f>
        <v/>
      </c>
      <c r="E1579" s="2" t="str">
        <f ca="1">IFERROR(__xludf.DUMMYFUNCTION("""COMPUTED_VALUE"""),"")</f>
        <v/>
      </c>
    </row>
    <row r="1580" spans="1:5" ht="12.75">
      <c r="A1580" s="2"/>
      <c r="B1580" s="2" t="str">
        <f ca="1">IFERROR(__xludf.DUMMYFUNCTION("""COMPUTED_VALUE"""),"")</f>
        <v/>
      </c>
      <c r="C1580" s="2" t="str">
        <f ca="1">IFERROR(__xludf.DUMMYFUNCTION("""COMPUTED_VALUE"""),"")</f>
        <v/>
      </c>
      <c r="D1580" s="2" t="str">
        <f ca="1">IFERROR(__xludf.DUMMYFUNCTION("""COMPUTED_VALUE"""),"")</f>
        <v/>
      </c>
      <c r="E1580" s="2" t="str">
        <f ca="1">IFERROR(__xludf.DUMMYFUNCTION("""COMPUTED_VALUE"""),"")</f>
        <v/>
      </c>
    </row>
    <row r="1581" spans="1:5" ht="12.75">
      <c r="A1581" s="2"/>
      <c r="B1581" s="2" t="str">
        <f ca="1">IFERROR(__xludf.DUMMYFUNCTION("""COMPUTED_VALUE"""),"")</f>
        <v/>
      </c>
      <c r="C1581" s="2" t="str">
        <f ca="1">IFERROR(__xludf.DUMMYFUNCTION("""COMPUTED_VALUE"""),"")</f>
        <v/>
      </c>
      <c r="D1581" s="2" t="str">
        <f ca="1">IFERROR(__xludf.DUMMYFUNCTION("""COMPUTED_VALUE"""),"")</f>
        <v/>
      </c>
      <c r="E1581" s="2" t="str">
        <f ca="1">IFERROR(__xludf.DUMMYFUNCTION("""COMPUTED_VALUE"""),"")</f>
        <v/>
      </c>
    </row>
    <row r="1582" spans="1:5" ht="12.75">
      <c r="A1582" s="2"/>
      <c r="B1582" s="2" t="str">
        <f ca="1">IFERROR(__xludf.DUMMYFUNCTION("""COMPUTED_VALUE"""),"")</f>
        <v/>
      </c>
      <c r="C1582" s="2" t="str">
        <f ca="1">IFERROR(__xludf.DUMMYFUNCTION("""COMPUTED_VALUE"""),"")</f>
        <v/>
      </c>
      <c r="D1582" s="2" t="str">
        <f ca="1">IFERROR(__xludf.DUMMYFUNCTION("""COMPUTED_VALUE"""),"")</f>
        <v/>
      </c>
      <c r="E1582" s="2" t="str">
        <f ca="1">IFERROR(__xludf.DUMMYFUNCTION("""COMPUTED_VALUE"""),"")</f>
        <v/>
      </c>
    </row>
    <row r="1583" spans="1:5" ht="12.75">
      <c r="A1583" s="2"/>
      <c r="B1583" s="2" t="str">
        <f ca="1">IFERROR(__xludf.DUMMYFUNCTION("""COMPUTED_VALUE"""),"")</f>
        <v/>
      </c>
      <c r="C1583" s="2" t="str">
        <f ca="1">IFERROR(__xludf.DUMMYFUNCTION("""COMPUTED_VALUE"""),"")</f>
        <v/>
      </c>
      <c r="D1583" s="2" t="str">
        <f ca="1">IFERROR(__xludf.DUMMYFUNCTION("""COMPUTED_VALUE"""),"")</f>
        <v/>
      </c>
      <c r="E1583" s="2" t="str">
        <f ca="1">IFERROR(__xludf.DUMMYFUNCTION("""COMPUTED_VALUE"""),"")</f>
        <v/>
      </c>
    </row>
    <row r="1584" spans="1:5" ht="12.75">
      <c r="A1584" s="2"/>
      <c r="B1584" s="2" t="str">
        <f ca="1">IFERROR(__xludf.DUMMYFUNCTION("""COMPUTED_VALUE"""),"")</f>
        <v/>
      </c>
      <c r="C1584" s="2" t="str">
        <f ca="1">IFERROR(__xludf.DUMMYFUNCTION("""COMPUTED_VALUE"""),"")</f>
        <v/>
      </c>
      <c r="D1584" s="2" t="str">
        <f ca="1">IFERROR(__xludf.DUMMYFUNCTION("""COMPUTED_VALUE"""),"")</f>
        <v/>
      </c>
      <c r="E1584" s="2" t="str">
        <f ca="1">IFERROR(__xludf.DUMMYFUNCTION("""COMPUTED_VALUE"""),"")</f>
        <v/>
      </c>
    </row>
    <row r="1585" spans="1:5" ht="12.75">
      <c r="A1585" s="2"/>
      <c r="B1585" s="2" t="str">
        <f ca="1">IFERROR(__xludf.DUMMYFUNCTION("""COMPUTED_VALUE"""),"")</f>
        <v/>
      </c>
      <c r="C1585" s="2" t="str">
        <f ca="1">IFERROR(__xludf.DUMMYFUNCTION("""COMPUTED_VALUE"""),"")</f>
        <v/>
      </c>
      <c r="D1585" s="2" t="str">
        <f ca="1">IFERROR(__xludf.DUMMYFUNCTION("""COMPUTED_VALUE"""),"")</f>
        <v/>
      </c>
      <c r="E1585" s="2" t="str">
        <f ca="1">IFERROR(__xludf.DUMMYFUNCTION("""COMPUTED_VALUE"""),"")</f>
        <v/>
      </c>
    </row>
    <row r="1586" spans="1:5" ht="12.75">
      <c r="A1586" s="2"/>
      <c r="B1586" s="2" t="str">
        <f ca="1">IFERROR(__xludf.DUMMYFUNCTION("""COMPUTED_VALUE"""),"")</f>
        <v/>
      </c>
      <c r="C1586" s="2" t="str">
        <f ca="1">IFERROR(__xludf.DUMMYFUNCTION("""COMPUTED_VALUE"""),"")</f>
        <v/>
      </c>
      <c r="D1586" s="2" t="str">
        <f ca="1">IFERROR(__xludf.DUMMYFUNCTION("""COMPUTED_VALUE"""),"")</f>
        <v/>
      </c>
      <c r="E1586" s="2" t="str">
        <f ca="1">IFERROR(__xludf.DUMMYFUNCTION("""COMPUTED_VALUE"""),"")</f>
        <v/>
      </c>
    </row>
    <row r="1587" spans="1:5" ht="12.75">
      <c r="A1587" s="2"/>
      <c r="B1587" s="2" t="str">
        <f ca="1">IFERROR(__xludf.DUMMYFUNCTION("""COMPUTED_VALUE"""),"")</f>
        <v/>
      </c>
      <c r="C1587" s="2" t="str">
        <f ca="1">IFERROR(__xludf.DUMMYFUNCTION("""COMPUTED_VALUE"""),"")</f>
        <v/>
      </c>
      <c r="D1587" s="2" t="str">
        <f ca="1">IFERROR(__xludf.DUMMYFUNCTION("""COMPUTED_VALUE"""),"")</f>
        <v/>
      </c>
      <c r="E1587" s="2" t="str">
        <f ca="1">IFERROR(__xludf.DUMMYFUNCTION("""COMPUTED_VALUE"""),"")</f>
        <v/>
      </c>
    </row>
    <row r="1588" spans="1:5" ht="12.75">
      <c r="A1588" s="2"/>
      <c r="B1588" s="2" t="str">
        <f ca="1">IFERROR(__xludf.DUMMYFUNCTION("""COMPUTED_VALUE"""),"")</f>
        <v/>
      </c>
      <c r="C1588" s="2" t="str">
        <f ca="1">IFERROR(__xludf.DUMMYFUNCTION("""COMPUTED_VALUE"""),"")</f>
        <v/>
      </c>
      <c r="D1588" s="2" t="str">
        <f ca="1">IFERROR(__xludf.DUMMYFUNCTION("""COMPUTED_VALUE"""),"")</f>
        <v/>
      </c>
      <c r="E1588" s="2" t="str">
        <f ca="1">IFERROR(__xludf.DUMMYFUNCTION("""COMPUTED_VALUE"""),"")</f>
        <v/>
      </c>
    </row>
    <row r="1589" spans="1:5" ht="12.75">
      <c r="A1589" s="2"/>
      <c r="B1589" s="2" t="str">
        <f ca="1">IFERROR(__xludf.DUMMYFUNCTION("""COMPUTED_VALUE"""),"")</f>
        <v/>
      </c>
      <c r="C1589" s="2" t="str">
        <f ca="1">IFERROR(__xludf.DUMMYFUNCTION("""COMPUTED_VALUE"""),"")</f>
        <v/>
      </c>
      <c r="D1589" s="2" t="str">
        <f ca="1">IFERROR(__xludf.DUMMYFUNCTION("""COMPUTED_VALUE"""),"")</f>
        <v/>
      </c>
      <c r="E1589" s="2" t="str">
        <f ca="1">IFERROR(__xludf.DUMMYFUNCTION("""COMPUTED_VALUE"""),"")</f>
        <v/>
      </c>
    </row>
    <row r="1590" spans="1:5" ht="12.75">
      <c r="A1590" s="2"/>
      <c r="B1590" s="2" t="str">
        <f ca="1">IFERROR(__xludf.DUMMYFUNCTION("""COMPUTED_VALUE"""),"")</f>
        <v/>
      </c>
      <c r="C1590" s="2" t="str">
        <f ca="1">IFERROR(__xludf.DUMMYFUNCTION("""COMPUTED_VALUE"""),"")</f>
        <v/>
      </c>
      <c r="D1590" s="2" t="str">
        <f ca="1">IFERROR(__xludf.DUMMYFUNCTION("""COMPUTED_VALUE"""),"")</f>
        <v/>
      </c>
      <c r="E1590" s="2" t="str">
        <f ca="1">IFERROR(__xludf.DUMMYFUNCTION("""COMPUTED_VALUE"""),"")</f>
        <v/>
      </c>
    </row>
    <row r="1591" spans="1:5" ht="12.75">
      <c r="A1591" s="2"/>
      <c r="B1591" s="2" t="str">
        <f ca="1">IFERROR(__xludf.DUMMYFUNCTION("""COMPUTED_VALUE"""),"")</f>
        <v/>
      </c>
      <c r="C1591" s="2" t="str">
        <f ca="1">IFERROR(__xludf.DUMMYFUNCTION("""COMPUTED_VALUE"""),"")</f>
        <v/>
      </c>
      <c r="D1591" s="2" t="str">
        <f ca="1">IFERROR(__xludf.DUMMYFUNCTION("""COMPUTED_VALUE"""),"")</f>
        <v/>
      </c>
      <c r="E1591" s="2" t="str">
        <f ca="1">IFERROR(__xludf.DUMMYFUNCTION("""COMPUTED_VALUE"""),"")</f>
        <v/>
      </c>
    </row>
    <row r="1592" spans="1:5" ht="12.75">
      <c r="A1592" s="2"/>
      <c r="B1592" s="2" t="str">
        <f ca="1">IFERROR(__xludf.DUMMYFUNCTION("""COMPUTED_VALUE"""),"")</f>
        <v/>
      </c>
      <c r="C1592" s="2" t="str">
        <f ca="1">IFERROR(__xludf.DUMMYFUNCTION("""COMPUTED_VALUE"""),"")</f>
        <v/>
      </c>
      <c r="D1592" s="2" t="str">
        <f ca="1">IFERROR(__xludf.DUMMYFUNCTION("""COMPUTED_VALUE"""),"")</f>
        <v/>
      </c>
      <c r="E1592" s="2" t="str">
        <f ca="1">IFERROR(__xludf.DUMMYFUNCTION("""COMPUTED_VALUE"""),"")</f>
        <v/>
      </c>
    </row>
    <row r="1593" spans="1:5" ht="12.75">
      <c r="A1593" s="2"/>
      <c r="B1593" s="2" t="str">
        <f ca="1">IFERROR(__xludf.DUMMYFUNCTION("""COMPUTED_VALUE"""),"")</f>
        <v/>
      </c>
      <c r="C1593" s="2" t="str">
        <f ca="1">IFERROR(__xludf.DUMMYFUNCTION("""COMPUTED_VALUE"""),"")</f>
        <v/>
      </c>
      <c r="D1593" s="2" t="str">
        <f ca="1">IFERROR(__xludf.DUMMYFUNCTION("""COMPUTED_VALUE"""),"")</f>
        <v/>
      </c>
      <c r="E1593" s="2" t="str">
        <f ca="1">IFERROR(__xludf.DUMMYFUNCTION("""COMPUTED_VALUE"""),"")</f>
        <v/>
      </c>
    </row>
    <row r="1594" spans="1:5" ht="12.75">
      <c r="A1594" s="2"/>
      <c r="B1594" s="2" t="str">
        <f ca="1">IFERROR(__xludf.DUMMYFUNCTION("""COMPUTED_VALUE"""),"")</f>
        <v/>
      </c>
      <c r="C1594" s="2" t="str">
        <f ca="1">IFERROR(__xludf.DUMMYFUNCTION("""COMPUTED_VALUE"""),"")</f>
        <v/>
      </c>
      <c r="D1594" s="2" t="str">
        <f ca="1">IFERROR(__xludf.DUMMYFUNCTION("""COMPUTED_VALUE"""),"")</f>
        <v/>
      </c>
      <c r="E1594" s="2" t="str">
        <f ca="1">IFERROR(__xludf.DUMMYFUNCTION("""COMPUTED_VALUE"""),"")</f>
        <v/>
      </c>
    </row>
    <row r="1595" spans="1:5" ht="12.75">
      <c r="A1595" s="2"/>
      <c r="B1595" s="2" t="str">
        <f ca="1">IFERROR(__xludf.DUMMYFUNCTION("""COMPUTED_VALUE"""),"")</f>
        <v/>
      </c>
      <c r="C1595" s="2" t="str">
        <f ca="1">IFERROR(__xludf.DUMMYFUNCTION("""COMPUTED_VALUE"""),"")</f>
        <v/>
      </c>
      <c r="D1595" s="2" t="str">
        <f ca="1">IFERROR(__xludf.DUMMYFUNCTION("""COMPUTED_VALUE"""),"")</f>
        <v/>
      </c>
      <c r="E1595" s="2" t="str">
        <f ca="1">IFERROR(__xludf.DUMMYFUNCTION("""COMPUTED_VALUE"""),"")</f>
        <v/>
      </c>
    </row>
    <row r="1596" spans="1:5" ht="12.75">
      <c r="A1596" s="2"/>
      <c r="B1596" s="2" t="str">
        <f ca="1">IFERROR(__xludf.DUMMYFUNCTION("""COMPUTED_VALUE"""),"")</f>
        <v/>
      </c>
      <c r="C1596" s="2" t="str">
        <f ca="1">IFERROR(__xludf.DUMMYFUNCTION("""COMPUTED_VALUE"""),"")</f>
        <v/>
      </c>
      <c r="D1596" s="2" t="str">
        <f ca="1">IFERROR(__xludf.DUMMYFUNCTION("""COMPUTED_VALUE"""),"")</f>
        <v/>
      </c>
      <c r="E1596" s="2" t="str">
        <f ca="1">IFERROR(__xludf.DUMMYFUNCTION("""COMPUTED_VALUE"""),"")</f>
        <v/>
      </c>
    </row>
    <row r="1597" spans="1:5" ht="12.75">
      <c r="A1597" s="2"/>
      <c r="B1597" s="2" t="str">
        <f ca="1">IFERROR(__xludf.DUMMYFUNCTION("""COMPUTED_VALUE"""),"")</f>
        <v/>
      </c>
      <c r="C1597" s="2" t="str">
        <f ca="1">IFERROR(__xludf.DUMMYFUNCTION("""COMPUTED_VALUE"""),"")</f>
        <v/>
      </c>
      <c r="D1597" s="2" t="str">
        <f ca="1">IFERROR(__xludf.DUMMYFUNCTION("""COMPUTED_VALUE"""),"")</f>
        <v/>
      </c>
      <c r="E1597" s="2" t="str">
        <f ca="1">IFERROR(__xludf.DUMMYFUNCTION("""COMPUTED_VALUE"""),"")</f>
        <v/>
      </c>
    </row>
    <row r="1598" spans="1:5" ht="12.75">
      <c r="A1598" s="2"/>
      <c r="B1598" s="2" t="str">
        <f ca="1">IFERROR(__xludf.DUMMYFUNCTION("""COMPUTED_VALUE"""),"")</f>
        <v/>
      </c>
      <c r="C1598" s="2" t="str">
        <f ca="1">IFERROR(__xludf.DUMMYFUNCTION("""COMPUTED_VALUE"""),"")</f>
        <v/>
      </c>
      <c r="D1598" s="2" t="str">
        <f ca="1">IFERROR(__xludf.DUMMYFUNCTION("""COMPUTED_VALUE"""),"")</f>
        <v/>
      </c>
      <c r="E1598" s="2" t="str">
        <f ca="1">IFERROR(__xludf.DUMMYFUNCTION("""COMPUTED_VALUE"""),"")</f>
        <v/>
      </c>
    </row>
    <row r="1599" spans="1:5" ht="12.75">
      <c r="A1599" s="2"/>
      <c r="B1599" s="2" t="str">
        <f ca="1">IFERROR(__xludf.DUMMYFUNCTION("""COMPUTED_VALUE"""),"")</f>
        <v/>
      </c>
      <c r="C1599" s="2" t="str">
        <f ca="1">IFERROR(__xludf.DUMMYFUNCTION("""COMPUTED_VALUE"""),"")</f>
        <v/>
      </c>
      <c r="D1599" s="2" t="str">
        <f ca="1">IFERROR(__xludf.DUMMYFUNCTION("""COMPUTED_VALUE"""),"")</f>
        <v/>
      </c>
      <c r="E1599" s="2" t="str">
        <f ca="1">IFERROR(__xludf.DUMMYFUNCTION("""COMPUTED_VALUE"""),"")</f>
        <v/>
      </c>
    </row>
    <row r="1600" spans="1:5" ht="12.75">
      <c r="A1600" s="2"/>
      <c r="B1600" s="2" t="str">
        <f ca="1">IFERROR(__xludf.DUMMYFUNCTION("""COMPUTED_VALUE"""),"")</f>
        <v/>
      </c>
      <c r="C1600" s="2" t="str">
        <f ca="1">IFERROR(__xludf.DUMMYFUNCTION("""COMPUTED_VALUE"""),"")</f>
        <v/>
      </c>
      <c r="D1600" s="2" t="str">
        <f ca="1">IFERROR(__xludf.DUMMYFUNCTION("""COMPUTED_VALUE"""),"")</f>
        <v/>
      </c>
      <c r="E1600" s="2" t="str">
        <f ca="1">IFERROR(__xludf.DUMMYFUNCTION("""COMPUTED_VALUE"""),"")</f>
        <v/>
      </c>
    </row>
    <row r="1601" spans="1:5" ht="12.75">
      <c r="A1601" s="2"/>
      <c r="B1601" s="2" t="str">
        <f ca="1">IFERROR(__xludf.DUMMYFUNCTION("""COMPUTED_VALUE"""),"")</f>
        <v/>
      </c>
      <c r="C1601" s="2" t="str">
        <f ca="1">IFERROR(__xludf.DUMMYFUNCTION("""COMPUTED_VALUE"""),"")</f>
        <v/>
      </c>
      <c r="D1601" s="2" t="str">
        <f ca="1">IFERROR(__xludf.DUMMYFUNCTION("""COMPUTED_VALUE"""),"")</f>
        <v/>
      </c>
      <c r="E1601" s="2" t="str">
        <f ca="1">IFERROR(__xludf.DUMMYFUNCTION("""COMPUTED_VALUE"""),"")</f>
        <v/>
      </c>
    </row>
    <row r="1602" spans="1:5" ht="12.75">
      <c r="A1602" s="2"/>
      <c r="B1602" s="2" t="str">
        <f ca="1">IFERROR(__xludf.DUMMYFUNCTION("""COMPUTED_VALUE"""),"")</f>
        <v/>
      </c>
      <c r="C1602" s="2" t="str">
        <f ca="1">IFERROR(__xludf.DUMMYFUNCTION("""COMPUTED_VALUE"""),"")</f>
        <v/>
      </c>
      <c r="D1602" s="2" t="str">
        <f ca="1">IFERROR(__xludf.DUMMYFUNCTION("""COMPUTED_VALUE"""),"")</f>
        <v/>
      </c>
      <c r="E1602" s="2" t="str">
        <f ca="1">IFERROR(__xludf.DUMMYFUNCTION("""COMPUTED_VALUE"""),"")</f>
        <v/>
      </c>
    </row>
    <row r="1603" spans="1:5" ht="12.75">
      <c r="A1603" s="2"/>
      <c r="B1603" s="2" t="str">
        <f ca="1">IFERROR(__xludf.DUMMYFUNCTION("""COMPUTED_VALUE"""),"")</f>
        <v/>
      </c>
      <c r="C1603" s="2" t="str">
        <f ca="1">IFERROR(__xludf.DUMMYFUNCTION("""COMPUTED_VALUE"""),"")</f>
        <v/>
      </c>
      <c r="D1603" s="2" t="str">
        <f ca="1">IFERROR(__xludf.DUMMYFUNCTION("""COMPUTED_VALUE"""),"")</f>
        <v/>
      </c>
      <c r="E1603" s="2" t="str">
        <f ca="1">IFERROR(__xludf.DUMMYFUNCTION("""COMPUTED_VALUE"""),"")</f>
        <v/>
      </c>
    </row>
    <row r="1604" spans="1:5" ht="12.75">
      <c r="A1604" s="2"/>
      <c r="B1604" s="2" t="str">
        <f ca="1">IFERROR(__xludf.DUMMYFUNCTION("""COMPUTED_VALUE"""),"")</f>
        <v/>
      </c>
      <c r="C1604" s="2" t="str">
        <f ca="1">IFERROR(__xludf.DUMMYFUNCTION("""COMPUTED_VALUE"""),"")</f>
        <v/>
      </c>
      <c r="D1604" s="2" t="str">
        <f ca="1">IFERROR(__xludf.DUMMYFUNCTION("""COMPUTED_VALUE"""),"")</f>
        <v/>
      </c>
      <c r="E1604" s="2" t="str">
        <f ca="1">IFERROR(__xludf.DUMMYFUNCTION("""COMPUTED_VALUE"""),"")</f>
        <v/>
      </c>
    </row>
    <row r="1605" spans="1:5" ht="12.75">
      <c r="A1605" s="2"/>
      <c r="B1605" s="2" t="str">
        <f ca="1">IFERROR(__xludf.DUMMYFUNCTION("""COMPUTED_VALUE"""),"")</f>
        <v/>
      </c>
      <c r="C1605" s="2" t="str">
        <f ca="1">IFERROR(__xludf.DUMMYFUNCTION("""COMPUTED_VALUE"""),"")</f>
        <v/>
      </c>
      <c r="D1605" s="2" t="str">
        <f ca="1">IFERROR(__xludf.DUMMYFUNCTION("""COMPUTED_VALUE"""),"")</f>
        <v/>
      </c>
      <c r="E1605" s="2" t="str">
        <f ca="1">IFERROR(__xludf.DUMMYFUNCTION("""COMPUTED_VALUE"""),"")</f>
        <v/>
      </c>
    </row>
    <row r="1606" spans="1:5" ht="12.75">
      <c r="A1606" s="2"/>
      <c r="B1606" s="2" t="str">
        <f ca="1">IFERROR(__xludf.DUMMYFUNCTION("""COMPUTED_VALUE"""),"")</f>
        <v/>
      </c>
      <c r="C1606" s="2" t="str">
        <f ca="1">IFERROR(__xludf.DUMMYFUNCTION("""COMPUTED_VALUE"""),"")</f>
        <v/>
      </c>
      <c r="D1606" s="2" t="str">
        <f ca="1">IFERROR(__xludf.DUMMYFUNCTION("""COMPUTED_VALUE"""),"")</f>
        <v/>
      </c>
      <c r="E1606" s="2" t="str">
        <f ca="1">IFERROR(__xludf.DUMMYFUNCTION("""COMPUTED_VALUE"""),"")</f>
        <v/>
      </c>
    </row>
    <row r="1607" spans="1:5" ht="12.75">
      <c r="A1607" s="2"/>
      <c r="B1607" s="2" t="str">
        <f ca="1">IFERROR(__xludf.DUMMYFUNCTION("""COMPUTED_VALUE"""),"")</f>
        <v/>
      </c>
      <c r="C1607" s="2" t="str">
        <f ca="1">IFERROR(__xludf.DUMMYFUNCTION("""COMPUTED_VALUE"""),"")</f>
        <v/>
      </c>
      <c r="D1607" s="2" t="str">
        <f ca="1">IFERROR(__xludf.DUMMYFUNCTION("""COMPUTED_VALUE"""),"")</f>
        <v/>
      </c>
      <c r="E1607" s="2" t="str">
        <f ca="1">IFERROR(__xludf.DUMMYFUNCTION("""COMPUTED_VALUE"""),"")</f>
        <v/>
      </c>
    </row>
    <row r="1608" spans="1:5" ht="12.75">
      <c r="A1608" s="2"/>
      <c r="B1608" s="2" t="str">
        <f ca="1">IFERROR(__xludf.DUMMYFUNCTION("""COMPUTED_VALUE"""),"")</f>
        <v/>
      </c>
      <c r="C1608" s="2" t="str">
        <f ca="1">IFERROR(__xludf.DUMMYFUNCTION("""COMPUTED_VALUE"""),"")</f>
        <v/>
      </c>
      <c r="D1608" s="2" t="str">
        <f ca="1">IFERROR(__xludf.DUMMYFUNCTION("""COMPUTED_VALUE"""),"")</f>
        <v/>
      </c>
      <c r="E1608" s="2" t="str">
        <f ca="1">IFERROR(__xludf.DUMMYFUNCTION("""COMPUTED_VALUE"""),"")</f>
        <v/>
      </c>
    </row>
    <row r="1609" spans="1:5" ht="12.75">
      <c r="A1609" s="2"/>
      <c r="B1609" s="2" t="str">
        <f ca="1">IFERROR(__xludf.DUMMYFUNCTION("""COMPUTED_VALUE"""),"")</f>
        <v/>
      </c>
      <c r="C1609" s="2" t="str">
        <f ca="1">IFERROR(__xludf.DUMMYFUNCTION("""COMPUTED_VALUE"""),"")</f>
        <v/>
      </c>
      <c r="D1609" s="2" t="str">
        <f ca="1">IFERROR(__xludf.DUMMYFUNCTION("""COMPUTED_VALUE"""),"")</f>
        <v/>
      </c>
      <c r="E1609" s="2" t="str">
        <f ca="1">IFERROR(__xludf.DUMMYFUNCTION("""COMPUTED_VALUE"""),"")</f>
        <v/>
      </c>
    </row>
    <row r="1610" spans="1:5" ht="12.75">
      <c r="A1610" s="2"/>
      <c r="B1610" s="2" t="str">
        <f ca="1">IFERROR(__xludf.DUMMYFUNCTION("""COMPUTED_VALUE"""),"")</f>
        <v/>
      </c>
      <c r="C1610" s="2" t="str">
        <f ca="1">IFERROR(__xludf.DUMMYFUNCTION("""COMPUTED_VALUE"""),"")</f>
        <v/>
      </c>
      <c r="D1610" s="2" t="str">
        <f ca="1">IFERROR(__xludf.DUMMYFUNCTION("""COMPUTED_VALUE"""),"")</f>
        <v/>
      </c>
      <c r="E1610" s="2" t="str">
        <f ca="1">IFERROR(__xludf.DUMMYFUNCTION("""COMPUTED_VALUE"""),"")</f>
        <v/>
      </c>
    </row>
    <row r="1611" spans="1:5" ht="12.75">
      <c r="A1611" s="2"/>
      <c r="B1611" s="2" t="str">
        <f ca="1">IFERROR(__xludf.DUMMYFUNCTION("""COMPUTED_VALUE"""),"")</f>
        <v/>
      </c>
      <c r="C1611" s="2" t="str">
        <f ca="1">IFERROR(__xludf.DUMMYFUNCTION("""COMPUTED_VALUE"""),"")</f>
        <v/>
      </c>
      <c r="D1611" s="2" t="str">
        <f ca="1">IFERROR(__xludf.DUMMYFUNCTION("""COMPUTED_VALUE"""),"")</f>
        <v/>
      </c>
      <c r="E1611" s="2" t="str">
        <f ca="1">IFERROR(__xludf.DUMMYFUNCTION("""COMPUTED_VALUE"""),"")</f>
        <v/>
      </c>
    </row>
    <row r="1612" spans="1:5" ht="12.75">
      <c r="A1612" s="2"/>
      <c r="B1612" s="2" t="str">
        <f ca="1">IFERROR(__xludf.DUMMYFUNCTION("""COMPUTED_VALUE"""),"")</f>
        <v/>
      </c>
      <c r="C1612" s="2" t="str">
        <f ca="1">IFERROR(__xludf.DUMMYFUNCTION("""COMPUTED_VALUE"""),"")</f>
        <v/>
      </c>
      <c r="D1612" s="2" t="str">
        <f ca="1">IFERROR(__xludf.DUMMYFUNCTION("""COMPUTED_VALUE"""),"")</f>
        <v/>
      </c>
      <c r="E1612" s="2" t="str">
        <f ca="1">IFERROR(__xludf.DUMMYFUNCTION("""COMPUTED_VALUE"""),"")</f>
        <v/>
      </c>
    </row>
    <row r="1613" spans="1:5" ht="12.75">
      <c r="A1613" s="2"/>
      <c r="B1613" s="2" t="str">
        <f ca="1">IFERROR(__xludf.DUMMYFUNCTION("""COMPUTED_VALUE"""),"")</f>
        <v/>
      </c>
      <c r="C1613" s="2" t="str">
        <f ca="1">IFERROR(__xludf.DUMMYFUNCTION("""COMPUTED_VALUE"""),"")</f>
        <v/>
      </c>
      <c r="D1613" s="2" t="str">
        <f ca="1">IFERROR(__xludf.DUMMYFUNCTION("""COMPUTED_VALUE"""),"")</f>
        <v/>
      </c>
      <c r="E1613" s="2" t="str">
        <f ca="1">IFERROR(__xludf.DUMMYFUNCTION("""COMPUTED_VALUE"""),"")</f>
        <v/>
      </c>
    </row>
    <row r="1614" spans="1:5" ht="12.75">
      <c r="A1614" s="2"/>
      <c r="B1614" s="2" t="str">
        <f ca="1">IFERROR(__xludf.DUMMYFUNCTION("""COMPUTED_VALUE"""),"")</f>
        <v/>
      </c>
      <c r="C1614" s="2" t="str">
        <f ca="1">IFERROR(__xludf.DUMMYFUNCTION("""COMPUTED_VALUE"""),"")</f>
        <v/>
      </c>
      <c r="D1614" s="2" t="str">
        <f ca="1">IFERROR(__xludf.DUMMYFUNCTION("""COMPUTED_VALUE"""),"")</f>
        <v/>
      </c>
      <c r="E1614" s="2" t="str">
        <f ca="1">IFERROR(__xludf.DUMMYFUNCTION("""COMPUTED_VALUE"""),"")</f>
        <v/>
      </c>
    </row>
    <row r="1615" spans="1:5" ht="12.75">
      <c r="A1615" s="2"/>
      <c r="B1615" s="2" t="str">
        <f ca="1">IFERROR(__xludf.DUMMYFUNCTION("""COMPUTED_VALUE"""),"")</f>
        <v/>
      </c>
      <c r="C1615" s="2" t="str">
        <f ca="1">IFERROR(__xludf.DUMMYFUNCTION("""COMPUTED_VALUE"""),"")</f>
        <v/>
      </c>
      <c r="D1615" s="2" t="str">
        <f ca="1">IFERROR(__xludf.DUMMYFUNCTION("""COMPUTED_VALUE"""),"")</f>
        <v/>
      </c>
      <c r="E1615" s="2" t="str">
        <f ca="1">IFERROR(__xludf.DUMMYFUNCTION("""COMPUTED_VALUE"""),"")</f>
        <v/>
      </c>
    </row>
    <row r="1616" spans="1:5" ht="12.75">
      <c r="A1616" s="2"/>
      <c r="B1616" s="2" t="str">
        <f ca="1">IFERROR(__xludf.DUMMYFUNCTION("""COMPUTED_VALUE"""),"")</f>
        <v/>
      </c>
      <c r="C1616" s="2" t="str">
        <f ca="1">IFERROR(__xludf.DUMMYFUNCTION("""COMPUTED_VALUE"""),"")</f>
        <v/>
      </c>
      <c r="D1616" s="2" t="str">
        <f ca="1">IFERROR(__xludf.DUMMYFUNCTION("""COMPUTED_VALUE"""),"")</f>
        <v/>
      </c>
      <c r="E1616" s="2" t="str">
        <f ca="1">IFERROR(__xludf.DUMMYFUNCTION("""COMPUTED_VALUE"""),"")</f>
        <v/>
      </c>
    </row>
    <row r="1617" spans="1:5" ht="12.75">
      <c r="A1617" s="2"/>
      <c r="B1617" s="2" t="str">
        <f ca="1">IFERROR(__xludf.DUMMYFUNCTION("""COMPUTED_VALUE"""),"")</f>
        <v/>
      </c>
      <c r="C1617" s="2" t="str">
        <f ca="1">IFERROR(__xludf.DUMMYFUNCTION("""COMPUTED_VALUE"""),"")</f>
        <v/>
      </c>
      <c r="D1617" s="2" t="str">
        <f ca="1">IFERROR(__xludf.DUMMYFUNCTION("""COMPUTED_VALUE"""),"")</f>
        <v/>
      </c>
      <c r="E1617" s="2" t="str">
        <f ca="1">IFERROR(__xludf.DUMMYFUNCTION("""COMPUTED_VALUE"""),"")</f>
        <v/>
      </c>
    </row>
    <row r="1618" spans="1:5" ht="12.75">
      <c r="A1618" s="2"/>
      <c r="B1618" s="2" t="str">
        <f ca="1">IFERROR(__xludf.DUMMYFUNCTION("""COMPUTED_VALUE"""),"")</f>
        <v/>
      </c>
      <c r="C1618" s="2" t="str">
        <f ca="1">IFERROR(__xludf.DUMMYFUNCTION("""COMPUTED_VALUE"""),"")</f>
        <v/>
      </c>
      <c r="D1618" s="2" t="str">
        <f ca="1">IFERROR(__xludf.DUMMYFUNCTION("""COMPUTED_VALUE"""),"")</f>
        <v/>
      </c>
      <c r="E1618" s="2" t="str">
        <f ca="1">IFERROR(__xludf.DUMMYFUNCTION("""COMPUTED_VALUE"""),"")</f>
        <v/>
      </c>
    </row>
    <row r="1619" spans="1:5" ht="12.75">
      <c r="A1619" s="2"/>
      <c r="B1619" s="2" t="str">
        <f ca="1">IFERROR(__xludf.DUMMYFUNCTION("""COMPUTED_VALUE"""),"")</f>
        <v/>
      </c>
      <c r="C1619" s="2" t="str">
        <f ca="1">IFERROR(__xludf.DUMMYFUNCTION("""COMPUTED_VALUE"""),"")</f>
        <v/>
      </c>
      <c r="D1619" s="2" t="str">
        <f ca="1">IFERROR(__xludf.DUMMYFUNCTION("""COMPUTED_VALUE"""),"")</f>
        <v/>
      </c>
      <c r="E1619" s="2" t="str">
        <f ca="1">IFERROR(__xludf.DUMMYFUNCTION("""COMPUTED_VALUE"""),"")</f>
        <v/>
      </c>
    </row>
    <row r="1620" spans="1:5" ht="12.75">
      <c r="A1620" s="2"/>
      <c r="B1620" s="2" t="str">
        <f ca="1">IFERROR(__xludf.DUMMYFUNCTION("""COMPUTED_VALUE"""),"")</f>
        <v/>
      </c>
      <c r="C1620" s="2" t="str">
        <f ca="1">IFERROR(__xludf.DUMMYFUNCTION("""COMPUTED_VALUE"""),"")</f>
        <v/>
      </c>
      <c r="D1620" s="2" t="str">
        <f ca="1">IFERROR(__xludf.DUMMYFUNCTION("""COMPUTED_VALUE"""),"")</f>
        <v/>
      </c>
      <c r="E1620" s="2" t="str">
        <f ca="1">IFERROR(__xludf.DUMMYFUNCTION("""COMPUTED_VALUE"""),"")</f>
        <v/>
      </c>
    </row>
    <row r="1621" spans="1:5" ht="12.75">
      <c r="A1621" s="2"/>
      <c r="B1621" s="2" t="str">
        <f ca="1">IFERROR(__xludf.DUMMYFUNCTION("""COMPUTED_VALUE"""),"")</f>
        <v/>
      </c>
      <c r="C1621" s="2" t="str">
        <f ca="1">IFERROR(__xludf.DUMMYFUNCTION("""COMPUTED_VALUE"""),"")</f>
        <v/>
      </c>
      <c r="D1621" s="2" t="str">
        <f ca="1">IFERROR(__xludf.DUMMYFUNCTION("""COMPUTED_VALUE"""),"")</f>
        <v/>
      </c>
      <c r="E1621" s="2" t="str">
        <f ca="1">IFERROR(__xludf.DUMMYFUNCTION("""COMPUTED_VALUE"""),"")</f>
        <v/>
      </c>
    </row>
    <row r="1622" spans="1:5" ht="12.75">
      <c r="A1622" s="2"/>
      <c r="B1622" s="2" t="str">
        <f ca="1">IFERROR(__xludf.DUMMYFUNCTION("""COMPUTED_VALUE"""),"")</f>
        <v/>
      </c>
      <c r="C1622" s="2" t="str">
        <f ca="1">IFERROR(__xludf.DUMMYFUNCTION("""COMPUTED_VALUE"""),"")</f>
        <v/>
      </c>
      <c r="D1622" s="2" t="str">
        <f ca="1">IFERROR(__xludf.DUMMYFUNCTION("""COMPUTED_VALUE"""),"")</f>
        <v/>
      </c>
      <c r="E1622" s="2" t="str">
        <f ca="1">IFERROR(__xludf.DUMMYFUNCTION("""COMPUTED_VALUE"""),"")</f>
        <v/>
      </c>
    </row>
    <row r="1623" spans="1:5" ht="12.75">
      <c r="A1623" s="2"/>
      <c r="B1623" s="2" t="str">
        <f ca="1">IFERROR(__xludf.DUMMYFUNCTION("""COMPUTED_VALUE"""),"")</f>
        <v/>
      </c>
      <c r="C1623" s="2" t="str">
        <f ca="1">IFERROR(__xludf.DUMMYFUNCTION("""COMPUTED_VALUE"""),"")</f>
        <v/>
      </c>
      <c r="D1623" s="2" t="str">
        <f ca="1">IFERROR(__xludf.DUMMYFUNCTION("""COMPUTED_VALUE"""),"")</f>
        <v/>
      </c>
      <c r="E1623" s="2" t="str">
        <f ca="1">IFERROR(__xludf.DUMMYFUNCTION("""COMPUTED_VALUE"""),"")</f>
        <v/>
      </c>
    </row>
    <row r="1624" spans="1:5" ht="12.75">
      <c r="A1624" s="2"/>
      <c r="B1624" s="2" t="str">
        <f ca="1">IFERROR(__xludf.DUMMYFUNCTION("""COMPUTED_VALUE"""),"")</f>
        <v/>
      </c>
      <c r="C1624" s="2" t="str">
        <f ca="1">IFERROR(__xludf.DUMMYFUNCTION("""COMPUTED_VALUE"""),"")</f>
        <v/>
      </c>
      <c r="D1624" s="2" t="str">
        <f ca="1">IFERROR(__xludf.DUMMYFUNCTION("""COMPUTED_VALUE"""),"")</f>
        <v/>
      </c>
      <c r="E1624" s="2" t="str">
        <f ca="1">IFERROR(__xludf.DUMMYFUNCTION("""COMPUTED_VALUE"""),"")</f>
        <v/>
      </c>
    </row>
    <row r="1625" spans="1:5" ht="12.75">
      <c r="A1625" s="2"/>
      <c r="B1625" s="2" t="str">
        <f ca="1">IFERROR(__xludf.DUMMYFUNCTION("""COMPUTED_VALUE"""),"")</f>
        <v/>
      </c>
      <c r="C1625" s="2" t="str">
        <f ca="1">IFERROR(__xludf.DUMMYFUNCTION("""COMPUTED_VALUE"""),"")</f>
        <v/>
      </c>
      <c r="D1625" s="2" t="str">
        <f ca="1">IFERROR(__xludf.DUMMYFUNCTION("""COMPUTED_VALUE"""),"")</f>
        <v/>
      </c>
      <c r="E1625" s="2" t="str">
        <f ca="1">IFERROR(__xludf.DUMMYFUNCTION("""COMPUTED_VALUE"""),"")</f>
        <v/>
      </c>
    </row>
    <row r="1626" spans="1:5" ht="12.75">
      <c r="A1626" s="2"/>
      <c r="B1626" s="2" t="str">
        <f ca="1">IFERROR(__xludf.DUMMYFUNCTION("""COMPUTED_VALUE"""),"")</f>
        <v/>
      </c>
      <c r="C1626" s="2" t="str">
        <f ca="1">IFERROR(__xludf.DUMMYFUNCTION("""COMPUTED_VALUE"""),"")</f>
        <v/>
      </c>
      <c r="D1626" s="2" t="str">
        <f ca="1">IFERROR(__xludf.DUMMYFUNCTION("""COMPUTED_VALUE"""),"")</f>
        <v/>
      </c>
      <c r="E1626" s="2" t="str">
        <f ca="1">IFERROR(__xludf.DUMMYFUNCTION("""COMPUTED_VALUE"""),"")</f>
        <v/>
      </c>
    </row>
    <row r="1627" spans="1:5" ht="12.75">
      <c r="A1627" s="2"/>
      <c r="B1627" s="2" t="str">
        <f ca="1">IFERROR(__xludf.DUMMYFUNCTION("""COMPUTED_VALUE"""),"")</f>
        <v/>
      </c>
      <c r="C1627" s="2" t="str">
        <f ca="1">IFERROR(__xludf.DUMMYFUNCTION("""COMPUTED_VALUE"""),"")</f>
        <v/>
      </c>
      <c r="D1627" s="2" t="str">
        <f ca="1">IFERROR(__xludf.DUMMYFUNCTION("""COMPUTED_VALUE"""),"")</f>
        <v/>
      </c>
      <c r="E1627" s="2" t="str">
        <f ca="1">IFERROR(__xludf.DUMMYFUNCTION("""COMPUTED_VALUE"""),"")</f>
        <v/>
      </c>
    </row>
    <row r="1628" spans="1:5" ht="12.75">
      <c r="A1628" s="2"/>
      <c r="B1628" s="2" t="str">
        <f ca="1">IFERROR(__xludf.DUMMYFUNCTION("""COMPUTED_VALUE"""),"")</f>
        <v/>
      </c>
      <c r="C1628" s="2" t="str">
        <f ca="1">IFERROR(__xludf.DUMMYFUNCTION("""COMPUTED_VALUE"""),"")</f>
        <v/>
      </c>
      <c r="D1628" s="2" t="str">
        <f ca="1">IFERROR(__xludf.DUMMYFUNCTION("""COMPUTED_VALUE"""),"")</f>
        <v/>
      </c>
      <c r="E1628" s="2" t="str">
        <f ca="1">IFERROR(__xludf.DUMMYFUNCTION("""COMPUTED_VALUE"""),"")</f>
        <v/>
      </c>
    </row>
    <row r="1629" spans="1:5" ht="12.75">
      <c r="A1629" s="2"/>
      <c r="B1629" s="2" t="str">
        <f ca="1">IFERROR(__xludf.DUMMYFUNCTION("""COMPUTED_VALUE"""),"")</f>
        <v/>
      </c>
      <c r="C1629" s="2" t="str">
        <f ca="1">IFERROR(__xludf.DUMMYFUNCTION("""COMPUTED_VALUE"""),"")</f>
        <v/>
      </c>
      <c r="D1629" s="2" t="str">
        <f ca="1">IFERROR(__xludf.DUMMYFUNCTION("""COMPUTED_VALUE"""),"")</f>
        <v/>
      </c>
      <c r="E1629" s="2" t="str">
        <f ca="1">IFERROR(__xludf.DUMMYFUNCTION("""COMPUTED_VALUE"""),"")</f>
        <v/>
      </c>
    </row>
    <row r="1630" spans="1:5" ht="12.75">
      <c r="A1630" s="2"/>
      <c r="B1630" s="2" t="str">
        <f ca="1">IFERROR(__xludf.DUMMYFUNCTION("""COMPUTED_VALUE"""),"")</f>
        <v/>
      </c>
      <c r="C1630" s="2" t="str">
        <f ca="1">IFERROR(__xludf.DUMMYFUNCTION("""COMPUTED_VALUE"""),"")</f>
        <v/>
      </c>
      <c r="D1630" s="2" t="str">
        <f ca="1">IFERROR(__xludf.DUMMYFUNCTION("""COMPUTED_VALUE"""),"")</f>
        <v/>
      </c>
      <c r="E1630" s="2" t="str">
        <f ca="1">IFERROR(__xludf.DUMMYFUNCTION("""COMPUTED_VALUE"""),"")</f>
        <v/>
      </c>
    </row>
    <row r="1631" spans="1:5" ht="12.75">
      <c r="A1631" s="2"/>
      <c r="B1631" s="2" t="str">
        <f ca="1">IFERROR(__xludf.DUMMYFUNCTION("""COMPUTED_VALUE"""),"")</f>
        <v/>
      </c>
      <c r="C1631" s="2" t="str">
        <f ca="1">IFERROR(__xludf.DUMMYFUNCTION("""COMPUTED_VALUE"""),"")</f>
        <v/>
      </c>
      <c r="D1631" s="2" t="str">
        <f ca="1">IFERROR(__xludf.DUMMYFUNCTION("""COMPUTED_VALUE"""),"")</f>
        <v/>
      </c>
      <c r="E1631" s="2" t="str">
        <f ca="1">IFERROR(__xludf.DUMMYFUNCTION("""COMPUTED_VALUE"""),"")</f>
        <v/>
      </c>
    </row>
    <row r="1632" spans="1:5" ht="12.75">
      <c r="A1632" s="2"/>
      <c r="B1632" s="2" t="str">
        <f ca="1">IFERROR(__xludf.DUMMYFUNCTION("""COMPUTED_VALUE"""),"")</f>
        <v/>
      </c>
      <c r="C1632" s="2" t="str">
        <f ca="1">IFERROR(__xludf.DUMMYFUNCTION("""COMPUTED_VALUE"""),"")</f>
        <v/>
      </c>
      <c r="D1632" s="2" t="str">
        <f ca="1">IFERROR(__xludf.DUMMYFUNCTION("""COMPUTED_VALUE"""),"")</f>
        <v/>
      </c>
      <c r="E1632" s="2" t="str">
        <f ca="1">IFERROR(__xludf.DUMMYFUNCTION("""COMPUTED_VALUE"""),"")</f>
        <v/>
      </c>
    </row>
    <row r="1633" spans="1:5" ht="12.75">
      <c r="A1633" s="2"/>
      <c r="B1633" s="2" t="str">
        <f ca="1">IFERROR(__xludf.DUMMYFUNCTION("""COMPUTED_VALUE"""),"")</f>
        <v/>
      </c>
      <c r="C1633" s="2" t="str">
        <f ca="1">IFERROR(__xludf.DUMMYFUNCTION("""COMPUTED_VALUE"""),"")</f>
        <v/>
      </c>
      <c r="D1633" s="2" t="str">
        <f ca="1">IFERROR(__xludf.DUMMYFUNCTION("""COMPUTED_VALUE"""),"")</f>
        <v/>
      </c>
      <c r="E1633" s="2" t="str">
        <f ca="1">IFERROR(__xludf.DUMMYFUNCTION("""COMPUTED_VALUE"""),"")</f>
        <v/>
      </c>
    </row>
    <row r="1634" spans="1:5" ht="12.75">
      <c r="A1634" s="2"/>
      <c r="B1634" s="2" t="str">
        <f ca="1">IFERROR(__xludf.DUMMYFUNCTION("""COMPUTED_VALUE"""),"")</f>
        <v/>
      </c>
      <c r="C1634" s="2" t="str">
        <f ca="1">IFERROR(__xludf.DUMMYFUNCTION("""COMPUTED_VALUE"""),"")</f>
        <v/>
      </c>
      <c r="D1634" s="2" t="str">
        <f ca="1">IFERROR(__xludf.DUMMYFUNCTION("""COMPUTED_VALUE"""),"")</f>
        <v/>
      </c>
      <c r="E1634" s="2" t="str">
        <f ca="1">IFERROR(__xludf.DUMMYFUNCTION("""COMPUTED_VALUE"""),"")</f>
        <v/>
      </c>
    </row>
    <row r="1635" spans="1:5" ht="12.75">
      <c r="A1635" s="2"/>
      <c r="B1635" s="2" t="str">
        <f ca="1">IFERROR(__xludf.DUMMYFUNCTION("""COMPUTED_VALUE"""),"")</f>
        <v/>
      </c>
      <c r="C1635" s="2" t="str">
        <f ca="1">IFERROR(__xludf.DUMMYFUNCTION("""COMPUTED_VALUE"""),"")</f>
        <v/>
      </c>
      <c r="D1635" s="2" t="str">
        <f ca="1">IFERROR(__xludf.DUMMYFUNCTION("""COMPUTED_VALUE"""),"")</f>
        <v/>
      </c>
      <c r="E1635" s="2" t="str">
        <f ca="1">IFERROR(__xludf.DUMMYFUNCTION("""COMPUTED_VALUE"""),"")</f>
        <v/>
      </c>
    </row>
    <row r="1636" spans="1:5" ht="12.75">
      <c r="A1636" s="2"/>
      <c r="B1636" s="2" t="str">
        <f ca="1">IFERROR(__xludf.DUMMYFUNCTION("""COMPUTED_VALUE"""),"")</f>
        <v/>
      </c>
      <c r="C1636" s="2" t="str">
        <f ca="1">IFERROR(__xludf.DUMMYFUNCTION("""COMPUTED_VALUE"""),"")</f>
        <v/>
      </c>
      <c r="D1636" s="2" t="str">
        <f ca="1">IFERROR(__xludf.DUMMYFUNCTION("""COMPUTED_VALUE"""),"")</f>
        <v/>
      </c>
      <c r="E1636" s="2" t="str">
        <f ca="1">IFERROR(__xludf.DUMMYFUNCTION("""COMPUTED_VALUE"""),"")</f>
        <v/>
      </c>
    </row>
    <row r="1637" spans="1:5" ht="12.75">
      <c r="A1637" s="2"/>
      <c r="B1637" s="2" t="str">
        <f ca="1">IFERROR(__xludf.DUMMYFUNCTION("""COMPUTED_VALUE"""),"")</f>
        <v/>
      </c>
      <c r="C1637" s="2" t="str">
        <f ca="1">IFERROR(__xludf.DUMMYFUNCTION("""COMPUTED_VALUE"""),"")</f>
        <v/>
      </c>
      <c r="D1637" s="2" t="str">
        <f ca="1">IFERROR(__xludf.DUMMYFUNCTION("""COMPUTED_VALUE"""),"")</f>
        <v/>
      </c>
      <c r="E1637" s="2" t="str">
        <f ca="1">IFERROR(__xludf.DUMMYFUNCTION("""COMPUTED_VALUE"""),"")</f>
        <v/>
      </c>
    </row>
    <row r="1638" spans="1:5" ht="12.75">
      <c r="A1638" s="2"/>
      <c r="B1638" s="2" t="str">
        <f ca="1">IFERROR(__xludf.DUMMYFUNCTION("""COMPUTED_VALUE"""),"")</f>
        <v/>
      </c>
      <c r="C1638" s="2" t="str">
        <f ca="1">IFERROR(__xludf.DUMMYFUNCTION("""COMPUTED_VALUE"""),"")</f>
        <v/>
      </c>
      <c r="D1638" s="2" t="str">
        <f ca="1">IFERROR(__xludf.DUMMYFUNCTION("""COMPUTED_VALUE"""),"")</f>
        <v/>
      </c>
      <c r="E1638" s="2" t="str">
        <f ca="1">IFERROR(__xludf.DUMMYFUNCTION("""COMPUTED_VALUE"""),"")</f>
        <v/>
      </c>
    </row>
    <row r="1639" spans="1:5" ht="12.75">
      <c r="A1639" s="2"/>
      <c r="B1639" s="2" t="str">
        <f ca="1">IFERROR(__xludf.DUMMYFUNCTION("""COMPUTED_VALUE"""),"")</f>
        <v/>
      </c>
      <c r="C1639" s="2" t="str">
        <f ca="1">IFERROR(__xludf.DUMMYFUNCTION("""COMPUTED_VALUE"""),"")</f>
        <v/>
      </c>
      <c r="D1639" s="2" t="str">
        <f ca="1">IFERROR(__xludf.DUMMYFUNCTION("""COMPUTED_VALUE"""),"")</f>
        <v/>
      </c>
      <c r="E1639" s="2" t="str">
        <f ca="1">IFERROR(__xludf.DUMMYFUNCTION("""COMPUTED_VALUE"""),"")</f>
        <v/>
      </c>
    </row>
    <row r="1640" spans="1:5" ht="12.75">
      <c r="A1640" s="2"/>
      <c r="B1640" s="2" t="str">
        <f ca="1">IFERROR(__xludf.DUMMYFUNCTION("""COMPUTED_VALUE"""),"")</f>
        <v/>
      </c>
      <c r="C1640" s="2" t="str">
        <f ca="1">IFERROR(__xludf.DUMMYFUNCTION("""COMPUTED_VALUE"""),"")</f>
        <v/>
      </c>
      <c r="D1640" s="2" t="str">
        <f ca="1">IFERROR(__xludf.DUMMYFUNCTION("""COMPUTED_VALUE"""),"")</f>
        <v/>
      </c>
      <c r="E1640" s="2" t="str">
        <f ca="1">IFERROR(__xludf.DUMMYFUNCTION("""COMPUTED_VALUE"""),"")</f>
        <v/>
      </c>
    </row>
    <row r="1641" spans="1:5" ht="12.75">
      <c r="A1641" s="2"/>
      <c r="B1641" s="2" t="str">
        <f ca="1">IFERROR(__xludf.DUMMYFUNCTION("""COMPUTED_VALUE"""),"")</f>
        <v/>
      </c>
      <c r="C1641" s="2" t="str">
        <f ca="1">IFERROR(__xludf.DUMMYFUNCTION("""COMPUTED_VALUE"""),"")</f>
        <v/>
      </c>
      <c r="D1641" s="2" t="str">
        <f ca="1">IFERROR(__xludf.DUMMYFUNCTION("""COMPUTED_VALUE"""),"")</f>
        <v/>
      </c>
      <c r="E1641" s="2" t="str">
        <f ca="1">IFERROR(__xludf.DUMMYFUNCTION("""COMPUTED_VALUE"""),"")</f>
        <v/>
      </c>
    </row>
    <row r="1642" spans="1:5" ht="12.75">
      <c r="A1642" s="2"/>
      <c r="B1642" s="2" t="str">
        <f ca="1">IFERROR(__xludf.DUMMYFUNCTION("""COMPUTED_VALUE"""),"")</f>
        <v/>
      </c>
      <c r="C1642" s="2" t="str">
        <f ca="1">IFERROR(__xludf.DUMMYFUNCTION("""COMPUTED_VALUE"""),"")</f>
        <v/>
      </c>
      <c r="D1642" s="2" t="str">
        <f ca="1">IFERROR(__xludf.DUMMYFUNCTION("""COMPUTED_VALUE"""),"")</f>
        <v/>
      </c>
      <c r="E1642" s="2" t="str">
        <f ca="1">IFERROR(__xludf.DUMMYFUNCTION("""COMPUTED_VALUE"""),"")</f>
        <v/>
      </c>
    </row>
    <row r="1643" spans="1:5" ht="12.75">
      <c r="A1643" s="2"/>
      <c r="B1643" s="2" t="str">
        <f ca="1">IFERROR(__xludf.DUMMYFUNCTION("""COMPUTED_VALUE"""),"")</f>
        <v/>
      </c>
      <c r="C1643" s="2" t="str">
        <f ca="1">IFERROR(__xludf.DUMMYFUNCTION("""COMPUTED_VALUE"""),"")</f>
        <v/>
      </c>
      <c r="D1643" s="2" t="str">
        <f ca="1">IFERROR(__xludf.DUMMYFUNCTION("""COMPUTED_VALUE"""),"")</f>
        <v/>
      </c>
      <c r="E1643" s="2" t="str">
        <f ca="1">IFERROR(__xludf.DUMMYFUNCTION("""COMPUTED_VALUE"""),"")</f>
        <v/>
      </c>
    </row>
    <row r="1644" spans="1:5" ht="12.75">
      <c r="A1644" s="2"/>
      <c r="B1644" s="2" t="str">
        <f ca="1">IFERROR(__xludf.DUMMYFUNCTION("""COMPUTED_VALUE"""),"")</f>
        <v/>
      </c>
      <c r="C1644" s="2" t="str">
        <f ca="1">IFERROR(__xludf.DUMMYFUNCTION("""COMPUTED_VALUE"""),"")</f>
        <v/>
      </c>
      <c r="D1644" s="2" t="str">
        <f ca="1">IFERROR(__xludf.DUMMYFUNCTION("""COMPUTED_VALUE"""),"")</f>
        <v/>
      </c>
      <c r="E1644" s="2" t="str">
        <f ca="1">IFERROR(__xludf.DUMMYFUNCTION("""COMPUTED_VALUE"""),"")</f>
        <v/>
      </c>
    </row>
    <row r="1645" spans="1:5" ht="12.75">
      <c r="A1645" s="2"/>
      <c r="B1645" s="2" t="str">
        <f ca="1">IFERROR(__xludf.DUMMYFUNCTION("""COMPUTED_VALUE"""),"")</f>
        <v/>
      </c>
      <c r="C1645" s="2" t="str">
        <f ca="1">IFERROR(__xludf.DUMMYFUNCTION("""COMPUTED_VALUE"""),"")</f>
        <v/>
      </c>
      <c r="D1645" s="2" t="str">
        <f ca="1">IFERROR(__xludf.DUMMYFUNCTION("""COMPUTED_VALUE"""),"")</f>
        <v/>
      </c>
      <c r="E1645" s="2" t="str">
        <f ca="1">IFERROR(__xludf.DUMMYFUNCTION("""COMPUTED_VALUE"""),"")</f>
        <v/>
      </c>
    </row>
    <row r="1646" spans="1:5" ht="12.75">
      <c r="A1646" s="2"/>
      <c r="B1646" s="2" t="str">
        <f ca="1">IFERROR(__xludf.DUMMYFUNCTION("""COMPUTED_VALUE"""),"")</f>
        <v/>
      </c>
      <c r="C1646" s="2" t="str">
        <f ca="1">IFERROR(__xludf.DUMMYFUNCTION("""COMPUTED_VALUE"""),"")</f>
        <v/>
      </c>
      <c r="D1646" s="2" t="str">
        <f ca="1">IFERROR(__xludf.DUMMYFUNCTION("""COMPUTED_VALUE"""),"")</f>
        <v/>
      </c>
      <c r="E1646" s="2" t="str">
        <f ca="1">IFERROR(__xludf.DUMMYFUNCTION("""COMPUTED_VALUE"""),"")</f>
        <v/>
      </c>
    </row>
    <row r="1647" spans="1:5" ht="12.75">
      <c r="A1647" s="2"/>
      <c r="B1647" s="2" t="str">
        <f ca="1">IFERROR(__xludf.DUMMYFUNCTION("""COMPUTED_VALUE"""),"")</f>
        <v/>
      </c>
      <c r="C1647" s="2" t="str">
        <f ca="1">IFERROR(__xludf.DUMMYFUNCTION("""COMPUTED_VALUE"""),"")</f>
        <v/>
      </c>
      <c r="D1647" s="2" t="str">
        <f ca="1">IFERROR(__xludf.DUMMYFUNCTION("""COMPUTED_VALUE"""),"")</f>
        <v/>
      </c>
      <c r="E1647" s="2" t="str">
        <f ca="1">IFERROR(__xludf.DUMMYFUNCTION("""COMPUTED_VALUE"""),"")</f>
        <v/>
      </c>
    </row>
    <row r="1648" spans="1:5" ht="12.75">
      <c r="A1648" s="2"/>
      <c r="B1648" s="2" t="str">
        <f ca="1">IFERROR(__xludf.DUMMYFUNCTION("""COMPUTED_VALUE"""),"")</f>
        <v/>
      </c>
      <c r="C1648" s="2" t="str">
        <f ca="1">IFERROR(__xludf.DUMMYFUNCTION("""COMPUTED_VALUE"""),"")</f>
        <v/>
      </c>
      <c r="D1648" s="2" t="str">
        <f ca="1">IFERROR(__xludf.DUMMYFUNCTION("""COMPUTED_VALUE"""),"")</f>
        <v/>
      </c>
      <c r="E1648" s="2" t="str">
        <f ca="1">IFERROR(__xludf.DUMMYFUNCTION("""COMPUTED_VALUE"""),"")</f>
        <v/>
      </c>
    </row>
    <row r="1649" spans="1:5" ht="12.75">
      <c r="A1649" s="2"/>
      <c r="B1649" s="2" t="str">
        <f ca="1">IFERROR(__xludf.DUMMYFUNCTION("""COMPUTED_VALUE"""),"")</f>
        <v/>
      </c>
      <c r="C1649" s="2" t="str">
        <f ca="1">IFERROR(__xludf.DUMMYFUNCTION("""COMPUTED_VALUE"""),"")</f>
        <v/>
      </c>
      <c r="D1649" s="2" t="str">
        <f ca="1">IFERROR(__xludf.DUMMYFUNCTION("""COMPUTED_VALUE"""),"")</f>
        <v/>
      </c>
      <c r="E1649" s="2" t="str">
        <f ca="1">IFERROR(__xludf.DUMMYFUNCTION("""COMPUTED_VALUE"""),"")</f>
        <v/>
      </c>
    </row>
    <row r="1650" spans="1:5" ht="12.75">
      <c r="A1650" s="2"/>
      <c r="B1650" s="2" t="str">
        <f ca="1">IFERROR(__xludf.DUMMYFUNCTION("""COMPUTED_VALUE"""),"")</f>
        <v/>
      </c>
      <c r="C1650" s="2" t="str">
        <f ca="1">IFERROR(__xludf.DUMMYFUNCTION("""COMPUTED_VALUE"""),"")</f>
        <v/>
      </c>
      <c r="D1650" s="2" t="str">
        <f ca="1">IFERROR(__xludf.DUMMYFUNCTION("""COMPUTED_VALUE"""),"")</f>
        <v/>
      </c>
      <c r="E1650" s="2" t="str">
        <f ca="1">IFERROR(__xludf.DUMMYFUNCTION("""COMPUTED_VALUE"""),"")</f>
        <v/>
      </c>
    </row>
    <row r="1651" spans="1:5" ht="12.75">
      <c r="A1651" s="2"/>
      <c r="B1651" s="2" t="str">
        <f ca="1">IFERROR(__xludf.DUMMYFUNCTION("""COMPUTED_VALUE"""),"")</f>
        <v/>
      </c>
      <c r="C1651" s="2" t="str">
        <f ca="1">IFERROR(__xludf.DUMMYFUNCTION("""COMPUTED_VALUE"""),"")</f>
        <v/>
      </c>
      <c r="D1651" s="2" t="str">
        <f ca="1">IFERROR(__xludf.DUMMYFUNCTION("""COMPUTED_VALUE"""),"")</f>
        <v/>
      </c>
      <c r="E1651" s="2" t="str">
        <f ca="1">IFERROR(__xludf.DUMMYFUNCTION("""COMPUTED_VALUE"""),"")</f>
        <v/>
      </c>
    </row>
    <row r="1652" spans="1:5" ht="12.75">
      <c r="A1652" s="2"/>
      <c r="B1652" s="2" t="str">
        <f ca="1">IFERROR(__xludf.DUMMYFUNCTION("""COMPUTED_VALUE"""),"")</f>
        <v/>
      </c>
      <c r="C1652" s="2" t="str">
        <f ca="1">IFERROR(__xludf.DUMMYFUNCTION("""COMPUTED_VALUE"""),"")</f>
        <v/>
      </c>
      <c r="D1652" s="2" t="str">
        <f ca="1">IFERROR(__xludf.DUMMYFUNCTION("""COMPUTED_VALUE"""),"")</f>
        <v/>
      </c>
      <c r="E1652" s="2" t="str">
        <f ca="1">IFERROR(__xludf.DUMMYFUNCTION("""COMPUTED_VALUE"""),"")</f>
        <v/>
      </c>
    </row>
    <row r="1653" spans="1:5" ht="12.75">
      <c r="A1653" s="2"/>
      <c r="B1653" s="2" t="str">
        <f ca="1">IFERROR(__xludf.DUMMYFUNCTION("""COMPUTED_VALUE"""),"")</f>
        <v/>
      </c>
      <c r="C1653" s="2" t="str">
        <f ca="1">IFERROR(__xludf.DUMMYFUNCTION("""COMPUTED_VALUE"""),"")</f>
        <v/>
      </c>
      <c r="D1653" s="2" t="str">
        <f ca="1">IFERROR(__xludf.DUMMYFUNCTION("""COMPUTED_VALUE"""),"")</f>
        <v/>
      </c>
      <c r="E1653" s="2" t="str">
        <f ca="1">IFERROR(__xludf.DUMMYFUNCTION("""COMPUTED_VALUE"""),"")</f>
        <v/>
      </c>
    </row>
    <row r="1654" spans="1:5" ht="12.75">
      <c r="A1654" s="2"/>
      <c r="B1654" s="2" t="str">
        <f ca="1">IFERROR(__xludf.DUMMYFUNCTION("""COMPUTED_VALUE"""),"")</f>
        <v/>
      </c>
      <c r="C1654" s="2" t="str">
        <f ca="1">IFERROR(__xludf.DUMMYFUNCTION("""COMPUTED_VALUE"""),"")</f>
        <v/>
      </c>
      <c r="D1654" s="2" t="str">
        <f ca="1">IFERROR(__xludf.DUMMYFUNCTION("""COMPUTED_VALUE"""),"")</f>
        <v/>
      </c>
      <c r="E1654" s="2" t="str">
        <f ca="1">IFERROR(__xludf.DUMMYFUNCTION("""COMPUTED_VALUE"""),"")</f>
        <v/>
      </c>
    </row>
    <row r="1655" spans="1:5" ht="12.75">
      <c r="A1655" s="2"/>
      <c r="B1655" s="2" t="str">
        <f ca="1">IFERROR(__xludf.DUMMYFUNCTION("""COMPUTED_VALUE"""),"")</f>
        <v/>
      </c>
      <c r="C1655" s="2" t="str">
        <f ca="1">IFERROR(__xludf.DUMMYFUNCTION("""COMPUTED_VALUE"""),"")</f>
        <v/>
      </c>
      <c r="D1655" s="2" t="str">
        <f ca="1">IFERROR(__xludf.DUMMYFUNCTION("""COMPUTED_VALUE"""),"")</f>
        <v/>
      </c>
      <c r="E1655" s="2" t="str">
        <f ca="1">IFERROR(__xludf.DUMMYFUNCTION("""COMPUTED_VALUE"""),"")</f>
        <v/>
      </c>
    </row>
    <row r="1656" spans="1:5" ht="12.75">
      <c r="A1656" s="2"/>
      <c r="B1656" s="2" t="str">
        <f ca="1">IFERROR(__xludf.DUMMYFUNCTION("""COMPUTED_VALUE"""),"")</f>
        <v/>
      </c>
      <c r="C1656" s="2" t="str">
        <f ca="1">IFERROR(__xludf.DUMMYFUNCTION("""COMPUTED_VALUE"""),"")</f>
        <v/>
      </c>
      <c r="D1656" s="2" t="str">
        <f ca="1">IFERROR(__xludf.DUMMYFUNCTION("""COMPUTED_VALUE"""),"")</f>
        <v/>
      </c>
      <c r="E1656" s="2" t="str">
        <f ca="1">IFERROR(__xludf.DUMMYFUNCTION("""COMPUTED_VALUE"""),"")</f>
        <v/>
      </c>
    </row>
    <row r="1657" spans="1:5" ht="12.75">
      <c r="A1657" s="2"/>
      <c r="B1657" s="2" t="str">
        <f ca="1">IFERROR(__xludf.DUMMYFUNCTION("""COMPUTED_VALUE"""),"")</f>
        <v/>
      </c>
      <c r="C1657" s="2" t="str">
        <f ca="1">IFERROR(__xludf.DUMMYFUNCTION("""COMPUTED_VALUE"""),"")</f>
        <v/>
      </c>
      <c r="D1657" s="2" t="str">
        <f ca="1">IFERROR(__xludf.DUMMYFUNCTION("""COMPUTED_VALUE"""),"")</f>
        <v/>
      </c>
      <c r="E1657" s="2" t="str">
        <f ca="1">IFERROR(__xludf.DUMMYFUNCTION("""COMPUTED_VALUE"""),"")</f>
        <v/>
      </c>
    </row>
    <row r="1658" spans="1:5" ht="12.75">
      <c r="A1658" s="2"/>
      <c r="B1658" s="2" t="str">
        <f ca="1">IFERROR(__xludf.DUMMYFUNCTION("""COMPUTED_VALUE"""),"")</f>
        <v/>
      </c>
      <c r="C1658" s="2" t="str">
        <f ca="1">IFERROR(__xludf.DUMMYFUNCTION("""COMPUTED_VALUE"""),"")</f>
        <v/>
      </c>
      <c r="D1658" s="2" t="str">
        <f ca="1">IFERROR(__xludf.DUMMYFUNCTION("""COMPUTED_VALUE"""),"")</f>
        <v/>
      </c>
      <c r="E1658" s="2" t="str">
        <f ca="1">IFERROR(__xludf.DUMMYFUNCTION("""COMPUTED_VALUE"""),"")</f>
        <v/>
      </c>
    </row>
    <row r="1659" spans="1:5" ht="12.75">
      <c r="A1659" s="2"/>
      <c r="B1659" s="2" t="str">
        <f ca="1">IFERROR(__xludf.DUMMYFUNCTION("""COMPUTED_VALUE"""),"")</f>
        <v/>
      </c>
      <c r="C1659" s="2" t="str">
        <f ca="1">IFERROR(__xludf.DUMMYFUNCTION("""COMPUTED_VALUE"""),"")</f>
        <v/>
      </c>
      <c r="D1659" s="2" t="str">
        <f ca="1">IFERROR(__xludf.DUMMYFUNCTION("""COMPUTED_VALUE"""),"")</f>
        <v/>
      </c>
      <c r="E1659" s="2" t="str">
        <f ca="1">IFERROR(__xludf.DUMMYFUNCTION("""COMPUTED_VALUE"""),"")</f>
        <v/>
      </c>
    </row>
    <row r="1660" spans="1:5" ht="12.75">
      <c r="A1660" s="2"/>
      <c r="B1660" s="2" t="str">
        <f ca="1">IFERROR(__xludf.DUMMYFUNCTION("""COMPUTED_VALUE"""),"")</f>
        <v/>
      </c>
      <c r="C1660" s="2" t="str">
        <f ca="1">IFERROR(__xludf.DUMMYFUNCTION("""COMPUTED_VALUE"""),"")</f>
        <v/>
      </c>
      <c r="D1660" s="2" t="str">
        <f ca="1">IFERROR(__xludf.DUMMYFUNCTION("""COMPUTED_VALUE"""),"")</f>
        <v/>
      </c>
      <c r="E1660" s="2" t="str">
        <f ca="1">IFERROR(__xludf.DUMMYFUNCTION("""COMPUTED_VALUE"""),"")</f>
        <v/>
      </c>
    </row>
    <row r="1661" spans="1:5" ht="12.75">
      <c r="A1661" s="2"/>
      <c r="B1661" s="2" t="str">
        <f ca="1">IFERROR(__xludf.DUMMYFUNCTION("""COMPUTED_VALUE"""),"")</f>
        <v/>
      </c>
      <c r="C1661" s="2" t="str">
        <f ca="1">IFERROR(__xludf.DUMMYFUNCTION("""COMPUTED_VALUE"""),"")</f>
        <v/>
      </c>
      <c r="D1661" s="2" t="str">
        <f ca="1">IFERROR(__xludf.DUMMYFUNCTION("""COMPUTED_VALUE"""),"")</f>
        <v/>
      </c>
      <c r="E1661" s="2" t="str">
        <f ca="1">IFERROR(__xludf.DUMMYFUNCTION("""COMPUTED_VALUE"""),"")</f>
        <v/>
      </c>
    </row>
    <row r="1662" spans="1:5" ht="12.75">
      <c r="A1662" s="2"/>
      <c r="B1662" s="2" t="str">
        <f ca="1">IFERROR(__xludf.DUMMYFUNCTION("""COMPUTED_VALUE"""),"")</f>
        <v/>
      </c>
      <c r="C1662" s="2" t="str">
        <f ca="1">IFERROR(__xludf.DUMMYFUNCTION("""COMPUTED_VALUE"""),"")</f>
        <v/>
      </c>
      <c r="D1662" s="2" t="str">
        <f ca="1">IFERROR(__xludf.DUMMYFUNCTION("""COMPUTED_VALUE"""),"")</f>
        <v/>
      </c>
      <c r="E1662" s="2" t="str">
        <f ca="1">IFERROR(__xludf.DUMMYFUNCTION("""COMPUTED_VALUE"""),"")</f>
        <v/>
      </c>
    </row>
    <row r="1663" spans="1:5" ht="12.75">
      <c r="A1663" s="2"/>
      <c r="B1663" s="2" t="str">
        <f ca="1">IFERROR(__xludf.DUMMYFUNCTION("""COMPUTED_VALUE"""),"")</f>
        <v/>
      </c>
      <c r="C1663" s="2" t="str">
        <f ca="1">IFERROR(__xludf.DUMMYFUNCTION("""COMPUTED_VALUE"""),"")</f>
        <v/>
      </c>
      <c r="D1663" s="2" t="str">
        <f ca="1">IFERROR(__xludf.DUMMYFUNCTION("""COMPUTED_VALUE"""),"")</f>
        <v/>
      </c>
      <c r="E1663" s="2" t="str">
        <f ca="1">IFERROR(__xludf.DUMMYFUNCTION("""COMPUTED_VALUE"""),"")</f>
        <v/>
      </c>
    </row>
    <row r="1664" spans="1:5" ht="12.75">
      <c r="A1664" s="2"/>
      <c r="B1664" s="2" t="str">
        <f ca="1">IFERROR(__xludf.DUMMYFUNCTION("""COMPUTED_VALUE"""),"")</f>
        <v/>
      </c>
      <c r="C1664" s="2" t="str">
        <f ca="1">IFERROR(__xludf.DUMMYFUNCTION("""COMPUTED_VALUE"""),"")</f>
        <v/>
      </c>
      <c r="D1664" s="2" t="str">
        <f ca="1">IFERROR(__xludf.DUMMYFUNCTION("""COMPUTED_VALUE"""),"")</f>
        <v/>
      </c>
      <c r="E1664" s="2" t="str">
        <f ca="1">IFERROR(__xludf.DUMMYFUNCTION("""COMPUTED_VALUE"""),"")</f>
        <v/>
      </c>
    </row>
    <row r="1665" spans="1:5" ht="12.75">
      <c r="A1665" s="2"/>
      <c r="B1665" s="2" t="str">
        <f ca="1">IFERROR(__xludf.DUMMYFUNCTION("""COMPUTED_VALUE"""),"")</f>
        <v/>
      </c>
      <c r="C1665" s="2" t="str">
        <f ca="1">IFERROR(__xludf.DUMMYFUNCTION("""COMPUTED_VALUE"""),"")</f>
        <v/>
      </c>
      <c r="D1665" s="2" t="str">
        <f ca="1">IFERROR(__xludf.DUMMYFUNCTION("""COMPUTED_VALUE"""),"")</f>
        <v/>
      </c>
      <c r="E1665" s="2" t="str">
        <f ca="1">IFERROR(__xludf.DUMMYFUNCTION("""COMPUTED_VALUE"""),"")</f>
        <v/>
      </c>
    </row>
    <row r="1666" spans="1:5" ht="12.75">
      <c r="A1666" s="2"/>
      <c r="B1666" s="2" t="str">
        <f ca="1">IFERROR(__xludf.DUMMYFUNCTION("""COMPUTED_VALUE"""),"")</f>
        <v/>
      </c>
      <c r="C1666" s="2" t="str">
        <f ca="1">IFERROR(__xludf.DUMMYFUNCTION("""COMPUTED_VALUE"""),"")</f>
        <v/>
      </c>
      <c r="D1666" s="2" t="str">
        <f ca="1">IFERROR(__xludf.DUMMYFUNCTION("""COMPUTED_VALUE"""),"")</f>
        <v/>
      </c>
      <c r="E1666" s="2" t="str">
        <f ca="1">IFERROR(__xludf.DUMMYFUNCTION("""COMPUTED_VALUE"""),"")</f>
        <v/>
      </c>
    </row>
    <row r="1667" spans="1:5" ht="12.75">
      <c r="A1667" s="2"/>
      <c r="B1667" s="2" t="str">
        <f ca="1">IFERROR(__xludf.DUMMYFUNCTION("""COMPUTED_VALUE"""),"")</f>
        <v/>
      </c>
      <c r="C1667" s="2" t="str">
        <f ca="1">IFERROR(__xludf.DUMMYFUNCTION("""COMPUTED_VALUE"""),"")</f>
        <v/>
      </c>
      <c r="D1667" s="2" t="str">
        <f ca="1">IFERROR(__xludf.DUMMYFUNCTION("""COMPUTED_VALUE"""),"")</f>
        <v/>
      </c>
      <c r="E1667" s="2" t="str">
        <f ca="1">IFERROR(__xludf.DUMMYFUNCTION("""COMPUTED_VALUE"""),"")</f>
        <v/>
      </c>
    </row>
    <row r="1668" spans="1:5" ht="12.75">
      <c r="A1668" s="2"/>
      <c r="B1668" s="2" t="str">
        <f ca="1">IFERROR(__xludf.DUMMYFUNCTION("""COMPUTED_VALUE"""),"")</f>
        <v/>
      </c>
      <c r="C1668" s="2" t="str">
        <f ca="1">IFERROR(__xludf.DUMMYFUNCTION("""COMPUTED_VALUE"""),"")</f>
        <v/>
      </c>
      <c r="D1668" s="2" t="str">
        <f ca="1">IFERROR(__xludf.DUMMYFUNCTION("""COMPUTED_VALUE"""),"")</f>
        <v/>
      </c>
      <c r="E1668" s="2" t="str">
        <f ca="1">IFERROR(__xludf.DUMMYFUNCTION("""COMPUTED_VALUE"""),"")</f>
        <v/>
      </c>
    </row>
    <row r="1669" spans="1:5" ht="12.75">
      <c r="A1669" s="2"/>
      <c r="B1669" s="2" t="str">
        <f ca="1">IFERROR(__xludf.DUMMYFUNCTION("""COMPUTED_VALUE"""),"")</f>
        <v/>
      </c>
      <c r="C1669" s="2" t="str">
        <f ca="1">IFERROR(__xludf.DUMMYFUNCTION("""COMPUTED_VALUE"""),"")</f>
        <v/>
      </c>
      <c r="D1669" s="2" t="str">
        <f ca="1">IFERROR(__xludf.DUMMYFUNCTION("""COMPUTED_VALUE"""),"")</f>
        <v/>
      </c>
      <c r="E1669" s="2" t="str">
        <f ca="1">IFERROR(__xludf.DUMMYFUNCTION("""COMPUTED_VALUE"""),"")</f>
        <v/>
      </c>
    </row>
    <row r="1670" spans="1:5" ht="12.75">
      <c r="A1670" s="2"/>
      <c r="B1670" s="2" t="str">
        <f ca="1">IFERROR(__xludf.DUMMYFUNCTION("""COMPUTED_VALUE"""),"")</f>
        <v/>
      </c>
      <c r="C1670" s="2" t="str">
        <f ca="1">IFERROR(__xludf.DUMMYFUNCTION("""COMPUTED_VALUE"""),"")</f>
        <v/>
      </c>
      <c r="D1670" s="2" t="str">
        <f ca="1">IFERROR(__xludf.DUMMYFUNCTION("""COMPUTED_VALUE"""),"")</f>
        <v/>
      </c>
      <c r="E1670" s="2" t="str">
        <f ca="1">IFERROR(__xludf.DUMMYFUNCTION("""COMPUTED_VALUE"""),"")</f>
        <v/>
      </c>
    </row>
    <row r="1671" spans="1:5" ht="12.75">
      <c r="A1671" s="2"/>
      <c r="B1671" s="2" t="str">
        <f ca="1">IFERROR(__xludf.DUMMYFUNCTION("""COMPUTED_VALUE"""),"")</f>
        <v/>
      </c>
      <c r="C1671" s="2" t="str">
        <f ca="1">IFERROR(__xludf.DUMMYFUNCTION("""COMPUTED_VALUE"""),"")</f>
        <v/>
      </c>
      <c r="D1671" s="2" t="str">
        <f ca="1">IFERROR(__xludf.DUMMYFUNCTION("""COMPUTED_VALUE"""),"")</f>
        <v/>
      </c>
      <c r="E1671" s="2" t="str">
        <f ca="1">IFERROR(__xludf.DUMMYFUNCTION("""COMPUTED_VALUE"""),"")</f>
        <v/>
      </c>
    </row>
    <row r="1672" spans="1:5" ht="12.75">
      <c r="A1672" s="2"/>
      <c r="B1672" s="2" t="str">
        <f ca="1">IFERROR(__xludf.DUMMYFUNCTION("""COMPUTED_VALUE"""),"")</f>
        <v/>
      </c>
      <c r="C1672" s="2" t="str">
        <f ca="1">IFERROR(__xludf.DUMMYFUNCTION("""COMPUTED_VALUE"""),"")</f>
        <v/>
      </c>
      <c r="D1672" s="2" t="str">
        <f ca="1">IFERROR(__xludf.DUMMYFUNCTION("""COMPUTED_VALUE"""),"")</f>
        <v/>
      </c>
      <c r="E1672" s="2" t="str">
        <f ca="1">IFERROR(__xludf.DUMMYFUNCTION("""COMPUTED_VALUE"""),"")</f>
        <v/>
      </c>
    </row>
    <row r="1673" spans="1:5" ht="12.75">
      <c r="A1673" s="2"/>
      <c r="B1673" s="2" t="str">
        <f ca="1">IFERROR(__xludf.DUMMYFUNCTION("""COMPUTED_VALUE"""),"")</f>
        <v/>
      </c>
      <c r="C1673" s="2" t="str">
        <f ca="1">IFERROR(__xludf.DUMMYFUNCTION("""COMPUTED_VALUE"""),"")</f>
        <v/>
      </c>
      <c r="D1673" s="2" t="str">
        <f ca="1">IFERROR(__xludf.DUMMYFUNCTION("""COMPUTED_VALUE"""),"")</f>
        <v/>
      </c>
      <c r="E1673" s="2" t="str">
        <f ca="1">IFERROR(__xludf.DUMMYFUNCTION("""COMPUTED_VALUE"""),"")</f>
        <v/>
      </c>
    </row>
    <row r="1674" spans="1:5" ht="12.75">
      <c r="A1674" s="2"/>
      <c r="B1674" s="2" t="str">
        <f ca="1">IFERROR(__xludf.DUMMYFUNCTION("""COMPUTED_VALUE"""),"")</f>
        <v/>
      </c>
      <c r="C1674" s="2" t="str">
        <f ca="1">IFERROR(__xludf.DUMMYFUNCTION("""COMPUTED_VALUE"""),"")</f>
        <v/>
      </c>
      <c r="D1674" s="2" t="str">
        <f ca="1">IFERROR(__xludf.DUMMYFUNCTION("""COMPUTED_VALUE"""),"")</f>
        <v/>
      </c>
      <c r="E1674" s="2" t="str">
        <f ca="1">IFERROR(__xludf.DUMMYFUNCTION("""COMPUTED_VALUE"""),"")</f>
        <v/>
      </c>
    </row>
    <row r="1675" spans="1:5" ht="12.75">
      <c r="A1675" s="2"/>
      <c r="B1675" s="2" t="str">
        <f ca="1">IFERROR(__xludf.DUMMYFUNCTION("""COMPUTED_VALUE"""),"")</f>
        <v/>
      </c>
      <c r="C1675" s="2" t="str">
        <f ca="1">IFERROR(__xludf.DUMMYFUNCTION("""COMPUTED_VALUE"""),"")</f>
        <v/>
      </c>
      <c r="D1675" s="2" t="str">
        <f ca="1">IFERROR(__xludf.DUMMYFUNCTION("""COMPUTED_VALUE"""),"")</f>
        <v/>
      </c>
      <c r="E1675" s="2" t="str">
        <f ca="1">IFERROR(__xludf.DUMMYFUNCTION("""COMPUTED_VALUE"""),"")</f>
        <v/>
      </c>
    </row>
    <row r="1676" spans="1:5" ht="12.75">
      <c r="A1676" s="2"/>
      <c r="B1676" s="2" t="str">
        <f ca="1">IFERROR(__xludf.DUMMYFUNCTION("""COMPUTED_VALUE"""),"")</f>
        <v/>
      </c>
      <c r="C1676" s="2" t="str">
        <f ca="1">IFERROR(__xludf.DUMMYFUNCTION("""COMPUTED_VALUE"""),"")</f>
        <v/>
      </c>
      <c r="D1676" s="2" t="str">
        <f ca="1">IFERROR(__xludf.DUMMYFUNCTION("""COMPUTED_VALUE"""),"")</f>
        <v/>
      </c>
      <c r="E1676" s="2" t="str">
        <f ca="1">IFERROR(__xludf.DUMMYFUNCTION("""COMPUTED_VALUE"""),"")</f>
        <v/>
      </c>
    </row>
    <row r="1677" spans="1:5" ht="12.75">
      <c r="A1677" s="2"/>
      <c r="B1677" s="2" t="str">
        <f ca="1">IFERROR(__xludf.DUMMYFUNCTION("""COMPUTED_VALUE"""),"")</f>
        <v/>
      </c>
      <c r="C1677" s="2" t="str">
        <f ca="1">IFERROR(__xludf.DUMMYFUNCTION("""COMPUTED_VALUE"""),"")</f>
        <v/>
      </c>
      <c r="D1677" s="2" t="str">
        <f ca="1">IFERROR(__xludf.DUMMYFUNCTION("""COMPUTED_VALUE"""),"")</f>
        <v/>
      </c>
      <c r="E1677" s="2" t="str">
        <f ca="1">IFERROR(__xludf.DUMMYFUNCTION("""COMPUTED_VALUE"""),"")</f>
        <v/>
      </c>
    </row>
    <row r="1678" spans="1:5" ht="12.75">
      <c r="A1678" s="2"/>
      <c r="B1678" s="2" t="str">
        <f ca="1">IFERROR(__xludf.DUMMYFUNCTION("""COMPUTED_VALUE"""),"")</f>
        <v/>
      </c>
      <c r="C1678" s="2" t="str">
        <f ca="1">IFERROR(__xludf.DUMMYFUNCTION("""COMPUTED_VALUE"""),"")</f>
        <v/>
      </c>
      <c r="D1678" s="2" t="str">
        <f ca="1">IFERROR(__xludf.DUMMYFUNCTION("""COMPUTED_VALUE"""),"")</f>
        <v/>
      </c>
      <c r="E1678" s="2" t="str">
        <f ca="1">IFERROR(__xludf.DUMMYFUNCTION("""COMPUTED_VALUE"""),"")</f>
        <v/>
      </c>
    </row>
    <row r="1679" spans="1:5" ht="12.75">
      <c r="A1679" s="2"/>
      <c r="B1679" s="2" t="str">
        <f ca="1">IFERROR(__xludf.DUMMYFUNCTION("""COMPUTED_VALUE"""),"")</f>
        <v/>
      </c>
      <c r="C1679" s="2" t="str">
        <f ca="1">IFERROR(__xludf.DUMMYFUNCTION("""COMPUTED_VALUE"""),"")</f>
        <v/>
      </c>
      <c r="D1679" s="2" t="str">
        <f ca="1">IFERROR(__xludf.DUMMYFUNCTION("""COMPUTED_VALUE"""),"")</f>
        <v/>
      </c>
      <c r="E1679" s="2" t="str">
        <f ca="1">IFERROR(__xludf.DUMMYFUNCTION("""COMPUTED_VALUE"""),"")</f>
        <v/>
      </c>
    </row>
    <row r="1680" spans="1:5" ht="12.75">
      <c r="A1680" s="2"/>
      <c r="B1680" s="2" t="str">
        <f ca="1">IFERROR(__xludf.DUMMYFUNCTION("""COMPUTED_VALUE"""),"")</f>
        <v/>
      </c>
      <c r="C1680" s="2" t="str">
        <f ca="1">IFERROR(__xludf.DUMMYFUNCTION("""COMPUTED_VALUE"""),"")</f>
        <v/>
      </c>
      <c r="D1680" s="2" t="str">
        <f ca="1">IFERROR(__xludf.DUMMYFUNCTION("""COMPUTED_VALUE"""),"")</f>
        <v/>
      </c>
      <c r="E1680" s="2" t="str">
        <f ca="1">IFERROR(__xludf.DUMMYFUNCTION("""COMPUTED_VALUE"""),"")</f>
        <v/>
      </c>
    </row>
    <row r="1681" spans="1:5" ht="12.75">
      <c r="A1681" s="2"/>
      <c r="B1681" s="2" t="str">
        <f ca="1">IFERROR(__xludf.DUMMYFUNCTION("""COMPUTED_VALUE"""),"")</f>
        <v/>
      </c>
      <c r="C1681" s="2" t="str">
        <f ca="1">IFERROR(__xludf.DUMMYFUNCTION("""COMPUTED_VALUE"""),"")</f>
        <v/>
      </c>
      <c r="D1681" s="2" t="str">
        <f ca="1">IFERROR(__xludf.DUMMYFUNCTION("""COMPUTED_VALUE"""),"")</f>
        <v/>
      </c>
      <c r="E1681" s="2" t="str">
        <f ca="1">IFERROR(__xludf.DUMMYFUNCTION("""COMPUTED_VALUE"""),"")</f>
        <v/>
      </c>
    </row>
    <row r="1682" spans="1:5" ht="12.75">
      <c r="A1682" s="2"/>
      <c r="B1682" s="2" t="str">
        <f ca="1">IFERROR(__xludf.DUMMYFUNCTION("""COMPUTED_VALUE"""),"")</f>
        <v/>
      </c>
      <c r="C1682" s="2" t="str">
        <f ca="1">IFERROR(__xludf.DUMMYFUNCTION("""COMPUTED_VALUE"""),"")</f>
        <v/>
      </c>
      <c r="D1682" s="2" t="str">
        <f ca="1">IFERROR(__xludf.DUMMYFUNCTION("""COMPUTED_VALUE"""),"")</f>
        <v/>
      </c>
      <c r="E1682" s="2" t="str">
        <f ca="1">IFERROR(__xludf.DUMMYFUNCTION("""COMPUTED_VALUE"""),"")</f>
        <v/>
      </c>
    </row>
    <row r="1683" spans="1:5" ht="12.75">
      <c r="A1683" s="2"/>
      <c r="B1683" s="2" t="str">
        <f ca="1">IFERROR(__xludf.DUMMYFUNCTION("""COMPUTED_VALUE"""),"")</f>
        <v/>
      </c>
      <c r="C1683" s="2" t="str">
        <f ca="1">IFERROR(__xludf.DUMMYFUNCTION("""COMPUTED_VALUE"""),"")</f>
        <v/>
      </c>
      <c r="D1683" s="2" t="str">
        <f ca="1">IFERROR(__xludf.DUMMYFUNCTION("""COMPUTED_VALUE"""),"")</f>
        <v/>
      </c>
      <c r="E1683" s="2" t="str">
        <f ca="1">IFERROR(__xludf.DUMMYFUNCTION("""COMPUTED_VALUE"""),"")</f>
        <v/>
      </c>
    </row>
    <row r="1684" spans="1:5" ht="12.75">
      <c r="A1684" s="2"/>
      <c r="B1684" s="2" t="str">
        <f ca="1">IFERROR(__xludf.DUMMYFUNCTION("""COMPUTED_VALUE"""),"")</f>
        <v/>
      </c>
      <c r="C1684" s="2" t="str">
        <f ca="1">IFERROR(__xludf.DUMMYFUNCTION("""COMPUTED_VALUE"""),"")</f>
        <v/>
      </c>
      <c r="D1684" s="2" t="str">
        <f ca="1">IFERROR(__xludf.DUMMYFUNCTION("""COMPUTED_VALUE"""),"")</f>
        <v/>
      </c>
      <c r="E1684" s="2" t="str">
        <f ca="1">IFERROR(__xludf.DUMMYFUNCTION("""COMPUTED_VALUE"""),"")</f>
        <v/>
      </c>
    </row>
    <row r="1685" spans="1:5" ht="12.75">
      <c r="A1685" s="2"/>
      <c r="B1685" s="2" t="str">
        <f ca="1">IFERROR(__xludf.DUMMYFUNCTION("""COMPUTED_VALUE"""),"")</f>
        <v/>
      </c>
      <c r="C1685" s="2" t="str">
        <f ca="1">IFERROR(__xludf.DUMMYFUNCTION("""COMPUTED_VALUE"""),"")</f>
        <v/>
      </c>
      <c r="D1685" s="2" t="str">
        <f ca="1">IFERROR(__xludf.DUMMYFUNCTION("""COMPUTED_VALUE"""),"")</f>
        <v/>
      </c>
      <c r="E1685" s="2" t="str">
        <f ca="1">IFERROR(__xludf.DUMMYFUNCTION("""COMPUTED_VALUE"""),"")</f>
        <v/>
      </c>
    </row>
    <row r="1686" spans="1:5" ht="12.75">
      <c r="A1686" s="2"/>
      <c r="B1686" s="2" t="str">
        <f ca="1">IFERROR(__xludf.DUMMYFUNCTION("""COMPUTED_VALUE"""),"")</f>
        <v/>
      </c>
      <c r="C1686" s="2" t="str">
        <f ca="1">IFERROR(__xludf.DUMMYFUNCTION("""COMPUTED_VALUE"""),"")</f>
        <v/>
      </c>
      <c r="D1686" s="2" t="str">
        <f ca="1">IFERROR(__xludf.DUMMYFUNCTION("""COMPUTED_VALUE"""),"")</f>
        <v/>
      </c>
      <c r="E1686" s="2" t="str">
        <f ca="1">IFERROR(__xludf.DUMMYFUNCTION("""COMPUTED_VALUE"""),"")</f>
        <v/>
      </c>
    </row>
    <row r="1687" spans="1:5" ht="12.75">
      <c r="A1687" s="2"/>
      <c r="B1687" s="2" t="str">
        <f ca="1">IFERROR(__xludf.DUMMYFUNCTION("""COMPUTED_VALUE"""),"")</f>
        <v/>
      </c>
      <c r="C1687" s="2" t="str">
        <f ca="1">IFERROR(__xludf.DUMMYFUNCTION("""COMPUTED_VALUE"""),"")</f>
        <v/>
      </c>
      <c r="D1687" s="2" t="str">
        <f ca="1">IFERROR(__xludf.DUMMYFUNCTION("""COMPUTED_VALUE"""),"")</f>
        <v/>
      </c>
      <c r="E1687" s="2" t="str">
        <f ca="1">IFERROR(__xludf.DUMMYFUNCTION("""COMPUTED_VALUE"""),"")</f>
        <v/>
      </c>
    </row>
    <row r="1688" spans="1:5" ht="12.75">
      <c r="A1688" s="2"/>
      <c r="B1688" s="2" t="str">
        <f ca="1">IFERROR(__xludf.DUMMYFUNCTION("""COMPUTED_VALUE"""),"")</f>
        <v/>
      </c>
      <c r="C1688" s="2" t="str">
        <f ca="1">IFERROR(__xludf.DUMMYFUNCTION("""COMPUTED_VALUE"""),"")</f>
        <v/>
      </c>
      <c r="D1688" s="2" t="str">
        <f ca="1">IFERROR(__xludf.DUMMYFUNCTION("""COMPUTED_VALUE"""),"")</f>
        <v/>
      </c>
      <c r="E1688" s="2" t="str">
        <f ca="1">IFERROR(__xludf.DUMMYFUNCTION("""COMPUTED_VALUE"""),"")</f>
        <v/>
      </c>
    </row>
    <row r="1689" spans="1:5" ht="12.75">
      <c r="A1689" s="2"/>
      <c r="B1689" s="2" t="str">
        <f ca="1">IFERROR(__xludf.DUMMYFUNCTION("""COMPUTED_VALUE"""),"")</f>
        <v/>
      </c>
      <c r="C1689" s="2" t="str">
        <f ca="1">IFERROR(__xludf.DUMMYFUNCTION("""COMPUTED_VALUE"""),"")</f>
        <v/>
      </c>
      <c r="D1689" s="2" t="str">
        <f ca="1">IFERROR(__xludf.DUMMYFUNCTION("""COMPUTED_VALUE"""),"")</f>
        <v/>
      </c>
      <c r="E1689" s="2" t="str">
        <f ca="1">IFERROR(__xludf.DUMMYFUNCTION("""COMPUTED_VALUE"""),"")</f>
        <v/>
      </c>
    </row>
    <row r="1690" spans="1:5" ht="12.75">
      <c r="A1690" s="2"/>
      <c r="B1690" s="2" t="str">
        <f ca="1">IFERROR(__xludf.DUMMYFUNCTION("""COMPUTED_VALUE"""),"")</f>
        <v/>
      </c>
      <c r="C1690" s="2" t="str">
        <f ca="1">IFERROR(__xludf.DUMMYFUNCTION("""COMPUTED_VALUE"""),"")</f>
        <v/>
      </c>
      <c r="D1690" s="2" t="str">
        <f ca="1">IFERROR(__xludf.DUMMYFUNCTION("""COMPUTED_VALUE"""),"")</f>
        <v/>
      </c>
      <c r="E1690" s="2" t="str">
        <f ca="1">IFERROR(__xludf.DUMMYFUNCTION("""COMPUTED_VALUE"""),"")</f>
        <v/>
      </c>
    </row>
    <row r="1691" spans="1:5" ht="12.75">
      <c r="A1691" s="2"/>
      <c r="B1691" s="2" t="str">
        <f ca="1">IFERROR(__xludf.DUMMYFUNCTION("""COMPUTED_VALUE"""),"")</f>
        <v/>
      </c>
      <c r="C1691" s="2" t="str">
        <f ca="1">IFERROR(__xludf.DUMMYFUNCTION("""COMPUTED_VALUE"""),"")</f>
        <v/>
      </c>
      <c r="D1691" s="2" t="str">
        <f ca="1">IFERROR(__xludf.DUMMYFUNCTION("""COMPUTED_VALUE"""),"")</f>
        <v/>
      </c>
      <c r="E1691" s="2" t="str">
        <f ca="1">IFERROR(__xludf.DUMMYFUNCTION("""COMPUTED_VALUE"""),"")</f>
        <v/>
      </c>
    </row>
    <row r="1692" spans="1:5" ht="12.75">
      <c r="A1692" s="2"/>
      <c r="B1692" s="2" t="str">
        <f ca="1">IFERROR(__xludf.DUMMYFUNCTION("""COMPUTED_VALUE"""),"")</f>
        <v/>
      </c>
      <c r="C1692" s="2" t="str">
        <f ca="1">IFERROR(__xludf.DUMMYFUNCTION("""COMPUTED_VALUE"""),"")</f>
        <v/>
      </c>
      <c r="D1692" s="2" t="str">
        <f ca="1">IFERROR(__xludf.DUMMYFUNCTION("""COMPUTED_VALUE"""),"")</f>
        <v/>
      </c>
      <c r="E1692" s="2" t="str">
        <f ca="1">IFERROR(__xludf.DUMMYFUNCTION("""COMPUTED_VALUE"""),"")</f>
        <v/>
      </c>
    </row>
    <row r="1693" spans="1:5" ht="12.75">
      <c r="A1693" s="2"/>
      <c r="B1693" s="2" t="str">
        <f ca="1">IFERROR(__xludf.DUMMYFUNCTION("""COMPUTED_VALUE"""),"")</f>
        <v/>
      </c>
      <c r="C1693" s="2" t="str">
        <f ca="1">IFERROR(__xludf.DUMMYFUNCTION("""COMPUTED_VALUE"""),"")</f>
        <v/>
      </c>
      <c r="D1693" s="2" t="str">
        <f ca="1">IFERROR(__xludf.DUMMYFUNCTION("""COMPUTED_VALUE"""),"")</f>
        <v/>
      </c>
      <c r="E1693" s="2" t="str">
        <f ca="1">IFERROR(__xludf.DUMMYFUNCTION("""COMPUTED_VALUE"""),"")</f>
        <v/>
      </c>
    </row>
    <row r="1694" spans="1:5" ht="12.75">
      <c r="A1694" s="2"/>
      <c r="B1694" s="2" t="str">
        <f ca="1">IFERROR(__xludf.DUMMYFUNCTION("""COMPUTED_VALUE"""),"")</f>
        <v/>
      </c>
      <c r="C1694" s="2" t="str">
        <f ca="1">IFERROR(__xludf.DUMMYFUNCTION("""COMPUTED_VALUE"""),"")</f>
        <v/>
      </c>
      <c r="D1694" s="2" t="str">
        <f ca="1">IFERROR(__xludf.DUMMYFUNCTION("""COMPUTED_VALUE"""),"")</f>
        <v/>
      </c>
      <c r="E1694" s="2" t="str">
        <f ca="1">IFERROR(__xludf.DUMMYFUNCTION("""COMPUTED_VALUE"""),"")</f>
        <v/>
      </c>
    </row>
    <row r="1695" spans="1:5" ht="12.75">
      <c r="A1695" s="2"/>
      <c r="B1695" s="2" t="str">
        <f ca="1">IFERROR(__xludf.DUMMYFUNCTION("""COMPUTED_VALUE"""),"")</f>
        <v/>
      </c>
      <c r="C1695" s="2" t="str">
        <f ca="1">IFERROR(__xludf.DUMMYFUNCTION("""COMPUTED_VALUE"""),"")</f>
        <v/>
      </c>
      <c r="D1695" s="2" t="str">
        <f ca="1">IFERROR(__xludf.DUMMYFUNCTION("""COMPUTED_VALUE"""),"")</f>
        <v/>
      </c>
      <c r="E1695" s="2" t="str">
        <f ca="1">IFERROR(__xludf.DUMMYFUNCTION("""COMPUTED_VALUE"""),"")</f>
        <v/>
      </c>
    </row>
    <row r="1696" spans="1:5" ht="12.75">
      <c r="A1696" s="2"/>
      <c r="B1696" s="2" t="str">
        <f ca="1">IFERROR(__xludf.DUMMYFUNCTION("""COMPUTED_VALUE"""),"")</f>
        <v/>
      </c>
      <c r="C1696" s="2" t="str">
        <f ca="1">IFERROR(__xludf.DUMMYFUNCTION("""COMPUTED_VALUE"""),"")</f>
        <v/>
      </c>
      <c r="D1696" s="2" t="str">
        <f ca="1">IFERROR(__xludf.DUMMYFUNCTION("""COMPUTED_VALUE"""),"")</f>
        <v/>
      </c>
      <c r="E1696" s="2" t="str">
        <f ca="1">IFERROR(__xludf.DUMMYFUNCTION("""COMPUTED_VALUE"""),"")</f>
        <v/>
      </c>
    </row>
    <row r="1697" spans="1:5" ht="12.75">
      <c r="A1697" s="2"/>
      <c r="B1697" s="2" t="str">
        <f ca="1">IFERROR(__xludf.DUMMYFUNCTION("""COMPUTED_VALUE"""),"")</f>
        <v/>
      </c>
      <c r="C1697" s="2" t="str">
        <f ca="1">IFERROR(__xludf.DUMMYFUNCTION("""COMPUTED_VALUE"""),"")</f>
        <v/>
      </c>
      <c r="D1697" s="2" t="str">
        <f ca="1">IFERROR(__xludf.DUMMYFUNCTION("""COMPUTED_VALUE"""),"")</f>
        <v/>
      </c>
      <c r="E1697" s="2" t="str">
        <f ca="1">IFERROR(__xludf.DUMMYFUNCTION("""COMPUTED_VALUE"""),"")</f>
        <v/>
      </c>
    </row>
    <row r="1698" spans="1:5" ht="12.75">
      <c r="A1698" s="2"/>
      <c r="B1698" s="2" t="str">
        <f ca="1">IFERROR(__xludf.DUMMYFUNCTION("""COMPUTED_VALUE"""),"")</f>
        <v/>
      </c>
      <c r="C1698" s="2" t="str">
        <f ca="1">IFERROR(__xludf.DUMMYFUNCTION("""COMPUTED_VALUE"""),"")</f>
        <v/>
      </c>
      <c r="D1698" s="2" t="str">
        <f ca="1">IFERROR(__xludf.DUMMYFUNCTION("""COMPUTED_VALUE"""),"")</f>
        <v/>
      </c>
      <c r="E1698" s="2" t="str">
        <f ca="1">IFERROR(__xludf.DUMMYFUNCTION("""COMPUTED_VALUE"""),"")</f>
        <v/>
      </c>
    </row>
    <row r="1699" spans="1:5" ht="12.75">
      <c r="A1699" s="2"/>
      <c r="B1699" s="2" t="str">
        <f ca="1">IFERROR(__xludf.DUMMYFUNCTION("""COMPUTED_VALUE"""),"")</f>
        <v/>
      </c>
      <c r="C1699" s="2" t="str">
        <f ca="1">IFERROR(__xludf.DUMMYFUNCTION("""COMPUTED_VALUE"""),"")</f>
        <v/>
      </c>
      <c r="D1699" s="2" t="str">
        <f ca="1">IFERROR(__xludf.DUMMYFUNCTION("""COMPUTED_VALUE"""),"")</f>
        <v/>
      </c>
      <c r="E1699" s="2" t="str">
        <f ca="1">IFERROR(__xludf.DUMMYFUNCTION("""COMPUTED_VALUE"""),"")</f>
        <v/>
      </c>
    </row>
    <row r="1700" spans="1:5" ht="12.75">
      <c r="A1700" s="2"/>
      <c r="B1700" s="2" t="str">
        <f ca="1">IFERROR(__xludf.DUMMYFUNCTION("""COMPUTED_VALUE"""),"")</f>
        <v/>
      </c>
      <c r="C1700" s="2" t="str">
        <f ca="1">IFERROR(__xludf.DUMMYFUNCTION("""COMPUTED_VALUE"""),"")</f>
        <v/>
      </c>
      <c r="D1700" s="2" t="str">
        <f ca="1">IFERROR(__xludf.DUMMYFUNCTION("""COMPUTED_VALUE"""),"")</f>
        <v/>
      </c>
      <c r="E1700" s="2" t="str">
        <f ca="1">IFERROR(__xludf.DUMMYFUNCTION("""COMPUTED_VALUE"""),"")</f>
        <v/>
      </c>
    </row>
    <row r="1701" spans="1:5" ht="12.75">
      <c r="A1701" s="2"/>
      <c r="B1701" s="2" t="str">
        <f ca="1">IFERROR(__xludf.DUMMYFUNCTION("""COMPUTED_VALUE"""),"")</f>
        <v/>
      </c>
      <c r="C1701" s="2" t="str">
        <f ca="1">IFERROR(__xludf.DUMMYFUNCTION("""COMPUTED_VALUE"""),"")</f>
        <v/>
      </c>
      <c r="D1701" s="2" t="str">
        <f ca="1">IFERROR(__xludf.DUMMYFUNCTION("""COMPUTED_VALUE"""),"")</f>
        <v/>
      </c>
      <c r="E1701" s="2" t="str">
        <f ca="1">IFERROR(__xludf.DUMMYFUNCTION("""COMPUTED_VALUE"""),"")</f>
        <v/>
      </c>
    </row>
    <row r="1702" spans="1:5" ht="12.75">
      <c r="A1702" s="2"/>
      <c r="B1702" s="2" t="str">
        <f ca="1">IFERROR(__xludf.DUMMYFUNCTION("""COMPUTED_VALUE"""),"")</f>
        <v/>
      </c>
      <c r="C1702" s="2" t="str">
        <f ca="1">IFERROR(__xludf.DUMMYFUNCTION("""COMPUTED_VALUE"""),"")</f>
        <v/>
      </c>
      <c r="D1702" s="2" t="str">
        <f ca="1">IFERROR(__xludf.DUMMYFUNCTION("""COMPUTED_VALUE"""),"")</f>
        <v/>
      </c>
      <c r="E1702" s="2" t="str">
        <f ca="1">IFERROR(__xludf.DUMMYFUNCTION("""COMPUTED_VALUE"""),"")</f>
        <v/>
      </c>
    </row>
    <row r="1703" spans="1:5" ht="12.75">
      <c r="A1703" s="2"/>
      <c r="B1703" s="2" t="str">
        <f ca="1">IFERROR(__xludf.DUMMYFUNCTION("""COMPUTED_VALUE"""),"")</f>
        <v/>
      </c>
      <c r="C1703" s="2" t="str">
        <f ca="1">IFERROR(__xludf.DUMMYFUNCTION("""COMPUTED_VALUE"""),"")</f>
        <v/>
      </c>
      <c r="D1703" s="2" t="str">
        <f ca="1">IFERROR(__xludf.DUMMYFUNCTION("""COMPUTED_VALUE"""),"")</f>
        <v/>
      </c>
      <c r="E1703" s="2" t="str">
        <f ca="1">IFERROR(__xludf.DUMMYFUNCTION("""COMPUTED_VALUE"""),"")</f>
        <v/>
      </c>
    </row>
    <row r="1704" spans="1:5" ht="12.75">
      <c r="A1704" s="2"/>
      <c r="B1704" s="2" t="str">
        <f ca="1">IFERROR(__xludf.DUMMYFUNCTION("""COMPUTED_VALUE"""),"")</f>
        <v/>
      </c>
      <c r="C1704" s="2" t="str">
        <f ca="1">IFERROR(__xludf.DUMMYFUNCTION("""COMPUTED_VALUE"""),"")</f>
        <v/>
      </c>
      <c r="D1704" s="2" t="str">
        <f ca="1">IFERROR(__xludf.DUMMYFUNCTION("""COMPUTED_VALUE"""),"")</f>
        <v/>
      </c>
      <c r="E1704" s="2" t="str">
        <f ca="1">IFERROR(__xludf.DUMMYFUNCTION("""COMPUTED_VALUE"""),"")</f>
        <v/>
      </c>
    </row>
    <row r="1705" spans="1:5" ht="12.75">
      <c r="A1705" s="2"/>
      <c r="B1705" s="2" t="str">
        <f ca="1">IFERROR(__xludf.DUMMYFUNCTION("""COMPUTED_VALUE"""),"")</f>
        <v/>
      </c>
      <c r="C1705" s="2" t="str">
        <f ca="1">IFERROR(__xludf.DUMMYFUNCTION("""COMPUTED_VALUE"""),"")</f>
        <v/>
      </c>
      <c r="D1705" s="2" t="str">
        <f ca="1">IFERROR(__xludf.DUMMYFUNCTION("""COMPUTED_VALUE"""),"")</f>
        <v/>
      </c>
      <c r="E1705" s="2" t="str">
        <f ca="1">IFERROR(__xludf.DUMMYFUNCTION("""COMPUTED_VALUE"""),"")</f>
        <v/>
      </c>
    </row>
    <row r="1706" spans="1:5" ht="12.75">
      <c r="A1706" s="2"/>
      <c r="B1706" s="2" t="str">
        <f ca="1">IFERROR(__xludf.DUMMYFUNCTION("""COMPUTED_VALUE"""),"")</f>
        <v/>
      </c>
      <c r="C1706" s="2" t="str">
        <f ca="1">IFERROR(__xludf.DUMMYFUNCTION("""COMPUTED_VALUE"""),"")</f>
        <v/>
      </c>
      <c r="D1706" s="2" t="str">
        <f ca="1">IFERROR(__xludf.DUMMYFUNCTION("""COMPUTED_VALUE"""),"")</f>
        <v/>
      </c>
      <c r="E1706" s="2" t="str">
        <f ca="1">IFERROR(__xludf.DUMMYFUNCTION("""COMPUTED_VALUE"""),"")</f>
        <v/>
      </c>
    </row>
    <row r="1707" spans="1:5" ht="12.75">
      <c r="A1707" s="2"/>
      <c r="B1707" s="2" t="str">
        <f ca="1">IFERROR(__xludf.DUMMYFUNCTION("""COMPUTED_VALUE"""),"")</f>
        <v/>
      </c>
      <c r="C1707" s="2" t="str">
        <f ca="1">IFERROR(__xludf.DUMMYFUNCTION("""COMPUTED_VALUE"""),"")</f>
        <v/>
      </c>
      <c r="D1707" s="2" t="str">
        <f ca="1">IFERROR(__xludf.DUMMYFUNCTION("""COMPUTED_VALUE"""),"")</f>
        <v/>
      </c>
      <c r="E1707" s="2" t="str">
        <f ca="1">IFERROR(__xludf.DUMMYFUNCTION("""COMPUTED_VALUE"""),"")</f>
        <v/>
      </c>
    </row>
    <row r="1708" spans="1:5" ht="12.75">
      <c r="A1708" s="2"/>
      <c r="B1708" s="2" t="str">
        <f ca="1">IFERROR(__xludf.DUMMYFUNCTION("""COMPUTED_VALUE"""),"")</f>
        <v/>
      </c>
      <c r="C1708" s="2" t="str">
        <f ca="1">IFERROR(__xludf.DUMMYFUNCTION("""COMPUTED_VALUE"""),"")</f>
        <v/>
      </c>
      <c r="D1708" s="2" t="str">
        <f ca="1">IFERROR(__xludf.DUMMYFUNCTION("""COMPUTED_VALUE"""),"")</f>
        <v/>
      </c>
      <c r="E1708" s="2" t="str">
        <f ca="1">IFERROR(__xludf.DUMMYFUNCTION("""COMPUTED_VALUE"""),"")</f>
        <v/>
      </c>
    </row>
    <row r="1709" spans="1:5" ht="12.75">
      <c r="A1709" s="2"/>
      <c r="B1709" s="2" t="str">
        <f ca="1">IFERROR(__xludf.DUMMYFUNCTION("""COMPUTED_VALUE"""),"")</f>
        <v/>
      </c>
      <c r="C1709" s="2" t="str">
        <f ca="1">IFERROR(__xludf.DUMMYFUNCTION("""COMPUTED_VALUE"""),"")</f>
        <v/>
      </c>
      <c r="D1709" s="2" t="str">
        <f ca="1">IFERROR(__xludf.DUMMYFUNCTION("""COMPUTED_VALUE"""),"")</f>
        <v/>
      </c>
      <c r="E1709" s="2" t="str">
        <f ca="1">IFERROR(__xludf.DUMMYFUNCTION("""COMPUTED_VALUE"""),"")</f>
        <v/>
      </c>
    </row>
    <row r="1710" spans="1:5" ht="12.75">
      <c r="A1710" s="2"/>
      <c r="B1710" s="2" t="str">
        <f ca="1">IFERROR(__xludf.DUMMYFUNCTION("""COMPUTED_VALUE"""),"")</f>
        <v/>
      </c>
      <c r="C1710" s="2" t="str">
        <f ca="1">IFERROR(__xludf.DUMMYFUNCTION("""COMPUTED_VALUE"""),"")</f>
        <v/>
      </c>
      <c r="D1710" s="2" t="str">
        <f ca="1">IFERROR(__xludf.DUMMYFUNCTION("""COMPUTED_VALUE"""),"")</f>
        <v/>
      </c>
      <c r="E1710" s="2" t="str">
        <f ca="1">IFERROR(__xludf.DUMMYFUNCTION("""COMPUTED_VALUE"""),"")</f>
        <v/>
      </c>
    </row>
    <row r="1711" spans="1:5" ht="12.75">
      <c r="A1711" s="2"/>
      <c r="B1711" s="2" t="str">
        <f ca="1">IFERROR(__xludf.DUMMYFUNCTION("""COMPUTED_VALUE"""),"")</f>
        <v/>
      </c>
      <c r="C1711" s="2" t="str">
        <f ca="1">IFERROR(__xludf.DUMMYFUNCTION("""COMPUTED_VALUE"""),"")</f>
        <v/>
      </c>
      <c r="D1711" s="2" t="str">
        <f ca="1">IFERROR(__xludf.DUMMYFUNCTION("""COMPUTED_VALUE"""),"")</f>
        <v/>
      </c>
      <c r="E1711" s="2" t="str">
        <f ca="1">IFERROR(__xludf.DUMMYFUNCTION("""COMPUTED_VALUE"""),"")</f>
        <v/>
      </c>
    </row>
    <row r="1712" spans="1:5" ht="12.75">
      <c r="A1712" s="2"/>
      <c r="B1712" s="2" t="str">
        <f ca="1">IFERROR(__xludf.DUMMYFUNCTION("""COMPUTED_VALUE"""),"")</f>
        <v/>
      </c>
      <c r="C1712" s="2" t="str">
        <f ca="1">IFERROR(__xludf.DUMMYFUNCTION("""COMPUTED_VALUE"""),"")</f>
        <v/>
      </c>
      <c r="D1712" s="2" t="str">
        <f ca="1">IFERROR(__xludf.DUMMYFUNCTION("""COMPUTED_VALUE"""),"")</f>
        <v/>
      </c>
      <c r="E1712" s="2" t="str">
        <f ca="1">IFERROR(__xludf.DUMMYFUNCTION("""COMPUTED_VALUE"""),"")</f>
        <v/>
      </c>
    </row>
    <row r="1713" spans="1:5" ht="12.75">
      <c r="A1713" s="2"/>
      <c r="B1713" s="2" t="str">
        <f ca="1">IFERROR(__xludf.DUMMYFUNCTION("""COMPUTED_VALUE"""),"")</f>
        <v/>
      </c>
      <c r="C1713" s="2" t="str">
        <f ca="1">IFERROR(__xludf.DUMMYFUNCTION("""COMPUTED_VALUE"""),"")</f>
        <v/>
      </c>
      <c r="D1713" s="2" t="str">
        <f ca="1">IFERROR(__xludf.DUMMYFUNCTION("""COMPUTED_VALUE"""),"")</f>
        <v/>
      </c>
      <c r="E1713" s="2" t="str">
        <f ca="1">IFERROR(__xludf.DUMMYFUNCTION("""COMPUTED_VALUE"""),"")</f>
        <v/>
      </c>
    </row>
    <row r="1714" spans="1:5" ht="12.75">
      <c r="A1714" s="2"/>
      <c r="B1714" s="2" t="str">
        <f ca="1">IFERROR(__xludf.DUMMYFUNCTION("""COMPUTED_VALUE"""),"")</f>
        <v/>
      </c>
      <c r="C1714" s="2" t="str">
        <f ca="1">IFERROR(__xludf.DUMMYFUNCTION("""COMPUTED_VALUE"""),"")</f>
        <v/>
      </c>
      <c r="D1714" s="2" t="str">
        <f ca="1">IFERROR(__xludf.DUMMYFUNCTION("""COMPUTED_VALUE"""),"")</f>
        <v/>
      </c>
      <c r="E1714" s="2" t="str">
        <f ca="1">IFERROR(__xludf.DUMMYFUNCTION("""COMPUTED_VALUE"""),"")</f>
        <v/>
      </c>
    </row>
    <row r="1715" spans="1:5" ht="12.75">
      <c r="A1715" s="2"/>
      <c r="B1715" s="2" t="str">
        <f ca="1">IFERROR(__xludf.DUMMYFUNCTION("""COMPUTED_VALUE"""),"")</f>
        <v/>
      </c>
      <c r="C1715" s="2" t="str">
        <f ca="1">IFERROR(__xludf.DUMMYFUNCTION("""COMPUTED_VALUE"""),"")</f>
        <v/>
      </c>
      <c r="D1715" s="2" t="str">
        <f ca="1">IFERROR(__xludf.DUMMYFUNCTION("""COMPUTED_VALUE"""),"")</f>
        <v/>
      </c>
      <c r="E1715" s="2" t="str">
        <f ca="1">IFERROR(__xludf.DUMMYFUNCTION("""COMPUTED_VALUE"""),"")</f>
        <v/>
      </c>
    </row>
    <row r="1716" spans="1:5" ht="12.75">
      <c r="A1716" s="2"/>
      <c r="B1716" s="2" t="str">
        <f ca="1">IFERROR(__xludf.DUMMYFUNCTION("""COMPUTED_VALUE"""),"")</f>
        <v/>
      </c>
      <c r="C1716" s="2" t="str">
        <f ca="1">IFERROR(__xludf.DUMMYFUNCTION("""COMPUTED_VALUE"""),"")</f>
        <v/>
      </c>
      <c r="D1716" s="2" t="str">
        <f ca="1">IFERROR(__xludf.DUMMYFUNCTION("""COMPUTED_VALUE"""),"")</f>
        <v/>
      </c>
      <c r="E1716" s="2" t="str">
        <f ca="1">IFERROR(__xludf.DUMMYFUNCTION("""COMPUTED_VALUE"""),"")</f>
        <v/>
      </c>
    </row>
    <row r="1717" spans="1:5" ht="12.75">
      <c r="A1717" s="2"/>
      <c r="B1717" s="2" t="str">
        <f ca="1">IFERROR(__xludf.DUMMYFUNCTION("""COMPUTED_VALUE"""),"")</f>
        <v/>
      </c>
      <c r="C1717" s="2" t="str">
        <f ca="1">IFERROR(__xludf.DUMMYFUNCTION("""COMPUTED_VALUE"""),"")</f>
        <v/>
      </c>
      <c r="D1717" s="2" t="str">
        <f ca="1">IFERROR(__xludf.DUMMYFUNCTION("""COMPUTED_VALUE"""),"")</f>
        <v/>
      </c>
      <c r="E1717" s="2" t="str">
        <f ca="1">IFERROR(__xludf.DUMMYFUNCTION("""COMPUTED_VALUE"""),"")</f>
        <v/>
      </c>
    </row>
    <row r="1718" spans="1:5" ht="12.75">
      <c r="A1718" s="2"/>
      <c r="B1718" s="2" t="str">
        <f ca="1">IFERROR(__xludf.DUMMYFUNCTION("""COMPUTED_VALUE"""),"")</f>
        <v/>
      </c>
      <c r="C1718" s="2" t="str">
        <f ca="1">IFERROR(__xludf.DUMMYFUNCTION("""COMPUTED_VALUE"""),"")</f>
        <v/>
      </c>
      <c r="D1718" s="2" t="str">
        <f ca="1">IFERROR(__xludf.DUMMYFUNCTION("""COMPUTED_VALUE"""),"")</f>
        <v/>
      </c>
      <c r="E1718" s="2" t="str">
        <f ca="1">IFERROR(__xludf.DUMMYFUNCTION("""COMPUTED_VALUE"""),"")</f>
        <v/>
      </c>
    </row>
    <row r="1719" spans="1:5" ht="12.75">
      <c r="A1719" s="2"/>
      <c r="B1719" s="2" t="str">
        <f ca="1">IFERROR(__xludf.DUMMYFUNCTION("""COMPUTED_VALUE"""),"")</f>
        <v/>
      </c>
      <c r="C1719" s="2" t="str">
        <f ca="1">IFERROR(__xludf.DUMMYFUNCTION("""COMPUTED_VALUE"""),"")</f>
        <v/>
      </c>
      <c r="D1719" s="2" t="str">
        <f ca="1">IFERROR(__xludf.DUMMYFUNCTION("""COMPUTED_VALUE"""),"")</f>
        <v/>
      </c>
      <c r="E1719" s="2" t="str">
        <f ca="1">IFERROR(__xludf.DUMMYFUNCTION("""COMPUTED_VALUE"""),"")</f>
        <v/>
      </c>
    </row>
    <row r="1720" spans="1:5" ht="12.75">
      <c r="A1720" s="2"/>
      <c r="B1720" s="2" t="str">
        <f ca="1">IFERROR(__xludf.DUMMYFUNCTION("""COMPUTED_VALUE"""),"")</f>
        <v/>
      </c>
      <c r="C1720" s="2" t="str">
        <f ca="1">IFERROR(__xludf.DUMMYFUNCTION("""COMPUTED_VALUE"""),"")</f>
        <v/>
      </c>
      <c r="D1720" s="2" t="str">
        <f ca="1">IFERROR(__xludf.DUMMYFUNCTION("""COMPUTED_VALUE"""),"")</f>
        <v/>
      </c>
      <c r="E1720" s="2" t="str">
        <f ca="1">IFERROR(__xludf.DUMMYFUNCTION("""COMPUTED_VALUE"""),"")</f>
        <v/>
      </c>
    </row>
    <row r="1721" spans="1:5" ht="12.75">
      <c r="A1721" s="2"/>
      <c r="B1721" s="2" t="str">
        <f ca="1">IFERROR(__xludf.DUMMYFUNCTION("""COMPUTED_VALUE"""),"")</f>
        <v/>
      </c>
      <c r="C1721" s="2" t="str">
        <f ca="1">IFERROR(__xludf.DUMMYFUNCTION("""COMPUTED_VALUE"""),"")</f>
        <v/>
      </c>
      <c r="D1721" s="2" t="str">
        <f ca="1">IFERROR(__xludf.DUMMYFUNCTION("""COMPUTED_VALUE"""),"")</f>
        <v/>
      </c>
      <c r="E1721" s="2" t="str">
        <f ca="1">IFERROR(__xludf.DUMMYFUNCTION("""COMPUTED_VALUE"""),"")</f>
        <v/>
      </c>
    </row>
    <row r="1722" spans="1:5" ht="12.75">
      <c r="A1722" s="2"/>
      <c r="B1722" s="2" t="str">
        <f ca="1">IFERROR(__xludf.DUMMYFUNCTION("""COMPUTED_VALUE"""),"")</f>
        <v/>
      </c>
      <c r="C1722" s="2" t="str">
        <f ca="1">IFERROR(__xludf.DUMMYFUNCTION("""COMPUTED_VALUE"""),"")</f>
        <v/>
      </c>
      <c r="D1722" s="2" t="str">
        <f ca="1">IFERROR(__xludf.DUMMYFUNCTION("""COMPUTED_VALUE"""),"")</f>
        <v/>
      </c>
      <c r="E1722" s="2" t="str">
        <f ca="1">IFERROR(__xludf.DUMMYFUNCTION("""COMPUTED_VALUE"""),"")</f>
        <v/>
      </c>
    </row>
    <row r="1723" spans="1:5" ht="12.75">
      <c r="A1723" s="2"/>
      <c r="B1723" s="2" t="str">
        <f ca="1">IFERROR(__xludf.DUMMYFUNCTION("""COMPUTED_VALUE"""),"")</f>
        <v/>
      </c>
      <c r="C1723" s="2" t="str">
        <f ca="1">IFERROR(__xludf.DUMMYFUNCTION("""COMPUTED_VALUE"""),"")</f>
        <v/>
      </c>
      <c r="D1723" s="2" t="str">
        <f ca="1">IFERROR(__xludf.DUMMYFUNCTION("""COMPUTED_VALUE"""),"")</f>
        <v/>
      </c>
      <c r="E1723" s="2" t="str">
        <f ca="1">IFERROR(__xludf.DUMMYFUNCTION("""COMPUTED_VALUE"""),"")</f>
        <v/>
      </c>
    </row>
    <row r="1724" spans="1:5" ht="12.75">
      <c r="A1724" s="2"/>
      <c r="B1724" s="2" t="str">
        <f ca="1">IFERROR(__xludf.DUMMYFUNCTION("""COMPUTED_VALUE"""),"")</f>
        <v/>
      </c>
      <c r="C1724" s="2" t="str">
        <f ca="1">IFERROR(__xludf.DUMMYFUNCTION("""COMPUTED_VALUE"""),"")</f>
        <v/>
      </c>
      <c r="D1724" s="2" t="str">
        <f ca="1">IFERROR(__xludf.DUMMYFUNCTION("""COMPUTED_VALUE"""),"")</f>
        <v/>
      </c>
      <c r="E1724" s="2" t="str">
        <f ca="1">IFERROR(__xludf.DUMMYFUNCTION("""COMPUTED_VALUE"""),"")</f>
        <v/>
      </c>
    </row>
    <row r="1725" spans="1:5" ht="12.75">
      <c r="A1725" s="2"/>
      <c r="B1725" s="2" t="str">
        <f ca="1">IFERROR(__xludf.DUMMYFUNCTION("""COMPUTED_VALUE"""),"")</f>
        <v/>
      </c>
      <c r="C1725" s="2" t="str">
        <f ca="1">IFERROR(__xludf.DUMMYFUNCTION("""COMPUTED_VALUE"""),"")</f>
        <v/>
      </c>
      <c r="D1725" s="2" t="str">
        <f ca="1">IFERROR(__xludf.DUMMYFUNCTION("""COMPUTED_VALUE"""),"")</f>
        <v/>
      </c>
      <c r="E1725" s="2" t="str">
        <f ca="1">IFERROR(__xludf.DUMMYFUNCTION("""COMPUTED_VALUE"""),"")</f>
        <v/>
      </c>
    </row>
    <row r="1726" spans="1:5" ht="12.75">
      <c r="A1726" s="2"/>
      <c r="B1726" s="2" t="str">
        <f ca="1">IFERROR(__xludf.DUMMYFUNCTION("""COMPUTED_VALUE"""),"")</f>
        <v/>
      </c>
      <c r="C1726" s="2" t="str">
        <f ca="1">IFERROR(__xludf.DUMMYFUNCTION("""COMPUTED_VALUE"""),"")</f>
        <v/>
      </c>
      <c r="D1726" s="2" t="str">
        <f ca="1">IFERROR(__xludf.DUMMYFUNCTION("""COMPUTED_VALUE"""),"")</f>
        <v/>
      </c>
      <c r="E1726" s="2" t="str">
        <f ca="1">IFERROR(__xludf.DUMMYFUNCTION("""COMPUTED_VALUE"""),"")</f>
        <v/>
      </c>
    </row>
    <row r="1727" spans="1:5" ht="12.75">
      <c r="A1727" s="2"/>
      <c r="B1727" s="2" t="str">
        <f ca="1">IFERROR(__xludf.DUMMYFUNCTION("""COMPUTED_VALUE"""),"")</f>
        <v/>
      </c>
      <c r="C1727" s="2" t="str">
        <f ca="1">IFERROR(__xludf.DUMMYFUNCTION("""COMPUTED_VALUE"""),"")</f>
        <v/>
      </c>
      <c r="D1727" s="2" t="str">
        <f ca="1">IFERROR(__xludf.DUMMYFUNCTION("""COMPUTED_VALUE"""),"")</f>
        <v/>
      </c>
      <c r="E1727" s="2" t="str">
        <f ca="1">IFERROR(__xludf.DUMMYFUNCTION("""COMPUTED_VALUE"""),"")</f>
        <v/>
      </c>
    </row>
    <row r="1728" spans="1:5" ht="12.75">
      <c r="A1728" s="2"/>
      <c r="B1728" s="2" t="str">
        <f ca="1">IFERROR(__xludf.DUMMYFUNCTION("""COMPUTED_VALUE"""),"")</f>
        <v/>
      </c>
      <c r="C1728" s="2" t="str">
        <f ca="1">IFERROR(__xludf.DUMMYFUNCTION("""COMPUTED_VALUE"""),"")</f>
        <v/>
      </c>
      <c r="D1728" s="2" t="str">
        <f ca="1">IFERROR(__xludf.DUMMYFUNCTION("""COMPUTED_VALUE"""),"")</f>
        <v/>
      </c>
      <c r="E1728" s="2" t="str">
        <f ca="1">IFERROR(__xludf.DUMMYFUNCTION("""COMPUTED_VALUE"""),"")</f>
        <v/>
      </c>
    </row>
    <row r="1729" spans="1:5" ht="12.75">
      <c r="A1729" s="2"/>
      <c r="B1729" s="2" t="str">
        <f ca="1">IFERROR(__xludf.DUMMYFUNCTION("""COMPUTED_VALUE"""),"")</f>
        <v/>
      </c>
      <c r="C1729" s="2" t="str">
        <f ca="1">IFERROR(__xludf.DUMMYFUNCTION("""COMPUTED_VALUE"""),"")</f>
        <v/>
      </c>
      <c r="D1729" s="2" t="str">
        <f ca="1">IFERROR(__xludf.DUMMYFUNCTION("""COMPUTED_VALUE"""),"")</f>
        <v/>
      </c>
      <c r="E1729" s="2" t="str">
        <f ca="1">IFERROR(__xludf.DUMMYFUNCTION("""COMPUTED_VALUE"""),"")</f>
        <v/>
      </c>
    </row>
    <row r="1730" spans="1:5" ht="12.75">
      <c r="A1730" s="2"/>
      <c r="B1730" s="2" t="str">
        <f ca="1">IFERROR(__xludf.DUMMYFUNCTION("""COMPUTED_VALUE"""),"")</f>
        <v/>
      </c>
      <c r="C1730" s="2" t="str">
        <f ca="1">IFERROR(__xludf.DUMMYFUNCTION("""COMPUTED_VALUE"""),"")</f>
        <v/>
      </c>
      <c r="D1730" s="2" t="str">
        <f ca="1">IFERROR(__xludf.DUMMYFUNCTION("""COMPUTED_VALUE"""),"")</f>
        <v/>
      </c>
      <c r="E1730" s="2" t="str">
        <f ca="1">IFERROR(__xludf.DUMMYFUNCTION("""COMPUTED_VALUE"""),"")</f>
        <v/>
      </c>
    </row>
    <row r="1731" spans="1:5" ht="12.75">
      <c r="A1731" s="2"/>
      <c r="B1731" s="2" t="str">
        <f ca="1">IFERROR(__xludf.DUMMYFUNCTION("""COMPUTED_VALUE"""),"")</f>
        <v/>
      </c>
      <c r="C1731" s="2" t="str">
        <f ca="1">IFERROR(__xludf.DUMMYFUNCTION("""COMPUTED_VALUE"""),"")</f>
        <v/>
      </c>
      <c r="D1731" s="2" t="str">
        <f ca="1">IFERROR(__xludf.DUMMYFUNCTION("""COMPUTED_VALUE"""),"")</f>
        <v/>
      </c>
      <c r="E1731" s="2" t="str">
        <f ca="1">IFERROR(__xludf.DUMMYFUNCTION("""COMPUTED_VALUE"""),"")</f>
        <v/>
      </c>
    </row>
    <row r="1732" spans="1:5" ht="12.75">
      <c r="A1732" s="2"/>
      <c r="B1732" s="2" t="str">
        <f ca="1">IFERROR(__xludf.DUMMYFUNCTION("""COMPUTED_VALUE"""),"")</f>
        <v/>
      </c>
      <c r="C1732" s="2" t="str">
        <f ca="1">IFERROR(__xludf.DUMMYFUNCTION("""COMPUTED_VALUE"""),"")</f>
        <v/>
      </c>
      <c r="D1732" s="2" t="str">
        <f ca="1">IFERROR(__xludf.DUMMYFUNCTION("""COMPUTED_VALUE"""),"")</f>
        <v/>
      </c>
      <c r="E1732" s="2" t="str">
        <f ca="1">IFERROR(__xludf.DUMMYFUNCTION("""COMPUTED_VALUE"""),"")</f>
        <v/>
      </c>
    </row>
    <row r="1733" spans="1:5" ht="12.75">
      <c r="A1733" s="2"/>
      <c r="B1733" s="2" t="str">
        <f ca="1">IFERROR(__xludf.DUMMYFUNCTION("""COMPUTED_VALUE"""),"")</f>
        <v/>
      </c>
      <c r="C1733" s="2" t="str">
        <f ca="1">IFERROR(__xludf.DUMMYFUNCTION("""COMPUTED_VALUE"""),"")</f>
        <v/>
      </c>
      <c r="D1733" s="2" t="str">
        <f ca="1">IFERROR(__xludf.DUMMYFUNCTION("""COMPUTED_VALUE"""),"")</f>
        <v/>
      </c>
      <c r="E1733" s="2" t="str">
        <f ca="1">IFERROR(__xludf.DUMMYFUNCTION("""COMPUTED_VALUE"""),"")</f>
        <v/>
      </c>
    </row>
    <row r="1734" spans="1:5" ht="12.75">
      <c r="A1734" s="2"/>
      <c r="B1734" s="2" t="str">
        <f ca="1">IFERROR(__xludf.DUMMYFUNCTION("""COMPUTED_VALUE"""),"")</f>
        <v/>
      </c>
      <c r="C1734" s="2" t="str">
        <f ca="1">IFERROR(__xludf.DUMMYFUNCTION("""COMPUTED_VALUE"""),"")</f>
        <v/>
      </c>
      <c r="D1734" s="2" t="str">
        <f ca="1">IFERROR(__xludf.DUMMYFUNCTION("""COMPUTED_VALUE"""),"")</f>
        <v/>
      </c>
      <c r="E1734" s="2" t="str">
        <f ca="1">IFERROR(__xludf.DUMMYFUNCTION("""COMPUTED_VALUE"""),"")</f>
        <v/>
      </c>
    </row>
    <row r="1735" spans="1:5" ht="12.75">
      <c r="A1735" s="2"/>
      <c r="B1735" s="2" t="str">
        <f ca="1">IFERROR(__xludf.DUMMYFUNCTION("""COMPUTED_VALUE"""),"")</f>
        <v/>
      </c>
      <c r="C1735" s="2" t="str">
        <f ca="1">IFERROR(__xludf.DUMMYFUNCTION("""COMPUTED_VALUE"""),"")</f>
        <v/>
      </c>
      <c r="D1735" s="2" t="str">
        <f ca="1">IFERROR(__xludf.DUMMYFUNCTION("""COMPUTED_VALUE"""),"")</f>
        <v/>
      </c>
      <c r="E1735" s="2" t="str">
        <f ca="1">IFERROR(__xludf.DUMMYFUNCTION("""COMPUTED_VALUE"""),"")</f>
        <v/>
      </c>
    </row>
    <row r="1736" spans="1:5" ht="12.75">
      <c r="A1736" s="2"/>
      <c r="B1736" s="2" t="str">
        <f ca="1">IFERROR(__xludf.DUMMYFUNCTION("""COMPUTED_VALUE"""),"")</f>
        <v/>
      </c>
      <c r="C1736" s="2" t="str">
        <f ca="1">IFERROR(__xludf.DUMMYFUNCTION("""COMPUTED_VALUE"""),"")</f>
        <v/>
      </c>
      <c r="D1736" s="2" t="str">
        <f ca="1">IFERROR(__xludf.DUMMYFUNCTION("""COMPUTED_VALUE"""),"")</f>
        <v/>
      </c>
      <c r="E1736" s="2" t="str">
        <f ca="1">IFERROR(__xludf.DUMMYFUNCTION("""COMPUTED_VALUE"""),"")</f>
        <v/>
      </c>
    </row>
    <row r="1737" spans="1:5" ht="12.75">
      <c r="A1737" s="2"/>
      <c r="B1737" s="2" t="str">
        <f ca="1">IFERROR(__xludf.DUMMYFUNCTION("""COMPUTED_VALUE"""),"")</f>
        <v/>
      </c>
      <c r="C1737" s="2" t="str">
        <f ca="1">IFERROR(__xludf.DUMMYFUNCTION("""COMPUTED_VALUE"""),"")</f>
        <v/>
      </c>
      <c r="D1737" s="2" t="str">
        <f ca="1">IFERROR(__xludf.DUMMYFUNCTION("""COMPUTED_VALUE"""),"")</f>
        <v/>
      </c>
      <c r="E1737" s="2" t="str">
        <f ca="1">IFERROR(__xludf.DUMMYFUNCTION("""COMPUTED_VALUE"""),"")</f>
        <v/>
      </c>
    </row>
    <row r="1738" spans="1:5" ht="12.75">
      <c r="A1738" s="2"/>
      <c r="B1738" s="2" t="str">
        <f ca="1">IFERROR(__xludf.DUMMYFUNCTION("""COMPUTED_VALUE"""),"")</f>
        <v/>
      </c>
      <c r="C1738" s="2" t="str">
        <f ca="1">IFERROR(__xludf.DUMMYFUNCTION("""COMPUTED_VALUE"""),"")</f>
        <v/>
      </c>
      <c r="D1738" s="2" t="str">
        <f ca="1">IFERROR(__xludf.DUMMYFUNCTION("""COMPUTED_VALUE"""),"")</f>
        <v/>
      </c>
      <c r="E1738" s="2" t="str">
        <f ca="1">IFERROR(__xludf.DUMMYFUNCTION("""COMPUTED_VALUE"""),"")</f>
        <v/>
      </c>
    </row>
    <row r="1739" spans="1:5" ht="12.75">
      <c r="A1739" s="2"/>
      <c r="B1739" s="2" t="str">
        <f ca="1">IFERROR(__xludf.DUMMYFUNCTION("""COMPUTED_VALUE"""),"")</f>
        <v/>
      </c>
      <c r="C1739" s="2" t="str">
        <f ca="1">IFERROR(__xludf.DUMMYFUNCTION("""COMPUTED_VALUE"""),"")</f>
        <v/>
      </c>
      <c r="D1739" s="2" t="str">
        <f ca="1">IFERROR(__xludf.DUMMYFUNCTION("""COMPUTED_VALUE"""),"")</f>
        <v/>
      </c>
      <c r="E1739" s="2" t="str">
        <f ca="1">IFERROR(__xludf.DUMMYFUNCTION("""COMPUTED_VALUE"""),"")</f>
        <v/>
      </c>
    </row>
    <row r="1740" spans="1:5" ht="12.75">
      <c r="A1740" s="2"/>
      <c r="B1740" s="2" t="str">
        <f ca="1">IFERROR(__xludf.DUMMYFUNCTION("""COMPUTED_VALUE"""),"")</f>
        <v/>
      </c>
      <c r="C1740" s="2" t="str">
        <f ca="1">IFERROR(__xludf.DUMMYFUNCTION("""COMPUTED_VALUE"""),"")</f>
        <v/>
      </c>
      <c r="D1740" s="2" t="str">
        <f ca="1">IFERROR(__xludf.DUMMYFUNCTION("""COMPUTED_VALUE"""),"")</f>
        <v/>
      </c>
      <c r="E1740" s="2" t="str">
        <f ca="1">IFERROR(__xludf.DUMMYFUNCTION("""COMPUTED_VALUE"""),"")</f>
        <v/>
      </c>
    </row>
    <row r="1741" spans="1:5" ht="12.75">
      <c r="A1741" s="2"/>
      <c r="B1741" s="2" t="str">
        <f ca="1">IFERROR(__xludf.DUMMYFUNCTION("""COMPUTED_VALUE"""),"")</f>
        <v/>
      </c>
      <c r="C1741" s="2" t="str">
        <f ca="1">IFERROR(__xludf.DUMMYFUNCTION("""COMPUTED_VALUE"""),"")</f>
        <v/>
      </c>
      <c r="D1741" s="2" t="str">
        <f ca="1">IFERROR(__xludf.DUMMYFUNCTION("""COMPUTED_VALUE"""),"")</f>
        <v/>
      </c>
      <c r="E1741" s="2" t="str">
        <f ca="1">IFERROR(__xludf.DUMMYFUNCTION("""COMPUTED_VALUE"""),"")</f>
        <v/>
      </c>
    </row>
    <row r="1742" spans="1:5" ht="12.75">
      <c r="A1742" s="2"/>
      <c r="B1742" s="2" t="str">
        <f ca="1">IFERROR(__xludf.DUMMYFUNCTION("""COMPUTED_VALUE"""),"")</f>
        <v/>
      </c>
      <c r="C1742" s="2" t="str">
        <f ca="1">IFERROR(__xludf.DUMMYFUNCTION("""COMPUTED_VALUE"""),"")</f>
        <v/>
      </c>
      <c r="D1742" s="2" t="str">
        <f ca="1">IFERROR(__xludf.DUMMYFUNCTION("""COMPUTED_VALUE"""),"")</f>
        <v/>
      </c>
      <c r="E1742" s="2" t="str">
        <f ca="1">IFERROR(__xludf.DUMMYFUNCTION("""COMPUTED_VALUE"""),"")</f>
        <v/>
      </c>
    </row>
    <row r="1743" spans="1:5" ht="12.75">
      <c r="A1743" s="2"/>
      <c r="B1743" s="2" t="str">
        <f ca="1">IFERROR(__xludf.DUMMYFUNCTION("""COMPUTED_VALUE"""),"")</f>
        <v/>
      </c>
      <c r="C1743" s="2" t="str">
        <f ca="1">IFERROR(__xludf.DUMMYFUNCTION("""COMPUTED_VALUE"""),"")</f>
        <v/>
      </c>
      <c r="D1743" s="2" t="str">
        <f ca="1">IFERROR(__xludf.DUMMYFUNCTION("""COMPUTED_VALUE"""),"")</f>
        <v/>
      </c>
      <c r="E1743" s="2" t="str">
        <f ca="1">IFERROR(__xludf.DUMMYFUNCTION("""COMPUTED_VALUE"""),"")</f>
        <v/>
      </c>
    </row>
    <row r="1744" spans="1:5" ht="12.75">
      <c r="A1744" s="2"/>
      <c r="B1744" s="2" t="str">
        <f ca="1">IFERROR(__xludf.DUMMYFUNCTION("""COMPUTED_VALUE"""),"")</f>
        <v/>
      </c>
      <c r="C1744" s="2" t="str">
        <f ca="1">IFERROR(__xludf.DUMMYFUNCTION("""COMPUTED_VALUE"""),"")</f>
        <v/>
      </c>
      <c r="D1744" s="2" t="str">
        <f ca="1">IFERROR(__xludf.DUMMYFUNCTION("""COMPUTED_VALUE"""),"")</f>
        <v/>
      </c>
      <c r="E1744" s="2" t="str">
        <f ca="1">IFERROR(__xludf.DUMMYFUNCTION("""COMPUTED_VALUE"""),"")</f>
        <v/>
      </c>
    </row>
    <row r="1745" spans="1:5" ht="12.75">
      <c r="A1745" s="2"/>
      <c r="B1745" s="2" t="str">
        <f ca="1">IFERROR(__xludf.DUMMYFUNCTION("""COMPUTED_VALUE"""),"")</f>
        <v/>
      </c>
      <c r="C1745" s="2" t="str">
        <f ca="1">IFERROR(__xludf.DUMMYFUNCTION("""COMPUTED_VALUE"""),"")</f>
        <v/>
      </c>
      <c r="D1745" s="2" t="str">
        <f ca="1">IFERROR(__xludf.DUMMYFUNCTION("""COMPUTED_VALUE"""),"")</f>
        <v/>
      </c>
      <c r="E1745" s="2" t="str">
        <f ca="1">IFERROR(__xludf.DUMMYFUNCTION("""COMPUTED_VALUE"""),"")</f>
        <v/>
      </c>
    </row>
    <row r="1746" spans="1:5" ht="12.75">
      <c r="A1746" s="2"/>
      <c r="B1746" s="2" t="str">
        <f ca="1">IFERROR(__xludf.DUMMYFUNCTION("""COMPUTED_VALUE"""),"")</f>
        <v/>
      </c>
      <c r="C1746" s="2" t="str">
        <f ca="1">IFERROR(__xludf.DUMMYFUNCTION("""COMPUTED_VALUE"""),"")</f>
        <v/>
      </c>
      <c r="D1746" s="2" t="str">
        <f ca="1">IFERROR(__xludf.DUMMYFUNCTION("""COMPUTED_VALUE"""),"")</f>
        <v/>
      </c>
      <c r="E1746" s="2" t="str">
        <f ca="1">IFERROR(__xludf.DUMMYFUNCTION("""COMPUTED_VALUE"""),"")</f>
        <v/>
      </c>
    </row>
    <row r="1747" spans="1:5" ht="12.75">
      <c r="A1747" s="2"/>
      <c r="B1747" s="2" t="str">
        <f ca="1">IFERROR(__xludf.DUMMYFUNCTION("""COMPUTED_VALUE"""),"")</f>
        <v/>
      </c>
      <c r="C1747" s="2" t="str">
        <f ca="1">IFERROR(__xludf.DUMMYFUNCTION("""COMPUTED_VALUE"""),"")</f>
        <v/>
      </c>
      <c r="D1747" s="2" t="str">
        <f ca="1">IFERROR(__xludf.DUMMYFUNCTION("""COMPUTED_VALUE"""),"")</f>
        <v/>
      </c>
      <c r="E1747" s="2" t="str">
        <f ca="1">IFERROR(__xludf.DUMMYFUNCTION("""COMPUTED_VALUE"""),"")</f>
        <v/>
      </c>
    </row>
    <row r="1748" spans="1:5" ht="12.75">
      <c r="A1748" s="2"/>
      <c r="B1748" s="2" t="str">
        <f ca="1">IFERROR(__xludf.DUMMYFUNCTION("""COMPUTED_VALUE"""),"")</f>
        <v/>
      </c>
      <c r="C1748" s="2" t="str">
        <f ca="1">IFERROR(__xludf.DUMMYFUNCTION("""COMPUTED_VALUE"""),"")</f>
        <v/>
      </c>
      <c r="D1748" s="2" t="str">
        <f ca="1">IFERROR(__xludf.DUMMYFUNCTION("""COMPUTED_VALUE"""),"")</f>
        <v/>
      </c>
      <c r="E1748" s="2" t="str">
        <f ca="1">IFERROR(__xludf.DUMMYFUNCTION("""COMPUTED_VALUE"""),"")</f>
        <v/>
      </c>
    </row>
    <row r="1749" spans="1:5" ht="12.75">
      <c r="A1749" s="2"/>
      <c r="B1749" s="2" t="str">
        <f ca="1">IFERROR(__xludf.DUMMYFUNCTION("""COMPUTED_VALUE"""),"")</f>
        <v/>
      </c>
      <c r="C1749" s="2" t="str">
        <f ca="1">IFERROR(__xludf.DUMMYFUNCTION("""COMPUTED_VALUE"""),"")</f>
        <v/>
      </c>
      <c r="D1749" s="2" t="str">
        <f ca="1">IFERROR(__xludf.DUMMYFUNCTION("""COMPUTED_VALUE"""),"")</f>
        <v/>
      </c>
      <c r="E1749" s="2" t="str">
        <f ca="1">IFERROR(__xludf.DUMMYFUNCTION("""COMPUTED_VALUE"""),"")</f>
        <v/>
      </c>
    </row>
    <row r="1750" spans="1:5" ht="12.75">
      <c r="A1750" s="2"/>
      <c r="B1750" s="2" t="str">
        <f ca="1">IFERROR(__xludf.DUMMYFUNCTION("""COMPUTED_VALUE"""),"")</f>
        <v/>
      </c>
      <c r="C1750" s="2" t="str">
        <f ca="1">IFERROR(__xludf.DUMMYFUNCTION("""COMPUTED_VALUE"""),"")</f>
        <v/>
      </c>
      <c r="D1750" s="2" t="str">
        <f ca="1">IFERROR(__xludf.DUMMYFUNCTION("""COMPUTED_VALUE"""),"")</f>
        <v/>
      </c>
      <c r="E1750" s="2" t="str">
        <f ca="1">IFERROR(__xludf.DUMMYFUNCTION("""COMPUTED_VALUE"""),"")</f>
        <v/>
      </c>
    </row>
    <row r="1751" spans="1:5" ht="12.75">
      <c r="A1751" s="2"/>
      <c r="B1751" s="2" t="str">
        <f ca="1">IFERROR(__xludf.DUMMYFUNCTION("""COMPUTED_VALUE"""),"")</f>
        <v/>
      </c>
      <c r="C1751" s="2" t="str">
        <f ca="1">IFERROR(__xludf.DUMMYFUNCTION("""COMPUTED_VALUE"""),"")</f>
        <v/>
      </c>
      <c r="D1751" s="2" t="str">
        <f ca="1">IFERROR(__xludf.DUMMYFUNCTION("""COMPUTED_VALUE"""),"")</f>
        <v/>
      </c>
      <c r="E1751" s="2" t="str">
        <f ca="1">IFERROR(__xludf.DUMMYFUNCTION("""COMPUTED_VALUE"""),"")</f>
        <v/>
      </c>
    </row>
    <row r="1752" spans="1:5" ht="12.75">
      <c r="A1752" s="2"/>
      <c r="B1752" s="2" t="str">
        <f ca="1">IFERROR(__xludf.DUMMYFUNCTION("""COMPUTED_VALUE"""),"")</f>
        <v/>
      </c>
      <c r="C1752" s="2" t="str">
        <f ca="1">IFERROR(__xludf.DUMMYFUNCTION("""COMPUTED_VALUE"""),"")</f>
        <v/>
      </c>
      <c r="D1752" s="2" t="str">
        <f ca="1">IFERROR(__xludf.DUMMYFUNCTION("""COMPUTED_VALUE"""),"")</f>
        <v/>
      </c>
      <c r="E1752" s="2" t="str">
        <f ca="1">IFERROR(__xludf.DUMMYFUNCTION("""COMPUTED_VALUE"""),"")</f>
        <v/>
      </c>
    </row>
    <row r="1753" spans="1:5" ht="12.75">
      <c r="A1753" s="2"/>
      <c r="B1753" s="2" t="str">
        <f ca="1">IFERROR(__xludf.DUMMYFUNCTION("""COMPUTED_VALUE"""),"")</f>
        <v/>
      </c>
      <c r="C1753" s="2" t="str">
        <f ca="1">IFERROR(__xludf.DUMMYFUNCTION("""COMPUTED_VALUE"""),"")</f>
        <v/>
      </c>
      <c r="D1753" s="2" t="str">
        <f ca="1">IFERROR(__xludf.DUMMYFUNCTION("""COMPUTED_VALUE"""),"")</f>
        <v/>
      </c>
      <c r="E1753" s="2" t="str">
        <f ca="1">IFERROR(__xludf.DUMMYFUNCTION("""COMPUTED_VALUE"""),"")</f>
        <v/>
      </c>
    </row>
    <row r="1754" spans="1:5" ht="12.75">
      <c r="A1754" s="2"/>
      <c r="B1754" s="2" t="str">
        <f ca="1">IFERROR(__xludf.DUMMYFUNCTION("""COMPUTED_VALUE"""),"")</f>
        <v/>
      </c>
      <c r="C1754" s="2" t="str">
        <f ca="1">IFERROR(__xludf.DUMMYFUNCTION("""COMPUTED_VALUE"""),"")</f>
        <v/>
      </c>
      <c r="D1754" s="2" t="str">
        <f ca="1">IFERROR(__xludf.DUMMYFUNCTION("""COMPUTED_VALUE"""),"")</f>
        <v/>
      </c>
      <c r="E1754" s="2" t="str">
        <f ca="1">IFERROR(__xludf.DUMMYFUNCTION("""COMPUTED_VALUE"""),"")</f>
        <v/>
      </c>
    </row>
    <row r="1755" spans="1:5" ht="12.75">
      <c r="A1755" s="2"/>
      <c r="B1755" s="2" t="str">
        <f ca="1">IFERROR(__xludf.DUMMYFUNCTION("""COMPUTED_VALUE"""),"")</f>
        <v/>
      </c>
      <c r="C1755" s="2" t="str">
        <f ca="1">IFERROR(__xludf.DUMMYFUNCTION("""COMPUTED_VALUE"""),"")</f>
        <v/>
      </c>
      <c r="D1755" s="2" t="str">
        <f ca="1">IFERROR(__xludf.DUMMYFUNCTION("""COMPUTED_VALUE"""),"")</f>
        <v/>
      </c>
      <c r="E1755" s="2" t="str">
        <f ca="1">IFERROR(__xludf.DUMMYFUNCTION("""COMPUTED_VALUE"""),"")</f>
        <v/>
      </c>
    </row>
    <row r="1756" spans="1:5" ht="12.75">
      <c r="A1756" s="2"/>
      <c r="B1756" s="2" t="str">
        <f ca="1">IFERROR(__xludf.DUMMYFUNCTION("""COMPUTED_VALUE"""),"")</f>
        <v/>
      </c>
      <c r="C1756" s="2" t="str">
        <f ca="1">IFERROR(__xludf.DUMMYFUNCTION("""COMPUTED_VALUE"""),"")</f>
        <v/>
      </c>
      <c r="D1756" s="2" t="str">
        <f ca="1">IFERROR(__xludf.DUMMYFUNCTION("""COMPUTED_VALUE"""),"")</f>
        <v/>
      </c>
      <c r="E1756" s="2" t="str">
        <f ca="1">IFERROR(__xludf.DUMMYFUNCTION("""COMPUTED_VALUE"""),"")</f>
        <v/>
      </c>
    </row>
    <row r="1757" spans="1:5" ht="12.75">
      <c r="A1757" s="2"/>
      <c r="B1757" s="2" t="str">
        <f ca="1">IFERROR(__xludf.DUMMYFUNCTION("""COMPUTED_VALUE"""),"")</f>
        <v/>
      </c>
      <c r="C1757" s="2" t="str">
        <f ca="1">IFERROR(__xludf.DUMMYFUNCTION("""COMPUTED_VALUE"""),"")</f>
        <v/>
      </c>
      <c r="D1757" s="2" t="str">
        <f ca="1">IFERROR(__xludf.DUMMYFUNCTION("""COMPUTED_VALUE"""),"")</f>
        <v/>
      </c>
      <c r="E1757" s="2" t="str">
        <f ca="1">IFERROR(__xludf.DUMMYFUNCTION("""COMPUTED_VALUE"""),"")</f>
        <v/>
      </c>
    </row>
    <row r="1758" spans="1:5" ht="12.75">
      <c r="A1758" s="2"/>
      <c r="B1758" s="2" t="str">
        <f ca="1">IFERROR(__xludf.DUMMYFUNCTION("""COMPUTED_VALUE"""),"")</f>
        <v/>
      </c>
      <c r="C1758" s="2" t="str">
        <f ca="1">IFERROR(__xludf.DUMMYFUNCTION("""COMPUTED_VALUE"""),"")</f>
        <v/>
      </c>
      <c r="D1758" s="2" t="str">
        <f ca="1">IFERROR(__xludf.DUMMYFUNCTION("""COMPUTED_VALUE"""),"")</f>
        <v/>
      </c>
      <c r="E1758" s="2" t="str">
        <f ca="1">IFERROR(__xludf.DUMMYFUNCTION("""COMPUTED_VALUE"""),"")</f>
        <v/>
      </c>
    </row>
    <row r="1759" spans="1:5" ht="12.75">
      <c r="A1759" s="2"/>
      <c r="B1759" s="2" t="str">
        <f ca="1">IFERROR(__xludf.DUMMYFUNCTION("""COMPUTED_VALUE"""),"")</f>
        <v/>
      </c>
      <c r="C1759" s="2" t="str">
        <f ca="1">IFERROR(__xludf.DUMMYFUNCTION("""COMPUTED_VALUE"""),"")</f>
        <v/>
      </c>
      <c r="D1759" s="2" t="str">
        <f ca="1">IFERROR(__xludf.DUMMYFUNCTION("""COMPUTED_VALUE"""),"")</f>
        <v/>
      </c>
      <c r="E1759" s="2" t="str">
        <f ca="1">IFERROR(__xludf.DUMMYFUNCTION("""COMPUTED_VALUE"""),"")</f>
        <v/>
      </c>
    </row>
    <row r="1760" spans="1:5" ht="12.75">
      <c r="A1760" s="2"/>
      <c r="B1760" s="2" t="str">
        <f ca="1">IFERROR(__xludf.DUMMYFUNCTION("""COMPUTED_VALUE"""),"")</f>
        <v/>
      </c>
      <c r="C1760" s="2" t="str">
        <f ca="1">IFERROR(__xludf.DUMMYFUNCTION("""COMPUTED_VALUE"""),"")</f>
        <v/>
      </c>
      <c r="D1760" s="2" t="str">
        <f ca="1">IFERROR(__xludf.DUMMYFUNCTION("""COMPUTED_VALUE"""),"")</f>
        <v/>
      </c>
      <c r="E1760" s="2" t="str">
        <f ca="1">IFERROR(__xludf.DUMMYFUNCTION("""COMPUTED_VALUE"""),"")</f>
        <v/>
      </c>
    </row>
    <row r="1761" spans="1:5" ht="12.75">
      <c r="A1761" s="2"/>
      <c r="B1761" s="2" t="str">
        <f ca="1">IFERROR(__xludf.DUMMYFUNCTION("""COMPUTED_VALUE"""),"")</f>
        <v/>
      </c>
      <c r="C1761" s="2" t="str">
        <f ca="1">IFERROR(__xludf.DUMMYFUNCTION("""COMPUTED_VALUE"""),"")</f>
        <v/>
      </c>
      <c r="D1761" s="2" t="str">
        <f ca="1">IFERROR(__xludf.DUMMYFUNCTION("""COMPUTED_VALUE"""),"")</f>
        <v/>
      </c>
      <c r="E1761" s="2" t="str">
        <f ca="1">IFERROR(__xludf.DUMMYFUNCTION("""COMPUTED_VALUE"""),"")</f>
        <v/>
      </c>
    </row>
    <row r="1762" spans="1:5" ht="12.75">
      <c r="A1762" s="2"/>
      <c r="B1762" s="2" t="str">
        <f ca="1">IFERROR(__xludf.DUMMYFUNCTION("""COMPUTED_VALUE"""),"")</f>
        <v/>
      </c>
      <c r="C1762" s="2" t="str">
        <f ca="1">IFERROR(__xludf.DUMMYFUNCTION("""COMPUTED_VALUE"""),"")</f>
        <v/>
      </c>
      <c r="D1762" s="2" t="str">
        <f ca="1">IFERROR(__xludf.DUMMYFUNCTION("""COMPUTED_VALUE"""),"")</f>
        <v/>
      </c>
      <c r="E1762" s="2" t="str">
        <f ca="1">IFERROR(__xludf.DUMMYFUNCTION("""COMPUTED_VALUE"""),"")</f>
        <v/>
      </c>
    </row>
    <row r="1763" spans="1:5" ht="12.75">
      <c r="A1763" s="2"/>
      <c r="B1763" s="2" t="str">
        <f ca="1">IFERROR(__xludf.DUMMYFUNCTION("""COMPUTED_VALUE"""),"")</f>
        <v/>
      </c>
      <c r="C1763" s="2" t="str">
        <f ca="1">IFERROR(__xludf.DUMMYFUNCTION("""COMPUTED_VALUE"""),"")</f>
        <v/>
      </c>
      <c r="D1763" s="2" t="str">
        <f ca="1">IFERROR(__xludf.DUMMYFUNCTION("""COMPUTED_VALUE"""),"")</f>
        <v/>
      </c>
      <c r="E1763" s="2" t="str">
        <f ca="1">IFERROR(__xludf.DUMMYFUNCTION("""COMPUTED_VALUE"""),"")</f>
        <v/>
      </c>
    </row>
    <row r="1764" spans="1:5" ht="12.75">
      <c r="A1764" s="2"/>
      <c r="B1764" s="2" t="str">
        <f ca="1">IFERROR(__xludf.DUMMYFUNCTION("""COMPUTED_VALUE"""),"")</f>
        <v/>
      </c>
      <c r="C1764" s="2" t="str">
        <f ca="1">IFERROR(__xludf.DUMMYFUNCTION("""COMPUTED_VALUE"""),"")</f>
        <v/>
      </c>
      <c r="D1764" s="2" t="str">
        <f ca="1">IFERROR(__xludf.DUMMYFUNCTION("""COMPUTED_VALUE"""),"")</f>
        <v/>
      </c>
      <c r="E1764" s="2" t="str">
        <f ca="1">IFERROR(__xludf.DUMMYFUNCTION("""COMPUTED_VALUE"""),"")</f>
        <v/>
      </c>
    </row>
    <row r="1765" spans="1:5" ht="12.75">
      <c r="A1765" s="2"/>
      <c r="B1765" s="2" t="str">
        <f ca="1">IFERROR(__xludf.DUMMYFUNCTION("""COMPUTED_VALUE"""),"")</f>
        <v/>
      </c>
      <c r="C1765" s="2" t="str">
        <f ca="1">IFERROR(__xludf.DUMMYFUNCTION("""COMPUTED_VALUE"""),"")</f>
        <v/>
      </c>
      <c r="D1765" s="2" t="str">
        <f ca="1">IFERROR(__xludf.DUMMYFUNCTION("""COMPUTED_VALUE"""),"")</f>
        <v/>
      </c>
      <c r="E1765" s="2" t="str">
        <f ca="1">IFERROR(__xludf.DUMMYFUNCTION("""COMPUTED_VALUE"""),"")</f>
        <v/>
      </c>
    </row>
    <row r="1766" spans="1:5" ht="12.75">
      <c r="A1766" s="2"/>
      <c r="B1766" s="2" t="str">
        <f ca="1">IFERROR(__xludf.DUMMYFUNCTION("""COMPUTED_VALUE"""),"")</f>
        <v/>
      </c>
      <c r="C1766" s="2" t="str">
        <f ca="1">IFERROR(__xludf.DUMMYFUNCTION("""COMPUTED_VALUE"""),"")</f>
        <v/>
      </c>
      <c r="D1766" s="2" t="str">
        <f ca="1">IFERROR(__xludf.DUMMYFUNCTION("""COMPUTED_VALUE"""),"")</f>
        <v/>
      </c>
      <c r="E1766" s="2" t="str">
        <f ca="1">IFERROR(__xludf.DUMMYFUNCTION("""COMPUTED_VALUE"""),"")</f>
        <v/>
      </c>
    </row>
    <row r="1767" spans="1:5" ht="12.75">
      <c r="A1767" s="2"/>
      <c r="B1767" s="2" t="str">
        <f ca="1">IFERROR(__xludf.DUMMYFUNCTION("""COMPUTED_VALUE"""),"")</f>
        <v/>
      </c>
      <c r="C1767" s="2" t="str">
        <f ca="1">IFERROR(__xludf.DUMMYFUNCTION("""COMPUTED_VALUE"""),"")</f>
        <v/>
      </c>
      <c r="D1767" s="2" t="str">
        <f ca="1">IFERROR(__xludf.DUMMYFUNCTION("""COMPUTED_VALUE"""),"")</f>
        <v/>
      </c>
      <c r="E1767" s="2" t="str">
        <f ca="1">IFERROR(__xludf.DUMMYFUNCTION("""COMPUTED_VALUE"""),"")</f>
        <v/>
      </c>
    </row>
    <row r="1768" spans="1:5" ht="12.75">
      <c r="A1768" s="2"/>
      <c r="B1768" s="2" t="str">
        <f ca="1">IFERROR(__xludf.DUMMYFUNCTION("""COMPUTED_VALUE"""),"")</f>
        <v/>
      </c>
      <c r="C1768" s="2" t="str">
        <f ca="1">IFERROR(__xludf.DUMMYFUNCTION("""COMPUTED_VALUE"""),"")</f>
        <v/>
      </c>
      <c r="D1768" s="2" t="str">
        <f ca="1">IFERROR(__xludf.DUMMYFUNCTION("""COMPUTED_VALUE"""),"")</f>
        <v/>
      </c>
      <c r="E1768" s="2" t="str">
        <f ca="1">IFERROR(__xludf.DUMMYFUNCTION("""COMPUTED_VALUE"""),"")</f>
        <v/>
      </c>
    </row>
    <row r="1769" spans="1:5" ht="12.75">
      <c r="A1769" s="2"/>
      <c r="B1769" s="2" t="str">
        <f ca="1">IFERROR(__xludf.DUMMYFUNCTION("""COMPUTED_VALUE"""),"")</f>
        <v/>
      </c>
      <c r="C1769" s="2" t="str">
        <f ca="1">IFERROR(__xludf.DUMMYFUNCTION("""COMPUTED_VALUE"""),"")</f>
        <v/>
      </c>
      <c r="D1769" s="2" t="str">
        <f ca="1">IFERROR(__xludf.DUMMYFUNCTION("""COMPUTED_VALUE"""),"")</f>
        <v/>
      </c>
      <c r="E1769" s="2" t="str">
        <f ca="1">IFERROR(__xludf.DUMMYFUNCTION("""COMPUTED_VALUE"""),"")</f>
        <v/>
      </c>
    </row>
    <row r="1770" spans="1:5" ht="12.75">
      <c r="A1770" s="2"/>
      <c r="B1770" s="2" t="str">
        <f ca="1">IFERROR(__xludf.DUMMYFUNCTION("""COMPUTED_VALUE"""),"")</f>
        <v/>
      </c>
      <c r="C1770" s="2" t="str">
        <f ca="1">IFERROR(__xludf.DUMMYFUNCTION("""COMPUTED_VALUE"""),"")</f>
        <v/>
      </c>
      <c r="D1770" s="2" t="str">
        <f ca="1">IFERROR(__xludf.DUMMYFUNCTION("""COMPUTED_VALUE"""),"")</f>
        <v/>
      </c>
      <c r="E1770" s="2" t="str">
        <f ca="1">IFERROR(__xludf.DUMMYFUNCTION("""COMPUTED_VALUE"""),"")</f>
        <v/>
      </c>
    </row>
    <row r="1771" spans="1:5" ht="12.75">
      <c r="A1771" s="2"/>
      <c r="B1771" s="2" t="str">
        <f ca="1">IFERROR(__xludf.DUMMYFUNCTION("""COMPUTED_VALUE"""),"")</f>
        <v/>
      </c>
      <c r="C1771" s="2" t="str">
        <f ca="1">IFERROR(__xludf.DUMMYFUNCTION("""COMPUTED_VALUE"""),"")</f>
        <v/>
      </c>
      <c r="D1771" s="2" t="str">
        <f ca="1">IFERROR(__xludf.DUMMYFUNCTION("""COMPUTED_VALUE"""),"")</f>
        <v/>
      </c>
      <c r="E1771" s="2" t="str">
        <f ca="1">IFERROR(__xludf.DUMMYFUNCTION("""COMPUTED_VALUE"""),"")</f>
        <v/>
      </c>
    </row>
    <row r="1772" spans="1:5" ht="12.75">
      <c r="A1772" s="2"/>
      <c r="B1772" s="2" t="str">
        <f ca="1">IFERROR(__xludf.DUMMYFUNCTION("""COMPUTED_VALUE"""),"")</f>
        <v/>
      </c>
      <c r="C1772" s="2" t="str">
        <f ca="1">IFERROR(__xludf.DUMMYFUNCTION("""COMPUTED_VALUE"""),"")</f>
        <v/>
      </c>
      <c r="D1772" s="2" t="str">
        <f ca="1">IFERROR(__xludf.DUMMYFUNCTION("""COMPUTED_VALUE"""),"")</f>
        <v/>
      </c>
      <c r="E1772" s="2" t="str">
        <f ca="1">IFERROR(__xludf.DUMMYFUNCTION("""COMPUTED_VALUE"""),"")</f>
        <v/>
      </c>
    </row>
    <row r="1773" spans="1:5" ht="12.75">
      <c r="A1773" s="2"/>
      <c r="B1773" s="2" t="str">
        <f ca="1">IFERROR(__xludf.DUMMYFUNCTION("""COMPUTED_VALUE"""),"")</f>
        <v/>
      </c>
      <c r="C1773" s="2" t="str">
        <f ca="1">IFERROR(__xludf.DUMMYFUNCTION("""COMPUTED_VALUE"""),"")</f>
        <v/>
      </c>
      <c r="D1773" s="2" t="str">
        <f ca="1">IFERROR(__xludf.DUMMYFUNCTION("""COMPUTED_VALUE"""),"")</f>
        <v/>
      </c>
      <c r="E1773" s="2" t="str">
        <f ca="1">IFERROR(__xludf.DUMMYFUNCTION("""COMPUTED_VALUE"""),"")</f>
        <v/>
      </c>
    </row>
    <row r="1774" spans="1:5" ht="12.75">
      <c r="A1774" s="2"/>
      <c r="B1774" s="2" t="str">
        <f ca="1">IFERROR(__xludf.DUMMYFUNCTION("""COMPUTED_VALUE"""),"")</f>
        <v/>
      </c>
      <c r="C1774" s="2" t="str">
        <f ca="1">IFERROR(__xludf.DUMMYFUNCTION("""COMPUTED_VALUE"""),"")</f>
        <v/>
      </c>
      <c r="D1774" s="2" t="str">
        <f ca="1">IFERROR(__xludf.DUMMYFUNCTION("""COMPUTED_VALUE"""),"")</f>
        <v/>
      </c>
      <c r="E1774" s="2" t="str">
        <f ca="1">IFERROR(__xludf.DUMMYFUNCTION("""COMPUTED_VALUE"""),"")</f>
        <v/>
      </c>
    </row>
    <row r="1775" spans="1:5" ht="12.75">
      <c r="A1775" s="2"/>
      <c r="B1775" s="2" t="str">
        <f ca="1">IFERROR(__xludf.DUMMYFUNCTION("""COMPUTED_VALUE"""),"")</f>
        <v/>
      </c>
      <c r="C1775" s="2" t="str">
        <f ca="1">IFERROR(__xludf.DUMMYFUNCTION("""COMPUTED_VALUE"""),"")</f>
        <v/>
      </c>
      <c r="D1775" s="2" t="str">
        <f ca="1">IFERROR(__xludf.DUMMYFUNCTION("""COMPUTED_VALUE"""),"")</f>
        <v/>
      </c>
      <c r="E1775" s="2" t="str">
        <f ca="1">IFERROR(__xludf.DUMMYFUNCTION("""COMPUTED_VALUE"""),"")</f>
        <v/>
      </c>
    </row>
    <row r="1776" spans="1:5" ht="12.75">
      <c r="A1776" s="2"/>
      <c r="B1776" s="2" t="str">
        <f ca="1">IFERROR(__xludf.DUMMYFUNCTION("""COMPUTED_VALUE"""),"")</f>
        <v/>
      </c>
      <c r="C1776" s="2" t="str">
        <f ca="1">IFERROR(__xludf.DUMMYFUNCTION("""COMPUTED_VALUE"""),"")</f>
        <v/>
      </c>
      <c r="D1776" s="2" t="str">
        <f ca="1">IFERROR(__xludf.DUMMYFUNCTION("""COMPUTED_VALUE"""),"")</f>
        <v/>
      </c>
      <c r="E1776" s="2" t="str">
        <f ca="1">IFERROR(__xludf.DUMMYFUNCTION("""COMPUTED_VALUE"""),"")</f>
        <v/>
      </c>
    </row>
    <row r="1777" spans="1:5" ht="12.75">
      <c r="A1777" s="2"/>
      <c r="B1777" s="2" t="str">
        <f ca="1">IFERROR(__xludf.DUMMYFUNCTION("""COMPUTED_VALUE"""),"")</f>
        <v/>
      </c>
      <c r="C1777" s="2" t="str">
        <f ca="1">IFERROR(__xludf.DUMMYFUNCTION("""COMPUTED_VALUE"""),"")</f>
        <v/>
      </c>
      <c r="D1777" s="2" t="str">
        <f ca="1">IFERROR(__xludf.DUMMYFUNCTION("""COMPUTED_VALUE"""),"")</f>
        <v/>
      </c>
      <c r="E1777" s="2" t="str">
        <f ca="1">IFERROR(__xludf.DUMMYFUNCTION("""COMPUTED_VALUE"""),"")</f>
        <v/>
      </c>
    </row>
    <row r="1778" spans="1:5" ht="12.75">
      <c r="A1778" s="2"/>
      <c r="B1778" s="2" t="str">
        <f ca="1">IFERROR(__xludf.DUMMYFUNCTION("""COMPUTED_VALUE"""),"")</f>
        <v/>
      </c>
      <c r="C1778" s="2" t="str">
        <f ca="1">IFERROR(__xludf.DUMMYFUNCTION("""COMPUTED_VALUE"""),"")</f>
        <v/>
      </c>
      <c r="D1778" s="2" t="str">
        <f ca="1">IFERROR(__xludf.DUMMYFUNCTION("""COMPUTED_VALUE"""),"")</f>
        <v/>
      </c>
      <c r="E1778" s="2" t="str">
        <f ca="1">IFERROR(__xludf.DUMMYFUNCTION("""COMPUTED_VALUE"""),"")</f>
        <v/>
      </c>
    </row>
    <row r="1779" spans="1:5" ht="12.75">
      <c r="A1779" s="2"/>
      <c r="B1779" s="2" t="str">
        <f ca="1">IFERROR(__xludf.DUMMYFUNCTION("""COMPUTED_VALUE"""),"")</f>
        <v/>
      </c>
      <c r="C1779" s="2" t="str">
        <f ca="1">IFERROR(__xludf.DUMMYFUNCTION("""COMPUTED_VALUE"""),"")</f>
        <v/>
      </c>
      <c r="D1779" s="2" t="str">
        <f ca="1">IFERROR(__xludf.DUMMYFUNCTION("""COMPUTED_VALUE"""),"")</f>
        <v/>
      </c>
      <c r="E1779" s="2" t="str">
        <f ca="1">IFERROR(__xludf.DUMMYFUNCTION("""COMPUTED_VALUE"""),"")</f>
        <v/>
      </c>
    </row>
    <row r="1780" spans="1:5" ht="12.75">
      <c r="A1780" s="2"/>
      <c r="B1780" s="2" t="str">
        <f ca="1">IFERROR(__xludf.DUMMYFUNCTION("""COMPUTED_VALUE"""),"")</f>
        <v/>
      </c>
      <c r="C1780" s="2" t="str">
        <f ca="1">IFERROR(__xludf.DUMMYFUNCTION("""COMPUTED_VALUE"""),"")</f>
        <v/>
      </c>
      <c r="D1780" s="2" t="str">
        <f ca="1">IFERROR(__xludf.DUMMYFUNCTION("""COMPUTED_VALUE"""),"")</f>
        <v/>
      </c>
      <c r="E1780" s="2" t="str">
        <f ca="1">IFERROR(__xludf.DUMMYFUNCTION("""COMPUTED_VALUE"""),"")</f>
        <v/>
      </c>
    </row>
    <row r="1781" spans="1:5" ht="12.75">
      <c r="A1781" s="2"/>
      <c r="B1781" s="2" t="str">
        <f ca="1">IFERROR(__xludf.DUMMYFUNCTION("""COMPUTED_VALUE"""),"")</f>
        <v/>
      </c>
      <c r="C1781" s="2" t="str">
        <f ca="1">IFERROR(__xludf.DUMMYFUNCTION("""COMPUTED_VALUE"""),"")</f>
        <v/>
      </c>
      <c r="D1781" s="2" t="str">
        <f ca="1">IFERROR(__xludf.DUMMYFUNCTION("""COMPUTED_VALUE"""),"")</f>
        <v/>
      </c>
      <c r="E1781" s="2" t="str">
        <f ca="1">IFERROR(__xludf.DUMMYFUNCTION("""COMPUTED_VALUE"""),"")</f>
        <v/>
      </c>
    </row>
    <row r="1782" spans="1:5" ht="12.75">
      <c r="A1782" s="2"/>
      <c r="B1782" s="2" t="str">
        <f ca="1">IFERROR(__xludf.DUMMYFUNCTION("""COMPUTED_VALUE"""),"")</f>
        <v/>
      </c>
      <c r="C1782" s="2" t="str">
        <f ca="1">IFERROR(__xludf.DUMMYFUNCTION("""COMPUTED_VALUE"""),"")</f>
        <v/>
      </c>
      <c r="D1782" s="2" t="str">
        <f ca="1">IFERROR(__xludf.DUMMYFUNCTION("""COMPUTED_VALUE"""),"")</f>
        <v/>
      </c>
      <c r="E1782" s="2" t="str">
        <f ca="1">IFERROR(__xludf.DUMMYFUNCTION("""COMPUTED_VALUE"""),"")</f>
        <v/>
      </c>
    </row>
    <row r="1783" spans="1:5" ht="12.75">
      <c r="A1783" s="2"/>
      <c r="B1783" s="2" t="str">
        <f ca="1">IFERROR(__xludf.DUMMYFUNCTION("""COMPUTED_VALUE"""),"")</f>
        <v/>
      </c>
      <c r="C1783" s="2" t="str">
        <f ca="1">IFERROR(__xludf.DUMMYFUNCTION("""COMPUTED_VALUE"""),"")</f>
        <v/>
      </c>
      <c r="D1783" s="2" t="str">
        <f ca="1">IFERROR(__xludf.DUMMYFUNCTION("""COMPUTED_VALUE"""),"")</f>
        <v/>
      </c>
      <c r="E1783" s="2" t="str">
        <f ca="1">IFERROR(__xludf.DUMMYFUNCTION("""COMPUTED_VALUE"""),"")</f>
        <v/>
      </c>
    </row>
    <row r="1784" spans="1:5" ht="12.75">
      <c r="A1784" s="2"/>
      <c r="B1784" s="2" t="str">
        <f ca="1">IFERROR(__xludf.DUMMYFUNCTION("""COMPUTED_VALUE"""),"")</f>
        <v/>
      </c>
      <c r="C1784" s="2" t="str">
        <f ca="1">IFERROR(__xludf.DUMMYFUNCTION("""COMPUTED_VALUE"""),"")</f>
        <v/>
      </c>
      <c r="D1784" s="2" t="str">
        <f ca="1">IFERROR(__xludf.DUMMYFUNCTION("""COMPUTED_VALUE"""),"")</f>
        <v/>
      </c>
      <c r="E1784" s="2" t="str">
        <f ca="1">IFERROR(__xludf.DUMMYFUNCTION("""COMPUTED_VALUE"""),"")</f>
        <v/>
      </c>
    </row>
    <row r="1785" spans="1:5" ht="12.75">
      <c r="A1785" s="2"/>
      <c r="B1785" s="2" t="str">
        <f ca="1">IFERROR(__xludf.DUMMYFUNCTION("""COMPUTED_VALUE"""),"")</f>
        <v/>
      </c>
      <c r="C1785" s="2" t="str">
        <f ca="1">IFERROR(__xludf.DUMMYFUNCTION("""COMPUTED_VALUE"""),"")</f>
        <v/>
      </c>
      <c r="D1785" s="2" t="str">
        <f ca="1">IFERROR(__xludf.DUMMYFUNCTION("""COMPUTED_VALUE"""),"")</f>
        <v/>
      </c>
      <c r="E1785" s="2" t="str">
        <f ca="1">IFERROR(__xludf.DUMMYFUNCTION("""COMPUTED_VALUE"""),"")</f>
        <v/>
      </c>
    </row>
    <row r="1786" spans="1:5" ht="12.75">
      <c r="A1786" s="2"/>
      <c r="B1786" s="2" t="str">
        <f ca="1">IFERROR(__xludf.DUMMYFUNCTION("""COMPUTED_VALUE"""),"")</f>
        <v/>
      </c>
      <c r="C1786" s="2" t="str">
        <f ca="1">IFERROR(__xludf.DUMMYFUNCTION("""COMPUTED_VALUE"""),"")</f>
        <v/>
      </c>
      <c r="D1786" s="2" t="str">
        <f ca="1">IFERROR(__xludf.DUMMYFUNCTION("""COMPUTED_VALUE"""),"")</f>
        <v/>
      </c>
      <c r="E1786" s="2" t="str">
        <f ca="1">IFERROR(__xludf.DUMMYFUNCTION("""COMPUTED_VALUE"""),"")</f>
        <v/>
      </c>
    </row>
    <row r="1787" spans="1:5" ht="12.75">
      <c r="A1787" s="2"/>
      <c r="B1787" s="2" t="str">
        <f ca="1">IFERROR(__xludf.DUMMYFUNCTION("""COMPUTED_VALUE"""),"")</f>
        <v/>
      </c>
      <c r="C1787" s="2" t="str">
        <f ca="1">IFERROR(__xludf.DUMMYFUNCTION("""COMPUTED_VALUE"""),"")</f>
        <v/>
      </c>
      <c r="D1787" s="2" t="str">
        <f ca="1">IFERROR(__xludf.DUMMYFUNCTION("""COMPUTED_VALUE"""),"")</f>
        <v/>
      </c>
      <c r="E1787" s="2" t="str">
        <f ca="1">IFERROR(__xludf.DUMMYFUNCTION("""COMPUTED_VALUE"""),"")</f>
        <v/>
      </c>
    </row>
    <row r="1788" spans="1:5" ht="12.75">
      <c r="A1788" s="2"/>
      <c r="B1788" s="2" t="str">
        <f ca="1">IFERROR(__xludf.DUMMYFUNCTION("""COMPUTED_VALUE"""),"")</f>
        <v/>
      </c>
      <c r="C1788" s="2" t="str">
        <f ca="1">IFERROR(__xludf.DUMMYFUNCTION("""COMPUTED_VALUE"""),"")</f>
        <v/>
      </c>
      <c r="D1788" s="2" t="str">
        <f ca="1">IFERROR(__xludf.DUMMYFUNCTION("""COMPUTED_VALUE"""),"")</f>
        <v/>
      </c>
      <c r="E1788" s="2" t="str">
        <f ca="1">IFERROR(__xludf.DUMMYFUNCTION("""COMPUTED_VALUE"""),"")</f>
        <v/>
      </c>
    </row>
    <row r="1789" spans="1:5" ht="12.75">
      <c r="A1789" s="2"/>
      <c r="B1789" s="2" t="str">
        <f ca="1">IFERROR(__xludf.DUMMYFUNCTION("""COMPUTED_VALUE"""),"")</f>
        <v/>
      </c>
      <c r="C1789" s="2" t="str">
        <f ca="1">IFERROR(__xludf.DUMMYFUNCTION("""COMPUTED_VALUE"""),"")</f>
        <v/>
      </c>
      <c r="D1789" s="2" t="str">
        <f ca="1">IFERROR(__xludf.DUMMYFUNCTION("""COMPUTED_VALUE"""),"")</f>
        <v/>
      </c>
      <c r="E1789" s="2" t="str">
        <f ca="1">IFERROR(__xludf.DUMMYFUNCTION("""COMPUTED_VALUE"""),"")</f>
        <v/>
      </c>
    </row>
    <row r="1790" spans="1:5" ht="12.75">
      <c r="A1790" s="2"/>
      <c r="B1790" s="2" t="str">
        <f ca="1">IFERROR(__xludf.DUMMYFUNCTION("""COMPUTED_VALUE"""),"")</f>
        <v/>
      </c>
      <c r="C1790" s="2" t="str">
        <f ca="1">IFERROR(__xludf.DUMMYFUNCTION("""COMPUTED_VALUE"""),"")</f>
        <v/>
      </c>
      <c r="D1790" s="2" t="str">
        <f ca="1">IFERROR(__xludf.DUMMYFUNCTION("""COMPUTED_VALUE"""),"")</f>
        <v/>
      </c>
      <c r="E1790" s="2" t="str">
        <f ca="1">IFERROR(__xludf.DUMMYFUNCTION("""COMPUTED_VALUE"""),"")</f>
        <v/>
      </c>
    </row>
    <row r="1791" spans="1:5" ht="12.75">
      <c r="A1791" s="2"/>
      <c r="B1791" s="2" t="str">
        <f ca="1">IFERROR(__xludf.DUMMYFUNCTION("""COMPUTED_VALUE"""),"")</f>
        <v/>
      </c>
      <c r="C1791" s="2" t="str">
        <f ca="1">IFERROR(__xludf.DUMMYFUNCTION("""COMPUTED_VALUE"""),"")</f>
        <v/>
      </c>
      <c r="D1791" s="2" t="str">
        <f ca="1">IFERROR(__xludf.DUMMYFUNCTION("""COMPUTED_VALUE"""),"")</f>
        <v/>
      </c>
      <c r="E1791" s="2" t="str">
        <f ca="1">IFERROR(__xludf.DUMMYFUNCTION("""COMPUTED_VALUE"""),"")</f>
        <v/>
      </c>
    </row>
    <row r="1792" spans="1:5" ht="12.75">
      <c r="A1792" s="2"/>
      <c r="B1792" s="2" t="str">
        <f ca="1">IFERROR(__xludf.DUMMYFUNCTION("""COMPUTED_VALUE"""),"")</f>
        <v/>
      </c>
      <c r="C1792" s="2" t="str">
        <f ca="1">IFERROR(__xludf.DUMMYFUNCTION("""COMPUTED_VALUE"""),"")</f>
        <v/>
      </c>
      <c r="D1792" s="2" t="str">
        <f ca="1">IFERROR(__xludf.DUMMYFUNCTION("""COMPUTED_VALUE"""),"")</f>
        <v/>
      </c>
      <c r="E1792" s="2" t="str">
        <f ca="1">IFERROR(__xludf.DUMMYFUNCTION("""COMPUTED_VALUE"""),"")</f>
        <v/>
      </c>
    </row>
    <row r="1793" spans="1:5" ht="12.75">
      <c r="A1793" s="2"/>
      <c r="B1793" s="2" t="str">
        <f ca="1">IFERROR(__xludf.DUMMYFUNCTION("""COMPUTED_VALUE"""),"")</f>
        <v/>
      </c>
      <c r="C1793" s="2" t="str">
        <f ca="1">IFERROR(__xludf.DUMMYFUNCTION("""COMPUTED_VALUE"""),"")</f>
        <v/>
      </c>
      <c r="D1793" s="2" t="str">
        <f ca="1">IFERROR(__xludf.DUMMYFUNCTION("""COMPUTED_VALUE"""),"")</f>
        <v/>
      </c>
      <c r="E1793" s="2" t="str">
        <f ca="1">IFERROR(__xludf.DUMMYFUNCTION("""COMPUTED_VALUE"""),"")</f>
        <v/>
      </c>
    </row>
    <row r="1794" spans="1:5" ht="12.75">
      <c r="A1794" s="2"/>
      <c r="B1794" s="2" t="str">
        <f ca="1">IFERROR(__xludf.DUMMYFUNCTION("""COMPUTED_VALUE"""),"")</f>
        <v/>
      </c>
      <c r="C1794" s="2" t="str">
        <f ca="1">IFERROR(__xludf.DUMMYFUNCTION("""COMPUTED_VALUE"""),"")</f>
        <v/>
      </c>
      <c r="D1794" s="2" t="str">
        <f ca="1">IFERROR(__xludf.DUMMYFUNCTION("""COMPUTED_VALUE"""),"")</f>
        <v/>
      </c>
      <c r="E1794" s="2" t="str">
        <f ca="1">IFERROR(__xludf.DUMMYFUNCTION("""COMPUTED_VALUE"""),"")</f>
        <v/>
      </c>
    </row>
    <row r="1795" spans="1:5" ht="12.75">
      <c r="A1795" s="2"/>
      <c r="B1795" s="2" t="str">
        <f ca="1">IFERROR(__xludf.DUMMYFUNCTION("""COMPUTED_VALUE"""),"")</f>
        <v/>
      </c>
      <c r="C1795" s="2" t="str">
        <f ca="1">IFERROR(__xludf.DUMMYFUNCTION("""COMPUTED_VALUE"""),"")</f>
        <v/>
      </c>
      <c r="D1795" s="2" t="str">
        <f ca="1">IFERROR(__xludf.DUMMYFUNCTION("""COMPUTED_VALUE"""),"")</f>
        <v/>
      </c>
      <c r="E1795" s="2" t="str">
        <f ca="1">IFERROR(__xludf.DUMMYFUNCTION("""COMPUTED_VALUE"""),"")</f>
        <v/>
      </c>
    </row>
    <row r="1796" spans="1:5" ht="12.75">
      <c r="A1796" s="2"/>
      <c r="B1796" s="2" t="str">
        <f ca="1">IFERROR(__xludf.DUMMYFUNCTION("""COMPUTED_VALUE"""),"")</f>
        <v/>
      </c>
      <c r="C1796" s="2" t="str">
        <f ca="1">IFERROR(__xludf.DUMMYFUNCTION("""COMPUTED_VALUE"""),"")</f>
        <v/>
      </c>
      <c r="D1796" s="2" t="str">
        <f ca="1">IFERROR(__xludf.DUMMYFUNCTION("""COMPUTED_VALUE"""),"")</f>
        <v/>
      </c>
      <c r="E1796" s="2" t="str">
        <f ca="1">IFERROR(__xludf.DUMMYFUNCTION("""COMPUTED_VALUE"""),"")</f>
        <v/>
      </c>
    </row>
    <row r="1797" spans="1:5" ht="12.75">
      <c r="A1797" s="2"/>
      <c r="B1797" s="2" t="str">
        <f ca="1">IFERROR(__xludf.DUMMYFUNCTION("""COMPUTED_VALUE"""),"")</f>
        <v/>
      </c>
      <c r="C1797" s="2" t="str">
        <f ca="1">IFERROR(__xludf.DUMMYFUNCTION("""COMPUTED_VALUE"""),"")</f>
        <v/>
      </c>
      <c r="D1797" s="2" t="str">
        <f ca="1">IFERROR(__xludf.DUMMYFUNCTION("""COMPUTED_VALUE"""),"")</f>
        <v/>
      </c>
      <c r="E1797" s="2" t="str">
        <f ca="1">IFERROR(__xludf.DUMMYFUNCTION("""COMPUTED_VALUE"""),"")</f>
        <v/>
      </c>
    </row>
    <row r="1798" spans="1:5" ht="12.75">
      <c r="A1798" s="2"/>
      <c r="B1798" s="2" t="str">
        <f ca="1">IFERROR(__xludf.DUMMYFUNCTION("""COMPUTED_VALUE"""),"")</f>
        <v/>
      </c>
      <c r="C1798" s="2" t="str">
        <f ca="1">IFERROR(__xludf.DUMMYFUNCTION("""COMPUTED_VALUE"""),"")</f>
        <v/>
      </c>
      <c r="D1798" s="2" t="str">
        <f ca="1">IFERROR(__xludf.DUMMYFUNCTION("""COMPUTED_VALUE"""),"")</f>
        <v/>
      </c>
      <c r="E1798" s="2" t="str">
        <f ca="1">IFERROR(__xludf.DUMMYFUNCTION("""COMPUTED_VALUE"""),"")</f>
        <v/>
      </c>
    </row>
    <row r="1799" spans="1:5" ht="12.75">
      <c r="A1799" s="2"/>
      <c r="B1799" s="2" t="str">
        <f ca="1">IFERROR(__xludf.DUMMYFUNCTION("""COMPUTED_VALUE"""),"")</f>
        <v/>
      </c>
      <c r="C1799" s="2" t="str">
        <f ca="1">IFERROR(__xludf.DUMMYFUNCTION("""COMPUTED_VALUE"""),"")</f>
        <v/>
      </c>
      <c r="D1799" s="2" t="str">
        <f ca="1">IFERROR(__xludf.DUMMYFUNCTION("""COMPUTED_VALUE"""),"")</f>
        <v/>
      </c>
      <c r="E1799" s="2" t="str">
        <f ca="1">IFERROR(__xludf.DUMMYFUNCTION("""COMPUTED_VALUE"""),"")</f>
        <v/>
      </c>
    </row>
    <row r="1800" spans="1:5" ht="12.75">
      <c r="A1800" s="2"/>
      <c r="B1800" s="2" t="str">
        <f ca="1">IFERROR(__xludf.DUMMYFUNCTION("""COMPUTED_VALUE"""),"")</f>
        <v/>
      </c>
      <c r="C1800" s="2" t="str">
        <f ca="1">IFERROR(__xludf.DUMMYFUNCTION("""COMPUTED_VALUE"""),"")</f>
        <v/>
      </c>
      <c r="D1800" s="2" t="str">
        <f ca="1">IFERROR(__xludf.DUMMYFUNCTION("""COMPUTED_VALUE"""),"")</f>
        <v/>
      </c>
      <c r="E1800" s="2" t="str">
        <f ca="1">IFERROR(__xludf.DUMMYFUNCTION("""COMPUTED_VALUE"""),"")</f>
        <v/>
      </c>
    </row>
    <row r="1801" spans="1:5" ht="12.75">
      <c r="A1801" s="2"/>
      <c r="B1801" s="2" t="str">
        <f ca="1">IFERROR(__xludf.DUMMYFUNCTION("""COMPUTED_VALUE"""),"")</f>
        <v/>
      </c>
      <c r="C1801" s="2" t="str">
        <f ca="1">IFERROR(__xludf.DUMMYFUNCTION("""COMPUTED_VALUE"""),"")</f>
        <v/>
      </c>
      <c r="D1801" s="2" t="str">
        <f ca="1">IFERROR(__xludf.DUMMYFUNCTION("""COMPUTED_VALUE"""),"")</f>
        <v/>
      </c>
      <c r="E1801" s="2" t="str">
        <f ca="1">IFERROR(__xludf.DUMMYFUNCTION("""COMPUTED_VALUE"""),"")</f>
        <v/>
      </c>
    </row>
    <row r="1802" spans="1:5" ht="12.75">
      <c r="A1802" s="2"/>
      <c r="B1802" s="2" t="str">
        <f ca="1">IFERROR(__xludf.DUMMYFUNCTION("""COMPUTED_VALUE"""),"")</f>
        <v/>
      </c>
      <c r="C1802" s="2" t="str">
        <f ca="1">IFERROR(__xludf.DUMMYFUNCTION("""COMPUTED_VALUE"""),"")</f>
        <v/>
      </c>
      <c r="D1802" s="2" t="str">
        <f ca="1">IFERROR(__xludf.DUMMYFUNCTION("""COMPUTED_VALUE"""),"")</f>
        <v/>
      </c>
      <c r="E1802" s="2" t="str">
        <f ca="1">IFERROR(__xludf.DUMMYFUNCTION("""COMPUTED_VALUE"""),"")</f>
        <v/>
      </c>
    </row>
    <row r="1803" spans="1:5" ht="12.75">
      <c r="A1803" s="2"/>
      <c r="B1803" s="2" t="str">
        <f ca="1">IFERROR(__xludf.DUMMYFUNCTION("""COMPUTED_VALUE"""),"")</f>
        <v/>
      </c>
      <c r="C1803" s="2" t="str">
        <f ca="1">IFERROR(__xludf.DUMMYFUNCTION("""COMPUTED_VALUE"""),"")</f>
        <v/>
      </c>
      <c r="D1803" s="2" t="str">
        <f ca="1">IFERROR(__xludf.DUMMYFUNCTION("""COMPUTED_VALUE"""),"")</f>
        <v/>
      </c>
      <c r="E1803" s="2" t="str">
        <f ca="1">IFERROR(__xludf.DUMMYFUNCTION("""COMPUTED_VALUE"""),"")</f>
        <v/>
      </c>
    </row>
    <row r="1804" spans="1:5" ht="12.75">
      <c r="A1804" s="2"/>
      <c r="B1804" s="2" t="str">
        <f ca="1">IFERROR(__xludf.DUMMYFUNCTION("""COMPUTED_VALUE"""),"")</f>
        <v/>
      </c>
      <c r="C1804" s="2" t="str">
        <f ca="1">IFERROR(__xludf.DUMMYFUNCTION("""COMPUTED_VALUE"""),"")</f>
        <v/>
      </c>
      <c r="D1804" s="2" t="str">
        <f ca="1">IFERROR(__xludf.DUMMYFUNCTION("""COMPUTED_VALUE"""),"")</f>
        <v/>
      </c>
      <c r="E1804" s="2" t="str">
        <f ca="1">IFERROR(__xludf.DUMMYFUNCTION("""COMPUTED_VALUE"""),"")</f>
        <v/>
      </c>
    </row>
    <row r="1805" spans="1:5" ht="12.75">
      <c r="A1805" s="2"/>
      <c r="B1805" s="2" t="str">
        <f ca="1">IFERROR(__xludf.DUMMYFUNCTION("""COMPUTED_VALUE"""),"")</f>
        <v/>
      </c>
      <c r="C1805" s="2" t="str">
        <f ca="1">IFERROR(__xludf.DUMMYFUNCTION("""COMPUTED_VALUE"""),"")</f>
        <v/>
      </c>
      <c r="D1805" s="2" t="str">
        <f ca="1">IFERROR(__xludf.DUMMYFUNCTION("""COMPUTED_VALUE"""),"")</f>
        <v/>
      </c>
      <c r="E1805" s="2" t="str">
        <f ca="1">IFERROR(__xludf.DUMMYFUNCTION("""COMPUTED_VALUE"""),"")</f>
        <v/>
      </c>
    </row>
    <row r="1806" spans="1:5" ht="12.75">
      <c r="A1806" s="2"/>
      <c r="B1806" s="2" t="str">
        <f ca="1">IFERROR(__xludf.DUMMYFUNCTION("""COMPUTED_VALUE"""),"")</f>
        <v/>
      </c>
      <c r="C1806" s="2" t="str">
        <f ca="1">IFERROR(__xludf.DUMMYFUNCTION("""COMPUTED_VALUE"""),"")</f>
        <v/>
      </c>
      <c r="D1806" s="2" t="str">
        <f ca="1">IFERROR(__xludf.DUMMYFUNCTION("""COMPUTED_VALUE"""),"")</f>
        <v/>
      </c>
      <c r="E1806" s="2" t="str">
        <f ca="1">IFERROR(__xludf.DUMMYFUNCTION("""COMPUTED_VALUE"""),"")</f>
        <v/>
      </c>
    </row>
    <row r="1807" spans="1:5" ht="12.75">
      <c r="A1807" s="2"/>
      <c r="B1807" s="2" t="str">
        <f ca="1">IFERROR(__xludf.DUMMYFUNCTION("""COMPUTED_VALUE"""),"")</f>
        <v/>
      </c>
      <c r="C1807" s="2" t="str">
        <f ca="1">IFERROR(__xludf.DUMMYFUNCTION("""COMPUTED_VALUE"""),"")</f>
        <v/>
      </c>
      <c r="D1807" s="2" t="str">
        <f ca="1">IFERROR(__xludf.DUMMYFUNCTION("""COMPUTED_VALUE"""),"")</f>
        <v/>
      </c>
      <c r="E1807" s="2" t="str">
        <f ca="1">IFERROR(__xludf.DUMMYFUNCTION("""COMPUTED_VALUE"""),"")</f>
        <v/>
      </c>
    </row>
    <row r="1808" spans="1:5" ht="12.75">
      <c r="A1808" s="2"/>
      <c r="B1808" s="2" t="str">
        <f ca="1">IFERROR(__xludf.DUMMYFUNCTION("""COMPUTED_VALUE"""),"")</f>
        <v/>
      </c>
      <c r="C1808" s="2" t="str">
        <f ca="1">IFERROR(__xludf.DUMMYFUNCTION("""COMPUTED_VALUE"""),"")</f>
        <v/>
      </c>
      <c r="D1808" s="2" t="str">
        <f ca="1">IFERROR(__xludf.DUMMYFUNCTION("""COMPUTED_VALUE"""),"")</f>
        <v/>
      </c>
      <c r="E1808" s="2" t="str">
        <f ca="1">IFERROR(__xludf.DUMMYFUNCTION("""COMPUTED_VALUE"""),"")</f>
        <v/>
      </c>
    </row>
    <row r="1809" spans="1:5" ht="12.75">
      <c r="A1809" s="2"/>
      <c r="B1809" s="2" t="str">
        <f ca="1">IFERROR(__xludf.DUMMYFUNCTION("""COMPUTED_VALUE"""),"")</f>
        <v/>
      </c>
      <c r="C1809" s="2" t="str">
        <f ca="1">IFERROR(__xludf.DUMMYFUNCTION("""COMPUTED_VALUE"""),"")</f>
        <v/>
      </c>
      <c r="D1809" s="2" t="str">
        <f ca="1">IFERROR(__xludf.DUMMYFUNCTION("""COMPUTED_VALUE"""),"")</f>
        <v/>
      </c>
      <c r="E1809" s="2" t="str">
        <f ca="1">IFERROR(__xludf.DUMMYFUNCTION("""COMPUTED_VALUE"""),"")</f>
        <v/>
      </c>
    </row>
    <row r="1810" spans="1:5" ht="12.75">
      <c r="A1810" s="2"/>
      <c r="B1810" s="2" t="str">
        <f ca="1">IFERROR(__xludf.DUMMYFUNCTION("""COMPUTED_VALUE"""),"")</f>
        <v/>
      </c>
      <c r="C1810" s="2" t="str">
        <f ca="1">IFERROR(__xludf.DUMMYFUNCTION("""COMPUTED_VALUE"""),"")</f>
        <v/>
      </c>
      <c r="D1810" s="2" t="str">
        <f ca="1">IFERROR(__xludf.DUMMYFUNCTION("""COMPUTED_VALUE"""),"")</f>
        <v/>
      </c>
      <c r="E1810" s="2" t="str">
        <f ca="1">IFERROR(__xludf.DUMMYFUNCTION("""COMPUTED_VALUE"""),"")</f>
        <v/>
      </c>
    </row>
    <row r="1811" spans="1:5" ht="12.75">
      <c r="A1811" s="2"/>
      <c r="B1811" s="2" t="str">
        <f ca="1">IFERROR(__xludf.DUMMYFUNCTION("""COMPUTED_VALUE"""),"")</f>
        <v/>
      </c>
      <c r="C1811" s="2" t="str">
        <f ca="1">IFERROR(__xludf.DUMMYFUNCTION("""COMPUTED_VALUE"""),"")</f>
        <v/>
      </c>
      <c r="D1811" s="2" t="str">
        <f ca="1">IFERROR(__xludf.DUMMYFUNCTION("""COMPUTED_VALUE"""),"")</f>
        <v/>
      </c>
      <c r="E1811" s="2" t="str">
        <f ca="1">IFERROR(__xludf.DUMMYFUNCTION("""COMPUTED_VALUE"""),"")</f>
        <v/>
      </c>
    </row>
    <row r="1812" spans="1:5" ht="12.75">
      <c r="A1812" s="2"/>
      <c r="B1812" s="2" t="str">
        <f ca="1">IFERROR(__xludf.DUMMYFUNCTION("""COMPUTED_VALUE"""),"")</f>
        <v/>
      </c>
      <c r="C1812" s="2" t="str">
        <f ca="1">IFERROR(__xludf.DUMMYFUNCTION("""COMPUTED_VALUE"""),"")</f>
        <v/>
      </c>
      <c r="D1812" s="2" t="str">
        <f ca="1">IFERROR(__xludf.DUMMYFUNCTION("""COMPUTED_VALUE"""),"")</f>
        <v/>
      </c>
      <c r="E1812" s="2" t="str">
        <f ca="1">IFERROR(__xludf.DUMMYFUNCTION("""COMPUTED_VALUE"""),"")</f>
        <v/>
      </c>
    </row>
    <row r="1813" spans="1:5" ht="12.75">
      <c r="A1813" s="2"/>
      <c r="B1813" s="2" t="str">
        <f ca="1">IFERROR(__xludf.DUMMYFUNCTION("""COMPUTED_VALUE"""),"")</f>
        <v/>
      </c>
      <c r="C1813" s="2" t="str">
        <f ca="1">IFERROR(__xludf.DUMMYFUNCTION("""COMPUTED_VALUE"""),"")</f>
        <v/>
      </c>
      <c r="D1813" s="2" t="str">
        <f ca="1">IFERROR(__xludf.DUMMYFUNCTION("""COMPUTED_VALUE"""),"")</f>
        <v/>
      </c>
      <c r="E1813" s="2" t="str">
        <f ca="1">IFERROR(__xludf.DUMMYFUNCTION("""COMPUTED_VALUE"""),"")</f>
        <v/>
      </c>
    </row>
    <row r="1814" spans="1:5" ht="12.75">
      <c r="A1814" s="2"/>
      <c r="B1814" s="2" t="str">
        <f ca="1">IFERROR(__xludf.DUMMYFUNCTION("""COMPUTED_VALUE"""),"")</f>
        <v/>
      </c>
      <c r="C1814" s="2" t="str">
        <f ca="1">IFERROR(__xludf.DUMMYFUNCTION("""COMPUTED_VALUE"""),"")</f>
        <v/>
      </c>
      <c r="D1814" s="2" t="str">
        <f ca="1">IFERROR(__xludf.DUMMYFUNCTION("""COMPUTED_VALUE"""),"")</f>
        <v/>
      </c>
      <c r="E1814" s="2" t="str">
        <f ca="1">IFERROR(__xludf.DUMMYFUNCTION("""COMPUTED_VALUE"""),"")</f>
        <v/>
      </c>
    </row>
    <row r="1815" spans="1:5" ht="12.75">
      <c r="A1815" s="2"/>
      <c r="B1815" s="2" t="str">
        <f ca="1">IFERROR(__xludf.DUMMYFUNCTION("""COMPUTED_VALUE"""),"")</f>
        <v/>
      </c>
      <c r="C1815" s="2" t="str">
        <f ca="1">IFERROR(__xludf.DUMMYFUNCTION("""COMPUTED_VALUE"""),"")</f>
        <v/>
      </c>
      <c r="D1815" s="2" t="str">
        <f ca="1">IFERROR(__xludf.DUMMYFUNCTION("""COMPUTED_VALUE"""),"")</f>
        <v/>
      </c>
      <c r="E1815" s="2" t="str">
        <f ca="1">IFERROR(__xludf.DUMMYFUNCTION("""COMPUTED_VALUE"""),"")</f>
        <v/>
      </c>
    </row>
    <row r="1816" spans="1:5" ht="12.75">
      <c r="A1816" s="2"/>
      <c r="B1816" s="2" t="str">
        <f ca="1">IFERROR(__xludf.DUMMYFUNCTION("""COMPUTED_VALUE"""),"")</f>
        <v/>
      </c>
      <c r="C1816" s="2" t="str">
        <f ca="1">IFERROR(__xludf.DUMMYFUNCTION("""COMPUTED_VALUE"""),"")</f>
        <v/>
      </c>
      <c r="D1816" s="2" t="str">
        <f ca="1">IFERROR(__xludf.DUMMYFUNCTION("""COMPUTED_VALUE"""),"")</f>
        <v/>
      </c>
      <c r="E1816" s="2" t="str">
        <f ca="1">IFERROR(__xludf.DUMMYFUNCTION("""COMPUTED_VALUE"""),"")</f>
        <v/>
      </c>
    </row>
    <row r="1817" spans="1:5" ht="12.75">
      <c r="A1817" s="2"/>
      <c r="B1817" s="2" t="str">
        <f ca="1">IFERROR(__xludf.DUMMYFUNCTION("""COMPUTED_VALUE"""),"")</f>
        <v/>
      </c>
      <c r="C1817" s="2" t="str">
        <f ca="1">IFERROR(__xludf.DUMMYFUNCTION("""COMPUTED_VALUE"""),"")</f>
        <v/>
      </c>
      <c r="D1817" s="2" t="str">
        <f ca="1">IFERROR(__xludf.DUMMYFUNCTION("""COMPUTED_VALUE"""),"")</f>
        <v/>
      </c>
      <c r="E1817" s="2" t="str">
        <f ca="1">IFERROR(__xludf.DUMMYFUNCTION("""COMPUTED_VALUE"""),"")</f>
        <v/>
      </c>
    </row>
    <row r="1818" spans="1:5" ht="12.75">
      <c r="A1818" s="2"/>
      <c r="B1818" s="2" t="str">
        <f ca="1">IFERROR(__xludf.DUMMYFUNCTION("""COMPUTED_VALUE"""),"")</f>
        <v/>
      </c>
      <c r="C1818" s="2" t="str">
        <f ca="1">IFERROR(__xludf.DUMMYFUNCTION("""COMPUTED_VALUE"""),"")</f>
        <v/>
      </c>
      <c r="D1818" s="2" t="str">
        <f ca="1">IFERROR(__xludf.DUMMYFUNCTION("""COMPUTED_VALUE"""),"")</f>
        <v/>
      </c>
      <c r="E1818" s="2" t="str">
        <f ca="1">IFERROR(__xludf.DUMMYFUNCTION("""COMPUTED_VALUE"""),"")</f>
        <v/>
      </c>
    </row>
    <row r="1819" spans="1:5" ht="12.75">
      <c r="A1819" s="2"/>
      <c r="B1819" s="2" t="str">
        <f ca="1">IFERROR(__xludf.DUMMYFUNCTION("""COMPUTED_VALUE"""),"")</f>
        <v/>
      </c>
      <c r="C1819" s="2" t="str">
        <f ca="1">IFERROR(__xludf.DUMMYFUNCTION("""COMPUTED_VALUE"""),"")</f>
        <v/>
      </c>
      <c r="D1819" s="2" t="str">
        <f ca="1">IFERROR(__xludf.DUMMYFUNCTION("""COMPUTED_VALUE"""),"")</f>
        <v/>
      </c>
      <c r="E1819" s="2" t="str">
        <f ca="1">IFERROR(__xludf.DUMMYFUNCTION("""COMPUTED_VALUE"""),"")</f>
        <v/>
      </c>
    </row>
    <row r="1820" spans="1:5" ht="12.75">
      <c r="A1820" s="2"/>
      <c r="B1820" s="2" t="str">
        <f ca="1">IFERROR(__xludf.DUMMYFUNCTION("""COMPUTED_VALUE"""),"")</f>
        <v/>
      </c>
      <c r="C1820" s="2" t="str">
        <f ca="1">IFERROR(__xludf.DUMMYFUNCTION("""COMPUTED_VALUE"""),"")</f>
        <v/>
      </c>
      <c r="D1820" s="2" t="str">
        <f ca="1">IFERROR(__xludf.DUMMYFUNCTION("""COMPUTED_VALUE"""),"")</f>
        <v/>
      </c>
      <c r="E1820" s="2" t="str">
        <f ca="1">IFERROR(__xludf.DUMMYFUNCTION("""COMPUTED_VALUE"""),"")</f>
        <v/>
      </c>
    </row>
    <row r="1821" spans="1:5" ht="12.75">
      <c r="A1821" s="2"/>
      <c r="B1821" s="2" t="str">
        <f ca="1">IFERROR(__xludf.DUMMYFUNCTION("""COMPUTED_VALUE"""),"")</f>
        <v/>
      </c>
      <c r="C1821" s="2" t="str">
        <f ca="1">IFERROR(__xludf.DUMMYFUNCTION("""COMPUTED_VALUE"""),"")</f>
        <v/>
      </c>
      <c r="D1821" s="2" t="str">
        <f ca="1">IFERROR(__xludf.DUMMYFUNCTION("""COMPUTED_VALUE"""),"")</f>
        <v/>
      </c>
      <c r="E1821" s="2" t="str">
        <f ca="1">IFERROR(__xludf.DUMMYFUNCTION("""COMPUTED_VALUE"""),"")</f>
        <v/>
      </c>
    </row>
    <row r="1822" spans="1:5" ht="12.75">
      <c r="A1822" s="2"/>
      <c r="B1822" s="2" t="str">
        <f ca="1">IFERROR(__xludf.DUMMYFUNCTION("""COMPUTED_VALUE"""),"")</f>
        <v/>
      </c>
      <c r="C1822" s="2" t="str">
        <f ca="1">IFERROR(__xludf.DUMMYFUNCTION("""COMPUTED_VALUE"""),"")</f>
        <v/>
      </c>
      <c r="D1822" s="2" t="str">
        <f ca="1">IFERROR(__xludf.DUMMYFUNCTION("""COMPUTED_VALUE"""),"")</f>
        <v/>
      </c>
      <c r="E1822" s="2" t="str">
        <f ca="1">IFERROR(__xludf.DUMMYFUNCTION("""COMPUTED_VALUE"""),"")</f>
        <v/>
      </c>
    </row>
    <row r="1823" spans="1:5" ht="12.75">
      <c r="A1823" s="2"/>
      <c r="B1823" s="2" t="str">
        <f ca="1">IFERROR(__xludf.DUMMYFUNCTION("""COMPUTED_VALUE"""),"")</f>
        <v/>
      </c>
      <c r="C1823" s="2" t="str">
        <f ca="1">IFERROR(__xludf.DUMMYFUNCTION("""COMPUTED_VALUE"""),"")</f>
        <v/>
      </c>
      <c r="D1823" s="2" t="str">
        <f ca="1">IFERROR(__xludf.DUMMYFUNCTION("""COMPUTED_VALUE"""),"")</f>
        <v/>
      </c>
      <c r="E1823" s="2" t="str">
        <f ca="1">IFERROR(__xludf.DUMMYFUNCTION("""COMPUTED_VALUE"""),"")</f>
        <v/>
      </c>
    </row>
    <row r="1824" spans="1:5" ht="12.75">
      <c r="A1824" s="2"/>
      <c r="B1824" s="2" t="str">
        <f ca="1">IFERROR(__xludf.DUMMYFUNCTION("""COMPUTED_VALUE"""),"")</f>
        <v/>
      </c>
      <c r="C1824" s="2" t="str">
        <f ca="1">IFERROR(__xludf.DUMMYFUNCTION("""COMPUTED_VALUE"""),"")</f>
        <v/>
      </c>
      <c r="D1824" s="2" t="str">
        <f ca="1">IFERROR(__xludf.DUMMYFUNCTION("""COMPUTED_VALUE"""),"")</f>
        <v/>
      </c>
      <c r="E1824" s="2" t="str">
        <f ca="1">IFERROR(__xludf.DUMMYFUNCTION("""COMPUTED_VALUE"""),"")</f>
        <v/>
      </c>
    </row>
    <row r="1825" spans="1:5" ht="12.75">
      <c r="A1825" s="2"/>
      <c r="B1825" s="2" t="str">
        <f ca="1">IFERROR(__xludf.DUMMYFUNCTION("""COMPUTED_VALUE"""),"")</f>
        <v/>
      </c>
      <c r="C1825" s="2" t="str">
        <f ca="1">IFERROR(__xludf.DUMMYFUNCTION("""COMPUTED_VALUE"""),"")</f>
        <v/>
      </c>
      <c r="D1825" s="2" t="str">
        <f ca="1">IFERROR(__xludf.DUMMYFUNCTION("""COMPUTED_VALUE"""),"")</f>
        <v/>
      </c>
      <c r="E1825" s="2" t="str">
        <f ca="1">IFERROR(__xludf.DUMMYFUNCTION("""COMPUTED_VALUE"""),"")</f>
        <v/>
      </c>
    </row>
    <row r="1826" spans="1:5" ht="12.75">
      <c r="A1826" s="2"/>
      <c r="B1826" s="2" t="str">
        <f ca="1">IFERROR(__xludf.DUMMYFUNCTION("""COMPUTED_VALUE"""),"")</f>
        <v/>
      </c>
      <c r="C1826" s="2" t="str">
        <f ca="1">IFERROR(__xludf.DUMMYFUNCTION("""COMPUTED_VALUE"""),"")</f>
        <v/>
      </c>
      <c r="D1826" s="2" t="str">
        <f ca="1">IFERROR(__xludf.DUMMYFUNCTION("""COMPUTED_VALUE"""),"")</f>
        <v/>
      </c>
      <c r="E1826" s="2" t="str">
        <f ca="1">IFERROR(__xludf.DUMMYFUNCTION("""COMPUTED_VALUE"""),"")</f>
        <v/>
      </c>
    </row>
    <row r="1827" spans="1:5" ht="12.75">
      <c r="A1827" s="2"/>
      <c r="B1827" s="2" t="str">
        <f ca="1">IFERROR(__xludf.DUMMYFUNCTION("""COMPUTED_VALUE"""),"")</f>
        <v/>
      </c>
      <c r="C1827" s="2" t="str">
        <f ca="1">IFERROR(__xludf.DUMMYFUNCTION("""COMPUTED_VALUE"""),"")</f>
        <v/>
      </c>
      <c r="D1827" s="2" t="str">
        <f ca="1">IFERROR(__xludf.DUMMYFUNCTION("""COMPUTED_VALUE"""),"")</f>
        <v/>
      </c>
      <c r="E1827" s="2" t="str">
        <f ca="1">IFERROR(__xludf.DUMMYFUNCTION("""COMPUTED_VALUE"""),"")</f>
        <v/>
      </c>
    </row>
    <row r="1828" spans="1:5" ht="12.75">
      <c r="A1828" s="2"/>
      <c r="B1828" s="2" t="str">
        <f ca="1">IFERROR(__xludf.DUMMYFUNCTION("""COMPUTED_VALUE"""),"")</f>
        <v/>
      </c>
      <c r="C1828" s="2" t="str">
        <f ca="1">IFERROR(__xludf.DUMMYFUNCTION("""COMPUTED_VALUE"""),"")</f>
        <v/>
      </c>
      <c r="D1828" s="2" t="str">
        <f ca="1">IFERROR(__xludf.DUMMYFUNCTION("""COMPUTED_VALUE"""),"")</f>
        <v/>
      </c>
      <c r="E1828" s="2" t="str">
        <f ca="1">IFERROR(__xludf.DUMMYFUNCTION("""COMPUTED_VALUE"""),"")</f>
        <v/>
      </c>
    </row>
    <row r="1829" spans="1:5" ht="12.75">
      <c r="A1829" s="2"/>
      <c r="B1829" s="2" t="str">
        <f ca="1">IFERROR(__xludf.DUMMYFUNCTION("""COMPUTED_VALUE"""),"")</f>
        <v/>
      </c>
      <c r="C1829" s="2" t="str">
        <f ca="1">IFERROR(__xludf.DUMMYFUNCTION("""COMPUTED_VALUE"""),"")</f>
        <v/>
      </c>
      <c r="D1829" s="2" t="str">
        <f ca="1">IFERROR(__xludf.DUMMYFUNCTION("""COMPUTED_VALUE"""),"")</f>
        <v/>
      </c>
      <c r="E1829" s="2" t="str">
        <f ca="1">IFERROR(__xludf.DUMMYFUNCTION("""COMPUTED_VALUE"""),"")</f>
        <v/>
      </c>
    </row>
    <row r="1830" spans="1:5" ht="12.75">
      <c r="A1830" s="2"/>
      <c r="B1830" s="2" t="str">
        <f ca="1">IFERROR(__xludf.DUMMYFUNCTION("""COMPUTED_VALUE"""),"")</f>
        <v/>
      </c>
      <c r="C1830" s="2" t="str">
        <f ca="1">IFERROR(__xludf.DUMMYFUNCTION("""COMPUTED_VALUE"""),"")</f>
        <v/>
      </c>
      <c r="D1830" s="2" t="str">
        <f ca="1">IFERROR(__xludf.DUMMYFUNCTION("""COMPUTED_VALUE"""),"")</f>
        <v/>
      </c>
      <c r="E1830" s="2" t="str">
        <f ca="1">IFERROR(__xludf.DUMMYFUNCTION("""COMPUTED_VALUE"""),"")</f>
        <v/>
      </c>
    </row>
    <row r="1831" spans="1:5" ht="12.75">
      <c r="A1831" s="2"/>
      <c r="B1831" s="2" t="str">
        <f ca="1">IFERROR(__xludf.DUMMYFUNCTION("""COMPUTED_VALUE"""),"")</f>
        <v/>
      </c>
      <c r="C1831" s="2" t="str">
        <f ca="1">IFERROR(__xludf.DUMMYFUNCTION("""COMPUTED_VALUE"""),"")</f>
        <v/>
      </c>
      <c r="D1831" s="2" t="str">
        <f ca="1">IFERROR(__xludf.DUMMYFUNCTION("""COMPUTED_VALUE"""),"")</f>
        <v/>
      </c>
      <c r="E1831" s="2" t="str">
        <f ca="1">IFERROR(__xludf.DUMMYFUNCTION("""COMPUTED_VALUE"""),"")</f>
        <v/>
      </c>
    </row>
    <row r="1832" spans="1:5" ht="12.75">
      <c r="A1832" s="2"/>
      <c r="B1832" s="2" t="str">
        <f ca="1">IFERROR(__xludf.DUMMYFUNCTION("""COMPUTED_VALUE"""),"")</f>
        <v/>
      </c>
      <c r="C1832" s="2" t="str">
        <f ca="1">IFERROR(__xludf.DUMMYFUNCTION("""COMPUTED_VALUE"""),"")</f>
        <v/>
      </c>
      <c r="D1832" s="2" t="str">
        <f ca="1">IFERROR(__xludf.DUMMYFUNCTION("""COMPUTED_VALUE"""),"")</f>
        <v/>
      </c>
      <c r="E1832" s="2" t="str">
        <f ca="1">IFERROR(__xludf.DUMMYFUNCTION("""COMPUTED_VALUE"""),"")</f>
        <v/>
      </c>
    </row>
    <row r="1833" spans="1:5" ht="12.75">
      <c r="A1833" s="2"/>
      <c r="B1833" s="2" t="str">
        <f ca="1">IFERROR(__xludf.DUMMYFUNCTION("""COMPUTED_VALUE"""),"")</f>
        <v/>
      </c>
      <c r="C1833" s="2" t="str">
        <f ca="1">IFERROR(__xludf.DUMMYFUNCTION("""COMPUTED_VALUE"""),"")</f>
        <v/>
      </c>
      <c r="D1833" s="2" t="str">
        <f ca="1">IFERROR(__xludf.DUMMYFUNCTION("""COMPUTED_VALUE"""),"")</f>
        <v/>
      </c>
      <c r="E1833" s="2" t="str">
        <f ca="1">IFERROR(__xludf.DUMMYFUNCTION("""COMPUTED_VALUE"""),"")</f>
        <v/>
      </c>
    </row>
    <row r="1834" spans="1:5" ht="12.75">
      <c r="A1834" s="2"/>
      <c r="B1834" s="2" t="str">
        <f ca="1">IFERROR(__xludf.DUMMYFUNCTION("""COMPUTED_VALUE"""),"")</f>
        <v/>
      </c>
      <c r="C1834" s="2" t="str">
        <f ca="1">IFERROR(__xludf.DUMMYFUNCTION("""COMPUTED_VALUE"""),"")</f>
        <v/>
      </c>
      <c r="D1834" s="2" t="str">
        <f ca="1">IFERROR(__xludf.DUMMYFUNCTION("""COMPUTED_VALUE"""),"")</f>
        <v/>
      </c>
      <c r="E1834" s="2" t="str">
        <f ca="1">IFERROR(__xludf.DUMMYFUNCTION("""COMPUTED_VALUE"""),"")</f>
        <v/>
      </c>
    </row>
    <row r="1835" spans="1:5" ht="12.75">
      <c r="A1835" s="2"/>
      <c r="B1835" s="2" t="str">
        <f ca="1">IFERROR(__xludf.DUMMYFUNCTION("""COMPUTED_VALUE"""),"")</f>
        <v/>
      </c>
      <c r="C1835" s="2" t="str">
        <f ca="1">IFERROR(__xludf.DUMMYFUNCTION("""COMPUTED_VALUE"""),"")</f>
        <v/>
      </c>
      <c r="D1835" s="2" t="str">
        <f ca="1">IFERROR(__xludf.DUMMYFUNCTION("""COMPUTED_VALUE"""),"")</f>
        <v/>
      </c>
      <c r="E1835" s="2" t="str">
        <f ca="1">IFERROR(__xludf.DUMMYFUNCTION("""COMPUTED_VALUE"""),"")</f>
        <v/>
      </c>
    </row>
    <row r="1836" spans="1:5" ht="12.75">
      <c r="A1836" s="2"/>
      <c r="B1836" s="2" t="str">
        <f ca="1">IFERROR(__xludf.DUMMYFUNCTION("""COMPUTED_VALUE"""),"")</f>
        <v/>
      </c>
      <c r="C1836" s="2" t="str">
        <f ca="1">IFERROR(__xludf.DUMMYFUNCTION("""COMPUTED_VALUE"""),"")</f>
        <v/>
      </c>
      <c r="D1836" s="2" t="str">
        <f ca="1">IFERROR(__xludf.DUMMYFUNCTION("""COMPUTED_VALUE"""),"")</f>
        <v/>
      </c>
      <c r="E1836" s="2" t="str">
        <f ca="1">IFERROR(__xludf.DUMMYFUNCTION("""COMPUTED_VALUE"""),"")</f>
        <v/>
      </c>
    </row>
    <row r="1837" spans="1:5" ht="12.75">
      <c r="A1837" s="2"/>
      <c r="B1837" s="2" t="str">
        <f ca="1">IFERROR(__xludf.DUMMYFUNCTION("""COMPUTED_VALUE"""),"")</f>
        <v/>
      </c>
      <c r="C1837" s="2" t="str">
        <f ca="1">IFERROR(__xludf.DUMMYFUNCTION("""COMPUTED_VALUE"""),"")</f>
        <v/>
      </c>
      <c r="D1837" s="2" t="str">
        <f ca="1">IFERROR(__xludf.DUMMYFUNCTION("""COMPUTED_VALUE"""),"")</f>
        <v/>
      </c>
      <c r="E1837" s="2" t="str">
        <f ca="1">IFERROR(__xludf.DUMMYFUNCTION("""COMPUTED_VALUE"""),"")</f>
        <v/>
      </c>
    </row>
    <row r="1838" spans="1:5" ht="12.75">
      <c r="A1838" s="2"/>
      <c r="B1838" s="2" t="str">
        <f ca="1">IFERROR(__xludf.DUMMYFUNCTION("""COMPUTED_VALUE"""),"")</f>
        <v/>
      </c>
      <c r="C1838" s="2" t="str">
        <f ca="1">IFERROR(__xludf.DUMMYFUNCTION("""COMPUTED_VALUE"""),"")</f>
        <v/>
      </c>
      <c r="D1838" s="2" t="str">
        <f ca="1">IFERROR(__xludf.DUMMYFUNCTION("""COMPUTED_VALUE"""),"")</f>
        <v/>
      </c>
      <c r="E1838" s="2" t="str">
        <f ca="1">IFERROR(__xludf.DUMMYFUNCTION("""COMPUTED_VALUE"""),"")</f>
        <v/>
      </c>
    </row>
    <row r="1839" spans="1:5" ht="12.75">
      <c r="A1839" s="2"/>
      <c r="B1839" s="2" t="str">
        <f ca="1">IFERROR(__xludf.DUMMYFUNCTION("""COMPUTED_VALUE"""),"")</f>
        <v/>
      </c>
      <c r="C1839" s="2" t="str">
        <f ca="1">IFERROR(__xludf.DUMMYFUNCTION("""COMPUTED_VALUE"""),"")</f>
        <v/>
      </c>
      <c r="D1839" s="2" t="str">
        <f ca="1">IFERROR(__xludf.DUMMYFUNCTION("""COMPUTED_VALUE"""),"")</f>
        <v/>
      </c>
      <c r="E1839" s="2" t="str">
        <f ca="1">IFERROR(__xludf.DUMMYFUNCTION("""COMPUTED_VALUE"""),"")</f>
        <v/>
      </c>
    </row>
    <row r="1840" spans="1:5" ht="12.75">
      <c r="A1840" s="2"/>
      <c r="B1840" s="2" t="str">
        <f ca="1">IFERROR(__xludf.DUMMYFUNCTION("""COMPUTED_VALUE"""),"")</f>
        <v/>
      </c>
      <c r="C1840" s="2" t="str">
        <f ca="1">IFERROR(__xludf.DUMMYFUNCTION("""COMPUTED_VALUE"""),"")</f>
        <v/>
      </c>
      <c r="D1840" s="2" t="str">
        <f ca="1">IFERROR(__xludf.DUMMYFUNCTION("""COMPUTED_VALUE"""),"")</f>
        <v/>
      </c>
      <c r="E1840" s="2" t="str">
        <f ca="1">IFERROR(__xludf.DUMMYFUNCTION("""COMPUTED_VALUE"""),"")</f>
        <v/>
      </c>
    </row>
    <row r="1841" spans="1:5" ht="12.75">
      <c r="A1841" s="2"/>
      <c r="B1841" s="2" t="str">
        <f ca="1">IFERROR(__xludf.DUMMYFUNCTION("""COMPUTED_VALUE"""),"")</f>
        <v/>
      </c>
      <c r="C1841" s="2" t="str">
        <f ca="1">IFERROR(__xludf.DUMMYFUNCTION("""COMPUTED_VALUE"""),"")</f>
        <v/>
      </c>
      <c r="D1841" s="2" t="str">
        <f ca="1">IFERROR(__xludf.DUMMYFUNCTION("""COMPUTED_VALUE"""),"")</f>
        <v/>
      </c>
      <c r="E1841" s="2" t="str">
        <f ca="1">IFERROR(__xludf.DUMMYFUNCTION("""COMPUTED_VALUE"""),"")</f>
        <v/>
      </c>
    </row>
    <row r="1842" spans="1:5" ht="12.75">
      <c r="A1842" s="2"/>
      <c r="B1842" s="2" t="str">
        <f ca="1">IFERROR(__xludf.DUMMYFUNCTION("""COMPUTED_VALUE"""),"")</f>
        <v/>
      </c>
      <c r="C1842" s="2" t="str">
        <f ca="1">IFERROR(__xludf.DUMMYFUNCTION("""COMPUTED_VALUE"""),"")</f>
        <v/>
      </c>
      <c r="D1842" s="2" t="str">
        <f ca="1">IFERROR(__xludf.DUMMYFUNCTION("""COMPUTED_VALUE"""),"")</f>
        <v/>
      </c>
      <c r="E1842" s="2" t="str">
        <f ca="1">IFERROR(__xludf.DUMMYFUNCTION("""COMPUTED_VALUE"""),"")</f>
        <v/>
      </c>
    </row>
    <row r="1843" spans="1:5" ht="12.75">
      <c r="A1843" s="2"/>
      <c r="B1843" s="2" t="str">
        <f ca="1">IFERROR(__xludf.DUMMYFUNCTION("""COMPUTED_VALUE"""),"")</f>
        <v/>
      </c>
      <c r="C1843" s="2" t="str">
        <f ca="1">IFERROR(__xludf.DUMMYFUNCTION("""COMPUTED_VALUE"""),"")</f>
        <v/>
      </c>
      <c r="D1843" s="2" t="str">
        <f ca="1">IFERROR(__xludf.DUMMYFUNCTION("""COMPUTED_VALUE"""),"")</f>
        <v/>
      </c>
      <c r="E1843" s="2" t="str">
        <f ca="1">IFERROR(__xludf.DUMMYFUNCTION("""COMPUTED_VALUE"""),"")</f>
        <v/>
      </c>
    </row>
    <row r="1844" spans="1:5" ht="12.75">
      <c r="A1844" s="2"/>
      <c r="B1844" s="2" t="str">
        <f ca="1">IFERROR(__xludf.DUMMYFUNCTION("""COMPUTED_VALUE"""),"")</f>
        <v/>
      </c>
      <c r="C1844" s="2" t="str">
        <f ca="1">IFERROR(__xludf.DUMMYFUNCTION("""COMPUTED_VALUE"""),"")</f>
        <v/>
      </c>
      <c r="D1844" s="2" t="str">
        <f ca="1">IFERROR(__xludf.DUMMYFUNCTION("""COMPUTED_VALUE"""),"")</f>
        <v/>
      </c>
      <c r="E1844" s="2" t="str">
        <f ca="1">IFERROR(__xludf.DUMMYFUNCTION("""COMPUTED_VALUE"""),"")</f>
        <v/>
      </c>
    </row>
    <row r="1845" spans="1:5" ht="12.75">
      <c r="A1845" s="2"/>
      <c r="B1845" s="2" t="str">
        <f ca="1">IFERROR(__xludf.DUMMYFUNCTION("""COMPUTED_VALUE"""),"")</f>
        <v/>
      </c>
      <c r="C1845" s="2" t="str">
        <f ca="1">IFERROR(__xludf.DUMMYFUNCTION("""COMPUTED_VALUE"""),"")</f>
        <v/>
      </c>
      <c r="D1845" s="2" t="str">
        <f ca="1">IFERROR(__xludf.DUMMYFUNCTION("""COMPUTED_VALUE"""),"")</f>
        <v/>
      </c>
      <c r="E1845" s="2" t="str">
        <f ca="1">IFERROR(__xludf.DUMMYFUNCTION("""COMPUTED_VALUE"""),"")</f>
        <v/>
      </c>
    </row>
    <row r="1846" spans="1:5" ht="12.75">
      <c r="A1846" s="2"/>
      <c r="B1846" s="2" t="str">
        <f ca="1">IFERROR(__xludf.DUMMYFUNCTION("""COMPUTED_VALUE"""),"")</f>
        <v/>
      </c>
      <c r="C1846" s="2" t="str">
        <f ca="1">IFERROR(__xludf.DUMMYFUNCTION("""COMPUTED_VALUE"""),"")</f>
        <v/>
      </c>
      <c r="D1846" s="2" t="str">
        <f ca="1">IFERROR(__xludf.DUMMYFUNCTION("""COMPUTED_VALUE"""),"")</f>
        <v/>
      </c>
      <c r="E1846" s="2" t="str">
        <f ca="1">IFERROR(__xludf.DUMMYFUNCTION("""COMPUTED_VALUE"""),"")</f>
        <v/>
      </c>
    </row>
    <row r="1847" spans="1:5" ht="12.75">
      <c r="A1847" s="2"/>
      <c r="B1847" s="2" t="str">
        <f ca="1">IFERROR(__xludf.DUMMYFUNCTION("""COMPUTED_VALUE"""),"")</f>
        <v/>
      </c>
      <c r="C1847" s="2" t="str">
        <f ca="1">IFERROR(__xludf.DUMMYFUNCTION("""COMPUTED_VALUE"""),"")</f>
        <v/>
      </c>
      <c r="D1847" s="2" t="str">
        <f ca="1">IFERROR(__xludf.DUMMYFUNCTION("""COMPUTED_VALUE"""),"")</f>
        <v/>
      </c>
      <c r="E1847" s="2" t="str">
        <f ca="1">IFERROR(__xludf.DUMMYFUNCTION("""COMPUTED_VALUE"""),"")</f>
        <v/>
      </c>
    </row>
    <row r="1848" spans="1:5" ht="12.75">
      <c r="A1848" s="2"/>
      <c r="B1848" s="2" t="str">
        <f ca="1">IFERROR(__xludf.DUMMYFUNCTION("""COMPUTED_VALUE"""),"")</f>
        <v/>
      </c>
      <c r="C1848" s="2" t="str">
        <f ca="1">IFERROR(__xludf.DUMMYFUNCTION("""COMPUTED_VALUE"""),"")</f>
        <v/>
      </c>
      <c r="D1848" s="2" t="str">
        <f ca="1">IFERROR(__xludf.DUMMYFUNCTION("""COMPUTED_VALUE"""),"")</f>
        <v/>
      </c>
      <c r="E1848" s="2" t="str">
        <f ca="1">IFERROR(__xludf.DUMMYFUNCTION("""COMPUTED_VALUE"""),"")</f>
        <v/>
      </c>
    </row>
    <row r="1849" spans="1:5" ht="12.75">
      <c r="A1849" s="2"/>
      <c r="B1849" s="2" t="str">
        <f ca="1">IFERROR(__xludf.DUMMYFUNCTION("""COMPUTED_VALUE"""),"")</f>
        <v/>
      </c>
      <c r="C1849" s="2" t="str">
        <f ca="1">IFERROR(__xludf.DUMMYFUNCTION("""COMPUTED_VALUE"""),"")</f>
        <v/>
      </c>
      <c r="D1849" s="2" t="str">
        <f ca="1">IFERROR(__xludf.DUMMYFUNCTION("""COMPUTED_VALUE"""),"")</f>
        <v/>
      </c>
      <c r="E1849" s="2" t="str">
        <f ca="1">IFERROR(__xludf.DUMMYFUNCTION("""COMPUTED_VALUE"""),"")</f>
        <v/>
      </c>
    </row>
    <row r="1850" spans="1:5" ht="12.75">
      <c r="A1850" s="2"/>
      <c r="B1850" s="2" t="str">
        <f ca="1">IFERROR(__xludf.DUMMYFUNCTION("""COMPUTED_VALUE"""),"")</f>
        <v/>
      </c>
      <c r="C1850" s="2" t="str">
        <f ca="1">IFERROR(__xludf.DUMMYFUNCTION("""COMPUTED_VALUE"""),"")</f>
        <v/>
      </c>
      <c r="D1850" s="2" t="str">
        <f ca="1">IFERROR(__xludf.DUMMYFUNCTION("""COMPUTED_VALUE"""),"")</f>
        <v/>
      </c>
      <c r="E1850" s="2" t="str">
        <f ca="1">IFERROR(__xludf.DUMMYFUNCTION("""COMPUTED_VALUE"""),"")</f>
        <v/>
      </c>
    </row>
    <row r="1851" spans="1:5" ht="12.75">
      <c r="A1851" s="2"/>
      <c r="B1851" s="2" t="str">
        <f ca="1">IFERROR(__xludf.DUMMYFUNCTION("""COMPUTED_VALUE"""),"")</f>
        <v/>
      </c>
      <c r="C1851" s="2" t="str">
        <f ca="1">IFERROR(__xludf.DUMMYFUNCTION("""COMPUTED_VALUE"""),"")</f>
        <v/>
      </c>
      <c r="D1851" s="2" t="str">
        <f ca="1">IFERROR(__xludf.DUMMYFUNCTION("""COMPUTED_VALUE"""),"")</f>
        <v/>
      </c>
      <c r="E1851" s="2" t="str">
        <f ca="1">IFERROR(__xludf.DUMMYFUNCTION("""COMPUTED_VALUE"""),"")</f>
        <v/>
      </c>
    </row>
    <row r="1852" spans="1:5" ht="12.75">
      <c r="A1852" s="2"/>
      <c r="B1852" s="2" t="str">
        <f ca="1">IFERROR(__xludf.DUMMYFUNCTION("""COMPUTED_VALUE"""),"")</f>
        <v/>
      </c>
      <c r="C1852" s="2" t="str">
        <f ca="1">IFERROR(__xludf.DUMMYFUNCTION("""COMPUTED_VALUE"""),"")</f>
        <v/>
      </c>
      <c r="D1852" s="2" t="str">
        <f ca="1">IFERROR(__xludf.DUMMYFUNCTION("""COMPUTED_VALUE"""),"")</f>
        <v/>
      </c>
      <c r="E1852" s="2" t="str">
        <f ca="1">IFERROR(__xludf.DUMMYFUNCTION("""COMPUTED_VALUE"""),"")</f>
        <v/>
      </c>
    </row>
    <row r="1853" spans="1:5" ht="12.75">
      <c r="A1853" s="2"/>
      <c r="B1853" s="2" t="str">
        <f ca="1">IFERROR(__xludf.DUMMYFUNCTION("""COMPUTED_VALUE"""),"")</f>
        <v/>
      </c>
      <c r="C1853" s="2" t="str">
        <f ca="1">IFERROR(__xludf.DUMMYFUNCTION("""COMPUTED_VALUE"""),"")</f>
        <v/>
      </c>
      <c r="D1853" s="2" t="str">
        <f ca="1">IFERROR(__xludf.DUMMYFUNCTION("""COMPUTED_VALUE"""),"")</f>
        <v/>
      </c>
      <c r="E1853" s="2" t="str">
        <f ca="1">IFERROR(__xludf.DUMMYFUNCTION("""COMPUTED_VALUE"""),"")</f>
        <v/>
      </c>
    </row>
    <row r="1854" spans="1:5" ht="12.75">
      <c r="A1854" s="2"/>
      <c r="B1854" s="2" t="str">
        <f ca="1">IFERROR(__xludf.DUMMYFUNCTION("""COMPUTED_VALUE"""),"")</f>
        <v/>
      </c>
      <c r="C1854" s="2" t="str">
        <f ca="1">IFERROR(__xludf.DUMMYFUNCTION("""COMPUTED_VALUE"""),"")</f>
        <v/>
      </c>
      <c r="D1854" s="2" t="str">
        <f ca="1">IFERROR(__xludf.DUMMYFUNCTION("""COMPUTED_VALUE"""),"")</f>
        <v/>
      </c>
      <c r="E1854" s="2" t="str">
        <f ca="1">IFERROR(__xludf.DUMMYFUNCTION("""COMPUTED_VALUE"""),"")</f>
        <v/>
      </c>
    </row>
    <row r="1855" spans="1:5" ht="12.75">
      <c r="A1855" s="2"/>
      <c r="B1855" s="2" t="str">
        <f ca="1">IFERROR(__xludf.DUMMYFUNCTION("""COMPUTED_VALUE"""),"")</f>
        <v/>
      </c>
      <c r="C1855" s="2" t="str">
        <f ca="1">IFERROR(__xludf.DUMMYFUNCTION("""COMPUTED_VALUE"""),"")</f>
        <v/>
      </c>
      <c r="D1855" s="2" t="str">
        <f ca="1">IFERROR(__xludf.DUMMYFUNCTION("""COMPUTED_VALUE"""),"")</f>
        <v/>
      </c>
      <c r="E1855" s="2" t="str">
        <f ca="1">IFERROR(__xludf.DUMMYFUNCTION("""COMPUTED_VALUE"""),"")</f>
        <v/>
      </c>
    </row>
    <row r="1856" spans="1:5" ht="12.75">
      <c r="A1856" s="2"/>
      <c r="B1856" s="2" t="str">
        <f ca="1">IFERROR(__xludf.DUMMYFUNCTION("""COMPUTED_VALUE"""),"")</f>
        <v/>
      </c>
      <c r="C1856" s="2" t="str">
        <f ca="1">IFERROR(__xludf.DUMMYFUNCTION("""COMPUTED_VALUE"""),"")</f>
        <v/>
      </c>
      <c r="D1856" s="2" t="str">
        <f ca="1">IFERROR(__xludf.DUMMYFUNCTION("""COMPUTED_VALUE"""),"")</f>
        <v/>
      </c>
      <c r="E1856" s="2" t="str">
        <f ca="1">IFERROR(__xludf.DUMMYFUNCTION("""COMPUTED_VALUE"""),"")</f>
        <v/>
      </c>
    </row>
    <row r="1857" spans="1:5" ht="12.75">
      <c r="A1857" s="2"/>
      <c r="B1857" s="2" t="str">
        <f ca="1">IFERROR(__xludf.DUMMYFUNCTION("""COMPUTED_VALUE"""),"")</f>
        <v/>
      </c>
      <c r="C1857" s="2" t="str">
        <f ca="1">IFERROR(__xludf.DUMMYFUNCTION("""COMPUTED_VALUE"""),"")</f>
        <v/>
      </c>
      <c r="D1857" s="2" t="str">
        <f ca="1">IFERROR(__xludf.DUMMYFUNCTION("""COMPUTED_VALUE"""),"")</f>
        <v/>
      </c>
      <c r="E1857" s="2" t="str">
        <f ca="1">IFERROR(__xludf.DUMMYFUNCTION("""COMPUTED_VALUE"""),"")</f>
        <v/>
      </c>
    </row>
    <row r="1858" spans="1:5" ht="12.75">
      <c r="A1858" s="2"/>
      <c r="B1858" s="2" t="str">
        <f ca="1">IFERROR(__xludf.DUMMYFUNCTION("""COMPUTED_VALUE"""),"")</f>
        <v/>
      </c>
      <c r="C1858" s="2" t="str">
        <f ca="1">IFERROR(__xludf.DUMMYFUNCTION("""COMPUTED_VALUE"""),"")</f>
        <v/>
      </c>
      <c r="D1858" s="2" t="str">
        <f ca="1">IFERROR(__xludf.DUMMYFUNCTION("""COMPUTED_VALUE"""),"")</f>
        <v/>
      </c>
      <c r="E1858" s="2" t="str">
        <f ca="1">IFERROR(__xludf.DUMMYFUNCTION("""COMPUTED_VALUE"""),"")</f>
        <v/>
      </c>
    </row>
    <row r="1859" spans="1:5" ht="12.75">
      <c r="A1859" s="2"/>
      <c r="B1859" s="2" t="str">
        <f ca="1">IFERROR(__xludf.DUMMYFUNCTION("""COMPUTED_VALUE"""),"")</f>
        <v/>
      </c>
      <c r="C1859" s="2" t="str">
        <f ca="1">IFERROR(__xludf.DUMMYFUNCTION("""COMPUTED_VALUE"""),"")</f>
        <v/>
      </c>
      <c r="D1859" s="2" t="str">
        <f ca="1">IFERROR(__xludf.DUMMYFUNCTION("""COMPUTED_VALUE"""),"")</f>
        <v/>
      </c>
      <c r="E1859" s="2" t="str">
        <f ca="1">IFERROR(__xludf.DUMMYFUNCTION("""COMPUTED_VALUE"""),"")</f>
        <v/>
      </c>
    </row>
    <row r="1860" spans="1:5" ht="12.75">
      <c r="A1860" s="2"/>
      <c r="B1860" s="2" t="str">
        <f ca="1">IFERROR(__xludf.DUMMYFUNCTION("""COMPUTED_VALUE"""),"")</f>
        <v/>
      </c>
      <c r="C1860" s="2" t="str">
        <f ca="1">IFERROR(__xludf.DUMMYFUNCTION("""COMPUTED_VALUE"""),"")</f>
        <v/>
      </c>
      <c r="D1860" s="2" t="str">
        <f ca="1">IFERROR(__xludf.DUMMYFUNCTION("""COMPUTED_VALUE"""),"")</f>
        <v/>
      </c>
      <c r="E1860" s="2" t="str">
        <f ca="1">IFERROR(__xludf.DUMMYFUNCTION("""COMPUTED_VALUE"""),"")</f>
        <v/>
      </c>
    </row>
    <row r="1861" spans="1:5" ht="12.75">
      <c r="A1861" s="2"/>
      <c r="B1861" s="2" t="str">
        <f ca="1">IFERROR(__xludf.DUMMYFUNCTION("""COMPUTED_VALUE"""),"")</f>
        <v/>
      </c>
      <c r="C1861" s="2" t="str">
        <f ca="1">IFERROR(__xludf.DUMMYFUNCTION("""COMPUTED_VALUE"""),"")</f>
        <v/>
      </c>
      <c r="D1861" s="2" t="str">
        <f ca="1">IFERROR(__xludf.DUMMYFUNCTION("""COMPUTED_VALUE"""),"")</f>
        <v/>
      </c>
      <c r="E1861" s="2" t="str">
        <f ca="1">IFERROR(__xludf.DUMMYFUNCTION("""COMPUTED_VALUE"""),"")</f>
        <v/>
      </c>
    </row>
    <row r="1862" spans="1:5" ht="12.75">
      <c r="A1862" s="2"/>
      <c r="B1862" s="2" t="str">
        <f ca="1">IFERROR(__xludf.DUMMYFUNCTION("""COMPUTED_VALUE"""),"")</f>
        <v/>
      </c>
      <c r="C1862" s="2" t="str">
        <f ca="1">IFERROR(__xludf.DUMMYFUNCTION("""COMPUTED_VALUE"""),"")</f>
        <v/>
      </c>
      <c r="D1862" s="2" t="str">
        <f ca="1">IFERROR(__xludf.DUMMYFUNCTION("""COMPUTED_VALUE"""),"")</f>
        <v/>
      </c>
      <c r="E1862" s="2" t="str">
        <f ca="1">IFERROR(__xludf.DUMMYFUNCTION("""COMPUTED_VALUE"""),"")</f>
        <v/>
      </c>
    </row>
    <row r="1863" spans="1:5" ht="12.75">
      <c r="A1863" s="2"/>
      <c r="B1863" s="2" t="str">
        <f ca="1">IFERROR(__xludf.DUMMYFUNCTION("""COMPUTED_VALUE"""),"")</f>
        <v/>
      </c>
      <c r="C1863" s="2" t="str">
        <f ca="1">IFERROR(__xludf.DUMMYFUNCTION("""COMPUTED_VALUE"""),"")</f>
        <v/>
      </c>
      <c r="D1863" s="2" t="str">
        <f ca="1">IFERROR(__xludf.DUMMYFUNCTION("""COMPUTED_VALUE"""),"")</f>
        <v/>
      </c>
      <c r="E1863" s="2" t="str">
        <f ca="1">IFERROR(__xludf.DUMMYFUNCTION("""COMPUTED_VALUE"""),"")</f>
        <v/>
      </c>
    </row>
    <row r="1864" spans="1:5" ht="12.75">
      <c r="A1864" s="2"/>
      <c r="B1864" s="2" t="str">
        <f ca="1">IFERROR(__xludf.DUMMYFUNCTION("""COMPUTED_VALUE"""),"")</f>
        <v/>
      </c>
      <c r="C1864" s="2" t="str">
        <f ca="1">IFERROR(__xludf.DUMMYFUNCTION("""COMPUTED_VALUE"""),"")</f>
        <v/>
      </c>
      <c r="D1864" s="2" t="str">
        <f ca="1">IFERROR(__xludf.DUMMYFUNCTION("""COMPUTED_VALUE"""),"")</f>
        <v/>
      </c>
      <c r="E1864" s="2" t="str">
        <f ca="1">IFERROR(__xludf.DUMMYFUNCTION("""COMPUTED_VALUE"""),"")</f>
        <v/>
      </c>
    </row>
    <row r="1865" spans="1:5" ht="12.75">
      <c r="A1865" s="2"/>
      <c r="B1865" s="2" t="str">
        <f ca="1">IFERROR(__xludf.DUMMYFUNCTION("""COMPUTED_VALUE"""),"")</f>
        <v/>
      </c>
      <c r="C1865" s="2" t="str">
        <f ca="1">IFERROR(__xludf.DUMMYFUNCTION("""COMPUTED_VALUE"""),"")</f>
        <v/>
      </c>
      <c r="D1865" s="2" t="str">
        <f ca="1">IFERROR(__xludf.DUMMYFUNCTION("""COMPUTED_VALUE"""),"")</f>
        <v/>
      </c>
      <c r="E1865" s="2" t="str">
        <f ca="1">IFERROR(__xludf.DUMMYFUNCTION("""COMPUTED_VALUE"""),"")</f>
        <v/>
      </c>
    </row>
    <row r="1866" spans="1:5" ht="12.75">
      <c r="A1866" s="2"/>
      <c r="B1866" s="2" t="str">
        <f ca="1">IFERROR(__xludf.DUMMYFUNCTION("""COMPUTED_VALUE"""),"")</f>
        <v/>
      </c>
      <c r="C1866" s="2" t="str">
        <f ca="1">IFERROR(__xludf.DUMMYFUNCTION("""COMPUTED_VALUE"""),"")</f>
        <v/>
      </c>
      <c r="D1866" s="2" t="str">
        <f ca="1">IFERROR(__xludf.DUMMYFUNCTION("""COMPUTED_VALUE"""),"")</f>
        <v/>
      </c>
      <c r="E1866" s="2" t="str">
        <f ca="1">IFERROR(__xludf.DUMMYFUNCTION("""COMPUTED_VALUE"""),"")</f>
        <v/>
      </c>
    </row>
    <row r="1867" spans="1:5" ht="12.75">
      <c r="A1867" s="2"/>
      <c r="B1867" s="2" t="str">
        <f ca="1">IFERROR(__xludf.DUMMYFUNCTION("""COMPUTED_VALUE"""),"")</f>
        <v/>
      </c>
      <c r="C1867" s="2" t="str">
        <f ca="1">IFERROR(__xludf.DUMMYFUNCTION("""COMPUTED_VALUE"""),"")</f>
        <v/>
      </c>
      <c r="D1867" s="2" t="str">
        <f ca="1">IFERROR(__xludf.DUMMYFUNCTION("""COMPUTED_VALUE"""),"")</f>
        <v/>
      </c>
      <c r="E1867" s="2" t="str">
        <f ca="1">IFERROR(__xludf.DUMMYFUNCTION("""COMPUTED_VALUE"""),"")</f>
        <v/>
      </c>
    </row>
    <row r="1868" spans="1:5" ht="12.75">
      <c r="A1868" s="2"/>
      <c r="B1868" s="2" t="str">
        <f ca="1">IFERROR(__xludf.DUMMYFUNCTION("""COMPUTED_VALUE"""),"")</f>
        <v/>
      </c>
      <c r="C1868" s="2" t="str">
        <f ca="1">IFERROR(__xludf.DUMMYFUNCTION("""COMPUTED_VALUE"""),"")</f>
        <v/>
      </c>
      <c r="D1868" s="2" t="str">
        <f ca="1">IFERROR(__xludf.DUMMYFUNCTION("""COMPUTED_VALUE"""),"")</f>
        <v/>
      </c>
      <c r="E1868" s="2" t="str">
        <f ca="1">IFERROR(__xludf.DUMMYFUNCTION("""COMPUTED_VALUE"""),"")</f>
        <v/>
      </c>
    </row>
    <row r="1869" spans="1:5" ht="12.75">
      <c r="A1869" s="2"/>
      <c r="B1869" s="2" t="str">
        <f ca="1">IFERROR(__xludf.DUMMYFUNCTION("""COMPUTED_VALUE"""),"")</f>
        <v/>
      </c>
      <c r="C1869" s="2" t="str">
        <f ca="1">IFERROR(__xludf.DUMMYFUNCTION("""COMPUTED_VALUE"""),"")</f>
        <v/>
      </c>
      <c r="D1869" s="2" t="str">
        <f ca="1">IFERROR(__xludf.DUMMYFUNCTION("""COMPUTED_VALUE"""),"")</f>
        <v/>
      </c>
      <c r="E1869" s="2" t="str">
        <f ca="1">IFERROR(__xludf.DUMMYFUNCTION("""COMPUTED_VALUE"""),"")</f>
        <v/>
      </c>
    </row>
    <row r="1870" spans="1:5" ht="12.75">
      <c r="A1870" s="2"/>
      <c r="B1870" s="2" t="str">
        <f ca="1">IFERROR(__xludf.DUMMYFUNCTION("""COMPUTED_VALUE"""),"")</f>
        <v/>
      </c>
      <c r="C1870" s="2" t="str">
        <f ca="1">IFERROR(__xludf.DUMMYFUNCTION("""COMPUTED_VALUE"""),"")</f>
        <v/>
      </c>
      <c r="D1870" s="2" t="str">
        <f ca="1">IFERROR(__xludf.DUMMYFUNCTION("""COMPUTED_VALUE"""),"")</f>
        <v/>
      </c>
      <c r="E1870" s="2" t="str">
        <f ca="1">IFERROR(__xludf.DUMMYFUNCTION("""COMPUTED_VALUE"""),"")</f>
        <v/>
      </c>
    </row>
    <row r="1871" spans="1:5" ht="12.75">
      <c r="A1871" s="2"/>
      <c r="B1871" s="2" t="str">
        <f ca="1">IFERROR(__xludf.DUMMYFUNCTION("""COMPUTED_VALUE"""),"")</f>
        <v/>
      </c>
      <c r="C1871" s="2" t="str">
        <f ca="1">IFERROR(__xludf.DUMMYFUNCTION("""COMPUTED_VALUE"""),"")</f>
        <v/>
      </c>
      <c r="D1871" s="2" t="str">
        <f ca="1">IFERROR(__xludf.DUMMYFUNCTION("""COMPUTED_VALUE"""),"")</f>
        <v/>
      </c>
      <c r="E1871" s="2" t="str">
        <f ca="1">IFERROR(__xludf.DUMMYFUNCTION("""COMPUTED_VALUE"""),"")</f>
        <v/>
      </c>
    </row>
    <row r="1872" spans="1:5" ht="12.75">
      <c r="A1872" s="2"/>
      <c r="B1872" s="2" t="str">
        <f ca="1">IFERROR(__xludf.DUMMYFUNCTION("""COMPUTED_VALUE"""),"")</f>
        <v/>
      </c>
      <c r="C1872" s="2" t="str">
        <f ca="1">IFERROR(__xludf.DUMMYFUNCTION("""COMPUTED_VALUE"""),"")</f>
        <v/>
      </c>
      <c r="D1872" s="2" t="str">
        <f ca="1">IFERROR(__xludf.DUMMYFUNCTION("""COMPUTED_VALUE"""),"")</f>
        <v/>
      </c>
      <c r="E1872" s="2" t="str">
        <f ca="1">IFERROR(__xludf.DUMMYFUNCTION("""COMPUTED_VALUE"""),"")</f>
        <v/>
      </c>
    </row>
    <row r="1873" spans="1:5" ht="12.75">
      <c r="A1873" s="2"/>
      <c r="B1873" s="2" t="str">
        <f ca="1">IFERROR(__xludf.DUMMYFUNCTION("""COMPUTED_VALUE"""),"")</f>
        <v/>
      </c>
      <c r="C1873" s="2" t="str">
        <f ca="1">IFERROR(__xludf.DUMMYFUNCTION("""COMPUTED_VALUE"""),"")</f>
        <v/>
      </c>
      <c r="D1873" s="2" t="str">
        <f ca="1">IFERROR(__xludf.DUMMYFUNCTION("""COMPUTED_VALUE"""),"")</f>
        <v/>
      </c>
      <c r="E1873" s="2" t="str">
        <f ca="1">IFERROR(__xludf.DUMMYFUNCTION("""COMPUTED_VALUE"""),"")</f>
        <v/>
      </c>
    </row>
    <row r="1874" spans="1:5" ht="12.75">
      <c r="A1874" s="2"/>
      <c r="B1874" s="2" t="str">
        <f ca="1">IFERROR(__xludf.DUMMYFUNCTION("""COMPUTED_VALUE"""),"")</f>
        <v/>
      </c>
      <c r="C1874" s="2" t="str">
        <f ca="1">IFERROR(__xludf.DUMMYFUNCTION("""COMPUTED_VALUE"""),"")</f>
        <v/>
      </c>
      <c r="D1874" s="2" t="str">
        <f ca="1">IFERROR(__xludf.DUMMYFUNCTION("""COMPUTED_VALUE"""),"")</f>
        <v/>
      </c>
      <c r="E1874" s="2" t="str">
        <f ca="1">IFERROR(__xludf.DUMMYFUNCTION("""COMPUTED_VALUE"""),"")</f>
        <v/>
      </c>
    </row>
    <row r="1875" spans="1:5" ht="12.75">
      <c r="A1875" s="2"/>
      <c r="B1875" s="2" t="str">
        <f ca="1">IFERROR(__xludf.DUMMYFUNCTION("""COMPUTED_VALUE"""),"")</f>
        <v/>
      </c>
      <c r="C1875" s="2" t="str">
        <f ca="1">IFERROR(__xludf.DUMMYFUNCTION("""COMPUTED_VALUE"""),"")</f>
        <v/>
      </c>
      <c r="D1875" s="2" t="str">
        <f ca="1">IFERROR(__xludf.DUMMYFUNCTION("""COMPUTED_VALUE"""),"")</f>
        <v/>
      </c>
      <c r="E1875" s="2" t="str">
        <f ca="1">IFERROR(__xludf.DUMMYFUNCTION("""COMPUTED_VALUE"""),"")</f>
        <v/>
      </c>
    </row>
    <row r="1876" spans="1:5" ht="12.75">
      <c r="A1876" s="2"/>
      <c r="B1876" s="2" t="str">
        <f ca="1">IFERROR(__xludf.DUMMYFUNCTION("""COMPUTED_VALUE"""),"")</f>
        <v/>
      </c>
      <c r="C1876" s="2" t="str">
        <f ca="1">IFERROR(__xludf.DUMMYFUNCTION("""COMPUTED_VALUE"""),"")</f>
        <v/>
      </c>
      <c r="D1876" s="2" t="str">
        <f ca="1">IFERROR(__xludf.DUMMYFUNCTION("""COMPUTED_VALUE"""),"")</f>
        <v/>
      </c>
      <c r="E1876" s="2" t="str">
        <f ca="1">IFERROR(__xludf.DUMMYFUNCTION("""COMPUTED_VALUE"""),"")</f>
        <v/>
      </c>
    </row>
    <row r="1877" spans="1:5" ht="12.75">
      <c r="A1877" s="2"/>
      <c r="B1877" s="2" t="str">
        <f ca="1">IFERROR(__xludf.DUMMYFUNCTION("""COMPUTED_VALUE"""),"")</f>
        <v/>
      </c>
      <c r="C1877" s="2" t="str">
        <f ca="1">IFERROR(__xludf.DUMMYFUNCTION("""COMPUTED_VALUE"""),"")</f>
        <v/>
      </c>
      <c r="D1877" s="2" t="str">
        <f ca="1">IFERROR(__xludf.DUMMYFUNCTION("""COMPUTED_VALUE"""),"")</f>
        <v/>
      </c>
      <c r="E1877" s="2" t="str">
        <f ca="1">IFERROR(__xludf.DUMMYFUNCTION("""COMPUTED_VALUE"""),"")</f>
        <v/>
      </c>
    </row>
    <row r="1878" spans="1:5" ht="12.75">
      <c r="A1878" s="2"/>
      <c r="B1878" s="2" t="str">
        <f ca="1">IFERROR(__xludf.DUMMYFUNCTION("""COMPUTED_VALUE"""),"")</f>
        <v/>
      </c>
      <c r="C1878" s="2" t="str">
        <f ca="1">IFERROR(__xludf.DUMMYFUNCTION("""COMPUTED_VALUE"""),"")</f>
        <v/>
      </c>
      <c r="D1878" s="2" t="str">
        <f ca="1">IFERROR(__xludf.DUMMYFUNCTION("""COMPUTED_VALUE"""),"")</f>
        <v/>
      </c>
      <c r="E1878" s="2" t="str">
        <f ca="1">IFERROR(__xludf.DUMMYFUNCTION("""COMPUTED_VALUE"""),"")</f>
        <v/>
      </c>
    </row>
    <row r="1879" spans="1:5" ht="12.75">
      <c r="A1879" s="2"/>
      <c r="B1879" s="2" t="str">
        <f ca="1">IFERROR(__xludf.DUMMYFUNCTION("""COMPUTED_VALUE"""),"")</f>
        <v/>
      </c>
      <c r="C1879" s="2" t="str">
        <f ca="1">IFERROR(__xludf.DUMMYFUNCTION("""COMPUTED_VALUE"""),"")</f>
        <v/>
      </c>
      <c r="D1879" s="2" t="str">
        <f ca="1">IFERROR(__xludf.DUMMYFUNCTION("""COMPUTED_VALUE"""),"")</f>
        <v/>
      </c>
      <c r="E1879" s="2" t="str">
        <f ca="1">IFERROR(__xludf.DUMMYFUNCTION("""COMPUTED_VALUE"""),"")</f>
        <v/>
      </c>
    </row>
    <row r="1880" spans="1:5" ht="12.75">
      <c r="A1880" s="2"/>
      <c r="B1880" s="2" t="str">
        <f ca="1">IFERROR(__xludf.DUMMYFUNCTION("""COMPUTED_VALUE"""),"")</f>
        <v/>
      </c>
      <c r="C1880" s="2" t="str">
        <f ca="1">IFERROR(__xludf.DUMMYFUNCTION("""COMPUTED_VALUE"""),"")</f>
        <v/>
      </c>
      <c r="D1880" s="2" t="str">
        <f ca="1">IFERROR(__xludf.DUMMYFUNCTION("""COMPUTED_VALUE"""),"")</f>
        <v/>
      </c>
      <c r="E1880" s="2" t="str">
        <f ca="1">IFERROR(__xludf.DUMMYFUNCTION("""COMPUTED_VALUE"""),"")</f>
        <v/>
      </c>
    </row>
    <row r="1881" spans="1:5" ht="12.75">
      <c r="A1881" s="2"/>
      <c r="B1881" s="2" t="str">
        <f ca="1">IFERROR(__xludf.DUMMYFUNCTION("""COMPUTED_VALUE"""),"")</f>
        <v/>
      </c>
      <c r="C1881" s="2" t="str">
        <f ca="1">IFERROR(__xludf.DUMMYFUNCTION("""COMPUTED_VALUE"""),"")</f>
        <v/>
      </c>
      <c r="D1881" s="2" t="str">
        <f ca="1">IFERROR(__xludf.DUMMYFUNCTION("""COMPUTED_VALUE"""),"")</f>
        <v/>
      </c>
      <c r="E1881" s="2" t="str">
        <f ca="1">IFERROR(__xludf.DUMMYFUNCTION("""COMPUTED_VALUE"""),"")</f>
        <v/>
      </c>
    </row>
    <row r="1882" spans="1:5" ht="12.75">
      <c r="A1882" s="2"/>
      <c r="B1882" s="2" t="str">
        <f ca="1">IFERROR(__xludf.DUMMYFUNCTION("""COMPUTED_VALUE"""),"")</f>
        <v/>
      </c>
      <c r="C1882" s="2" t="str">
        <f ca="1">IFERROR(__xludf.DUMMYFUNCTION("""COMPUTED_VALUE"""),"")</f>
        <v/>
      </c>
      <c r="D1882" s="2" t="str">
        <f ca="1">IFERROR(__xludf.DUMMYFUNCTION("""COMPUTED_VALUE"""),"")</f>
        <v/>
      </c>
      <c r="E1882" s="2" t="str">
        <f ca="1">IFERROR(__xludf.DUMMYFUNCTION("""COMPUTED_VALUE"""),"")</f>
        <v/>
      </c>
    </row>
    <row r="1883" spans="1:5" ht="12.75">
      <c r="A1883" s="2"/>
      <c r="B1883" s="2" t="str">
        <f ca="1">IFERROR(__xludf.DUMMYFUNCTION("""COMPUTED_VALUE"""),"")</f>
        <v/>
      </c>
      <c r="C1883" s="2" t="str">
        <f ca="1">IFERROR(__xludf.DUMMYFUNCTION("""COMPUTED_VALUE"""),"")</f>
        <v/>
      </c>
      <c r="D1883" s="2" t="str">
        <f ca="1">IFERROR(__xludf.DUMMYFUNCTION("""COMPUTED_VALUE"""),"")</f>
        <v/>
      </c>
      <c r="E1883" s="2" t="str">
        <f ca="1">IFERROR(__xludf.DUMMYFUNCTION("""COMPUTED_VALUE"""),"")</f>
        <v/>
      </c>
    </row>
    <row r="1884" spans="1:5" ht="12.75">
      <c r="A1884" s="2"/>
      <c r="B1884" s="2" t="str">
        <f ca="1">IFERROR(__xludf.DUMMYFUNCTION("""COMPUTED_VALUE"""),"")</f>
        <v/>
      </c>
      <c r="C1884" s="2" t="str">
        <f ca="1">IFERROR(__xludf.DUMMYFUNCTION("""COMPUTED_VALUE"""),"")</f>
        <v/>
      </c>
      <c r="D1884" s="2" t="str">
        <f ca="1">IFERROR(__xludf.DUMMYFUNCTION("""COMPUTED_VALUE"""),"")</f>
        <v/>
      </c>
      <c r="E1884" s="2" t="str">
        <f ca="1">IFERROR(__xludf.DUMMYFUNCTION("""COMPUTED_VALUE"""),"")</f>
        <v/>
      </c>
    </row>
    <row r="1885" spans="1:5" ht="12.75">
      <c r="A1885" s="2"/>
      <c r="B1885" s="2" t="str">
        <f ca="1">IFERROR(__xludf.DUMMYFUNCTION("""COMPUTED_VALUE"""),"")</f>
        <v/>
      </c>
      <c r="C1885" s="2" t="str">
        <f ca="1">IFERROR(__xludf.DUMMYFUNCTION("""COMPUTED_VALUE"""),"")</f>
        <v/>
      </c>
      <c r="D1885" s="2" t="str">
        <f ca="1">IFERROR(__xludf.DUMMYFUNCTION("""COMPUTED_VALUE"""),"")</f>
        <v/>
      </c>
      <c r="E1885" s="2" t="str">
        <f ca="1">IFERROR(__xludf.DUMMYFUNCTION("""COMPUTED_VALUE"""),"")</f>
        <v/>
      </c>
    </row>
    <row r="1886" spans="1:5" ht="12.75">
      <c r="A1886" s="2"/>
      <c r="B1886" s="2" t="str">
        <f ca="1">IFERROR(__xludf.DUMMYFUNCTION("""COMPUTED_VALUE"""),"")</f>
        <v/>
      </c>
      <c r="C1886" s="2" t="str">
        <f ca="1">IFERROR(__xludf.DUMMYFUNCTION("""COMPUTED_VALUE"""),"")</f>
        <v/>
      </c>
      <c r="D1886" s="2" t="str">
        <f ca="1">IFERROR(__xludf.DUMMYFUNCTION("""COMPUTED_VALUE"""),"")</f>
        <v/>
      </c>
      <c r="E1886" s="2" t="str">
        <f ca="1">IFERROR(__xludf.DUMMYFUNCTION("""COMPUTED_VALUE"""),"")</f>
        <v/>
      </c>
    </row>
    <row r="1887" spans="1:5" ht="12.75">
      <c r="A1887" s="2"/>
      <c r="B1887" s="2" t="str">
        <f ca="1">IFERROR(__xludf.DUMMYFUNCTION("""COMPUTED_VALUE"""),"")</f>
        <v/>
      </c>
      <c r="C1887" s="2" t="str">
        <f ca="1">IFERROR(__xludf.DUMMYFUNCTION("""COMPUTED_VALUE"""),"")</f>
        <v/>
      </c>
      <c r="D1887" s="2" t="str">
        <f ca="1">IFERROR(__xludf.DUMMYFUNCTION("""COMPUTED_VALUE"""),"")</f>
        <v/>
      </c>
      <c r="E1887" s="2" t="str">
        <f ca="1">IFERROR(__xludf.DUMMYFUNCTION("""COMPUTED_VALUE"""),"")</f>
        <v/>
      </c>
    </row>
    <row r="1888" spans="1:5" ht="12.75">
      <c r="A1888" s="2"/>
      <c r="B1888" s="2" t="str">
        <f ca="1">IFERROR(__xludf.DUMMYFUNCTION("""COMPUTED_VALUE"""),"")</f>
        <v/>
      </c>
      <c r="C1888" s="2" t="str">
        <f ca="1">IFERROR(__xludf.DUMMYFUNCTION("""COMPUTED_VALUE"""),"")</f>
        <v/>
      </c>
      <c r="D1888" s="2" t="str">
        <f ca="1">IFERROR(__xludf.DUMMYFUNCTION("""COMPUTED_VALUE"""),"")</f>
        <v/>
      </c>
      <c r="E1888" s="2" t="str">
        <f ca="1">IFERROR(__xludf.DUMMYFUNCTION("""COMPUTED_VALUE"""),"")</f>
        <v/>
      </c>
    </row>
    <row r="1889" spans="1:5" ht="12.75">
      <c r="A1889" s="2"/>
      <c r="B1889" s="2" t="str">
        <f ca="1">IFERROR(__xludf.DUMMYFUNCTION("""COMPUTED_VALUE"""),"")</f>
        <v/>
      </c>
      <c r="C1889" s="2" t="str">
        <f ca="1">IFERROR(__xludf.DUMMYFUNCTION("""COMPUTED_VALUE"""),"")</f>
        <v/>
      </c>
      <c r="D1889" s="2" t="str">
        <f ca="1">IFERROR(__xludf.DUMMYFUNCTION("""COMPUTED_VALUE"""),"")</f>
        <v/>
      </c>
      <c r="E1889" s="2" t="str">
        <f ca="1">IFERROR(__xludf.DUMMYFUNCTION("""COMPUTED_VALUE"""),"")</f>
        <v/>
      </c>
    </row>
    <row r="1890" spans="1:5" ht="12.75">
      <c r="A1890" s="2"/>
      <c r="B1890" s="2" t="str">
        <f ca="1">IFERROR(__xludf.DUMMYFUNCTION("""COMPUTED_VALUE"""),"")</f>
        <v/>
      </c>
      <c r="C1890" s="2" t="str">
        <f ca="1">IFERROR(__xludf.DUMMYFUNCTION("""COMPUTED_VALUE"""),"")</f>
        <v/>
      </c>
      <c r="D1890" s="2" t="str">
        <f ca="1">IFERROR(__xludf.DUMMYFUNCTION("""COMPUTED_VALUE"""),"")</f>
        <v/>
      </c>
      <c r="E1890" s="2" t="str">
        <f ca="1">IFERROR(__xludf.DUMMYFUNCTION("""COMPUTED_VALUE"""),"")</f>
        <v/>
      </c>
    </row>
    <row r="1891" spans="1:5" ht="12.75">
      <c r="A1891" s="2"/>
      <c r="B1891" s="2" t="str">
        <f ca="1">IFERROR(__xludf.DUMMYFUNCTION("""COMPUTED_VALUE"""),"")</f>
        <v/>
      </c>
      <c r="C1891" s="2" t="str">
        <f ca="1">IFERROR(__xludf.DUMMYFUNCTION("""COMPUTED_VALUE"""),"")</f>
        <v/>
      </c>
      <c r="D1891" s="2" t="str">
        <f ca="1">IFERROR(__xludf.DUMMYFUNCTION("""COMPUTED_VALUE"""),"")</f>
        <v/>
      </c>
      <c r="E1891" s="2" t="str">
        <f ca="1">IFERROR(__xludf.DUMMYFUNCTION("""COMPUTED_VALUE"""),"")</f>
        <v/>
      </c>
    </row>
    <row r="1892" spans="1:5" ht="12.75">
      <c r="A1892" s="2"/>
      <c r="B1892" s="2" t="str">
        <f ca="1">IFERROR(__xludf.DUMMYFUNCTION("""COMPUTED_VALUE"""),"")</f>
        <v/>
      </c>
      <c r="C1892" s="2" t="str">
        <f ca="1">IFERROR(__xludf.DUMMYFUNCTION("""COMPUTED_VALUE"""),"")</f>
        <v/>
      </c>
      <c r="D1892" s="2" t="str">
        <f ca="1">IFERROR(__xludf.DUMMYFUNCTION("""COMPUTED_VALUE"""),"")</f>
        <v/>
      </c>
      <c r="E1892" s="2" t="str">
        <f ca="1">IFERROR(__xludf.DUMMYFUNCTION("""COMPUTED_VALUE"""),"")</f>
        <v/>
      </c>
    </row>
    <row r="1893" spans="1:5" ht="12.75">
      <c r="A1893" s="2"/>
      <c r="B1893" s="2" t="str">
        <f ca="1">IFERROR(__xludf.DUMMYFUNCTION("""COMPUTED_VALUE"""),"")</f>
        <v/>
      </c>
      <c r="C1893" s="2" t="str">
        <f ca="1">IFERROR(__xludf.DUMMYFUNCTION("""COMPUTED_VALUE"""),"")</f>
        <v/>
      </c>
      <c r="D1893" s="2" t="str">
        <f ca="1">IFERROR(__xludf.DUMMYFUNCTION("""COMPUTED_VALUE"""),"")</f>
        <v/>
      </c>
      <c r="E1893" s="2" t="str">
        <f ca="1">IFERROR(__xludf.DUMMYFUNCTION("""COMPUTED_VALUE"""),"")</f>
        <v/>
      </c>
    </row>
    <row r="1894" spans="1:5" ht="12.75">
      <c r="A1894" s="2"/>
      <c r="B1894" s="2" t="str">
        <f ca="1">IFERROR(__xludf.DUMMYFUNCTION("""COMPUTED_VALUE"""),"")</f>
        <v/>
      </c>
      <c r="C1894" s="2" t="str">
        <f ca="1">IFERROR(__xludf.DUMMYFUNCTION("""COMPUTED_VALUE"""),"")</f>
        <v/>
      </c>
      <c r="D1894" s="2" t="str">
        <f ca="1">IFERROR(__xludf.DUMMYFUNCTION("""COMPUTED_VALUE"""),"")</f>
        <v/>
      </c>
      <c r="E1894" s="2" t="str">
        <f ca="1">IFERROR(__xludf.DUMMYFUNCTION("""COMPUTED_VALUE"""),"")</f>
        <v/>
      </c>
    </row>
    <row r="1895" spans="1:5" ht="12.75">
      <c r="A1895" s="2"/>
      <c r="B1895" s="2" t="str">
        <f ca="1">IFERROR(__xludf.DUMMYFUNCTION("""COMPUTED_VALUE"""),"")</f>
        <v/>
      </c>
      <c r="C1895" s="2" t="str">
        <f ca="1">IFERROR(__xludf.DUMMYFUNCTION("""COMPUTED_VALUE"""),"")</f>
        <v/>
      </c>
      <c r="D1895" s="2" t="str">
        <f ca="1">IFERROR(__xludf.DUMMYFUNCTION("""COMPUTED_VALUE"""),"")</f>
        <v/>
      </c>
      <c r="E1895" s="2" t="str">
        <f ca="1">IFERROR(__xludf.DUMMYFUNCTION("""COMPUTED_VALUE"""),"")</f>
        <v/>
      </c>
    </row>
    <row r="1896" spans="1:5" ht="12.75">
      <c r="A1896" s="2"/>
      <c r="B1896" s="2" t="str">
        <f ca="1">IFERROR(__xludf.DUMMYFUNCTION("""COMPUTED_VALUE"""),"")</f>
        <v/>
      </c>
      <c r="C1896" s="2" t="str">
        <f ca="1">IFERROR(__xludf.DUMMYFUNCTION("""COMPUTED_VALUE"""),"")</f>
        <v/>
      </c>
      <c r="D1896" s="2" t="str">
        <f ca="1">IFERROR(__xludf.DUMMYFUNCTION("""COMPUTED_VALUE"""),"")</f>
        <v/>
      </c>
      <c r="E1896" s="2" t="str">
        <f ca="1">IFERROR(__xludf.DUMMYFUNCTION("""COMPUTED_VALUE"""),"")</f>
        <v/>
      </c>
    </row>
    <row r="1897" spans="1:5" ht="12.75">
      <c r="A1897" s="2"/>
      <c r="B1897" s="2" t="str">
        <f ca="1">IFERROR(__xludf.DUMMYFUNCTION("""COMPUTED_VALUE"""),"")</f>
        <v/>
      </c>
      <c r="C1897" s="2" t="str">
        <f ca="1">IFERROR(__xludf.DUMMYFUNCTION("""COMPUTED_VALUE"""),"")</f>
        <v/>
      </c>
      <c r="D1897" s="2" t="str">
        <f ca="1">IFERROR(__xludf.DUMMYFUNCTION("""COMPUTED_VALUE"""),"")</f>
        <v/>
      </c>
      <c r="E1897" s="2" t="str">
        <f ca="1">IFERROR(__xludf.DUMMYFUNCTION("""COMPUTED_VALUE"""),"")</f>
        <v/>
      </c>
    </row>
    <row r="1898" spans="1:5" ht="12.75">
      <c r="A1898" s="2"/>
      <c r="B1898" s="2" t="str">
        <f ca="1">IFERROR(__xludf.DUMMYFUNCTION("""COMPUTED_VALUE"""),"")</f>
        <v/>
      </c>
      <c r="C1898" s="2" t="str">
        <f ca="1">IFERROR(__xludf.DUMMYFUNCTION("""COMPUTED_VALUE"""),"")</f>
        <v/>
      </c>
      <c r="D1898" s="2" t="str">
        <f ca="1">IFERROR(__xludf.DUMMYFUNCTION("""COMPUTED_VALUE"""),"")</f>
        <v/>
      </c>
      <c r="E1898" s="2" t="str">
        <f ca="1">IFERROR(__xludf.DUMMYFUNCTION("""COMPUTED_VALUE"""),"")</f>
        <v/>
      </c>
    </row>
    <row r="1899" spans="1:5" ht="12.75">
      <c r="A1899" s="2"/>
      <c r="B1899" s="2" t="str">
        <f ca="1">IFERROR(__xludf.DUMMYFUNCTION("""COMPUTED_VALUE"""),"")</f>
        <v/>
      </c>
      <c r="C1899" s="2" t="str">
        <f ca="1">IFERROR(__xludf.DUMMYFUNCTION("""COMPUTED_VALUE"""),"")</f>
        <v/>
      </c>
      <c r="D1899" s="2" t="str">
        <f ca="1">IFERROR(__xludf.DUMMYFUNCTION("""COMPUTED_VALUE"""),"")</f>
        <v/>
      </c>
      <c r="E1899" s="2" t="str">
        <f ca="1">IFERROR(__xludf.DUMMYFUNCTION("""COMPUTED_VALUE"""),"")</f>
        <v/>
      </c>
    </row>
    <row r="1900" spans="1:5" ht="12.75">
      <c r="A1900" s="2"/>
      <c r="B1900" s="2" t="str">
        <f ca="1">IFERROR(__xludf.DUMMYFUNCTION("""COMPUTED_VALUE"""),"")</f>
        <v/>
      </c>
      <c r="C1900" s="2" t="str">
        <f ca="1">IFERROR(__xludf.DUMMYFUNCTION("""COMPUTED_VALUE"""),"")</f>
        <v/>
      </c>
      <c r="D1900" s="2" t="str">
        <f ca="1">IFERROR(__xludf.DUMMYFUNCTION("""COMPUTED_VALUE"""),"")</f>
        <v/>
      </c>
      <c r="E1900" s="2" t="str">
        <f ca="1">IFERROR(__xludf.DUMMYFUNCTION("""COMPUTED_VALUE"""),"")</f>
        <v/>
      </c>
    </row>
    <row r="1901" spans="1:5" ht="12.75">
      <c r="A1901" s="2"/>
      <c r="B1901" s="2" t="str">
        <f ca="1">IFERROR(__xludf.DUMMYFUNCTION("""COMPUTED_VALUE"""),"")</f>
        <v/>
      </c>
      <c r="C1901" s="2" t="str">
        <f ca="1">IFERROR(__xludf.DUMMYFUNCTION("""COMPUTED_VALUE"""),"")</f>
        <v/>
      </c>
      <c r="D1901" s="2" t="str">
        <f ca="1">IFERROR(__xludf.DUMMYFUNCTION("""COMPUTED_VALUE"""),"")</f>
        <v/>
      </c>
      <c r="E1901" s="2" t="str">
        <f ca="1">IFERROR(__xludf.DUMMYFUNCTION("""COMPUTED_VALUE"""),"")</f>
        <v/>
      </c>
    </row>
    <row r="1902" spans="1:5" ht="12.75">
      <c r="A1902" s="2"/>
      <c r="B1902" s="2" t="str">
        <f ca="1">IFERROR(__xludf.DUMMYFUNCTION("""COMPUTED_VALUE"""),"")</f>
        <v/>
      </c>
      <c r="C1902" s="2" t="str">
        <f ca="1">IFERROR(__xludf.DUMMYFUNCTION("""COMPUTED_VALUE"""),"")</f>
        <v/>
      </c>
      <c r="D1902" s="2" t="str">
        <f ca="1">IFERROR(__xludf.DUMMYFUNCTION("""COMPUTED_VALUE"""),"")</f>
        <v/>
      </c>
      <c r="E1902" s="2" t="str">
        <f ca="1">IFERROR(__xludf.DUMMYFUNCTION("""COMPUTED_VALUE"""),"")</f>
        <v/>
      </c>
    </row>
    <row r="1903" spans="1:5" ht="12.75">
      <c r="A1903" s="2"/>
      <c r="B1903" s="2" t="str">
        <f ca="1">IFERROR(__xludf.DUMMYFUNCTION("""COMPUTED_VALUE"""),"")</f>
        <v/>
      </c>
      <c r="C1903" s="2" t="str">
        <f ca="1">IFERROR(__xludf.DUMMYFUNCTION("""COMPUTED_VALUE"""),"")</f>
        <v/>
      </c>
      <c r="D1903" s="2" t="str">
        <f ca="1">IFERROR(__xludf.DUMMYFUNCTION("""COMPUTED_VALUE"""),"")</f>
        <v/>
      </c>
      <c r="E1903" s="2" t="str">
        <f ca="1">IFERROR(__xludf.DUMMYFUNCTION("""COMPUTED_VALUE"""),"")</f>
        <v/>
      </c>
    </row>
    <row r="1904" spans="1:5" ht="12.75">
      <c r="A1904" s="2"/>
      <c r="B1904" s="2" t="str">
        <f ca="1">IFERROR(__xludf.DUMMYFUNCTION("""COMPUTED_VALUE"""),"")</f>
        <v/>
      </c>
      <c r="C1904" s="2" t="str">
        <f ca="1">IFERROR(__xludf.DUMMYFUNCTION("""COMPUTED_VALUE"""),"")</f>
        <v/>
      </c>
      <c r="D1904" s="2" t="str">
        <f ca="1">IFERROR(__xludf.DUMMYFUNCTION("""COMPUTED_VALUE"""),"")</f>
        <v/>
      </c>
      <c r="E1904" s="2" t="str">
        <f ca="1">IFERROR(__xludf.DUMMYFUNCTION("""COMPUTED_VALUE"""),"")</f>
        <v/>
      </c>
    </row>
    <row r="1905" spans="1:5" ht="12.75">
      <c r="A1905" s="2"/>
      <c r="B1905" s="2" t="str">
        <f ca="1">IFERROR(__xludf.DUMMYFUNCTION("""COMPUTED_VALUE"""),"")</f>
        <v/>
      </c>
      <c r="C1905" s="2" t="str">
        <f ca="1">IFERROR(__xludf.DUMMYFUNCTION("""COMPUTED_VALUE"""),"")</f>
        <v/>
      </c>
      <c r="D1905" s="2" t="str">
        <f ca="1">IFERROR(__xludf.DUMMYFUNCTION("""COMPUTED_VALUE"""),"")</f>
        <v/>
      </c>
      <c r="E1905" s="2" t="str">
        <f ca="1">IFERROR(__xludf.DUMMYFUNCTION("""COMPUTED_VALUE"""),"")</f>
        <v/>
      </c>
    </row>
    <row r="1906" spans="1:5" ht="12.75">
      <c r="A1906" s="2"/>
      <c r="B1906" s="2" t="str">
        <f ca="1">IFERROR(__xludf.DUMMYFUNCTION("""COMPUTED_VALUE"""),"")</f>
        <v/>
      </c>
      <c r="C1906" s="2" t="str">
        <f ca="1">IFERROR(__xludf.DUMMYFUNCTION("""COMPUTED_VALUE"""),"")</f>
        <v/>
      </c>
      <c r="D1906" s="2" t="str">
        <f ca="1">IFERROR(__xludf.DUMMYFUNCTION("""COMPUTED_VALUE"""),"")</f>
        <v/>
      </c>
      <c r="E1906" s="2" t="str">
        <f ca="1">IFERROR(__xludf.DUMMYFUNCTION("""COMPUTED_VALUE"""),"")</f>
        <v/>
      </c>
    </row>
    <row r="1907" spans="1:5" ht="12.75">
      <c r="A1907" s="2"/>
      <c r="B1907" s="2" t="str">
        <f ca="1">IFERROR(__xludf.DUMMYFUNCTION("""COMPUTED_VALUE"""),"")</f>
        <v/>
      </c>
      <c r="C1907" s="2" t="str">
        <f ca="1">IFERROR(__xludf.DUMMYFUNCTION("""COMPUTED_VALUE"""),"")</f>
        <v/>
      </c>
      <c r="D1907" s="2" t="str">
        <f ca="1">IFERROR(__xludf.DUMMYFUNCTION("""COMPUTED_VALUE"""),"")</f>
        <v/>
      </c>
      <c r="E1907" s="2" t="str">
        <f ca="1">IFERROR(__xludf.DUMMYFUNCTION("""COMPUTED_VALUE"""),"")</f>
        <v/>
      </c>
    </row>
    <row r="1908" spans="1:5" ht="12.75">
      <c r="A1908" s="2"/>
      <c r="B1908" s="2" t="str">
        <f ca="1">IFERROR(__xludf.DUMMYFUNCTION("""COMPUTED_VALUE"""),"")</f>
        <v/>
      </c>
      <c r="C1908" s="2" t="str">
        <f ca="1">IFERROR(__xludf.DUMMYFUNCTION("""COMPUTED_VALUE"""),"")</f>
        <v/>
      </c>
      <c r="D1908" s="2" t="str">
        <f ca="1">IFERROR(__xludf.DUMMYFUNCTION("""COMPUTED_VALUE"""),"")</f>
        <v/>
      </c>
      <c r="E1908" s="2" t="str">
        <f ca="1">IFERROR(__xludf.DUMMYFUNCTION("""COMPUTED_VALUE"""),"")</f>
        <v/>
      </c>
    </row>
    <row r="1909" spans="1:5" ht="12.75">
      <c r="A1909" s="2"/>
      <c r="B1909" s="2" t="str">
        <f ca="1">IFERROR(__xludf.DUMMYFUNCTION("""COMPUTED_VALUE"""),"")</f>
        <v/>
      </c>
      <c r="C1909" s="2" t="str">
        <f ca="1">IFERROR(__xludf.DUMMYFUNCTION("""COMPUTED_VALUE"""),"")</f>
        <v/>
      </c>
      <c r="D1909" s="2" t="str">
        <f ca="1">IFERROR(__xludf.DUMMYFUNCTION("""COMPUTED_VALUE"""),"")</f>
        <v/>
      </c>
      <c r="E1909" s="2" t="str">
        <f ca="1">IFERROR(__xludf.DUMMYFUNCTION("""COMPUTED_VALUE"""),"")</f>
        <v/>
      </c>
    </row>
    <row r="1910" spans="1:5" ht="12.75">
      <c r="A1910" s="2"/>
      <c r="B1910" s="2" t="str">
        <f ca="1">IFERROR(__xludf.DUMMYFUNCTION("""COMPUTED_VALUE"""),"")</f>
        <v/>
      </c>
      <c r="C1910" s="2" t="str">
        <f ca="1">IFERROR(__xludf.DUMMYFUNCTION("""COMPUTED_VALUE"""),"")</f>
        <v/>
      </c>
      <c r="D1910" s="2" t="str">
        <f ca="1">IFERROR(__xludf.DUMMYFUNCTION("""COMPUTED_VALUE"""),"")</f>
        <v/>
      </c>
      <c r="E1910" s="2" t="str">
        <f ca="1">IFERROR(__xludf.DUMMYFUNCTION("""COMPUTED_VALUE"""),"")</f>
        <v/>
      </c>
    </row>
    <row r="1911" spans="1:5" ht="12.75">
      <c r="A1911" s="2"/>
      <c r="B1911" s="2" t="str">
        <f ca="1">IFERROR(__xludf.DUMMYFUNCTION("""COMPUTED_VALUE"""),"")</f>
        <v/>
      </c>
      <c r="C1911" s="2" t="str">
        <f ca="1">IFERROR(__xludf.DUMMYFUNCTION("""COMPUTED_VALUE"""),"")</f>
        <v/>
      </c>
      <c r="D1911" s="2" t="str">
        <f ca="1">IFERROR(__xludf.DUMMYFUNCTION("""COMPUTED_VALUE"""),"")</f>
        <v/>
      </c>
      <c r="E1911" s="2" t="str">
        <f ca="1">IFERROR(__xludf.DUMMYFUNCTION("""COMPUTED_VALUE"""),"")</f>
        <v/>
      </c>
    </row>
    <row r="1912" spans="1:5" ht="12.75">
      <c r="A1912" s="2"/>
      <c r="B1912" s="2" t="str">
        <f ca="1">IFERROR(__xludf.DUMMYFUNCTION("""COMPUTED_VALUE"""),"")</f>
        <v/>
      </c>
      <c r="C1912" s="2" t="str">
        <f ca="1">IFERROR(__xludf.DUMMYFUNCTION("""COMPUTED_VALUE"""),"")</f>
        <v/>
      </c>
      <c r="D1912" s="2" t="str">
        <f ca="1">IFERROR(__xludf.DUMMYFUNCTION("""COMPUTED_VALUE"""),"")</f>
        <v/>
      </c>
      <c r="E1912" s="2" t="str">
        <f ca="1">IFERROR(__xludf.DUMMYFUNCTION("""COMPUTED_VALUE"""),"")</f>
        <v/>
      </c>
    </row>
    <row r="1913" spans="1:5" ht="12.75">
      <c r="A1913" s="2"/>
      <c r="B1913" s="2" t="str">
        <f ca="1">IFERROR(__xludf.DUMMYFUNCTION("""COMPUTED_VALUE"""),"")</f>
        <v/>
      </c>
      <c r="C1913" s="2" t="str">
        <f ca="1">IFERROR(__xludf.DUMMYFUNCTION("""COMPUTED_VALUE"""),"")</f>
        <v/>
      </c>
      <c r="D1913" s="2" t="str">
        <f ca="1">IFERROR(__xludf.DUMMYFUNCTION("""COMPUTED_VALUE"""),"")</f>
        <v/>
      </c>
      <c r="E1913" s="2" t="str">
        <f ca="1">IFERROR(__xludf.DUMMYFUNCTION("""COMPUTED_VALUE"""),"")</f>
        <v/>
      </c>
    </row>
    <row r="1914" spans="1:5" ht="12.75">
      <c r="A1914" s="2"/>
      <c r="B1914" s="2" t="str">
        <f ca="1">IFERROR(__xludf.DUMMYFUNCTION("""COMPUTED_VALUE"""),"")</f>
        <v/>
      </c>
      <c r="C1914" s="2" t="str">
        <f ca="1">IFERROR(__xludf.DUMMYFUNCTION("""COMPUTED_VALUE"""),"")</f>
        <v/>
      </c>
      <c r="D1914" s="2" t="str">
        <f ca="1">IFERROR(__xludf.DUMMYFUNCTION("""COMPUTED_VALUE"""),"")</f>
        <v/>
      </c>
      <c r="E1914" s="2" t="str">
        <f ca="1">IFERROR(__xludf.DUMMYFUNCTION("""COMPUTED_VALUE"""),"")</f>
        <v/>
      </c>
    </row>
    <row r="1915" spans="1:5" ht="12.75">
      <c r="A1915" s="2"/>
      <c r="B1915" s="2" t="str">
        <f ca="1">IFERROR(__xludf.DUMMYFUNCTION("""COMPUTED_VALUE"""),"")</f>
        <v/>
      </c>
      <c r="C1915" s="2" t="str">
        <f ca="1">IFERROR(__xludf.DUMMYFUNCTION("""COMPUTED_VALUE"""),"")</f>
        <v/>
      </c>
      <c r="D1915" s="2" t="str">
        <f ca="1">IFERROR(__xludf.DUMMYFUNCTION("""COMPUTED_VALUE"""),"")</f>
        <v/>
      </c>
      <c r="E1915" s="2" t="str">
        <f ca="1">IFERROR(__xludf.DUMMYFUNCTION("""COMPUTED_VALUE"""),"")</f>
        <v/>
      </c>
    </row>
    <row r="1916" spans="1:5" ht="12.75">
      <c r="A1916" s="2"/>
      <c r="B1916" s="2" t="str">
        <f ca="1">IFERROR(__xludf.DUMMYFUNCTION("""COMPUTED_VALUE"""),"")</f>
        <v/>
      </c>
      <c r="C1916" s="2" t="str">
        <f ca="1">IFERROR(__xludf.DUMMYFUNCTION("""COMPUTED_VALUE"""),"")</f>
        <v/>
      </c>
      <c r="D1916" s="2" t="str">
        <f ca="1">IFERROR(__xludf.DUMMYFUNCTION("""COMPUTED_VALUE"""),"")</f>
        <v/>
      </c>
      <c r="E1916" s="2" t="str">
        <f ca="1">IFERROR(__xludf.DUMMYFUNCTION("""COMPUTED_VALUE"""),"")</f>
        <v/>
      </c>
    </row>
    <row r="1917" spans="1:5" ht="12.75">
      <c r="A1917" s="2"/>
      <c r="B1917" s="2" t="str">
        <f ca="1">IFERROR(__xludf.DUMMYFUNCTION("""COMPUTED_VALUE"""),"")</f>
        <v/>
      </c>
      <c r="C1917" s="2" t="str">
        <f ca="1">IFERROR(__xludf.DUMMYFUNCTION("""COMPUTED_VALUE"""),"")</f>
        <v/>
      </c>
      <c r="D1917" s="2" t="str">
        <f ca="1">IFERROR(__xludf.DUMMYFUNCTION("""COMPUTED_VALUE"""),"")</f>
        <v/>
      </c>
      <c r="E1917" s="2" t="str">
        <f ca="1">IFERROR(__xludf.DUMMYFUNCTION("""COMPUTED_VALUE"""),"")</f>
        <v/>
      </c>
    </row>
    <row r="1918" spans="1:5" ht="12.75">
      <c r="A1918" s="2"/>
      <c r="B1918" s="2" t="str">
        <f ca="1">IFERROR(__xludf.DUMMYFUNCTION("""COMPUTED_VALUE"""),"")</f>
        <v/>
      </c>
      <c r="C1918" s="2" t="str">
        <f ca="1">IFERROR(__xludf.DUMMYFUNCTION("""COMPUTED_VALUE"""),"")</f>
        <v/>
      </c>
      <c r="D1918" s="2" t="str">
        <f ca="1">IFERROR(__xludf.DUMMYFUNCTION("""COMPUTED_VALUE"""),"")</f>
        <v/>
      </c>
      <c r="E1918" s="2" t="str">
        <f ca="1">IFERROR(__xludf.DUMMYFUNCTION("""COMPUTED_VALUE"""),"")</f>
        <v/>
      </c>
    </row>
    <row r="1919" spans="1:5" ht="12.75">
      <c r="A1919" s="2"/>
      <c r="B1919" s="2" t="str">
        <f ca="1">IFERROR(__xludf.DUMMYFUNCTION("""COMPUTED_VALUE"""),"")</f>
        <v/>
      </c>
      <c r="C1919" s="2" t="str">
        <f ca="1">IFERROR(__xludf.DUMMYFUNCTION("""COMPUTED_VALUE"""),"")</f>
        <v/>
      </c>
      <c r="D1919" s="2" t="str">
        <f ca="1">IFERROR(__xludf.DUMMYFUNCTION("""COMPUTED_VALUE"""),"")</f>
        <v/>
      </c>
      <c r="E1919" s="2" t="str">
        <f ca="1">IFERROR(__xludf.DUMMYFUNCTION("""COMPUTED_VALUE"""),"")</f>
        <v/>
      </c>
    </row>
    <row r="1920" spans="1:5" ht="12.75">
      <c r="A1920" s="2"/>
      <c r="B1920" s="2" t="str">
        <f ca="1">IFERROR(__xludf.DUMMYFUNCTION("""COMPUTED_VALUE"""),"")</f>
        <v/>
      </c>
      <c r="C1920" s="2" t="str">
        <f ca="1">IFERROR(__xludf.DUMMYFUNCTION("""COMPUTED_VALUE"""),"")</f>
        <v/>
      </c>
      <c r="D1920" s="2" t="str">
        <f ca="1">IFERROR(__xludf.DUMMYFUNCTION("""COMPUTED_VALUE"""),"")</f>
        <v/>
      </c>
      <c r="E1920" s="2" t="str">
        <f ca="1">IFERROR(__xludf.DUMMYFUNCTION("""COMPUTED_VALUE"""),"")</f>
        <v/>
      </c>
    </row>
    <row r="1921" spans="1:5" ht="12.75">
      <c r="A1921" s="2"/>
      <c r="B1921" s="2" t="str">
        <f ca="1">IFERROR(__xludf.DUMMYFUNCTION("""COMPUTED_VALUE"""),"")</f>
        <v/>
      </c>
      <c r="C1921" s="2" t="str">
        <f ca="1">IFERROR(__xludf.DUMMYFUNCTION("""COMPUTED_VALUE"""),"")</f>
        <v/>
      </c>
      <c r="D1921" s="2" t="str">
        <f ca="1">IFERROR(__xludf.DUMMYFUNCTION("""COMPUTED_VALUE"""),"")</f>
        <v/>
      </c>
      <c r="E1921" s="2" t="str">
        <f ca="1">IFERROR(__xludf.DUMMYFUNCTION("""COMPUTED_VALUE"""),"")</f>
        <v/>
      </c>
    </row>
    <row r="1922" spans="1:5" ht="12.75">
      <c r="A1922" s="2"/>
      <c r="B1922" s="2" t="str">
        <f ca="1">IFERROR(__xludf.DUMMYFUNCTION("""COMPUTED_VALUE"""),"")</f>
        <v/>
      </c>
      <c r="C1922" s="2" t="str">
        <f ca="1">IFERROR(__xludf.DUMMYFUNCTION("""COMPUTED_VALUE"""),"")</f>
        <v/>
      </c>
      <c r="D1922" s="2" t="str">
        <f ca="1">IFERROR(__xludf.DUMMYFUNCTION("""COMPUTED_VALUE"""),"")</f>
        <v/>
      </c>
      <c r="E1922" s="2" t="str">
        <f ca="1">IFERROR(__xludf.DUMMYFUNCTION("""COMPUTED_VALUE"""),"")</f>
        <v/>
      </c>
    </row>
    <row r="1923" spans="1:5" ht="12.75">
      <c r="A1923" s="2"/>
      <c r="B1923" s="2" t="str">
        <f ca="1">IFERROR(__xludf.DUMMYFUNCTION("""COMPUTED_VALUE"""),"")</f>
        <v/>
      </c>
      <c r="C1923" s="2" t="str">
        <f ca="1">IFERROR(__xludf.DUMMYFUNCTION("""COMPUTED_VALUE"""),"")</f>
        <v/>
      </c>
      <c r="D1923" s="2" t="str">
        <f ca="1">IFERROR(__xludf.DUMMYFUNCTION("""COMPUTED_VALUE"""),"")</f>
        <v/>
      </c>
      <c r="E1923" s="2" t="str">
        <f ca="1">IFERROR(__xludf.DUMMYFUNCTION("""COMPUTED_VALUE"""),"")</f>
        <v/>
      </c>
    </row>
    <row r="1924" spans="1:5" ht="12.75">
      <c r="A1924" s="2"/>
      <c r="B1924" s="2" t="str">
        <f ca="1">IFERROR(__xludf.DUMMYFUNCTION("""COMPUTED_VALUE"""),"")</f>
        <v/>
      </c>
      <c r="C1924" s="2" t="str">
        <f ca="1">IFERROR(__xludf.DUMMYFUNCTION("""COMPUTED_VALUE"""),"")</f>
        <v/>
      </c>
      <c r="D1924" s="2" t="str">
        <f ca="1">IFERROR(__xludf.DUMMYFUNCTION("""COMPUTED_VALUE"""),"")</f>
        <v/>
      </c>
      <c r="E1924" s="2" t="str">
        <f ca="1">IFERROR(__xludf.DUMMYFUNCTION("""COMPUTED_VALUE"""),"")</f>
        <v/>
      </c>
    </row>
    <row r="1925" spans="1:5" ht="12.75">
      <c r="A1925" s="2"/>
      <c r="B1925" s="2" t="str">
        <f ca="1">IFERROR(__xludf.DUMMYFUNCTION("""COMPUTED_VALUE"""),"")</f>
        <v/>
      </c>
      <c r="C1925" s="2" t="str">
        <f ca="1">IFERROR(__xludf.DUMMYFUNCTION("""COMPUTED_VALUE"""),"")</f>
        <v/>
      </c>
      <c r="D1925" s="2" t="str">
        <f ca="1">IFERROR(__xludf.DUMMYFUNCTION("""COMPUTED_VALUE"""),"")</f>
        <v/>
      </c>
      <c r="E1925" s="2" t="str">
        <f ca="1">IFERROR(__xludf.DUMMYFUNCTION("""COMPUTED_VALUE"""),"")</f>
        <v/>
      </c>
    </row>
    <row r="1926" spans="1:5" ht="12.75">
      <c r="A1926" s="2"/>
      <c r="B1926" s="2" t="str">
        <f ca="1">IFERROR(__xludf.DUMMYFUNCTION("""COMPUTED_VALUE"""),"")</f>
        <v/>
      </c>
      <c r="C1926" s="2" t="str">
        <f ca="1">IFERROR(__xludf.DUMMYFUNCTION("""COMPUTED_VALUE"""),"")</f>
        <v/>
      </c>
      <c r="D1926" s="2" t="str">
        <f ca="1">IFERROR(__xludf.DUMMYFUNCTION("""COMPUTED_VALUE"""),"")</f>
        <v/>
      </c>
      <c r="E1926" s="2" t="str">
        <f ca="1">IFERROR(__xludf.DUMMYFUNCTION("""COMPUTED_VALUE"""),"")</f>
        <v/>
      </c>
    </row>
    <row r="1927" spans="1:5" ht="12.75">
      <c r="A1927" s="2"/>
      <c r="B1927" s="2" t="str">
        <f ca="1">IFERROR(__xludf.DUMMYFUNCTION("""COMPUTED_VALUE"""),"")</f>
        <v/>
      </c>
      <c r="C1927" s="2" t="str">
        <f ca="1">IFERROR(__xludf.DUMMYFUNCTION("""COMPUTED_VALUE"""),"")</f>
        <v/>
      </c>
      <c r="D1927" s="2" t="str">
        <f ca="1">IFERROR(__xludf.DUMMYFUNCTION("""COMPUTED_VALUE"""),"")</f>
        <v/>
      </c>
      <c r="E1927" s="2" t="str">
        <f ca="1">IFERROR(__xludf.DUMMYFUNCTION("""COMPUTED_VALUE"""),"")</f>
        <v/>
      </c>
    </row>
    <row r="1928" spans="1:5" ht="12.75">
      <c r="A1928" s="2"/>
      <c r="B1928" s="2" t="str">
        <f ca="1">IFERROR(__xludf.DUMMYFUNCTION("""COMPUTED_VALUE"""),"")</f>
        <v/>
      </c>
      <c r="C1928" s="2" t="str">
        <f ca="1">IFERROR(__xludf.DUMMYFUNCTION("""COMPUTED_VALUE"""),"")</f>
        <v/>
      </c>
      <c r="D1928" s="2" t="str">
        <f ca="1">IFERROR(__xludf.DUMMYFUNCTION("""COMPUTED_VALUE"""),"")</f>
        <v/>
      </c>
      <c r="E1928" s="2" t="str">
        <f ca="1">IFERROR(__xludf.DUMMYFUNCTION("""COMPUTED_VALUE"""),"")</f>
        <v/>
      </c>
    </row>
    <row r="1929" spans="1:5" ht="12.75">
      <c r="A1929" s="2"/>
      <c r="B1929" s="2" t="str">
        <f ca="1">IFERROR(__xludf.DUMMYFUNCTION("""COMPUTED_VALUE"""),"")</f>
        <v/>
      </c>
      <c r="C1929" s="2" t="str">
        <f ca="1">IFERROR(__xludf.DUMMYFUNCTION("""COMPUTED_VALUE"""),"")</f>
        <v/>
      </c>
      <c r="D1929" s="2" t="str">
        <f ca="1">IFERROR(__xludf.DUMMYFUNCTION("""COMPUTED_VALUE"""),"")</f>
        <v/>
      </c>
      <c r="E1929" s="2" t="str">
        <f ca="1">IFERROR(__xludf.DUMMYFUNCTION("""COMPUTED_VALUE"""),"")</f>
        <v/>
      </c>
    </row>
    <row r="1930" spans="1:5" ht="12.75">
      <c r="A1930" s="2"/>
      <c r="B1930" s="2" t="str">
        <f ca="1">IFERROR(__xludf.DUMMYFUNCTION("""COMPUTED_VALUE"""),"")</f>
        <v/>
      </c>
      <c r="C1930" s="2" t="str">
        <f ca="1">IFERROR(__xludf.DUMMYFUNCTION("""COMPUTED_VALUE"""),"")</f>
        <v/>
      </c>
      <c r="D1930" s="2" t="str">
        <f ca="1">IFERROR(__xludf.DUMMYFUNCTION("""COMPUTED_VALUE"""),"")</f>
        <v/>
      </c>
      <c r="E1930" s="2" t="str">
        <f ca="1">IFERROR(__xludf.DUMMYFUNCTION("""COMPUTED_VALUE"""),"")</f>
        <v/>
      </c>
    </row>
    <row r="1931" spans="1:5" ht="12.75">
      <c r="A1931" s="2"/>
      <c r="B1931" s="2" t="str">
        <f ca="1">IFERROR(__xludf.DUMMYFUNCTION("""COMPUTED_VALUE"""),"")</f>
        <v/>
      </c>
      <c r="C1931" s="2" t="str">
        <f ca="1">IFERROR(__xludf.DUMMYFUNCTION("""COMPUTED_VALUE"""),"")</f>
        <v/>
      </c>
      <c r="D1931" s="2" t="str">
        <f ca="1">IFERROR(__xludf.DUMMYFUNCTION("""COMPUTED_VALUE"""),"")</f>
        <v/>
      </c>
      <c r="E1931" s="2" t="str">
        <f ca="1">IFERROR(__xludf.DUMMYFUNCTION("""COMPUTED_VALUE"""),"")</f>
        <v/>
      </c>
    </row>
    <row r="1932" spans="1:5" ht="12.75">
      <c r="A1932" s="2"/>
      <c r="B1932" s="2" t="str">
        <f ca="1">IFERROR(__xludf.DUMMYFUNCTION("""COMPUTED_VALUE"""),"")</f>
        <v/>
      </c>
      <c r="C1932" s="2" t="str">
        <f ca="1">IFERROR(__xludf.DUMMYFUNCTION("""COMPUTED_VALUE"""),"")</f>
        <v/>
      </c>
      <c r="D1932" s="2" t="str">
        <f ca="1">IFERROR(__xludf.DUMMYFUNCTION("""COMPUTED_VALUE"""),"")</f>
        <v/>
      </c>
      <c r="E1932" s="2" t="str">
        <f ca="1">IFERROR(__xludf.DUMMYFUNCTION("""COMPUTED_VALUE"""),"")</f>
        <v/>
      </c>
    </row>
    <row r="1933" spans="1:5" ht="12.75">
      <c r="A1933" s="2"/>
      <c r="B1933" s="2" t="str">
        <f ca="1">IFERROR(__xludf.DUMMYFUNCTION("""COMPUTED_VALUE"""),"")</f>
        <v/>
      </c>
      <c r="C1933" s="2" t="str">
        <f ca="1">IFERROR(__xludf.DUMMYFUNCTION("""COMPUTED_VALUE"""),"")</f>
        <v/>
      </c>
      <c r="D1933" s="2" t="str">
        <f ca="1">IFERROR(__xludf.DUMMYFUNCTION("""COMPUTED_VALUE"""),"")</f>
        <v/>
      </c>
      <c r="E1933" s="2" t="str">
        <f ca="1">IFERROR(__xludf.DUMMYFUNCTION("""COMPUTED_VALUE"""),"")</f>
        <v/>
      </c>
    </row>
    <row r="1934" spans="1:5" ht="12.75">
      <c r="A1934" s="2"/>
      <c r="B1934" s="2" t="str">
        <f ca="1">IFERROR(__xludf.DUMMYFUNCTION("""COMPUTED_VALUE"""),"")</f>
        <v/>
      </c>
      <c r="C1934" s="2" t="str">
        <f ca="1">IFERROR(__xludf.DUMMYFUNCTION("""COMPUTED_VALUE"""),"")</f>
        <v/>
      </c>
      <c r="D1934" s="2" t="str">
        <f ca="1">IFERROR(__xludf.DUMMYFUNCTION("""COMPUTED_VALUE"""),"")</f>
        <v/>
      </c>
      <c r="E1934" s="2" t="str">
        <f ca="1">IFERROR(__xludf.DUMMYFUNCTION("""COMPUTED_VALUE"""),"")</f>
        <v/>
      </c>
    </row>
    <row r="1935" spans="1:5" ht="12.75">
      <c r="A1935" s="2"/>
      <c r="B1935" s="2" t="str">
        <f ca="1">IFERROR(__xludf.DUMMYFUNCTION("""COMPUTED_VALUE"""),"")</f>
        <v/>
      </c>
      <c r="C1935" s="2" t="str">
        <f ca="1">IFERROR(__xludf.DUMMYFUNCTION("""COMPUTED_VALUE"""),"")</f>
        <v/>
      </c>
      <c r="D1935" s="2" t="str">
        <f ca="1">IFERROR(__xludf.DUMMYFUNCTION("""COMPUTED_VALUE"""),"")</f>
        <v/>
      </c>
      <c r="E1935" s="2" t="str">
        <f ca="1">IFERROR(__xludf.DUMMYFUNCTION("""COMPUTED_VALUE"""),"")</f>
        <v/>
      </c>
    </row>
    <row r="1936" spans="1:5" ht="12.75">
      <c r="A1936" s="2"/>
      <c r="B1936" s="2" t="str">
        <f ca="1">IFERROR(__xludf.DUMMYFUNCTION("""COMPUTED_VALUE"""),"")</f>
        <v/>
      </c>
      <c r="C1936" s="2" t="str">
        <f ca="1">IFERROR(__xludf.DUMMYFUNCTION("""COMPUTED_VALUE"""),"")</f>
        <v/>
      </c>
      <c r="D1936" s="2" t="str">
        <f ca="1">IFERROR(__xludf.DUMMYFUNCTION("""COMPUTED_VALUE"""),"")</f>
        <v/>
      </c>
      <c r="E1936" s="2" t="str">
        <f ca="1">IFERROR(__xludf.DUMMYFUNCTION("""COMPUTED_VALUE"""),"")</f>
        <v/>
      </c>
    </row>
    <row r="1937" spans="1:5" ht="12.75">
      <c r="A1937" s="2"/>
      <c r="B1937" s="2" t="str">
        <f ca="1">IFERROR(__xludf.DUMMYFUNCTION("""COMPUTED_VALUE"""),"")</f>
        <v/>
      </c>
      <c r="C1937" s="2" t="str">
        <f ca="1">IFERROR(__xludf.DUMMYFUNCTION("""COMPUTED_VALUE"""),"")</f>
        <v/>
      </c>
      <c r="D1937" s="2" t="str">
        <f ca="1">IFERROR(__xludf.DUMMYFUNCTION("""COMPUTED_VALUE"""),"")</f>
        <v/>
      </c>
      <c r="E1937" s="2" t="str">
        <f ca="1">IFERROR(__xludf.DUMMYFUNCTION("""COMPUTED_VALUE"""),"")</f>
        <v/>
      </c>
    </row>
    <row r="1938" spans="1:5" ht="12.75">
      <c r="A1938" s="2"/>
      <c r="B1938" s="2" t="str">
        <f ca="1">IFERROR(__xludf.DUMMYFUNCTION("""COMPUTED_VALUE"""),"")</f>
        <v/>
      </c>
      <c r="C1938" s="2" t="str">
        <f ca="1">IFERROR(__xludf.DUMMYFUNCTION("""COMPUTED_VALUE"""),"")</f>
        <v/>
      </c>
      <c r="D1938" s="2" t="str">
        <f ca="1">IFERROR(__xludf.DUMMYFUNCTION("""COMPUTED_VALUE"""),"")</f>
        <v/>
      </c>
      <c r="E1938" s="2" t="str">
        <f ca="1">IFERROR(__xludf.DUMMYFUNCTION("""COMPUTED_VALUE"""),"")</f>
        <v/>
      </c>
    </row>
    <row r="1939" spans="1:5" ht="12.75">
      <c r="A1939" s="2"/>
      <c r="B1939" s="2" t="str">
        <f ca="1">IFERROR(__xludf.DUMMYFUNCTION("""COMPUTED_VALUE"""),"")</f>
        <v/>
      </c>
      <c r="C1939" s="2" t="str">
        <f ca="1">IFERROR(__xludf.DUMMYFUNCTION("""COMPUTED_VALUE"""),"")</f>
        <v/>
      </c>
      <c r="D1939" s="2" t="str">
        <f ca="1">IFERROR(__xludf.DUMMYFUNCTION("""COMPUTED_VALUE"""),"")</f>
        <v/>
      </c>
      <c r="E1939" s="2" t="str">
        <f ca="1">IFERROR(__xludf.DUMMYFUNCTION("""COMPUTED_VALUE"""),"")</f>
        <v/>
      </c>
    </row>
    <row r="1940" spans="1:5" ht="12.75">
      <c r="A1940" s="2"/>
      <c r="B1940" s="2" t="str">
        <f ca="1">IFERROR(__xludf.DUMMYFUNCTION("""COMPUTED_VALUE"""),"")</f>
        <v/>
      </c>
      <c r="C1940" s="2" t="str">
        <f ca="1">IFERROR(__xludf.DUMMYFUNCTION("""COMPUTED_VALUE"""),"")</f>
        <v/>
      </c>
      <c r="D1940" s="2" t="str">
        <f ca="1">IFERROR(__xludf.DUMMYFUNCTION("""COMPUTED_VALUE"""),"")</f>
        <v/>
      </c>
      <c r="E1940" s="2" t="str">
        <f ca="1">IFERROR(__xludf.DUMMYFUNCTION("""COMPUTED_VALUE"""),"")</f>
        <v/>
      </c>
    </row>
    <row r="1941" spans="1:5" ht="12.75">
      <c r="A1941" s="2"/>
      <c r="B1941" s="2" t="str">
        <f ca="1">IFERROR(__xludf.DUMMYFUNCTION("""COMPUTED_VALUE"""),"")</f>
        <v/>
      </c>
      <c r="C1941" s="2" t="str">
        <f ca="1">IFERROR(__xludf.DUMMYFUNCTION("""COMPUTED_VALUE"""),"")</f>
        <v/>
      </c>
      <c r="D1941" s="2" t="str">
        <f ca="1">IFERROR(__xludf.DUMMYFUNCTION("""COMPUTED_VALUE"""),"")</f>
        <v/>
      </c>
      <c r="E1941" s="2" t="str">
        <f ca="1">IFERROR(__xludf.DUMMYFUNCTION("""COMPUTED_VALUE"""),"")</f>
        <v/>
      </c>
    </row>
    <row r="1942" spans="1:5" ht="12.75">
      <c r="A1942" s="2"/>
      <c r="B1942" s="2" t="str">
        <f ca="1">IFERROR(__xludf.DUMMYFUNCTION("""COMPUTED_VALUE"""),"")</f>
        <v/>
      </c>
      <c r="C1942" s="2" t="str">
        <f ca="1">IFERROR(__xludf.DUMMYFUNCTION("""COMPUTED_VALUE"""),"")</f>
        <v/>
      </c>
      <c r="D1942" s="2" t="str">
        <f ca="1">IFERROR(__xludf.DUMMYFUNCTION("""COMPUTED_VALUE"""),"")</f>
        <v/>
      </c>
      <c r="E1942" s="2" t="str">
        <f ca="1">IFERROR(__xludf.DUMMYFUNCTION("""COMPUTED_VALUE"""),"")</f>
        <v/>
      </c>
    </row>
    <row r="1943" spans="1:5" ht="12.75">
      <c r="A1943" s="2"/>
      <c r="B1943" s="2" t="str">
        <f ca="1">IFERROR(__xludf.DUMMYFUNCTION("""COMPUTED_VALUE"""),"")</f>
        <v/>
      </c>
      <c r="C1943" s="2" t="str">
        <f ca="1">IFERROR(__xludf.DUMMYFUNCTION("""COMPUTED_VALUE"""),"")</f>
        <v/>
      </c>
      <c r="D1943" s="2" t="str">
        <f ca="1">IFERROR(__xludf.DUMMYFUNCTION("""COMPUTED_VALUE"""),"")</f>
        <v/>
      </c>
      <c r="E1943" s="2" t="str">
        <f ca="1">IFERROR(__xludf.DUMMYFUNCTION("""COMPUTED_VALUE"""),"")</f>
        <v/>
      </c>
    </row>
    <row r="1944" spans="1:5" ht="12.75">
      <c r="A1944" s="2"/>
      <c r="B1944" s="2" t="str">
        <f ca="1">IFERROR(__xludf.DUMMYFUNCTION("""COMPUTED_VALUE"""),"")</f>
        <v/>
      </c>
      <c r="C1944" s="2" t="str">
        <f ca="1">IFERROR(__xludf.DUMMYFUNCTION("""COMPUTED_VALUE"""),"")</f>
        <v/>
      </c>
      <c r="D1944" s="2" t="str">
        <f ca="1">IFERROR(__xludf.DUMMYFUNCTION("""COMPUTED_VALUE"""),"")</f>
        <v/>
      </c>
      <c r="E1944" s="2" t="str">
        <f ca="1">IFERROR(__xludf.DUMMYFUNCTION("""COMPUTED_VALUE"""),"")</f>
        <v/>
      </c>
    </row>
    <row r="1945" spans="1:5" ht="12.75">
      <c r="A1945" s="2"/>
      <c r="B1945" s="2" t="str">
        <f ca="1">IFERROR(__xludf.DUMMYFUNCTION("""COMPUTED_VALUE"""),"")</f>
        <v/>
      </c>
      <c r="C1945" s="2" t="str">
        <f ca="1">IFERROR(__xludf.DUMMYFUNCTION("""COMPUTED_VALUE"""),"")</f>
        <v/>
      </c>
      <c r="D1945" s="2" t="str">
        <f ca="1">IFERROR(__xludf.DUMMYFUNCTION("""COMPUTED_VALUE"""),"")</f>
        <v/>
      </c>
      <c r="E1945" s="2" t="str">
        <f ca="1">IFERROR(__xludf.DUMMYFUNCTION("""COMPUTED_VALUE"""),"")</f>
        <v/>
      </c>
    </row>
    <row r="1946" spans="1:5" ht="12.75">
      <c r="A1946" s="2"/>
      <c r="B1946" s="2" t="str">
        <f ca="1">IFERROR(__xludf.DUMMYFUNCTION("""COMPUTED_VALUE"""),"")</f>
        <v/>
      </c>
      <c r="C1946" s="2" t="str">
        <f ca="1">IFERROR(__xludf.DUMMYFUNCTION("""COMPUTED_VALUE"""),"")</f>
        <v/>
      </c>
      <c r="D1946" s="2" t="str">
        <f ca="1">IFERROR(__xludf.DUMMYFUNCTION("""COMPUTED_VALUE"""),"")</f>
        <v/>
      </c>
      <c r="E1946" s="2" t="str">
        <f ca="1">IFERROR(__xludf.DUMMYFUNCTION("""COMPUTED_VALUE"""),"")</f>
        <v/>
      </c>
    </row>
    <row r="1947" spans="1:5" ht="12.75">
      <c r="A1947" s="2"/>
      <c r="B1947" s="2" t="str">
        <f ca="1">IFERROR(__xludf.DUMMYFUNCTION("""COMPUTED_VALUE"""),"")</f>
        <v/>
      </c>
      <c r="C1947" s="2" t="str">
        <f ca="1">IFERROR(__xludf.DUMMYFUNCTION("""COMPUTED_VALUE"""),"")</f>
        <v/>
      </c>
      <c r="D1947" s="2" t="str">
        <f ca="1">IFERROR(__xludf.DUMMYFUNCTION("""COMPUTED_VALUE"""),"")</f>
        <v/>
      </c>
      <c r="E1947" s="2" t="str">
        <f ca="1">IFERROR(__xludf.DUMMYFUNCTION("""COMPUTED_VALUE"""),"")</f>
        <v/>
      </c>
    </row>
    <row r="1948" spans="1:5" ht="12.75">
      <c r="A1948" s="2"/>
      <c r="B1948" s="2" t="str">
        <f ca="1">IFERROR(__xludf.DUMMYFUNCTION("""COMPUTED_VALUE"""),"")</f>
        <v/>
      </c>
      <c r="C1948" s="2" t="str">
        <f ca="1">IFERROR(__xludf.DUMMYFUNCTION("""COMPUTED_VALUE"""),"")</f>
        <v/>
      </c>
      <c r="D1948" s="2" t="str">
        <f ca="1">IFERROR(__xludf.DUMMYFUNCTION("""COMPUTED_VALUE"""),"")</f>
        <v/>
      </c>
      <c r="E1948" s="2" t="str">
        <f ca="1">IFERROR(__xludf.DUMMYFUNCTION("""COMPUTED_VALUE"""),"")</f>
        <v/>
      </c>
    </row>
    <row r="1949" spans="1:5" ht="12.75">
      <c r="A1949" s="2"/>
      <c r="B1949" s="2" t="str">
        <f ca="1">IFERROR(__xludf.DUMMYFUNCTION("""COMPUTED_VALUE"""),"")</f>
        <v/>
      </c>
      <c r="C1949" s="2" t="str">
        <f ca="1">IFERROR(__xludf.DUMMYFUNCTION("""COMPUTED_VALUE"""),"")</f>
        <v/>
      </c>
      <c r="D1949" s="2" t="str">
        <f ca="1">IFERROR(__xludf.DUMMYFUNCTION("""COMPUTED_VALUE"""),"")</f>
        <v/>
      </c>
      <c r="E1949" s="2" t="str">
        <f ca="1">IFERROR(__xludf.DUMMYFUNCTION("""COMPUTED_VALUE"""),"")</f>
        <v/>
      </c>
    </row>
    <row r="1950" spans="1:5" ht="12.75">
      <c r="A1950" s="2"/>
      <c r="B1950" s="2" t="str">
        <f ca="1">IFERROR(__xludf.DUMMYFUNCTION("""COMPUTED_VALUE"""),"")</f>
        <v/>
      </c>
      <c r="C1950" s="2" t="str">
        <f ca="1">IFERROR(__xludf.DUMMYFUNCTION("""COMPUTED_VALUE"""),"")</f>
        <v/>
      </c>
      <c r="D1950" s="2" t="str">
        <f ca="1">IFERROR(__xludf.DUMMYFUNCTION("""COMPUTED_VALUE"""),"")</f>
        <v/>
      </c>
      <c r="E1950" s="2" t="str">
        <f ca="1">IFERROR(__xludf.DUMMYFUNCTION("""COMPUTED_VALUE"""),"")</f>
        <v/>
      </c>
    </row>
    <row r="1951" spans="1:5" ht="12.75">
      <c r="A1951" s="2"/>
      <c r="B1951" s="2" t="str">
        <f ca="1">IFERROR(__xludf.DUMMYFUNCTION("""COMPUTED_VALUE"""),"")</f>
        <v/>
      </c>
      <c r="C1951" s="2" t="str">
        <f ca="1">IFERROR(__xludf.DUMMYFUNCTION("""COMPUTED_VALUE"""),"")</f>
        <v/>
      </c>
      <c r="D1951" s="2" t="str">
        <f ca="1">IFERROR(__xludf.DUMMYFUNCTION("""COMPUTED_VALUE"""),"")</f>
        <v/>
      </c>
      <c r="E1951" s="2" t="str">
        <f ca="1">IFERROR(__xludf.DUMMYFUNCTION("""COMPUTED_VALUE"""),"")</f>
        <v/>
      </c>
    </row>
    <row r="1952" spans="1:5" ht="12.75">
      <c r="A1952" s="2"/>
      <c r="B1952" s="2" t="str">
        <f ca="1">IFERROR(__xludf.DUMMYFUNCTION("""COMPUTED_VALUE"""),"")</f>
        <v/>
      </c>
      <c r="C1952" s="2" t="str">
        <f ca="1">IFERROR(__xludf.DUMMYFUNCTION("""COMPUTED_VALUE"""),"")</f>
        <v/>
      </c>
      <c r="D1952" s="2" t="str">
        <f ca="1">IFERROR(__xludf.DUMMYFUNCTION("""COMPUTED_VALUE"""),"")</f>
        <v/>
      </c>
      <c r="E1952" s="2" t="str">
        <f ca="1">IFERROR(__xludf.DUMMYFUNCTION("""COMPUTED_VALUE"""),"")</f>
        <v/>
      </c>
    </row>
    <row r="1953" spans="1:5" ht="12.75">
      <c r="A1953" s="2"/>
      <c r="B1953" s="2" t="str">
        <f ca="1">IFERROR(__xludf.DUMMYFUNCTION("""COMPUTED_VALUE"""),"")</f>
        <v/>
      </c>
      <c r="C1953" s="2" t="str">
        <f ca="1">IFERROR(__xludf.DUMMYFUNCTION("""COMPUTED_VALUE"""),"")</f>
        <v/>
      </c>
      <c r="D1953" s="2" t="str">
        <f ca="1">IFERROR(__xludf.DUMMYFUNCTION("""COMPUTED_VALUE"""),"")</f>
        <v/>
      </c>
      <c r="E1953" s="2" t="str">
        <f ca="1">IFERROR(__xludf.DUMMYFUNCTION("""COMPUTED_VALUE"""),"")</f>
        <v/>
      </c>
    </row>
    <row r="1954" spans="1:5" ht="12.75">
      <c r="A1954" s="2"/>
      <c r="B1954" s="2" t="str">
        <f ca="1">IFERROR(__xludf.DUMMYFUNCTION("""COMPUTED_VALUE"""),"")</f>
        <v/>
      </c>
      <c r="C1954" s="2" t="str">
        <f ca="1">IFERROR(__xludf.DUMMYFUNCTION("""COMPUTED_VALUE"""),"")</f>
        <v/>
      </c>
      <c r="D1954" s="2" t="str">
        <f ca="1">IFERROR(__xludf.DUMMYFUNCTION("""COMPUTED_VALUE"""),"")</f>
        <v/>
      </c>
      <c r="E1954" s="2" t="str">
        <f ca="1">IFERROR(__xludf.DUMMYFUNCTION("""COMPUTED_VALUE"""),"")</f>
        <v/>
      </c>
    </row>
    <row r="1955" spans="1:5" ht="12.75">
      <c r="A1955" s="2"/>
      <c r="B1955" s="2" t="str">
        <f ca="1">IFERROR(__xludf.DUMMYFUNCTION("""COMPUTED_VALUE"""),"")</f>
        <v/>
      </c>
      <c r="C1955" s="2" t="str">
        <f ca="1">IFERROR(__xludf.DUMMYFUNCTION("""COMPUTED_VALUE"""),"")</f>
        <v/>
      </c>
      <c r="D1955" s="2" t="str">
        <f ca="1">IFERROR(__xludf.DUMMYFUNCTION("""COMPUTED_VALUE"""),"")</f>
        <v/>
      </c>
      <c r="E1955" s="2" t="str">
        <f ca="1">IFERROR(__xludf.DUMMYFUNCTION("""COMPUTED_VALUE"""),"")</f>
        <v/>
      </c>
    </row>
    <row r="1956" spans="1:5" ht="12.75">
      <c r="A1956" s="2"/>
      <c r="B1956" s="2" t="str">
        <f ca="1">IFERROR(__xludf.DUMMYFUNCTION("""COMPUTED_VALUE"""),"")</f>
        <v/>
      </c>
      <c r="C1956" s="2" t="str">
        <f ca="1">IFERROR(__xludf.DUMMYFUNCTION("""COMPUTED_VALUE"""),"")</f>
        <v/>
      </c>
      <c r="D1956" s="2" t="str">
        <f ca="1">IFERROR(__xludf.DUMMYFUNCTION("""COMPUTED_VALUE"""),"")</f>
        <v/>
      </c>
      <c r="E1956" s="2" t="str">
        <f ca="1">IFERROR(__xludf.DUMMYFUNCTION("""COMPUTED_VALUE"""),"")</f>
        <v/>
      </c>
    </row>
    <row r="1957" spans="1:5" ht="12.75">
      <c r="A1957" s="2"/>
      <c r="B1957" s="2" t="str">
        <f ca="1">IFERROR(__xludf.DUMMYFUNCTION("""COMPUTED_VALUE"""),"")</f>
        <v/>
      </c>
      <c r="C1957" s="2" t="str">
        <f ca="1">IFERROR(__xludf.DUMMYFUNCTION("""COMPUTED_VALUE"""),"")</f>
        <v/>
      </c>
      <c r="D1957" s="2" t="str">
        <f ca="1">IFERROR(__xludf.DUMMYFUNCTION("""COMPUTED_VALUE"""),"")</f>
        <v/>
      </c>
      <c r="E1957" s="2" t="str">
        <f ca="1">IFERROR(__xludf.DUMMYFUNCTION("""COMPUTED_VALUE"""),"")</f>
        <v/>
      </c>
    </row>
    <row r="1958" spans="1:5" ht="12.75">
      <c r="A1958" s="2"/>
      <c r="B1958" s="2" t="str">
        <f ca="1">IFERROR(__xludf.DUMMYFUNCTION("""COMPUTED_VALUE"""),"")</f>
        <v/>
      </c>
      <c r="C1958" s="2" t="str">
        <f ca="1">IFERROR(__xludf.DUMMYFUNCTION("""COMPUTED_VALUE"""),"")</f>
        <v/>
      </c>
      <c r="D1958" s="2" t="str">
        <f ca="1">IFERROR(__xludf.DUMMYFUNCTION("""COMPUTED_VALUE"""),"")</f>
        <v/>
      </c>
      <c r="E1958" s="2" t="str">
        <f ca="1">IFERROR(__xludf.DUMMYFUNCTION("""COMPUTED_VALUE"""),"")</f>
        <v/>
      </c>
    </row>
    <row r="1959" spans="1:5" ht="12.75">
      <c r="A1959" s="2"/>
      <c r="B1959" s="2" t="str">
        <f ca="1">IFERROR(__xludf.DUMMYFUNCTION("""COMPUTED_VALUE"""),"")</f>
        <v/>
      </c>
      <c r="C1959" s="2" t="str">
        <f ca="1">IFERROR(__xludf.DUMMYFUNCTION("""COMPUTED_VALUE"""),"")</f>
        <v/>
      </c>
      <c r="D1959" s="2" t="str">
        <f ca="1">IFERROR(__xludf.DUMMYFUNCTION("""COMPUTED_VALUE"""),"")</f>
        <v/>
      </c>
      <c r="E1959" s="2" t="str">
        <f ca="1">IFERROR(__xludf.DUMMYFUNCTION("""COMPUTED_VALUE"""),"")</f>
        <v/>
      </c>
    </row>
    <row r="1960" spans="1:5" ht="12.75">
      <c r="A1960" s="2"/>
      <c r="B1960" s="2" t="str">
        <f ca="1">IFERROR(__xludf.DUMMYFUNCTION("""COMPUTED_VALUE"""),"")</f>
        <v/>
      </c>
      <c r="C1960" s="2" t="str">
        <f ca="1">IFERROR(__xludf.DUMMYFUNCTION("""COMPUTED_VALUE"""),"")</f>
        <v/>
      </c>
      <c r="D1960" s="2" t="str">
        <f ca="1">IFERROR(__xludf.DUMMYFUNCTION("""COMPUTED_VALUE"""),"")</f>
        <v/>
      </c>
      <c r="E1960" s="2" t="str">
        <f ca="1">IFERROR(__xludf.DUMMYFUNCTION("""COMPUTED_VALUE"""),"")</f>
        <v/>
      </c>
    </row>
    <row r="1961" spans="1:5" ht="12.75">
      <c r="A1961" s="2"/>
      <c r="B1961" s="2" t="str">
        <f ca="1">IFERROR(__xludf.DUMMYFUNCTION("""COMPUTED_VALUE"""),"")</f>
        <v/>
      </c>
      <c r="C1961" s="2" t="str">
        <f ca="1">IFERROR(__xludf.DUMMYFUNCTION("""COMPUTED_VALUE"""),"")</f>
        <v/>
      </c>
      <c r="D1961" s="2" t="str">
        <f ca="1">IFERROR(__xludf.DUMMYFUNCTION("""COMPUTED_VALUE"""),"")</f>
        <v/>
      </c>
      <c r="E1961" s="2" t="str">
        <f ca="1">IFERROR(__xludf.DUMMYFUNCTION("""COMPUTED_VALUE"""),"")</f>
        <v/>
      </c>
    </row>
    <row r="1962" spans="1:5" ht="12.75">
      <c r="A1962" s="2"/>
      <c r="B1962" s="2" t="str">
        <f ca="1">IFERROR(__xludf.DUMMYFUNCTION("""COMPUTED_VALUE"""),"")</f>
        <v/>
      </c>
      <c r="C1962" s="2" t="str">
        <f ca="1">IFERROR(__xludf.DUMMYFUNCTION("""COMPUTED_VALUE"""),"")</f>
        <v/>
      </c>
      <c r="D1962" s="2" t="str">
        <f ca="1">IFERROR(__xludf.DUMMYFUNCTION("""COMPUTED_VALUE"""),"")</f>
        <v/>
      </c>
      <c r="E1962" s="2" t="str">
        <f ca="1">IFERROR(__xludf.DUMMYFUNCTION("""COMPUTED_VALUE"""),"")</f>
        <v/>
      </c>
    </row>
    <row r="1963" spans="1:5" ht="12.75">
      <c r="A1963" s="2"/>
      <c r="B1963" s="2" t="str">
        <f ca="1">IFERROR(__xludf.DUMMYFUNCTION("""COMPUTED_VALUE"""),"")</f>
        <v/>
      </c>
      <c r="C1963" s="2" t="str">
        <f ca="1">IFERROR(__xludf.DUMMYFUNCTION("""COMPUTED_VALUE"""),"")</f>
        <v/>
      </c>
      <c r="D1963" s="2" t="str">
        <f ca="1">IFERROR(__xludf.DUMMYFUNCTION("""COMPUTED_VALUE"""),"")</f>
        <v/>
      </c>
      <c r="E1963" s="2" t="str">
        <f ca="1">IFERROR(__xludf.DUMMYFUNCTION("""COMPUTED_VALUE"""),"")</f>
        <v/>
      </c>
    </row>
    <row r="1964" spans="1:5" ht="12.75">
      <c r="A1964" s="2"/>
      <c r="B1964" s="2" t="str">
        <f ca="1">IFERROR(__xludf.DUMMYFUNCTION("""COMPUTED_VALUE"""),"")</f>
        <v/>
      </c>
      <c r="C1964" s="2" t="str">
        <f ca="1">IFERROR(__xludf.DUMMYFUNCTION("""COMPUTED_VALUE"""),"")</f>
        <v/>
      </c>
      <c r="D1964" s="2" t="str">
        <f ca="1">IFERROR(__xludf.DUMMYFUNCTION("""COMPUTED_VALUE"""),"")</f>
        <v/>
      </c>
      <c r="E1964" s="2" t="str">
        <f ca="1">IFERROR(__xludf.DUMMYFUNCTION("""COMPUTED_VALUE"""),"")</f>
        <v/>
      </c>
    </row>
    <row r="1965" spans="1:5" ht="12.75">
      <c r="A1965" s="2"/>
      <c r="B1965" s="2" t="str">
        <f ca="1">IFERROR(__xludf.DUMMYFUNCTION("""COMPUTED_VALUE"""),"")</f>
        <v/>
      </c>
      <c r="C1965" s="2" t="str">
        <f ca="1">IFERROR(__xludf.DUMMYFUNCTION("""COMPUTED_VALUE"""),"")</f>
        <v/>
      </c>
      <c r="D1965" s="2" t="str">
        <f ca="1">IFERROR(__xludf.DUMMYFUNCTION("""COMPUTED_VALUE"""),"")</f>
        <v/>
      </c>
      <c r="E1965" s="2" t="str">
        <f ca="1">IFERROR(__xludf.DUMMYFUNCTION("""COMPUTED_VALUE"""),"")</f>
        <v/>
      </c>
    </row>
    <row r="1966" spans="1:5" ht="12.75">
      <c r="A1966" s="2"/>
      <c r="B1966" s="2" t="str">
        <f ca="1">IFERROR(__xludf.DUMMYFUNCTION("""COMPUTED_VALUE"""),"")</f>
        <v/>
      </c>
      <c r="C1966" s="2" t="str">
        <f ca="1">IFERROR(__xludf.DUMMYFUNCTION("""COMPUTED_VALUE"""),"")</f>
        <v/>
      </c>
      <c r="D1966" s="2" t="str">
        <f ca="1">IFERROR(__xludf.DUMMYFUNCTION("""COMPUTED_VALUE"""),"")</f>
        <v/>
      </c>
      <c r="E1966" s="2" t="str">
        <f ca="1">IFERROR(__xludf.DUMMYFUNCTION("""COMPUTED_VALUE"""),"")</f>
        <v/>
      </c>
    </row>
    <row r="1967" spans="1:5" ht="12.75">
      <c r="A1967" s="2"/>
      <c r="B1967" s="2" t="str">
        <f ca="1">IFERROR(__xludf.DUMMYFUNCTION("""COMPUTED_VALUE"""),"")</f>
        <v/>
      </c>
      <c r="C1967" s="2" t="str">
        <f ca="1">IFERROR(__xludf.DUMMYFUNCTION("""COMPUTED_VALUE"""),"")</f>
        <v/>
      </c>
      <c r="D1967" s="2" t="str">
        <f ca="1">IFERROR(__xludf.DUMMYFUNCTION("""COMPUTED_VALUE"""),"")</f>
        <v/>
      </c>
      <c r="E1967" s="2" t="str">
        <f ca="1">IFERROR(__xludf.DUMMYFUNCTION("""COMPUTED_VALUE"""),"")</f>
        <v/>
      </c>
    </row>
    <row r="1968" spans="1:5" ht="12.75">
      <c r="A1968" s="2"/>
      <c r="B1968" s="2" t="str">
        <f ca="1">IFERROR(__xludf.DUMMYFUNCTION("""COMPUTED_VALUE"""),"")</f>
        <v/>
      </c>
      <c r="C1968" s="2" t="str">
        <f ca="1">IFERROR(__xludf.DUMMYFUNCTION("""COMPUTED_VALUE"""),"")</f>
        <v/>
      </c>
      <c r="D1968" s="2" t="str">
        <f ca="1">IFERROR(__xludf.DUMMYFUNCTION("""COMPUTED_VALUE"""),"")</f>
        <v/>
      </c>
      <c r="E1968" s="2" t="str">
        <f ca="1">IFERROR(__xludf.DUMMYFUNCTION("""COMPUTED_VALUE"""),"")</f>
        <v/>
      </c>
    </row>
    <row r="1969" spans="1:5" ht="12.75">
      <c r="A1969" s="2"/>
      <c r="B1969" s="2" t="str">
        <f ca="1">IFERROR(__xludf.DUMMYFUNCTION("""COMPUTED_VALUE"""),"")</f>
        <v/>
      </c>
      <c r="C1969" s="2" t="str">
        <f ca="1">IFERROR(__xludf.DUMMYFUNCTION("""COMPUTED_VALUE"""),"")</f>
        <v/>
      </c>
      <c r="D1969" s="2" t="str">
        <f ca="1">IFERROR(__xludf.DUMMYFUNCTION("""COMPUTED_VALUE"""),"")</f>
        <v/>
      </c>
      <c r="E1969" s="2" t="str">
        <f ca="1">IFERROR(__xludf.DUMMYFUNCTION("""COMPUTED_VALUE"""),"")</f>
        <v/>
      </c>
    </row>
    <row r="1970" spans="1:5" ht="12.75">
      <c r="A1970" s="2"/>
      <c r="B1970" s="2" t="str">
        <f ca="1">IFERROR(__xludf.DUMMYFUNCTION("""COMPUTED_VALUE"""),"")</f>
        <v/>
      </c>
      <c r="C1970" s="2" t="str">
        <f ca="1">IFERROR(__xludf.DUMMYFUNCTION("""COMPUTED_VALUE"""),"")</f>
        <v/>
      </c>
      <c r="D1970" s="2" t="str">
        <f ca="1">IFERROR(__xludf.DUMMYFUNCTION("""COMPUTED_VALUE"""),"")</f>
        <v/>
      </c>
      <c r="E1970" s="2" t="str">
        <f ca="1">IFERROR(__xludf.DUMMYFUNCTION("""COMPUTED_VALUE"""),"")</f>
        <v/>
      </c>
    </row>
    <row r="1971" spans="1:5" ht="12.75">
      <c r="A1971" s="2"/>
      <c r="B1971" s="2" t="str">
        <f ca="1">IFERROR(__xludf.DUMMYFUNCTION("""COMPUTED_VALUE"""),"")</f>
        <v/>
      </c>
      <c r="C1971" s="2" t="str">
        <f ca="1">IFERROR(__xludf.DUMMYFUNCTION("""COMPUTED_VALUE"""),"")</f>
        <v/>
      </c>
      <c r="D1971" s="2" t="str">
        <f ca="1">IFERROR(__xludf.DUMMYFUNCTION("""COMPUTED_VALUE"""),"")</f>
        <v/>
      </c>
      <c r="E1971" s="2" t="str">
        <f ca="1">IFERROR(__xludf.DUMMYFUNCTION("""COMPUTED_VALUE"""),"")</f>
        <v/>
      </c>
    </row>
    <row r="1972" spans="1:5" ht="12.75">
      <c r="A1972" s="2"/>
      <c r="B1972" s="2" t="str">
        <f ca="1">IFERROR(__xludf.DUMMYFUNCTION("""COMPUTED_VALUE"""),"")</f>
        <v/>
      </c>
      <c r="C1972" s="2" t="str">
        <f ca="1">IFERROR(__xludf.DUMMYFUNCTION("""COMPUTED_VALUE"""),"")</f>
        <v/>
      </c>
      <c r="D1972" s="2" t="str">
        <f ca="1">IFERROR(__xludf.DUMMYFUNCTION("""COMPUTED_VALUE"""),"")</f>
        <v/>
      </c>
      <c r="E1972" s="2" t="str">
        <f ca="1">IFERROR(__xludf.DUMMYFUNCTION("""COMPUTED_VALUE"""),"")</f>
        <v/>
      </c>
    </row>
    <row r="1973" spans="1:5" ht="12.75">
      <c r="A1973" s="2"/>
      <c r="B1973" s="2" t="str">
        <f ca="1">IFERROR(__xludf.DUMMYFUNCTION("""COMPUTED_VALUE"""),"")</f>
        <v/>
      </c>
      <c r="C1973" s="2" t="str">
        <f ca="1">IFERROR(__xludf.DUMMYFUNCTION("""COMPUTED_VALUE"""),"")</f>
        <v/>
      </c>
      <c r="D1973" s="2" t="str">
        <f ca="1">IFERROR(__xludf.DUMMYFUNCTION("""COMPUTED_VALUE"""),"")</f>
        <v/>
      </c>
      <c r="E1973" s="2" t="str">
        <f ca="1">IFERROR(__xludf.DUMMYFUNCTION("""COMPUTED_VALUE"""),"")</f>
        <v/>
      </c>
    </row>
    <row r="1974" spans="1:5" ht="12.75">
      <c r="A1974" s="2"/>
      <c r="B1974" s="2" t="str">
        <f ca="1">IFERROR(__xludf.DUMMYFUNCTION("""COMPUTED_VALUE"""),"")</f>
        <v/>
      </c>
      <c r="C1974" s="2" t="str">
        <f ca="1">IFERROR(__xludf.DUMMYFUNCTION("""COMPUTED_VALUE"""),"")</f>
        <v/>
      </c>
      <c r="D1974" s="2" t="str">
        <f ca="1">IFERROR(__xludf.DUMMYFUNCTION("""COMPUTED_VALUE"""),"")</f>
        <v/>
      </c>
      <c r="E1974" s="2" t="str">
        <f ca="1">IFERROR(__xludf.DUMMYFUNCTION("""COMPUTED_VALUE"""),"")</f>
        <v/>
      </c>
    </row>
    <row r="1975" spans="1:5" ht="12.75">
      <c r="A1975" s="2"/>
      <c r="B1975" s="2" t="str">
        <f ca="1">IFERROR(__xludf.DUMMYFUNCTION("""COMPUTED_VALUE"""),"")</f>
        <v/>
      </c>
      <c r="C1975" s="2" t="str">
        <f ca="1">IFERROR(__xludf.DUMMYFUNCTION("""COMPUTED_VALUE"""),"")</f>
        <v/>
      </c>
      <c r="D1975" s="2" t="str">
        <f ca="1">IFERROR(__xludf.DUMMYFUNCTION("""COMPUTED_VALUE"""),"")</f>
        <v/>
      </c>
      <c r="E1975" s="2" t="str">
        <f ca="1">IFERROR(__xludf.DUMMYFUNCTION("""COMPUTED_VALUE"""),"")</f>
        <v/>
      </c>
    </row>
    <row r="1976" spans="1:5" ht="12.75">
      <c r="A1976" s="2"/>
      <c r="B1976" s="2" t="str">
        <f ca="1">IFERROR(__xludf.DUMMYFUNCTION("""COMPUTED_VALUE"""),"")</f>
        <v/>
      </c>
      <c r="C1976" s="2" t="str">
        <f ca="1">IFERROR(__xludf.DUMMYFUNCTION("""COMPUTED_VALUE"""),"")</f>
        <v/>
      </c>
      <c r="D1976" s="2" t="str">
        <f ca="1">IFERROR(__xludf.DUMMYFUNCTION("""COMPUTED_VALUE"""),"")</f>
        <v/>
      </c>
      <c r="E1976" s="2" t="str">
        <f ca="1">IFERROR(__xludf.DUMMYFUNCTION("""COMPUTED_VALUE"""),"")</f>
        <v/>
      </c>
    </row>
    <row r="1977" spans="1:5" ht="12.75">
      <c r="A1977" s="2"/>
      <c r="B1977" s="2" t="str">
        <f ca="1">IFERROR(__xludf.DUMMYFUNCTION("""COMPUTED_VALUE"""),"")</f>
        <v/>
      </c>
      <c r="C1977" s="2" t="str">
        <f ca="1">IFERROR(__xludf.DUMMYFUNCTION("""COMPUTED_VALUE"""),"")</f>
        <v/>
      </c>
      <c r="D1977" s="2" t="str">
        <f ca="1">IFERROR(__xludf.DUMMYFUNCTION("""COMPUTED_VALUE"""),"")</f>
        <v/>
      </c>
      <c r="E1977" s="2" t="str">
        <f ca="1">IFERROR(__xludf.DUMMYFUNCTION("""COMPUTED_VALUE"""),"")</f>
        <v/>
      </c>
    </row>
    <row r="1978" spans="1:5" ht="12.75">
      <c r="A1978" s="2"/>
      <c r="B1978" s="2" t="str">
        <f ca="1">IFERROR(__xludf.DUMMYFUNCTION("""COMPUTED_VALUE"""),"")</f>
        <v/>
      </c>
      <c r="C1978" s="2" t="str">
        <f ca="1">IFERROR(__xludf.DUMMYFUNCTION("""COMPUTED_VALUE"""),"")</f>
        <v/>
      </c>
      <c r="D1978" s="2" t="str">
        <f ca="1">IFERROR(__xludf.DUMMYFUNCTION("""COMPUTED_VALUE"""),"")</f>
        <v/>
      </c>
      <c r="E1978" s="2" t="str">
        <f ca="1">IFERROR(__xludf.DUMMYFUNCTION("""COMPUTED_VALUE"""),"")</f>
        <v/>
      </c>
    </row>
    <row r="1979" spans="1:5" ht="12.75">
      <c r="A1979" s="2"/>
      <c r="B1979" s="2" t="str">
        <f ca="1">IFERROR(__xludf.DUMMYFUNCTION("""COMPUTED_VALUE"""),"")</f>
        <v/>
      </c>
      <c r="C1979" s="2" t="str">
        <f ca="1">IFERROR(__xludf.DUMMYFUNCTION("""COMPUTED_VALUE"""),"")</f>
        <v/>
      </c>
      <c r="D1979" s="2" t="str">
        <f ca="1">IFERROR(__xludf.DUMMYFUNCTION("""COMPUTED_VALUE"""),"")</f>
        <v/>
      </c>
      <c r="E1979" s="2" t="str">
        <f ca="1">IFERROR(__xludf.DUMMYFUNCTION("""COMPUTED_VALUE"""),"")</f>
        <v/>
      </c>
    </row>
    <row r="1980" spans="1:5" ht="12.75">
      <c r="A1980" s="2"/>
      <c r="B1980" s="2" t="str">
        <f ca="1">IFERROR(__xludf.DUMMYFUNCTION("""COMPUTED_VALUE"""),"")</f>
        <v/>
      </c>
      <c r="C1980" s="2" t="str">
        <f ca="1">IFERROR(__xludf.DUMMYFUNCTION("""COMPUTED_VALUE"""),"")</f>
        <v/>
      </c>
      <c r="D1980" s="2" t="str">
        <f ca="1">IFERROR(__xludf.DUMMYFUNCTION("""COMPUTED_VALUE"""),"")</f>
        <v/>
      </c>
      <c r="E1980" s="2" t="str">
        <f ca="1">IFERROR(__xludf.DUMMYFUNCTION("""COMPUTED_VALUE"""),"")</f>
        <v/>
      </c>
    </row>
    <row r="1981" spans="1:5" ht="12.75">
      <c r="A1981" s="2"/>
      <c r="B1981" s="2" t="str">
        <f ca="1">IFERROR(__xludf.DUMMYFUNCTION("""COMPUTED_VALUE"""),"")</f>
        <v/>
      </c>
      <c r="C1981" s="2" t="str">
        <f ca="1">IFERROR(__xludf.DUMMYFUNCTION("""COMPUTED_VALUE"""),"")</f>
        <v/>
      </c>
      <c r="D1981" s="2" t="str">
        <f ca="1">IFERROR(__xludf.DUMMYFUNCTION("""COMPUTED_VALUE"""),"")</f>
        <v/>
      </c>
      <c r="E1981" s="2" t="str">
        <f ca="1">IFERROR(__xludf.DUMMYFUNCTION("""COMPUTED_VALUE"""),"")</f>
        <v/>
      </c>
    </row>
    <row r="1982" spans="1:5" ht="12.75">
      <c r="A1982" s="2"/>
      <c r="B1982" s="2" t="str">
        <f ca="1">IFERROR(__xludf.DUMMYFUNCTION("""COMPUTED_VALUE"""),"")</f>
        <v/>
      </c>
      <c r="C1982" s="2" t="str">
        <f ca="1">IFERROR(__xludf.DUMMYFUNCTION("""COMPUTED_VALUE"""),"")</f>
        <v/>
      </c>
      <c r="D1982" s="2" t="str">
        <f ca="1">IFERROR(__xludf.DUMMYFUNCTION("""COMPUTED_VALUE"""),"")</f>
        <v/>
      </c>
      <c r="E1982" s="2" t="str">
        <f ca="1">IFERROR(__xludf.DUMMYFUNCTION("""COMPUTED_VALUE"""),"")</f>
        <v/>
      </c>
    </row>
    <row r="1983" spans="1:5" ht="12.75">
      <c r="A1983" s="2"/>
      <c r="B1983" s="2" t="str">
        <f ca="1">IFERROR(__xludf.DUMMYFUNCTION("""COMPUTED_VALUE"""),"")</f>
        <v/>
      </c>
      <c r="C1983" s="2" t="str">
        <f ca="1">IFERROR(__xludf.DUMMYFUNCTION("""COMPUTED_VALUE"""),"")</f>
        <v/>
      </c>
      <c r="D1983" s="2" t="str">
        <f ca="1">IFERROR(__xludf.DUMMYFUNCTION("""COMPUTED_VALUE"""),"")</f>
        <v/>
      </c>
      <c r="E1983" s="2" t="str">
        <f ca="1">IFERROR(__xludf.DUMMYFUNCTION("""COMPUTED_VALUE"""),"")</f>
        <v/>
      </c>
    </row>
    <row r="1984" spans="1:5" ht="12.75">
      <c r="A1984" s="2"/>
      <c r="B1984" s="2" t="str">
        <f ca="1">IFERROR(__xludf.DUMMYFUNCTION("""COMPUTED_VALUE"""),"")</f>
        <v/>
      </c>
      <c r="C1984" s="2" t="str">
        <f ca="1">IFERROR(__xludf.DUMMYFUNCTION("""COMPUTED_VALUE"""),"")</f>
        <v/>
      </c>
      <c r="D1984" s="2" t="str">
        <f ca="1">IFERROR(__xludf.DUMMYFUNCTION("""COMPUTED_VALUE"""),"")</f>
        <v/>
      </c>
      <c r="E1984" s="2" t="str">
        <f ca="1">IFERROR(__xludf.DUMMYFUNCTION("""COMPUTED_VALUE"""),"")</f>
        <v/>
      </c>
    </row>
    <row r="1985" spans="1:5" ht="12.75">
      <c r="A1985" s="2"/>
      <c r="B1985" s="2" t="str">
        <f ca="1">IFERROR(__xludf.DUMMYFUNCTION("""COMPUTED_VALUE"""),"")</f>
        <v/>
      </c>
      <c r="C1985" s="2" t="str">
        <f ca="1">IFERROR(__xludf.DUMMYFUNCTION("""COMPUTED_VALUE"""),"")</f>
        <v/>
      </c>
      <c r="D1985" s="2" t="str">
        <f ca="1">IFERROR(__xludf.DUMMYFUNCTION("""COMPUTED_VALUE"""),"")</f>
        <v/>
      </c>
      <c r="E1985" s="2" t="str">
        <f ca="1">IFERROR(__xludf.DUMMYFUNCTION("""COMPUTED_VALUE"""),"")</f>
        <v/>
      </c>
    </row>
    <row r="1986" spans="1:5" ht="12.75">
      <c r="A1986" s="2"/>
      <c r="B1986" s="2" t="str">
        <f ca="1">IFERROR(__xludf.DUMMYFUNCTION("""COMPUTED_VALUE"""),"")</f>
        <v/>
      </c>
      <c r="C1986" s="2" t="str">
        <f ca="1">IFERROR(__xludf.DUMMYFUNCTION("""COMPUTED_VALUE"""),"")</f>
        <v/>
      </c>
      <c r="D1986" s="2" t="str">
        <f ca="1">IFERROR(__xludf.DUMMYFUNCTION("""COMPUTED_VALUE"""),"")</f>
        <v/>
      </c>
      <c r="E1986" s="2" t="str">
        <f ca="1">IFERROR(__xludf.DUMMYFUNCTION("""COMPUTED_VALUE"""),"")</f>
        <v/>
      </c>
    </row>
    <row r="1987" spans="1:5" ht="12.75">
      <c r="A1987" s="2"/>
      <c r="B1987" s="2" t="str">
        <f ca="1">IFERROR(__xludf.DUMMYFUNCTION("""COMPUTED_VALUE"""),"")</f>
        <v/>
      </c>
      <c r="C1987" s="2" t="str">
        <f ca="1">IFERROR(__xludf.DUMMYFUNCTION("""COMPUTED_VALUE"""),"")</f>
        <v/>
      </c>
      <c r="D1987" s="2" t="str">
        <f ca="1">IFERROR(__xludf.DUMMYFUNCTION("""COMPUTED_VALUE"""),"")</f>
        <v/>
      </c>
      <c r="E1987" s="2" t="str">
        <f ca="1">IFERROR(__xludf.DUMMYFUNCTION("""COMPUTED_VALUE"""),"")</f>
        <v/>
      </c>
    </row>
    <row r="1988" spans="1:5" ht="12.75">
      <c r="A1988" s="2"/>
      <c r="B1988" s="2" t="str">
        <f ca="1">IFERROR(__xludf.DUMMYFUNCTION("""COMPUTED_VALUE"""),"")</f>
        <v/>
      </c>
      <c r="C1988" s="2" t="str">
        <f ca="1">IFERROR(__xludf.DUMMYFUNCTION("""COMPUTED_VALUE"""),"")</f>
        <v/>
      </c>
      <c r="D1988" s="2" t="str">
        <f ca="1">IFERROR(__xludf.DUMMYFUNCTION("""COMPUTED_VALUE"""),"")</f>
        <v/>
      </c>
      <c r="E1988" s="2" t="str">
        <f ca="1">IFERROR(__xludf.DUMMYFUNCTION("""COMPUTED_VALUE"""),"")</f>
        <v/>
      </c>
    </row>
    <row r="1989" spans="1:5" ht="12.75">
      <c r="A1989" s="2"/>
      <c r="B1989" s="2" t="str">
        <f ca="1">IFERROR(__xludf.DUMMYFUNCTION("""COMPUTED_VALUE"""),"")</f>
        <v/>
      </c>
      <c r="C1989" s="2" t="str">
        <f ca="1">IFERROR(__xludf.DUMMYFUNCTION("""COMPUTED_VALUE"""),"")</f>
        <v/>
      </c>
      <c r="D1989" s="2" t="str">
        <f ca="1">IFERROR(__xludf.DUMMYFUNCTION("""COMPUTED_VALUE"""),"")</f>
        <v/>
      </c>
      <c r="E1989" s="2" t="str">
        <f ca="1">IFERROR(__xludf.DUMMYFUNCTION("""COMPUTED_VALUE"""),"")</f>
        <v/>
      </c>
    </row>
    <row r="1990" spans="1:5" ht="12.75">
      <c r="A1990" s="2"/>
      <c r="B1990" s="2" t="str">
        <f ca="1">IFERROR(__xludf.DUMMYFUNCTION("""COMPUTED_VALUE"""),"")</f>
        <v/>
      </c>
      <c r="C1990" s="2" t="str">
        <f ca="1">IFERROR(__xludf.DUMMYFUNCTION("""COMPUTED_VALUE"""),"")</f>
        <v/>
      </c>
      <c r="D1990" s="2" t="str">
        <f ca="1">IFERROR(__xludf.DUMMYFUNCTION("""COMPUTED_VALUE"""),"")</f>
        <v/>
      </c>
      <c r="E1990" s="2" t="str">
        <f ca="1">IFERROR(__xludf.DUMMYFUNCTION("""COMPUTED_VALUE"""),"")</f>
        <v/>
      </c>
    </row>
    <row r="1991" spans="1:5" ht="12.75">
      <c r="A1991" s="2"/>
      <c r="B1991" s="2" t="str">
        <f ca="1">IFERROR(__xludf.DUMMYFUNCTION("""COMPUTED_VALUE"""),"")</f>
        <v/>
      </c>
      <c r="C1991" s="2" t="str">
        <f ca="1">IFERROR(__xludf.DUMMYFUNCTION("""COMPUTED_VALUE"""),"")</f>
        <v/>
      </c>
      <c r="D1991" s="2" t="str">
        <f ca="1">IFERROR(__xludf.DUMMYFUNCTION("""COMPUTED_VALUE"""),"")</f>
        <v/>
      </c>
      <c r="E1991" s="2" t="str">
        <f ca="1">IFERROR(__xludf.DUMMYFUNCTION("""COMPUTED_VALUE"""),"")</f>
        <v/>
      </c>
    </row>
    <row r="1992" spans="1:5" ht="12.75">
      <c r="A1992" s="2"/>
      <c r="B1992" s="2" t="str">
        <f ca="1">IFERROR(__xludf.DUMMYFUNCTION("""COMPUTED_VALUE"""),"")</f>
        <v/>
      </c>
      <c r="C1992" s="2" t="str">
        <f ca="1">IFERROR(__xludf.DUMMYFUNCTION("""COMPUTED_VALUE"""),"")</f>
        <v/>
      </c>
      <c r="D1992" s="2" t="str">
        <f ca="1">IFERROR(__xludf.DUMMYFUNCTION("""COMPUTED_VALUE"""),"")</f>
        <v/>
      </c>
      <c r="E1992" s="2" t="str">
        <f ca="1">IFERROR(__xludf.DUMMYFUNCTION("""COMPUTED_VALUE"""),"")</f>
        <v/>
      </c>
    </row>
    <row r="1993" spans="1:5" ht="12.75">
      <c r="A1993" s="2"/>
      <c r="B1993" s="2" t="str">
        <f ca="1">IFERROR(__xludf.DUMMYFUNCTION("""COMPUTED_VALUE"""),"")</f>
        <v/>
      </c>
      <c r="C1993" s="2" t="str">
        <f ca="1">IFERROR(__xludf.DUMMYFUNCTION("""COMPUTED_VALUE"""),"")</f>
        <v/>
      </c>
      <c r="D1993" s="2" t="str">
        <f ca="1">IFERROR(__xludf.DUMMYFUNCTION("""COMPUTED_VALUE"""),"")</f>
        <v/>
      </c>
      <c r="E1993" s="2" t="str">
        <f ca="1">IFERROR(__xludf.DUMMYFUNCTION("""COMPUTED_VALUE"""),"")</f>
        <v/>
      </c>
    </row>
    <row r="1994" spans="1:5" ht="12.75">
      <c r="A1994" s="2"/>
      <c r="B1994" s="2" t="str">
        <f ca="1">IFERROR(__xludf.DUMMYFUNCTION("""COMPUTED_VALUE"""),"")</f>
        <v/>
      </c>
      <c r="C1994" s="2" t="str">
        <f ca="1">IFERROR(__xludf.DUMMYFUNCTION("""COMPUTED_VALUE"""),"")</f>
        <v/>
      </c>
      <c r="D1994" s="2" t="str">
        <f ca="1">IFERROR(__xludf.DUMMYFUNCTION("""COMPUTED_VALUE"""),"")</f>
        <v/>
      </c>
      <c r="E1994" s="2" t="str">
        <f ca="1">IFERROR(__xludf.DUMMYFUNCTION("""COMPUTED_VALUE"""),"")</f>
        <v/>
      </c>
    </row>
    <row r="1995" spans="1:5" ht="12.75">
      <c r="A1995" s="2"/>
      <c r="B1995" s="2" t="str">
        <f ca="1">IFERROR(__xludf.DUMMYFUNCTION("""COMPUTED_VALUE"""),"")</f>
        <v/>
      </c>
      <c r="C1995" s="2" t="str">
        <f ca="1">IFERROR(__xludf.DUMMYFUNCTION("""COMPUTED_VALUE"""),"")</f>
        <v/>
      </c>
      <c r="D1995" s="2" t="str">
        <f ca="1">IFERROR(__xludf.DUMMYFUNCTION("""COMPUTED_VALUE"""),"")</f>
        <v/>
      </c>
      <c r="E1995" s="2" t="str">
        <f ca="1">IFERROR(__xludf.DUMMYFUNCTION("""COMPUTED_VALUE"""),"")</f>
        <v/>
      </c>
    </row>
    <row r="1996" spans="1:5" ht="12.75">
      <c r="A1996" s="2"/>
      <c r="B1996" s="2" t="str">
        <f ca="1">IFERROR(__xludf.DUMMYFUNCTION("""COMPUTED_VALUE"""),"")</f>
        <v/>
      </c>
      <c r="C1996" s="2" t="str">
        <f ca="1">IFERROR(__xludf.DUMMYFUNCTION("""COMPUTED_VALUE"""),"")</f>
        <v/>
      </c>
      <c r="D1996" s="2" t="str">
        <f ca="1">IFERROR(__xludf.DUMMYFUNCTION("""COMPUTED_VALUE"""),"")</f>
        <v/>
      </c>
      <c r="E1996" s="2" t="str">
        <f ca="1">IFERROR(__xludf.DUMMYFUNCTION("""COMPUTED_VALUE"""),"")</f>
        <v/>
      </c>
    </row>
    <row r="1997" spans="1:5" ht="12.75">
      <c r="A1997" s="2"/>
      <c r="B1997" s="2" t="str">
        <f ca="1">IFERROR(__xludf.DUMMYFUNCTION("""COMPUTED_VALUE"""),"")</f>
        <v/>
      </c>
      <c r="C1997" s="2" t="str">
        <f ca="1">IFERROR(__xludf.DUMMYFUNCTION("""COMPUTED_VALUE"""),"")</f>
        <v/>
      </c>
      <c r="D1997" s="2" t="str">
        <f ca="1">IFERROR(__xludf.DUMMYFUNCTION("""COMPUTED_VALUE"""),"")</f>
        <v/>
      </c>
      <c r="E1997" s="2" t="str">
        <f ca="1">IFERROR(__xludf.DUMMYFUNCTION("""COMPUTED_VALUE"""),"")</f>
        <v/>
      </c>
    </row>
    <row r="1998" spans="1:5" ht="12.75">
      <c r="A1998" s="2"/>
      <c r="B1998" s="2" t="str">
        <f ca="1">IFERROR(__xludf.DUMMYFUNCTION("""COMPUTED_VALUE"""),"")</f>
        <v/>
      </c>
      <c r="C1998" s="2" t="str">
        <f ca="1">IFERROR(__xludf.DUMMYFUNCTION("""COMPUTED_VALUE"""),"")</f>
        <v/>
      </c>
      <c r="D1998" s="2" t="str">
        <f ca="1">IFERROR(__xludf.DUMMYFUNCTION("""COMPUTED_VALUE"""),"")</f>
        <v/>
      </c>
      <c r="E1998" s="2" t="str">
        <f ca="1">IFERROR(__xludf.DUMMYFUNCTION("""COMPUTED_VALUE"""),"")</f>
        <v/>
      </c>
    </row>
    <row r="1999" spans="1:5" ht="12.75">
      <c r="A1999" s="2"/>
      <c r="B1999" s="2" t="str">
        <f ca="1">IFERROR(__xludf.DUMMYFUNCTION("""COMPUTED_VALUE"""),"")</f>
        <v/>
      </c>
      <c r="C1999" s="2" t="str">
        <f ca="1">IFERROR(__xludf.DUMMYFUNCTION("""COMPUTED_VALUE"""),"")</f>
        <v/>
      </c>
      <c r="D1999" s="2" t="str">
        <f ca="1">IFERROR(__xludf.DUMMYFUNCTION("""COMPUTED_VALUE"""),"")</f>
        <v/>
      </c>
      <c r="E1999" s="2" t="str">
        <f ca="1">IFERROR(__xludf.DUMMYFUNCTION("""COMPUTED_VALUE"""),"")</f>
        <v/>
      </c>
    </row>
    <row r="2000" spans="1:5" ht="12.75">
      <c r="A2000" s="2"/>
      <c r="B2000" s="2" t="str">
        <f ca="1">IFERROR(__xludf.DUMMYFUNCTION("""COMPUTED_VALUE"""),"")</f>
        <v/>
      </c>
      <c r="C2000" s="2" t="str">
        <f ca="1">IFERROR(__xludf.DUMMYFUNCTION("""COMPUTED_VALUE"""),"")</f>
        <v/>
      </c>
      <c r="D2000" s="2" t="str">
        <f ca="1">IFERROR(__xludf.DUMMYFUNCTION("""COMPUTED_VALUE"""),"")</f>
        <v/>
      </c>
      <c r="E2000" s="2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A50"/>
  <sheetViews>
    <sheetView showGridLines="0" workbookViewId="0">
      <selection sqref="A1:E1"/>
    </sheetView>
  </sheetViews>
  <sheetFormatPr defaultColWidth="12.5703125" defaultRowHeight="15" customHeight="1"/>
  <cols>
    <col min="1" max="1" width="4.140625" customWidth="1"/>
    <col min="2" max="3" width="20" customWidth="1"/>
    <col min="4" max="5" width="8.85546875" customWidth="1"/>
    <col min="6" max="7" width="12.5703125" customWidth="1"/>
    <col min="8" max="12" width="4.140625" customWidth="1"/>
    <col min="13" max="13" width="5" customWidth="1"/>
    <col min="14" max="14" width="19.42578125" customWidth="1"/>
    <col min="15" max="15" width="21.42578125" customWidth="1"/>
    <col min="16" max="24" width="12.5703125" customWidth="1"/>
    <col min="25" max="27" width="7" customWidth="1"/>
  </cols>
  <sheetData>
    <row r="1" spans="1:27" ht="23.25">
      <c r="A1" s="671" t="s">
        <v>0</v>
      </c>
      <c r="B1" s="672"/>
      <c r="C1" s="672"/>
      <c r="D1" s="672"/>
      <c r="E1" s="672"/>
      <c r="F1" s="3"/>
      <c r="G1" s="673" t="s">
        <v>1</v>
      </c>
      <c r="H1" s="674"/>
      <c r="I1" s="674"/>
      <c r="J1" s="674"/>
      <c r="K1" s="674"/>
      <c r="L1" s="674"/>
      <c r="M1" s="674"/>
      <c r="N1" s="675"/>
      <c r="O1" s="4"/>
      <c r="P1" s="4"/>
      <c r="Q1" s="4"/>
      <c r="R1" s="4"/>
      <c r="S1" s="4"/>
      <c r="T1" s="4"/>
      <c r="U1" s="4"/>
      <c r="V1" s="4"/>
      <c r="W1" s="4"/>
      <c r="X1" s="4"/>
      <c r="Y1" s="3"/>
      <c r="Z1" s="3"/>
      <c r="AA1" s="3"/>
    </row>
    <row r="2" spans="1:27" ht="14.25" customHeight="1">
      <c r="A2" s="5" t="s">
        <v>2</v>
      </c>
      <c r="B2" s="6" t="s">
        <v>3</v>
      </c>
      <c r="C2" s="6" t="s">
        <v>4</v>
      </c>
      <c r="D2" s="7" t="s">
        <v>5</v>
      </c>
      <c r="E2" s="8" t="s">
        <v>6</v>
      </c>
      <c r="F2" s="9"/>
      <c r="G2" s="10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2" t="s">
        <v>13</v>
      </c>
      <c r="N2" s="13" t="s">
        <v>14</v>
      </c>
      <c r="O2" s="4"/>
      <c r="P2" s="4"/>
      <c r="Q2" s="4"/>
      <c r="R2" s="4"/>
      <c r="S2" s="4"/>
      <c r="T2" s="4"/>
      <c r="U2" s="4"/>
      <c r="V2" s="4"/>
      <c r="W2" s="4"/>
      <c r="X2" s="4"/>
      <c r="Y2" s="3"/>
      <c r="Z2" s="3"/>
      <c r="AA2" s="3"/>
    </row>
    <row r="3" spans="1:27" ht="14.25" customHeight="1">
      <c r="A3" s="14"/>
      <c r="B3" s="15"/>
      <c r="C3" s="16"/>
      <c r="D3" s="17"/>
      <c r="E3" s="18"/>
      <c r="F3" s="9"/>
      <c r="G3" s="19" t="s">
        <v>15</v>
      </c>
      <c r="H3" s="20"/>
      <c r="I3" s="20"/>
      <c r="J3" s="21" t="s">
        <v>16</v>
      </c>
      <c r="K3" s="20"/>
      <c r="L3" s="20"/>
      <c r="M3" s="22"/>
      <c r="N3" s="23"/>
      <c r="O3" s="4" t="s">
        <v>17</v>
      </c>
      <c r="P3" s="4"/>
      <c r="Q3" s="4"/>
      <c r="R3" s="4"/>
      <c r="S3" s="4"/>
      <c r="T3" s="4"/>
      <c r="U3" s="4"/>
      <c r="V3" s="4"/>
      <c r="W3" s="4"/>
      <c r="X3" s="4"/>
      <c r="Y3" s="3"/>
      <c r="Z3" s="3"/>
      <c r="AA3" s="3"/>
    </row>
    <row r="4" spans="1:27" ht="14.25" customHeight="1">
      <c r="A4" s="14"/>
      <c r="B4" s="15"/>
      <c r="C4" s="16"/>
      <c r="D4" s="17"/>
      <c r="E4" s="18"/>
      <c r="F4" s="3"/>
      <c r="G4" s="19" t="s">
        <v>18</v>
      </c>
      <c r="H4" s="20"/>
      <c r="I4" s="20"/>
      <c r="J4" s="21" t="s">
        <v>16</v>
      </c>
      <c r="K4" s="20"/>
      <c r="L4" s="20"/>
      <c r="M4" s="22"/>
      <c r="N4" s="23"/>
      <c r="O4" s="4" t="s">
        <v>17</v>
      </c>
      <c r="P4" s="4"/>
      <c r="Q4" s="4"/>
      <c r="R4" s="4"/>
      <c r="S4" s="4"/>
      <c r="T4" s="4"/>
      <c r="U4" s="4"/>
      <c r="V4" s="4"/>
      <c r="W4" s="4"/>
      <c r="X4" s="4"/>
      <c r="Y4" s="3"/>
      <c r="Z4" s="3"/>
      <c r="AA4" s="3"/>
    </row>
    <row r="5" spans="1:27" ht="14.25" customHeight="1">
      <c r="A5" s="14"/>
      <c r="B5" s="15"/>
      <c r="C5" s="16"/>
      <c r="D5" s="17"/>
      <c r="E5" s="18"/>
      <c r="F5" s="3"/>
      <c r="G5" s="19" t="s">
        <v>19</v>
      </c>
      <c r="H5" s="20"/>
      <c r="I5" s="20"/>
      <c r="J5" s="21" t="s">
        <v>16</v>
      </c>
      <c r="K5" s="20"/>
      <c r="L5" s="20"/>
      <c r="M5" s="22"/>
      <c r="N5" s="23"/>
      <c r="O5" s="4" t="s">
        <v>17</v>
      </c>
      <c r="P5" s="4"/>
      <c r="Q5" s="4"/>
      <c r="R5" s="4"/>
      <c r="S5" s="4"/>
      <c r="T5" s="4"/>
      <c r="U5" s="4"/>
      <c r="V5" s="4"/>
      <c r="W5" s="4"/>
      <c r="X5" s="4"/>
      <c r="Y5" s="3"/>
      <c r="Z5" s="3"/>
      <c r="AA5" s="3"/>
    </row>
    <row r="6" spans="1:27" ht="14.25" customHeight="1">
      <c r="A6" s="14"/>
      <c r="B6" s="15"/>
      <c r="C6" s="16"/>
      <c r="D6" s="17"/>
      <c r="E6" s="18"/>
      <c r="F6" s="3"/>
      <c r="G6" s="24" t="s">
        <v>20</v>
      </c>
      <c r="H6" s="25"/>
      <c r="I6" s="26" t="s">
        <v>16</v>
      </c>
      <c r="J6" s="25"/>
      <c r="K6" s="26" t="s">
        <v>21</v>
      </c>
      <c r="L6" s="25"/>
      <c r="M6" s="27"/>
      <c r="N6" s="28"/>
      <c r="O6" s="4"/>
      <c r="P6" s="4"/>
      <c r="Q6" s="4"/>
      <c r="R6" s="4"/>
      <c r="S6" s="4"/>
      <c r="T6" s="4"/>
      <c r="U6" s="4"/>
      <c r="V6" s="4"/>
      <c r="W6" s="4"/>
      <c r="X6" s="4"/>
      <c r="Y6" s="3"/>
      <c r="Z6" s="3"/>
      <c r="AA6" s="3"/>
    </row>
    <row r="7" spans="1:27" ht="14.25" customHeight="1">
      <c r="A7" s="14"/>
      <c r="B7" s="15"/>
      <c r="C7" s="16"/>
      <c r="D7" s="17"/>
      <c r="E7" s="18"/>
      <c r="F7" s="3"/>
      <c r="G7" s="24" t="s">
        <v>22</v>
      </c>
      <c r="H7" s="25"/>
      <c r="I7" s="26" t="s">
        <v>16</v>
      </c>
      <c r="J7" s="25"/>
      <c r="K7" s="26" t="s">
        <v>21</v>
      </c>
      <c r="L7" s="25"/>
      <c r="M7" s="27"/>
      <c r="N7" s="28"/>
      <c r="O7" s="4"/>
      <c r="P7" s="4"/>
      <c r="Q7" s="4"/>
      <c r="R7" s="4"/>
      <c r="S7" s="4"/>
      <c r="T7" s="4"/>
      <c r="U7" s="4"/>
      <c r="V7" s="4"/>
      <c r="W7" s="4"/>
      <c r="X7" s="4"/>
      <c r="Y7" s="3"/>
      <c r="Z7" s="3"/>
      <c r="AA7" s="3"/>
    </row>
    <row r="8" spans="1:27" ht="14.25" customHeight="1">
      <c r="A8" s="14"/>
      <c r="B8" s="15"/>
      <c r="C8" s="16"/>
      <c r="D8" s="17"/>
      <c r="E8" s="18"/>
      <c r="F8" s="3"/>
      <c r="G8" s="29" t="s">
        <v>23</v>
      </c>
      <c r="H8" s="30" t="s">
        <v>16</v>
      </c>
      <c r="I8" s="31"/>
      <c r="J8" s="31"/>
      <c r="K8" s="31"/>
      <c r="L8" s="30" t="s">
        <v>24</v>
      </c>
      <c r="M8" s="32"/>
      <c r="N8" s="33"/>
      <c r="O8" s="4"/>
      <c r="P8" s="4"/>
      <c r="Q8" s="4"/>
      <c r="R8" s="4"/>
      <c r="S8" s="4"/>
      <c r="T8" s="4"/>
      <c r="U8" s="4"/>
      <c r="V8" s="4"/>
      <c r="W8" s="4"/>
      <c r="X8" s="4"/>
      <c r="Y8" s="3"/>
      <c r="Z8" s="3"/>
      <c r="AA8" s="3"/>
    </row>
    <row r="9" spans="1:27" ht="14.25" customHeight="1">
      <c r="A9" s="14"/>
      <c r="B9" s="15"/>
      <c r="C9" s="16"/>
      <c r="D9" s="17"/>
      <c r="E9" s="18"/>
      <c r="F9" s="3"/>
      <c r="G9" s="29" t="s">
        <v>25</v>
      </c>
      <c r="H9" s="30" t="s">
        <v>16</v>
      </c>
      <c r="I9" s="31"/>
      <c r="J9" s="31"/>
      <c r="K9" s="31"/>
      <c r="L9" s="30" t="s">
        <v>24</v>
      </c>
      <c r="M9" s="32"/>
      <c r="N9" s="33"/>
      <c r="O9" s="4"/>
      <c r="P9" s="4"/>
      <c r="Q9" s="4"/>
      <c r="R9" s="4"/>
      <c r="S9" s="4"/>
      <c r="T9" s="4"/>
      <c r="U9" s="4"/>
      <c r="V9" s="4"/>
      <c r="W9" s="4"/>
      <c r="X9" s="4"/>
      <c r="Y9" s="3"/>
      <c r="Z9" s="3"/>
      <c r="AA9" s="3"/>
    </row>
    <row r="10" spans="1:27" ht="14.25" customHeight="1">
      <c r="A10" s="14"/>
      <c r="B10" s="15"/>
      <c r="C10" s="16"/>
      <c r="D10" s="17"/>
      <c r="E10" s="18"/>
      <c r="F10" s="3"/>
      <c r="G10" s="19" t="s">
        <v>26</v>
      </c>
      <c r="H10" s="20"/>
      <c r="I10" s="21" t="s">
        <v>21</v>
      </c>
      <c r="J10" s="20"/>
      <c r="K10" s="20"/>
      <c r="L10" s="20"/>
      <c r="M10" s="34" t="s">
        <v>24</v>
      </c>
      <c r="N10" s="35"/>
      <c r="O10" s="4"/>
      <c r="P10" s="4"/>
      <c r="Q10" s="4"/>
      <c r="R10" s="4"/>
      <c r="S10" s="4"/>
      <c r="T10" s="4"/>
      <c r="U10" s="4"/>
      <c r="V10" s="4"/>
      <c r="W10" s="4"/>
      <c r="X10" s="4"/>
      <c r="Y10" s="3"/>
      <c r="Z10" s="3"/>
      <c r="AA10" s="3"/>
    </row>
    <row r="11" spans="1:27" ht="14.25" customHeight="1">
      <c r="A11" s="36"/>
      <c r="B11" s="15"/>
      <c r="C11" s="16"/>
      <c r="D11" s="17"/>
      <c r="E11" s="18"/>
      <c r="F11" s="3"/>
      <c r="G11" s="19" t="s">
        <v>27</v>
      </c>
      <c r="H11" s="20"/>
      <c r="I11" s="21" t="s">
        <v>21</v>
      </c>
      <c r="J11" s="20"/>
      <c r="K11" s="20"/>
      <c r="L11" s="20"/>
      <c r="M11" s="34" t="s">
        <v>24</v>
      </c>
      <c r="N11" s="35"/>
      <c r="O11" s="4"/>
      <c r="P11" s="4"/>
      <c r="Q11" s="4"/>
      <c r="R11" s="4"/>
      <c r="S11" s="4"/>
      <c r="T11" s="4"/>
      <c r="U11" s="4"/>
      <c r="V11" s="4"/>
      <c r="W11" s="4"/>
      <c r="X11" s="4"/>
      <c r="Y11" s="3"/>
      <c r="Z11" s="3"/>
      <c r="AA11" s="3"/>
    </row>
    <row r="12" spans="1:27" ht="14.25" customHeight="1">
      <c r="A12" s="36"/>
      <c r="B12" s="15"/>
      <c r="C12" s="16"/>
      <c r="D12" s="17"/>
      <c r="E12" s="18"/>
      <c r="F12" s="3"/>
      <c r="G12" s="19" t="s">
        <v>28</v>
      </c>
      <c r="H12" s="20"/>
      <c r="I12" s="21" t="s">
        <v>21</v>
      </c>
      <c r="J12" s="20"/>
      <c r="K12" s="20"/>
      <c r="L12" s="20"/>
      <c r="M12" s="34" t="s">
        <v>24</v>
      </c>
      <c r="N12" s="35"/>
      <c r="O12" s="4"/>
      <c r="P12" s="4"/>
      <c r="Q12" s="4"/>
      <c r="R12" s="4"/>
      <c r="S12" s="4"/>
      <c r="T12" s="4"/>
      <c r="U12" s="4"/>
      <c r="V12" s="4"/>
      <c r="W12" s="4"/>
      <c r="X12" s="4"/>
      <c r="Y12" s="3"/>
      <c r="Z12" s="3"/>
      <c r="AA12" s="3"/>
    </row>
    <row r="13" spans="1:27" ht="14.25" customHeight="1">
      <c r="A13" s="36"/>
      <c r="B13" s="15"/>
      <c r="C13" s="16"/>
      <c r="D13" s="17"/>
      <c r="E13" s="18"/>
      <c r="F13" s="3"/>
      <c r="G13" s="37" t="s">
        <v>29</v>
      </c>
      <c r="H13" s="38" t="s">
        <v>24</v>
      </c>
      <c r="I13" s="39"/>
      <c r="J13" s="39"/>
      <c r="K13" s="38" t="s">
        <v>16</v>
      </c>
      <c r="L13" s="39"/>
      <c r="M13" s="40"/>
      <c r="N13" s="41"/>
      <c r="O13" s="4"/>
      <c r="P13" s="4"/>
      <c r="Q13" s="4"/>
      <c r="R13" s="4"/>
      <c r="S13" s="4"/>
      <c r="T13" s="4"/>
      <c r="U13" s="4"/>
      <c r="V13" s="4"/>
      <c r="W13" s="4"/>
      <c r="X13" s="4"/>
      <c r="Y13" s="3"/>
      <c r="Z13" s="3"/>
      <c r="AA13" s="3"/>
    </row>
    <row r="14" spans="1:27" ht="14.25" customHeight="1">
      <c r="A14" s="36"/>
      <c r="B14" s="42"/>
      <c r="C14" s="16"/>
      <c r="D14" s="17"/>
      <c r="E14" s="18"/>
      <c r="F14" s="3"/>
      <c r="G14" s="37" t="s">
        <v>30</v>
      </c>
      <c r="H14" s="38" t="s">
        <v>24</v>
      </c>
      <c r="I14" s="39"/>
      <c r="J14" s="39"/>
      <c r="K14" s="38" t="s">
        <v>16</v>
      </c>
      <c r="L14" s="39"/>
      <c r="M14" s="40"/>
      <c r="N14" s="41"/>
      <c r="O14" s="4"/>
      <c r="P14" s="4"/>
      <c r="Q14" s="4"/>
      <c r="R14" s="4"/>
      <c r="S14" s="4"/>
      <c r="T14" s="4"/>
      <c r="U14" s="4"/>
      <c r="V14" s="4"/>
      <c r="W14" s="4"/>
      <c r="X14" s="4"/>
      <c r="Y14" s="3"/>
      <c r="Z14" s="3"/>
      <c r="AA14" s="3"/>
    </row>
    <row r="15" spans="1:27" ht="14.25" customHeight="1">
      <c r="A15" s="36"/>
      <c r="B15" s="43"/>
      <c r="C15" s="16"/>
      <c r="D15" s="44"/>
      <c r="E15" s="45"/>
      <c r="F15" s="3"/>
      <c r="G15" s="46" t="s">
        <v>31</v>
      </c>
      <c r="H15" s="47"/>
      <c r="I15" s="47"/>
      <c r="J15" s="47"/>
      <c r="K15" s="47"/>
      <c r="L15" s="48" t="s">
        <v>16</v>
      </c>
      <c r="M15" s="49"/>
      <c r="N15" s="50"/>
      <c r="O15" s="4"/>
      <c r="P15" s="4"/>
      <c r="Q15" s="4"/>
      <c r="R15" s="4"/>
      <c r="S15" s="4"/>
      <c r="T15" s="4"/>
      <c r="U15" s="4"/>
      <c r="V15" s="4"/>
      <c r="W15" s="4"/>
      <c r="X15" s="4"/>
      <c r="Y15" s="3"/>
      <c r="Z15" s="3"/>
      <c r="AA15" s="3"/>
    </row>
    <row r="16" spans="1:27" ht="14.25" customHeight="1">
      <c r="A16" s="36"/>
      <c r="B16" s="51"/>
      <c r="C16" s="52"/>
      <c r="D16" s="51"/>
      <c r="E16" s="45"/>
      <c r="F16" s="3"/>
      <c r="G16" s="46" t="s">
        <v>32</v>
      </c>
      <c r="H16" s="47"/>
      <c r="I16" s="47"/>
      <c r="J16" s="47"/>
      <c r="K16" s="47"/>
      <c r="L16" s="48" t="s">
        <v>16</v>
      </c>
      <c r="M16" s="49"/>
      <c r="N16" s="50"/>
      <c r="O16" s="4"/>
      <c r="P16" s="4"/>
      <c r="Q16" s="4"/>
      <c r="R16" s="4"/>
      <c r="S16" s="4"/>
      <c r="T16" s="4"/>
      <c r="U16" s="4"/>
      <c r="V16" s="4"/>
      <c r="W16" s="4"/>
      <c r="X16" s="4"/>
      <c r="Y16" s="3"/>
      <c r="Z16" s="3"/>
      <c r="AA16" s="3"/>
    </row>
    <row r="17" spans="1:27" ht="14.25" customHeight="1">
      <c r="A17" s="36"/>
      <c r="B17" s="51"/>
      <c r="C17" s="52"/>
      <c r="D17" s="51"/>
      <c r="E17" s="45"/>
      <c r="F17" s="3"/>
      <c r="G17" s="46" t="s">
        <v>33</v>
      </c>
      <c r="H17" s="48" t="s">
        <v>21</v>
      </c>
      <c r="I17" s="47"/>
      <c r="J17" s="48" t="s">
        <v>21</v>
      </c>
      <c r="K17" s="47"/>
      <c r="L17" s="48" t="s">
        <v>16</v>
      </c>
      <c r="M17" s="49"/>
      <c r="N17" s="50"/>
      <c r="O17" s="4"/>
      <c r="P17" s="4"/>
      <c r="Q17" s="4"/>
      <c r="R17" s="4"/>
      <c r="S17" s="4"/>
      <c r="T17" s="4"/>
      <c r="U17" s="4"/>
      <c r="V17" s="4"/>
      <c r="W17" s="4"/>
      <c r="X17" s="4"/>
      <c r="Y17" s="3"/>
      <c r="Z17" s="3"/>
      <c r="AA17" s="3"/>
    </row>
    <row r="18" spans="1:27" ht="14.25" customHeight="1">
      <c r="A18" s="36"/>
      <c r="B18" s="51"/>
      <c r="C18" s="52"/>
      <c r="D18" s="51"/>
      <c r="E18" s="45"/>
      <c r="F18" s="3"/>
      <c r="G18" s="46" t="s">
        <v>34</v>
      </c>
      <c r="H18" s="48" t="s">
        <v>21</v>
      </c>
      <c r="I18" s="47"/>
      <c r="J18" s="48" t="s">
        <v>21</v>
      </c>
      <c r="K18" s="47"/>
      <c r="L18" s="48" t="s">
        <v>16</v>
      </c>
      <c r="M18" s="49"/>
      <c r="N18" s="50"/>
      <c r="O18" s="4"/>
      <c r="P18" s="4"/>
      <c r="Q18" s="4"/>
      <c r="R18" s="4"/>
      <c r="S18" s="4"/>
      <c r="T18" s="4"/>
      <c r="U18" s="4"/>
      <c r="V18" s="4"/>
      <c r="W18" s="4"/>
      <c r="X18" s="4"/>
      <c r="Y18" s="3"/>
      <c r="Z18" s="3"/>
      <c r="AA18" s="3"/>
    </row>
    <row r="19" spans="1:27" ht="14.25" customHeight="1">
      <c r="A19" s="36"/>
      <c r="B19" s="51"/>
      <c r="C19" s="52"/>
      <c r="D19" s="51"/>
      <c r="E19" s="45"/>
      <c r="F19" s="3"/>
      <c r="G19" s="53" t="s">
        <v>35</v>
      </c>
      <c r="H19" s="54"/>
      <c r="I19" s="55" t="s">
        <v>24</v>
      </c>
      <c r="J19" s="54"/>
      <c r="K19" s="54"/>
      <c r="L19" s="54"/>
      <c r="M19" s="56" t="s">
        <v>16</v>
      </c>
      <c r="N19" s="57"/>
      <c r="O19" s="4"/>
      <c r="P19" s="4"/>
      <c r="Q19" s="4"/>
      <c r="R19" s="4"/>
      <c r="S19" s="4"/>
      <c r="T19" s="4"/>
      <c r="U19" s="4"/>
      <c r="V19" s="4"/>
      <c r="W19" s="4"/>
      <c r="X19" s="4"/>
      <c r="Y19" s="3"/>
      <c r="Z19" s="3"/>
      <c r="AA19" s="3"/>
    </row>
    <row r="20" spans="1:27" ht="14.25" customHeight="1">
      <c r="A20" s="36"/>
      <c r="B20" s="51"/>
      <c r="C20" s="52"/>
      <c r="D20" s="51"/>
      <c r="E20" s="45"/>
      <c r="F20" s="3"/>
      <c r="G20" s="53" t="s">
        <v>36</v>
      </c>
      <c r="H20" s="54"/>
      <c r="I20" s="55" t="s">
        <v>24</v>
      </c>
      <c r="J20" s="54"/>
      <c r="K20" s="54"/>
      <c r="L20" s="54"/>
      <c r="M20" s="56" t="s">
        <v>16</v>
      </c>
      <c r="N20" s="57"/>
      <c r="O20" s="4"/>
      <c r="P20" s="4"/>
      <c r="Q20" s="4"/>
      <c r="R20" s="4"/>
      <c r="S20" s="4"/>
      <c r="T20" s="4"/>
      <c r="U20" s="4"/>
      <c r="V20" s="4"/>
      <c r="W20" s="4"/>
      <c r="X20" s="4"/>
      <c r="Y20" s="3"/>
      <c r="Z20" s="3"/>
      <c r="AA20" s="3"/>
    </row>
    <row r="21" spans="1:27" ht="14.25" customHeight="1">
      <c r="A21" s="36"/>
      <c r="B21" s="51"/>
      <c r="C21" s="52"/>
      <c r="D21" s="51"/>
      <c r="E21" s="45"/>
      <c r="F21" s="3"/>
      <c r="G21" s="53" t="s">
        <v>37</v>
      </c>
      <c r="H21" s="54"/>
      <c r="I21" s="55" t="s">
        <v>24</v>
      </c>
      <c r="J21" s="54"/>
      <c r="K21" s="54"/>
      <c r="L21" s="54"/>
      <c r="M21" s="56" t="s">
        <v>16</v>
      </c>
      <c r="N21" s="57"/>
      <c r="O21" s="4"/>
      <c r="P21" s="4"/>
      <c r="Q21" s="4"/>
      <c r="R21" s="4"/>
      <c r="S21" s="4"/>
      <c r="T21" s="4"/>
      <c r="U21" s="4"/>
      <c r="V21" s="4"/>
      <c r="W21" s="4"/>
      <c r="X21" s="4"/>
      <c r="Y21" s="3"/>
      <c r="Z21" s="3"/>
      <c r="AA21" s="3"/>
    </row>
    <row r="22" spans="1:27" ht="14.25" customHeight="1">
      <c r="A22" s="36"/>
      <c r="B22" s="51"/>
      <c r="C22" s="52"/>
      <c r="D22" s="51"/>
      <c r="E22" s="45"/>
      <c r="F22" s="3"/>
      <c r="G22" s="58" t="s">
        <v>38</v>
      </c>
      <c r="H22" s="59"/>
      <c r="I22" s="59"/>
      <c r="J22" s="60" t="s">
        <v>24</v>
      </c>
      <c r="K22" s="59"/>
      <c r="L22" s="59"/>
      <c r="M22" s="61"/>
      <c r="N22" s="62"/>
      <c r="O22" s="4"/>
      <c r="P22" s="4"/>
      <c r="Q22" s="4"/>
      <c r="R22" s="4"/>
      <c r="S22" s="4"/>
      <c r="T22" s="4"/>
      <c r="U22" s="4"/>
      <c r="V22" s="4"/>
      <c r="W22" s="4"/>
      <c r="X22" s="4"/>
      <c r="Y22" s="3"/>
      <c r="Z22" s="3"/>
      <c r="AA22" s="3"/>
    </row>
    <row r="23" spans="1:27" ht="14.25" customHeight="1">
      <c r="A23" s="36"/>
      <c r="B23" s="51"/>
      <c r="C23" s="52"/>
      <c r="D23" s="51"/>
      <c r="E23" s="45"/>
      <c r="F23" s="3"/>
      <c r="G23" s="58" t="s">
        <v>39</v>
      </c>
      <c r="H23" s="59"/>
      <c r="I23" s="59"/>
      <c r="J23" s="60" t="s">
        <v>24</v>
      </c>
      <c r="K23" s="59"/>
      <c r="L23" s="59"/>
      <c r="M23" s="61"/>
      <c r="N23" s="62"/>
      <c r="O23" s="4"/>
      <c r="P23" s="4"/>
      <c r="Q23" s="4"/>
      <c r="R23" s="4"/>
      <c r="S23" s="4"/>
      <c r="T23" s="4"/>
      <c r="U23" s="4"/>
      <c r="V23" s="4"/>
      <c r="W23" s="4"/>
      <c r="X23" s="4"/>
      <c r="Y23" s="3"/>
      <c r="Z23" s="3"/>
      <c r="AA23" s="3"/>
    </row>
    <row r="24" spans="1:27" ht="14.25" customHeight="1">
      <c r="A24" s="36"/>
      <c r="B24" s="51"/>
      <c r="C24" s="52"/>
      <c r="D24" s="51"/>
      <c r="E24" s="45"/>
      <c r="F24" s="3"/>
      <c r="G24" s="58" t="s">
        <v>40</v>
      </c>
      <c r="H24" s="59"/>
      <c r="I24" s="59"/>
      <c r="J24" s="60" t="s">
        <v>24</v>
      </c>
      <c r="K24" s="59"/>
      <c r="L24" s="59"/>
      <c r="M24" s="61"/>
      <c r="N24" s="62"/>
      <c r="O24" s="4"/>
      <c r="P24" s="4"/>
      <c r="Q24" s="4"/>
      <c r="R24" s="4"/>
      <c r="S24" s="4"/>
      <c r="T24" s="4"/>
      <c r="U24" s="4"/>
      <c r="V24" s="4"/>
      <c r="W24" s="4"/>
      <c r="X24" s="4"/>
      <c r="Y24" s="3"/>
      <c r="Z24" s="3"/>
      <c r="AA24" s="3"/>
    </row>
    <row r="25" spans="1:27" ht="14.25" customHeight="1">
      <c r="A25" s="36"/>
      <c r="B25" s="51"/>
      <c r="C25" s="52"/>
      <c r="D25" s="51"/>
      <c r="E25" s="45"/>
      <c r="F25" s="3"/>
      <c r="G25" s="63" t="s">
        <v>41</v>
      </c>
      <c r="H25" s="59"/>
      <c r="I25" s="59"/>
      <c r="J25" s="60" t="s">
        <v>24</v>
      </c>
      <c r="K25" s="59"/>
      <c r="L25" s="59"/>
      <c r="M25" s="61"/>
      <c r="N25" s="62"/>
      <c r="O25" s="4"/>
      <c r="P25" s="4"/>
      <c r="Q25" s="4"/>
      <c r="R25" s="4"/>
      <c r="S25" s="4"/>
      <c r="T25" s="4"/>
      <c r="U25" s="4"/>
      <c r="V25" s="4"/>
      <c r="W25" s="4"/>
      <c r="X25" s="4"/>
      <c r="Y25" s="3"/>
      <c r="Z25" s="3"/>
      <c r="AA25" s="3"/>
    </row>
    <row r="26" spans="1:27" ht="14.25" customHeight="1">
      <c r="A26" s="36"/>
      <c r="B26" s="51"/>
      <c r="C26" s="52"/>
      <c r="D26" s="51"/>
      <c r="E26" s="45"/>
      <c r="F26" s="3"/>
      <c r="G26" s="64" t="s">
        <v>42</v>
      </c>
      <c r="H26" s="65"/>
      <c r="I26" s="65"/>
      <c r="J26" s="65"/>
      <c r="K26" s="66" t="s">
        <v>24</v>
      </c>
      <c r="L26" s="65"/>
      <c r="M26" s="67"/>
      <c r="N26" s="68"/>
      <c r="O26" s="4" t="s">
        <v>17</v>
      </c>
      <c r="P26" s="4"/>
      <c r="Q26" s="4"/>
      <c r="R26" s="4"/>
      <c r="S26" s="4"/>
      <c r="T26" s="4"/>
      <c r="U26" s="4"/>
      <c r="V26" s="4"/>
      <c r="W26" s="4"/>
      <c r="X26" s="4"/>
      <c r="Y26" s="3"/>
      <c r="Z26" s="3"/>
      <c r="AA26" s="3"/>
    </row>
    <row r="27" spans="1:27" ht="14.25" customHeight="1">
      <c r="A27" s="36"/>
      <c r="B27" s="51"/>
      <c r="C27" s="52"/>
      <c r="D27" s="51"/>
      <c r="E27" s="45"/>
      <c r="F27" s="3"/>
      <c r="G27" s="64" t="s">
        <v>43</v>
      </c>
      <c r="H27" s="65"/>
      <c r="I27" s="65"/>
      <c r="J27" s="65"/>
      <c r="K27" s="66" t="s">
        <v>24</v>
      </c>
      <c r="L27" s="65"/>
      <c r="M27" s="67"/>
      <c r="N27" s="68"/>
      <c r="O27" s="4" t="s">
        <v>17</v>
      </c>
      <c r="P27" s="4"/>
      <c r="Q27" s="4"/>
      <c r="R27" s="4"/>
      <c r="S27" s="4"/>
      <c r="T27" s="4"/>
      <c r="U27" s="4"/>
      <c r="V27" s="4"/>
      <c r="W27" s="4"/>
      <c r="X27" s="4"/>
      <c r="Y27" s="3"/>
      <c r="Z27" s="3"/>
      <c r="AA27" s="3"/>
    </row>
    <row r="28" spans="1:27" ht="14.25" customHeight="1">
      <c r="A28" s="36"/>
      <c r="B28" s="51"/>
      <c r="C28" s="52"/>
      <c r="D28" s="51"/>
      <c r="E28" s="45"/>
      <c r="F28" s="3"/>
      <c r="G28" s="64" t="s">
        <v>44</v>
      </c>
      <c r="H28" s="65"/>
      <c r="I28" s="65"/>
      <c r="J28" s="65"/>
      <c r="K28" s="66" t="s">
        <v>24</v>
      </c>
      <c r="L28" s="65"/>
      <c r="M28" s="67"/>
      <c r="N28" s="68"/>
      <c r="O28" s="4" t="s">
        <v>17</v>
      </c>
      <c r="P28" s="4"/>
      <c r="Q28" s="4"/>
      <c r="R28" s="4"/>
      <c r="S28" s="4"/>
      <c r="T28" s="4"/>
      <c r="U28" s="4"/>
      <c r="V28" s="4"/>
      <c r="W28" s="4"/>
      <c r="X28" s="4"/>
      <c r="Y28" s="3"/>
      <c r="Z28" s="3"/>
      <c r="AA28" s="3"/>
    </row>
    <row r="29" spans="1:27" ht="14.25" customHeight="1">
      <c r="A29" s="69"/>
      <c r="B29" s="70"/>
      <c r="C29" s="71"/>
      <c r="D29" s="70"/>
      <c r="E29" s="72"/>
      <c r="F29" s="3"/>
      <c r="G29" s="73" t="s">
        <v>45</v>
      </c>
      <c r="H29" s="74"/>
      <c r="I29" s="74"/>
      <c r="J29" s="74"/>
      <c r="K29" s="75" t="s">
        <v>24</v>
      </c>
      <c r="L29" s="74"/>
      <c r="M29" s="76"/>
      <c r="N29" s="77"/>
      <c r="O29" s="4"/>
      <c r="P29" s="4"/>
      <c r="Q29" s="4"/>
      <c r="R29" s="4"/>
      <c r="S29" s="4"/>
      <c r="T29" s="4"/>
      <c r="U29" s="4"/>
      <c r="V29" s="4"/>
      <c r="W29" s="4"/>
      <c r="X29" s="4"/>
      <c r="Y29" s="3"/>
      <c r="Z29" s="3"/>
      <c r="AA29" s="3"/>
    </row>
    <row r="30" spans="1:27" ht="14.25" customHeight="1">
      <c r="A30" s="69"/>
      <c r="B30" s="70"/>
      <c r="C30" s="71"/>
      <c r="D30" s="70"/>
      <c r="E30" s="72"/>
      <c r="F30" s="3"/>
      <c r="G30" s="3"/>
      <c r="H30" s="3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3"/>
      <c r="Z30" s="3"/>
      <c r="AA30" s="3"/>
    </row>
    <row r="31" spans="1:27" ht="14.25" customHeight="1">
      <c r="A31" s="69"/>
      <c r="B31" s="70"/>
      <c r="C31" s="71"/>
      <c r="D31" s="70"/>
      <c r="E31" s="72"/>
      <c r="F31" s="3"/>
      <c r="G31" s="3"/>
      <c r="H31" s="3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3"/>
      <c r="Z31" s="3"/>
      <c r="AA31" s="3"/>
    </row>
    <row r="32" spans="1:27" ht="15.75">
      <c r="A32" s="69"/>
      <c r="B32" s="70"/>
      <c r="C32" s="71"/>
      <c r="D32" s="70"/>
      <c r="E32" s="72"/>
      <c r="F32" s="3"/>
      <c r="G32" s="78" t="s">
        <v>46</v>
      </c>
      <c r="H32" s="676" t="s">
        <v>47</v>
      </c>
      <c r="I32" s="669"/>
      <c r="J32" s="669"/>
      <c r="K32" s="669"/>
      <c r="L32" s="669"/>
      <c r="M32" s="670"/>
      <c r="N32" s="79" t="s">
        <v>48</v>
      </c>
      <c r="O32" s="80" t="s">
        <v>49</v>
      </c>
      <c r="P32" s="4"/>
      <c r="Q32" s="4"/>
      <c r="R32" s="4"/>
      <c r="S32" s="4"/>
      <c r="T32" s="4"/>
      <c r="U32" s="4"/>
      <c r="V32" s="4"/>
      <c r="W32" s="4"/>
      <c r="X32" s="4"/>
      <c r="Y32" s="3"/>
      <c r="Z32" s="3"/>
      <c r="AA32" s="3"/>
    </row>
    <row r="33" spans="1:27" ht="15.75">
      <c r="A33" s="69"/>
      <c r="B33" s="70"/>
      <c r="C33" s="71"/>
      <c r="D33" s="70"/>
      <c r="E33" s="72"/>
      <c r="F33" s="3"/>
      <c r="G33" s="81" t="s">
        <v>50</v>
      </c>
      <c r="H33" s="668" t="s">
        <v>51</v>
      </c>
      <c r="I33" s="669"/>
      <c r="J33" s="669"/>
      <c r="K33" s="669"/>
      <c r="L33" s="669"/>
      <c r="M33" s="670"/>
      <c r="N33" s="81"/>
      <c r="O33" s="82" t="s">
        <v>52</v>
      </c>
      <c r="P33" s="83"/>
      <c r="Q33" s="4"/>
      <c r="R33" s="4"/>
      <c r="S33" s="4"/>
      <c r="T33" s="4"/>
      <c r="U33" s="4"/>
      <c r="V33" s="4"/>
      <c r="W33" s="4"/>
      <c r="X33" s="4"/>
      <c r="Y33" s="3"/>
      <c r="Z33" s="3"/>
      <c r="AA33" s="3"/>
    </row>
    <row r="34" spans="1:27" ht="15.75">
      <c r="A34" s="69"/>
      <c r="B34" s="70"/>
      <c r="C34" s="71"/>
      <c r="D34" s="70"/>
      <c r="E34" s="72"/>
      <c r="F34" s="4"/>
      <c r="G34" s="81" t="s">
        <v>53</v>
      </c>
      <c r="H34" s="668" t="s">
        <v>54</v>
      </c>
      <c r="I34" s="669"/>
      <c r="J34" s="669"/>
      <c r="K34" s="669"/>
      <c r="L34" s="669"/>
      <c r="M34" s="670"/>
      <c r="N34" s="81"/>
      <c r="O34" s="82" t="s">
        <v>52</v>
      </c>
      <c r="P34" s="83"/>
      <c r="Q34" s="4"/>
      <c r="R34" s="4"/>
      <c r="S34" s="4"/>
      <c r="T34" s="4"/>
      <c r="U34" s="4"/>
      <c r="V34" s="4"/>
      <c r="W34" s="4"/>
      <c r="X34" s="4"/>
      <c r="Y34" s="3"/>
      <c r="Z34" s="3"/>
      <c r="AA34" s="3"/>
    </row>
    <row r="35" spans="1:27" ht="15.75">
      <c r="A35" s="69"/>
      <c r="B35" s="70"/>
      <c r="C35" s="71"/>
      <c r="D35" s="70"/>
      <c r="E35" s="72"/>
      <c r="F35" s="4"/>
      <c r="G35" s="81" t="s">
        <v>55</v>
      </c>
      <c r="H35" s="668" t="s">
        <v>56</v>
      </c>
      <c r="I35" s="669"/>
      <c r="J35" s="669"/>
      <c r="K35" s="669"/>
      <c r="L35" s="669"/>
      <c r="M35" s="670"/>
      <c r="N35" s="81"/>
      <c r="O35" s="82" t="s">
        <v>52</v>
      </c>
      <c r="P35" s="83"/>
      <c r="Q35" s="4"/>
      <c r="R35" s="4"/>
      <c r="S35" s="4"/>
      <c r="T35" s="4"/>
      <c r="U35" s="4"/>
      <c r="V35" s="4"/>
      <c r="W35" s="4"/>
      <c r="X35" s="4"/>
      <c r="Y35" s="3"/>
      <c r="Z35" s="3"/>
      <c r="AA35" s="3"/>
    </row>
    <row r="36" spans="1:27" ht="15.75">
      <c r="A36" s="69"/>
      <c r="B36" s="70"/>
      <c r="C36" s="71"/>
      <c r="D36" s="70"/>
      <c r="E36" s="72"/>
      <c r="F36" s="4"/>
      <c r="G36" s="81" t="s">
        <v>57</v>
      </c>
      <c r="H36" s="668" t="s">
        <v>58</v>
      </c>
      <c r="I36" s="669"/>
      <c r="J36" s="669"/>
      <c r="K36" s="669"/>
      <c r="L36" s="669"/>
      <c r="M36" s="670"/>
      <c r="N36" s="81"/>
      <c r="O36" s="82" t="s">
        <v>59</v>
      </c>
      <c r="P36" s="83"/>
      <c r="Q36" s="4"/>
      <c r="R36" s="4"/>
      <c r="S36" s="4"/>
      <c r="T36" s="4"/>
      <c r="U36" s="4"/>
      <c r="V36" s="4"/>
      <c r="W36" s="4"/>
      <c r="X36" s="4"/>
      <c r="Y36" s="3"/>
      <c r="Z36" s="3"/>
      <c r="AA36" s="3"/>
    </row>
    <row r="37" spans="1:27" ht="15.75">
      <c r="A37" s="69"/>
      <c r="B37" s="70"/>
      <c r="C37" s="71"/>
      <c r="D37" s="70"/>
      <c r="E37" s="72"/>
      <c r="F37" s="4"/>
      <c r="G37" s="81" t="s">
        <v>60</v>
      </c>
      <c r="H37" s="668" t="s">
        <v>61</v>
      </c>
      <c r="I37" s="669"/>
      <c r="J37" s="669"/>
      <c r="K37" s="669"/>
      <c r="L37" s="669"/>
      <c r="M37" s="670"/>
      <c r="N37" s="81"/>
      <c r="O37" s="82" t="s">
        <v>59</v>
      </c>
      <c r="P37" s="83"/>
      <c r="Q37" s="4"/>
      <c r="R37" s="4"/>
      <c r="S37" s="4"/>
      <c r="T37" s="4"/>
      <c r="U37" s="4"/>
      <c r="V37" s="4"/>
      <c r="W37" s="4"/>
      <c r="X37" s="4"/>
      <c r="Y37" s="3"/>
      <c r="Z37" s="3"/>
      <c r="AA37" s="3"/>
    </row>
    <row r="38" spans="1:27" ht="15.75">
      <c r="A38" s="69"/>
      <c r="B38" s="70"/>
      <c r="C38" s="71"/>
      <c r="D38" s="70"/>
      <c r="E38" s="72"/>
      <c r="F38" s="4"/>
      <c r="G38" s="81" t="s">
        <v>62</v>
      </c>
      <c r="H38" s="668" t="s">
        <v>63</v>
      </c>
      <c r="I38" s="669"/>
      <c r="J38" s="669"/>
      <c r="K38" s="669"/>
      <c r="L38" s="669"/>
      <c r="M38" s="670"/>
      <c r="N38" s="81"/>
      <c r="O38" s="82" t="s">
        <v>59</v>
      </c>
      <c r="P38" s="83"/>
      <c r="Q38" s="4"/>
      <c r="R38" s="4"/>
      <c r="S38" s="4"/>
      <c r="T38" s="4"/>
      <c r="U38" s="4"/>
      <c r="V38" s="4"/>
      <c r="W38" s="4"/>
      <c r="X38" s="4"/>
      <c r="Y38" s="3"/>
      <c r="Z38" s="3"/>
      <c r="AA38" s="3"/>
    </row>
    <row r="39" spans="1:27" ht="15.75">
      <c r="A39" s="69"/>
      <c r="B39" s="70"/>
      <c r="C39" s="71"/>
      <c r="D39" s="70"/>
      <c r="E39" s="72"/>
      <c r="F39" s="4"/>
      <c r="G39" s="81" t="s">
        <v>64</v>
      </c>
      <c r="H39" s="668" t="s">
        <v>65</v>
      </c>
      <c r="I39" s="669"/>
      <c r="J39" s="669"/>
      <c r="K39" s="669"/>
      <c r="L39" s="669"/>
      <c r="M39" s="670"/>
      <c r="N39" s="81"/>
      <c r="O39" s="82" t="s">
        <v>59</v>
      </c>
      <c r="P39" s="83"/>
      <c r="Q39" s="4"/>
      <c r="R39" s="4"/>
      <c r="S39" s="4"/>
      <c r="T39" s="4"/>
      <c r="U39" s="4"/>
      <c r="V39" s="4"/>
      <c r="W39" s="4"/>
      <c r="X39" s="4"/>
      <c r="Y39" s="3"/>
      <c r="Z39" s="3"/>
      <c r="AA39" s="3"/>
    </row>
    <row r="40" spans="1:27" ht="15.75">
      <c r="A40" s="69"/>
      <c r="B40" s="70"/>
      <c r="C40" s="71"/>
      <c r="D40" s="70"/>
      <c r="E40" s="72"/>
      <c r="F40" s="4"/>
      <c r="G40" s="81" t="s">
        <v>66</v>
      </c>
      <c r="H40" s="668" t="s">
        <v>67</v>
      </c>
      <c r="I40" s="669"/>
      <c r="J40" s="669"/>
      <c r="K40" s="669"/>
      <c r="L40" s="669"/>
      <c r="M40" s="670"/>
      <c r="N40" s="81"/>
      <c r="O40" s="82" t="s">
        <v>59</v>
      </c>
      <c r="P40" s="83"/>
      <c r="Q40" s="4"/>
      <c r="R40" s="4"/>
      <c r="S40" s="4"/>
      <c r="T40" s="4"/>
      <c r="U40" s="4"/>
      <c r="V40" s="4"/>
      <c r="W40" s="4"/>
      <c r="X40" s="4"/>
      <c r="Y40" s="3"/>
      <c r="Z40" s="3"/>
      <c r="AA40" s="3"/>
    </row>
    <row r="41" spans="1:27" ht="15.75">
      <c r="A41" s="69"/>
      <c r="B41" s="70"/>
      <c r="C41" s="71"/>
      <c r="D41" s="70"/>
      <c r="E41" s="72"/>
      <c r="F41" s="4"/>
      <c r="G41" s="81" t="s">
        <v>68</v>
      </c>
      <c r="H41" s="668" t="s">
        <v>69</v>
      </c>
      <c r="I41" s="669"/>
      <c r="J41" s="669"/>
      <c r="K41" s="669"/>
      <c r="L41" s="669"/>
      <c r="M41" s="670"/>
      <c r="N41" s="81"/>
      <c r="O41" s="82" t="s">
        <v>59</v>
      </c>
      <c r="P41" s="83"/>
      <c r="Q41" s="4"/>
      <c r="R41" s="4"/>
      <c r="S41" s="4"/>
      <c r="T41" s="4"/>
      <c r="U41" s="4"/>
      <c r="V41" s="4"/>
      <c r="W41" s="4"/>
      <c r="X41" s="4"/>
      <c r="Y41" s="3"/>
      <c r="Z41" s="3"/>
      <c r="AA41" s="3"/>
    </row>
    <row r="42" spans="1:27" ht="15.75">
      <c r="A42" s="69"/>
      <c r="B42" s="70"/>
      <c r="C42" s="71"/>
      <c r="D42" s="70"/>
      <c r="E42" s="72"/>
      <c r="F42" s="4"/>
      <c r="G42" s="81" t="s">
        <v>70</v>
      </c>
      <c r="H42" s="668" t="s">
        <v>71</v>
      </c>
      <c r="I42" s="669"/>
      <c r="J42" s="669"/>
      <c r="K42" s="669"/>
      <c r="L42" s="669"/>
      <c r="M42" s="670"/>
      <c r="N42" s="81"/>
      <c r="O42" s="82" t="s">
        <v>72</v>
      </c>
      <c r="P42" s="83"/>
      <c r="Q42" s="4"/>
      <c r="R42" s="4"/>
      <c r="S42" s="4"/>
      <c r="T42" s="4"/>
      <c r="U42" s="4"/>
      <c r="V42" s="4"/>
      <c r="W42" s="4"/>
      <c r="X42" s="4"/>
      <c r="Y42" s="3"/>
      <c r="Z42" s="3"/>
      <c r="AA42" s="3"/>
    </row>
    <row r="43" spans="1:27" ht="15.75">
      <c r="A43" s="69"/>
      <c r="B43" s="70"/>
      <c r="C43" s="71"/>
      <c r="D43" s="70"/>
      <c r="E43" s="72"/>
      <c r="F43" s="4"/>
      <c r="G43" s="81" t="s">
        <v>73</v>
      </c>
      <c r="H43" s="668" t="s">
        <v>74</v>
      </c>
      <c r="I43" s="669"/>
      <c r="J43" s="669"/>
      <c r="K43" s="669"/>
      <c r="L43" s="669"/>
      <c r="M43" s="670"/>
      <c r="N43" s="81"/>
      <c r="O43" s="82" t="s">
        <v>72</v>
      </c>
      <c r="P43" s="83"/>
      <c r="Q43" s="4"/>
      <c r="R43" s="4"/>
      <c r="S43" s="4"/>
      <c r="T43" s="4"/>
      <c r="U43" s="4"/>
      <c r="V43" s="4"/>
      <c r="W43" s="4"/>
      <c r="X43" s="4"/>
      <c r="Y43" s="3"/>
      <c r="Z43" s="3"/>
      <c r="AA43" s="3"/>
    </row>
    <row r="44" spans="1:27" ht="15.75">
      <c r="A44" s="69"/>
      <c r="B44" s="70"/>
      <c r="C44" s="71"/>
      <c r="D44" s="70"/>
      <c r="E44" s="72"/>
      <c r="F44" s="4"/>
      <c r="G44" s="81" t="s">
        <v>75</v>
      </c>
      <c r="H44" s="668" t="s">
        <v>76</v>
      </c>
      <c r="I44" s="669"/>
      <c r="J44" s="669"/>
      <c r="K44" s="669"/>
      <c r="L44" s="669"/>
      <c r="M44" s="670"/>
      <c r="N44" s="81"/>
      <c r="O44" s="82" t="s">
        <v>72</v>
      </c>
      <c r="P44" s="83"/>
      <c r="Q44" s="4"/>
      <c r="R44" s="4"/>
      <c r="S44" s="4"/>
      <c r="T44" s="4"/>
      <c r="U44" s="4"/>
      <c r="V44" s="4"/>
      <c r="W44" s="4"/>
      <c r="X44" s="4"/>
      <c r="Y44" s="3"/>
      <c r="Z44" s="3"/>
      <c r="AA44" s="3"/>
    </row>
    <row r="45" spans="1:27" ht="15.75">
      <c r="A45" s="69"/>
      <c r="B45" s="70"/>
      <c r="C45" s="71"/>
      <c r="D45" s="70"/>
      <c r="E45" s="72"/>
      <c r="F45" s="4"/>
      <c r="G45" s="4"/>
      <c r="H45" s="4"/>
      <c r="I45" s="4"/>
      <c r="J45" s="4"/>
      <c r="K45" s="4"/>
      <c r="L45" s="4"/>
      <c r="M45" s="4"/>
      <c r="N45" s="4"/>
      <c r="O45" s="83"/>
      <c r="P45" s="83"/>
      <c r="Q45" s="4"/>
      <c r="R45" s="4"/>
      <c r="S45" s="4"/>
      <c r="T45" s="4"/>
      <c r="U45" s="4"/>
      <c r="V45" s="4"/>
      <c r="W45" s="4"/>
      <c r="X45" s="4"/>
      <c r="Y45" s="3"/>
      <c r="Z45" s="3"/>
      <c r="AA45" s="3"/>
    </row>
    <row r="46" spans="1:27" ht="14.25" customHeight="1">
      <c r="A46" s="69"/>
      <c r="B46" s="70"/>
      <c r="C46" s="71"/>
      <c r="D46" s="70"/>
      <c r="E46" s="72"/>
      <c r="F46" s="4"/>
      <c r="G46" s="4"/>
      <c r="H46" s="4"/>
      <c r="I46" s="4"/>
      <c r="J46" s="4"/>
      <c r="K46" s="4"/>
      <c r="L46" s="4"/>
      <c r="M46" s="4"/>
      <c r="N46" s="4"/>
      <c r="O46" s="83"/>
      <c r="P46" s="83"/>
      <c r="Q46" s="4"/>
      <c r="R46" s="4"/>
      <c r="S46" s="4"/>
      <c r="T46" s="4"/>
      <c r="U46" s="4"/>
      <c r="V46" s="4"/>
      <c r="W46" s="4"/>
      <c r="X46" s="4"/>
      <c r="Y46" s="3"/>
      <c r="Z46" s="3"/>
      <c r="AA46" s="3"/>
    </row>
    <row r="47" spans="1:27" ht="14.25" customHeight="1">
      <c r="A47" s="69"/>
      <c r="B47" s="70"/>
      <c r="C47" s="71"/>
      <c r="D47" s="70"/>
      <c r="E47" s="72"/>
      <c r="F47" s="4"/>
      <c r="G47" s="4"/>
      <c r="H47" s="4"/>
      <c r="I47" s="4"/>
      <c r="J47" s="4"/>
      <c r="K47" s="4"/>
      <c r="L47" s="4"/>
      <c r="M47" s="4"/>
      <c r="N47" s="4"/>
      <c r="O47" s="4"/>
      <c r="P47" s="83"/>
      <c r="Q47" s="4"/>
      <c r="R47" s="4"/>
      <c r="S47" s="4"/>
      <c r="T47" s="4"/>
      <c r="U47" s="4"/>
      <c r="V47" s="4"/>
      <c r="W47" s="4"/>
      <c r="X47" s="4"/>
      <c r="Y47" s="3"/>
      <c r="Z47" s="3"/>
      <c r="AA47" s="3"/>
    </row>
    <row r="48" spans="1:27" ht="14.25" customHeight="1">
      <c r="A48" s="69"/>
      <c r="B48" s="70"/>
      <c r="C48" s="71"/>
      <c r="D48" s="70"/>
      <c r="E48" s="72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3"/>
      <c r="Z48" s="3"/>
      <c r="AA48" s="3"/>
    </row>
    <row r="49" spans="1:27" ht="14.25" customHeight="1">
      <c r="A49" s="69"/>
      <c r="B49" s="70"/>
      <c r="C49" s="71"/>
      <c r="D49" s="70"/>
      <c r="E49" s="72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3"/>
      <c r="Z49" s="3"/>
      <c r="AA49" s="3"/>
    </row>
    <row r="50" spans="1:27" ht="14.25" customHeight="1">
      <c r="A50" s="69"/>
      <c r="B50" s="70"/>
      <c r="C50" s="71"/>
      <c r="D50" s="70"/>
      <c r="E50" s="72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3"/>
      <c r="Z50" s="3"/>
      <c r="AA50" s="3"/>
    </row>
  </sheetData>
  <mergeCells count="15">
    <mergeCell ref="H42:M42"/>
    <mergeCell ref="H43:M43"/>
    <mergeCell ref="H44:M44"/>
    <mergeCell ref="A1:E1"/>
    <mergeCell ref="G1:N1"/>
    <mergeCell ref="H32:M32"/>
    <mergeCell ref="H33:M33"/>
    <mergeCell ref="H34:M34"/>
    <mergeCell ref="H35:M35"/>
    <mergeCell ref="H36:M36"/>
    <mergeCell ref="H37:M37"/>
    <mergeCell ref="H38:M38"/>
    <mergeCell ref="H39:M39"/>
    <mergeCell ref="H40:M40"/>
    <mergeCell ref="H41:M4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S109"/>
  <sheetViews>
    <sheetView showGridLines="0" workbookViewId="0">
      <selection activeCell="C32" sqref="C32:D32"/>
    </sheetView>
  </sheetViews>
  <sheetFormatPr defaultColWidth="12.5703125" defaultRowHeight="15" customHeight="1"/>
  <cols>
    <col min="1" max="1" width="4.42578125" customWidth="1"/>
    <col min="2" max="2" width="10.85546875" customWidth="1"/>
    <col min="3" max="3" width="11.5703125" customWidth="1"/>
    <col min="4" max="4" width="18.5703125" customWidth="1"/>
    <col min="5" max="5" width="9.28515625" customWidth="1"/>
    <col min="6" max="6" width="10.42578125" customWidth="1"/>
    <col min="7" max="9" width="13.42578125" customWidth="1"/>
    <col min="10" max="10" width="11.42578125" customWidth="1"/>
    <col min="11" max="13" width="12.7109375" customWidth="1"/>
    <col min="14" max="14" width="11.42578125" customWidth="1"/>
    <col min="15" max="17" width="12.85546875" customWidth="1"/>
    <col min="18" max="18" width="9.85546875" customWidth="1"/>
    <col min="19" max="19" width="7.7109375" hidden="1" customWidth="1"/>
  </cols>
  <sheetData>
    <row r="1" spans="1:19">
      <c r="A1" s="84"/>
      <c r="B1" s="84"/>
      <c r="C1" s="84"/>
      <c r="D1" s="84"/>
      <c r="E1" s="84"/>
      <c r="F1" s="84"/>
      <c r="G1" s="85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</row>
    <row r="2" spans="1:19">
      <c r="A2" s="86"/>
      <c r="B2" s="86"/>
      <c r="C2" s="86"/>
      <c r="D2" s="86"/>
      <c r="E2" s="703" t="s">
        <v>77</v>
      </c>
      <c r="F2" s="704"/>
      <c r="G2" s="704"/>
      <c r="H2" s="704"/>
      <c r="I2" s="704"/>
      <c r="J2" s="704"/>
      <c r="K2" s="704"/>
      <c r="L2" s="705"/>
      <c r="M2" s="86"/>
      <c r="N2" s="86"/>
      <c r="O2" s="86"/>
      <c r="P2" s="86"/>
      <c r="Q2" s="86"/>
      <c r="R2" s="86"/>
      <c r="S2" s="86"/>
    </row>
    <row r="3" spans="1:19">
      <c r="A3" s="86"/>
      <c r="B3" s="86"/>
      <c r="C3" s="86"/>
      <c r="D3" s="86"/>
      <c r="E3" s="706"/>
      <c r="F3" s="707"/>
      <c r="G3" s="707"/>
      <c r="H3" s="707"/>
      <c r="I3" s="707"/>
      <c r="J3" s="707"/>
      <c r="K3" s="707"/>
      <c r="L3" s="708"/>
      <c r="M3" s="86"/>
      <c r="N3" s="86"/>
      <c r="O3" s="86"/>
      <c r="P3" s="86"/>
      <c r="Q3" s="86"/>
      <c r="R3" s="86"/>
      <c r="S3" s="86"/>
    </row>
    <row r="4" spans="1:19">
      <c r="A4" s="87"/>
      <c r="B4" s="86"/>
      <c r="C4" s="86"/>
      <c r="D4" s="86"/>
      <c r="E4" s="86"/>
      <c r="F4" s="86"/>
      <c r="G4" s="88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</row>
    <row r="5" spans="1:19">
      <c r="A5" s="683" t="s">
        <v>78</v>
      </c>
      <c r="B5" s="684"/>
      <c r="C5" s="684"/>
      <c r="D5" s="694"/>
      <c r="E5" s="711" t="s">
        <v>79</v>
      </c>
      <c r="F5" s="712" t="s">
        <v>80</v>
      </c>
      <c r="G5" s="713"/>
      <c r="H5" s="713"/>
      <c r="I5" s="714"/>
      <c r="J5" s="715" t="s">
        <v>81</v>
      </c>
      <c r="K5" s="713"/>
      <c r="L5" s="713"/>
      <c r="M5" s="714"/>
      <c r="N5" s="716" t="s">
        <v>82</v>
      </c>
      <c r="O5" s="713"/>
      <c r="P5" s="713"/>
      <c r="Q5" s="714"/>
      <c r="R5" s="86"/>
      <c r="S5" s="86"/>
    </row>
    <row r="6" spans="1:19">
      <c r="A6" s="709"/>
      <c r="B6" s="710"/>
      <c r="C6" s="710"/>
      <c r="D6" s="678"/>
      <c r="E6" s="678"/>
      <c r="F6" s="90" t="s">
        <v>83</v>
      </c>
      <c r="G6" s="91" t="s">
        <v>84</v>
      </c>
      <c r="H6" s="92" t="s">
        <v>85</v>
      </c>
      <c r="I6" s="93" t="s">
        <v>86</v>
      </c>
      <c r="J6" s="94" t="s">
        <v>83</v>
      </c>
      <c r="K6" s="95" t="s">
        <v>84</v>
      </c>
      <c r="L6" s="96" t="s">
        <v>85</v>
      </c>
      <c r="M6" s="97" t="s">
        <v>86</v>
      </c>
      <c r="N6" s="98" t="s">
        <v>83</v>
      </c>
      <c r="O6" s="99" t="s">
        <v>84</v>
      </c>
      <c r="P6" s="100" t="s">
        <v>85</v>
      </c>
      <c r="Q6" s="101" t="s">
        <v>86</v>
      </c>
      <c r="R6" s="86"/>
      <c r="S6" s="86"/>
    </row>
    <row r="7" spans="1:19">
      <c r="A7" s="717" t="s">
        <v>87</v>
      </c>
      <c r="B7" s="718"/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9"/>
      <c r="R7" s="86"/>
      <c r="S7" s="86"/>
    </row>
    <row r="8" spans="1:19">
      <c r="A8" s="102">
        <v>1</v>
      </c>
      <c r="B8" s="103" t="s">
        <v>88</v>
      </c>
      <c r="C8" s="720" t="s">
        <v>89</v>
      </c>
      <c r="D8" s="680"/>
      <c r="E8" s="104"/>
      <c r="F8" s="104">
        <v>480000</v>
      </c>
      <c r="G8" s="104">
        <v>450000</v>
      </c>
      <c r="H8" s="104"/>
      <c r="I8" s="105"/>
      <c r="J8" s="104">
        <f t="shared" ref="J8:M8" si="0">IF(ISBLANK(F8),,ROUND(F8/1.1,-1))</f>
        <v>436360</v>
      </c>
      <c r="K8" s="104">
        <f t="shared" si="0"/>
        <v>409090</v>
      </c>
      <c r="L8" s="104">
        <f t="shared" si="0"/>
        <v>0</v>
      </c>
      <c r="M8" s="105">
        <f t="shared" si="0"/>
        <v>0</v>
      </c>
      <c r="N8" s="104">
        <f t="shared" ref="N8:Q8" si="1">IF(ISBLANK(F8),,ROUND(F8*(1-$S8),-1))</f>
        <v>480000</v>
      </c>
      <c r="O8" s="104">
        <f t="shared" si="1"/>
        <v>450000</v>
      </c>
      <c r="P8" s="104">
        <f t="shared" si="1"/>
        <v>0</v>
      </c>
      <c r="Q8" s="105">
        <f t="shared" si="1"/>
        <v>0</v>
      </c>
      <c r="R8" s="86"/>
      <c r="S8" s="86"/>
    </row>
    <row r="9" spans="1:19">
      <c r="A9" s="102">
        <v>2</v>
      </c>
      <c r="B9" s="103" t="s">
        <v>90</v>
      </c>
      <c r="C9" s="720" t="s">
        <v>91</v>
      </c>
      <c r="D9" s="680"/>
      <c r="E9" s="104"/>
      <c r="F9" s="104">
        <f t="shared" ref="F9:H9" si="2">G9+20000</f>
        <v>1460000</v>
      </c>
      <c r="G9" s="104">
        <f t="shared" si="2"/>
        <v>1440000</v>
      </c>
      <c r="H9" s="104">
        <f t="shared" si="2"/>
        <v>1420000</v>
      </c>
      <c r="I9" s="105">
        <v>1400000</v>
      </c>
      <c r="J9" s="104">
        <f t="shared" ref="J9:M9" si="3">IF(ISBLANK(F9),,ROUND(F9/1.1,-1))</f>
        <v>1327270</v>
      </c>
      <c r="K9" s="104">
        <f t="shared" si="3"/>
        <v>1309090</v>
      </c>
      <c r="L9" s="104">
        <f t="shared" si="3"/>
        <v>1290910</v>
      </c>
      <c r="M9" s="105">
        <f t="shared" si="3"/>
        <v>1272730</v>
      </c>
      <c r="N9" s="104">
        <f t="shared" ref="N9:Q9" si="4">IF(ISBLANK(F9),,ROUND(F9*(1-$S9),-1))</f>
        <v>1460000</v>
      </c>
      <c r="O9" s="104">
        <f t="shared" si="4"/>
        <v>1440000</v>
      </c>
      <c r="P9" s="104">
        <f t="shared" si="4"/>
        <v>1420000</v>
      </c>
      <c r="Q9" s="105">
        <f t="shared" si="4"/>
        <v>1400000</v>
      </c>
      <c r="R9" s="86"/>
      <c r="S9" s="86"/>
    </row>
    <row r="10" spans="1:19">
      <c r="A10" s="102">
        <v>3</v>
      </c>
      <c r="B10" s="103" t="s">
        <v>92</v>
      </c>
      <c r="C10" s="720" t="s">
        <v>93</v>
      </c>
      <c r="D10" s="680"/>
      <c r="E10" s="104"/>
      <c r="F10" s="104">
        <f t="shared" ref="F10:H10" si="5">G10+20000</f>
        <v>2410000</v>
      </c>
      <c r="G10" s="104">
        <f t="shared" si="5"/>
        <v>2390000</v>
      </c>
      <c r="H10" s="104">
        <f t="shared" si="5"/>
        <v>2370000</v>
      </c>
      <c r="I10" s="105">
        <v>2350000</v>
      </c>
      <c r="J10" s="104">
        <f t="shared" ref="J10:M10" si="6">IF(ISBLANK(F10),,ROUND(F10/1.1,-1))</f>
        <v>2190910</v>
      </c>
      <c r="K10" s="104">
        <f t="shared" si="6"/>
        <v>2172730</v>
      </c>
      <c r="L10" s="104">
        <f t="shared" si="6"/>
        <v>2154550</v>
      </c>
      <c r="M10" s="105">
        <f t="shared" si="6"/>
        <v>2136360</v>
      </c>
      <c r="N10" s="104">
        <f t="shared" ref="N10:Q10" si="7">IF(ISBLANK(F10),,ROUND(F10*(1-$S10),-1))</f>
        <v>2410000</v>
      </c>
      <c r="O10" s="104">
        <f t="shared" si="7"/>
        <v>2390000</v>
      </c>
      <c r="P10" s="104">
        <f t="shared" si="7"/>
        <v>2370000</v>
      </c>
      <c r="Q10" s="105">
        <f t="shared" si="7"/>
        <v>2350000</v>
      </c>
      <c r="R10" s="86"/>
      <c r="S10" s="86"/>
    </row>
    <row r="11" spans="1:19">
      <c r="A11" s="102">
        <v>4</v>
      </c>
      <c r="B11" s="103" t="s">
        <v>94</v>
      </c>
      <c r="C11" s="720" t="s">
        <v>95</v>
      </c>
      <c r="D11" s="680"/>
      <c r="E11" s="104"/>
      <c r="F11" s="104">
        <f t="shared" ref="F11:H11" si="8">G11+50000</f>
        <v>5650000</v>
      </c>
      <c r="G11" s="104">
        <f t="shared" si="8"/>
        <v>5600000</v>
      </c>
      <c r="H11" s="104">
        <f t="shared" si="8"/>
        <v>5550000</v>
      </c>
      <c r="I11" s="105">
        <v>5500000</v>
      </c>
      <c r="J11" s="104">
        <f t="shared" ref="J11:M11" si="9">IF(ISBLANK(F11),,ROUND(F11/1.1,-1))</f>
        <v>5136360</v>
      </c>
      <c r="K11" s="104">
        <f t="shared" si="9"/>
        <v>5090910</v>
      </c>
      <c r="L11" s="104">
        <f t="shared" si="9"/>
        <v>5045450</v>
      </c>
      <c r="M11" s="105">
        <f t="shared" si="9"/>
        <v>5000000</v>
      </c>
      <c r="N11" s="104">
        <f t="shared" ref="N11:Q11" si="10">IF(ISBLANK(F11),,ROUND(F11*(1-$S11),-1))</f>
        <v>5650000</v>
      </c>
      <c r="O11" s="104">
        <f t="shared" si="10"/>
        <v>5600000</v>
      </c>
      <c r="P11" s="104">
        <f t="shared" si="10"/>
        <v>5550000</v>
      </c>
      <c r="Q11" s="105">
        <f t="shared" si="10"/>
        <v>5500000</v>
      </c>
      <c r="R11" s="86"/>
      <c r="S11" s="86"/>
    </row>
    <row r="12" spans="1:19">
      <c r="A12" s="102">
        <v>5</v>
      </c>
      <c r="B12" s="103" t="s">
        <v>96</v>
      </c>
      <c r="C12" s="720" t="s">
        <v>97</v>
      </c>
      <c r="D12" s="680"/>
      <c r="E12" s="104"/>
      <c r="F12" s="104"/>
      <c r="G12" s="104"/>
      <c r="H12" s="104"/>
      <c r="I12" s="105"/>
      <c r="J12" s="104">
        <f t="shared" ref="J12:M12" si="11">IF(ISBLANK(F12),,ROUND(F12/1.1,-1))</f>
        <v>0</v>
      </c>
      <c r="K12" s="104">
        <f t="shared" si="11"/>
        <v>0</v>
      </c>
      <c r="L12" s="104">
        <f t="shared" si="11"/>
        <v>0</v>
      </c>
      <c r="M12" s="105">
        <f t="shared" si="11"/>
        <v>0</v>
      </c>
      <c r="N12" s="104">
        <f t="shared" ref="N12:Q12" si="12">IF(ISBLANK(F12),,ROUND(F12*(1-$S12),-1))</f>
        <v>0</v>
      </c>
      <c r="O12" s="104">
        <f t="shared" si="12"/>
        <v>0</v>
      </c>
      <c r="P12" s="104">
        <f t="shared" si="12"/>
        <v>0</v>
      </c>
      <c r="Q12" s="105">
        <f t="shared" si="12"/>
        <v>0</v>
      </c>
      <c r="R12" s="86"/>
      <c r="S12" s="86"/>
    </row>
    <row r="13" spans="1:19">
      <c r="A13" s="102">
        <v>6</v>
      </c>
      <c r="B13" s="103" t="s">
        <v>98</v>
      </c>
      <c r="C13" s="720" t="s">
        <v>99</v>
      </c>
      <c r="D13" s="680"/>
      <c r="E13" s="104"/>
      <c r="F13" s="104">
        <f t="shared" ref="F13:H13" si="13">G13+30000</f>
        <v>580000</v>
      </c>
      <c r="G13" s="104">
        <f t="shared" si="13"/>
        <v>550000</v>
      </c>
      <c r="H13" s="104">
        <f t="shared" si="13"/>
        <v>520000</v>
      </c>
      <c r="I13" s="105">
        <v>490000</v>
      </c>
      <c r="J13" s="104">
        <f t="shared" ref="J13:M13" si="14">IF(ISBLANK(F13),,ROUND(F13/1.1,-1))</f>
        <v>527270</v>
      </c>
      <c r="K13" s="104">
        <f t="shared" si="14"/>
        <v>500000</v>
      </c>
      <c r="L13" s="104">
        <f t="shared" si="14"/>
        <v>472730</v>
      </c>
      <c r="M13" s="105">
        <f t="shared" si="14"/>
        <v>445450</v>
      </c>
      <c r="N13" s="104">
        <f t="shared" ref="N13:Q13" si="15">IF(ISBLANK(F13),,ROUND(F13*(1-$S13),-1))</f>
        <v>580000</v>
      </c>
      <c r="O13" s="104">
        <f t="shared" si="15"/>
        <v>550000</v>
      </c>
      <c r="P13" s="104">
        <f t="shared" si="15"/>
        <v>520000</v>
      </c>
      <c r="Q13" s="105">
        <f t="shared" si="15"/>
        <v>490000</v>
      </c>
      <c r="R13" s="86"/>
      <c r="S13" s="86"/>
    </row>
    <row r="14" spans="1:19">
      <c r="A14" s="717" t="s">
        <v>100</v>
      </c>
      <c r="B14" s="718"/>
      <c r="C14" s="718"/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  <c r="P14" s="718"/>
      <c r="Q14" s="719"/>
      <c r="R14" s="86"/>
      <c r="S14" s="86"/>
    </row>
    <row r="15" spans="1:19">
      <c r="A15" s="106">
        <v>1</v>
      </c>
      <c r="B15" s="107" t="s">
        <v>101</v>
      </c>
      <c r="C15" s="721" t="s">
        <v>102</v>
      </c>
      <c r="D15" s="680"/>
      <c r="E15" s="109"/>
      <c r="F15" s="109">
        <v>22000</v>
      </c>
      <c r="G15" s="109">
        <v>21000</v>
      </c>
      <c r="H15" s="104"/>
      <c r="I15" s="110"/>
      <c r="J15" s="109">
        <f t="shared" ref="J15:M15" si="16">IF(ISBLANK(F15),,ROUND(F15/1.1,-1))</f>
        <v>20000</v>
      </c>
      <c r="K15" s="109">
        <f t="shared" si="16"/>
        <v>19090</v>
      </c>
      <c r="L15" s="104">
        <f t="shared" si="16"/>
        <v>0</v>
      </c>
      <c r="M15" s="110">
        <f>IF(ISBLANK(I15),,ROUND(I15/1.1,-1))</f>
        <v>0</v>
      </c>
      <c r="N15" s="109">
        <f t="shared" ref="N15:Q15" si="17">IF(ISBLANK(F15),,ROUND(F15*(1-$S15),-1))</f>
        <v>20240</v>
      </c>
      <c r="O15" s="109">
        <f t="shared" si="17"/>
        <v>19320</v>
      </c>
      <c r="P15" s="104">
        <f t="shared" si="17"/>
        <v>0</v>
      </c>
      <c r="Q15" s="110">
        <f t="shared" si="17"/>
        <v>0</v>
      </c>
      <c r="R15" s="86"/>
      <c r="S15" s="86">
        <v>0.08</v>
      </c>
    </row>
    <row r="16" spans="1:19">
      <c r="A16" s="102">
        <v>2</v>
      </c>
      <c r="B16" s="103" t="s">
        <v>103</v>
      </c>
      <c r="C16" s="722" t="s">
        <v>104</v>
      </c>
      <c r="D16" s="680"/>
      <c r="E16" s="109"/>
      <c r="F16" s="109">
        <v>22000</v>
      </c>
      <c r="G16" s="109">
        <v>21000</v>
      </c>
      <c r="H16" s="104"/>
      <c r="I16" s="105"/>
      <c r="J16" s="109">
        <f t="shared" ref="J16:M16" si="18">IF(ISBLANK(F16),,ROUND(F16/1.1,-1))</f>
        <v>20000</v>
      </c>
      <c r="K16" s="109">
        <f t="shared" si="18"/>
        <v>19090</v>
      </c>
      <c r="L16" s="104">
        <f t="shared" si="18"/>
        <v>0</v>
      </c>
      <c r="M16" s="105">
        <f t="shared" si="18"/>
        <v>0</v>
      </c>
      <c r="N16" s="109">
        <f t="shared" ref="N16:Q16" si="19">IF(ISBLANK(F16),,ROUND(F16*(1-$S16),-1))</f>
        <v>20240</v>
      </c>
      <c r="O16" s="109">
        <f t="shared" si="19"/>
        <v>19320</v>
      </c>
      <c r="P16" s="104">
        <f t="shared" si="19"/>
        <v>0</v>
      </c>
      <c r="Q16" s="105">
        <f t="shared" si="19"/>
        <v>0</v>
      </c>
      <c r="R16" s="86"/>
      <c r="S16" s="86">
        <v>0.08</v>
      </c>
    </row>
    <row r="17" spans="1:19">
      <c r="A17" s="102">
        <v>3</v>
      </c>
      <c r="B17" s="103" t="s">
        <v>105</v>
      </c>
      <c r="C17" s="722" t="s">
        <v>106</v>
      </c>
      <c r="D17" s="680"/>
      <c r="E17" s="104"/>
      <c r="F17" s="104">
        <f t="shared" ref="F17:H17" si="20">G17+2000</f>
        <v>61000</v>
      </c>
      <c r="G17" s="104">
        <f t="shared" si="20"/>
        <v>59000</v>
      </c>
      <c r="H17" s="104">
        <f t="shared" si="20"/>
        <v>57000</v>
      </c>
      <c r="I17" s="105">
        <v>55000</v>
      </c>
      <c r="J17" s="104">
        <f t="shared" ref="J17:M17" si="21">IF(ISBLANK(F17),,ROUND(F17/1.1,-1))</f>
        <v>55450</v>
      </c>
      <c r="K17" s="104">
        <f t="shared" si="21"/>
        <v>53640</v>
      </c>
      <c r="L17" s="104">
        <f t="shared" si="21"/>
        <v>51820</v>
      </c>
      <c r="M17" s="105">
        <f t="shared" si="21"/>
        <v>50000</v>
      </c>
      <c r="N17" s="104">
        <f t="shared" ref="N17:Q17" si="22">IF(ISBLANK(F17),,ROUND(F17*(1-$S17),-1))</f>
        <v>56120</v>
      </c>
      <c r="O17" s="104">
        <f t="shared" si="22"/>
        <v>54280</v>
      </c>
      <c r="P17" s="104">
        <f t="shared" si="22"/>
        <v>52440</v>
      </c>
      <c r="Q17" s="105">
        <f t="shared" si="22"/>
        <v>50600</v>
      </c>
      <c r="R17" s="86"/>
      <c r="S17" s="86">
        <v>0.08</v>
      </c>
    </row>
    <row r="18" spans="1:19">
      <c r="A18" s="111">
        <v>4</v>
      </c>
      <c r="B18" s="112" t="s">
        <v>107</v>
      </c>
      <c r="C18" s="723" t="s">
        <v>108</v>
      </c>
      <c r="D18" s="682"/>
      <c r="E18" s="113"/>
      <c r="F18" s="113">
        <f t="shared" ref="F18:H18" si="23">G18+2000</f>
        <v>56000</v>
      </c>
      <c r="G18" s="113">
        <f t="shared" si="23"/>
        <v>54000</v>
      </c>
      <c r="H18" s="113">
        <f t="shared" si="23"/>
        <v>52000</v>
      </c>
      <c r="I18" s="114">
        <v>50000</v>
      </c>
      <c r="J18" s="113">
        <f t="shared" ref="J18:M18" si="24">IF(ISBLANK(F18),,ROUND(F18/1.1,-1))</f>
        <v>50910</v>
      </c>
      <c r="K18" s="113">
        <f t="shared" si="24"/>
        <v>49090</v>
      </c>
      <c r="L18" s="113">
        <f t="shared" si="24"/>
        <v>47270</v>
      </c>
      <c r="M18" s="114">
        <f t="shared" si="24"/>
        <v>45450</v>
      </c>
      <c r="N18" s="113">
        <f t="shared" ref="N18:Q18" si="25">IF(ISBLANK(F18),,ROUND(F18*(1-$S18),-1))</f>
        <v>51520</v>
      </c>
      <c r="O18" s="113">
        <f t="shared" si="25"/>
        <v>49680</v>
      </c>
      <c r="P18" s="113">
        <f t="shared" si="25"/>
        <v>47840</v>
      </c>
      <c r="Q18" s="114">
        <f t="shared" si="25"/>
        <v>46000</v>
      </c>
      <c r="R18" s="86"/>
      <c r="S18" s="86">
        <v>0.08</v>
      </c>
    </row>
    <row r="19" spans="1:19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86"/>
      <c r="Q19" s="86"/>
      <c r="R19" s="86"/>
      <c r="S19" s="86"/>
    </row>
    <row r="20" spans="1:19">
      <c r="A20" s="683" t="s">
        <v>78</v>
      </c>
      <c r="B20" s="684"/>
      <c r="C20" s="684"/>
      <c r="D20" s="694"/>
      <c r="E20" s="711" t="s">
        <v>79</v>
      </c>
      <c r="F20" s="712" t="s">
        <v>80</v>
      </c>
      <c r="G20" s="713"/>
      <c r="H20" s="713"/>
      <c r="I20" s="714"/>
      <c r="J20" s="715" t="s">
        <v>81</v>
      </c>
      <c r="K20" s="713"/>
      <c r="L20" s="713"/>
      <c r="M20" s="714"/>
      <c r="N20" s="716" t="s">
        <v>82</v>
      </c>
      <c r="O20" s="713"/>
      <c r="P20" s="713"/>
      <c r="Q20" s="714"/>
      <c r="R20" s="86"/>
      <c r="S20" s="86"/>
    </row>
    <row r="21" spans="1:19">
      <c r="A21" s="709"/>
      <c r="B21" s="710"/>
      <c r="C21" s="710"/>
      <c r="D21" s="678"/>
      <c r="E21" s="678"/>
      <c r="F21" s="90" t="s">
        <v>83</v>
      </c>
      <c r="G21" s="91" t="s">
        <v>109</v>
      </c>
      <c r="H21" s="92" t="s">
        <v>110</v>
      </c>
      <c r="I21" s="93"/>
      <c r="J21" s="94" t="s">
        <v>83</v>
      </c>
      <c r="K21" s="95" t="s">
        <v>109</v>
      </c>
      <c r="L21" s="96" t="s">
        <v>110</v>
      </c>
      <c r="M21" s="97"/>
      <c r="N21" s="98" t="s">
        <v>111</v>
      </c>
      <c r="O21" s="99" t="s">
        <v>109</v>
      </c>
      <c r="P21" s="100" t="s">
        <v>110</v>
      </c>
      <c r="Q21" s="101"/>
      <c r="R21" s="86"/>
      <c r="S21" s="86"/>
    </row>
    <row r="22" spans="1:19">
      <c r="A22" s="106">
        <v>1</v>
      </c>
      <c r="B22" s="107" t="s">
        <v>112</v>
      </c>
      <c r="C22" s="721" t="s">
        <v>113</v>
      </c>
      <c r="D22" s="680"/>
      <c r="E22" s="104"/>
      <c r="F22" s="104">
        <v>20000</v>
      </c>
      <c r="G22" s="104">
        <v>19000</v>
      </c>
      <c r="H22" s="104">
        <v>18000</v>
      </c>
      <c r="I22" s="105"/>
      <c r="J22" s="104">
        <f t="shared" ref="J22:M22" si="26">IF(ISBLANK(F22),,ROUND(F22/1.1,-2))</f>
        <v>18200</v>
      </c>
      <c r="K22" s="104">
        <f t="shared" si="26"/>
        <v>17300</v>
      </c>
      <c r="L22" s="104">
        <f t="shared" si="26"/>
        <v>16400</v>
      </c>
      <c r="M22" s="105">
        <f t="shared" si="26"/>
        <v>0</v>
      </c>
      <c r="N22" s="104">
        <f t="shared" ref="N22:Q22" si="27">IF(ISBLANK(F22),,ROUND(F22*(1-$S22),-1))</f>
        <v>19000</v>
      </c>
      <c r="O22" s="104">
        <f t="shared" si="27"/>
        <v>18050</v>
      </c>
      <c r="P22" s="104">
        <f t="shared" si="27"/>
        <v>17100</v>
      </c>
      <c r="Q22" s="105">
        <f t="shared" si="27"/>
        <v>0</v>
      </c>
      <c r="R22" s="86"/>
      <c r="S22" s="86">
        <v>0.05</v>
      </c>
    </row>
    <row r="23" spans="1:19">
      <c r="A23" s="106">
        <v>2</v>
      </c>
      <c r="B23" s="107" t="s">
        <v>114</v>
      </c>
      <c r="C23" s="721" t="s">
        <v>115</v>
      </c>
      <c r="D23" s="680"/>
      <c r="E23" s="104"/>
      <c r="F23" s="104">
        <v>45000</v>
      </c>
      <c r="G23" s="104">
        <v>40000</v>
      </c>
      <c r="H23" s="104">
        <v>35000</v>
      </c>
      <c r="I23" s="105"/>
      <c r="J23" s="104">
        <f t="shared" ref="J23:M23" si="28">IF(ISBLANK(F23),,ROUND(F23/1.1,-2))</f>
        <v>40900</v>
      </c>
      <c r="K23" s="104">
        <f t="shared" si="28"/>
        <v>36400</v>
      </c>
      <c r="L23" s="104">
        <f t="shared" si="28"/>
        <v>31800</v>
      </c>
      <c r="M23" s="105">
        <f t="shared" si="28"/>
        <v>0</v>
      </c>
      <c r="N23" s="104">
        <f t="shared" ref="N23:Q23" si="29">IF(ISBLANK(F23),,ROUND(F23*(1-$S23),-1))</f>
        <v>42750</v>
      </c>
      <c r="O23" s="104">
        <f t="shared" si="29"/>
        <v>38000</v>
      </c>
      <c r="P23" s="104">
        <f t="shared" si="29"/>
        <v>33250</v>
      </c>
      <c r="Q23" s="105">
        <f t="shared" si="29"/>
        <v>0</v>
      </c>
      <c r="R23" s="86"/>
      <c r="S23" s="86">
        <v>0.05</v>
      </c>
    </row>
    <row r="24" spans="1:19">
      <c r="A24" s="106">
        <v>3</v>
      </c>
      <c r="B24" s="107" t="s">
        <v>116</v>
      </c>
      <c r="C24" s="726" t="s">
        <v>117</v>
      </c>
      <c r="D24" s="680"/>
      <c r="E24" s="104"/>
      <c r="F24" s="104">
        <v>40000</v>
      </c>
      <c r="G24" s="104">
        <v>35000</v>
      </c>
      <c r="H24" s="104">
        <v>30000</v>
      </c>
      <c r="I24" s="105"/>
      <c r="J24" s="104">
        <f t="shared" ref="J24:M24" si="30">IF(ISBLANK(F24),,ROUND(F24/1.1,-2))</f>
        <v>36400</v>
      </c>
      <c r="K24" s="104">
        <f t="shared" si="30"/>
        <v>31800</v>
      </c>
      <c r="L24" s="104">
        <f t="shared" si="30"/>
        <v>27300</v>
      </c>
      <c r="M24" s="105">
        <f t="shared" si="30"/>
        <v>0</v>
      </c>
      <c r="N24" s="104">
        <f t="shared" ref="N24:Q24" si="31">IF(ISBLANK(F24),,ROUND(F24*(1-$S24),-1))</f>
        <v>38000</v>
      </c>
      <c r="O24" s="104">
        <f t="shared" si="31"/>
        <v>33250</v>
      </c>
      <c r="P24" s="104">
        <f t="shared" si="31"/>
        <v>28500</v>
      </c>
      <c r="Q24" s="105">
        <f t="shared" si="31"/>
        <v>0</v>
      </c>
      <c r="R24" s="86"/>
      <c r="S24" s="86">
        <v>0.05</v>
      </c>
    </row>
    <row r="25" spans="1:19">
      <c r="A25" s="106">
        <v>4</v>
      </c>
      <c r="B25" s="107" t="s">
        <v>118</v>
      </c>
      <c r="C25" s="721" t="s">
        <v>119</v>
      </c>
      <c r="D25" s="680"/>
      <c r="E25" s="104"/>
      <c r="F25" s="104">
        <v>81500</v>
      </c>
      <c r="G25" s="104">
        <v>71300</v>
      </c>
      <c r="H25" s="104">
        <v>66200</v>
      </c>
      <c r="I25" s="105"/>
      <c r="J25" s="104">
        <f t="shared" ref="J25:M25" si="32">IF(ISBLANK(F25),,ROUND(F25/1.1,-2))</f>
        <v>74100</v>
      </c>
      <c r="K25" s="104">
        <f t="shared" si="32"/>
        <v>64800</v>
      </c>
      <c r="L25" s="104">
        <f t="shared" si="32"/>
        <v>60200</v>
      </c>
      <c r="M25" s="105">
        <f t="shared" si="32"/>
        <v>0</v>
      </c>
      <c r="N25" s="104">
        <f t="shared" ref="N25:Q25" si="33">IF(ISBLANK(F25),,ROUND(F25*(1-$S25),-1))</f>
        <v>77430</v>
      </c>
      <c r="O25" s="104">
        <f t="shared" si="33"/>
        <v>67740</v>
      </c>
      <c r="P25" s="104">
        <f t="shared" si="33"/>
        <v>62890</v>
      </c>
      <c r="Q25" s="105">
        <f t="shared" si="33"/>
        <v>0</v>
      </c>
      <c r="R25" s="86"/>
      <c r="S25" s="86">
        <v>0.05</v>
      </c>
    </row>
    <row r="26" spans="1:19">
      <c r="A26" s="106">
        <v>5</v>
      </c>
      <c r="B26" s="107" t="s">
        <v>120</v>
      </c>
      <c r="C26" s="721" t="s">
        <v>121</v>
      </c>
      <c r="D26" s="680"/>
      <c r="E26" s="104"/>
      <c r="F26" s="104">
        <v>81500</v>
      </c>
      <c r="G26" s="104">
        <v>71300</v>
      </c>
      <c r="H26" s="104">
        <v>66200</v>
      </c>
      <c r="I26" s="105"/>
      <c r="J26" s="104">
        <f t="shared" ref="J26:M26" si="34">IF(ISBLANK(F26),,ROUND(F26/1.1,-2))</f>
        <v>74100</v>
      </c>
      <c r="K26" s="104">
        <f t="shared" si="34"/>
        <v>64800</v>
      </c>
      <c r="L26" s="104">
        <f t="shared" si="34"/>
        <v>60200</v>
      </c>
      <c r="M26" s="105">
        <f t="shared" si="34"/>
        <v>0</v>
      </c>
      <c r="N26" s="104">
        <f t="shared" ref="N26:Q26" si="35">IF(ISBLANK(F26),,ROUND(F26*(1-$S26),-1))</f>
        <v>77430</v>
      </c>
      <c r="O26" s="104">
        <f t="shared" si="35"/>
        <v>67740</v>
      </c>
      <c r="P26" s="104">
        <f t="shared" si="35"/>
        <v>62890</v>
      </c>
      <c r="Q26" s="105">
        <f t="shared" si="35"/>
        <v>0</v>
      </c>
      <c r="R26" s="86"/>
      <c r="S26" s="86">
        <v>0.05</v>
      </c>
    </row>
    <row r="27" spans="1:19">
      <c r="A27" s="106" t="s">
        <v>122</v>
      </c>
      <c r="B27" s="107" t="s">
        <v>123</v>
      </c>
      <c r="C27" s="721" t="s">
        <v>124</v>
      </c>
      <c r="D27" s="680"/>
      <c r="E27" s="104"/>
      <c r="F27" s="104">
        <v>45000</v>
      </c>
      <c r="G27" s="104">
        <f t="shared" ref="G27:G28" si="36">F27-10000</f>
        <v>35000</v>
      </c>
      <c r="H27" s="104">
        <v>35000</v>
      </c>
      <c r="I27" s="105"/>
      <c r="J27" s="104">
        <f t="shared" ref="J27:M27" si="37">IF(ISBLANK(F27),,ROUND(F27/1.1,-2))</f>
        <v>40900</v>
      </c>
      <c r="K27" s="104">
        <f t="shared" si="37"/>
        <v>31800</v>
      </c>
      <c r="L27" s="104">
        <f t="shared" si="37"/>
        <v>31800</v>
      </c>
      <c r="M27" s="105">
        <f t="shared" si="37"/>
        <v>0</v>
      </c>
      <c r="N27" s="104">
        <f t="shared" ref="N27:Q27" si="38">IF(ISBLANK(F27),,ROUND(F27*(1-$S27),-1))</f>
        <v>42750</v>
      </c>
      <c r="O27" s="104">
        <f t="shared" si="38"/>
        <v>33250</v>
      </c>
      <c r="P27" s="104">
        <f t="shared" si="38"/>
        <v>33250</v>
      </c>
      <c r="Q27" s="105">
        <f t="shared" si="38"/>
        <v>0</v>
      </c>
      <c r="R27" s="86"/>
      <c r="S27" s="86">
        <v>0.05</v>
      </c>
    </row>
    <row r="28" spans="1:19">
      <c r="A28" s="106" t="s">
        <v>122</v>
      </c>
      <c r="B28" s="107" t="s">
        <v>125</v>
      </c>
      <c r="C28" s="721" t="s">
        <v>126</v>
      </c>
      <c r="D28" s="680"/>
      <c r="E28" s="104"/>
      <c r="F28" s="104">
        <v>40000</v>
      </c>
      <c r="G28" s="104">
        <f t="shared" si="36"/>
        <v>30000</v>
      </c>
      <c r="H28" s="104">
        <v>25000</v>
      </c>
      <c r="I28" s="105"/>
      <c r="J28" s="104">
        <f t="shared" ref="J28:M28" si="39">IF(ISBLANK(F28),,ROUND(F28/1.1,-2))</f>
        <v>36400</v>
      </c>
      <c r="K28" s="104">
        <f t="shared" si="39"/>
        <v>27300</v>
      </c>
      <c r="L28" s="104">
        <f t="shared" si="39"/>
        <v>22700</v>
      </c>
      <c r="M28" s="105">
        <f t="shared" si="39"/>
        <v>0</v>
      </c>
      <c r="N28" s="104">
        <f t="shared" ref="N28:Q28" si="40">IF(ISBLANK(F28),,ROUND(F28*(1-$S28),-1))</f>
        <v>38000</v>
      </c>
      <c r="O28" s="104">
        <f t="shared" si="40"/>
        <v>28500</v>
      </c>
      <c r="P28" s="104">
        <f t="shared" si="40"/>
        <v>23750</v>
      </c>
      <c r="Q28" s="105">
        <f t="shared" si="40"/>
        <v>0</v>
      </c>
      <c r="R28" s="86"/>
      <c r="S28" s="86">
        <v>0.05</v>
      </c>
    </row>
    <row r="29" spans="1:19">
      <c r="A29" s="116">
        <v>6</v>
      </c>
      <c r="B29" s="117" t="s">
        <v>127</v>
      </c>
      <c r="C29" s="724" t="s">
        <v>128</v>
      </c>
      <c r="D29" s="725"/>
      <c r="E29" s="118"/>
      <c r="F29" s="104">
        <v>18000</v>
      </c>
      <c r="G29" s="104">
        <v>17000</v>
      </c>
      <c r="H29" s="104">
        <v>16000</v>
      </c>
      <c r="I29" s="105"/>
      <c r="J29" s="104">
        <f t="shared" ref="J29:M29" si="41">IF(ISBLANK(F29),,ROUND(F29/1.1,-2))</f>
        <v>16400</v>
      </c>
      <c r="K29" s="104">
        <f t="shared" si="41"/>
        <v>15500</v>
      </c>
      <c r="L29" s="104">
        <f t="shared" si="41"/>
        <v>14500</v>
      </c>
      <c r="M29" s="105">
        <f t="shared" si="41"/>
        <v>0</v>
      </c>
      <c r="N29" s="104">
        <f t="shared" ref="N29:Q29" si="42">IF(ISBLANK(F29),,ROUND(F29*(1-$S29),-1))</f>
        <v>17100</v>
      </c>
      <c r="O29" s="104">
        <f t="shared" si="42"/>
        <v>16150</v>
      </c>
      <c r="P29" s="104">
        <f t="shared" si="42"/>
        <v>15200</v>
      </c>
      <c r="Q29" s="105">
        <f t="shared" si="42"/>
        <v>0</v>
      </c>
      <c r="R29" s="86"/>
      <c r="S29" s="86">
        <v>0.05</v>
      </c>
    </row>
    <row r="30" spans="1:19">
      <c r="A30" s="683" t="s">
        <v>129</v>
      </c>
      <c r="B30" s="684"/>
      <c r="C30" s="684"/>
      <c r="D30" s="694"/>
      <c r="E30" s="711" t="s">
        <v>79</v>
      </c>
      <c r="F30" s="712" t="s">
        <v>80</v>
      </c>
      <c r="G30" s="713"/>
      <c r="H30" s="713"/>
      <c r="I30" s="714"/>
      <c r="J30" s="715" t="s">
        <v>81</v>
      </c>
      <c r="K30" s="713"/>
      <c r="L30" s="713"/>
      <c r="M30" s="714"/>
      <c r="N30" s="716" t="s">
        <v>82</v>
      </c>
      <c r="O30" s="713"/>
      <c r="P30" s="713"/>
      <c r="Q30" s="714"/>
      <c r="R30" s="86"/>
      <c r="S30" s="86"/>
    </row>
    <row r="31" spans="1:19">
      <c r="A31" s="709"/>
      <c r="B31" s="710"/>
      <c r="C31" s="710"/>
      <c r="D31" s="678"/>
      <c r="E31" s="678"/>
      <c r="F31" s="90" t="s">
        <v>83</v>
      </c>
      <c r="G31" s="91" t="s">
        <v>130</v>
      </c>
      <c r="H31" s="92" t="s">
        <v>131</v>
      </c>
      <c r="I31" s="93"/>
      <c r="J31" s="94" t="s">
        <v>83</v>
      </c>
      <c r="K31" s="95" t="s">
        <v>130</v>
      </c>
      <c r="L31" s="96" t="s">
        <v>131</v>
      </c>
      <c r="M31" s="97"/>
      <c r="N31" s="98" t="s">
        <v>83</v>
      </c>
      <c r="O31" s="99" t="s">
        <v>130</v>
      </c>
      <c r="P31" s="100" t="s">
        <v>131</v>
      </c>
      <c r="Q31" s="101"/>
      <c r="R31" s="86"/>
      <c r="S31" s="86"/>
    </row>
    <row r="32" spans="1:19">
      <c r="A32" s="119">
        <v>1</v>
      </c>
      <c r="B32" s="120" t="s">
        <v>132</v>
      </c>
      <c r="C32" s="677" t="s">
        <v>133</v>
      </c>
      <c r="D32" s="678"/>
      <c r="E32" s="121"/>
      <c r="F32" s="122">
        <v>36000</v>
      </c>
      <c r="G32" s="104"/>
      <c r="H32" s="104"/>
      <c r="I32" s="105"/>
      <c r="J32" s="122">
        <f t="shared" ref="J32:M32" si="43">IF(ISBLANK(F32),,ROUND(F32/1.1,-2))</f>
        <v>32700</v>
      </c>
      <c r="K32" s="104">
        <f t="shared" si="43"/>
        <v>0</v>
      </c>
      <c r="L32" s="104">
        <f t="shared" si="43"/>
        <v>0</v>
      </c>
      <c r="M32" s="105">
        <f t="shared" si="43"/>
        <v>0</v>
      </c>
      <c r="N32" s="122">
        <f t="shared" ref="N32:Q32" si="44">IF(ISBLANK(F32),,ROUND(F32*(1-$S32),0))</f>
        <v>36000</v>
      </c>
      <c r="O32" s="104">
        <f t="shared" si="44"/>
        <v>0</v>
      </c>
      <c r="P32" s="104">
        <f t="shared" si="44"/>
        <v>0</v>
      </c>
      <c r="Q32" s="105">
        <f t="shared" si="44"/>
        <v>0</v>
      </c>
      <c r="R32" s="123">
        <v>44965</v>
      </c>
      <c r="S32" s="86"/>
    </row>
    <row r="33" spans="1:19">
      <c r="A33" s="106">
        <v>2</v>
      </c>
      <c r="B33" s="107" t="s">
        <v>134</v>
      </c>
      <c r="C33" s="679" t="s">
        <v>135</v>
      </c>
      <c r="D33" s="680"/>
      <c r="E33" s="104"/>
      <c r="F33" s="104">
        <v>37000</v>
      </c>
      <c r="G33" s="104"/>
      <c r="H33" s="104"/>
      <c r="I33" s="105"/>
      <c r="J33" s="104">
        <f t="shared" ref="J33:M33" si="45">IF(ISBLANK(F33),,ROUND(F33/1.1,-2))</f>
        <v>33600</v>
      </c>
      <c r="K33" s="104">
        <f t="shared" si="45"/>
        <v>0</v>
      </c>
      <c r="L33" s="104">
        <f t="shared" si="45"/>
        <v>0</v>
      </c>
      <c r="M33" s="105">
        <f t="shared" si="45"/>
        <v>0</v>
      </c>
      <c r="N33" s="104">
        <f t="shared" ref="N33:Q33" si="46">IF(ISBLANK(F33),,ROUND(F33*(1-$S33),0))</f>
        <v>37000</v>
      </c>
      <c r="O33" s="104">
        <f t="shared" si="46"/>
        <v>0</v>
      </c>
      <c r="P33" s="104">
        <f t="shared" si="46"/>
        <v>0</v>
      </c>
      <c r="Q33" s="105">
        <f t="shared" si="46"/>
        <v>0</v>
      </c>
      <c r="R33" s="123">
        <v>44965</v>
      </c>
      <c r="S33" s="86"/>
    </row>
    <row r="34" spans="1:19">
      <c r="A34" s="124">
        <v>3</v>
      </c>
      <c r="B34" s="125" t="s">
        <v>136</v>
      </c>
      <c r="C34" s="681" t="s">
        <v>137</v>
      </c>
      <c r="D34" s="682"/>
      <c r="E34" s="113"/>
      <c r="F34" s="113">
        <v>17000</v>
      </c>
      <c r="G34" s="113"/>
      <c r="H34" s="113"/>
      <c r="I34" s="114"/>
      <c r="J34" s="113">
        <f>IF(ISBLANK(F34),,ROUND(F34/1.1,-1))</f>
        <v>15450</v>
      </c>
      <c r="K34" s="113">
        <f t="shared" ref="K34:M34" si="47">IF(ISBLANK(G34),,ROUND(G34/1.1,-2))</f>
        <v>0</v>
      </c>
      <c r="L34" s="113">
        <f t="shared" si="47"/>
        <v>0</v>
      </c>
      <c r="M34" s="114">
        <f t="shared" si="47"/>
        <v>0</v>
      </c>
      <c r="N34" s="113">
        <f t="shared" ref="N34:Q34" si="48">IF(ISBLANK(F34),,ROUND(F34*(1-$S34),0))</f>
        <v>17000</v>
      </c>
      <c r="O34" s="113">
        <f t="shared" si="48"/>
        <v>0</v>
      </c>
      <c r="P34" s="113">
        <f t="shared" si="48"/>
        <v>0</v>
      </c>
      <c r="Q34" s="114">
        <f t="shared" si="48"/>
        <v>0</v>
      </c>
      <c r="R34" s="123">
        <v>44965</v>
      </c>
      <c r="S34" s="86"/>
    </row>
    <row r="35" spans="1:19">
      <c r="A35" s="86"/>
      <c r="B35" s="86"/>
      <c r="C35" s="86"/>
      <c r="D35" s="86"/>
      <c r="E35" s="86"/>
      <c r="F35" s="86"/>
      <c r="G35" s="88"/>
      <c r="H35" s="86"/>
      <c r="I35" s="126"/>
      <c r="J35" s="126"/>
      <c r="K35" s="127"/>
      <c r="L35" s="127"/>
      <c r="M35" s="128"/>
      <c r="N35" s="128"/>
      <c r="O35" s="129"/>
      <c r="P35" s="86"/>
      <c r="Q35" s="86"/>
      <c r="R35" s="86"/>
      <c r="S35" s="86"/>
    </row>
    <row r="36" spans="1:19">
      <c r="A36" s="683" t="s">
        <v>138</v>
      </c>
      <c r="B36" s="684"/>
      <c r="C36" s="684"/>
      <c r="D36" s="684"/>
      <c r="E36" s="684"/>
      <c r="F36" s="684"/>
      <c r="G36" s="684"/>
      <c r="H36" s="684"/>
      <c r="I36" s="684"/>
      <c r="J36" s="684"/>
      <c r="K36" s="684"/>
      <c r="L36" s="684"/>
      <c r="M36" s="684"/>
      <c r="N36" s="684"/>
      <c r="O36" s="684"/>
      <c r="P36" s="684"/>
      <c r="Q36" s="685"/>
      <c r="R36" s="86"/>
      <c r="S36" s="86"/>
    </row>
    <row r="37" spans="1:19">
      <c r="A37" s="686" t="s">
        <v>139</v>
      </c>
      <c r="B37" s="672"/>
      <c r="C37" s="672"/>
      <c r="D37" s="672"/>
      <c r="E37" s="672"/>
      <c r="F37" s="672"/>
      <c r="G37" s="672"/>
      <c r="H37" s="115"/>
      <c r="I37" s="127"/>
      <c r="J37" s="126"/>
      <c r="K37" s="127"/>
      <c r="L37" s="127"/>
      <c r="M37" s="128"/>
      <c r="N37" s="128"/>
      <c r="O37" s="129"/>
      <c r="P37" s="86"/>
      <c r="Q37" s="130"/>
      <c r="R37" s="86"/>
      <c r="S37" s="86"/>
    </row>
    <row r="38" spans="1:19">
      <c r="A38" s="686" t="s">
        <v>140</v>
      </c>
      <c r="B38" s="672"/>
      <c r="C38" s="672"/>
      <c r="D38" s="672"/>
      <c r="E38" s="672"/>
      <c r="F38" s="672"/>
      <c r="G38" s="672"/>
      <c r="H38" s="115"/>
      <c r="I38" s="127"/>
      <c r="J38" s="126"/>
      <c r="K38" s="127"/>
      <c r="L38" s="127"/>
      <c r="M38" s="128"/>
      <c r="N38" s="128"/>
      <c r="O38" s="129"/>
      <c r="P38" s="86"/>
      <c r="Q38" s="130"/>
      <c r="R38" s="86"/>
      <c r="S38" s="86"/>
    </row>
    <row r="39" spans="1:19">
      <c r="A39" s="687" t="s">
        <v>141</v>
      </c>
      <c r="B39" s="688"/>
      <c r="C39" s="688"/>
      <c r="D39" s="688"/>
      <c r="E39" s="688"/>
      <c r="F39" s="688"/>
      <c r="G39" s="688"/>
      <c r="H39" s="131"/>
      <c r="I39" s="127"/>
      <c r="J39" s="126"/>
      <c r="K39" s="127"/>
      <c r="L39" s="127"/>
      <c r="M39" s="128"/>
      <c r="N39" s="128"/>
      <c r="O39" s="129"/>
      <c r="P39" s="86"/>
      <c r="Q39" s="132"/>
      <c r="R39" s="86"/>
      <c r="S39" s="86"/>
    </row>
    <row r="40" spans="1:19">
      <c r="A40" s="689" t="s">
        <v>142</v>
      </c>
      <c r="B40" s="691" t="s">
        <v>143</v>
      </c>
      <c r="C40" s="693" t="s">
        <v>144</v>
      </c>
      <c r="D40" s="694"/>
      <c r="E40" s="697" t="s">
        <v>79</v>
      </c>
      <c r="F40" s="698" t="s">
        <v>80</v>
      </c>
      <c r="G40" s="699"/>
      <c r="H40" s="699"/>
      <c r="I40" s="700"/>
      <c r="J40" s="701" t="s">
        <v>81</v>
      </c>
      <c r="K40" s="699"/>
      <c r="L40" s="699"/>
      <c r="M40" s="700"/>
      <c r="N40" s="702" t="s">
        <v>82</v>
      </c>
      <c r="O40" s="699"/>
      <c r="P40" s="699"/>
      <c r="Q40" s="700"/>
      <c r="R40" s="86"/>
      <c r="S40" s="86"/>
    </row>
    <row r="41" spans="1:19">
      <c r="A41" s="690"/>
      <c r="B41" s="692"/>
      <c r="C41" s="695"/>
      <c r="D41" s="696"/>
      <c r="E41" s="692"/>
      <c r="F41" s="133" t="s">
        <v>83</v>
      </c>
      <c r="G41" s="133"/>
      <c r="H41" s="133"/>
      <c r="I41" s="134"/>
      <c r="J41" s="135" t="s">
        <v>83</v>
      </c>
      <c r="K41" s="135"/>
      <c r="L41" s="135"/>
      <c r="M41" s="136"/>
      <c r="N41" s="137" t="s">
        <v>83</v>
      </c>
      <c r="O41" s="137"/>
      <c r="P41" s="137"/>
      <c r="Q41" s="138"/>
      <c r="R41" s="86"/>
      <c r="S41" s="86"/>
    </row>
    <row r="42" spans="1:19">
      <c r="A42" s="139"/>
      <c r="B42" s="140" t="s">
        <v>145</v>
      </c>
      <c r="C42" s="727" t="s">
        <v>146</v>
      </c>
      <c r="D42" s="728"/>
      <c r="E42" s="140" t="s">
        <v>147</v>
      </c>
      <c r="F42" s="141">
        <v>60500</v>
      </c>
      <c r="G42" s="141"/>
      <c r="H42" s="141"/>
      <c r="I42" s="142"/>
      <c r="J42" s="141">
        <f t="shared" ref="J42:J47" si="49">IF(ISBLANK(F42),,ROUND(F42/1.1,-2))</f>
        <v>55000</v>
      </c>
      <c r="K42" s="141">
        <f t="shared" ref="K42:M42" si="50">IF(ISBLANK(G42),,ROUND(G42/1.08,-2))</f>
        <v>0</v>
      </c>
      <c r="L42" s="141">
        <f t="shared" si="50"/>
        <v>0</v>
      </c>
      <c r="M42" s="142">
        <f t="shared" si="50"/>
        <v>0</v>
      </c>
      <c r="N42" s="141">
        <f t="shared" ref="N42:Q42" si="51">IF(ISBLANK(F42),,ROUND(F42*(1-$S42),0))</f>
        <v>57475</v>
      </c>
      <c r="O42" s="141">
        <f t="shared" si="51"/>
        <v>0</v>
      </c>
      <c r="P42" s="141">
        <f t="shared" si="51"/>
        <v>0</v>
      </c>
      <c r="Q42" s="142">
        <f t="shared" si="51"/>
        <v>0</v>
      </c>
      <c r="R42" s="86"/>
      <c r="S42" s="86">
        <v>0.05</v>
      </c>
    </row>
    <row r="43" spans="1:19">
      <c r="A43" s="143"/>
      <c r="B43" s="144" t="s">
        <v>148</v>
      </c>
      <c r="C43" s="729" t="s">
        <v>149</v>
      </c>
      <c r="D43" s="730"/>
      <c r="E43" s="144" t="s">
        <v>147</v>
      </c>
      <c r="F43" s="145">
        <v>60500</v>
      </c>
      <c r="G43" s="145"/>
      <c r="H43" s="145"/>
      <c r="I43" s="146"/>
      <c r="J43" s="145">
        <f t="shared" si="49"/>
        <v>55000</v>
      </c>
      <c r="K43" s="145">
        <f t="shared" ref="K43:M43" si="52">IF(ISBLANK(G43),,ROUND(G43/1.08,-2))</f>
        <v>0</v>
      </c>
      <c r="L43" s="145">
        <f t="shared" si="52"/>
        <v>0</v>
      </c>
      <c r="M43" s="146">
        <f t="shared" si="52"/>
        <v>0</v>
      </c>
      <c r="N43" s="145">
        <f t="shared" ref="N43:Q43" si="53">IF(ISBLANK(F43),,ROUND(F43*(1-$S43),0))</f>
        <v>57475</v>
      </c>
      <c r="O43" s="145">
        <f t="shared" si="53"/>
        <v>0</v>
      </c>
      <c r="P43" s="145">
        <f t="shared" si="53"/>
        <v>0</v>
      </c>
      <c r="Q43" s="146">
        <f t="shared" si="53"/>
        <v>0</v>
      </c>
      <c r="R43" s="86"/>
      <c r="S43" s="86">
        <v>0.05</v>
      </c>
    </row>
    <row r="44" spans="1:19">
      <c r="A44" s="147"/>
      <c r="B44" s="148" t="s">
        <v>150</v>
      </c>
      <c r="C44" s="731" t="s">
        <v>151</v>
      </c>
      <c r="D44" s="730"/>
      <c r="E44" s="148" t="s">
        <v>147</v>
      </c>
      <c r="F44" s="141">
        <v>60500</v>
      </c>
      <c r="G44" s="141"/>
      <c r="H44" s="141"/>
      <c r="I44" s="142"/>
      <c r="J44" s="141">
        <f t="shared" si="49"/>
        <v>55000</v>
      </c>
      <c r="K44" s="141">
        <f t="shared" ref="K44:M44" si="54">IF(ISBLANK(G44),,ROUND(G44/1.08,-2))</f>
        <v>0</v>
      </c>
      <c r="L44" s="141">
        <f t="shared" si="54"/>
        <v>0</v>
      </c>
      <c r="M44" s="142">
        <f t="shared" si="54"/>
        <v>0</v>
      </c>
      <c r="N44" s="141">
        <f t="shared" ref="N44:Q44" si="55">IF(ISBLANK(F44),,ROUND(F44*(1-$S44),0))</f>
        <v>57475</v>
      </c>
      <c r="O44" s="141">
        <f t="shared" si="55"/>
        <v>0</v>
      </c>
      <c r="P44" s="141">
        <f t="shared" si="55"/>
        <v>0</v>
      </c>
      <c r="Q44" s="142">
        <f t="shared" si="55"/>
        <v>0</v>
      </c>
      <c r="R44" s="86"/>
      <c r="S44" s="86">
        <v>0.05</v>
      </c>
    </row>
    <row r="45" spans="1:19">
      <c r="A45" s="143"/>
      <c r="B45" s="144" t="s">
        <v>152</v>
      </c>
      <c r="C45" s="729" t="s">
        <v>153</v>
      </c>
      <c r="D45" s="730"/>
      <c r="E45" s="144" t="s">
        <v>147</v>
      </c>
      <c r="F45" s="145">
        <v>60500</v>
      </c>
      <c r="G45" s="145"/>
      <c r="H45" s="145"/>
      <c r="I45" s="146"/>
      <c r="J45" s="145">
        <f t="shared" si="49"/>
        <v>55000</v>
      </c>
      <c r="K45" s="145">
        <f t="shared" ref="K45:M45" si="56">IF(ISBLANK(G45),,ROUND(G45/1.08,-2))</f>
        <v>0</v>
      </c>
      <c r="L45" s="145">
        <f t="shared" si="56"/>
        <v>0</v>
      </c>
      <c r="M45" s="146">
        <f t="shared" si="56"/>
        <v>0</v>
      </c>
      <c r="N45" s="145">
        <f t="shared" ref="N45:Q45" si="57">IF(ISBLANK(F45),,ROUND(F45*(1-$S45),0))</f>
        <v>57475</v>
      </c>
      <c r="O45" s="145">
        <f t="shared" si="57"/>
        <v>0</v>
      </c>
      <c r="P45" s="145">
        <f t="shared" si="57"/>
        <v>0</v>
      </c>
      <c r="Q45" s="146">
        <f t="shared" si="57"/>
        <v>0</v>
      </c>
      <c r="R45" s="86"/>
      <c r="S45" s="86">
        <v>0.05</v>
      </c>
    </row>
    <row r="46" spans="1:19">
      <c r="A46" s="147"/>
      <c r="B46" s="148" t="s">
        <v>154</v>
      </c>
      <c r="C46" s="731" t="s">
        <v>155</v>
      </c>
      <c r="D46" s="730"/>
      <c r="E46" s="148" t="s">
        <v>147</v>
      </c>
      <c r="F46" s="141">
        <v>60500</v>
      </c>
      <c r="G46" s="141"/>
      <c r="H46" s="141"/>
      <c r="I46" s="142"/>
      <c r="J46" s="141">
        <f t="shared" si="49"/>
        <v>55000</v>
      </c>
      <c r="K46" s="141">
        <f t="shared" ref="K46:M46" si="58">IF(ISBLANK(G46),,ROUND(G46/1.08,-2))</f>
        <v>0</v>
      </c>
      <c r="L46" s="141">
        <f t="shared" si="58"/>
        <v>0</v>
      </c>
      <c r="M46" s="142">
        <f t="shared" si="58"/>
        <v>0</v>
      </c>
      <c r="N46" s="141">
        <f t="shared" ref="N46:Q46" si="59">IF(ISBLANK(F46),,ROUND(F46*(1-$S46),0))</f>
        <v>57475</v>
      </c>
      <c r="O46" s="141">
        <f t="shared" si="59"/>
        <v>0</v>
      </c>
      <c r="P46" s="141">
        <f t="shared" si="59"/>
        <v>0</v>
      </c>
      <c r="Q46" s="142">
        <f t="shared" si="59"/>
        <v>0</v>
      </c>
      <c r="R46" s="86"/>
      <c r="S46" s="86">
        <v>0.05</v>
      </c>
    </row>
    <row r="47" spans="1:19">
      <c r="A47" s="149"/>
      <c r="B47" s="150" t="s">
        <v>156</v>
      </c>
      <c r="C47" s="732" t="s">
        <v>157</v>
      </c>
      <c r="D47" s="733"/>
      <c r="E47" s="150" t="s">
        <v>147</v>
      </c>
      <c r="F47" s="151">
        <v>60500</v>
      </c>
      <c r="G47" s="151"/>
      <c r="H47" s="151"/>
      <c r="I47" s="152"/>
      <c r="J47" s="151">
        <f t="shared" si="49"/>
        <v>55000</v>
      </c>
      <c r="K47" s="151">
        <f t="shared" ref="K47:M47" si="60">IF(ISBLANK(G47),,ROUND(G47/1.08,-2))</f>
        <v>0</v>
      </c>
      <c r="L47" s="151">
        <f t="shared" si="60"/>
        <v>0</v>
      </c>
      <c r="M47" s="152">
        <f t="shared" si="60"/>
        <v>0</v>
      </c>
      <c r="N47" s="151">
        <f t="shared" ref="N47:Q47" si="61">IF(ISBLANK(F47),,ROUND(F47*(1-$S47),0))</f>
        <v>57475</v>
      </c>
      <c r="O47" s="151">
        <f t="shared" si="61"/>
        <v>0</v>
      </c>
      <c r="P47" s="151">
        <f t="shared" si="61"/>
        <v>0</v>
      </c>
      <c r="Q47" s="152">
        <f t="shared" si="61"/>
        <v>0</v>
      </c>
      <c r="R47" s="86"/>
      <c r="S47" s="86">
        <v>0.05</v>
      </c>
    </row>
    <row r="48" spans="1:19">
      <c r="A48" s="86"/>
      <c r="B48" s="86"/>
      <c r="C48" s="86"/>
      <c r="D48" s="86"/>
      <c r="E48" s="86"/>
      <c r="F48" s="86"/>
      <c r="G48" s="88"/>
      <c r="H48" s="86"/>
      <c r="I48" s="126"/>
      <c r="J48" s="126"/>
      <c r="K48" s="127"/>
      <c r="L48" s="127"/>
      <c r="M48" s="128"/>
      <c r="N48" s="128"/>
      <c r="O48" s="129"/>
      <c r="P48" s="86"/>
      <c r="Q48" s="86"/>
      <c r="R48" s="86"/>
      <c r="S48" s="86"/>
    </row>
    <row r="49" spans="1:19">
      <c r="A49" s="86"/>
      <c r="B49" s="86"/>
      <c r="C49" s="86"/>
      <c r="D49" s="86"/>
      <c r="E49" s="86"/>
      <c r="F49" s="86"/>
      <c r="G49" s="88"/>
      <c r="H49" s="86"/>
      <c r="I49" s="126"/>
      <c r="J49" s="126"/>
      <c r="K49" s="127"/>
      <c r="L49" s="127"/>
      <c r="M49" s="128"/>
      <c r="N49" s="128"/>
      <c r="O49" s="129"/>
      <c r="P49" s="86"/>
      <c r="Q49" s="86"/>
      <c r="R49" s="86"/>
      <c r="S49" s="86"/>
    </row>
    <row r="50" spans="1:19">
      <c r="A50" s="86"/>
      <c r="B50" s="86"/>
      <c r="C50" s="86"/>
      <c r="D50" s="86"/>
      <c r="E50" s="86"/>
      <c r="F50" s="86"/>
      <c r="G50" s="88"/>
      <c r="H50" s="86"/>
      <c r="I50" s="126"/>
      <c r="J50" s="126"/>
      <c r="K50" s="127"/>
      <c r="L50" s="127"/>
      <c r="M50" s="128"/>
      <c r="N50" s="128"/>
      <c r="O50" s="129"/>
      <c r="P50" s="86"/>
      <c r="Q50" s="86"/>
      <c r="R50" s="86"/>
      <c r="S50" s="86"/>
    </row>
    <row r="51" spans="1:19">
      <c r="A51" s="86"/>
      <c r="B51" s="86"/>
      <c r="C51" s="86"/>
      <c r="D51" s="86"/>
      <c r="E51" s="86"/>
      <c r="F51" s="86"/>
      <c r="G51" s="88"/>
      <c r="H51" s="86"/>
      <c r="I51" s="126"/>
      <c r="J51" s="126"/>
      <c r="K51" s="127"/>
      <c r="L51" s="127"/>
      <c r="M51" s="128"/>
      <c r="N51" s="128"/>
      <c r="O51" s="129"/>
      <c r="P51" s="86"/>
      <c r="Q51" s="86"/>
      <c r="R51" s="86"/>
      <c r="S51" s="86"/>
    </row>
    <row r="52" spans="1:19">
      <c r="A52" s="153"/>
      <c r="B52" s="153"/>
      <c r="C52" s="153"/>
      <c r="D52" s="153"/>
      <c r="E52" s="153"/>
      <c r="F52" s="153"/>
      <c r="G52" s="154"/>
      <c r="H52" s="153"/>
      <c r="I52" s="155"/>
      <c r="J52" s="155"/>
      <c r="K52" s="156"/>
      <c r="L52" s="156"/>
      <c r="M52" s="157"/>
      <c r="N52" s="157"/>
      <c r="O52" s="158"/>
      <c r="P52" s="153"/>
      <c r="Q52" s="153"/>
      <c r="R52" s="153"/>
      <c r="S52" s="153"/>
    </row>
    <row r="53" spans="1:19">
      <c r="A53" s="86"/>
      <c r="B53" s="86"/>
      <c r="C53" s="86"/>
      <c r="D53" s="86"/>
      <c r="E53" s="86"/>
      <c r="F53" s="86"/>
      <c r="G53" s="88"/>
      <c r="H53" s="86"/>
      <c r="I53" s="126"/>
      <c r="J53" s="126"/>
      <c r="K53" s="127"/>
      <c r="L53" s="127"/>
      <c r="M53" s="128"/>
      <c r="N53" s="128"/>
      <c r="O53" s="129"/>
      <c r="P53" s="86"/>
      <c r="Q53" s="86"/>
      <c r="R53" s="86"/>
      <c r="S53" s="86"/>
    </row>
    <row r="54" spans="1:19">
      <c r="A54" s="86"/>
      <c r="B54" s="86"/>
      <c r="C54" s="86"/>
      <c r="D54" s="86"/>
      <c r="E54" s="86"/>
      <c r="F54" s="86"/>
      <c r="G54" s="88"/>
      <c r="H54" s="86"/>
      <c r="I54" s="126"/>
      <c r="J54" s="126"/>
      <c r="K54" s="127"/>
      <c r="L54" s="127"/>
      <c r="M54" s="128"/>
      <c r="N54" s="128"/>
      <c r="O54" s="129"/>
      <c r="P54" s="86"/>
      <c r="Q54" s="86"/>
      <c r="R54" s="86"/>
      <c r="S54" s="86"/>
    </row>
    <row r="55" spans="1:19">
      <c r="A55" s="86"/>
      <c r="B55" s="86"/>
      <c r="C55" s="86"/>
      <c r="D55" s="86"/>
      <c r="E55" s="86"/>
      <c r="F55" s="86"/>
      <c r="G55" s="88"/>
      <c r="H55" s="86"/>
      <c r="I55" s="126"/>
      <c r="J55" s="126"/>
      <c r="K55" s="127"/>
      <c r="L55" s="127"/>
      <c r="M55" s="128"/>
      <c r="N55" s="128"/>
      <c r="O55" s="129"/>
      <c r="P55" s="86"/>
      <c r="Q55" s="86"/>
      <c r="R55" s="86"/>
      <c r="S55" s="86"/>
    </row>
    <row r="56" spans="1:19">
      <c r="A56" s="86"/>
      <c r="B56" s="86"/>
      <c r="C56" s="86"/>
      <c r="D56" s="86"/>
      <c r="E56" s="86"/>
      <c r="F56" s="86"/>
      <c r="G56" s="88"/>
      <c r="H56" s="86"/>
      <c r="I56" s="126"/>
      <c r="J56" s="126"/>
      <c r="K56" s="127"/>
      <c r="L56" s="127"/>
      <c r="M56" s="128"/>
      <c r="N56" s="128"/>
      <c r="O56" s="129"/>
      <c r="P56" s="86"/>
      <c r="Q56" s="86"/>
      <c r="R56" s="86"/>
      <c r="S56" s="86"/>
    </row>
    <row r="57" spans="1:19">
      <c r="A57" s="86"/>
      <c r="B57" s="86"/>
      <c r="C57" s="86"/>
      <c r="D57" s="86"/>
      <c r="E57" s="86"/>
      <c r="F57" s="86"/>
      <c r="G57" s="88"/>
      <c r="H57" s="86"/>
      <c r="I57" s="126"/>
      <c r="J57" s="126"/>
      <c r="K57" s="127"/>
      <c r="L57" s="127"/>
      <c r="M57" s="128"/>
      <c r="N57" s="128"/>
      <c r="O57" s="129"/>
      <c r="P57" s="86"/>
      <c r="Q57" s="86"/>
      <c r="R57" s="86"/>
      <c r="S57" s="86"/>
    </row>
    <row r="58" spans="1:19">
      <c r="A58" s="86"/>
      <c r="B58" s="86"/>
      <c r="C58" s="86"/>
      <c r="D58" s="86"/>
      <c r="E58" s="86"/>
      <c r="F58" s="86"/>
      <c r="G58" s="88"/>
      <c r="H58" s="86"/>
      <c r="I58" s="126"/>
      <c r="J58" s="126"/>
      <c r="K58" s="127"/>
      <c r="L58" s="127"/>
      <c r="M58" s="128"/>
      <c r="N58" s="128"/>
      <c r="O58" s="129"/>
      <c r="P58" s="86"/>
      <c r="Q58" s="86"/>
      <c r="R58" s="86"/>
      <c r="S58" s="86"/>
    </row>
    <row r="59" spans="1:19">
      <c r="A59" s="86"/>
      <c r="B59" s="86"/>
      <c r="C59" s="86"/>
      <c r="D59" s="86"/>
      <c r="E59" s="86"/>
      <c r="F59" s="86"/>
      <c r="G59" s="88"/>
      <c r="H59" s="86"/>
      <c r="I59" s="126"/>
      <c r="J59" s="126"/>
      <c r="K59" s="127"/>
      <c r="L59" s="127"/>
      <c r="M59" s="128"/>
      <c r="N59" s="128"/>
      <c r="O59" s="129"/>
      <c r="P59" s="86"/>
      <c r="Q59" s="86"/>
      <c r="R59" s="86"/>
      <c r="S59" s="86"/>
    </row>
    <row r="60" spans="1:19">
      <c r="A60" s="86"/>
      <c r="B60" s="86"/>
      <c r="C60" s="86"/>
      <c r="D60" s="86"/>
      <c r="E60" s="86"/>
      <c r="F60" s="86"/>
      <c r="G60" s="88"/>
      <c r="H60" s="86"/>
      <c r="I60" s="126"/>
      <c r="J60" s="126"/>
      <c r="K60" s="127"/>
      <c r="L60" s="127"/>
      <c r="M60" s="128"/>
      <c r="N60" s="128"/>
      <c r="O60" s="129"/>
      <c r="P60" s="86"/>
      <c r="Q60" s="86"/>
      <c r="R60" s="86"/>
      <c r="S60" s="86"/>
    </row>
    <row r="61" spans="1:19">
      <c r="A61" s="86"/>
      <c r="B61" s="86"/>
      <c r="C61" s="86"/>
      <c r="D61" s="86"/>
      <c r="E61" s="86"/>
      <c r="F61" s="86"/>
      <c r="G61" s="88"/>
      <c r="H61" s="86"/>
      <c r="I61" s="126"/>
      <c r="J61" s="126"/>
      <c r="K61" s="127"/>
      <c r="L61" s="127"/>
      <c r="M61" s="128"/>
      <c r="N61" s="128"/>
      <c r="O61" s="129"/>
      <c r="P61" s="86"/>
      <c r="Q61" s="86"/>
      <c r="R61" s="86"/>
      <c r="S61" s="86"/>
    </row>
    <row r="62" spans="1:19">
      <c r="A62" s="84"/>
      <c r="B62" s="84"/>
      <c r="C62" s="84"/>
      <c r="D62" s="84"/>
      <c r="E62" s="84"/>
      <c r="F62" s="84"/>
      <c r="G62" s="85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</row>
    <row r="63" spans="1:19">
      <c r="A63" s="86"/>
      <c r="B63" s="86"/>
      <c r="C63" s="86"/>
      <c r="D63" s="86"/>
      <c r="E63" s="703" t="s">
        <v>77</v>
      </c>
      <c r="F63" s="704"/>
      <c r="G63" s="704"/>
      <c r="H63" s="704"/>
      <c r="I63" s="704"/>
      <c r="J63" s="704"/>
      <c r="K63" s="704"/>
      <c r="L63" s="705"/>
      <c r="M63" s="86"/>
      <c r="N63" s="86"/>
      <c r="O63" s="86"/>
      <c r="P63" s="86"/>
      <c r="Q63" s="86"/>
      <c r="R63" s="86"/>
      <c r="S63" s="86"/>
    </row>
    <row r="64" spans="1:19">
      <c r="A64" s="86"/>
      <c r="B64" s="86"/>
      <c r="C64" s="86"/>
      <c r="D64" s="86"/>
      <c r="E64" s="706"/>
      <c r="F64" s="707"/>
      <c r="G64" s="707"/>
      <c r="H64" s="707"/>
      <c r="I64" s="707"/>
      <c r="J64" s="707"/>
      <c r="K64" s="707"/>
      <c r="L64" s="708"/>
      <c r="M64" s="86"/>
      <c r="N64" s="86"/>
      <c r="O64" s="86"/>
      <c r="P64" s="86"/>
      <c r="Q64" s="86"/>
      <c r="R64" s="86"/>
      <c r="S64" s="86"/>
    </row>
    <row r="65" spans="1:19">
      <c r="A65" s="87"/>
      <c r="B65" s="86"/>
      <c r="C65" s="86"/>
      <c r="D65" s="86"/>
      <c r="E65" s="86"/>
      <c r="F65" s="86"/>
      <c r="G65" s="88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</row>
    <row r="66" spans="1:19">
      <c r="A66" s="683" t="s">
        <v>78</v>
      </c>
      <c r="B66" s="684"/>
      <c r="C66" s="684"/>
      <c r="D66" s="694"/>
      <c r="E66" s="711" t="s">
        <v>79</v>
      </c>
      <c r="F66" s="712" t="s">
        <v>80</v>
      </c>
      <c r="G66" s="713"/>
      <c r="H66" s="713"/>
      <c r="I66" s="714"/>
      <c r="J66" s="715" t="s">
        <v>81</v>
      </c>
      <c r="K66" s="713"/>
      <c r="L66" s="713"/>
      <c r="M66" s="714"/>
      <c r="N66" s="716" t="s">
        <v>82</v>
      </c>
      <c r="O66" s="713"/>
      <c r="P66" s="713"/>
      <c r="Q66" s="714"/>
      <c r="R66" s="86"/>
      <c r="S66" s="86"/>
    </row>
    <row r="67" spans="1:19">
      <c r="A67" s="709"/>
      <c r="B67" s="710"/>
      <c r="C67" s="710"/>
      <c r="D67" s="678"/>
      <c r="E67" s="678"/>
      <c r="F67" s="90" t="s">
        <v>83</v>
      </c>
      <c r="G67" s="91" t="s">
        <v>84</v>
      </c>
      <c r="H67" s="92" t="s">
        <v>85</v>
      </c>
      <c r="I67" s="93" t="s">
        <v>86</v>
      </c>
      <c r="J67" s="94" t="s">
        <v>83</v>
      </c>
      <c r="K67" s="95" t="s">
        <v>84</v>
      </c>
      <c r="L67" s="96" t="s">
        <v>85</v>
      </c>
      <c r="M67" s="97" t="s">
        <v>86</v>
      </c>
      <c r="N67" s="98" t="s">
        <v>83</v>
      </c>
      <c r="O67" s="99" t="s">
        <v>84</v>
      </c>
      <c r="P67" s="100" t="s">
        <v>85</v>
      </c>
      <c r="Q67" s="101" t="s">
        <v>86</v>
      </c>
      <c r="R67" s="86"/>
      <c r="S67" s="86"/>
    </row>
    <row r="68" spans="1:19">
      <c r="A68" s="717" t="s">
        <v>87</v>
      </c>
      <c r="B68" s="718"/>
      <c r="C68" s="718"/>
      <c r="D68" s="718"/>
      <c r="E68" s="718"/>
      <c r="F68" s="718"/>
      <c r="G68" s="718"/>
      <c r="H68" s="718"/>
      <c r="I68" s="718"/>
      <c r="J68" s="718"/>
      <c r="K68" s="718"/>
      <c r="L68" s="718"/>
      <c r="M68" s="718"/>
      <c r="N68" s="718"/>
      <c r="O68" s="718"/>
      <c r="P68" s="718"/>
      <c r="Q68" s="719"/>
      <c r="R68" s="86"/>
      <c r="S68" s="86"/>
    </row>
    <row r="69" spans="1:19">
      <c r="A69" s="102">
        <v>1</v>
      </c>
      <c r="B69" s="103" t="s">
        <v>88</v>
      </c>
      <c r="C69" s="720" t="s">
        <v>89</v>
      </c>
      <c r="D69" s="680"/>
      <c r="E69" s="104"/>
      <c r="F69" s="104">
        <v>480000</v>
      </c>
      <c r="G69" s="104">
        <v>450000</v>
      </c>
      <c r="H69" s="104"/>
      <c r="I69" s="105"/>
      <c r="J69" s="104">
        <v>436360</v>
      </c>
      <c r="K69" s="104">
        <v>409090</v>
      </c>
      <c r="L69" s="104"/>
      <c r="M69" s="105"/>
      <c r="N69" s="104">
        <v>480000</v>
      </c>
      <c r="O69" s="104">
        <v>450000</v>
      </c>
      <c r="P69" s="104"/>
      <c r="Q69" s="105"/>
      <c r="R69" s="86"/>
      <c r="S69" s="86"/>
    </row>
    <row r="70" spans="1:19">
      <c r="A70" s="102">
        <v>2</v>
      </c>
      <c r="B70" s="103" t="s">
        <v>90</v>
      </c>
      <c r="C70" s="720" t="s">
        <v>91</v>
      </c>
      <c r="D70" s="680"/>
      <c r="E70" s="104"/>
      <c r="F70" s="104">
        <v>1460000</v>
      </c>
      <c r="G70" s="104">
        <v>1440000</v>
      </c>
      <c r="H70" s="104">
        <v>1420000</v>
      </c>
      <c r="I70" s="105">
        <v>1400000</v>
      </c>
      <c r="J70" s="104">
        <v>1327270</v>
      </c>
      <c r="K70" s="104">
        <v>1309090</v>
      </c>
      <c r="L70" s="104">
        <v>1290910</v>
      </c>
      <c r="M70" s="105">
        <v>1272730</v>
      </c>
      <c r="N70" s="104">
        <v>1460000</v>
      </c>
      <c r="O70" s="104">
        <v>1440000</v>
      </c>
      <c r="P70" s="104">
        <v>1420000</v>
      </c>
      <c r="Q70" s="105">
        <v>1400000</v>
      </c>
      <c r="R70" s="86"/>
      <c r="S70" s="86"/>
    </row>
    <row r="71" spans="1:19">
      <c r="A71" s="102">
        <v>3</v>
      </c>
      <c r="B71" s="103" t="s">
        <v>92</v>
      </c>
      <c r="C71" s="720" t="s">
        <v>93</v>
      </c>
      <c r="D71" s="680"/>
      <c r="E71" s="104"/>
      <c r="F71" s="104">
        <v>2410000</v>
      </c>
      <c r="G71" s="104">
        <v>2390000</v>
      </c>
      <c r="H71" s="104">
        <v>2370000</v>
      </c>
      <c r="I71" s="105">
        <v>2350000</v>
      </c>
      <c r="J71" s="104">
        <v>2190910</v>
      </c>
      <c r="K71" s="104">
        <v>2172730</v>
      </c>
      <c r="L71" s="104">
        <v>2154550</v>
      </c>
      <c r="M71" s="105">
        <v>2136360</v>
      </c>
      <c r="N71" s="104">
        <v>2410000</v>
      </c>
      <c r="O71" s="104">
        <v>2390000</v>
      </c>
      <c r="P71" s="104">
        <v>2370000</v>
      </c>
      <c r="Q71" s="105">
        <v>2350000</v>
      </c>
      <c r="R71" s="86"/>
      <c r="S71" s="86"/>
    </row>
    <row r="72" spans="1:19">
      <c r="A72" s="102">
        <v>4</v>
      </c>
      <c r="B72" s="103" t="s">
        <v>94</v>
      </c>
      <c r="C72" s="720" t="s">
        <v>95</v>
      </c>
      <c r="D72" s="680"/>
      <c r="E72" s="104"/>
      <c r="F72" s="104">
        <v>5650000</v>
      </c>
      <c r="G72" s="104">
        <v>5600000</v>
      </c>
      <c r="H72" s="104">
        <v>5550000</v>
      </c>
      <c r="I72" s="105">
        <v>5500000</v>
      </c>
      <c r="J72" s="104">
        <v>5136360</v>
      </c>
      <c r="K72" s="104">
        <v>5090910</v>
      </c>
      <c r="L72" s="104">
        <v>5045450</v>
      </c>
      <c r="M72" s="105">
        <v>5000000</v>
      </c>
      <c r="N72" s="104">
        <v>5650000</v>
      </c>
      <c r="O72" s="104">
        <v>5600000</v>
      </c>
      <c r="P72" s="104">
        <v>5550000</v>
      </c>
      <c r="Q72" s="105">
        <v>5500000</v>
      </c>
      <c r="R72" s="86"/>
      <c r="S72" s="86"/>
    </row>
    <row r="73" spans="1:19">
      <c r="A73" s="102">
        <v>5</v>
      </c>
      <c r="B73" s="103" t="s">
        <v>96</v>
      </c>
      <c r="C73" s="720" t="s">
        <v>97</v>
      </c>
      <c r="D73" s="680"/>
      <c r="E73" s="104"/>
      <c r="F73" s="104"/>
      <c r="G73" s="104"/>
      <c r="H73" s="104"/>
      <c r="I73" s="105"/>
      <c r="J73" s="104"/>
      <c r="K73" s="104"/>
      <c r="L73" s="104"/>
      <c r="M73" s="105"/>
      <c r="N73" s="104"/>
      <c r="O73" s="104"/>
      <c r="P73" s="104"/>
      <c r="Q73" s="105"/>
      <c r="R73" s="86"/>
      <c r="S73" s="86"/>
    </row>
    <row r="74" spans="1:19">
      <c r="A74" s="102">
        <v>6</v>
      </c>
      <c r="B74" s="103" t="s">
        <v>98</v>
      </c>
      <c r="C74" s="720" t="s">
        <v>99</v>
      </c>
      <c r="D74" s="680"/>
      <c r="E74" s="104"/>
      <c r="F74" s="104">
        <v>580000</v>
      </c>
      <c r="G74" s="104">
        <v>550000</v>
      </c>
      <c r="H74" s="104">
        <v>520000</v>
      </c>
      <c r="I74" s="105">
        <v>490000</v>
      </c>
      <c r="J74" s="104">
        <v>527270</v>
      </c>
      <c r="K74" s="104">
        <v>500000</v>
      </c>
      <c r="L74" s="104">
        <v>472730</v>
      </c>
      <c r="M74" s="105">
        <v>445450</v>
      </c>
      <c r="N74" s="104">
        <v>580000</v>
      </c>
      <c r="O74" s="104">
        <v>550000</v>
      </c>
      <c r="P74" s="104">
        <v>520000</v>
      </c>
      <c r="Q74" s="105">
        <v>490000</v>
      </c>
      <c r="R74" s="86"/>
      <c r="S74" s="86"/>
    </row>
    <row r="75" spans="1:19">
      <c r="A75" s="717" t="s">
        <v>100</v>
      </c>
      <c r="B75" s="718"/>
      <c r="C75" s="718"/>
      <c r="D75" s="718"/>
      <c r="E75" s="718"/>
      <c r="F75" s="718"/>
      <c r="G75" s="718"/>
      <c r="H75" s="718"/>
      <c r="I75" s="718"/>
      <c r="J75" s="718"/>
      <c r="K75" s="718"/>
      <c r="L75" s="718"/>
      <c r="M75" s="718"/>
      <c r="N75" s="718"/>
      <c r="O75" s="718"/>
      <c r="P75" s="718"/>
      <c r="Q75" s="719"/>
      <c r="R75" s="86"/>
      <c r="S75" s="86"/>
    </row>
    <row r="76" spans="1:19">
      <c r="A76" s="106">
        <v>1</v>
      </c>
      <c r="B76" s="107" t="s">
        <v>101</v>
      </c>
      <c r="C76" s="721" t="s">
        <v>102</v>
      </c>
      <c r="D76" s="680"/>
      <c r="E76" s="109"/>
      <c r="F76" s="109">
        <v>22000</v>
      </c>
      <c r="G76" s="109">
        <v>21000</v>
      </c>
      <c r="H76" s="104"/>
      <c r="I76" s="110"/>
      <c r="J76" s="109">
        <v>20000</v>
      </c>
      <c r="K76" s="109">
        <v>19090</v>
      </c>
      <c r="L76" s="104"/>
      <c r="M76" s="110"/>
      <c r="N76" s="109">
        <v>20240</v>
      </c>
      <c r="O76" s="109">
        <v>19320</v>
      </c>
      <c r="P76" s="104"/>
      <c r="Q76" s="110"/>
      <c r="R76" s="86"/>
      <c r="S76" s="86">
        <v>0.08</v>
      </c>
    </row>
    <row r="77" spans="1:19">
      <c r="A77" s="102">
        <v>2</v>
      </c>
      <c r="B77" s="103" t="s">
        <v>103</v>
      </c>
      <c r="C77" s="722" t="s">
        <v>104</v>
      </c>
      <c r="D77" s="680"/>
      <c r="E77" s="109"/>
      <c r="F77" s="109">
        <v>22000</v>
      </c>
      <c r="G77" s="109">
        <v>21000</v>
      </c>
      <c r="H77" s="104"/>
      <c r="I77" s="105"/>
      <c r="J77" s="109">
        <v>20000</v>
      </c>
      <c r="K77" s="109">
        <v>19090</v>
      </c>
      <c r="L77" s="104"/>
      <c r="M77" s="105"/>
      <c r="N77" s="109">
        <v>20240</v>
      </c>
      <c r="O77" s="109">
        <v>19320</v>
      </c>
      <c r="P77" s="104"/>
      <c r="Q77" s="105"/>
      <c r="R77" s="86"/>
      <c r="S77" s="86">
        <v>0.08</v>
      </c>
    </row>
    <row r="78" spans="1:19">
      <c r="A78" s="102">
        <v>3</v>
      </c>
      <c r="B78" s="103" t="s">
        <v>105</v>
      </c>
      <c r="C78" s="722" t="s">
        <v>106</v>
      </c>
      <c r="D78" s="680"/>
      <c r="E78" s="104"/>
      <c r="F78" s="104">
        <v>61000</v>
      </c>
      <c r="G78" s="104">
        <v>59000</v>
      </c>
      <c r="H78" s="104">
        <v>57000</v>
      </c>
      <c r="I78" s="105">
        <v>55000</v>
      </c>
      <c r="J78" s="104">
        <v>55450</v>
      </c>
      <c r="K78" s="104">
        <v>53640</v>
      </c>
      <c r="L78" s="104">
        <v>51820</v>
      </c>
      <c r="M78" s="105">
        <v>50000</v>
      </c>
      <c r="N78" s="104">
        <v>56120</v>
      </c>
      <c r="O78" s="104">
        <v>54280</v>
      </c>
      <c r="P78" s="104">
        <v>52440</v>
      </c>
      <c r="Q78" s="105">
        <v>50600</v>
      </c>
      <c r="R78" s="86"/>
      <c r="S78" s="86">
        <v>0.08</v>
      </c>
    </row>
    <row r="79" spans="1:19">
      <c r="A79" s="111">
        <v>4</v>
      </c>
      <c r="B79" s="112" t="s">
        <v>107</v>
      </c>
      <c r="C79" s="723" t="s">
        <v>108</v>
      </c>
      <c r="D79" s="682"/>
      <c r="E79" s="113"/>
      <c r="F79" s="113">
        <v>56000</v>
      </c>
      <c r="G79" s="113">
        <v>54000</v>
      </c>
      <c r="H79" s="113">
        <v>52000</v>
      </c>
      <c r="I79" s="114">
        <v>50000</v>
      </c>
      <c r="J79" s="113">
        <v>50910</v>
      </c>
      <c r="K79" s="113">
        <v>49090</v>
      </c>
      <c r="L79" s="113">
        <v>47270</v>
      </c>
      <c r="M79" s="114">
        <v>45450</v>
      </c>
      <c r="N79" s="113">
        <v>51520</v>
      </c>
      <c r="O79" s="113">
        <v>49680</v>
      </c>
      <c r="P79" s="113">
        <v>47840</v>
      </c>
      <c r="Q79" s="114">
        <v>46000</v>
      </c>
      <c r="R79" s="86"/>
      <c r="S79" s="86">
        <v>0.08</v>
      </c>
    </row>
    <row r="80" spans="1:19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86"/>
      <c r="Q80" s="86"/>
      <c r="R80" s="86"/>
      <c r="S80" s="86"/>
    </row>
    <row r="81" spans="1:19">
      <c r="A81" s="683" t="s">
        <v>78</v>
      </c>
      <c r="B81" s="684"/>
      <c r="C81" s="684"/>
      <c r="D81" s="694"/>
      <c r="E81" s="711" t="s">
        <v>79</v>
      </c>
      <c r="F81" s="712" t="s">
        <v>80</v>
      </c>
      <c r="G81" s="713"/>
      <c r="H81" s="713"/>
      <c r="I81" s="714"/>
      <c r="J81" s="715" t="s">
        <v>81</v>
      </c>
      <c r="K81" s="713"/>
      <c r="L81" s="713"/>
      <c r="M81" s="714"/>
      <c r="N81" s="716" t="s">
        <v>82</v>
      </c>
      <c r="O81" s="713"/>
      <c r="P81" s="713"/>
      <c r="Q81" s="714"/>
      <c r="R81" s="86"/>
      <c r="S81" s="86"/>
    </row>
    <row r="82" spans="1:19">
      <c r="A82" s="709"/>
      <c r="B82" s="710"/>
      <c r="C82" s="710"/>
      <c r="D82" s="678"/>
      <c r="E82" s="678"/>
      <c r="F82" s="90" t="s">
        <v>83</v>
      </c>
      <c r="G82" s="91" t="s">
        <v>109</v>
      </c>
      <c r="H82" s="92" t="s">
        <v>110</v>
      </c>
      <c r="I82" s="93"/>
      <c r="J82" s="94" t="s">
        <v>83</v>
      </c>
      <c r="K82" s="95" t="s">
        <v>109</v>
      </c>
      <c r="L82" s="96" t="s">
        <v>110</v>
      </c>
      <c r="M82" s="97"/>
      <c r="N82" s="98" t="s">
        <v>111</v>
      </c>
      <c r="O82" s="99" t="s">
        <v>109</v>
      </c>
      <c r="P82" s="100" t="s">
        <v>110</v>
      </c>
      <c r="Q82" s="101"/>
      <c r="R82" s="86"/>
      <c r="S82" s="86"/>
    </row>
    <row r="83" spans="1:19">
      <c r="A83" s="106">
        <v>1</v>
      </c>
      <c r="B83" s="107" t="s">
        <v>112</v>
      </c>
      <c r="C83" s="721" t="s">
        <v>113</v>
      </c>
      <c r="D83" s="680"/>
      <c r="E83" s="104"/>
      <c r="F83" s="104">
        <v>20000</v>
      </c>
      <c r="G83" s="104">
        <v>19000</v>
      </c>
      <c r="H83" s="104">
        <v>18000</v>
      </c>
      <c r="I83" s="105"/>
      <c r="J83" s="104">
        <v>18200</v>
      </c>
      <c r="K83" s="104">
        <v>17300</v>
      </c>
      <c r="L83" s="104">
        <v>16400</v>
      </c>
      <c r="M83" s="105"/>
      <c r="N83" s="104">
        <v>19000</v>
      </c>
      <c r="O83" s="104">
        <v>18050</v>
      </c>
      <c r="P83" s="104">
        <v>17100</v>
      </c>
      <c r="Q83" s="105"/>
      <c r="R83" s="86"/>
      <c r="S83" s="86">
        <v>0.05</v>
      </c>
    </row>
    <row r="84" spans="1:19">
      <c r="A84" s="106">
        <v>2</v>
      </c>
      <c r="B84" s="107" t="s">
        <v>114</v>
      </c>
      <c r="C84" s="721" t="s">
        <v>115</v>
      </c>
      <c r="D84" s="680"/>
      <c r="E84" s="104"/>
      <c r="F84" s="104">
        <v>45000</v>
      </c>
      <c r="G84" s="104">
        <v>40000</v>
      </c>
      <c r="H84" s="104">
        <v>35000</v>
      </c>
      <c r="I84" s="105"/>
      <c r="J84" s="104">
        <v>40900</v>
      </c>
      <c r="K84" s="104">
        <v>36400</v>
      </c>
      <c r="L84" s="104">
        <v>31800</v>
      </c>
      <c r="M84" s="105"/>
      <c r="N84" s="104">
        <v>42750</v>
      </c>
      <c r="O84" s="104">
        <v>38000</v>
      </c>
      <c r="P84" s="104">
        <v>33250</v>
      </c>
      <c r="Q84" s="105"/>
      <c r="R84" s="86"/>
      <c r="S84" s="86">
        <v>0.05</v>
      </c>
    </row>
    <row r="85" spans="1:19">
      <c r="A85" s="106">
        <v>3</v>
      </c>
      <c r="B85" s="107" t="s">
        <v>116</v>
      </c>
      <c r="C85" s="726" t="s">
        <v>117</v>
      </c>
      <c r="D85" s="680"/>
      <c r="E85" s="104"/>
      <c r="F85" s="104">
        <v>40000</v>
      </c>
      <c r="G85" s="104">
        <v>35000</v>
      </c>
      <c r="H85" s="104">
        <v>30000</v>
      </c>
      <c r="I85" s="105"/>
      <c r="J85" s="104">
        <v>36400</v>
      </c>
      <c r="K85" s="104">
        <v>31800</v>
      </c>
      <c r="L85" s="104">
        <v>27300</v>
      </c>
      <c r="M85" s="105"/>
      <c r="N85" s="104">
        <v>38000</v>
      </c>
      <c r="O85" s="104">
        <v>33250</v>
      </c>
      <c r="P85" s="104">
        <v>28500</v>
      </c>
      <c r="Q85" s="105"/>
      <c r="R85" s="86"/>
      <c r="S85" s="86">
        <v>0.05</v>
      </c>
    </row>
    <row r="86" spans="1:19">
      <c r="A86" s="106">
        <v>4</v>
      </c>
      <c r="B86" s="107" t="s">
        <v>118</v>
      </c>
      <c r="C86" s="721" t="s">
        <v>119</v>
      </c>
      <c r="D86" s="680"/>
      <c r="E86" s="104"/>
      <c r="F86" s="104">
        <v>81500</v>
      </c>
      <c r="G86" s="104">
        <v>71300</v>
      </c>
      <c r="H86" s="104">
        <v>66200</v>
      </c>
      <c r="I86" s="105"/>
      <c r="J86" s="104">
        <v>74100</v>
      </c>
      <c r="K86" s="104">
        <v>64800</v>
      </c>
      <c r="L86" s="104">
        <v>60200</v>
      </c>
      <c r="M86" s="105"/>
      <c r="N86" s="104">
        <v>77430</v>
      </c>
      <c r="O86" s="104">
        <v>67740</v>
      </c>
      <c r="P86" s="104">
        <v>62890</v>
      </c>
      <c r="Q86" s="105"/>
      <c r="R86" s="86"/>
      <c r="S86" s="86">
        <v>0.05</v>
      </c>
    </row>
    <row r="87" spans="1:19">
      <c r="A87" s="106">
        <v>5</v>
      </c>
      <c r="B87" s="107" t="s">
        <v>120</v>
      </c>
      <c r="C87" s="721" t="s">
        <v>121</v>
      </c>
      <c r="D87" s="680"/>
      <c r="E87" s="104"/>
      <c r="F87" s="104">
        <v>81500</v>
      </c>
      <c r="G87" s="104">
        <v>71300</v>
      </c>
      <c r="H87" s="104">
        <v>66200</v>
      </c>
      <c r="I87" s="105"/>
      <c r="J87" s="104">
        <v>74100</v>
      </c>
      <c r="K87" s="104">
        <v>64800</v>
      </c>
      <c r="L87" s="104">
        <v>60200</v>
      </c>
      <c r="M87" s="105"/>
      <c r="N87" s="104">
        <v>77430</v>
      </c>
      <c r="O87" s="104">
        <v>67740</v>
      </c>
      <c r="P87" s="104">
        <v>62890</v>
      </c>
      <c r="Q87" s="105"/>
      <c r="R87" s="86"/>
      <c r="S87" s="86">
        <v>0.05</v>
      </c>
    </row>
    <row r="88" spans="1:19">
      <c r="A88" s="106" t="s">
        <v>122</v>
      </c>
      <c r="B88" s="107" t="s">
        <v>123</v>
      </c>
      <c r="C88" s="721" t="s">
        <v>124</v>
      </c>
      <c r="D88" s="680"/>
      <c r="E88" s="104"/>
      <c r="F88" s="104">
        <v>45000</v>
      </c>
      <c r="G88" s="104">
        <v>35000</v>
      </c>
      <c r="H88" s="104">
        <v>35000</v>
      </c>
      <c r="I88" s="105"/>
      <c r="J88" s="104">
        <v>40900</v>
      </c>
      <c r="K88" s="104">
        <v>31800</v>
      </c>
      <c r="L88" s="104">
        <v>31800</v>
      </c>
      <c r="M88" s="105"/>
      <c r="N88" s="104">
        <v>42750</v>
      </c>
      <c r="O88" s="104">
        <v>33250</v>
      </c>
      <c r="P88" s="104">
        <v>33250</v>
      </c>
      <c r="Q88" s="105"/>
      <c r="R88" s="86"/>
      <c r="S88" s="86">
        <v>0.05</v>
      </c>
    </row>
    <row r="89" spans="1:19">
      <c r="A89" s="106" t="s">
        <v>122</v>
      </c>
      <c r="B89" s="107" t="s">
        <v>125</v>
      </c>
      <c r="C89" s="721" t="s">
        <v>126</v>
      </c>
      <c r="D89" s="680"/>
      <c r="E89" s="104"/>
      <c r="F89" s="104">
        <v>40000</v>
      </c>
      <c r="G89" s="104">
        <v>30000</v>
      </c>
      <c r="H89" s="104">
        <v>25000</v>
      </c>
      <c r="I89" s="105"/>
      <c r="J89" s="104">
        <v>36400</v>
      </c>
      <c r="K89" s="104">
        <v>27300</v>
      </c>
      <c r="L89" s="104">
        <v>22700</v>
      </c>
      <c r="M89" s="105"/>
      <c r="N89" s="104">
        <v>38000</v>
      </c>
      <c r="O89" s="104">
        <v>28500</v>
      </c>
      <c r="P89" s="104">
        <v>23750</v>
      </c>
      <c r="Q89" s="105"/>
      <c r="R89" s="86"/>
      <c r="S89" s="86">
        <v>0.05</v>
      </c>
    </row>
    <row r="90" spans="1:19">
      <c r="A90" s="116">
        <v>6</v>
      </c>
      <c r="B90" s="117" t="s">
        <v>127</v>
      </c>
      <c r="C90" s="724" t="s">
        <v>128</v>
      </c>
      <c r="D90" s="725"/>
      <c r="E90" s="118"/>
      <c r="F90" s="104">
        <v>18000</v>
      </c>
      <c r="G90" s="104">
        <v>17000</v>
      </c>
      <c r="H90" s="104">
        <v>16000</v>
      </c>
      <c r="I90" s="105"/>
      <c r="J90" s="104">
        <v>16400</v>
      </c>
      <c r="K90" s="104">
        <v>15500</v>
      </c>
      <c r="L90" s="104">
        <v>14500</v>
      </c>
      <c r="M90" s="105"/>
      <c r="N90" s="104">
        <v>17100</v>
      </c>
      <c r="O90" s="104">
        <v>16150</v>
      </c>
      <c r="P90" s="104">
        <v>15200</v>
      </c>
      <c r="Q90" s="105"/>
      <c r="R90" s="86"/>
      <c r="S90" s="86">
        <v>0.05</v>
      </c>
    </row>
    <row r="91" spans="1:19">
      <c r="A91" s="683" t="s">
        <v>129</v>
      </c>
      <c r="B91" s="684"/>
      <c r="C91" s="684"/>
      <c r="D91" s="694"/>
      <c r="E91" s="711" t="s">
        <v>79</v>
      </c>
      <c r="F91" s="712" t="s">
        <v>80</v>
      </c>
      <c r="G91" s="713"/>
      <c r="H91" s="713"/>
      <c r="I91" s="714"/>
      <c r="J91" s="715" t="s">
        <v>81</v>
      </c>
      <c r="K91" s="713"/>
      <c r="L91" s="713"/>
      <c r="M91" s="714"/>
      <c r="N91" s="716" t="s">
        <v>82</v>
      </c>
      <c r="O91" s="713"/>
      <c r="P91" s="713"/>
      <c r="Q91" s="714"/>
      <c r="R91" s="86"/>
      <c r="S91" s="86"/>
    </row>
    <row r="92" spans="1:19">
      <c r="A92" s="709"/>
      <c r="B92" s="710"/>
      <c r="C92" s="710"/>
      <c r="D92" s="678"/>
      <c r="E92" s="678"/>
      <c r="F92" s="90" t="s">
        <v>83</v>
      </c>
      <c r="G92" s="91" t="s">
        <v>130</v>
      </c>
      <c r="H92" s="92" t="s">
        <v>131</v>
      </c>
      <c r="I92" s="93"/>
      <c r="J92" s="94" t="s">
        <v>83</v>
      </c>
      <c r="K92" s="95" t="s">
        <v>130</v>
      </c>
      <c r="L92" s="96" t="s">
        <v>131</v>
      </c>
      <c r="M92" s="97"/>
      <c r="N92" s="98" t="s">
        <v>83</v>
      </c>
      <c r="O92" s="99" t="s">
        <v>130</v>
      </c>
      <c r="P92" s="100" t="s">
        <v>131</v>
      </c>
      <c r="Q92" s="101"/>
      <c r="R92" s="86"/>
      <c r="S92" s="86"/>
    </row>
    <row r="93" spans="1:19">
      <c r="A93" s="106">
        <v>2</v>
      </c>
      <c r="B93" s="107" t="s">
        <v>134</v>
      </c>
      <c r="C93" s="679" t="s">
        <v>135</v>
      </c>
      <c r="D93" s="680"/>
      <c r="E93" s="104"/>
      <c r="F93" s="104">
        <v>35000</v>
      </c>
      <c r="G93" s="104"/>
      <c r="H93" s="104"/>
      <c r="I93" s="105"/>
      <c r="J93" s="104">
        <v>31800</v>
      </c>
      <c r="K93" s="104"/>
      <c r="L93" s="104"/>
      <c r="M93" s="105"/>
      <c r="N93" s="104">
        <v>35000</v>
      </c>
      <c r="O93" s="104"/>
      <c r="P93" s="104"/>
      <c r="Q93" s="105"/>
      <c r="R93" s="86"/>
      <c r="S93" s="86"/>
    </row>
    <row r="94" spans="1:19">
      <c r="A94" s="124">
        <v>3</v>
      </c>
      <c r="B94" s="125" t="s">
        <v>136</v>
      </c>
      <c r="C94" s="681" t="s">
        <v>137</v>
      </c>
      <c r="D94" s="682"/>
      <c r="E94" s="113"/>
      <c r="F94" s="113">
        <v>15000</v>
      </c>
      <c r="G94" s="113"/>
      <c r="H94" s="113"/>
      <c r="I94" s="114"/>
      <c r="J94" s="113">
        <v>13600</v>
      </c>
      <c r="K94" s="113"/>
      <c r="L94" s="113"/>
      <c r="M94" s="114"/>
      <c r="N94" s="113">
        <v>15000</v>
      </c>
      <c r="O94" s="113"/>
      <c r="P94" s="113"/>
      <c r="Q94" s="114"/>
      <c r="R94" s="86"/>
      <c r="S94" s="86"/>
    </row>
    <row r="95" spans="1:19">
      <c r="A95" s="86"/>
      <c r="B95" s="86"/>
      <c r="C95" s="86"/>
      <c r="D95" s="86"/>
      <c r="E95" s="86"/>
      <c r="F95" s="86"/>
      <c r="G95" s="88"/>
      <c r="H95" s="86"/>
      <c r="I95" s="126"/>
      <c r="J95" s="126"/>
      <c r="K95" s="127"/>
      <c r="L95" s="127"/>
      <c r="M95" s="128"/>
      <c r="N95" s="128"/>
      <c r="O95" s="129"/>
      <c r="P95" s="86"/>
      <c r="Q95" s="86"/>
      <c r="R95" s="86"/>
      <c r="S95" s="86"/>
    </row>
    <row r="96" spans="1:19">
      <c r="A96" s="683" t="s">
        <v>138</v>
      </c>
      <c r="B96" s="684"/>
      <c r="C96" s="684"/>
      <c r="D96" s="684"/>
      <c r="E96" s="684"/>
      <c r="F96" s="684"/>
      <c r="G96" s="684"/>
      <c r="H96" s="684"/>
      <c r="I96" s="684"/>
      <c r="J96" s="684"/>
      <c r="K96" s="684"/>
      <c r="L96" s="684"/>
      <c r="M96" s="684"/>
      <c r="N96" s="684"/>
      <c r="O96" s="684"/>
      <c r="P96" s="684"/>
      <c r="Q96" s="685"/>
      <c r="R96" s="86"/>
      <c r="S96" s="86"/>
    </row>
    <row r="97" spans="1:19">
      <c r="A97" s="686" t="s">
        <v>139</v>
      </c>
      <c r="B97" s="672"/>
      <c r="C97" s="672"/>
      <c r="D97" s="672"/>
      <c r="E97" s="672"/>
      <c r="F97" s="672"/>
      <c r="G97" s="672"/>
      <c r="H97" s="115"/>
      <c r="I97" s="127"/>
      <c r="J97" s="126"/>
      <c r="K97" s="127"/>
      <c r="L97" s="127"/>
      <c r="M97" s="128"/>
      <c r="N97" s="128"/>
      <c r="O97" s="129"/>
      <c r="P97" s="86"/>
      <c r="Q97" s="130"/>
      <c r="R97" s="86"/>
      <c r="S97" s="86"/>
    </row>
    <row r="98" spans="1:19">
      <c r="A98" s="686" t="s">
        <v>140</v>
      </c>
      <c r="B98" s="672"/>
      <c r="C98" s="672"/>
      <c r="D98" s="672"/>
      <c r="E98" s="672"/>
      <c r="F98" s="672"/>
      <c r="G98" s="672"/>
      <c r="H98" s="115"/>
      <c r="I98" s="127"/>
      <c r="J98" s="126"/>
      <c r="K98" s="127"/>
      <c r="L98" s="127"/>
      <c r="M98" s="128"/>
      <c r="N98" s="128"/>
      <c r="O98" s="129"/>
      <c r="P98" s="86"/>
      <c r="Q98" s="130"/>
      <c r="R98" s="86"/>
      <c r="S98" s="86"/>
    </row>
    <row r="99" spans="1:19">
      <c r="A99" s="687" t="s">
        <v>141</v>
      </c>
      <c r="B99" s="688"/>
      <c r="C99" s="688"/>
      <c r="D99" s="688"/>
      <c r="E99" s="688"/>
      <c r="F99" s="688"/>
      <c r="G99" s="688"/>
      <c r="H99" s="131"/>
      <c r="I99" s="127"/>
      <c r="J99" s="126"/>
      <c r="K99" s="127"/>
      <c r="L99" s="127"/>
      <c r="M99" s="128"/>
      <c r="N99" s="128"/>
      <c r="O99" s="129"/>
      <c r="P99" s="86"/>
      <c r="Q99" s="132"/>
      <c r="R99" s="86"/>
      <c r="S99" s="86"/>
    </row>
    <row r="100" spans="1:19">
      <c r="A100" s="689" t="s">
        <v>142</v>
      </c>
      <c r="B100" s="691" t="s">
        <v>143</v>
      </c>
      <c r="C100" s="693" t="s">
        <v>144</v>
      </c>
      <c r="D100" s="694"/>
      <c r="E100" s="697" t="s">
        <v>79</v>
      </c>
      <c r="F100" s="698" t="s">
        <v>80</v>
      </c>
      <c r="G100" s="699"/>
      <c r="H100" s="699"/>
      <c r="I100" s="700"/>
      <c r="J100" s="701" t="s">
        <v>81</v>
      </c>
      <c r="K100" s="699"/>
      <c r="L100" s="699"/>
      <c r="M100" s="700"/>
      <c r="N100" s="702" t="s">
        <v>82</v>
      </c>
      <c r="O100" s="699"/>
      <c r="P100" s="699"/>
      <c r="Q100" s="700"/>
      <c r="R100" s="86"/>
      <c r="S100" s="86"/>
    </row>
    <row r="101" spans="1:19">
      <c r="A101" s="690"/>
      <c r="B101" s="692"/>
      <c r="C101" s="695"/>
      <c r="D101" s="696"/>
      <c r="E101" s="692"/>
      <c r="F101" s="133" t="s">
        <v>83</v>
      </c>
      <c r="G101" s="133"/>
      <c r="H101" s="133"/>
      <c r="I101" s="134"/>
      <c r="J101" s="135" t="s">
        <v>83</v>
      </c>
      <c r="K101" s="135"/>
      <c r="L101" s="135"/>
      <c r="M101" s="136"/>
      <c r="N101" s="137" t="s">
        <v>83</v>
      </c>
      <c r="O101" s="137"/>
      <c r="P101" s="137"/>
      <c r="Q101" s="138"/>
      <c r="R101" s="86"/>
      <c r="S101" s="86"/>
    </row>
    <row r="102" spans="1:19">
      <c r="A102" s="139"/>
      <c r="B102" s="140" t="s">
        <v>145</v>
      </c>
      <c r="C102" s="727" t="s">
        <v>146</v>
      </c>
      <c r="D102" s="728"/>
      <c r="E102" s="140" t="s">
        <v>147</v>
      </c>
      <c r="F102" s="141">
        <v>60500</v>
      </c>
      <c r="G102" s="141"/>
      <c r="H102" s="141"/>
      <c r="I102" s="142"/>
      <c r="J102" s="141">
        <v>55000</v>
      </c>
      <c r="K102" s="141"/>
      <c r="L102" s="141"/>
      <c r="M102" s="142"/>
      <c r="N102" s="141">
        <v>57475</v>
      </c>
      <c r="O102" s="141"/>
      <c r="P102" s="141"/>
      <c r="Q102" s="142"/>
      <c r="R102" s="86"/>
      <c r="S102" s="86">
        <v>0.05</v>
      </c>
    </row>
    <row r="103" spans="1:19">
      <c r="A103" s="143"/>
      <c r="B103" s="144" t="s">
        <v>148</v>
      </c>
      <c r="C103" s="729" t="s">
        <v>149</v>
      </c>
      <c r="D103" s="730"/>
      <c r="E103" s="144" t="s">
        <v>147</v>
      </c>
      <c r="F103" s="145">
        <v>60500</v>
      </c>
      <c r="G103" s="145"/>
      <c r="H103" s="145"/>
      <c r="I103" s="146"/>
      <c r="J103" s="145">
        <v>55000</v>
      </c>
      <c r="K103" s="145"/>
      <c r="L103" s="145"/>
      <c r="M103" s="146"/>
      <c r="N103" s="145">
        <v>57475</v>
      </c>
      <c r="O103" s="145"/>
      <c r="P103" s="145"/>
      <c r="Q103" s="146"/>
      <c r="R103" s="86"/>
      <c r="S103" s="86">
        <v>0.05</v>
      </c>
    </row>
    <row r="104" spans="1:19">
      <c r="A104" s="147"/>
      <c r="B104" s="148" t="s">
        <v>150</v>
      </c>
      <c r="C104" s="731" t="s">
        <v>151</v>
      </c>
      <c r="D104" s="730"/>
      <c r="E104" s="148" t="s">
        <v>147</v>
      </c>
      <c r="F104" s="141">
        <v>60500</v>
      </c>
      <c r="G104" s="141"/>
      <c r="H104" s="141"/>
      <c r="I104" s="142"/>
      <c r="J104" s="141">
        <v>55000</v>
      </c>
      <c r="K104" s="141"/>
      <c r="L104" s="141"/>
      <c r="M104" s="142"/>
      <c r="N104" s="141">
        <v>57475</v>
      </c>
      <c r="O104" s="141"/>
      <c r="P104" s="141"/>
      <c r="Q104" s="142"/>
      <c r="R104" s="86"/>
      <c r="S104" s="86">
        <v>0.05</v>
      </c>
    </row>
    <row r="105" spans="1:19">
      <c r="A105" s="143"/>
      <c r="B105" s="144" t="s">
        <v>152</v>
      </c>
      <c r="C105" s="729" t="s">
        <v>153</v>
      </c>
      <c r="D105" s="730"/>
      <c r="E105" s="144" t="s">
        <v>147</v>
      </c>
      <c r="F105" s="145">
        <v>60500</v>
      </c>
      <c r="G105" s="145"/>
      <c r="H105" s="145"/>
      <c r="I105" s="146"/>
      <c r="J105" s="145">
        <v>55000</v>
      </c>
      <c r="K105" s="145"/>
      <c r="L105" s="145"/>
      <c r="M105" s="146"/>
      <c r="N105" s="145">
        <v>57475</v>
      </c>
      <c r="O105" s="145"/>
      <c r="P105" s="145"/>
      <c r="Q105" s="146"/>
      <c r="R105" s="86"/>
      <c r="S105" s="86">
        <v>0.05</v>
      </c>
    </row>
    <row r="106" spans="1:19">
      <c r="A106" s="147"/>
      <c r="B106" s="148" t="s">
        <v>154</v>
      </c>
      <c r="C106" s="731" t="s">
        <v>155</v>
      </c>
      <c r="D106" s="730"/>
      <c r="E106" s="148" t="s">
        <v>147</v>
      </c>
      <c r="F106" s="141">
        <v>60500</v>
      </c>
      <c r="G106" s="141"/>
      <c r="H106" s="141"/>
      <c r="I106" s="142"/>
      <c r="J106" s="141">
        <v>55000</v>
      </c>
      <c r="K106" s="141"/>
      <c r="L106" s="141"/>
      <c r="M106" s="142"/>
      <c r="N106" s="141">
        <v>57475</v>
      </c>
      <c r="O106" s="141"/>
      <c r="P106" s="141"/>
      <c r="Q106" s="142"/>
      <c r="R106" s="86"/>
      <c r="S106" s="86">
        <v>0.05</v>
      </c>
    </row>
    <row r="107" spans="1:19">
      <c r="A107" s="149"/>
      <c r="B107" s="150" t="s">
        <v>156</v>
      </c>
      <c r="C107" s="732" t="s">
        <v>157</v>
      </c>
      <c r="D107" s="733"/>
      <c r="E107" s="150" t="s">
        <v>147</v>
      </c>
      <c r="F107" s="151">
        <v>60500</v>
      </c>
      <c r="G107" s="151"/>
      <c r="H107" s="151"/>
      <c r="I107" s="152"/>
      <c r="J107" s="151">
        <v>55000</v>
      </c>
      <c r="K107" s="151"/>
      <c r="L107" s="151"/>
      <c r="M107" s="152"/>
      <c r="N107" s="151">
        <v>57475</v>
      </c>
      <c r="O107" s="151"/>
      <c r="P107" s="151"/>
      <c r="Q107" s="152"/>
      <c r="R107" s="86"/>
      <c r="S107" s="86">
        <v>0.05</v>
      </c>
    </row>
    <row r="108" spans="1:19">
      <c r="A108" s="86"/>
      <c r="B108" s="86"/>
      <c r="C108" s="86"/>
      <c r="D108" s="86"/>
      <c r="E108" s="86"/>
      <c r="F108" s="86"/>
      <c r="G108" s="88"/>
      <c r="H108" s="86"/>
      <c r="I108" s="126"/>
      <c r="J108" s="126"/>
      <c r="K108" s="127"/>
      <c r="L108" s="127"/>
      <c r="M108" s="128"/>
      <c r="N108" s="128"/>
      <c r="O108" s="129"/>
      <c r="P108" s="86"/>
      <c r="Q108" s="86"/>
      <c r="R108" s="86"/>
      <c r="S108" s="86"/>
    </row>
    <row r="109" spans="1:19">
      <c r="A109" s="86"/>
      <c r="B109" s="86"/>
      <c r="C109" s="86"/>
      <c r="D109" s="86"/>
      <c r="E109" s="86"/>
      <c r="F109" s="86"/>
      <c r="G109" s="88"/>
      <c r="H109" s="86"/>
      <c r="I109" s="126"/>
      <c r="J109" s="126"/>
      <c r="K109" s="127"/>
      <c r="L109" s="127"/>
      <c r="M109" s="128"/>
      <c r="N109" s="128"/>
      <c r="O109" s="129"/>
      <c r="P109" s="86"/>
      <c r="Q109" s="86"/>
      <c r="R109" s="86"/>
      <c r="S109" s="86"/>
    </row>
  </sheetData>
  <mergeCells count="111">
    <mergeCell ref="N100:Q100"/>
    <mergeCell ref="B100:B101"/>
    <mergeCell ref="C100:D101"/>
    <mergeCell ref="C102:D102"/>
    <mergeCell ref="C103:D103"/>
    <mergeCell ref="C104:D104"/>
    <mergeCell ref="C105:D105"/>
    <mergeCell ref="C106:D106"/>
    <mergeCell ref="C107:D107"/>
    <mergeCell ref="J100:M100"/>
    <mergeCell ref="C87:D87"/>
    <mergeCell ref="C88:D88"/>
    <mergeCell ref="C89:D89"/>
    <mergeCell ref="C90:D90"/>
    <mergeCell ref="A91:D92"/>
    <mergeCell ref="E91:E92"/>
    <mergeCell ref="F91:I91"/>
    <mergeCell ref="J91:M91"/>
    <mergeCell ref="N91:Q91"/>
    <mergeCell ref="E81:E82"/>
    <mergeCell ref="F81:I81"/>
    <mergeCell ref="J81:M81"/>
    <mergeCell ref="N81:Q81"/>
    <mergeCell ref="A81:D82"/>
    <mergeCell ref="C83:D83"/>
    <mergeCell ref="C84:D84"/>
    <mergeCell ref="C85:D85"/>
    <mergeCell ref="C86:D86"/>
    <mergeCell ref="C71:D71"/>
    <mergeCell ref="C72:D72"/>
    <mergeCell ref="C73:D73"/>
    <mergeCell ref="C74:D74"/>
    <mergeCell ref="A75:Q75"/>
    <mergeCell ref="C76:D76"/>
    <mergeCell ref="C77:D77"/>
    <mergeCell ref="C78:D78"/>
    <mergeCell ref="C79:D79"/>
    <mergeCell ref="C42:D42"/>
    <mergeCell ref="C43:D43"/>
    <mergeCell ref="C44:D44"/>
    <mergeCell ref="C45:D45"/>
    <mergeCell ref="C46:D46"/>
    <mergeCell ref="C47:D47"/>
    <mergeCell ref="E63:L64"/>
    <mergeCell ref="E100:E101"/>
    <mergeCell ref="F100:I100"/>
    <mergeCell ref="C93:D93"/>
    <mergeCell ref="C94:D94"/>
    <mergeCell ref="A96:Q96"/>
    <mergeCell ref="A97:G97"/>
    <mergeCell ref="A98:G98"/>
    <mergeCell ref="A99:G99"/>
    <mergeCell ref="A100:A101"/>
    <mergeCell ref="A66:D67"/>
    <mergeCell ref="E66:E67"/>
    <mergeCell ref="F66:I66"/>
    <mergeCell ref="J66:M66"/>
    <mergeCell ref="N66:Q66"/>
    <mergeCell ref="A68:Q68"/>
    <mergeCell ref="C69:D69"/>
    <mergeCell ref="C70:D70"/>
    <mergeCell ref="C29:D29"/>
    <mergeCell ref="A30:D31"/>
    <mergeCell ref="E30:E31"/>
    <mergeCell ref="F30:I30"/>
    <mergeCell ref="J30:M30"/>
    <mergeCell ref="N30:Q30"/>
    <mergeCell ref="C22:D22"/>
    <mergeCell ref="C23:D23"/>
    <mergeCell ref="C24:D24"/>
    <mergeCell ref="C25:D25"/>
    <mergeCell ref="C26:D26"/>
    <mergeCell ref="C27:D27"/>
    <mergeCell ref="C28:D28"/>
    <mergeCell ref="C10:D10"/>
    <mergeCell ref="C11:D11"/>
    <mergeCell ref="C12:D12"/>
    <mergeCell ref="C13:D13"/>
    <mergeCell ref="A14:Q14"/>
    <mergeCell ref="J20:M20"/>
    <mergeCell ref="N20:Q20"/>
    <mergeCell ref="C15:D15"/>
    <mergeCell ref="C16:D16"/>
    <mergeCell ref="C17:D17"/>
    <mergeCell ref="C18:D18"/>
    <mergeCell ref="A20:D21"/>
    <mergeCell ref="E20:E21"/>
    <mergeCell ref="F20:I20"/>
    <mergeCell ref="E2:L3"/>
    <mergeCell ref="A5:D6"/>
    <mergeCell ref="E5:E6"/>
    <mergeCell ref="F5:I5"/>
    <mergeCell ref="J5:M5"/>
    <mergeCell ref="N5:Q5"/>
    <mergeCell ref="A7:Q7"/>
    <mergeCell ref="C8:D8"/>
    <mergeCell ref="C9:D9"/>
    <mergeCell ref="C32:D32"/>
    <mergeCell ref="C33:D33"/>
    <mergeCell ref="C34:D34"/>
    <mergeCell ref="A36:Q36"/>
    <mergeCell ref="A37:G37"/>
    <mergeCell ref="A38:G38"/>
    <mergeCell ref="A39:G39"/>
    <mergeCell ref="A40:A41"/>
    <mergeCell ref="B40:B41"/>
    <mergeCell ref="C40:D41"/>
    <mergeCell ref="E40:E41"/>
    <mergeCell ref="F40:I40"/>
    <mergeCell ref="J40:M40"/>
    <mergeCell ref="N40:Q40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D198"/>
  <sheetViews>
    <sheetView showGridLines="0" topLeftCell="A144" workbookViewId="0">
      <selection activeCell="B144" sqref="B1:B1048576"/>
    </sheetView>
  </sheetViews>
  <sheetFormatPr defaultColWidth="12.5703125" defaultRowHeight="15" customHeight="1"/>
  <cols>
    <col min="1" max="1" width="5" customWidth="1"/>
    <col min="2" max="2" width="11.42578125" customWidth="1"/>
    <col min="3" max="3" width="13.140625" customWidth="1"/>
    <col min="4" max="4" width="8" customWidth="1"/>
    <col min="5" max="5" width="7.42578125" customWidth="1"/>
    <col min="6" max="6" width="10.42578125" customWidth="1"/>
    <col min="7" max="8" width="12.140625" customWidth="1"/>
    <col min="9" max="9" width="12.140625" hidden="1" customWidth="1"/>
    <col min="10" max="10" width="10" customWidth="1"/>
    <col min="11" max="11" width="11.85546875" customWidth="1"/>
    <col min="12" max="12" width="13.140625" customWidth="1"/>
    <col min="13" max="13" width="13.140625" hidden="1" customWidth="1"/>
    <col min="14" max="14" width="10.5703125" customWidth="1"/>
    <col min="15" max="16" width="12" customWidth="1"/>
    <col min="17" max="17" width="12" hidden="1" customWidth="1"/>
    <col min="18" max="18" width="10.42578125" customWidth="1"/>
    <col min="19" max="20" width="12.140625" customWidth="1"/>
    <col min="21" max="21" width="12.140625" hidden="1" customWidth="1"/>
    <col min="22" max="22" width="10.5703125" customWidth="1"/>
    <col min="23" max="24" width="11.5703125" customWidth="1"/>
    <col min="25" max="25" width="11.5703125" hidden="1" customWidth="1"/>
    <col min="26" max="26" width="9.5703125" customWidth="1"/>
    <col min="27" max="28" width="11.85546875" customWidth="1"/>
    <col min="29" max="30" width="11.85546875" hidden="1" customWidth="1"/>
  </cols>
  <sheetData>
    <row r="1" spans="1:30">
      <c r="A1" s="115"/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60"/>
      <c r="M1" s="84"/>
      <c r="N1" s="161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</row>
    <row r="2" spans="1:30">
      <c r="A2" s="162"/>
      <c r="B2" s="163"/>
      <c r="C2" s="163"/>
      <c r="D2" s="163"/>
      <c r="E2" s="115"/>
      <c r="F2" s="163"/>
      <c r="G2" s="163"/>
      <c r="H2" s="703" t="s">
        <v>158</v>
      </c>
      <c r="I2" s="704"/>
      <c r="J2" s="704"/>
      <c r="K2" s="704"/>
      <c r="L2" s="704"/>
      <c r="M2" s="704"/>
      <c r="N2" s="704"/>
      <c r="O2" s="704"/>
      <c r="P2" s="704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</row>
    <row r="3" spans="1:30">
      <c r="A3" s="164"/>
      <c r="B3" s="164"/>
      <c r="C3" s="164"/>
      <c r="D3" s="164"/>
      <c r="E3" s="164"/>
      <c r="F3" s="164"/>
      <c r="G3" s="164"/>
      <c r="H3" s="734"/>
      <c r="I3" s="672"/>
      <c r="J3" s="672"/>
      <c r="K3" s="672"/>
      <c r="L3" s="672"/>
      <c r="M3" s="672"/>
      <c r="N3" s="672"/>
      <c r="O3" s="672"/>
      <c r="P3" s="672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</row>
    <row r="4" spans="1:30">
      <c r="A4" s="735"/>
      <c r="B4" s="704"/>
      <c r="C4" s="704"/>
      <c r="D4" s="704"/>
      <c r="E4" s="704"/>
      <c r="F4" s="705"/>
      <c r="G4" s="165"/>
      <c r="H4" s="166"/>
      <c r="I4" s="166"/>
      <c r="J4" s="167"/>
      <c r="K4" s="167"/>
      <c r="L4" s="167"/>
      <c r="M4" s="168"/>
      <c r="N4" s="161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89"/>
    </row>
    <row r="5" spans="1:30" ht="15.75" customHeight="1">
      <c r="A5" s="736" t="s">
        <v>78</v>
      </c>
      <c r="B5" s="684"/>
      <c r="C5" s="684"/>
      <c r="D5" s="694"/>
      <c r="E5" s="739" t="s">
        <v>79</v>
      </c>
      <c r="F5" s="742" t="s">
        <v>159</v>
      </c>
      <c r="G5" s="684"/>
      <c r="H5" s="684"/>
      <c r="I5" s="684"/>
      <c r="J5" s="684"/>
      <c r="K5" s="684"/>
      <c r="L5" s="684"/>
      <c r="M5" s="685"/>
      <c r="N5" s="743" t="s">
        <v>159</v>
      </c>
      <c r="O5" s="684"/>
      <c r="P5" s="684"/>
      <c r="Q5" s="684"/>
      <c r="R5" s="684"/>
      <c r="S5" s="684"/>
      <c r="T5" s="684"/>
      <c r="U5" s="685"/>
      <c r="V5" s="744" t="s">
        <v>159</v>
      </c>
      <c r="W5" s="684"/>
      <c r="X5" s="684"/>
      <c r="Y5" s="684"/>
      <c r="Z5" s="684"/>
      <c r="AA5" s="684"/>
      <c r="AB5" s="684"/>
      <c r="AC5" s="685"/>
      <c r="AD5" s="89"/>
    </row>
    <row r="6" spans="1:30" ht="45">
      <c r="A6" s="737"/>
      <c r="B6" s="672"/>
      <c r="C6" s="672"/>
      <c r="D6" s="738"/>
      <c r="E6" s="740"/>
      <c r="F6" s="170" t="s">
        <v>83</v>
      </c>
      <c r="G6" s="92" t="s">
        <v>160</v>
      </c>
      <c r="H6" s="92" t="s">
        <v>161</v>
      </c>
      <c r="I6" s="171"/>
      <c r="J6" s="171" t="s">
        <v>83</v>
      </c>
      <c r="K6" s="171" t="s">
        <v>162</v>
      </c>
      <c r="L6" s="171" t="s">
        <v>161</v>
      </c>
      <c r="M6" s="93"/>
      <c r="N6" s="172" t="s">
        <v>83</v>
      </c>
      <c r="O6" s="96" t="s">
        <v>160</v>
      </c>
      <c r="P6" s="96" t="s">
        <v>161</v>
      </c>
      <c r="Q6" s="173"/>
      <c r="R6" s="173" t="s">
        <v>83</v>
      </c>
      <c r="S6" s="173" t="s">
        <v>162</v>
      </c>
      <c r="T6" s="173" t="s">
        <v>161</v>
      </c>
      <c r="U6" s="97"/>
      <c r="V6" s="174" t="s">
        <v>83</v>
      </c>
      <c r="W6" s="100" t="s">
        <v>160</v>
      </c>
      <c r="X6" s="100" t="s">
        <v>161</v>
      </c>
      <c r="Y6" s="175"/>
      <c r="Z6" s="175" t="s">
        <v>83</v>
      </c>
      <c r="AA6" s="175" t="s">
        <v>162</v>
      </c>
      <c r="AB6" s="175" t="s">
        <v>161</v>
      </c>
      <c r="AC6" s="101"/>
      <c r="AD6" s="89"/>
    </row>
    <row r="7" spans="1:30" ht="12.75">
      <c r="A7" s="709"/>
      <c r="B7" s="710"/>
      <c r="C7" s="710"/>
      <c r="D7" s="678"/>
      <c r="E7" s="741"/>
      <c r="F7" s="748" t="s">
        <v>80</v>
      </c>
      <c r="G7" s="718"/>
      <c r="H7" s="718"/>
      <c r="I7" s="718"/>
      <c r="J7" s="718"/>
      <c r="K7" s="718"/>
      <c r="L7" s="718"/>
      <c r="M7" s="719"/>
      <c r="N7" s="749" t="s">
        <v>81</v>
      </c>
      <c r="O7" s="718"/>
      <c r="P7" s="718"/>
      <c r="Q7" s="718"/>
      <c r="R7" s="718"/>
      <c r="S7" s="718"/>
      <c r="T7" s="718"/>
      <c r="U7" s="719"/>
      <c r="V7" s="745" t="s">
        <v>82</v>
      </c>
      <c r="W7" s="718"/>
      <c r="X7" s="718"/>
      <c r="Y7" s="718"/>
      <c r="Z7" s="718"/>
      <c r="AA7" s="718"/>
      <c r="AB7" s="718"/>
      <c r="AC7" s="719"/>
      <c r="AD7" s="89"/>
    </row>
    <row r="8" spans="1:30" ht="15.75" customHeight="1">
      <c r="A8" s="746" t="s">
        <v>163</v>
      </c>
      <c r="B8" s="718"/>
      <c r="C8" s="718"/>
      <c r="D8" s="718"/>
      <c r="E8" s="718"/>
      <c r="F8" s="746" t="s">
        <v>164</v>
      </c>
      <c r="G8" s="718"/>
      <c r="H8" s="718"/>
      <c r="I8" s="718"/>
      <c r="J8" s="747" t="s">
        <v>165</v>
      </c>
      <c r="K8" s="718"/>
      <c r="L8" s="718"/>
      <c r="M8" s="719"/>
      <c r="N8" s="746" t="s">
        <v>164</v>
      </c>
      <c r="O8" s="718"/>
      <c r="P8" s="718"/>
      <c r="Q8" s="718"/>
      <c r="R8" s="747" t="s">
        <v>165</v>
      </c>
      <c r="S8" s="718"/>
      <c r="T8" s="718"/>
      <c r="U8" s="719"/>
      <c r="V8" s="746" t="s">
        <v>164</v>
      </c>
      <c r="W8" s="718"/>
      <c r="X8" s="718"/>
      <c r="Y8" s="718"/>
      <c r="Z8" s="747" t="s">
        <v>165</v>
      </c>
      <c r="AA8" s="718"/>
      <c r="AB8" s="718"/>
      <c r="AC8" s="719"/>
      <c r="AD8" s="89"/>
    </row>
    <row r="9" spans="1:30" ht="15.75" customHeight="1">
      <c r="A9" s="106">
        <v>1</v>
      </c>
      <c r="B9" s="176" t="s">
        <v>166</v>
      </c>
      <c r="C9" s="177" t="s">
        <v>167</v>
      </c>
      <c r="D9" s="178"/>
      <c r="E9" s="108" t="s">
        <v>168</v>
      </c>
      <c r="F9" s="179">
        <f t="shared" ref="F9:G9" si="0">G9+5000</f>
        <v>70000</v>
      </c>
      <c r="G9" s="180">
        <f t="shared" si="0"/>
        <v>65000</v>
      </c>
      <c r="H9" s="181">
        <v>60000</v>
      </c>
      <c r="I9" s="182"/>
      <c r="J9" s="183">
        <f t="shared" ref="J9:L9" si="1">F9+5000</f>
        <v>75000</v>
      </c>
      <c r="K9" s="183">
        <f t="shared" si="1"/>
        <v>70000</v>
      </c>
      <c r="L9" s="183">
        <f t="shared" si="1"/>
        <v>65000</v>
      </c>
      <c r="M9" s="184"/>
      <c r="N9" s="179">
        <f t="shared" ref="N9:U9" si="2">IF(ISBLANK(F9),,ROUND(F9/1.1,-1))</f>
        <v>63640</v>
      </c>
      <c r="O9" s="180">
        <f t="shared" si="2"/>
        <v>59090</v>
      </c>
      <c r="P9" s="181">
        <f t="shared" si="2"/>
        <v>54550</v>
      </c>
      <c r="Q9" s="182">
        <f t="shared" si="2"/>
        <v>0</v>
      </c>
      <c r="R9" s="183">
        <f t="shared" si="2"/>
        <v>68180</v>
      </c>
      <c r="S9" s="183">
        <f t="shared" si="2"/>
        <v>63640</v>
      </c>
      <c r="T9" s="183">
        <f t="shared" si="2"/>
        <v>59090</v>
      </c>
      <c r="U9" s="184">
        <f t="shared" si="2"/>
        <v>0</v>
      </c>
      <c r="V9" s="179" t="e">
        <f t="shared" ref="V9:AB9" ca="1" si="3">IF(ISBLANK(F9),,ROUND(F9*(1-$AD9),-1))</f>
        <v>#NAME?</v>
      </c>
      <c r="W9" s="180" t="e">
        <f t="shared" ca="1" si="3"/>
        <v>#NAME?</v>
      </c>
      <c r="X9" s="181" t="e">
        <f t="shared" ca="1" si="3"/>
        <v>#NAME?</v>
      </c>
      <c r="Y9" s="182">
        <f t="shared" si="3"/>
        <v>0</v>
      </c>
      <c r="Z9" s="183" t="e">
        <f t="shared" ca="1" si="3"/>
        <v>#NAME?</v>
      </c>
      <c r="AA9" s="183" t="e">
        <f t="shared" ca="1" si="3"/>
        <v>#NAME?</v>
      </c>
      <c r="AB9" s="183" t="e">
        <f t="shared" ca="1" si="3"/>
        <v>#NAME?</v>
      </c>
      <c r="AC9" s="184">
        <f t="shared" ref="AC9:AC16" si="4">IF(ISBLANK(M9),,ROUND(M9*(1-$AD9),0))</f>
        <v>0</v>
      </c>
      <c r="AD9" s="185" t="e">
        <f t="array" aca="1" ref="AD9" ca="1">XLOOKUP(B9,'ỐNG GIÓ'!D:D,'ỐNG GIÓ'!G:G)</f>
        <v>#NAME?</v>
      </c>
    </row>
    <row r="10" spans="1:30" ht="15.75" customHeight="1">
      <c r="A10" s="106">
        <v>2</v>
      </c>
      <c r="B10" s="176" t="s">
        <v>169</v>
      </c>
      <c r="C10" s="177" t="s">
        <v>170</v>
      </c>
      <c r="D10" s="178"/>
      <c r="E10" s="108" t="s">
        <v>168</v>
      </c>
      <c r="F10" s="179">
        <f t="shared" ref="F10:G10" si="5">G10+5000</f>
        <v>90000</v>
      </c>
      <c r="G10" s="180">
        <f t="shared" si="5"/>
        <v>85000</v>
      </c>
      <c r="H10" s="181">
        <v>80000</v>
      </c>
      <c r="I10" s="182"/>
      <c r="J10" s="183">
        <f t="shared" ref="J10:L10" si="6">F10+5000</f>
        <v>95000</v>
      </c>
      <c r="K10" s="183">
        <f t="shared" si="6"/>
        <v>90000</v>
      </c>
      <c r="L10" s="183">
        <f t="shared" si="6"/>
        <v>85000</v>
      </c>
      <c r="M10" s="184"/>
      <c r="N10" s="179">
        <f t="shared" ref="N10:U10" si="7">IF(ISBLANK(F10),,ROUND(F10/1.1,-1))</f>
        <v>81820</v>
      </c>
      <c r="O10" s="180">
        <f t="shared" si="7"/>
        <v>77270</v>
      </c>
      <c r="P10" s="181">
        <f t="shared" si="7"/>
        <v>72730</v>
      </c>
      <c r="Q10" s="182">
        <f t="shared" si="7"/>
        <v>0</v>
      </c>
      <c r="R10" s="183">
        <f t="shared" si="7"/>
        <v>86360</v>
      </c>
      <c r="S10" s="183">
        <f t="shared" si="7"/>
        <v>81820</v>
      </c>
      <c r="T10" s="183">
        <f t="shared" si="7"/>
        <v>77270</v>
      </c>
      <c r="U10" s="184">
        <f t="shared" si="7"/>
        <v>0</v>
      </c>
      <c r="V10" s="179" t="e">
        <f t="shared" ref="V10:AB10" ca="1" si="8">IF(ISBLANK(F10),,ROUND(F10*(1-$AD10),-1))</f>
        <v>#NAME?</v>
      </c>
      <c r="W10" s="180" t="e">
        <f t="shared" ca="1" si="8"/>
        <v>#NAME?</v>
      </c>
      <c r="X10" s="181" t="e">
        <f t="shared" ca="1" si="8"/>
        <v>#NAME?</v>
      </c>
      <c r="Y10" s="182">
        <f t="shared" si="8"/>
        <v>0</v>
      </c>
      <c r="Z10" s="183" t="e">
        <f t="shared" ca="1" si="8"/>
        <v>#NAME?</v>
      </c>
      <c r="AA10" s="183" t="e">
        <f t="shared" ca="1" si="8"/>
        <v>#NAME?</v>
      </c>
      <c r="AB10" s="183" t="e">
        <f t="shared" ca="1" si="8"/>
        <v>#NAME?</v>
      </c>
      <c r="AC10" s="184">
        <f t="shared" si="4"/>
        <v>0</v>
      </c>
      <c r="AD10" s="185" t="e">
        <f t="array" aca="1" ref="AD10" ca="1">XLOOKUP(B10,'ỐNG GIÓ'!D:D,'ỐNG GIÓ'!G:G)</f>
        <v>#NAME?</v>
      </c>
    </row>
    <row r="11" spans="1:30" ht="15.75" customHeight="1">
      <c r="A11" s="106">
        <v>3</v>
      </c>
      <c r="B11" s="176" t="s">
        <v>171</v>
      </c>
      <c r="C11" s="177" t="s">
        <v>172</v>
      </c>
      <c r="D11" s="178"/>
      <c r="E11" s="108" t="s">
        <v>168</v>
      </c>
      <c r="F11" s="179">
        <f t="shared" ref="F11:G11" si="9">G11+5000</f>
        <v>90000</v>
      </c>
      <c r="G11" s="180">
        <f t="shared" si="9"/>
        <v>85000</v>
      </c>
      <c r="H11" s="181">
        <v>80000</v>
      </c>
      <c r="I11" s="182"/>
      <c r="J11" s="183">
        <f t="shared" ref="J11:L11" si="10">F11+5000</f>
        <v>95000</v>
      </c>
      <c r="K11" s="183">
        <f t="shared" si="10"/>
        <v>90000</v>
      </c>
      <c r="L11" s="183">
        <f t="shared" si="10"/>
        <v>85000</v>
      </c>
      <c r="M11" s="184"/>
      <c r="N11" s="179">
        <f t="shared" ref="N11:U11" si="11">IF(ISBLANK(F11),,ROUND(F11/1.1,-1))</f>
        <v>81820</v>
      </c>
      <c r="O11" s="180">
        <f t="shared" si="11"/>
        <v>77270</v>
      </c>
      <c r="P11" s="181">
        <f t="shared" si="11"/>
        <v>72730</v>
      </c>
      <c r="Q11" s="182">
        <f t="shared" si="11"/>
        <v>0</v>
      </c>
      <c r="R11" s="183">
        <f t="shared" si="11"/>
        <v>86360</v>
      </c>
      <c r="S11" s="183">
        <f t="shared" si="11"/>
        <v>81820</v>
      </c>
      <c r="T11" s="183">
        <f t="shared" si="11"/>
        <v>77270</v>
      </c>
      <c r="U11" s="184">
        <f t="shared" si="11"/>
        <v>0</v>
      </c>
      <c r="V11" s="179" t="e">
        <f t="shared" ref="V11:AB11" ca="1" si="12">IF(ISBLANK(F11),,ROUND(F11*(1-$AD11),-1))</f>
        <v>#NAME?</v>
      </c>
      <c r="W11" s="180" t="e">
        <f t="shared" ca="1" si="12"/>
        <v>#NAME?</v>
      </c>
      <c r="X11" s="181" t="e">
        <f t="shared" ca="1" si="12"/>
        <v>#NAME?</v>
      </c>
      <c r="Y11" s="182">
        <f t="shared" si="12"/>
        <v>0</v>
      </c>
      <c r="Z11" s="183" t="e">
        <f t="shared" ca="1" si="12"/>
        <v>#NAME?</v>
      </c>
      <c r="AA11" s="183" t="e">
        <f t="shared" ca="1" si="12"/>
        <v>#NAME?</v>
      </c>
      <c r="AB11" s="183" t="e">
        <f t="shared" ca="1" si="12"/>
        <v>#NAME?</v>
      </c>
      <c r="AC11" s="184">
        <f t="shared" si="4"/>
        <v>0</v>
      </c>
      <c r="AD11" s="185" t="e">
        <f t="array" aca="1" ref="AD11" ca="1">XLOOKUP(B11,'ỐNG GIÓ'!D:D,'ỐNG GIÓ'!G:G)</f>
        <v>#NAME?</v>
      </c>
    </row>
    <row r="12" spans="1:30" ht="15.75" customHeight="1">
      <c r="A12" s="106">
        <v>4</v>
      </c>
      <c r="B12" s="176" t="s">
        <v>173</v>
      </c>
      <c r="C12" s="177" t="s">
        <v>174</v>
      </c>
      <c r="D12" s="178"/>
      <c r="E12" s="108" t="s">
        <v>168</v>
      </c>
      <c r="F12" s="179">
        <f t="shared" ref="F12:G12" si="13">G12+5000</f>
        <v>110000</v>
      </c>
      <c r="G12" s="180">
        <f t="shared" si="13"/>
        <v>105000</v>
      </c>
      <c r="H12" s="181">
        <v>100000</v>
      </c>
      <c r="I12" s="182"/>
      <c r="J12" s="183">
        <f t="shared" ref="J12:L12" si="14">F12+5000</f>
        <v>115000</v>
      </c>
      <c r="K12" s="183">
        <f t="shared" si="14"/>
        <v>110000</v>
      </c>
      <c r="L12" s="183">
        <f t="shared" si="14"/>
        <v>105000</v>
      </c>
      <c r="M12" s="184"/>
      <c r="N12" s="179">
        <f t="shared" ref="N12:U12" si="15">IF(ISBLANK(F12),,ROUND(F12/1.1,-1))</f>
        <v>100000</v>
      </c>
      <c r="O12" s="180">
        <f t="shared" si="15"/>
        <v>95450</v>
      </c>
      <c r="P12" s="181">
        <f t="shared" si="15"/>
        <v>90910</v>
      </c>
      <c r="Q12" s="182">
        <f t="shared" si="15"/>
        <v>0</v>
      </c>
      <c r="R12" s="183">
        <f t="shared" si="15"/>
        <v>104550</v>
      </c>
      <c r="S12" s="183">
        <f t="shared" si="15"/>
        <v>100000</v>
      </c>
      <c r="T12" s="183">
        <f t="shared" si="15"/>
        <v>95450</v>
      </c>
      <c r="U12" s="184">
        <f t="shared" si="15"/>
        <v>0</v>
      </c>
      <c r="V12" s="179" t="e">
        <f t="shared" ref="V12:AB12" ca="1" si="16">IF(ISBLANK(F12),,ROUND(F12*(1-$AD12),-1))</f>
        <v>#NAME?</v>
      </c>
      <c r="W12" s="180" t="e">
        <f t="shared" ca="1" si="16"/>
        <v>#NAME?</v>
      </c>
      <c r="X12" s="181" t="e">
        <f t="shared" ca="1" si="16"/>
        <v>#NAME?</v>
      </c>
      <c r="Y12" s="182">
        <f t="shared" si="16"/>
        <v>0</v>
      </c>
      <c r="Z12" s="183" t="e">
        <f t="shared" ca="1" si="16"/>
        <v>#NAME?</v>
      </c>
      <c r="AA12" s="183" t="e">
        <f t="shared" ca="1" si="16"/>
        <v>#NAME?</v>
      </c>
      <c r="AB12" s="183" t="e">
        <f t="shared" ca="1" si="16"/>
        <v>#NAME?</v>
      </c>
      <c r="AC12" s="184">
        <f t="shared" si="4"/>
        <v>0</v>
      </c>
      <c r="AD12" s="185" t="e">
        <f t="array" aca="1" ref="AD12" ca="1">XLOOKUP(B12,'ỐNG GIÓ'!D:D,'ỐNG GIÓ'!G:G)</f>
        <v>#NAME?</v>
      </c>
    </row>
    <row r="13" spans="1:30" ht="15.75" customHeight="1">
      <c r="A13" s="106">
        <v>5</v>
      </c>
      <c r="B13" s="176" t="s">
        <v>175</v>
      </c>
      <c r="C13" s="177" t="s">
        <v>176</v>
      </c>
      <c r="D13" s="178"/>
      <c r="E13" s="108" t="s">
        <v>168</v>
      </c>
      <c r="F13" s="179">
        <f t="shared" ref="F13:G13" si="17">G13+10000</f>
        <v>140000</v>
      </c>
      <c r="G13" s="180">
        <f t="shared" si="17"/>
        <v>130000</v>
      </c>
      <c r="H13" s="181">
        <v>120000</v>
      </c>
      <c r="I13" s="182"/>
      <c r="J13" s="183">
        <f t="shared" ref="J13:L13" si="18">F13+5000</f>
        <v>145000</v>
      </c>
      <c r="K13" s="183">
        <f t="shared" si="18"/>
        <v>135000</v>
      </c>
      <c r="L13" s="183">
        <f t="shared" si="18"/>
        <v>125000</v>
      </c>
      <c r="M13" s="184"/>
      <c r="N13" s="179">
        <f t="shared" ref="N13:U13" si="19">IF(ISBLANK(F13),,ROUND(F13/1.1,-1))</f>
        <v>127270</v>
      </c>
      <c r="O13" s="180">
        <f t="shared" si="19"/>
        <v>118180</v>
      </c>
      <c r="P13" s="181">
        <f t="shared" si="19"/>
        <v>109090</v>
      </c>
      <c r="Q13" s="182">
        <f t="shared" si="19"/>
        <v>0</v>
      </c>
      <c r="R13" s="183">
        <f t="shared" si="19"/>
        <v>131820</v>
      </c>
      <c r="S13" s="183">
        <f t="shared" si="19"/>
        <v>122730</v>
      </c>
      <c r="T13" s="183">
        <f t="shared" si="19"/>
        <v>113640</v>
      </c>
      <c r="U13" s="184">
        <f t="shared" si="19"/>
        <v>0</v>
      </c>
      <c r="V13" s="179" t="e">
        <f t="shared" ref="V13:AB13" ca="1" si="20">IF(ISBLANK(F13),,ROUND(F13*(1-$AD13),-1))</f>
        <v>#NAME?</v>
      </c>
      <c r="W13" s="180" t="e">
        <f t="shared" ca="1" si="20"/>
        <v>#NAME?</v>
      </c>
      <c r="X13" s="181" t="e">
        <f t="shared" ca="1" si="20"/>
        <v>#NAME?</v>
      </c>
      <c r="Y13" s="182">
        <f t="shared" si="20"/>
        <v>0</v>
      </c>
      <c r="Z13" s="183" t="e">
        <f t="shared" ca="1" si="20"/>
        <v>#NAME?</v>
      </c>
      <c r="AA13" s="183" t="e">
        <f t="shared" ca="1" si="20"/>
        <v>#NAME?</v>
      </c>
      <c r="AB13" s="183" t="e">
        <f t="shared" ca="1" si="20"/>
        <v>#NAME?</v>
      </c>
      <c r="AC13" s="184">
        <f t="shared" si="4"/>
        <v>0</v>
      </c>
      <c r="AD13" s="185" t="e">
        <f t="array" aca="1" ref="AD13" ca="1">XLOOKUP(B13,'ỐNG GIÓ'!D:D,'ỐNG GIÓ'!G:G)</f>
        <v>#NAME?</v>
      </c>
    </row>
    <row r="14" spans="1:30" ht="15.75" customHeight="1">
      <c r="A14" s="106">
        <v>6</v>
      </c>
      <c r="B14" s="176" t="s">
        <v>177</v>
      </c>
      <c r="C14" s="177" t="s">
        <v>178</v>
      </c>
      <c r="D14" s="178"/>
      <c r="E14" s="108" t="s">
        <v>168</v>
      </c>
      <c r="F14" s="179">
        <f t="shared" ref="F14:G14" si="21">G14+10000</f>
        <v>190000</v>
      </c>
      <c r="G14" s="180">
        <f t="shared" si="21"/>
        <v>180000</v>
      </c>
      <c r="H14" s="181">
        <v>170000</v>
      </c>
      <c r="I14" s="182"/>
      <c r="J14" s="183">
        <f t="shared" ref="J14:L14" si="22">F14+5000</f>
        <v>195000</v>
      </c>
      <c r="K14" s="183">
        <f t="shared" si="22"/>
        <v>185000</v>
      </c>
      <c r="L14" s="183">
        <f t="shared" si="22"/>
        <v>175000</v>
      </c>
      <c r="M14" s="184"/>
      <c r="N14" s="179">
        <f t="shared" ref="N14:U14" si="23">IF(ISBLANK(F14),,ROUND(F14/1.1,-1))</f>
        <v>172730</v>
      </c>
      <c r="O14" s="180">
        <f t="shared" si="23"/>
        <v>163640</v>
      </c>
      <c r="P14" s="181">
        <f t="shared" si="23"/>
        <v>154550</v>
      </c>
      <c r="Q14" s="182">
        <f t="shared" si="23"/>
        <v>0</v>
      </c>
      <c r="R14" s="183">
        <f t="shared" si="23"/>
        <v>177270</v>
      </c>
      <c r="S14" s="183">
        <f t="shared" si="23"/>
        <v>168180</v>
      </c>
      <c r="T14" s="183">
        <f t="shared" si="23"/>
        <v>159090</v>
      </c>
      <c r="U14" s="184">
        <f t="shared" si="23"/>
        <v>0</v>
      </c>
      <c r="V14" s="179" t="e">
        <f t="shared" ref="V14:AB14" ca="1" si="24">IF(ISBLANK(F14),,ROUND(F14*(1-$AD14),-1))</f>
        <v>#NAME?</v>
      </c>
      <c r="W14" s="180" t="e">
        <f t="shared" ca="1" si="24"/>
        <v>#NAME?</v>
      </c>
      <c r="X14" s="181" t="e">
        <f t="shared" ca="1" si="24"/>
        <v>#NAME?</v>
      </c>
      <c r="Y14" s="182">
        <f t="shared" si="24"/>
        <v>0</v>
      </c>
      <c r="Z14" s="183" t="e">
        <f t="shared" ca="1" si="24"/>
        <v>#NAME?</v>
      </c>
      <c r="AA14" s="183" t="e">
        <f t="shared" ca="1" si="24"/>
        <v>#NAME?</v>
      </c>
      <c r="AB14" s="183" t="e">
        <f t="shared" ca="1" si="24"/>
        <v>#NAME?</v>
      </c>
      <c r="AC14" s="184">
        <f t="shared" si="4"/>
        <v>0</v>
      </c>
      <c r="AD14" s="185" t="e">
        <f t="array" aca="1" ref="AD14" ca="1">XLOOKUP(B14,'ỐNG GIÓ'!D:D,'ỐNG GIÓ'!G:G)</f>
        <v>#NAME?</v>
      </c>
    </row>
    <row r="15" spans="1:30" ht="15.75" customHeight="1">
      <c r="A15" s="106">
        <v>7</v>
      </c>
      <c r="B15" s="176" t="s">
        <v>179</v>
      </c>
      <c r="C15" s="177" t="s">
        <v>180</v>
      </c>
      <c r="D15" s="178"/>
      <c r="E15" s="108" t="s">
        <v>168</v>
      </c>
      <c r="F15" s="179">
        <f t="shared" ref="F15:G15" si="25">G15+10000</f>
        <v>220000</v>
      </c>
      <c r="G15" s="180">
        <f t="shared" si="25"/>
        <v>210000</v>
      </c>
      <c r="H15" s="181">
        <v>200000</v>
      </c>
      <c r="I15" s="182"/>
      <c r="J15" s="183">
        <f t="shared" ref="J15:L15" si="26">F15+5000</f>
        <v>225000</v>
      </c>
      <c r="K15" s="183">
        <f t="shared" si="26"/>
        <v>215000</v>
      </c>
      <c r="L15" s="183">
        <f t="shared" si="26"/>
        <v>205000</v>
      </c>
      <c r="M15" s="184"/>
      <c r="N15" s="179">
        <f t="shared" ref="N15:U15" si="27">IF(ISBLANK(F15),,ROUND(F15/1.1,-1))</f>
        <v>200000</v>
      </c>
      <c r="O15" s="180">
        <f t="shared" si="27"/>
        <v>190910</v>
      </c>
      <c r="P15" s="181">
        <f t="shared" si="27"/>
        <v>181820</v>
      </c>
      <c r="Q15" s="182">
        <f t="shared" si="27"/>
        <v>0</v>
      </c>
      <c r="R15" s="183">
        <f t="shared" si="27"/>
        <v>204550</v>
      </c>
      <c r="S15" s="183">
        <f t="shared" si="27"/>
        <v>195450</v>
      </c>
      <c r="T15" s="183">
        <f t="shared" si="27"/>
        <v>186360</v>
      </c>
      <c r="U15" s="184">
        <f t="shared" si="27"/>
        <v>0</v>
      </c>
      <c r="V15" s="179" t="e">
        <f t="shared" ref="V15:AB15" ca="1" si="28">IF(ISBLANK(F15),,ROUND(F15*(1-$AD15),-1))</f>
        <v>#NAME?</v>
      </c>
      <c r="W15" s="180" t="e">
        <f t="shared" ca="1" si="28"/>
        <v>#NAME?</v>
      </c>
      <c r="X15" s="181" t="e">
        <f t="shared" ca="1" si="28"/>
        <v>#NAME?</v>
      </c>
      <c r="Y15" s="182">
        <f t="shared" si="28"/>
        <v>0</v>
      </c>
      <c r="Z15" s="183" t="e">
        <f t="shared" ca="1" si="28"/>
        <v>#NAME?</v>
      </c>
      <c r="AA15" s="183" t="e">
        <f t="shared" ca="1" si="28"/>
        <v>#NAME?</v>
      </c>
      <c r="AB15" s="183" t="e">
        <f t="shared" ca="1" si="28"/>
        <v>#NAME?</v>
      </c>
      <c r="AC15" s="184">
        <f t="shared" si="4"/>
        <v>0</v>
      </c>
      <c r="AD15" s="185" t="e">
        <f t="array" aca="1" ref="AD15" ca="1">XLOOKUP(B15,'ỐNG GIÓ'!D:D,'ỐNG GIÓ'!G:G)</f>
        <v>#NAME?</v>
      </c>
    </row>
    <row r="16" spans="1:30" ht="15.75" customHeight="1">
      <c r="A16" s="106">
        <v>8</v>
      </c>
      <c r="B16" s="176" t="s">
        <v>181</v>
      </c>
      <c r="C16" s="177" t="s">
        <v>182</v>
      </c>
      <c r="D16" s="178"/>
      <c r="E16" s="108" t="s">
        <v>168</v>
      </c>
      <c r="F16" s="179">
        <f t="shared" ref="F16:G16" si="29">G16+10000</f>
        <v>250000</v>
      </c>
      <c r="G16" s="180">
        <f t="shared" si="29"/>
        <v>240000</v>
      </c>
      <c r="H16" s="181">
        <v>230000</v>
      </c>
      <c r="I16" s="182"/>
      <c r="J16" s="183">
        <f t="shared" ref="J16:L16" si="30">F16+5000</f>
        <v>255000</v>
      </c>
      <c r="K16" s="183">
        <f t="shared" si="30"/>
        <v>245000</v>
      </c>
      <c r="L16" s="183">
        <f t="shared" si="30"/>
        <v>235000</v>
      </c>
      <c r="M16" s="184"/>
      <c r="N16" s="179">
        <f t="shared" ref="N16:U16" si="31">IF(ISBLANK(F16),,ROUND(F16/1.1,-1))</f>
        <v>227270</v>
      </c>
      <c r="O16" s="180">
        <f t="shared" si="31"/>
        <v>218180</v>
      </c>
      <c r="P16" s="181">
        <f t="shared" si="31"/>
        <v>209090</v>
      </c>
      <c r="Q16" s="182">
        <f t="shared" si="31"/>
        <v>0</v>
      </c>
      <c r="R16" s="183">
        <f t="shared" si="31"/>
        <v>231820</v>
      </c>
      <c r="S16" s="183">
        <f t="shared" si="31"/>
        <v>222730</v>
      </c>
      <c r="T16" s="183">
        <f t="shared" si="31"/>
        <v>213640</v>
      </c>
      <c r="U16" s="184">
        <f t="shared" si="31"/>
        <v>0</v>
      </c>
      <c r="V16" s="179" t="e">
        <f t="shared" ref="V16:AB16" ca="1" si="32">IF(ISBLANK(F16),,ROUND(F16*(1-$AD16),-1))</f>
        <v>#NAME?</v>
      </c>
      <c r="W16" s="180" t="e">
        <f t="shared" ca="1" si="32"/>
        <v>#NAME?</v>
      </c>
      <c r="X16" s="181" t="e">
        <f t="shared" ca="1" si="32"/>
        <v>#NAME?</v>
      </c>
      <c r="Y16" s="182">
        <f t="shared" si="32"/>
        <v>0</v>
      </c>
      <c r="Z16" s="183" t="e">
        <f t="shared" ca="1" si="32"/>
        <v>#NAME?</v>
      </c>
      <c r="AA16" s="183" t="e">
        <f t="shared" ca="1" si="32"/>
        <v>#NAME?</v>
      </c>
      <c r="AB16" s="183" t="e">
        <f t="shared" ca="1" si="32"/>
        <v>#NAME?</v>
      </c>
      <c r="AC16" s="184">
        <f t="shared" si="4"/>
        <v>0</v>
      </c>
      <c r="AD16" s="185" t="e">
        <f t="array" aca="1" ref="AD16" ca="1">XLOOKUP(B16,'ỐNG GIÓ'!D:D,'ỐNG GIÓ'!G:G)</f>
        <v>#NAME?</v>
      </c>
    </row>
    <row r="17" spans="1:30" ht="15.75" customHeight="1">
      <c r="A17" s="746" t="s">
        <v>183</v>
      </c>
      <c r="B17" s="718"/>
      <c r="C17" s="718"/>
      <c r="D17" s="718"/>
      <c r="E17" s="718"/>
      <c r="F17" s="746" t="s">
        <v>164</v>
      </c>
      <c r="G17" s="718"/>
      <c r="H17" s="718"/>
      <c r="I17" s="186"/>
      <c r="J17" s="747" t="s">
        <v>165</v>
      </c>
      <c r="K17" s="718"/>
      <c r="L17" s="718"/>
      <c r="M17" s="719"/>
      <c r="N17" s="746" t="s">
        <v>164</v>
      </c>
      <c r="O17" s="718"/>
      <c r="P17" s="718"/>
      <c r="Q17" s="186"/>
      <c r="R17" s="747" t="s">
        <v>165</v>
      </c>
      <c r="S17" s="718"/>
      <c r="T17" s="718"/>
      <c r="U17" s="719"/>
      <c r="V17" s="746" t="s">
        <v>164</v>
      </c>
      <c r="W17" s="718"/>
      <c r="X17" s="718"/>
      <c r="Y17" s="186"/>
      <c r="Z17" s="747" t="s">
        <v>165</v>
      </c>
      <c r="AA17" s="718"/>
      <c r="AB17" s="718"/>
      <c r="AC17" s="719"/>
      <c r="AD17" s="89"/>
    </row>
    <row r="18" spans="1:30" ht="15.75" customHeight="1">
      <c r="A18" s="106">
        <v>1</v>
      </c>
      <c r="B18" s="176" t="s">
        <v>184</v>
      </c>
      <c r="C18" s="177" t="s">
        <v>185</v>
      </c>
      <c r="D18" s="178"/>
      <c r="E18" s="108" t="s">
        <v>168</v>
      </c>
      <c r="F18" s="179">
        <f t="shared" ref="F18:G18" si="33">G18+5000</f>
        <v>220000</v>
      </c>
      <c r="G18" s="180">
        <f t="shared" si="33"/>
        <v>215000</v>
      </c>
      <c r="H18" s="181">
        <v>210000</v>
      </c>
      <c r="I18" s="182"/>
      <c r="J18" s="183"/>
      <c r="K18" s="183"/>
      <c r="L18" s="183"/>
      <c r="M18" s="184"/>
      <c r="N18" s="179">
        <f t="shared" ref="N18:T18" si="34">IF(ISBLANK(F18),,ROUND(F18/1.1,-1))</f>
        <v>200000</v>
      </c>
      <c r="O18" s="180">
        <f t="shared" si="34"/>
        <v>195450</v>
      </c>
      <c r="P18" s="181">
        <f t="shared" si="34"/>
        <v>190910</v>
      </c>
      <c r="Q18" s="182">
        <f t="shared" si="34"/>
        <v>0</v>
      </c>
      <c r="R18" s="183">
        <f t="shared" si="34"/>
        <v>0</v>
      </c>
      <c r="S18" s="183">
        <f t="shared" si="34"/>
        <v>0</v>
      </c>
      <c r="T18" s="183">
        <f t="shared" si="34"/>
        <v>0</v>
      </c>
      <c r="U18" s="184">
        <f t="shared" ref="U18:U24" si="35">IF(ISBLANK(M18),,ROUND(M18/1.08,-2))</f>
        <v>0</v>
      </c>
      <c r="V18" s="179" t="e">
        <f t="shared" ref="V18:AB18" ca="1" si="36">IF(ISBLANK(F18),,ROUND(F18*(1-$AD18),-1))</f>
        <v>#NAME?</v>
      </c>
      <c r="W18" s="180" t="e">
        <f t="shared" ca="1" si="36"/>
        <v>#NAME?</v>
      </c>
      <c r="X18" s="181" t="e">
        <f t="shared" ca="1" si="36"/>
        <v>#NAME?</v>
      </c>
      <c r="Y18" s="182">
        <f t="shared" si="36"/>
        <v>0</v>
      </c>
      <c r="Z18" s="183">
        <f t="shared" si="36"/>
        <v>0</v>
      </c>
      <c r="AA18" s="183">
        <f t="shared" si="36"/>
        <v>0</v>
      </c>
      <c r="AB18" s="183">
        <f t="shared" si="36"/>
        <v>0</v>
      </c>
      <c r="AC18" s="184">
        <f t="shared" ref="AC18:AC24" si="37">IF(ISBLANK(M18),,ROUND(M18*(1-$AD18),0))</f>
        <v>0</v>
      </c>
      <c r="AD18" s="185" t="e">
        <f t="array" aca="1" ref="AD18" ca="1">XLOOKUP(B18,'ỐNG GIÓ'!D:D,'ỐNG GIÓ'!G:G)</f>
        <v>#NAME?</v>
      </c>
    </row>
    <row r="19" spans="1:30" ht="15.75" customHeight="1">
      <c r="A19" s="106">
        <v>2</v>
      </c>
      <c r="B19" s="176" t="s">
        <v>186</v>
      </c>
      <c r="C19" s="177" t="s">
        <v>187</v>
      </c>
      <c r="D19" s="178"/>
      <c r="E19" s="108" t="s">
        <v>168</v>
      </c>
      <c r="F19" s="179">
        <f t="shared" ref="F19:G19" si="38">G19+5000</f>
        <v>256750</v>
      </c>
      <c r="G19" s="180">
        <f t="shared" si="38"/>
        <v>251750</v>
      </c>
      <c r="H19" s="181">
        <v>246750</v>
      </c>
      <c r="I19" s="182"/>
      <c r="J19" s="183"/>
      <c r="K19" s="183"/>
      <c r="L19" s="183"/>
      <c r="M19" s="184"/>
      <c r="N19" s="179">
        <f t="shared" ref="N19:T19" si="39">IF(ISBLANK(F19),,ROUND(F19/1.1,-1))</f>
        <v>233410</v>
      </c>
      <c r="O19" s="180">
        <f t="shared" si="39"/>
        <v>228860</v>
      </c>
      <c r="P19" s="181">
        <f t="shared" si="39"/>
        <v>224320</v>
      </c>
      <c r="Q19" s="182">
        <f t="shared" si="39"/>
        <v>0</v>
      </c>
      <c r="R19" s="183">
        <f t="shared" si="39"/>
        <v>0</v>
      </c>
      <c r="S19" s="183">
        <f t="shared" si="39"/>
        <v>0</v>
      </c>
      <c r="T19" s="183">
        <f t="shared" si="39"/>
        <v>0</v>
      </c>
      <c r="U19" s="184">
        <f t="shared" si="35"/>
        <v>0</v>
      </c>
      <c r="V19" s="179" t="e">
        <f t="shared" ref="V19:AB19" ca="1" si="40">IF(ISBLANK(F19),,ROUND(F19*(1-$AD19),-1))</f>
        <v>#NAME?</v>
      </c>
      <c r="W19" s="180" t="e">
        <f t="shared" ca="1" si="40"/>
        <v>#NAME?</v>
      </c>
      <c r="X19" s="181" t="e">
        <f t="shared" ca="1" si="40"/>
        <v>#NAME?</v>
      </c>
      <c r="Y19" s="182">
        <f t="shared" si="40"/>
        <v>0</v>
      </c>
      <c r="Z19" s="183">
        <f t="shared" si="40"/>
        <v>0</v>
      </c>
      <c r="AA19" s="183">
        <f t="shared" si="40"/>
        <v>0</v>
      </c>
      <c r="AB19" s="183">
        <f t="shared" si="40"/>
        <v>0</v>
      </c>
      <c r="AC19" s="184">
        <f t="shared" si="37"/>
        <v>0</v>
      </c>
      <c r="AD19" s="185" t="e">
        <f t="array" aca="1" ref="AD19" ca="1">XLOOKUP(B19,'ỐNG GIÓ'!D:D,'ỐNG GIÓ'!G:G)</f>
        <v>#NAME?</v>
      </c>
    </row>
    <row r="20" spans="1:30" ht="15.75" customHeight="1">
      <c r="A20" s="106">
        <v>3</v>
      </c>
      <c r="B20" s="176" t="s">
        <v>188</v>
      </c>
      <c r="C20" s="177" t="s">
        <v>189</v>
      </c>
      <c r="D20" s="178"/>
      <c r="E20" s="108" t="s">
        <v>168</v>
      </c>
      <c r="F20" s="179">
        <f t="shared" ref="F20:G20" si="41">G20+5000</f>
        <v>311350</v>
      </c>
      <c r="G20" s="180">
        <f t="shared" si="41"/>
        <v>306350</v>
      </c>
      <c r="H20" s="181">
        <v>301350</v>
      </c>
      <c r="I20" s="182"/>
      <c r="J20" s="183"/>
      <c r="K20" s="183"/>
      <c r="L20" s="183"/>
      <c r="M20" s="184"/>
      <c r="N20" s="179">
        <f t="shared" ref="N20:T20" si="42">IF(ISBLANK(F20),,ROUND(F20/1.1,-1))</f>
        <v>283050</v>
      </c>
      <c r="O20" s="180">
        <f t="shared" si="42"/>
        <v>278500</v>
      </c>
      <c r="P20" s="181">
        <f t="shared" si="42"/>
        <v>273950</v>
      </c>
      <c r="Q20" s="182">
        <f t="shared" si="42"/>
        <v>0</v>
      </c>
      <c r="R20" s="183">
        <f t="shared" si="42"/>
        <v>0</v>
      </c>
      <c r="S20" s="183">
        <f t="shared" si="42"/>
        <v>0</v>
      </c>
      <c r="T20" s="183">
        <f t="shared" si="42"/>
        <v>0</v>
      </c>
      <c r="U20" s="184">
        <f t="shared" si="35"/>
        <v>0</v>
      </c>
      <c r="V20" s="179" t="e">
        <f t="shared" ref="V20:AB20" ca="1" si="43">IF(ISBLANK(F20),,ROUND(F20*(1-$AD20),-1))</f>
        <v>#NAME?</v>
      </c>
      <c r="W20" s="180" t="e">
        <f t="shared" ca="1" si="43"/>
        <v>#NAME?</v>
      </c>
      <c r="X20" s="181" t="e">
        <f t="shared" ca="1" si="43"/>
        <v>#NAME?</v>
      </c>
      <c r="Y20" s="182">
        <f t="shared" si="43"/>
        <v>0</v>
      </c>
      <c r="Z20" s="183">
        <f t="shared" si="43"/>
        <v>0</v>
      </c>
      <c r="AA20" s="183">
        <f t="shared" si="43"/>
        <v>0</v>
      </c>
      <c r="AB20" s="183">
        <f t="shared" si="43"/>
        <v>0</v>
      </c>
      <c r="AC20" s="184">
        <f t="shared" si="37"/>
        <v>0</v>
      </c>
      <c r="AD20" s="185" t="e">
        <f t="array" aca="1" ref="AD20" ca="1">XLOOKUP(B20,'ỐNG GIÓ'!D:D,'ỐNG GIÓ'!G:G)</f>
        <v>#NAME?</v>
      </c>
    </row>
    <row r="21" spans="1:30" ht="15.75" customHeight="1">
      <c r="A21" s="106">
        <v>4</v>
      </c>
      <c r="B21" s="176" t="s">
        <v>190</v>
      </c>
      <c r="C21" s="177" t="s">
        <v>191</v>
      </c>
      <c r="D21" s="178"/>
      <c r="E21" s="108" t="s">
        <v>168</v>
      </c>
      <c r="F21" s="179">
        <f t="shared" ref="F21:G21" si="44">G21+5000</f>
        <v>335500</v>
      </c>
      <c r="G21" s="180">
        <f t="shared" si="44"/>
        <v>330500</v>
      </c>
      <c r="H21" s="181">
        <v>325500</v>
      </c>
      <c r="I21" s="182"/>
      <c r="J21" s="183"/>
      <c r="K21" s="183"/>
      <c r="L21" s="183"/>
      <c r="M21" s="184"/>
      <c r="N21" s="179">
        <f t="shared" ref="N21:T21" si="45">IF(ISBLANK(F21),,ROUND(F21/1.1,-1))</f>
        <v>305000</v>
      </c>
      <c r="O21" s="180">
        <f t="shared" si="45"/>
        <v>300450</v>
      </c>
      <c r="P21" s="181">
        <f t="shared" si="45"/>
        <v>295910</v>
      </c>
      <c r="Q21" s="182">
        <f t="shared" si="45"/>
        <v>0</v>
      </c>
      <c r="R21" s="183">
        <f t="shared" si="45"/>
        <v>0</v>
      </c>
      <c r="S21" s="183">
        <f t="shared" si="45"/>
        <v>0</v>
      </c>
      <c r="T21" s="183">
        <f t="shared" si="45"/>
        <v>0</v>
      </c>
      <c r="U21" s="184">
        <f t="shared" si="35"/>
        <v>0</v>
      </c>
      <c r="V21" s="179" t="e">
        <f t="shared" ref="V21:AB21" ca="1" si="46">IF(ISBLANK(F21),,ROUND(F21*(1-$AD21),-1))</f>
        <v>#NAME?</v>
      </c>
      <c r="W21" s="180" t="e">
        <f t="shared" ca="1" si="46"/>
        <v>#NAME?</v>
      </c>
      <c r="X21" s="181" t="e">
        <f t="shared" ca="1" si="46"/>
        <v>#NAME?</v>
      </c>
      <c r="Y21" s="182">
        <f t="shared" si="46"/>
        <v>0</v>
      </c>
      <c r="Z21" s="183">
        <f t="shared" si="46"/>
        <v>0</v>
      </c>
      <c r="AA21" s="183">
        <f t="shared" si="46"/>
        <v>0</v>
      </c>
      <c r="AB21" s="183">
        <f t="shared" si="46"/>
        <v>0</v>
      </c>
      <c r="AC21" s="184">
        <f t="shared" si="37"/>
        <v>0</v>
      </c>
      <c r="AD21" s="185" t="e">
        <f t="array" aca="1" ref="AD21" ca="1">XLOOKUP(B21,'ỐNG GIÓ'!D:D,'ỐNG GIÓ'!G:G)</f>
        <v>#NAME?</v>
      </c>
    </row>
    <row r="22" spans="1:30" ht="15.75" customHeight="1">
      <c r="A22" s="106">
        <v>5</v>
      </c>
      <c r="B22" s="176" t="s">
        <v>192</v>
      </c>
      <c r="C22" s="177" t="s">
        <v>193</v>
      </c>
      <c r="D22" s="178"/>
      <c r="E22" s="108" t="s">
        <v>168</v>
      </c>
      <c r="F22" s="179">
        <f t="shared" ref="F22:G22" si="47">G22+10000</f>
        <v>435800</v>
      </c>
      <c r="G22" s="180">
        <f t="shared" si="47"/>
        <v>425800</v>
      </c>
      <c r="H22" s="181">
        <v>415800</v>
      </c>
      <c r="I22" s="182"/>
      <c r="J22" s="183"/>
      <c r="K22" s="183"/>
      <c r="L22" s="183"/>
      <c r="M22" s="184"/>
      <c r="N22" s="179">
        <f t="shared" ref="N22:T22" si="48">IF(ISBLANK(F22),,ROUND(F22/1.1,-1))</f>
        <v>396180</v>
      </c>
      <c r="O22" s="180">
        <f t="shared" si="48"/>
        <v>387090</v>
      </c>
      <c r="P22" s="181">
        <f t="shared" si="48"/>
        <v>378000</v>
      </c>
      <c r="Q22" s="182">
        <f t="shared" si="48"/>
        <v>0</v>
      </c>
      <c r="R22" s="183">
        <f t="shared" si="48"/>
        <v>0</v>
      </c>
      <c r="S22" s="183">
        <f t="shared" si="48"/>
        <v>0</v>
      </c>
      <c r="T22" s="183">
        <f t="shared" si="48"/>
        <v>0</v>
      </c>
      <c r="U22" s="184">
        <f t="shared" si="35"/>
        <v>0</v>
      </c>
      <c r="V22" s="179" t="e">
        <f t="shared" ref="V22:AB22" ca="1" si="49">IF(ISBLANK(F22),,ROUND(F22*(1-$AD22),-1))</f>
        <v>#NAME?</v>
      </c>
      <c r="W22" s="180" t="e">
        <f t="shared" ca="1" si="49"/>
        <v>#NAME?</v>
      </c>
      <c r="X22" s="181" t="e">
        <f t="shared" ca="1" si="49"/>
        <v>#NAME?</v>
      </c>
      <c r="Y22" s="182">
        <f t="shared" si="49"/>
        <v>0</v>
      </c>
      <c r="Z22" s="183">
        <f t="shared" si="49"/>
        <v>0</v>
      </c>
      <c r="AA22" s="183">
        <f t="shared" si="49"/>
        <v>0</v>
      </c>
      <c r="AB22" s="183">
        <f t="shared" si="49"/>
        <v>0</v>
      </c>
      <c r="AC22" s="184">
        <f t="shared" si="37"/>
        <v>0</v>
      </c>
      <c r="AD22" s="185" t="e">
        <f t="array" aca="1" ref="AD22" ca="1">XLOOKUP(B22,'ỐNG GIÓ'!D:D,'ỐNG GIÓ'!G:G)</f>
        <v>#NAME?</v>
      </c>
    </row>
    <row r="23" spans="1:30" ht="15.75" customHeight="1">
      <c r="A23" s="106">
        <v>6</v>
      </c>
      <c r="B23" s="176" t="s">
        <v>194</v>
      </c>
      <c r="C23" s="177" t="s">
        <v>195</v>
      </c>
      <c r="D23" s="178"/>
      <c r="E23" s="108" t="s">
        <v>168</v>
      </c>
      <c r="F23" s="179">
        <f t="shared" ref="F23:G23" si="50">G23+10000</f>
        <v>466250</v>
      </c>
      <c r="G23" s="180">
        <f t="shared" si="50"/>
        <v>456250</v>
      </c>
      <c r="H23" s="181">
        <v>446250</v>
      </c>
      <c r="I23" s="182"/>
      <c r="J23" s="183"/>
      <c r="K23" s="183"/>
      <c r="L23" s="183"/>
      <c r="M23" s="184"/>
      <c r="N23" s="179">
        <f t="shared" ref="N23:T23" si="51">IF(ISBLANK(F23),,ROUND(F23/1.1,-1))</f>
        <v>423860</v>
      </c>
      <c r="O23" s="180">
        <f t="shared" si="51"/>
        <v>414770</v>
      </c>
      <c r="P23" s="181">
        <f t="shared" si="51"/>
        <v>405680</v>
      </c>
      <c r="Q23" s="182">
        <f t="shared" si="51"/>
        <v>0</v>
      </c>
      <c r="R23" s="183">
        <f t="shared" si="51"/>
        <v>0</v>
      </c>
      <c r="S23" s="183">
        <f t="shared" si="51"/>
        <v>0</v>
      </c>
      <c r="T23" s="183">
        <f t="shared" si="51"/>
        <v>0</v>
      </c>
      <c r="U23" s="184">
        <f t="shared" si="35"/>
        <v>0</v>
      </c>
      <c r="V23" s="179" t="e">
        <f t="shared" ref="V23:AB23" ca="1" si="52">IF(ISBLANK(F23),,ROUND(F23*(1-$AD23),-1))</f>
        <v>#NAME?</v>
      </c>
      <c r="W23" s="180" t="e">
        <f t="shared" ca="1" si="52"/>
        <v>#NAME?</v>
      </c>
      <c r="X23" s="181" t="e">
        <f t="shared" ca="1" si="52"/>
        <v>#NAME?</v>
      </c>
      <c r="Y23" s="182">
        <f t="shared" si="52"/>
        <v>0</v>
      </c>
      <c r="Z23" s="183">
        <f t="shared" si="52"/>
        <v>0</v>
      </c>
      <c r="AA23" s="183">
        <f t="shared" si="52"/>
        <v>0</v>
      </c>
      <c r="AB23" s="183">
        <f t="shared" si="52"/>
        <v>0</v>
      </c>
      <c r="AC23" s="184">
        <f t="shared" si="37"/>
        <v>0</v>
      </c>
      <c r="AD23" s="185" t="e">
        <f t="array" aca="1" ref="AD23" ca="1">XLOOKUP(B23,'ỐNG GIÓ'!D:D,'ỐNG GIÓ'!G:G)</f>
        <v>#NAME?</v>
      </c>
    </row>
    <row r="24" spans="1:30" ht="15.75" customHeight="1">
      <c r="A24" s="106">
        <v>7</v>
      </c>
      <c r="B24" s="176" t="s">
        <v>196</v>
      </c>
      <c r="C24" s="177" t="s">
        <v>197</v>
      </c>
      <c r="D24" s="178"/>
      <c r="E24" s="108" t="s">
        <v>168</v>
      </c>
      <c r="F24" s="179">
        <f t="shared" ref="F24:G24" si="53">G24+10000</f>
        <v>532400</v>
      </c>
      <c r="G24" s="180">
        <f t="shared" si="53"/>
        <v>522400</v>
      </c>
      <c r="H24" s="181">
        <v>512400</v>
      </c>
      <c r="I24" s="182"/>
      <c r="J24" s="183"/>
      <c r="K24" s="183"/>
      <c r="L24" s="183"/>
      <c r="M24" s="184"/>
      <c r="N24" s="179">
        <f t="shared" ref="N24:T24" si="54">IF(ISBLANK(F24),,ROUND(F24/1.1,-1))</f>
        <v>484000</v>
      </c>
      <c r="O24" s="180">
        <f t="shared" si="54"/>
        <v>474910</v>
      </c>
      <c r="P24" s="181">
        <f t="shared" si="54"/>
        <v>465820</v>
      </c>
      <c r="Q24" s="182">
        <f t="shared" si="54"/>
        <v>0</v>
      </c>
      <c r="R24" s="183">
        <f t="shared" si="54"/>
        <v>0</v>
      </c>
      <c r="S24" s="183">
        <f t="shared" si="54"/>
        <v>0</v>
      </c>
      <c r="T24" s="183">
        <f t="shared" si="54"/>
        <v>0</v>
      </c>
      <c r="U24" s="184">
        <f t="shared" si="35"/>
        <v>0</v>
      </c>
      <c r="V24" s="179" t="e">
        <f t="shared" ref="V24:AB24" ca="1" si="55">IF(ISBLANK(F24),,ROUND(F24*(1-$AD24),-1))</f>
        <v>#NAME?</v>
      </c>
      <c r="W24" s="180" t="e">
        <f t="shared" ca="1" si="55"/>
        <v>#NAME?</v>
      </c>
      <c r="X24" s="181" t="e">
        <f t="shared" ca="1" si="55"/>
        <v>#NAME?</v>
      </c>
      <c r="Y24" s="182">
        <f t="shared" si="55"/>
        <v>0</v>
      </c>
      <c r="Z24" s="183">
        <f t="shared" si="55"/>
        <v>0</v>
      </c>
      <c r="AA24" s="183">
        <f t="shared" si="55"/>
        <v>0</v>
      </c>
      <c r="AB24" s="183">
        <f t="shared" si="55"/>
        <v>0</v>
      </c>
      <c r="AC24" s="184">
        <f t="shared" si="37"/>
        <v>0</v>
      </c>
      <c r="AD24" s="185" t="e">
        <f t="array" aca="1" ref="AD24" ca="1">XLOOKUP(B24,'ỐNG GIÓ'!D:D,'ỐNG GIÓ'!G:G)</f>
        <v>#NAME?</v>
      </c>
    </row>
    <row r="25" spans="1:30" ht="15.75" customHeight="1">
      <c r="A25" s="746" t="s">
        <v>198</v>
      </c>
      <c r="B25" s="718"/>
      <c r="C25" s="718"/>
      <c r="D25" s="718"/>
      <c r="E25" s="718"/>
      <c r="F25" s="746" t="s">
        <v>164</v>
      </c>
      <c r="G25" s="718"/>
      <c r="H25" s="718"/>
      <c r="I25" s="186"/>
      <c r="J25" s="747" t="s">
        <v>165</v>
      </c>
      <c r="K25" s="718"/>
      <c r="L25" s="718"/>
      <c r="M25" s="719"/>
      <c r="N25" s="746" t="s">
        <v>164</v>
      </c>
      <c r="O25" s="718"/>
      <c r="P25" s="718"/>
      <c r="Q25" s="186"/>
      <c r="R25" s="747" t="s">
        <v>165</v>
      </c>
      <c r="S25" s="718"/>
      <c r="T25" s="718"/>
      <c r="U25" s="719"/>
      <c r="V25" s="746" t="s">
        <v>164</v>
      </c>
      <c r="W25" s="718"/>
      <c r="X25" s="718"/>
      <c r="Y25" s="186"/>
      <c r="Z25" s="747" t="s">
        <v>165</v>
      </c>
      <c r="AA25" s="718"/>
      <c r="AB25" s="718"/>
      <c r="AC25" s="719"/>
      <c r="AD25" s="89"/>
    </row>
    <row r="26" spans="1:30" ht="15.75" customHeight="1">
      <c r="A26" s="106">
        <v>1</v>
      </c>
      <c r="B26" s="176" t="s">
        <v>199</v>
      </c>
      <c r="C26" s="177" t="s">
        <v>200</v>
      </c>
      <c r="D26" s="178"/>
      <c r="E26" s="108" t="s">
        <v>168</v>
      </c>
      <c r="F26" s="179">
        <f t="shared" ref="F26:G26" si="56">G26+10000</f>
        <v>200000.00000000003</v>
      </c>
      <c r="G26" s="180">
        <f t="shared" si="56"/>
        <v>190000.00000000003</v>
      </c>
      <c r="H26" s="181">
        <v>180000.00000000003</v>
      </c>
      <c r="I26" s="182"/>
      <c r="J26" s="183">
        <f t="shared" ref="J26:L26" si="57">F26+5000</f>
        <v>205000.00000000003</v>
      </c>
      <c r="K26" s="183">
        <f t="shared" si="57"/>
        <v>195000.00000000003</v>
      </c>
      <c r="L26" s="183">
        <f t="shared" si="57"/>
        <v>185000.00000000003</v>
      </c>
      <c r="M26" s="184"/>
      <c r="N26" s="179">
        <f t="shared" ref="N26:T26" si="58">IF(ISBLANK(F26),,ROUND(F26/1.1,-1))</f>
        <v>181820</v>
      </c>
      <c r="O26" s="180">
        <f t="shared" si="58"/>
        <v>172730</v>
      </c>
      <c r="P26" s="181">
        <f t="shared" si="58"/>
        <v>163640</v>
      </c>
      <c r="Q26" s="182">
        <f t="shared" si="58"/>
        <v>0</v>
      </c>
      <c r="R26" s="183">
        <f t="shared" si="58"/>
        <v>186360</v>
      </c>
      <c r="S26" s="183">
        <f t="shared" si="58"/>
        <v>177270</v>
      </c>
      <c r="T26" s="183">
        <f t="shared" si="58"/>
        <v>168180</v>
      </c>
      <c r="U26" s="184">
        <f t="shared" ref="U26:U34" si="59">IF(ISBLANK(M26),,ROUND(M26/1.08,-2))</f>
        <v>0</v>
      </c>
      <c r="V26" s="179" t="e">
        <f t="shared" ref="V26:AB26" ca="1" si="60">IF(ISBLANK(F26),,ROUND(F26*(1-$AD26),-1))</f>
        <v>#NAME?</v>
      </c>
      <c r="W26" s="180" t="e">
        <f t="shared" ca="1" si="60"/>
        <v>#NAME?</v>
      </c>
      <c r="X26" s="181" t="e">
        <f t="shared" ca="1" si="60"/>
        <v>#NAME?</v>
      </c>
      <c r="Y26" s="182">
        <f t="shared" si="60"/>
        <v>0</v>
      </c>
      <c r="Z26" s="183" t="e">
        <f t="shared" ca="1" si="60"/>
        <v>#NAME?</v>
      </c>
      <c r="AA26" s="183" t="e">
        <f t="shared" ca="1" si="60"/>
        <v>#NAME?</v>
      </c>
      <c r="AB26" s="183" t="e">
        <f t="shared" ca="1" si="60"/>
        <v>#NAME?</v>
      </c>
      <c r="AC26" s="184">
        <f t="shared" ref="AC26:AC34" si="61">IF(ISBLANK(M26),,ROUND(M26*(1-$AD26),0))</f>
        <v>0</v>
      </c>
      <c r="AD26" s="185" t="e">
        <f t="array" aca="1" ref="AD26" ca="1">XLOOKUP(B26,'ỐNG GIÓ'!D:D,'ỐNG GIÓ'!G:G)</f>
        <v>#NAME?</v>
      </c>
    </row>
    <row r="27" spans="1:30" ht="15.75" customHeight="1">
      <c r="A27" s="106">
        <v>2</v>
      </c>
      <c r="B27" s="176" t="s">
        <v>201</v>
      </c>
      <c r="C27" s="177" t="s">
        <v>202</v>
      </c>
      <c r="D27" s="178"/>
      <c r="E27" s="108" t="s">
        <v>168</v>
      </c>
      <c r="F27" s="179">
        <f t="shared" ref="F27:G27" si="62">G27+10000</f>
        <v>210000.00000000003</v>
      </c>
      <c r="G27" s="180">
        <f t="shared" si="62"/>
        <v>200000.00000000003</v>
      </c>
      <c r="H27" s="181">
        <v>190000.00000000003</v>
      </c>
      <c r="I27" s="182"/>
      <c r="J27" s="183">
        <f t="shared" ref="J27:L27" si="63">F27+5000</f>
        <v>215000.00000000003</v>
      </c>
      <c r="K27" s="183">
        <f t="shared" si="63"/>
        <v>205000.00000000003</v>
      </c>
      <c r="L27" s="183">
        <f t="shared" si="63"/>
        <v>195000.00000000003</v>
      </c>
      <c r="M27" s="184"/>
      <c r="N27" s="179">
        <f t="shared" ref="N27:T27" si="64">IF(ISBLANK(F27),,ROUND(F27/1.1,-1))</f>
        <v>190910</v>
      </c>
      <c r="O27" s="180">
        <f t="shared" si="64"/>
        <v>181820</v>
      </c>
      <c r="P27" s="181">
        <f t="shared" si="64"/>
        <v>172730</v>
      </c>
      <c r="Q27" s="182">
        <f t="shared" si="64"/>
        <v>0</v>
      </c>
      <c r="R27" s="183">
        <f t="shared" si="64"/>
        <v>195450</v>
      </c>
      <c r="S27" s="183">
        <f t="shared" si="64"/>
        <v>186360</v>
      </c>
      <c r="T27" s="183">
        <f t="shared" si="64"/>
        <v>177270</v>
      </c>
      <c r="U27" s="184">
        <f t="shared" si="59"/>
        <v>0</v>
      </c>
      <c r="V27" s="179" t="e">
        <f t="shared" ref="V27:AB27" ca="1" si="65">IF(ISBLANK(F27),,ROUND(F27*(1-$AD27),-1))</f>
        <v>#NAME?</v>
      </c>
      <c r="W27" s="180" t="e">
        <f t="shared" ca="1" si="65"/>
        <v>#NAME?</v>
      </c>
      <c r="X27" s="181" t="e">
        <f t="shared" ca="1" si="65"/>
        <v>#NAME?</v>
      </c>
      <c r="Y27" s="182">
        <f t="shared" si="65"/>
        <v>0</v>
      </c>
      <c r="Z27" s="183" t="e">
        <f t="shared" ca="1" si="65"/>
        <v>#NAME?</v>
      </c>
      <c r="AA27" s="183" t="e">
        <f t="shared" ca="1" si="65"/>
        <v>#NAME?</v>
      </c>
      <c r="AB27" s="183" t="e">
        <f t="shared" ca="1" si="65"/>
        <v>#NAME?</v>
      </c>
      <c r="AC27" s="184">
        <f t="shared" si="61"/>
        <v>0</v>
      </c>
      <c r="AD27" s="185" t="e">
        <f t="array" aca="1" ref="AD27" ca="1">XLOOKUP(B27,'ỐNG GIÓ'!D:D,'ỐNG GIÓ'!G:G)</f>
        <v>#NAME?</v>
      </c>
    </row>
    <row r="28" spans="1:30" ht="15.75" customHeight="1">
      <c r="A28" s="106">
        <v>3</v>
      </c>
      <c r="B28" s="176" t="s">
        <v>203</v>
      </c>
      <c r="C28" s="177" t="s">
        <v>204</v>
      </c>
      <c r="D28" s="178"/>
      <c r="E28" s="108" t="s">
        <v>168</v>
      </c>
      <c r="F28" s="179">
        <f t="shared" ref="F28:G28" si="66">G28+10000</f>
        <v>210000.00000000003</v>
      </c>
      <c r="G28" s="180">
        <f t="shared" si="66"/>
        <v>200000.00000000003</v>
      </c>
      <c r="H28" s="181">
        <v>190000.00000000003</v>
      </c>
      <c r="I28" s="182"/>
      <c r="J28" s="183">
        <f t="shared" ref="J28:L28" si="67">F28+5000</f>
        <v>215000.00000000003</v>
      </c>
      <c r="K28" s="183">
        <f t="shared" si="67"/>
        <v>205000.00000000003</v>
      </c>
      <c r="L28" s="183">
        <f t="shared" si="67"/>
        <v>195000.00000000003</v>
      </c>
      <c r="M28" s="184"/>
      <c r="N28" s="179">
        <f t="shared" ref="N28:T28" si="68">IF(ISBLANK(F28),,ROUND(F28/1.1,-1))</f>
        <v>190910</v>
      </c>
      <c r="O28" s="180">
        <f t="shared" si="68"/>
        <v>181820</v>
      </c>
      <c r="P28" s="181">
        <f t="shared" si="68"/>
        <v>172730</v>
      </c>
      <c r="Q28" s="182">
        <f t="shared" si="68"/>
        <v>0</v>
      </c>
      <c r="R28" s="183">
        <f t="shared" si="68"/>
        <v>195450</v>
      </c>
      <c r="S28" s="183">
        <f t="shared" si="68"/>
        <v>186360</v>
      </c>
      <c r="T28" s="183">
        <f t="shared" si="68"/>
        <v>177270</v>
      </c>
      <c r="U28" s="184">
        <f t="shared" si="59"/>
        <v>0</v>
      </c>
      <c r="V28" s="179" t="e">
        <f t="shared" ref="V28:AB28" ca="1" si="69">IF(ISBLANK(F28),,ROUND(F28*(1-$AD28),-1))</f>
        <v>#NAME?</v>
      </c>
      <c r="W28" s="180" t="e">
        <f t="shared" ca="1" si="69"/>
        <v>#NAME?</v>
      </c>
      <c r="X28" s="181" t="e">
        <f t="shared" ca="1" si="69"/>
        <v>#NAME?</v>
      </c>
      <c r="Y28" s="182">
        <f t="shared" si="69"/>
        <v>0</v>
      </c>
      <c r="Z28" s="183" t="e">
        <f t="shared" ca="1" si="69"/>
        <v>#NAME?</v>
      </c>
      <c r="AA28" s="183" t="e">
        <f t="shared" ca="1" si="69"/>
        <v>#NAME?</v>
      </c>
      <c r="AB28" s="183" t="e">
        <f t="shared" ca="1" si="69"/>
        <v>#NAME?</v>
      </c>
      <c r="AC28" s="184">
        <f t="shared" si="61"/>
        <v>0</v>
      </c>
      <c r="AD28" s="185" t="e">
        <f t="array" aca="1" ref="AD28" ca="1">XLOOKUP(B28,'ỐNG GIÓ'!D:D,'ỐNG GIÓ'!G:G)</f>
        <v>#NAME?</v>
      </c>
    </row>
    <row r="29" spans="1:30" ht="15.75" customHeight="1">
      <c r="A29" s="106">
        <v>4</v>
      </c>
      <c r="B29" s="176" t="s">
        <v>205</v>
      </c>
      <c r="C29" s="177" t="s">
        <v>206</v>
      </c>
      <c r="D29" s="178"/>
      <c r="E29" s="108" t="s">
        <v>168</v>
      </c>
      <c r="F29" s="179">
        <f t="shared" ref="F29:G29" si="70">G29+10000</f>
        <v>250000.00000000003</v>
      </c>
      <c r="G29" s="180">
        <f t="shared" si="70"/>
        <v>240000.00000000003</v>
      </c>
      <c r="H29" s="181">
        <v>230000.00000000003</v>
      </c>
      <c r="I29" s="182"/>
      <c r="J29" s="183">
        <f t="shared" ref="J29:L29" si="71">F29+5000</f>
        <v>255000.00000000003</v>
      </c>
      <c r="K29" s="183">
        <f t="shared" si="71"/>
        <v>245000.00000000003</v>
      </c>
      <c r="L29" s="183">
        <f t="shared" si="71"/>
        <v>235000.00000000003</v>
      </c>
      <c r="M29" s="184"/>
      <c r="N29" s="179">
        <f t="shared" ref="N29:T29" si="72">IF(ISBLANK(F29),,ROUND(F29/1.1,-1))</f>
        <v>227270</v>
      </c>
      <c r="O29" s="180">
        <f t="shared" si="72"/>
        <v>218180</v>
      </c>
      <c r="P29" s="181">
        <f t="shared" si="72"/>
        <v>209090</v>
      </c>
      <c r="Q29" s="182">
        <f t="shared" si="72"/>
        <v>0</v>
      </c>
      <c r="R29" s="183">
        <f t="shared" si="72"/>
        <v>231820</v>
      </c>
      <c r="S29" s="183">
        <f t="shared" si="72"/>
        <v>222730</v>
      </c>
      <c r="T29" s="183">
        <f t="shared" si="72"/>
        <v>213640</v>
      </c>
      <c r="U29" s="184">
        <f t="shared" si="59"/>
        <v>0</v>
      </c>
      <c r="V29" s="179" t="e">
        <f t="shared" ref="V29:AB29" ca="1" si="73">IF(ISBLANK(F29),,ROUND(F29*(1-$AD29),-1))</f>
        <v>#NAME?</v>
      </c>
      <c r="W29" s="180" t="e">
        <f t="shared" ca="1" si="73"/>
        <v>#NAME?</v>
      </c>
      <c r="X29" s="181" t="e">
        <f t="shared" ca="1" si="73"/>
        <v>#NAME?</v>
      </c>
      <c r="Y29" s="182">
        <f t="shared" si="73"/>
        <v>0</v>
      </c>
      <c r="Z29" s="183" t="e">
        <f t="shared" ca="1" si="73"/>
        <v>#NAME?</v>
      </c>
      <c r="AA29" s="183" t="e">
        <f t="shared" ca="1" si="73"/>
        <v>#NAME?</v>
      </c>
      <c r="AB29" s="183" t="e">
        <f t="shared" ca="1" si="73"/>
        <v>#NAME?</v>
      </c>
      <c r="AC29" s="184">
        <f t="shared" si="61"/>
        <v>0</v>
      </c>
      <c r="AD29" s="185" t="e">
        <f t="array" aca="1" ref="AD29" ca="1">XLOOKUP(B29,'ỐNG GIÓ'!D:D,'ỐNG GIÓ'!G:G)</f>
        <v>#NAME?</v>
      </c>
    </row>
    <row r="30" spans="1:30" ht="15.75" customHeight="1">
      <c r="A30" s="106">
        <v>5</v>
      </c>
      <c r="B30" s="176" t="s">
        <v>207</v>
      </c>
      <c r="C30" s="177" t="s">
        <v>208</v>
      </c>
      <c r="D30" s="178"/>
      <c r="E30" s="108" t="s">
        <v>168</v>
      </c>
      <c r="F30" s="179">
        <f t="shared" ref="F30:G30" si="74">G30+20000</f>
        <v>300000</v>
      </c>
      <c r="G30" s="180">
        <f t="shared" si="74"/>
        <v>280000</v>
      </c>
      <c r="H30" s="181">
        <v>260000.00000000003</v>
      </c>
      <c r="I30" s="182"/>
      <c r="J30" s="183">
        <f t="shared" ref="J30:L30" si="75">F30+5000</f>
        <v>305000</v>
      </c>
      <c r="K30" s="183">
        <f t="shared" si="75"/>
        <v>285000</v>
      </c>
      <c r="L30" s="183">
        <f t="shared" si="75"/>
        <v>265000</v>
      </c>
      <c r="M30" s="184"/>
      <c r="N30" s="179">
        <f t="shared" ref="N30:T30" si="76">IF(ISBLANK(F30),,ROUND(F30/1.1,-1))</f>
        <v>272730</v>
      </c>
      <c r="O30" s="180">
        <f t="shared" si="76"/>
        <v>254550</v>
      </c>
      <c r="P30" s="181">
        <f t="shared" si="76"/>
        <v>236360</v>
      </c>
      <c r="Q30" s="182">
        <f t="shared" si="76"/>
        <v>0</v>
      </c>
      <c r="R30" s="183">
        <f t="shared" si="76"/>
        <v>277270</v>
      </c>
      <c r="S30" s="183">
        <f t="shared" si="76"/>
        <v>259090</v>
      </c>
      <c r="T30" s="183">
        <f t="shared" si="76"/>
        <v>240910</v>
      </c>
      <c r="U30" s="184">
        <f t="shared" si="59"/>
        <v>0</v>
      </c>
      <c r="V30" s="179" t="e">
        <f t="shared" ref="V30:AB30" ca="1" si="77">IF(ISBLANK(F30),,ROUND(F30*(1-$AD30),-1))</f>
        <v>#NAME?</v>
      </c>
      <c r="W30" s="180" t="e">
        <f t="shared" ca="1" si="77"/>
        <v>#NAME?</v>
      </c>
      <c r="X30" s="181" t="e">
        <f t="shared" ca="1" si="77"/>
        <v>#NAME?</v>
      </c>
      <c r="Y30" s="182">
        <f t="shared" si="77"/>
        <v>0</v>
      </c>
      <c r="Z30" s="183" t="e">
        <f t="shared" ca="1" si="77"/>
        <v>#NAME?</v>
      </c>
      <c r="AA30" s="183" t="e">
        <f t="shared" ca="1" si="77"/>
        <v>#NAME?</v>
      </c>
      <c r="AB30" s="183" t="e">
        <f t="shared" ca="1" si="77"/>
        <v>#NAME?</v>
      </c>
      <c r="AC30" s="184">
        <f t="shared" si="61"/>
        <v>0</v>
      </c>
      <c r="AD30" s="185" t="e">
        <f t="array" aca="1" ref="AD30" ca="1">XLOOKUP(B30,'ỐNG GIÓ'!D:D,'ỐNG GIÓ'!G:G)</f>
        <v>#NAME?</v>
      </c>
    </row>
    <row r="31" spans="1:30" ht="15.75" customHeight="1">
      <c r="A31" s="106">
        <v>6</v>
      </c>
      <c r="B31" s="176" t="s">
        <v>209</v>
      </c>
      <c r="C31" s="177" t="s">
        <v>210</v>
      </c>
      <c r="D31" s="178"/>
      <c r="E31" s="108" t="s">
        <v>168</v>
      </c>
      <c r="F31" s="179">
        <f t="shared" ref="F31:G31" si="78">G31+20000</f>
        <v>380000.00000000006</v>
      </c>
      <c r="G31" s="180">
        <f t="shared" si="78"/>
        <v>360000.00000000006</v>
      </c>
      <c r="H31" s="181">
        <v>340000.00000000006</v>
      </c>
      <c r="I31" s="182"/>
      <c r="J31" s="183">
        <f t="shared" ref="J31:L31" si="79">F31+5000</f>
        <v>385000.00000000006</v>
      </c>
      <c r="K31" s="183">
        <f t="shared" si="79"/>
        <v>365000.00000000006</v>
      </c>
      <c r="L31" s="183">
        <f t="shared" si="79"/>
        <v>345000.00000000006</v>
      </c>
      <c r="M31" s="184"/>
      <c r="N31" s="179">
        <f t="shared" ref="N31:T31" si="80">IF(ISBLANK(F31),,ROUND(F31/1.1,-1))</f>
        <v>345450</v>
      </c>
      <c r="O31" s="180">
        <f t="shared" si="80"/>
        <v>327270</v>
      </c>
      <c r="P31" s="181">
        <f t="shared" si="80"/>
        <v>309090</v>
      </c>
      <c r="Q31" s="182">
        <f t="shared" si="80"/>
        <v>0</v>
      </c>
      <c r="R31" s="183">
        <f t="shared" si="80"/>
        <v>350000</v>
      </c>
      <c r="S31" s="183">
        <f t="shared" si="80"/>
        <v>331820</v>
      </c>
      <c r="T31" s="183">
        <f t="shared" si="80"/>
        <v>313640</v>
      </c>
      <c r="U31" s="184">
        <f t="shared" si="59"/>
        <v>0</v>
      </c>
      <c r="V31" s="179" t="e">
        <f t="shared" ref="V31:AB31" ca="1" si="81">IF(ISBLANK(F31),,ROUND(F31*(1-$AD31),-1))</f>
        <v>#NAME?</v>
      </c>
      <c r="W31" s="180" t="e">
        <f t="shared" ca="1" si="81"/>
        <v>#NAME?</v>
      </c>
      <c r="X31" s="181" t="e">
        <f t="shared" ca="1" si="81"/>
        <v>#NAME?</v>
      </c>
      <c r="Y31" s="182">
        <f t="shared" si="81"/>
        <v>0</v>
      </c>
      <c r="Z31" s="183" t="e">
        <f t="shared" ca="1" si="81"/>
        <v>#NAME?</v>
      </c>
      <c r="AA31" s="183" t="e">
        <f t="shared" ca="1" si="81"/>
        <v>#NAME?</v>
      </c>
      <c r="AB31" s="183" t="e">
        <f t="shared" ca="1" si="81"/>
        <v>#NAME?</v>
      </c>
      <c r="AC31" s="184">
        <f t="shared" si="61"/>
        <v>0</v>
      </c>
      <c r="AD31" s="185" t="e">
        <f t="array" aca="1" ref="AD31" ca="1">XLOOKUP(B31,'ỐNG GIÓ'!D:D,'ỐNG GIÓ'!G:G)</f>
        <v>#NAME?</v>
      </c>
    </row>
    <row r="32" spans="1:30" ht="15.75" customHeight="1">
      <c r="A32" s="106">
        <v>7</v>
      </c>
      <c r="B32" s="176" t="s">
        <v>211</v>
      </c>
      <c r="C32" s="177" t="s">
        <v>212</v>
      </c>
      <c r="D32" s="178"/>
      <c r="E32" s="108" t="s">
        <v>168</v>
      </c>
      <c r="F32" s="179">
        <f t="shared" ref="F32:G32" si="82">G32+20000</f>
        <v>400000.00000000006</v>
      </c>
      <c r="G32" s="180">
        <f t="shared" si="82"/>
        <v>380000.00000000006</v>
      </c>
      <c r="H32" s="181">
        <v>360000.00000000006</v>
      </c>
      <c r="I32" s="182"/>
      <c r="J32" s="183">
        <f t="shared" ref="J32:L32" si="83">F32+5000</f>
        <v>405000.00000000006</v>
      </c>
      <c r="K32" s="183">
        <f t="shared" si="83"/>
        <v>385000.00000000006</v>
      </c>
      <c r="L32" s="183">
        <f t="shared" si="83"/>
        <v>365000.00000000006</v>
      </c>
      <c r="M32" s="184"/>
      <c r="N32" s="179">
        <f t="shared" ref="N32:T32" si="84">IF(ISBLANK(F32),,ROUND(F32/1.1,-1))</f>
        <v>363640</v>
      </c>
      <c r="O32" s="180">
        <f t="shared" si="84"/>
        <v>345450</v>
      </c>
      <c r="P32" s="181">
        <f t="shared" si="84"/>
        <v>327270</v>
      </c>
      <c r="Q32" s="182">
        <f t="shared" si="84"/>
        <v>0</v>
      </c>
      <c r="R32" s="183">
        <f t="shared" si="84"/>
        <v>368180</v>
      </c>
      <c r="S32" s="183">
        <f t="shared" si="84"/>
        <v>350000</v>
      </c>
      <c r="T32" s="183">
        <f t="shared" si="84"/>
        <v>331820</v>
      </c>
      <c r="U32" s="184">
        <f t="shared" si="59"/>
        <v>0</v>
      </c>
      <c r="V32" s="179" t="e">
        <f t="shared" ref="V32:AB32" ca="1" si="85">IF(ISBLANK(F32),,ROUND(F32*(1-$AD32),-1))</f>
        <v>#NAME?</v>
      </c>
      <c r="W32" s="180" t="e">
        <f t="shared" ca="1" si="85"/>
        <v>#NAME?</v>
      </c>
      <c r="X32" s="181" t="e">
        <f t="shared" ca="1" si="85"/>
        <v>#NAME?</v>
      </c>
      <c r="Y32" s="182">
        <f t="shared" si="85"/>
        <v>0</v>
      </c>
      <c r="Z32" s="183" t="e">
        <f t="shared" ca="1" si="85"/>
        <v>#NAME?</v>
      </c>
      <c r="AA32" s="183" t="e">
        <f t="shared" ca="1" si="85"/>
        <v>#NAME?</v>
      </c>
      <c r="AB32" s="183" t="e">
        <f t="shared" ca="1" si="85"/>
        <v>#NAME?</v>
      </c>
      <c r="AC32" s="184">
        <f t="shared" si="61"/>
        <v>0</v>
      </c>
      <c r="AD32" s="185" t="e">
        <f t="array" aca="1" ref="AD32" ca="1">XLOOKUP(B32,'ỐNG GIÓ'!D:D,'ỐNG GIÓ'!G:G)</f>
        <v>#NAME?</v>
      </c>
    </row>
    <row r="33" spans="1:30" ht="15.75" customHeight="1">
      <c r="A33" s="106">
        <v>8</v>
      </c>
      <c r="B33" s="176" t="s">
        <v>213</v>
      </c>
      <c r="C33" s="177" t="s">
        <v>214</v>
      </c>
      <c r="D33" s="178"/>
      <c r="E33" s="108" t="s">
        <v>168</v>
      </c>
      <c r="F33" s="179">
        <f t="shared" ref="F33:G33" si="86">G33+20000</f>
        <v>510000.00000000006</v>
      </c>
      <c r="G33" s="180">
        <f t="shared" si="86"/>
        <v>490000.00000000006</v>
      </c>
      <c r="H33" s="181">
        <v>470000.00000000006</v>
      </c>
      <c r="I33" s="182"/>
      <c r="J33" s="183">
        <f t="shared" ref="J33:L33" si="87">F33+5000</f>
        <v>515000.00000000006</v>
      </c>
      <c r="K33" s="183">
        <f t="shared" si="87"/>
        <v>495000.00000000006</v>
      </c>
      <c r="L33" s="183">
        <f t="shared" si="87"/>
        <v>475000.00000000006</v>
      </c>
      <c r="M33" s="184"/>
      <c r="N33" s="179">
        <f t="shared" ref="N33:T33" si="88">IF(ISBLANK(F33),,ROUND(F33/1.1,-1))</f>
        <v>463640</v>
      </c>
      <c r="O33" s="180">
        <f t="shared" si="88"/>
        <v>445450</v>
      </c>
      <c r="P33" s="181">
        <f t="shared" si="88"/>
        <v>427270</v>
      </c>
      <c r="Q33" s="182">
        <f t="shared" si="88"/>
        <v>0</v>
      </c>
      <c r="R33" s="183">
        <f t="shared" si="88"/>
        <v>468180</v>
      </c>
      <c r="S33" s="183">
        <f t="shared" si="88"/>
        <v>450000</v>
      </c>
      <c r="T33" s="183">
        <f t="shared" si="88"/>
        <v>431820</v>
      </c>
      <c r="U33" s="184">
        <f t="shared" si="59"/>
        <v>0</v>
      </c>
      <c r="V33" s="179" t="e">
        <f t="shared" ref="V33:AB33" ca="1" si="89">IF(ISBLANK(F33),,ROUND(F33*(1-$AD33),-1))</f>
        <v>#NAME?</v>
      </c>
      <c r="W33" s="180" t="e">
        <f t="shared" ca="1" si="89"/>
        <v>#NAME?</v>
      </c>
      <c r="X33" s="181" t="e">
        <f t="shared" ca="1" si="89"/>
        <v>#NAME?</v>
      </c>
      <c r="Y33" s="182">
        <f t="shared" si="89"/>
        <v>0</v>
      </c>
      <c r="Z33" s="183" t="e">
        <f t="shared" ca="1" si="89"/>
        <v>#NAME?</v>
      </c>
      <c r="AA33" s="183" t="e">
        <f t="shared" ca="1" si="89"/>
        <v>#NAME?</v>
      </c>
      <c r="AB33" s="183" t="e">
        <f t="shared" ca="1" si="89"/>
        <v>#NAME?</v>
      </c>
      <c r="AC33" s="184">
        <f t="shared" si="61"/>
        <v>0</v>
      </c>
      <c r="AD33" s="185" t="e">
        <f t="array" aca="1" ref="AD33" ca="1">XLOOKUP(B33,'ỐNG GIÓ'!D:D,'ỐNG GIÓ'!G:G)</f>
        <v>#NAME?</v>
      </c>
    </row>
    <row r="34" spans="1:30" ht="15.75" customHeight="1">
      <c r="A34" s="106">
        <v>9</v>
      </c>
      <c r="B34" s="176" t="s">
        <v>215</v>
      </c>
      <c r="C34" s="177" t="s">
        <v>216</v>
      </c>
      <c r="D34" s="178"/>
      <c r="E34" s="108" t="s">
        <v>168</v>
      </c>
      <c r="F34" s="179">
        <f t="shared" ref="F34:G34" si="90">F33+200000</f>
        <v>710000</v>
      </c>
      <c r="G34" s="180">
        <f t="shared" si="90"/>
        <v>690000</v>
      </c>
      <c r="H34" s="181">
        <v>670000</v>
      </c>
      <c r="I34" s="182"/>
      <c r="J34" s="183">
        <f t="shared" ref="J34:L34" si="91">F34+5000</f>
        <v>715000</v>
      </c>
      <c r="K34" s="183">
        <f t="shared" si="91"/>
        <v>695000</v>
      </c>
      <c r="L34" s="183">
        <f t="shared" si="91"/>
        <v>675000</v>
      </c>
      <c r="M34" s="184"/>
      <c r="N34" s="179">
        <f t="shared" ref="N34:T34" si="92">IF(ISBLANK(F34),,ROUND(F34/1.1,-1))</f>
        <v>645450</v>
      </c>
      <c r="O34" s="180">
        <f t="shared" si="92"/>
        <v>627270</v>
      </c>
      <c r="P34" s="181">
        <f t="shared" si="92"/>
        <v>609090</v>
      </c>
      <c r="Q34" s="182">
        <f t="shared" si="92"/>
        <v>0</v>
      </c>
      <c r="R34" s="183">
        <f t="shared" si="92"/>
        <v>650000</v>
      </c>
      <c r="S34" s="183">
        <f t="shared" si="92"/>
        <v>631820</v>
      </c>
      <c r="T34" s="183">
        <f t="shared" si="92"/>
        <v>613640</v>
      </c>
      <c r="U34" s="184">
        <f t="shared" si="59"/>
        <v>0</v>
      </c>
      <c r="V34" s="179" t="e">
        <f t="shared" ref="V34:AB34" ca="1" si="93">IF(ISBLANK(F34),,ROUND(F34*(1-$AD34),-1))</f>
        <v>#NAME?</v>
      </c>
      <c r="W34" s="180" t="e">
        <f t="shared" ca="1" si="93"/>
        <v>#NAME?</v>
      </c>
      <c r="X34" s="181" t="e">
        <f t="shared" ca="1" si="93"/>
        <v>#NAME?</v>
      </c>
      <c r="Y34" s="182">
        <f t="shared" si="93"/>
        <v>0</v>
      </c>
      <c r="Z34" s="183" t="e">
        <f t="shared" ca="1" si="93"/>
        <v>#NAME?</v>
      </c>
      <c r="AA34" s="183" t="e">
        <f t="shared" ca="1" si="93"/>
        <v>#NAME?</v>
      </c>
      <c r="AB34" s="183" t="e">
        <f t="shared" ca="1" si="93"/>
        <v>#NAME?</v>
      </c>
      <c r="AC34" s="184">
        <f t="shared" si="61"/>
        <v>0</v>
      </c>
      <c r="AD34" s="185" t="e">
        <f t="array" aca="1" ref="AD34" ca="1">XLOOKUP(B34,'ỐNG GIÓ'!D:D,'ỐNG GIÓ'!G:G)</f>
        <v>#NAME?</v>
      </c>
    </row>
    <row r="35" spans="1:30" ht="15.75" customHeight="1">
      <c r="A35" s="746" t="s">
        <v>217</v>
      </c>
      <c r="B35" s="718"/>
      <c r="C35" s="718"/>
      <c r="D35" s="718"/>
      <c r="E35" s="718"/>
      <c r="F35" s="746" t="s">
        <v>164</v>
      </c>
      <c r="G35" s="718"/>
      <c r="H35" s="718"/>
      <c r="I35" s="186"/>
      <c r="J35" s="747" t="s">
        <v>165</v>
      </c>
      <c r="K35" s="718"/>
      <c r="L35" s="718"/>
      <c r="M35" s="719"/>
      <c r="N35" s="746" t="s">
        <v>164</v>
      </c>
      <c r="O35" s="718"/>
      <c r="P35" s="718"/>
      <c r="Q35" s="186"/>
      <c r="R35" s="747" t="s">
        <v>165</v>
      </c>
      <c r="S35" s="718"/>
      <c r="T35" s="718"/>
      <c r="U35" s="719"/>
      <c r="V35" s="746" t="s">
        <v>164</v>
      </c>
      <c r="W35" s="718"/>
      <c r="X35" s="718"/>
      <c r="Y35" s="186"/>
      <c r="Z35" s="747" t="s">
        <v>165</v>
      </c>
      <c r="AA35" s="718"/>
      <c r="AB35" s="718"/>
      <c r="AC35" s="719"/>
      <c r="AD35" s="89"/>
    </row>
    <row r="36" spans="1:30" ht="15.75" customHeight="1">
      <c r="A36" s="106">
        <v>1</v>
      </c>
      <c r="B36" s="176" t="s">
        <v>218</v>
      </c>
      <c r="C36" s="177" t="s">
        <v>200</v>
      </c>
      <c r="D36" s="178"/>
      <c r="E36" s="108" t="s">
        <v>168</v>
      </c>
      <c r="F36" s="179">
        <v>238000</v>
      </c>
      <c r="G36" s="180">
        <f t="shared" ref="G36:H36" si="94">F36-5000</f>
        <v>233000</v>
      </c>
      <c r="H36" s="181">
        <f t="shared" si="94"/>
        <v>228000</v>
      </c>
      <c r="I36" s="182"/>
      <c r="J36" s="183">
        <f t="shared" ref="J36:L36" si="95">F36+5000</f>
        <v>243000</v>
      </c>
      <c r="K36" s="183">
        <f t="shared" si="95"/>
        <v>238000</v>
      </c>
      <c r="L36" s="183">
        <f t="shared" si="95"/>
        <v>233000</v>
      </c>
      <c r="M36" s="184"/>
      <c r="N36" s="179">
        <f t="shared" ref="N36:T36" si="96">IF(ISBLANK(F36),,ROUND(F36/1.1,-1))</f>
        <v>216360</v>
      </c>
      <c r="O36" s="180">
        <f t="shared" si="96"/>
        <v>211820</v>
      </c>
      <c r="P36" s="181">
        <f t="shared" si="96"/>
        <v>207270</v>
      </c>
      <c r="Q36" s="182">
        <f t="shared" si="96"/>
        <v>0</v>
      </c>
      <c r="R36" s="183">
        <f t="shared" si="96"/>
        <v>220910</v>
      </c>
      <c r="S36" s="183">
        <f t="shared" si="96"/>
        <v>216360</v>
      </c>
      <c r="T36" s="183">
        <f t="shared" si="96"/>
        <v>211820</v>
      </c>
      <c r="U36" s="184">
        <f t="shared" ref="U36:U43" si="97">IF(ISBLANK(M36),,ROUND(M36/1.08,-2))</f>
        <v>0</v>
      </c>
      <c r="V36" s="179" t="e">
        <f t="shared" ref="V36:AB36" ca="1" si="98">IF(ISBLANK(F36),,ROUND(F36*(1-$AD36),-1))</f>
        <v>#NAME?</v>
      </c>
      <c r="W36" s="180" t="e">
        <f t="shared" ca="1" si="98"/>
        <v>#NAME?</v>
      </c>
      <c r="X36" s="181" t="e">
        <f t="shared" ca="1" si="98"/>
        <v>#NAME?</v>
      </c>
      <c r="Y36" s="182">
        <f t="shared" si="98"/>
        <v>0</v>
      </c>
      <c r="Z36" s="183" t="e">
        <f t="shared" ca="1" si="98"/>
        <v>#NAME?</v>
      </c>
      <c r="AA36" s="183" t="e">
        <f t="shared" ca="1" si="98"/>
        <v>#NAME?</v>
      </c>
      <c r="AB36" s="183" t="e">
        <f t="shared" ca="1" si="98"/>
        <v>#NAME?</v>
      </c>
      <c r="AC36" s="184">
        <f t="shared" ref="AC36:AC43" si="99">IF(ISBLANK(M36),,ROUND(M36*(1-$AD36),0))</f>
        <v>0</v>
      </c>
      <c r="AD36" s="185" t="e">
        <f t="array" aca="1" ref="AD36" ca="1">XLOOKUP(B36,'ỐNG GIÓ'!D:D,'ỐNG GIÓ'!G:G)</f>
        <v>#NAME?</v>
      </c>
    </row>
    <row r="37" spans="1:30" ht="15.75" customHeight="1">
      <c r="A37" s="106">
        <v>2</v>
      </c>
      <c r="B37" s="176" t="s">
        <v>219</v>
      </c>
      <c r="C37" s="177" t="s">
        <v>202</v>
      </c>
      <c r="D37" s="178"/>
      <c r="E37" s="108" t="s">
        <v>168</v>
      </c>
      <c r="F37" s="179">
        <v>278000</v>
      </c>
      <c r="G37" s="180">
        <f t="shared" ref="G37:H37" si="100">F37-5000</f>
        <v>273000</v>
      </c>
      <c r="H37" s="181">
        <f t="shared" si="100"/>
        <v>268000</v>
      </c>
      <c r="I37" s="182"/>
      <c r="J37" s="183">
        <f t="shared" ref="J37:L37" si="101">F37+5000</f>
        <v>283000</v>
      </c>
      <c r="K37" s="183">
        <f t="shared" si="101"/>
        <v>278000</v>
      </c>
      <c r="L37" s="183">
        <f t="shared" si="101"/>
        <v>273000</v>
      </c>
      <c r="M37" s="184"/>
      <c r="N37" s="179">
        <f t="shared" ref="N37:T37" si="102">IF(ISBLANK(F37),,ROUND(F37/1.1,-1))</f>
        <v>252730</v>
      </c>
      <c r="O37" s="180">
        <f t="shared" si="102"/>
        <v>248180</v>
      </c>
      <c r="P37" s="181">
        <f t="shared" si="102"/>
        <v>243640</v>
      </c>
      <c r="Q37" s="182">
        <f t="shared" si="102"/>
        <v>0</v>
      </c>
      <c r="R37" s="183">
        <f t="shared" si="102"/>
        <v>257270</v>
      </c>
      <c r="S37" s="183">
        <f t="shared" si="102"/>
        <v>252730</v>
      </c>
      <c r="T37" s="183">
        <f t="shared" si="102"/>
        <v>248180</v>
      </c>
      <c r="U37" s="184">
        <f t="shared" si="97"/>
        <v>0</v>
      </c>
      <c r="V37" s="179" t="e">
        <f t="shared" ref="V37:AB37" ca="1" si="103">IF(ISBLANK(F37),,ROUND(F37*(1-$AD37),-1))</f>
        <v>#NAME?</v>
      </c>
      <c r="W37" s="180" t="e">
        <f t="shared" ca="1" si="103"/>
        <v>#NAME?</v>
      </c>
      <c r="X37" s="181" t="e">
        <f t="shared" ca="1" si="103"/>
        <v>#NAME?</v>
      </c>
      <c r="Y37" s="182">
        <f t="shared" si="103"/>
        <v>0</v>
      </c>
      <c r="Z37" s="183" t="e">
        <f t="shared" ca="1" si="103"/>
        <v>#NAME?</v>
      </c>
      <c r="AA37" s="183" t="e">
        <f t="shared" ca="1" si="103"/>
        <v>#NAME?</v>
      </c>
      <c r="AB37" s="183" t="e">
        <f t="shared" ca="1" si="103"/>
        <v>#NAME?</v>
      </c>
      <c r="AC37" s="184">
        <f t="shared" si="99"/>
        <v>0</v>
      </c>
      <c r="AD37" s="185" t="e">
        <f t="array" aca="1" ref="AD37" ca="1">XLOOKUP(B37,'ỐNG GIÓ'!D:D,'ỐNG GIÓ'!G:G)</f>
        <v>#NAME?</v>
      </c>
    </row>
    <row r="38" spans="1:30" ht="15.75" customHeight="1">
      <c r="A38" s="106">
        <v>3</v>
      </c>
      <c r="B38" s="176" t="s">
        <v>220</v>
      </c>
      <c r="C38" s="177" t="s">
        <v>204</v>
      </c>
      <c r="D38" s="178"/>
      <c r="E38" s="108" t="s">
        <v>168</v>
      </c>
      <c r="F38" s="179">
        <v>278000</v>
      </c>
      <c r="G38" s="180">
        <f t="shared" ref="G38:H38" si="104">F38-5000</f>
        <v>273000</v>
      </c>
      <c r="H38" s="181">
        <f t="shared" si="104"/>
        <v>268000</v>
      </c>
      <c r="I38" s="182"/>
      <c r="J38" s="183">
        <f t="shared" ref="J38:L38" si="105">F38+5000</f>
        <v>283000</v>
      </c>
      <c r="K38" s="183">
        <f t="shared" si="105"/>
        <v>278000</v>
      </c>
      <c r="L38" s="183">
        <f t="shared" si="105"/>
        <v>273000</v>
      </c>
      <c r="M38" s="184"/>
      <c r="N38" s="179">
        <f t="shared" ref="N38:T38" si="106">IF(ISBLANK(F38),,ROUND(F38/1.1,-1))</f>
        <v>252730</v>
      </c>
      <c r="O38" s="180">
        <f t="shared" si="106"/>
        <v>248180</v>
      </c>
      <c r="P38" s="181">
        <f t="shared" si="106"/>
        <v>243640</v>
      </c>
      <c r="Q38" s="182">
        <f t="shared" si="106"/>
        <v>0</v>
      </c>
      <c r="R38" s="183">
        <f t="shared" si="106"/>
        <v>257270</v>
      </c>
      <c r="S38" s="183">
        <f t="shared" si="106"/>
        <v>252730</v>
      </c>
      <c r="T38" s="183">
        <f t="shared" si="106"/>
        <v>248180</v>
      </c>
      <c r="U38" s="184">
        <f t="shared" si="97"/>
        <v>0</v>
      </c>
      <c r="V38" s="179" t="e">
        <f t="shared" ref="V38:AB38" ca="1" si="107">IF(ISBLANK(F38),,ROUND(F38*(1-$AD38),-1))</f>
        <v>#NAME?</v>
      </c>
      <c r="W38" s="180" t="e">
        <f t="shared" ca="1" si="107"/>
        <v>#NAME?</v>
      </c>
      <c r="X38" s="181" t="e">
        <f t="shared" ca="1" si="107"/>
        <v>#NAME?</v>
      </c>
      <c r="Y38" s="182">
        <f t="shared" si="107"/>
        <v>0</v>
      </c>
      <c r="Z38" s="183" t="e">
        <f t="shared" ca="1" si="107"/>
        <v>#NAME?</v>
      </c>
      <c r="AA38" s="183" t="e">
        <f t="shared" ca="1" si="107"/>
        <v>#NAME?</v>
      </c>
      <c r="AB38" s="183" t="e">
        <f t="shared" ca="1" si="107"/>
        <v>#NAME?</v>
      </c>
      <c r="AC38" s="184">
        <f t="shared" si="99"/>
        <v>0</v>
      </c>
      <c r="AD38" s="185" t="e">
        <f t="array" aca="1" ref="AD38" ca="1">XLOOKUP(B38,'ỐNG GIÓ'!D:D,'ỐNG GIÓ'!G:G)</f>
        <v>#NAME?</v>
      </c>
    </row>
    <row r="39" spans="1:30" ht="15.75" customHeight="1">
      <c r="A39" s="106">
        <v>4</v>
      </c>
      <c r="B39" s="176" t="s">
        <v>221</v>
      </c>
      <c r="C39" s="177" t="s">
        <v>206</v>
      </c>
      <c r="D39" s="178"/>
      <c r="E39" s="108" t="s">
        <v>168</v>
      </c>
      <c r="F39" s="179">
        <v>324000</v>
      </c>
      <c r="G39" s="180">
        <f t="shared" ref="G39:H39" si="108">F39-5000</f>
        <v>319000</v>
      </c>
      <c r="H39" s="181">
        <f t="shared" si="108"/>
        <v>314000</v>
      </c>
      <c r="I39" s="182"/>
      <c r="J39" s="183">
        <f t="shared" ref="J39:L39" si="109">F39+5000</f>
        <v>329000</v>
      </c>
      <c r="K39" s="183">
        <f t="shared" si="109"/>
        <v>324000</v>
      </c>
      <c r="L39" s="183">
        <f t="shared" si="109"/>
        <v>319000</v>
      </c>
      <c r="M39" s="184"/>
      <c r="N39" s="179">
        <f t="shared" ref="N39:T39" si="110">IF(ISBLANK(F39),,ROUND(F39/1.1,-1))</f>
        <v>294550</v>
      </c>
      <c r="O39" s="180">
        <f t="shared" si="110"/>
        <v>290000</v>
      </c>
      <c r="P39" s="181">
        <f t="shared" si="110"/>
        <v>285450</v>
      </c>
      <c r="Q39" s="182">
        <f t="shared" si="110"/>
        <v>0</v>
      </c>
      <c r="R39" s="183">
        <f t="shared" si="110"/>
        <v>299090</v>
      </c>
      <c r="S39" s="183">
        <f t="shared" si="110"/>
        <v>294550</v>
      </c>
      <c r="T39" s="183">
        <f t="shared" si="110"/>
        <v>290000</v>
      </c>
      <c r="U39" s="184">
        <f t="shared" si="97"/>
        <v>0</v>
      </c>
      <c r="V39" s="179" t="e">
        <f t="shared" ref="V39:AB39" ca="1" si="111">IF(ISBLANK(F39),,ROUND(F39*(1-$AD39),-1))</f>
        <v>#NAME?</v>
      </c>
      <c r="W39" s="180" t="e">
        <f t="shared" ca="1" si="111"/>
        <v>#NAME?</v>
      </c>
      <c r="X39" s="181" t="e">
        <f t="shared" ca="1" si="111"/>
        <v>#NAME?</v>
      </c>
      <c r="Y39" s="182">
        <f t="shared" si="111"/>
        <v>0</v>
      </c>
      <c r="Z39" s="183" t="e">
        <f t="shared" ca="1" si="111"/>
        <v>#NAME?</v>
      </c>
      <c r="AA39" s="183" t="e">
        <f t="shared" ca="1" si="111"/>
        <v>#NAME?</v>
      </c>
      <c r="AB39" s="183" t="e">
        <f t="shared" ca="1" si="111"/>
        <v>#NAME?</v>
      </c>
      <c r="AC39" s="184">
        <f t="shared" si="99"/>
        <v>0</v>
      </c>
      <c r="AD39" s="185" t="e">
        <f t="array" aca="1" ref="AD39" ca="1">XLOOKUP(B39,'ỐNG GIÓ'!D:D,'ỐNG GIÓ'!G:G)</f>
        <v>#NAME?</v>
      </c>
    </row>
    <row r="40" spans="1:30" ht="15.75" customHeight="1">
      <c r="A40" s="106">
        <v>5</v>
      </c>
      <c r="B40" s="176" t="s">
        <v>222</v>
      </c>
      <c r="C40" s="177" t="s">
        <v>208</v>
      </c>
      <c r="D40" s="178"/>
      <c r="E40" s="108" t="s">
        <v>168</v>
      </c>
      <c r="F40" s="179">
        <v>364000</v>
      </c>
      <c r="G40" s="180">
        <f t="shared" ref="G40:H40" si="112">F40-5000</f>
        <v>359000</v>
      </c>
      <c r="H40" s="181">
        <f t="shared" si="112"/>
        <v>354000</v>
      </c>
      <c r="I40" s="182"/>
      <c r="J40" s="183">
        <f t="shared" ref="J40:L40" si="113">F40+5000</f>
        <v>369000</v>
      </c>
      <c r="K40" s="183">
        <f t="shared" si="113"/>
        <v>364000</v>
      </c>
      <c r="L40" s="183">
        <f t="shared" si="113"/>
        <v>359000</v>
      </c>
      <c r="M40" s="184"/>
      <c r="N40" s="179">
        <f t="shared" ref="N40:T40" si="114">IF(ISBLANK(F40),,ROUND(F40/1.1,-1))</f>
        <v>330910</v>
      </c>
      <c r="O40" s="180">
        <f t="shared" si="114"/>
        <v>326360</v>
      </c>
      <c r="P40" s="181">
        <f t="shared" si="114"/>
        <v>321820</v>
      </c>
      <c r="Q40" s="182">
        <f t="shared" si="114"/>
        <v>0</v>
      </c>
      <c r="R40" s="183">
        <f t="shared" si="114"/>
        <v>335450</v>
      </c>
      <c r="S40" s="183">
        <f t="shared" si="114"/>
        <v>330910</v>
      </c>
      <c r="T40" s="183">
        <f t="shared" si="114"/>
        <v>326360</v>
      </c>
      <c r="U40" s="184">
        <f t="shared" si="97"/>
        <v>0</v>
      </c>
      <c r="V40" s="179" t="e">
        <f t="shared" ref="V40:AB40" ca="1" si="115">IF(ISBLANK(F40),,ROUND(F40*(1-$AD40),-1))</f>
        <v>#NAME?</v>
      </c>
      <c r="W40" s="180" t="e">
        <f t="shared" ca="1" si="115"/>
        <v>#NAME?</v>
      </c>
      <c r="X40" s="181" t="e">
        <f t="shared" ca="1" si="115"/>
        <v>#NAME?</v>
      </c>
      <c r="Y40" s="182">
        <f t="shared" si="115"/>
        <v>0</v>
      </c>
      <c r="Z40" s="183" t="e">
        <f t="shared" ca="1" si="115"/>
        <v>#NAME?</v>
      </c>
      <c r="AA40" s="183" t="e">
        <f t="shared" ca="1" si="115"/>
        <v>#NAME?</v>
      </c>
      <c r="AB40" s="183" t="e">
        <f t="shared" ca="1" si="115"/>
        <v>#NAME?</v>
      </c>
      <c r="AC40" s="184">
        <f t="shared" si="99"/>
        <v>0</v>
      </c>
      <c r="AD40" s="185" t="e">
        <f t="array" aca="1" ref="AD40" ca="1">XLOOKUP(B40,'ỐNG GIÓ'!D:D,'ỐNG GIÓ'!G:G)</f>
        <v>#NAME?</v>
      </c>
    </row>
    <row r="41" spans="1:30" ht="15.75" customHeight="1">
      <c r="A41" s="106">
        <v>6</v>
      </c>
      <c r="B41" s="176" t="s">
        <v>223</v>
      </c>
      <c r="C41" s="177" t="s">
        <v>210</v>
      </c>
      <c r="D41" s="178"/>
      <c r="E41" s="108" t="s">
        <v>168</v>
      </c>
      <c r="F41" s="179">
        <v>463000</v>
      </c>
      <c r="G41" s="180">
        <f t="shared" ref="G41:H41" si="116">F41-5000</f>
        <v>458000</v>
      </c>
      <c r="H41" s="181">
        <f t="shared" si="116"/>
        <v>453000</v>
      </c>
      <c r="I41" s="182"/>
      <c r="J41" s="183">
        <f t="shared" ref="J41:L41" si="117">F41+5000</f>
        <v>468000</v>
      </c>
      <c r="K41" s="183">
        <f t="shared" si="117"/>
        <v>463000</v>
      </c>
      <c r="L41" s="183">
        <f t="shared" si="117"/>
        <v>458000</v>
      </c>
      <c r="M41" s="184"/>
      <c r="N41" s="179">
        <f t="shared" ref="N41:T41" si="118">IF(ISBLANK(F41),,ROUND(F41/1.1,-1))</f>
        <v>420910</v>
      </c>
      <c r="O41" s="180">
        <f t="shared" si="118"/>
        <v>416360</v>
      </c>
      <c r="P41" s="181">
        <f t="shared" si="118"/>
        <v>411820</v>
      </c>
      <c r="Q41" s="182">
        <f t="shared" si="118"/>
        <v>0</v>
      </c>
      <c r="R41" s="183">
        <f t="shared" si="118"/>
        <v>425450</v>
      </c>
      <c r="S41" s="183">
        <f t="shared" si="118"/>
        <v>420910</v>
      </c>
      <c r="T41" s="183">
        <f t="shared" si="118"/>
        <v>416360</v>
      </c>
      <c r="U41" s="184">
        <f t="shared" si="97"/>
        <v>0</v>
      </c>
      <c r="V41" s="179" t="e">
        <f t="shared" ref="V41:AB41" ca="1" si="119">IF(ISBLANK(F41),,ROUND(F41*(1-$AD41),-1))</f>
        <v>#NAME?</v>
      </c>
      <c r="W41" s="180" t="e">
        <f t="shared" ca="1" si="119"/>
        <v>#NAME?</v>
      </c>
      <c r="X41" s="181" t="e">
        <f t="shared" ca="1" si="119"/>
        <v>#NAME?</v>
      </c>
      <c r="Y41" s="182">
        <f t="shared" si="119"/>
        <v>0</v>
      </c>
      <c r="Z41" s="183" t="e">
        <f t="shared" ca="1" si="119"/>
        <v>#NAME?</v>
      </c>
      <c r="AA41" s="183" t="e">
        <f t="shared" ca="1" si="119"/>
        <v>#NAME?</v>
      </c>
      <c r="AB41" s="183" t="e">
        <f t="shared" ca="1" si="119"/>
        <v>#NAME?</v>
      </c>
      <c r="AC41" s="184">
        <f t="shared" si="99"/>
        <v>0</v>
      </c>
      <c r="AD41" s="185" t="e">
        <f t="array" aca="1" ref="AD41" ca="1">XLOOKUP(B41,'ỐNG GIÓ'!D:D,'ỐNG GIÓ'!G:G)</f>
        <v>#NAME?</v>
      </c>
    </row>
    <row r="42" spans="1:30" ht="15.75" customHeight="1">
      <c r="A42" s="106">
        <v>7</v>
      </c>
      <c r="B42" s="176" t="s">
        <v>224</v>
      </c>
      <c r="C42" s="177" t="s">
        <v>212</v>
      </c>
      <c r="D42" s="178"/>
      <c r="E42" s="108" t="s">
        <v>168</v>
      </c>
      <c r="F42" s="179">
        <v>502000</v>
      </c>
      <c r="G42" s="180">
        <f t="shared" ref="G42:H42" si="120">F42-5000</f>
        <v>497000</v>
      </c>
      <c r="H42" s="181">
        <f t="shared" si="120"/>
        <v>492000</v>
      </c>
      <c r="I42" s="182"/>
      <c r="J42" s="183">
        <f t="shared" ref="J42:L42" si="121">F42+5000</f>
        <v>507000</v>
      </c>
      <c r="K42" s="183">
        <f t="shared" si="121"/>
        <v>502000</v>
      </c>
      <c r="L42" s="183">
        <f t="shared" si="121"/>
        <v>497000</v>
      </c>
      <c r="M42" s="184"/>
      <c r="N42" s="179">
        <f t="shared" ref="N42:T42" si="122">IF(ISBLANK(F42),,ROUND(F42/1.1,-1))</f>
        <v>456360</v>
      </c>
      <c r="O42" s="180">
        <f t="shared" si="122"/>
        <v>451820</v>
      </c>
      <c r="P42" s="181">
        <f t="shared" si="122"/>
        <v>447270</v>
      </c>
      <c r="Q42" s="182">
        <f t="shared" si="122"/>
        <v>0</v>
      </c>
      <c r="R42" s="183">
        <f t="shared" si="122"/>
        <v>460910</v>
      </c>
      <c r="S42" s="183">
        <f t="shared" si="122"/>
        <v>456360</v>
      </c>
      <c r="T42" s="183">
        <f t="shared" si="122"/>
        <v>451820</v>
      </c>
      <c r="U42" s="184">
        <f t="shared" si="97"/>
        <v>0</v>
      </c>
      <c r="V42" s="179" t="e">
        <f t="shared" ref="V42:AB42" ca="1" si="123">IF(ISBLANK(F42),,ROUND(F42*(1-$AD42),-1))</f>
        <v>#NAME?</v>
      </c>
      <c r="W42" s="180" t="e">
        <f t="shared" ca="1" si="123"/>
        <v>#NAME?</v>
      </c>
      <c r="X42" s="181" t="e">
        <f t="shared" ca="1" si="123"/>
        <v>#NAME?</v>
      </c>
      <c r="Y42" s="182">
        <f t="shared" si="123"/>
        <v>0</v>
      </c>
      <c r="Z42" s="183" t="e">
        <f t="shared" ca="1" si="123"/>
        <v>#NAME?</v>
      </c>
      <c r="AA42" s="183" t="e">
        <f t="shared" ca="1" si="123"/>
        <v>#NAME?</v>
      </c>
      <c r="AB42" s="183" t="e">
        <f t="shared" ca="1" si="123"/>
        <v>#NAME?</v>
      </c>
      <c r="AC42" s="184">
        <f t="shared" si="99"/>
        <v>0</v>
      </c>
      <c r="AD42" s="185" t="e">
        <f t="array" aca="1" ref="AD42" ca="1">XLOOKUP(B42,'ỐNG GIÓ'!D:D,'ỐNG GIÓ'!G:G)</f>
        <v>#NAME?</v>
      </c>
    </row>
    <row r="43" spans="1:30" ht="15.75" customHeight="1">
      <c r="A43" s="106">
        <v>8</v>
      </c>
      <c r="B43" s="176" t="s">
        <v>225</v>
      </c>
      <c r="C43" s="177" t="s">
        <v>214</v>
      </c>
      <c r="D43" s="178"/>
      <c r="E43" s="108" t="s">
        <v>168</v>
      </c>
      <c r="F43" s="179">
        <v>582000</v>
      </c>
      <c r="G43" s="180">
        <f t="shared" ref="G43:H43" si="124">F43-5000</f>
        <v>577000</v>
      </c>
      <c r="H43" s="181">
        <f t="shared" si="124"/>
        <v>572000</v>
      </c>
      <c r="I43" s="182"/>
      <c r="J43" s="183">
        <f t="shared" ref="J43:L43" si="125">F43+5000</f>
        <v>587000</v>
      </c>
      <c r="K43" s="183">
        <f t="shared" si="125"/>
        <v>582000</v>
      </c>
      <c r="L43" s="183">
        <f t="shared" si="125"/>
        <v>577000</v>
      </c>
      <c r="M43" s="184"/>
      <c r="N43" s="179">
        <f t="shared" ref="N43:T43" si="126">IF(ISBLANK(F43),,ROUND(F43/1.1,-1))</f>
        <v>529090</v>
      </c>
      <c r="O43" s="180">
        <f t="shared" si="126"/>
        <v>524550</v>
      </c>
      <c r="P43" s="181">
        <f t="shared" si="126"/>
        <v>520000</v>
      </c>
      <c r="Q43" s="182">
        <f t="shared" si="126"/>
        <v>0</v>
      </c>
      <c r="R43" s="183">
        <f t="shared" si="126"/>
        <v>533640</v>
      </c>
      <c r="S43" s="183">
        <f t="shared" si="126"/>
        <v>529090</v>
      </c>
      <c r="T43" s="183">
        <f t="shared" si="126"/>
        <v>524550</v>
      </c>
      <c r="U43" s="184">
        <f t="shared" si="97"/>
        <v>0</v>
      </c>
      <c r="V43" s="179" t="e">
        <f t="shared" ref="V43:AB43" ca="1" si="127">IF(ISBLANK(F43),,ROUND(F43*(1-$AD43),-1))</f>
        <v>#NAME?</v>
      </c>
      <c r="W43" s="180" t="e">
        <f t="shared" ca="1" si="127"/>
        <v>#NAME?</v>
      </c>
      <c r="X43" s="181" t="e">
        <f t="shared" ca="1" si="127"/>
        <v>#NAME?</v>
      </c>
      <c r="Y43" s="182">
        <f t="shared" si="127"/>
        <v>0</v>
      </c>
      <c r="Z43" s="183" t="e">
        <f t="shared" ca="1" si="127"/>
        <v>#NAME?</v>
      </c>
      <c r="AA43" s="183" t="e">
        <f t="shared" ca="1" si="127"/>
        <v>#NAME?</v>
      </c>
      <c r="AB43" s="183" t="e">
        <f t="shared" ca="1" si="127"/>
        <v>#NAME?</v>
      </c>
      <c r="AC43" s="184">
        <f t="shared" si="99"/>
        <v>0</v>
      </c>
      <c r="AD43" s="185" t="e">
        <f t="array" aca="1" ref="AD43" ca="1">XLOOKUP(B43,'ỐNG GIÓ'!D:D,'ỐNG GIÓ'!G:G)</f>
        <v>#NAME?</v>
      </c>
    </row>
    <row r="44" spans="1:30" ht="1.5" customHeight="1">
      <c r="A44" s="187"/>
      <c r="B44" s="188"/>
      <c r="C44" s="188"/>
      <c r="D44" s="188"/>
      <c r="E44" s="188"/>
      <c r="F44" s="189"/>
      <c r="G44" s="190"/>
      <c r="H44" s="191"/>
      <c r="I44" s="191"/>
      <c r="J44" s="192"/>
      <c r="K44" s="192"/>
      <c r="L44" s="193"/>
      <c r="M44" s="193"/>
      <c r="N44" s="189"/>
      <c r="O44" s="190"/>
      <c r="P44" s="191"/>
      <c r="Q44" s="191"/>
      <c r="R44" s="192"/>
      <c r="S44" s="192"/>
      <c r="T44" s="193"/>
      <c r="U44" s="193"/>
      <c r="V44" s="189"/>
      <c r="W44" s="190"/>
      <c r="X44" s="191"/>
      <c r="Y44" s="191"/>
      <c r="Z44" s="192"/>
      <c r="AA44" s="192"/>
      <c r="AB44" s="193"/>
      <c r="AC44" s="193"/>
      <c r="AD44" s="89" t="e">
        <f t="array" aca="1" ref="AD44" ca="1">XLOOKUP(B44,'ỐNG GIÓ'!D:D,'ỐNG GIÓ'!G:G)</f>
        <v>#NAME?</v>
      </c>
    </row>
    <row r="45" spans="1:30" ht="31.5" customHeight="1">
      <c r="A45" s="750" t="s">
        <v>226</v>
      </c>
      <c r="B45" s="751"/>
      <c r="C45" s="751"/>
      <c r="D45" s="751"/>
      <c r="E45" s="752"/>
      <c r="F45" s="194" t="s">
        <v>227</v>
      </c>
      <c r="G45" s="195" t="s">
        <v>228</v>
      </c>
      <c r="H45" s="196"/>
      <c r="I45" s="196"/>
      <c r="J45" s="196" t="s">
        <v>229</v>
      </c>
      <c r="K45" s="196"/>
      <c r="L45" s="196"/>
      <c r="M45" s="197"/>
      <c r="N45" s="194" t="s">
        <v>227</v>
      </c>
      <c r="O45" s="195" t="s">
        <v>228</v>
      </c>
      <c r="P45" s="196"/>
      <c r="Q45" s="196"/>
      <c r="R45" s="196" t="s">
        <v>229</v>
      </c>
      <c r="S45" s="196"/>
      <c r="T45" s="196"/>
      <c r="U45" s="197"/>
      <c r="V45" s="194" t="s">
        <v>227</v>
      </c>
      <c r="W45" s="195" t="s">
        <v>228</v>
      </c>
      <c r="X45" s="196"/>
      <c r="Y45" s="196"/>
      <c r="Z45" s="196" t="s">
        <v>229</v>
      </c>
      <c r="AA45" s="196"/>
      <c r="AB45" s="196"/>
      <c r="AC45" s="197"/>
      <c r="AD45" s="89"/>
    </row>
    <row r="46" spans="1:30" ht="15.75" customHeight="1">
      <c r="A46" s="106">
        <v>1</v>
      </c>
      <c r="B46" s="176" t="s">
        <v>230</v>
      </c>
      <c r="C46" s="177" t="s">
        <v>231</v>
      </c>
      <c r="D46" s="178" t="s">
        <v>232</v>
      </c>
      <c r="E46" s="108" t="s">
        <v>233</v>
      </c>
      <c r="F46" s="179">
        <v>1140700</v>
      </c>
      <c r="G46" s="180">
        <v>814800</v>
      </c>
      <c r="H46" s="181"/>
      <c r="I46" s="181"/>
      <c r="J46" s="181">
        <v>896300</v>
      </c>
      <c r="K46" s="181"/>
      <c r="L46" s="181"/>
      <c r="M46" s="198"/>
      <c r="N46" s="179">
        <f t="shared" ref="N46:T46" si="128">IF(ISBLANK(F46),,ROUND(F46/1.1,-1))</f>
        <v>1037000</v>
      </c>
      <c r="O46" s="180">
        <f t="shared" si="128"/>
        <v>740730</v>
      </c>
      <c r="P46" s="181">
        <f t="shared" si="128"/>
        <v>0</v>
      </c>
      <c r="Q46" s="181">
        <f t="shared" si="128"/>
        <v>0</v>
      </c>
      <c r="R46" s="181">
        <f t="shared" si="128"/>
        <v>814820</v>
      </c>
      <c r="S46" s="181">
        <f t="shared" si="128"/>
        <v>0</v>
      </c>
      <c r="T46" s="181">
        <f t="shared" si="128"/>
        <v>0</v>
      </c>
      <c r="U46" s="198">
        <f t="shared" ref="U46:U50" si="129">IF(ISBLANK(M46),,ROUND(M46/1.08,-2))</f>
        <v>0</v>
      </c>
      <c r="V46" s="179" t="e">
        <f t="shared" ref="V46:AB46" ca="1" si="130">IF(ISBLANK(F46),,ROUND(F46*(1-$AD46),-1))</f>
        <v>#NAME?</v>
      </c>
      <c r="W46" s="180" t="e">
        <f t="shared" ca="1" si="130"/>
        <v>#NAME?</v>
      </c>
      <c r="X46" s="181">
        <f t="shared" si="130"/>
        <v>0</v>
      </c>
      <c r="Y46" s="181">
        <f t="shared" si="130"/>
        <v>0</v>
      </c>
      <c r="Z46" s="181" t="e">
        <f t="shared" ca="1" si="130"/>
        <v>#NAME?</v>
      </c>
      <c r="AA46" s="181">
        <f t="shared" si="130"/>
        <v>0</v>
      </c>
      <c r="AB46" s="181">
        <f t="shared" si="130"/>
        <v>0</v>
      </c>
      <c r="AC46" s="198">
        <f t="shared" ref="AC46:AC50" si="131">IF(ISBLANK(M46),,ROUND(M46*(1-$AD46),0))</f>
        <v>0</v>
      </c>
      <c r="AD46" s="185" t="e">
        <f t="array" aca="1" ref="AD46" ca="1">XLOOKUP(B46,'BTT+BK'!D:D,'BTT+BK'!G:G)</f>
        <v>#NAME?</v>
      </c>
    </row>
    <row r="47" spans="1:30" ht="15.75" customHeight="1">
      <c r="A47" s="106">
        <v>2</v>
      </c>
      <c r="B47" s="176" t="s">
        <v>234</v>
      </c>
      <c r="C47" s="177" t="s">
        <v>235</v>
      </c>
      <c r="D47" s="178" t="s">
        <v>236</v>
      </c>
      <c r="E47" s="108" t="s">
        <v>237</v>
      </c>
      <c r="F47" s="179">
        <v>1425900</v>
      </c>
      <c r="G47" s="180">
        <v>1008400</v>
      </c>
      <c r="H47" s="181"/>
      <c r="I47" s="181"/>
      <c r="J47" s="181">
        <v>1109100</v>
      </c>
      <c r="K47" s="181"/>
      <c r="L47" s="181"/>
      <c r="M47" s="198"/>
      <c r="N47" s="179">
        <f t="shared" ref="N47:T47" si="132">IF(ISBLANK(F47),,ROUND(F47/1.1,-1))</f>
        <v>1296270</v>
      </c>
      <c r="O47" s="180">
        <f t="shared" si="132"/>
        <v>916730</v>
      </c>
      <c r="P47" s="181">
        <f t="shared" si="132"/>
        <v>0</v>
      </c>
      <c r="Q47" s="181">
        <f t="shared" si="132"/>
        <v>0</v>
      </c>
      <c r="R47" s="181">
        <f t="shared" si="132"/>
        <v>1008270</v>
      </c>
      <c r="S47" s="181">
        <f t="shared" si="132"/>
        <v>0</v>
      </c>
      <c r="T47" s="181">
        <f t="shared" si="132"/>
        <v>0</v>
      </c>
      <c r="U47" s="198">
        <f t="shared" si="129"/>
        <v>0</v>
      </c>
      <c r="V47" s="179" t="e">
        <f t="shared" ref="V47:AB47" ca="1" si="133">IF(ISBLANK(F47),,ROUND(F47*(1-$AD47),-1))</f>
        <v>#NAME?</v>
      </c>
      <c r="W47" s="180" t="e">
        <f t="shared" ca="1" si="133"/>
        <v>#NAME?</v>
      </c>
      <c r="X47" s="181">
        <f t="shared" si="133"/>
        <v>0</v>
      </c>
      <c r="Y47" s="181">
        <f t="shared" si="133"/>
        <v>0</v>
      </c>
      <c r="Z47" s="181" t="e">
        <f t="shared" ca="1" si="133"/>
        <v>#NAME?</v>
      </c>
      <c r="AA47" s="181">
        <f t="shared" si="133"/>
        <v>0</v>
      </c>
      <c r="AB47" s="181">
        <f t="shared" si="133"/>
        <v>0</v>
      </c>
      <c r="AC47" s="198">
        <f t="shared" si="131"/>
        <v>0</v>
      </c>
      <c r="AD47" s="185" t="e">
        <f t="array" aca="1" ref="AD47" ca="1">XLOOKUP(B47,'BTT+BK'!D:D,'BTT+BK'!G:G)</f>
        <v>#NAME?</v>
      </c>
    </row>
    <row r="48" spans="1:30" ht="15.75" customHeight="1">
      <c r="A48" s="106">
        <v>3</v>
      </c>
      <c r="B48" s="176" t="s">
        <v>238</v>
      </c>
      <c r="C48" s="177" t="s">
        <v>239</v>
      </c>
      <c r="D48" s="178" t="s">
        <v>240</v>
      </c>
      <c r="E48" s="108" t="s">
        <v>241</v>
      </c>
      <c r="F48" s="179"/>
      <c r="G48" s="180"/>
      <c r="H48" s="181"/>
      <c r="I48" s="181"/>
      <c r="J48" s="181"/>
      <c r="K48" s="181"/>
      <c r="L48" s="181"/>
      <c r="M48" s="198"/>
      <c r="N48" s="179">
        <f t="shared" ref="N48:T48" si="134">IF(ISBLANK(F48),,ROUND(F48/1.1,-1))</f>
        <v>0</v>
      </c>
      <c r="O48" s="180">
        <f t="shared" si="134"/>
        <v>0</v>
      </c>
      <c r="P48" s="181">
        <f t="shared" si="134"/>
        <v>0</v>
      </c>
      <c r="Q48" s="181">
        <f t="shared" si="134"/>
        <v>0</v>
      </c>
      <c r="R48" s="181">
        <f t="shared" si="134"/>
        <v>0</v>
      </c>
      <c r="S48" s="181">
        <f t="shared" si="134"/>
        <v>0</v>
      </c>
      <c r="T48" s="181">
        <f t="shared" si="134"/>
        <v>0</v>
      </c>
      <c r="U48" s="198">
        <f t="shared" si="129"/>
        <v>0</v>
      </c>
      <c r="V48" s="179">
        <f t="shared" ref="V48:AB48" si="135">IF(ISBLANK(F48),,ROUND(F48*(1-$AD48),-1))</f>
        <v>0</v>
      </c>
      <c r="W48" s="180">
        <f t="shared" si="135"/>
        <v>0</v>
      </c>
      <c r="X48" s="181">
        <f t="shared" si="135"/>
        <v>0</v>
      </c>
      <c r="Y48" s="181">
        <f t="shared" si="135"/>
        <v>0</v>
      </c>
      <c r="Z48" s="181">
        <f t="shared" si="135"/>
        <v>0</v>
      </c>
      <c r="AA48" s="181">
        <f t="shared" si="135"/>
        <v>0</v>
      </c>
      <c r="AB48" s="181">
        <f t="shared" si="135"/>
        <v>0</v>
      </c>
      <c r="AC48" s="198">
        <f t="shared" si="131"/>
        <v>0</v>
      </c>
      <c r="AD48" s="185" t="e">
        <f t="array" aca="1" ref="AD48" ca="1">XLOOKUP(B48,'BTT+BK'!D:D,'BTT+BK'!G:G)</f>
        <v>#NAME?</v>
      </c>
    </row>
    <row r="49" spans="1:30" ht="15.75" customHeight="1">
      <c r="A49" s="106">
        <v>4</v>
      </c>
      <c r="B49" s="176" t="s">
        <v>242</v>
      </c>
      <c r="C49" s="177" t="s">
        <v>243</v>
      </c>
      <c r="D49" s="178" t="s">
        <v>244</v>
      </c>
      <c r="E49" s="108" t="s">
        <v>233</v>
      </c>
      <c r="F49" s="179"/>
      <c r="G49" s="180">
        <v>886200</v>
      </c>
      <c r="H49" s="181"/>
      <c r="I49" s="181"/>
      <c r="J49" s="181">
        <v>974700</v>
      </c>
      <c r="K49" s="181"/>
      <c r="L49" s="181"/>
      <c r="M49" s="198"/>
      <c r="N49" s="179">
        <f t="shared" ref="N49:T49" si="136">IF(ISBLANK(F49),,ROUND(F49/1.1,-1))</f>
        <v>0</v>
      </c>
      <c r="O49" s="180">
        <f t="shared" si="136"/>
        <v>805640</v>
      </c>
      <c r="P49" s="181">
        <f t="shared" si="136"/>
        <v>0</v>
      </c>
      <c r="Q49" s="181">
        <f t="shared" si="136"/>
        <v>0</v>
      </c>
      <c r="R49" s="181">
        <f t="shared" si="136"/>
        <v>886090</v>
      </c>
      <c r="S49" s="181">
        <f t="shared" si="136"/>
        <v>0</v>
      </c>
      <c r="T49" s="181">
        <f t="shared" si="136"/>
        <v>0</v>
      </c>
      <c r="U49" s="198">
        <f t="shared" si="129"/>
        <v>0</v>
      </c>
      <c r="V49" s="179">
        <f t="shared" ref="V49:AB49" si="137">IF(ISBLANK(F49),,ROUND(F49*(1-$AD49),-1))</f>
        <v>0</v>
      </c>
      <c r="W49" s="180" t="e">
        <f t="shared" ca="1" si="137"/>
        <v>#NAME?</v>
      </c>
      <c r="X49" s="181">
        <f t="shared" si="137"/>
        <v>0</v>
      </c>
      <c r="Y49" s="181">
        <f t="shared" si="137"/>
        <v>0</v>
      </c>
      <c r="Z49" s="181" t="e">
        <f t="shared" ca="1" si="137"/>
        <v>#NAME?</v>
      </c>
      <c r="AA49" s="181">
        <f t="shared" si="137"/>
        <v>0</v>
      </c>
      <c r="AB49" s="181">
        <f t="shared" si="137"/>
        <v>0</v>
      </c>
      <c r="AC49" s="198">
        <f t="shared" si="131"/>
        <v>0</v>
      </c>
      <c r="AD49" s="185" t="e">
        <f t="array" aca="1" ref="AD49" ca="1">XLOOKUP(B49,'BTT+BK'!D:D,'BTT+BK'!G:G)</f>
        <v>#NAME?</v>
      </c>
    </row>
    <row r="50" spans="1:30" ht="15.75" customHeight="1">
      <c r="A50" s="124">
        <v>5</v>
      </c>
      <c r="B50" s="199" t="s">
        <v>245</v>
      </c>
      <c r="C50" s="200" t="s">
        <v>246</v>
      </c>
      <c r="D50" s="201" t="s">
        <v>247</v>
      </c>
      <c r="E50" s="202" t="s">
        <v>241</v>
      </c>
      <c r="F50" s="203"/>
      <c r="G50" s="204"/>
      <c r="H50" s="205"/>
      <c r="I50" s="205"/>
      <c r="J50" s="205"/>
      <c r="K50" s="205"/>
      <c r="L50" s="205"/>
      <c r="M50" s="206"/>
      <c r="N50" s="203">
        <f t="shared" ref="N50:T50" si="138">IF(ISBLANK(F50),,ROUND(F50/1.1,-1))</f>
        <v>0</v>
      </c>
      <c r="O50" s="204">
        <f t="shared" si="138"/>
        <v>0</v>
      </c>
      <c r="P50" s="205">
        <f t="shared" si="138"/>
        <v>0</v>
      </c>
      <c r="Q50" s="205">
        <f t="shared" si="138"/>
        <v>0</v>
      </c>
      <c r="R50" s="205">
        <f t="shared" si="138"/>
        <v>0</v>
      </c>
      <c r="S50" s="205">
        <f t="shared" si="138"/>
        <v>0</v>
      </c>
      <c r="T50" s="205">
        <f t="shared" si="138"/>
        <v>0</v>
      </c>
      <c r="U50" s="206">
        <f t="shared" si="129"/>
        <v>0</v>
      </c>
      <c r="V50" s="203">
        <f t="shared" ref="V50:AB50" si="139">IF(ISBLANK(F50),,ROUND(F50*(1-$AD50),-1))</f>
        <v>0</v>
      </c>
      <c r="W50" s="204">
        <f t="shared" si="139"/>
        <v>0</v>
      </c>
      <c r="X50" s="205">
        <f t="shared" si="139"/>
        <v>0</v>
      </c>
      <c r="Y50" s="205">
        <f t="shared" si="139"/>
        <v>0</v>
      </c>
      <c r="Z50" s="205">
        <f t="shared" si="139"/>
        <v>0</v>
      </c>
      <c r="AA50" s="205">
        <f t="shared" si="139"/>
        <v>0</v>
      </c>
      <c r="AB50" s="205">
        <f t="shared" si="139"/>
        <v>0</v>
      </c>
      <c r="AC50" s="206">
        <f t="shared" si="131"/>
        <v>0</v>
      </c>
      <c r="AD50" s="185" t="e">
        <f t="array" aca="1" ref="AD50" ca="1">XLOOKUP(B50,'BTT+BK'!D:D,'BTT+BK'!G:G)</f>
        <v>#NAME?</v>
      </c>
    </row>
    <row r="51" spans="1:30" ht="39" customHeight="1">
      <c r="A51" s="750" t="s">
        <v>248</v>
      </c>
      <c r="B51" s="751"/>
      <c r="C51" s="751"/>
      <c r="D51" s="751"/>
      <c r="E51" s="752"/>
      <c r="F51" s="194" t="s">
        <v>227</v>
      </c>
      <c r="G51" s="195" t="s">
        <v>228</v>
      </c>
      <c r="H51" s="196"/>
      <c r="I51" s="196"/>
      <c r="J51" s="196" t="s">
        <v>229</v>
      </c>
      <c r="K51" s="207"/>
      <c r="L51" s="207"/>
      <c r="M51" s="208"/>
      <c r="N51" s="194" t="s">
        <v>227</v>
      </c>
      <c r="O51" s="195" t="s">
        <v>228</v>
      </c>
      <c r="P51" s="196"/>
      <c r="Q51" s="196"/>
      <c r="R51" s="196" t="s">
        <v>229</v>
      </c>
      <c r="S51" s="207"/>
      <c r="T51" s="207"/>
      <c r="U51" s="208"/>
      <c r="V51" s="194" t="s">
        <v>227</v>
      </c>
      <c r="W51" s="195" t="s">
        <v>228</v>
      </c>
      <c r="X51" s="196"/>
      <c r="Y51" s="196"/>
      <c r="Z51" s="196" t="s">
        <v>229</v>
      </c>
      <c r="AA51" s="207"/>
      <c r="AB51" s="207"/>
      <c r="AC51" s="208"/>
      <c r="AD51" s="89"/>
    </row>
    <row r="52" spans="1:30" ht="15.75" customHeight="1">
      <c r="A52" s="209">
        <v>1</v>
      </c>
      <c r="B52" s="210" t="s">
        <v>249</v>
      </c>
      <c r="C52" s="211" t="s">
        <v>250</v>
      </c>
      <c r="D52" s="212"/>
      <c r="E52" s="213" t="s">
        <v>233</v>
      </c>
      <c r="F52" s="179"/>
      <c r="G52" s="180">
        <v>784300</v>
      </c>
      <c r="H52" s="181"/>
      <c r="I52" s="181"/>
      <c r="J52" s="181">
        <v>862700</v>
      </c>
      <c r="K52" s="180"/>
      <c r="L52" s="180"/>
      <c r="M52" s="214"/>
      <c r="N52" s="179">
        <f t="shared" ref="N52:T52" si="140">IF(ISBLANK(F52),,ROUND(F52/1.1,-1))</f>
        <v>0</v>
      </c>
      <c r="O52" s="180">
        <f t="shared" si="140"/>
        <v>713000</v>
      </c>
      <c r="P52" s="181">
        <f t="shared" si="140"/>
        <v>0</v>
      </c>
      <c r="Q52" s="181">
        <f t="shared" si="140"/>
        <v>0</v>
      </c>
      <c r="R52" s="181">
        <f t="shared" si="140"/>
        <v>784270</v>
      </c>
      <c r="S52" s="180">
        <f t="shared" si="140"/>
        <v>0</v>
      </c>
      <c r="T52" s="180">
        <f t="shared" si="140"/>
        <v>0</v>
      </c>
      <c r="U52" s="214">
        <f t="shared" ref="U52:U56" si="141">IF(ISBLANK(M52),,ROUND(M52/1.08,-2))</f>
        <v>0</v>
      </c>
      <c r="V52" s="179">
        <f t="shared" ref="V52:AB52" si="142">IF(ISBLANK(F52),,ROUND(F52*(1-$AD52),-1))</f>
        <v>0</v>
      </c>
      <c r="W52" s="180" t="e">
        <f t="shared" ca="1" si="142"/>
        <v>#NAME?</v>
      </c>
      <c r="X52" s="181">
        <f t="shared" si="142"/>
        <v>0</v>
      </c>
      <c r="Y52" s="181">
        <f t="shared" si="142"/>
        <v>0</v>
      </c>
      <c r="Z52" s="181" t="e">
        <f t="shared" ca="1" si="142"/>
        <v>#NAME?</v>
      </c>
      <c r="AA52" s="180">
        <f t="shared" si="142"/>
        <v>0</v>
      </c>
      <c r="AB52" s="180">
        <f t="shared" si="142"/>
        <v>0</v>
      </c>
      <c r="AC52" s="214">
        <f t="shared" ref="AC52:AC56" si="143">IF(ISBLANK(M52),,ROUND(M52*(1-$AD52),0))</f>
        <v>0</v>
      </c>
      <c r="AD52" s="185" t="e">
        <f t="array" aca="1" ref="AD52" ca="1">XLOOKUP(B52,'BTT+BK'!D:D,'BTT+BK'!G:G)</f>
        <v>#NAME?</v>
      </c>
    </row>
    <row r="53" spans="1:30" ht="15.75" customHeight="1">
      <c r="A53" s="209">
        <v>2</v>
      </c>
      <c r="B53" s="210" t="s">
        <v>251</v>
      </c>
      <c r="C53" s="211" t="s">
        <v>252</v>
      </c>
      <c r="D53" s="211"/>
      <c r="E53" s="213" t="s">
        <v>237</v>
      </c>
      <c r="F53" s="215"/>
      <c r="G53" s="180">
        <v>957400</v>
      </c>
      <c r="H53" s="180"/>
      <c r="I53" s="180"/>
      <c r="J53" s="180">
        <v>1053100</v>
      </c>
      <c r="K53" s="216"/>
      <c r="L53" s="216"/>
      <c r="M53" s="217"/>
      <c r="N53" s="215">
        <f t="shared" ref="N53:T53" si="144">IF(ISBLANK(F53),,ROUND(F53/1.1,-1))</f>
        <v>0</v>
      </c>
      <c r="O53" s="180">
        <f t="shared" si="144"/>
        <v>870360</v>
      </c>
      <c r="P53" s="180">
        <f t="shared" si="144"/>
        <v>0</v>
      </c>
      <c r="Q53" s="180">
        <f t="shared" si="144"/>
        <v>0</v>
      </c>
      <c r="R53" s="180">
        <f t="shared" si="144"/>
        <v>957360</v>
      </c>
      <c r="S53" s="216">
        <f t="shared" si="144"/>
        <v>0</v>
      </c>
      <c r="T53" s="216">
        <f t="shared" si="144"/>
        <v>0</v>
      </c>
      <c r="U53" s="217">
        <f t="shared" si="141"/>
        <v>0</v>
      </c>
      <c r="V53" s="215">
        <f t="shared" ref="V53:AB53" si="145">IF(ISBLANK(F53),,ROUND(F53*(1-$AD53),-1))</f>
        <v>0</v>
      </c>
      <c r="W53" s="180" t="e">
        <f t="shared" ca="1" si="145"/>
        <v>#NAME?</v>
      </c>
      <c r="X53" s="180">
        <f t="shared" si="145"/>
        <v>0</v>
      </c>
      <c r="Y53" s="180">
        <f t="shared" si="145"/>
        <v>0</v>
      </c>
      <c r="Z53" s="180" t="e">
        <f t="shared" ca="1" si="145"/>
        <v>#NAME?</v>
      </c>
      <c r="AA53" s="216">
        <f t="shared" si="145"/>
        <v>0</v>
      </c>
      <c r="AB53" s="216">
        <f t="shared" si="145"/>
        <v>0</v>
      </c>
      <c r="AC53" s="217">
        <f t="shared" si="143"/>
        <v>0</v>
      </c>
      <c r="AD53" s="185" t="e">
        <f t="array" aca="1" ref="AD53" ca="1">XLOOKUP(B53,'BTT+BK'!D:D,'BTT+BK'!G:G)</f>
        <v>#NAME?</v>
      </c>
    </row>
    <row r="54" spans="1:30" ht="15.75" customHeight="1">
      <c r="A54" s="209">
        <v>3</v>
      </c>
      <c r="B54" s="210" t="s">
        <v>253</v>
      </c>
      <c r="C54" s="211" t="s">
        <v>254</v>
      </c>
      <c r="D54" s="211"/>
      <c r="E54" s="213" t="s">
        <v>241</v>
      </c>
      <c r="F54" s="215"/>
      <c r="G54" s="216"/>
      <c r="H54" s="216"/>
      <c r="I54" s="216"/>
      <c r="J54" s="216"/>
      <c r="K54" s="216"/>
      <c r="L54" s="216"/>
      <c r="M54" s="217"/>
      <c r="N54" s="215">
        <f t="shared" ref="N54:T54" si="146">IF(ISBLANK(F54),,ROUND(F54/1.1,-1))</f>
        <v>0</v>
      </c>
      <c r="O54" s="216">
        <f t="shared" si="146"/>
        <v>0</v>
      </c>
      <c r="P54" s="216">
        <f t="shared" si="146"/>
        <v>0</v>
      </c>
      <c r="Q54" s="216">
        <f t="shared" si="146"/>
        <v>0</v>
      </c>
      <c r="R54" s="216">
        <f t="shared" si="146"/>
        <v>0</v>
      </c>
      <c r="S54" s="216">
        <f t="shared" si="146"/>
        <v>0</v>
      </c>
      <c r="T54" s="216">
        <f t="shared" si="146"/>
        <v>0</v>
      </c>
      <c r="U54" s="217">
        <f t="shared" si="141"/>
        <v>0</v>
      </c>
      <c r="V54" s="215">
        <f t="shared" ref="V54:AB54" si="147">IF(ISBLANK(F54),,ROUND(F54*(1-$AD54),-1))</f>
        <v>0</v>
      </c>
      <c r="W54" s="216">
        <f t="shared" si="147"/>
        <v>0</v>
      </c>
      <c r="X54" s="216">
        <f t="shared" si="147"/>
        <v>0</v>
      </c>
      <c r="Y54" s="216">
        <f t="shared" si="147"/>
        <v>0</v>
      </c>
      <c r="Z54" s="216">
        <f t="shared" si="147"/>
        <v>0</v>
      </c>
      <c r="AA54" s="216">
        <f t="shared" si="147"/>
        <v>0</v>
      </c>
      <c r="AB54" s="216">
        <f t="shared" si="147"/>
        <v>0</v>
      </c>
      <c r="AC54" s="217">
        <f t="shared" si="143"/>
        <v>0</v>
      </c>
      <c r="AD54" s="185" t="e">
        <f t="array" aca="1" ref="AD54" ca="1">XLOOKUP(B54,'BTT+BK'!D:D,'BTT+BK'!G:G)</f>
        <v>#NAME?</v>
      </c>
    </row>
    <row r="55" spans="1:30" ht="15.75" customHeight="1">
      <c r="A55" s="209">
        <v>4</v>
      </c>
      <c r="B55" s="210" t="s">
        <v>255</v>
      </c>
      <c r="C55" s="211" t="s">
        <v>256</v>
      </c>
      <c r="D55" s="211"/>
      <c r="E55" s="213" t="s">
        <v>233</v>
      </c>
      <c r="F55" s="215"/>
      <c r="G55" s="180">
        <v>835200</v>
      </c>
      <c r="H55" s="180"/>
      <c r="I55" s="180"/>
      <c r="J55" s="180">
        <v>918700</v>
      </c>
      <c r="K55" s="216"/>
      <c r="L55" s="216"/>
      <c r="M55" s="217"/>
      <c r="N55" s="215">
        <f t="shared" ref="N55:T55" si="148">IF(ISBLANK(F55),,ROUND(F55/1.1,-1))</f>
        <v>0</v>
      </c>
      <c r="O55" s="180">
        <f t="shared" si="148"/>
        <v>759270</v>
      </c>
      <c r="P55" s="180">
        <f t="shared" si="148"/>
        <v>0</v>
      </c>
      <c r="Q55" s="180">
        <f t="shared" si="148"/>
        <v>0</v>
      </c>
      <c r="R55" s="180">
        <f t="shared" si="148"/>
        <v>835180</v>
      </c>
      <c r="S55" s="216">
        <f t="shared" si="148"/>
        <v>0</v>
      </c>
      <c r="T55" s="216">
        <f t="shared" si="148"/>
        <v>0</v>
      </c>
      <c r="U55" s="217">
        <f t="shared" si="141"/>
        <v>0</v>
      </c>
      <c r="V55" s="215">
        <f t="shared" ref="V55:AB55" si="149">IF(ISBLANK(F55),,ROUND(F55*(1-$AD55),-1))</f>
        <v>0</v>
      </c>
      <c r="W55" s="180" t="e">
        <f t="shared" ca="1" si="149"/>
        <v>#NAME?</v>
      </c>
      <c r="X55" s="180">
        <f t="shared" si="149"/>
        <v>0</v>
      </c>
      <c r="Y55" s="180">
        <f t="shared" si="149"/>
        <v>0</v>
      </c>
      <c r="Z55" s="180" t="e">
        <f t="shared" ca="1" si="149"/>
        <v>#NAME?</v>
      </c>
      <c r="AA55" s="216">
        <f t="shared" si="149"/>
        <v>0</v>
      </c>
      <c r="AB55" s="216">
        <f t="shared" si="149"/>
        <v>0</v>
      </c>
      <c r="AC55" s="217">
        <f t="shared" si="143"/>
        <v>0</v>
      </c>
      <c r="AD55" s="185" t="e">
        <f t="array" aca="1" ref="AD55" ca="1">XLOOKUP(B55,'BTT+BK'!D:D,'BTT+BK'!G:G)</f>
        <v>#NAME?</v>
      </c>
    </row>
    <row r="56" spans="1:30" ht="15.75" customHeight="1">
      <c r="A56" s="218">
        <v>5</v>
      </c>
      <c r="B56" s="219" t="s">
        <v>257</v>
      </c>
      <c r="C56" s="220" t="s">
        <v>258</v>
      </c>
      <c r="D56" s="220"/>
      <c r="E56" s="221" t="s">
        <v>241</v>
      </c>
      <c r="F56" s="222"/>
      <c r="G56" s="223"/>
      <c r="H56" s="223"/>
      <c r="I56" s="223"/>
      <c r="J56" s="223"/>
      <c r="K56" s="223"/>
      <c r="L56" s="223"/>
      <c r="M56" s="224"/>
      <c r="N56" s="222">
        <f t="shared" ref="N56:T56" si="150">IF(ISBLANK(F56),,ROUND(F56/1.1,-1))</f>
        <v>0</v>
      </c>
      <c r="O56" s="223">
        <f t="shared" si="150"/>
        <v>0</v>
      </c>
      <c r="P56" s="223">
        <f t="shared" si="150"/>
        <v>0</v>
      </c>
      <c r="Q56" s="223">
        <f t="shared" si="150"/>
        <v>0</v>
      </c>
      <c r="R56" s="223">
        <f t="shared" si="150"/>
        <v>0</v>
      </c>
      <c r="S56" s="223">
        <f t="shared" si="150"/>
        <v>0</v>
      </c>
      <c r="T56" s="223">
        <f t="shared" si="150"/>
        <v>0</v>
      </c>
      <c r="U56" s="224">
        <f t="shared" si="141"/>
        <v>0</v>
      </c>
      <c r="V56" s="222">
        <f t="shared" ref="V56:AB56" si="151">IF(ISBLANK(F56),,ROUND(F56*(1-$AD56),-1))</f>
        <v>0</v>
      </c>
      <c r="W56" s="223">
        <f t="shared" si="151"/>
        <v>0</v>
      </c>
      <c r="X56" s="223">
        <f t="shared" si="151"/>
        <v>0</v>
      </c>
      <c r="Y56" s="223">
        <f t="shared" si="151"/>
        <v>0</v>
      </c>
      <c r="Z56" s="223">
        <f t="shared" si="151"/>
        <v>0</v>
      </c>
      <c r="AA56" s="223">
        <f t="shared" si="151"/>
        <v>0</v>
      </c>
      <c r="AB56" s="223">
        <f t="shared" si="151"/>
        <v>0</v>
      </c>
      <c r="AC56" s="224">
        <f t="shared" si="143"/>
        <v>0</v>
      </c>
      <c r="AD56" s="185" t="e">
        <f t="array" aca="1" ref="AD56" ca="1">XLOOKUP(B56,'BTT+BK'!D:D,'BTT+BK'!G:G)</f>
        <v>#NAME?</v>
      </c>
    </row>
    <row r="57" spans="1:30" ht="15.75" customHeight="1">
      <c r="A57" s="225"/>
      <c r="B57" s="226"/>
      <c r="C57" s="226"/>
      <c r="D57" s="226"/>
      <c r="E57" s="226"/>
      <c r="F57" s="227"/>
      <c r="G57" s="228"/>
      <c r="H57" s="229"/>
      <c r="I57" s="229"/>
      <c r="J57" s="229"/>
      <c r="K57" s="229"/>
      <c r="L57" s="229"/>
      <c r="M57" s="230"/>
      <c r="N57" s="227"/>
      <c r="O57" s="228"/>
      <c r="P57" s="229"/>
      <c r="Q57" s="229"/>
      <c r="R57" s="229"/>
      <c r="S57" s="229"/>
      <c r="T57" s="229"/>
      <c r="U57" s="230"/>
      <c r="V57" s="227"/>
      <c r="W57" s="228"/>
      <c r="X57" s="229"/>
      <c r="Y57" s="229"/>
      <c r="Z57" s="229"/>
      <c r="AA57" s="229"/>
      <c r="AB57" s="229"/>
      <c r="AC57" s="230"/>
      <c r="AD57" s="89"/>
    </row>
    <row r="58" spans="1:30" ht="15.75" customHeight="1">
      <c r="A58" s="231"/>
      <c r="B58" s="753"/>
      <c r="C58" s="672"/>
      <c r="D58" s="672"/>
      <c r="E58" s="672"/>
      <c r="F58" s="672"/>
      <c r="G58" s="672"/>
      <c r="H58" s="754"/>
      <c r="I58" s="232"/>
      <c r="J58" s="233"/>
      <c r="K58" s="233"/>
      <c r="L58" s="233"/>
      <c r="M58" s="234"/>
      <c r="N58" s="161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</row>
    <row r="59" spans="1:30" ht="15.75" customHeight="1">
      <c r="A59" s="755">
        <v>1</v>
      </c>
      <c r="B59" s="756"/>
      <c r="C59" s="672"/>
      <c r="D59" s="672"/>
      <c r="E59" s="672"/>
      <c r="F59" s="672"/>
      <c r="G59" s="672"/>
      <c r="H59" s="672"/>
      <c r="I59" s="672"/>
      <c r="J59" s="672"/>
      <c r="K59" s="672"/>
      <c r="L59" s="672"/>
      <c r="M59" s="236"/>
      <c r="N59" s="161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</row>
    <row r="60" spans="1:30" ht="15.75" customHeight="1">
      <c r="A60" s="672"/>
      <c r="B60" s="756" t="s">
        <v>259</v>
      </c>
      <c r="C60" s="672"/>
      <c r="D60" s="672"/>
      <c r="E60" s="672"/>
      <c r="F60" s="672"/>
      <c r="G60" s="672"/>
      <c r="H60" s="672"/>
      <c r="I60" s="672"/>
      <c r="J60" s="672"/>
      <c r="K60" s="672"/>
      <c r="L60" s="672"/>
      <c r="M60" s="236"/>
      <c r="N60" s="161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</row>
    <row r="61" spans="1:30" ht="15.75" customHeight="1">
      <c r="A61" s="672"/>
      <c r="B61" s="757" t="s">
        <v>260</v>
      </c>
      <c r="C61" s="672"/>
      <c r="D61" s="672"/>
      <c r="E61" s="672"/>
      <c r="F61" s="672"/>
      <c r="G61" s="672"/>
      <c r="H61" s="672"/>
      <c r="I61" s="672"/>
      <c r="J61" s="672"/>
      <c r="K61" s="672"/>
      <c r="L61" s="672"/>
      <c r="M61" s="237"/>
      <c r="N61" s="161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</row>
    <row r="62" spans="1:30" ht="15.75" customHeight="1">
      <c r="A62" s="235">
        <v>2</v>
      </c>
      <c r="B62" s="756" t="s">
        <v>261</v>
      </c>
      <c r="C62" s="672"/>
      <c r="D62" s="672"/>
      <c r="E62" s="672"/>
      <c r="F62" s="672"/>
      <c r="G62" s="672"/>
      <c r="H62" s="672"/>
      <c r="I62" s="672"/>
      <c r="J62" s="672"/>
      <c r="K62" s="672"/>
      <c r="L62" s="672"/>
      <c r="M62" s="236"/>
      <c r="N62" s="161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</row>
    <row r="63" spans="1:30" ht="15.75" customHeight="1">
      <c r="A63" s="235">
        <v>3</v>
      </c>
      <c r="B63" s="129" t="s">
        <v>262</v>
      </c>
      <c r="C63" s="236"/>
      <c r="D63" s="236"/>
      <c r="E63" s="236"/>
      <c r="F63" s="236"/>
      <c r="G63" s="236"/>
      <c r="H63" s="236"/>
      <c r="I63" s="236"/>
      <c r="J63" s="236"/>
      <c r="K63" s="236"/>
      <c r="L63" s="236"/>
      <c r="M63" s="236"/>
      <c r="N63" s="161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  <c r="AA63" s="238"/>
      <c r="AB63" s="238"/>
      <c r="AC63" s="238"/>
      <c r="AD63" s="238"/>
    </row>
    <row r="64" spans="1:30" ht="15.75" customHeight="1">
      <c r="A64" s="239"/>
      <c r="B64" s="239"/>
      <c r="C64" s="240" t="s">
        <v>263</v>
      </c>
      <c r="D64" s="126"/>
      <c r="E64" s="239"/>
      <c r="F64" s="241"/>
      <c r="G64" s="241"/>
      <c r="H64" s="241"/>
      <c r="I64" s="241"/>
      <c r="J64" s="241"/>
      <c r="K64" s="241"/>
      <c r="L64" s="241"/>
      <c r="M64" s="241"/>
      <c r="N64" s="161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</row>
    <row r="65" spans="1:30" ht="15.75" customHeight="1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61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</row>
    <row r="66" spans="1:30" ht="15.75" customHeight="1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61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</row>
    <row r="67" spans="1:30" ht="15.75" customHeight="1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61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</row>
    <row r="68" spans="1:30" ht="15.75" customHeight="1">
      <c r="A68" s="242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3"/>
      <c r="O68" s="244"/>
      <c r="P68" s="244"/>
      <c r="Q68" s="244"/>
      <c r="R68" s="244"/>
      <c r="S68" s="244"/>
      <c r="T68" s="244"/>
      <c r="U68" s="244"/>
      <c r="V68" s="244"/>
      <c r="W68" s="244"/>
      <c r="X68" s="244"/>
      <c r="Y68" s="244"/>
      <c r="Z68" s="244"/>
      <c r="AA68" s="244"/>
      <c r="AB68" s="244"/>
      <c r="AC68" s="244"/>
      <c r="AD68" s="244"/>
    </row>
    <row r="69" spans="1:30" ht="15.75" customHeight="1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61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</row>
    <row r="70" spans="1:30" ht="15.75" customHeight="1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61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</row>
    <row r="71" spans="1:30" ht="15.75" customHeight="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61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</row>
    <row r="72" spans="1:30" ht="15.75" customHeight="1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61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</row>
    <row r="73" spans="1:30" ht="15.75" customHeight="1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61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</row>
    <row r="74" spans="1:30" ht="15.75" customHeight="1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61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</row>
    <row r="75" spans="1:30" ht="15.75" customHeight="1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61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</row>
    <row r="76" spans="1:30" ht="15.75" customHeight="1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61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</row>
    <row r="77" spans="1:30" ht="15.75" customHeight="1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61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</row>
    <row r="78" spans="1:30" ht="15.75" customHeight="1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61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</row>
    <row r="79" spans="1:30" ht="15.75" customHeight="1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61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</row>
    <row r="80" spans="1:30" ht="15.75" customHeight="1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61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</row>
    <row r="81" spans="1:30" ht="15.75" customHeight="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61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</row>
    <row r="82" spans="1:30" ht="15.75" customHeight="1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61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</row>
    <row r="83" spans="1:30" ht="15.75" customHeight="1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61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</row>
    <row r="84" spans="1:30" ht="15.75" customHeight="1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61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</row>
    <row r="85" spans="1:30" ht="15.75" customHeight="1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61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</row>
    <row r="86" spans="1:30" ht="15.75" customHeight="1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61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</row>
    <row r="87" spans="1:30" ht="15.75" customHeight="1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61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</row>
    <row r="88" spans="1:30" ht="15.75" customHeight="1">
      <c r="A88" s="761" t="s">
        <v>264</v>
      </c>
      <c r="B88" s="704"/>
      <c r="C88" s="704"/>
      <c r="D88" s="704"/>
      <c r="E88" s="704"/>
      <c r="F88" s="704"/>
      <c r="G88" s="704"/>
      <c r="H88" s="704"/>
      <c r="I88" s="704"/>
      <c r="J88" s="704"/>
      <c r="K88" s="704"/>
      <c r="L88" s="705"/>
      <c r="M88" s="84"/>
      <c r="N88" s="161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</row>
    <row r="89" spans="1:30" ht="15.75" customHeight="1">
      <c r="A89" s="706"/>
      <c r="B89" s="707"/>
      <c r="C89" s="707"/>
      <c r="D89" s="707"/>
      <c r="E89" s="707"/>
      <c r="F89" s="707"/>
      <c r="G89" s="707"/>
      <c r="H89" s="707"/>
      <c r="I89" s="707"/>
      <c r="J89" s="707"/>
      <c r="K89" s="707"/>
      <c r="L89" s="708"/>
      <c r="M89" s="84"/>
      <c r="N89" s="161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</row>
    <row r="90" spans="1:30" ht="6.75" customHeight="1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1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</row>
    <row r="91" spans="1:30">
      <c r="A91" s="762"/>
      <c r="B91" s="763"/>
      <c r="C91" s="763"/>
      <c r="D91" s="763"/>
      <c r="E91" s="763"/>
      <c r="F91" s="764"/>
      <c r="G91" s="245"/>
      <c r="H91" s="246"/>
      <c r="I91" s="246"/>
      <c r="J91" s="247"/>
      <c r="K91" s="247"/>
      <c r="L91" s="247" t="s">
        <v>265</v>
      </c>
      <c r="M91" s="168"/>
      <c r="N91" s="161"/>
      <c r="O91" s="774"/>
      <c r="P91" s="248"/>
      <c r="Q91" s="248"/>
      <c r="R91" s="248"/>
      <c r="S91" s="248"/>
      <c r="T91" s="248"/>
      <c r="U91" s="248"/>
      <c r="V91" s="248"/>
      <c r="W91" s="248"/>
      <c r="X91" s="248"/>
      <c r="Y91" s="248"/>
      <c r="Z91" s="248"/>
      <c r="AA91" s="248"/>
      <c r="AB91" s="248"/>
      <c r="AC91" s="248"/>
      <c r="AD91" s="248"/>
    </row>
    <row r="92" spans="1:30" ht="16.5" customHeight="1">
      <c r="A92" s="765" t="s">
        <v>2</v>
      </c>
      <c r="B92" s="767" t="s">
        <v>266</v>
      </c>
      <c r="C92" s="739" t="s">
        <v>267</v>
      </c>
      <c r="D92" s="694"/>
      <c r="E92" s="767" t="s">
        <v>79</v>
      </c>
      <c r="F92" s="773" t="s">
        <v>268</v>
      </c>
      <c r="G92" s="775" t="s">
        <v>269</v>
      </c>
      <c r="H92" s="713"/>
      <c r="I92" s="713"/>
      <c r="J92" s="713"/>
      <c r="K92" s="713"/>
      <c r="L92" s="714"/>
      <c r="M92" s="249"/>
      <c r="N92" s="161"/>
      <c r="O92" s="672"/>
      <c r="P92" s="248"/>
      <c r="Q92" s="248"/>
      <c r="R92" s="248"/>
      <c r="S92" s="248"/>
      <c r="T92" s="248"/>
      <c r="U92" s="248"/>
      <c r="V92" s="248"/>
      <c r="W92" s="248"/>
      <c r="X92" s="248"/>
      <c r="Y92" s="248"/>
      <c r="Z92" s="248"/>
      <c r="AA92" s="248"/>
      <c r="AB92" s="248"/>
      <c r="AC92" s="248"/>
      <c r="AD92" s="248"/>
    </row>
    <row r="93" spans="1:30" ht="16.5" customHeight="1">
      <c r="A93" s="766"/>
      <c r="B93" s="768"/>
      <c r="C93" s="741"/>
      <c r="D93" s="678"/>
      <c r="E93" s="768"/>
      <c r="F93" s="768"/>
      <c r="G93" s="250" t="s">
        <v>270</v>
      </c>
      <c r="H93" s="250" t="s">
        <v>271</v>
      </c>
      <c r="I93" s="251"/>
      <c r="J93" s="251"/>
      <c r="K93" s="251"/>
      <c r="L93" s="252" t="s">
        <v>272</v>
      </c>
      <c r="M93" s="253"/>
      <c r="N93" s="161"/>
      <c r="O93" s="672"/>
      <c r="P93" s="248"/>
      <c r="Q93" s="248"/>
      <c r="R93" s="248"/>
      <c r="S93" s="248"/>
      <c r="T93" s="248"/>
      <c r="U93" s="248"/>
      <c r="V93" s="248"/>
      <c r="W93" s="248"/>
      <c r="X93" s="248"/>
      <c r="Y93" s="248"/>
      <c r="Z93" s="248"/>
      <c r="AA93" s="248"/>
      <c r="AB93" s="248"/>
      <c r="AC93" s="248"/>
      <c r="AD93" s="248"/>
    </row>
    <row r="94" spans="1:30" ht="19.5" customHeight="1">
      <c r="A94" s="746" t="s">
        <v>273</v>
      </c>
      <c r="B94" s="718"/>
      <c r="C94" s="718"/>
      <c r="D94" s="718"/>
      <c r="E94" s="718"/>
      <c r="F94" s="718"/>
      <c r="G94" s="718"/>
      <c r="H94" s="718"/>
      <c r="I94" s="718"/>
      <c r="J94" s="718"/>
      <c r="K94" s="718"/>
      <c r="L94" s="719"/>
      <c r="M94" s="254"/>
      <c r="N94" s="161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</row>
    <row r="95" spans="1:30" ht="16.5" customHeight="1">
      <c r="A95" s="106">
        <v>1</v>
      </c>
      <c r="B95" s="107" t="s">
        <v>166</v>
      </c>
      <c r="C95" s="178" t="s">
        <v>167</v>
      </c>
      <c r="D95" s="178"/>
      <c r="E95" s="107" t="s">
        <v>168</v>
      </c>
      <c r="F95" s="255">
        <v>76000</v>
      </c>
      <c r="G95" s="255">
        <v>70000</v>
      </c>
      <c r="H95" s="255">
        <v>64000</v>
      </c>
      <c r="I95" s="256"/>
      <c r="J95" s="256"/>
      <c r="K95" s="256"/>
      <c r="L95" s="257">
        <v>59000</v>
      </c>
      <c r="M95" s="258"/>
      <c r="N95" s="161"/>
      <c r="O95" s="259">
        <v>45000</v>
      </c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</row>
    <row r="96" spans="1:30" ht="16.5" customHeight="1">
      <c r="A96" s="106">
        <v>2</v>
      </c>
      <c r="B96" s="107" t="s">
        <v>169</v>
      </c>
      <c r="C96" s="178" t="s">
        <v>170</v>
      </c>
      <c r="D96" s="178"/>
      <c r="E96" s="107" t="s">
        <v>168</v>
      </c>
      <c r="F96" s="255">
        <v>89000</v>
      </c>
      <c r="G96" s="255">
        <v>83000</v>
      </c>
      <c r="H96" s="255">
        <v>76000</v>
      </c>
      <c r="I96" s="256"/>
      <c r="J96" s="256"/>
      <c r="K96" s="256"/>
      <c r="L96" s="257">
        <v>70000</v>
      </c>
      <c r="M96" s="258"/>
      <c r="N96" s="161"/>
      <c r="O96" s="259">
        <v>50000</v>
      </c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</row>
    <row r="97" spans="1:30" ht="16.5" customHeight="1">
      <c r="A97" s="106">
        <v>3</v>
      </c>
      <c r="B97" s="107" t="s">
        <v>171</v>
      </c>
      <c r="C97" s="178" t="s">
        <v>172</v>
      </c>
      <c r="D97" s="178"/>
      <c r="E97" s="107" t="s">
        <v>168</v>
      </c>
      <c r="F97" s="255">
        <v>121000</v>
      </c>
      <c r="G97" s="255">
        <v>89000</v>
      </c>
      <c r="H97" s="255">
        <v>83000</v>
      </c>
      <c r="I97" s="256"/>
      <c r="J97" s="256"/>
      <c r="K97" s="256"/>
      <c r="L97" s="257">
        <v>76000</v>
      </c>
      <c r="M97" s="258"/>
      <c r="N97" s="161"/>
      <c r="O97" s="259">
        <v>60000</v>
      </c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</row>
    <row r="98" spans="1:30" ht="16.5" customHeight="1">
      <c r="A98" s="106">
        <v>4</v>
      </c>
      <c r="B98" s="107" t="s">
        <v>173</v>
      </c>
      <c r="C98" s="178" t="s">
        <v>174</v>
      </c>
      <c r="D98" s="178"/>
      <c r="E98" s="107" t="s">
        <v>168</v>
      </c>
      <c r="F98" s="255">
        <v>135000</v>
      </c>
      <c r="G98" s="255">
        <v>110000</v>
      </c>
      <c r="H98" s="255">
        <v>103000</v>
      </c>
      <c r="I98" s="256"/>
      <c r="J98" s="256"/>
      <c r="K98" s="256"/>
      <c r="L98" s="257">
        <v>97000</v>
      </c>
      <c r="M98" s="258"/>
      <c r="N98" s="161"/>
      <c r="O98" s="259">
        <v>75000</v>
      </c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</row>
    <row r="99" spans="1:30" ht="16.5" customHeight="1">
      <c r="A99" s="106">
        <v>5</v>
      </c>
      <c r="B99" s="107" t="s">
        <v>175</v>
      </c>
      <c r="C99" s="178" t="s">
        <v>176</v>
      </c>
      <c r="D99" s="178"/>
      <c r="E99" s="107" t="s">
        <v>168</v>
      </c>
      <c r="F99" s="255">
        <v>164000</v>
      </c>
      <c r="G99" s="255">
        <v>136000</v>
      </c>
      <c r="H99" s="255">
        <v>124000</v>
      </c>
      <c r="I99" s="256"/>
      <c r="J99" s="256"/>
      <c r="K99" s="256"/>
      <c r="L99" s="257">
        <v>113000</v>
      </c>
      <c r="M99" s="258"/>
      <c r="N99" s="161"/>
      <c r="O99" s="259">
        <v>100000</v>
      </c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</row>
    <row r="100" spans="1:30" ht="16.5" customHeight="1">
      <c r="A100" s="106">
        <v>6</v>
      </c>
      <c r="B100" s="107" t="s">
        <v>177</v>
      </c>
      <c r="C100" s="178" t="s">
        <v>178</v>
      </c>
      <c r="D100" s="178"/>
      <c r="E100" s="107" t="s">
        <v>168</v>
      </c>
      <c r="F100" s="255">
        <v>203000</v>
      </c>
      <c r="G100" s="255">
        <v>172000</v>
      </c>
      <c r="H100" s="255">
        <v>160000</v>
      </c>
      <c r="I100" s="256"/>
      <c r="J100" s="256"/>
      <c r="K100" s="256"/>
      <c r="L100" s="257">
        <v>148000</v>
      </c>
      <c r="M100" s="258"/>
      <c r="N100" s="161"/>
      <c r="O100" s="259">
        <v>120000</v>
      </c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</row>
    <row r="101" spans="1:30" ht="16.5" customHeight="1">
      <c r="A101" s="106">
        <v>7</v>
      </c>
      <c r="B101" s="107" t="s">
        <v>179</v>
      </c>
      <c r="C101" s="261" t="s">
        <v>180</v>
      </c>
      <c r="D101" s="178"/>
      <c r="E101" s="107" t="s">
        <v>168</v>
      </c>
      <c r="F101" s="255">
        <v>225000</v>
      </c>
      <c r="G101" s="255">
        <v>213000</v>
      </c>
      <c r="H101" s="255">
        <v>200000</v>
      </c>
      <c r="I101" s="256"/>
      <c r="J101" s="256"/>
      <c r="K101" s="256"/>
      <c r="L101" s="257">
        <v>188000</v>
      </c>
      <c r="M101" s="258"/>
      <c r="N101" s="161"/>
      <c r="O101" s="259">
        <v>150000</v>
      </c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</row>
    <row r="102" spans="1:30" ht="16.5" customHeight="1">
      <c r="A102" s="106">
        <v>8</v>
      </c>
      <c r="B102" s="107" t="s">
        <v>181</v>
      </c>
      <c r="C102" s="261" t="s">
        <v>182</v>
      </c>
      <c r="D102" s="178"/>
      <c r="E102" s="107" t="s">
        <v>168</v>
      </c>
      <c r="F102" s="255">
        <v>294000</v>
      </c>
      <c r="G102" s="255">
        <v>271000</v>
      </c>
      <c r="H102" s="255">
        <v>249000</v>
      </c>
      <c r="I102" s="256"/>
      <c r="J102" s="256"/>
      <c r="K102" s="256"/>
      <c r="L102" s="257">
        <v>226000</v>
      </c>
      <c r="M102" s="258"/>
      <c r="N102" s="161"/>
      <c r="O102" s="259">
        <v>200000</v>
      </c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</row>
    <row r="103" spans="1:30" ht="19.5" customHeight="1">
      <c r="A103" s="746" t="s">
        <v>274</v>
      </c>
      <c r="B103" s="718"/>
      <c r="C103" s="718"/>
      <c r="D103" s="718"/>
      <c r="E103" s="718"/>
      <c r="F103" s="718"/>
      <c r="G103" s="718"/>
      <c r="H103" s="718"/>
      <c r="I103" s="718"/>
      <c r="J103" s="718"/>
      <c r="K103" s="718"/>
      <c r="L103" s="719"/>
      <c r="M103" s="254"/>
      <c r="N103" s="161"/>
      <c r="O103" s="262"/>
      <c r="P103" s="262"/>
      <c r="Q103" s="262"/>
      <c r="R103" s="262"/>
      <c r="S103" s="262"/>
      <c r="T103" s="262"/>
      <c r="U103" s="262"/>
      <c r="V103" s="262"/>
      <c r="W103" s="262"/>
      <c r="X103" s="262"/>
      <c r="Y103" s="262"/>
      <c r="Z103" s="262"/>
      <c r="AA103" s="262"/>
      <c r="AB103" s="262"/>
      <c r="AC103" s="262"/>
      <c r="AD103" s="262"/>
    </row>
    <row r="104" spans="1:30" ht="16.5" customHeight="1">
      <c r="A104" s="106">
        <v>1</v>
      </c>
      <c r="B104" s="107" t="s">
        <v>199</v>
      </c>
      <c r="C104" s="177" t="s">
        <v>200</v>
      </c>
      <c r="D104" s="178"/>
      <c r="E104" s="107" t="s">
        <v>168</v>
      </c>
      <c r="F104" s="255">
        <v>201000</v>
      </c>
      <c r="G104" s="255">
        <v>195000</v>
      </c>
      <c r="H104" s="255">
        <v>189000</v>
      </c>
      <c r="I104" s="256"/>
      <c r="J104" s="256"/>
      <c r="K104" s="256"/>
      <c r="L104" s="257">
        <v>183000</v>
      </c>
      <c r="M104" s="258"/>
      <c r="N104" s="161"/>
      <c r="O104" s="259" t="e">
        <f t="shared" ref="O104:O105" si="152">+#REF!-5000</f>
        <v>#REF!</v>
      </c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</row>
    <row r="105" spans="1:30" ht="16.5" customHeight="1">
      <c r="A105" s="106">
        <v>2</v>
      </c>
      <c r="B105" s="107" t="s">
        <v>201</v>
      </c>
      <c r="C105" s="177" t="s">
        <v>202</v>
      </c>
      <c r="D105" s="178"/>
      <c r="E105" s="107" t="s">
        <v>168</v>
      </c>
      <c r="F105" s="255">
        <v>213000</v>
      </c>
      <c r="G105" s="255">
        <v>207000</v>
      </c>
      <c r="H105" s="255">
        <v>201000</v>
      </c>
      <c r="I105" s="256"/>
      <c r="J105" s="256"/>
      <c r="K105" s="256"/>
      <c r="L105" s="257">
        <v>195000</v>
      </c>
      <c r="M105" s="258"/>
      <c r="N105" s="161"/>
      <c r="O105" s="259" t="e">
        <f t="shared" si="152"/>
        <v>#REF!</v>
      </c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</row>
    <row r="106" spans="1:30" ht="16.5" customHeight="1">
      <c r="A106" s="106">
        <v>3</v>
      </c>
      <c r="B106" s="107" t="s">
        <v>203</v>
      </c>
      <c r="C106" s="177" t="s">
        <v>204</v>
      </c>
      <c r="D106" s="178"/>
      <c r="E106" s="107" t="s">
        <v>168</v>
      </c>
      <c r="F106" s="255">
        <v>238000</v>
      </c>
      <c r="G106" s="255">
        <v>232000</v>
      </c>
      <c r="H106" s="255">
        <v>226000</v>
      </c>
      <c r="I106" s="256"/>
      <c r="J106" s="256"/>
      <c r="K106" s="256"/>
      <c r="L106" s="257">
        <v>196000</v>
      </c>
      <c r="M106" s="258"/>
      <c r="N106" s="161"/>
      <c r="O106" s="259">
        <v>165000</v>
      </c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</row>
    <row r="107" spans="1:30" ht="16.5" customHeight="1">
      <c r="A107" s="106">
        <v>4</v>
      </c>
      <c r="B107" s="107" t="s">
        <v>205</v>
      </c>
      <c r="C107" s="177" t="s">
        <v>206</v>
      </c>
      <c r="D107" s="178"/>
      <c r="E107" s="107" t="s">
        <v>168</v>
      </c>
      <c r="F107" s="255">
        <v>265000</v>
      </c>
      <c r="G107" s="255">
        <v>253000</v>
      </c>
      <c r="H107" s="255">
        <v>242000</v>
      </c>
      <c r="I107" s="256"/>
      <c r="J107" s="256"/>
      <c r="K107" s="256"/>
      <c r="L107" s="257">
        <v>213000</v>
      </c>
      <c r="M107" s="258"/>
      <c r="N107" s="161"/>
      <c r="O107" s="259">
        <v>185000</v>
      </c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</row>
    <row r="108" spans="1:30" ht="16.5" customHeight="1">
      <c r="A108" s="106">
        <v>5</v>
      </c>
      <c r="B108" s="107" t="s">
        <v>207</v>
      </c>
      <c r="C108" s="177" t="s">
        <v>208</v>
      </c>
      <c r="D108" s="178"/>
      <c r="E108" s="107" t="s">
        <v>168</v>
      </c>
      <c r="F108" s="255">
        <v>284000</v>
      </c>
      <c r="G108" s="255">
        <v>253000</v>
      </c>
      <c r="H108" s="255">
        <v>248000</v>
      </c>
      <c r="I108" s="256"/>
      <c r="J108" s="256"/>
      <c r="K108" s="256"/>
      <c r="L108" s="257">
        <v>248000</v>
      </c>
      <c r="M108" s="258"/>
      <c r="N108" s="161"/>
      <c r="O108" s="259">
        <v>225000</v>
      </c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</row>
    <row r="109" spans="1:30" ht="16.5" customHeight="1">
      <c r="A109" s="106">
        <v>6</v>
      </c>
      <c r="B109" s="107" t="s">
        <v>209</v>
      </c>
      <c r="C109" s="177" t="s">
        <v>210</v>
      </c>
      <c r="D109" s="178"/>
      <c r="E109" s="107" t="s">
        <v>168</v>
      </c>
      <c r="F109" s="255">
        <v>359000</v>
      </c>
      <c r="G109" s="255">
        <v>336000</v>
      </c>
      <c r="H109" s="255">
        <v>314000</v>
      </c>
      <c r="I109" s="256"/>
      <c r="J109" s="256"/>
      <c r="K109" s="256"/>
      <c r="L109" s="257">
        <v>291000</v>
      </c>
      <c r="M109" s="258"/>
      <c r="N109" s="161"/>
      <c r="O109" s="259">
        <v>290000</v>
      </c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</row>
    <row r="110" spans="1:30" ht="16.5" customHeight="1">
      <c r="A110" s="106">
        <v>7</v>
      </c>
      <c r="B110" s="107" t="s">
        <v>211</v>
      </c>
      <c r="C110" s="177" t="s">
        <v>212</v>
      </c>
      <c r="D110" s="178"/>
      <c r="E110" s="107" t="s">
        <v>168</v>
      </c>
      <c r="F110" s="255">
        <v>412000</v>
      </c>
      <c r="G110" s="255">
        <v>390000</v>
      </c>
      <c r="H110" s="255">
        <v>367000</v>
      </c>
      <c r="I110" s="256"/>
      <c r="J110" s="256"/>
      <c r="K110" s="256"/>
      <c r="L110" s="257">
        <v>345000</v>
      </c>
      <c r="M110" s="258"/>
      <c r="N110" s="161"/>
      <c r="O110" s="259">
        <v>311000</v>
      </c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</row>
    <row r="111" spans="1:30" ht="16.5" customHeight="1">
      <c r="A111" s="106">
        <v>8</v>
      </c>
      <c r="B111" s="107" t="s">
        <v>213</v>
      </c>
      <c r="C111" s="177" t="s">
        <v>214</v>
      </c>
      <c r="D111" s="178"/>
      <c r="E111" s="107" t="s">
        <v>168</v>
      </c>
      <c r="F111" s="255">
        <v>525000</v>
      </c>
      <c r="G111" s="255">
        <v>453000</v>
      </c>
      <c r="H111" s="255">
        <v>431000</v>
      </c>
      <c r="I111" s="256"/>
      <c r="J111" s="256"/>
      <c r="K111" s="256"/>
      <c r="L111" s="257">
        <v>409000</v>
      </c>
      <c r="M111" s="258"/>
      <c r="N111" s="161"/>
      <c r="O111" s="259">
        <v>372000</v>
      </c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</row>
    <row r="112" spans="1:30" ht="16.5" customHeight="1">
      <c r="A112" s="106">
        <v>9</v>
      </c>
      <c r="B112" s="107" t="s">
        <v>215</v>
      </c>
      <c r="C112" s="177" t="s">
        <v>216</v>
      </c>
      <c r="D112" s="178"/>
      <c r="E112" s="107" t="s">
        <v>168</v>
      </c>
      <c r="F112" s="255">
        <v>610000</v>
      </c>
      <c r="G112" s="255">
        <v>590000</v>
      </c>
      <c r="H112" s="255">
        <v>570000</v>
      </c>
      <c r="I112" s="256"/>
      <c r="J112" s="256"/>
      <c r="K112" s="256"/>
      <c r="L112" s="257">
        <v>550000</v>
      </c>
      <c r="M112" s="258"/>
      <c r="N112" s="161"/>
      <c r="O112" s="259">
        <v>550000</v>
      </c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</row>
    <row r="113" spans="1:30" ht="19.5" customHeight="1">
      <c r="A113" s="746" t="s">
        <v>275</v>
      </c>
      <c r="B113" s="718"/>
      <c r="C113" s="718"/>
      <c r="D113" s="718"/>
      <c r="E113" s="718"/>
      <c r="F113" s="718"/>
      <c r="G113" s="718"/>
      <c r="H113" s="718"/>
      <c r="I113" s="718"/>
      <c r="J113" s="718"/>
      <c r="K113" s="718"/>
      <c r="L113" s="719"/>
      <c r="M113" s="254"/>
      <c r="N113" s="161"/>
      <c r="O113" s="262"/>
      <c r="P113" s="262"/>
      <c r="Q113" s="262"/>
      <c r="R113" s="262"/>
      <c r="S113" s="262"/>
      <c r="T113" s="262"/>
      <c r="U113" s="262"/>
      <c r="V113" s="262"/>
      <c r="W113" s="262"/>
      <c r="X113" s="262"/>
      <c r="Y113" s="262"/>
      <c r="Z113" s="262"/>
      <c r="AA113" s="262"/>
      <c r="AB113" s="262"/>
      <c r="AC113" s="262"/>
      <c r="AD113" s="262"/>
    </row>
    <row r="114" spans="1:30" ht="16.5" customHeight="1">
      <c r="A114" s="106">
        <v>1</v>
      </c>
      <c r="B114" s="263" t="s">
        <v>184</v>
      </c>
      <c r="C114" s="178" t="s">
        <v>185</v>
      </c>
      <c r="D114" s="178"/>
      <c r="E114" s="107" t="s">
        <v>168</v>
      </c>
      <c r="F114" s="255">
        <v>254000</v>
      </c>
      <c r="G114" s="255">
        <v>224000</v>
      </c>
      <c r="H114" s="255">
        <v>212000</v>
      </c>
      <c r="I114" s="256"/>
      <c r="J114" s="256"/>
      <c r="K114" s="256"/>
      <c r="L114" s="257">
        <v>200000</v>
      </c>
      <c r="M114" s="258"/>
      <c r="N114" s="161"/>
      <c r="O114" s="259">
        <v>165000</v>
      </c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</row>
    <row r="115" spans="1:30" ht="16.5" customHeight="1">
      <c r="A115" s="106">
        <v>2</v>
      </c>
      <c r="B115" s="107" t="s">
        <v>186</v>
      </c>
      <c r="C115" s="178" t="s">
        <v>187</v>
      </c>
      <c r="D115" s="178"/>
      <c r="E115" s="107" t="s">
        <v>168</v>
      </c>
      <c r="F115" s="255">
        <v>429000</v>
      </c>
      <c r="G115" s="255">
        <v>237000</v>
      </c>
      <c r="H115" s="255">
        <v>226000</v>
      </c>
      <c r="I115" s="256"/>
      <c r="J115" s="256"/>
      <c r="K115" s="256"/>
      <c r="L115" s="257">
        <v>215000</v>
      </c>
      <c r="M115" s="258"/>
      <c r="N115" s="161"/>
      <c r="O115" s="259">
        <v>190000</v>
      </c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</row>
    <row r="116" spans="1:30" ht="16.5" customHeight="1">
      <c r="A116" s="106">
        <v>3</v>
      </c>
      <c r="B116" s="107" t="s">
        <v>188</v>
      </c>
      <c r="C116" s="178" t="s">
        <v>189</v>
      </c>
      <c r="D116" s="178"/>
      <c r="E116" s="107" t="s">
        <v>168</v>
      </c>
      <c r="F116" s="255">
        <v>450000</v>
      </c>
      <c r="G116" s="255">
        <v>283000</v>
      </c>
      <c r="H116" s="255">
        <v>271000</v>
      </c>
      <c r="I116" s="256"/>
      <c r="J116" s="256"/>
      <c r="K116" s="256"/>
      <c r="L116" s="257">
        <v>260000</v>
      </c>
      <c r="M116" s="258"/>
      <c r="N116" s="161"/>
      <c r="O116" s="259">
        <v>230000</v>
      </c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</row>
    <row r="117" spans="1:30" ht="16.5" customHeight="1">
      <c r="A117" s="106">
        <v>4</v>
      </c>
      <c r="B117" s="107" t="s">
        <v>190</v>
      </c>
      <c r="C117" s="178" t="s">
        <v>191</v>
      </c>
      <c r="D117" s="178"/>
      <c r="E117" s="107" t="s">
        <v>168</v>
      </c>
      <c r="F117" s="255">
        <v>470000</v>
      </c>
      <c r="G117" s="255">
        <v>294000</v>
      </c>
      <c r="H117" s="255">
        <v>284000</v>
      </c>
      <c r="I117" s="256"/>
      <c r="J117" s="256"/>
      <c r="K117" s="256"/>
      <c r="L117" s="257">
        <v>273000</v>
      </c>
      <c r="M117" s="258"/>
      <c r="N117" s="161"/>
      <c r="O117" s="259">
        <v>255000</v>
      </c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</row>
    <row r="118" spans="1:30" ht="16.5" customHeight="1">
      <c r="A118" s="106">
        <v>5</v>
      </c>
      <c r="B118" s="107" t="s">
        <v>192</v>
      </c>
      <c r="C118" s="178" t="s">
        <v>193</v>
      </c>
      <c r="D118" s="178"/>
      <c r="E118" s="107" t="s">
        <v>168</v>
      </c>
      <c r="F118" s="255">
        <v>496000</v>
      </c>
      <c r="G118" s="255">
        <v>447000</v>
      </c>
      <c r="H118" s="255">
        <v>436000</v>
      </c>
      <c r="I118" s="256"/>
      <c r="J118" s="256"/>
      <c r="K118" s="256"/>
      <c r="L118" s="257">
        <v>425000</v>
      </c>
      <c r="M118" s="258"/>
      <c r="N118" s="161"/>
      <c r="O118" s="259">
        <v>390000</v>
      </c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</row>
    <row r="119" spans="1:30" ht="16.5" customHeight="1">
      <c r="A119" s="106">
        <v>6</v>
      </c>
      <c r="B119" s="263" t="s">
        <v>194</v>
      </c>
      <c r="C119" s="178" t="s">
        <v>195</v>
      </c>
      <c r="D119" s="178"/>
      <c r="E119" s="107" t="s">
        <v>168</v>
      </c>
      <c r="F119" s="255">
        <v>510000</v>
      </c>
      <c r="G119" s="255">
        <v>466000</v>
      </c>
      <c r="H119" s="255">
        <v>456000</v>
      </c>
      <c r="I119" s="256"/>
      <c r="J119" s="256"/>
      <c r="K119" s="256"/>
      <c r="L119" s="257">
        <v>445000</v>
      </c>
      <c r="M119" s="258"/>
      <c r="N119" s="161"/>
      <c r="O119" s="259">
        <v>420000</v>
      </c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</row>
    <row r="120" spans="1:30" ht="16.5" customHeight="1">
      <c r="A120" s="106">
        <v>7</v>
      </c>
      <c r="B120" s="263" t="s">
        <v>196</v>
      </c>
      <c r="C120" s="178" t="s">
        <v>197</v>
      </c>
      <c r="D120" s="178"/>
      <c r="E120" s="107" t="s">
        <v>168</v>
      </c>
      <c r="F120" s="255">
        <v>551000</v>
      </c>
      <c r="G120" s="255">
        <v>541000</v>
      </c>
      <c r="H120" s="255">
        <v>530000</v>
      </c>
      <c r="I120" s="256"/>
      <c r="J120" s="256"/>
      <c r="K120" s="256"/>
      <c r="L120" s="257">
        <v>520000</v>
      </c>
      <c r="M120" s="258"/>
      <c r="N120" s="161"/>
      <c r="O120" s="259">
        <v>500000</v>
      </c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</row>
    <row r="121" spans="1:30" ht="16.5" customHeight="1">
      <c r="A121" s="746" t="s">
        <v>276</v>
      </c>
      <c r="B121" s="718"/>
      <c r="C121" s="718"/>
      <c r="D121" s="718"/>
      <c r="E121" s="718"/>
      <c r="F121" s="718"/>
      <c r="G121" s="718"/>
      <c r="H121" s="718"/>
      <c r="I121" s="718"/>
      <c r="J121" s="718"/>
      <c r="K121" s="718"/>
      <c r="L121" s="719"/>
      <c r="M121" s="254"/>
      <c r="N121" s="161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</row>
    <row r="122" spans="1:30" ht="19.5" customHeight="1">
      <c r="A122" s="106">
        <v>1</v>
      </c>
      <c r="B122" s="107"/>
      <c r="C122" s="178" t="s">
        <v>277</v>
      </c>
      <c r="D122" s="178" t="s">
        <v>278</v>
      </c>
      <c r="E122" s="107" t="s">
        <v>233</v>
      </c>
      <c r="F122" s="109">
        <f t="shared" ref="F122:F124" si="153">+G122+30000</f>
        <v>580000</v>
      </c>
      <c r="G122" s="109">
        <f t="shared" ref="G122:G124" si="154">+H122+20000</f>
        <v>550000</v>
      </c>
      <c r="H122" s="109">
        <f t="shared" ref="H122:H124" si="155">+L122+20000</f>
        <v>530000</v>
      </c>
      <c r="I122" s="264"/>
      <c r="J122" s="264"/>
      <c r="K122" s="264"/>
      <c r="L122" s="265">
        <v>510000</v>
      </c>
      <c r="M122" s="128"/>
      <c r="N122" s="161">
        <f t="shared" ref="N122:N124" si="156">F122*1.3</f>
        <v>754000</v>
      </c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</row>
    <row r="123" spans="1:30" ht="19.5" customHeight="1">
      <c r="A123" s="106">
        <v>2</v>
      </c>
      <c r="B123" s="107"/>
      <c r="C123" s="178" t="s">
        <v>277</v>
      </c>
      <c r="D123" s="178" t="s">
        <v>279</v>
      </c>
      <c r="E123" s="107" t="s">
        <v>233</v>
      </c>
      <c r="F123" s="109">
        <f t="shared" si="153"/>
        <v>540000</v>
      </c>
      <c r="G123" s="109">
        <f t="shared" si="154"/>
        <v>510000</v>
      </c>
      <c r="H123" s="109">
        <f t="shared" si="155"/>
        <v>490000</v>
      </c>
      <c r="I123" s="264"/>
      <c r="J123" s="264"/>
      <c r="K123" s="264"/>
      <c r="L123" s="265">
        <v>470000</v>
      </c>
      <c r="M123" s="128"/>
      <c r="N123" s="161">
        <f t="shared" si="156"/>
        <v>702000</v>
      </c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</row>
    <row r="124" spans="1:30" ht="15.75" customHeight="1">
      <c r="A124" s="106">
        <v>3</v>
      </c>
      <c r="B124" s="107"/>
      <c r="C124" s="178" t="s">
        <v>277</v>
      </c>
      <c r="D124" s="178" t="s">
        <v>280</v>
      </c>
      <c r="E124" s="107" t="s">
        <v>237</v>
      </c>
      <c r="F124" s="109">
        <f t="shared" si="153"/>
        <v>640000</v>
      </c>
      <c r="G124" s="109">
        <f t="shared" si="154"/>
        <v>610000</v>
      </c>
      <c r="H124" s="109">
        <f t="shared" si="155"/>
        <v>590000</v>
      </c>
      <c r="I124" s="264"/>
      <c r="J124" s="264"/>
      <c r="K124" s="264"/>
      <c r="L124" s="265">
        <v>570000</v>
      </c>
      <c r="M124" s="128"/>
      <c r="N124" s="161">
        <f t="shared" si="156"/>
        <v>832000</v>
      </c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</row>
    <row r="125" spans="1:30" ht="16.5" customHeight="1">
      <c r="A125" s="746" t="s">
        <v>281</v>
      </c>
      <c r="B125" s="718"/>
      <c r="C125" s="718"/>
      <c r="D125" s="718"/>
      <c r="E125" s="718"/>
      <c r="F125" s="718"/>
      <c r="G125" s="718"/>
      <c r="H125" s="718"/>
      <c r="I125" s="718"/>
      <c r="J125" s="718"/>
      <c r="K125" s="718"/>
      <c r="L125" s="719"/>
      <c r="M125" s="254"/>
      <c r="N125" s="161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</row>
    <row r="126" spans="1:30" ht="19.5" customHeight="1">
      <c r="A126" s="106">
        <v>1</v>
      </c>
      <c r="B126" s="107"/>
      <c r="C126" s="178" t="s">
        <v>277</v>
      </c>
      <c r="D126" s="178" t="s">
        <v>282</v>
      </c>
      <c r="E126" s="107" t="s">
        <v>233</v>
      </c>
      <c r="F126" s="109">
        <f t="shared" ref="F126:F128" si="157">+G126+30000</f>
        <v>740000</v>
      </c>
      <c r="G126" s="109">
        <f t="shared" ref="G126:G128" si="158">+H126+20000</f>
        <v>710000</v>
      </c>
      <c r="H126" s="109">
        <f t="shared" ref="H126:H128" si="159">+L126+20000</f>
        <v>690000</v>
      </c>
      <c r="I126" s="264"/>
      <c r="J126" s="264"/>
      <c r="K126" s="264"/>
      <c r="L126" s="265">
        <v>670000</v>
      </c>
      <c r="M126" s="128"/>
      <c r="N126" s="161">
        <f t="shared" ref="N126:N128" si="160">F126*1.3</f>
        <v>962000</v>
      </c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</row>
    <row r="127" spans="1:30" ht="19.5" customHeight="1">
      <c r="A127" s="106">
        <v>2</v>
      </c>
      <c r="B127" s="107"/>
      <c r="C127" s="178" t="s">
        <v>277</v>
      </c>
      <c r="D127" s="178" t="s">
        <v>283</v>
      </c>
      <c r="E127" s="107" t="s">
        <v>233</v>
      </c>
      <c r="F127" s="109">
        <f t="shared" si="157"/>
        <v>580000</v>
      </c>
      <c r="G127" s="109">
        <f t="shared" si="158"/>
        <v>550000</v>
      </c>
      <c r="H127" s="109">
        <f t="shared" si="159"/>
        <v>530000</v>
      </c>
      <c r="I127" s="264"/>
      <c r="J127" s="264"/>
      <c r="K127" s="264"/>
      <c r="L127" s="265">
        <v>510000</v>
      </c>
      <c r="M127" s="128"/>
      <c r="N127" s="161">
        <f t="shared" si="160"/>
        <v>754000</v>
      </c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</row>
    <row r="128" spans="1:30" ht="15.75" customHeight="1">
      <c r="A128" s="106">
        <v>3</v>
      </c>
      <c r="B128" s="107"/>
      <c r="C128" s="178" t="s">
        <v>277</v>
      </c>
      <c r="D128" s="178" t="s">
        <v>284</v>
      </c>
      <c r="E128" s="107" t="s">
        <v>237</v>
      </c>
      <c r="F128" s="109">
        <f t="shared" si="157"/>
        <v>720000</v>
      </c>
      <c r="G128" s="109">
        <f t="shared" si="158"/>
        <v>690000</v>
      </c>
      <c r="H128" s="109">
        <f t="shared" si="159"/>
        <v>670000</v>
      </c>
      <c r="I128" s="264"/>
      <c r="J128" s="264"/>
      <c r="K128" s="264"/>
      <c r="L128" s="265">
        <v>650000</v>
      </c>
      <c r="M128" s="128"/>
      <c r="N128" s="161">
        <f t="shared" si="160"/>
        <v>936000</v>
      </c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</row>
    <row r="129" spans="1:30" ht="15.75" customHeight="1">
      <c r="A129" s="776"/>
      <c r="B129" s="770"/>
      <c r="C129" s="770"/>
      <c r="D129" s="770"/>
      <c r="E129" s="770"/>
      <c r="F129" s="682"/>
      <c r="G129" s="769"/>
      <c r="H129" s="770"/>
      <c r="I129" s="770"/>
      <c r="J129" s="770"/>
      <c r="K129" s="770"/>
      <c r="L129" s="771"/>
      <c r="M129" s="266"/>
      <c r="N129" s="161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</row>
    <row r="130" spans="1:30" ht="15.75" customHeight="1">
      <c r="A130" s="267"/>
      <c r="B130" s="772"/>
      <c r="C130" s="763"/>
      <c r="D130" s="763"/>
      <c r="E130" s="763"/>
      <c r="F130" s="763"/>
      <c r="G130" s="763"/>
      <c r="H130" s="764"/>
      <c r="I130" s="268"/>
      <c r="J130" s="269"/>
      <c r="K130" s="269"/>
      <c r="L130" s="269"/>
      <c r="M130" s="234"/>
      <c r="N130" s="161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</row>
    <row r="131" spans="1:30" ht="15.75" customHeight="1">
      <c r="A131" s="777">
        <v>1</v>
      </c>
      <c r="B131" s="758" t="s">
        <v>285</v>
      </c>
      <c r="C131" s="759"/>
      <c r="D131" s="759"/>
      <c r="E131" s="759"/>
      <c r="F131" s="759"/>
      <c r="G131" s="759"/>
      <c r="H131" s="759"/>
      <c r="I131" s="759"/>
      <c r="J131" s="759"/>
      <c r="K131" s="759"/>
      <c r="L131" s="760"/>
      <c r="M131" s="236"/>
      <c r="N131" s="161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</row>
    <row r="132" spans="1:30" ht="35.25" customHeight="1">
      <c r="A132" s="778"/>
      <c r="B132" s="758" t="s">
        <v>259</v>
      </c>
      <c r="C132" s="759"/>
      <c r="D132" s="759"/>
      <c r="E132" s="759"/>
      <c r="F132" s="759"/>
      <c r="G132" s="759"/>
      <c r="H132" s="759"/>
      <c r="I132" s="759"/>
      <c r="J132" s="759"/>
      <c r="K132" s="759"/>
      <c r="L132" s="760"/>
      <c r="M132" s="236"/>
      <c r="N132" s="161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</row>
    <row r="133" spans="1:30" ht="15.75" customHeight="1">
      <c r="A133" s="779"/>
      <c r="B133" s="758" t="s">
        <v>286</v>
      </c>
      <c r="C133" s="759"/>
      <c r="D133" s="759"/>
      <c r="E133" s="759"/>
      <c r="F133" s="759"/>
      <c r="G133" s="759"/>
      <c r="H133" s="759"/>
      <c r="I133" s="759"/>
      <c r="J133" s="759"/>
      <c r="K133" s="759"/>
      <c r="L133" s="760"/>
      <c r="M133" s="236"/>
      <c r="N133" s="161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</row>
    <row r="134" spans="1:30" ht="15.75" customHeight="1">
      <c r="A134" s="270">
        <v>2</v>
      </c>
      <c r="B134" s="758" t="s">
        <v>261</v>
      </c>
      <c r="C134" s="759"/>
      <c r="D134" s="759"/>
      <c r="E134" s="759"/>
      <c r="F134" s="759"/>
      <c r="G134" s="759"/>
      <c r="H134" s="759"/>
      <c r="I134" s="759"/>
      <c r="J134" s="759"/>
      <c r="K134" s="759"/>
      <c r="L134" s="760"/>
      <c r="M134" s="236"/>
      <c r="N134" s="161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</row>
    <row r="135" spans="1:30" ht="30.75" customHeight="1">
      <c r="A135" s="270">
        <v>3</v>
      </c>
      <c r="B135" s="758" t="s">
        <v>287</v>
      </c>
      <c r="C135" s="759"/>
      <c r="D135" s="759"/>
      <c r="E135" s="759"/>
      <c r="F135" s="759"/>
      <c r="G135" s="759"/>
      <c r="H135" s="759"/>
      <c r="I135" s="759"/>
      <c r="J135" s="759"/>
      <c r="K135" s="759"/>
      <c r="L135" s="760"/>
      <c r="M135" s="236"/>
      <c r="N135" s="161"/>
      <c r="O135" s="238"/>
      <c r="P135" s="238"/>
      <c r="Q135" s="238"/>
      <c r="R135" s="238"/>
      <c r="S135" s="238"/>
      <c r="T135" s="238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</row>
    <row r="136" spans="1:30" ht="15.75" customHeight="1">
      <c r="A136" s="271"/>
      <c r="B136" s="271"/>
      <c r="C136" s="272" t="s">
        <v>263</v>
      </c>
      <c r="D136" s="273"/>
      <c r="E136" s="271"/>
      <c r="F136" s="246"/>
      <c r="G136" s="246"/>
      <c r="H136" s="246"/>
      <c r="I136" s="246"/>
      <c r="J136" s="246"/>
      <c r="K136" s="246"/>
      <c r="L136" s="246"/>
      <c r="M136" s="241"/>
      <c r="N136" s="161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</row>
    <row r="137" spans="1:30" ht="15.75" customHeight="1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61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</row>
    <row r="138" spans="1:30" ht="15.75" customHeight="1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61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</row>
    <row r="139" spans="1:30" ht="15.75" customHeight="1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61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</row>
    <row r="140" spans="1:30" ht="15.75" customHeight="1">
      <c r="A140" s="761" t="s">
        <v>288</v>
      </c>
      <c r="B140" s="704"/>
      <c r="C140" s="704"/>
      <c r="D140" s="704"/>
      <c r="E140" s="704"/>
      <c r="F140" s="704"/>
      <c r="G140" s="704"/>
      <c r="H140" s="704"/>
      <c r="I140" s="704"/>
      <c r="J140" s="704"/>
      <c r="K140" s="704"/>
      <c r="L140" s="705"/>
      <c r="M140" s="84"/>
      <c r="N140" s="161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</row>
    <row r="141" spans="1:30" ht="15.75" customHeight="1">
      <c r="A141" s="706"/>
      <c r="B141" s="707"/>
      <c r="C141" s="707"/>
      <c r="D141" s="707"/>
      <c r="E141" s="707"/>
      <c r="F141" s="707"/>
      <c r="G141" s="707"/>
      <c r="H141" s="707"/>
      <c r="I141" s="707"/>
      <c r="J141" s="707"/>
      <c r="K141" s="707"/>
      <c r="L141" s="708"/>
      <c r="M141" s="84"/>
      <c r="N141" s="161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</row>
    <row r="142" spans="1:30" ht="6.75" customHeight="1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1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</row>
    <row r="143" spans="1:30" ht="7.5" customHeight="1">
      <c r="A143" s="762"/>
      <c r="B143" s="763"/>
      <c r="C143" s="763"/>
      <c r="D143" s="763"/>
      <c r="E143" s="763"/>
      <c r="F143" s="764"/>
      <c r="G143" s="245"/>
      <c r="H143" s="246"/>
      <c r="I143" s="246"/>
      <c r="J143" s="247"/>
      <c r="K143" s="247"/>
      <c r="L143" s="247" t="s">
        <v>265</v>
      </c>
      <c r="M143" s="168"/>
      <c r="N143" s="161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</row>
    <row r="144" spans="1:30" ht="16.5" customHeight="1">
      <c r="A144" s="765" t="s">
        <v>2</v>
      </c>
      <c r="B144" s="767" t="s">
        <v>266</v>
      </c>
      <c r="C144" s="739" t="s">
        <v>267</v>
      </c>
      <c r="D144" s="694"/>
      <c r="E144" s="767" t="s">
        <v>79</v>
      </c>
      <c r="F144" s="773" t="s">
        <v>268</v>
      </c>
      <c r="G144" s="775" t="s">
        <v>269</v>
      </c>
      <c r="H144" s="713"/>
      <c r="I144" s="713"/>
      <c r="J144" s="713"/>
      <c r="K144" s="713"/>
      <c r="L144" s="714"/>
      <c r="M144" s="249"/>
      <c r="N144" s="161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</row>
    <row r="145" spans="1:30" ht="16.5" customHeight="1">
      <c r="A145" s="766"/>
      <c r="B145" s="768"/>
      <c r="C145" s="741"/>
      <c r="D145" s="678"/>
      <c r="E145" s="768"/>
      <c r="F145" s="768"/>
      <c r="G145" s="250" t="s">
        <v>270</v>
      </c>
      <c r="H145" s="250" t="s">
        <v>271</v>
      </c>
      <c r="I145" s="251"/>
      <c r="J145" s="251"/>
      <c r="K145" s="251"/>
      <c r="L145" s="252" t="s">
        <v>272</v>
      </c>
      <c r="M145" s="253"/>
      <c r="N145" s="161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</row>
    <row r="146" spans="1:30" ht="19.5" customHeight="1">
      <c r="A146" s="746" t="s">
        <v>289</v>
      </c>
      <c r="B146" s="718"/>
      <c r="C146" s="718"/>
      <c r="D146" s="718"/>
      <c r="E146" s="718"/>
      <c r="F146" s="718"/>
      <c r="G146" s="718"/>
      <c r="H146" s="718"/>
      <c r="I146" s="718"/>
      <c r="J146" s="718"/>
      <c r="K146" s="718"/>
      <c r="L146" s="719"/>
      <c r="M146" s="254"/>
      <c r="N146" s="161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</row>
    <row r="147" spans="1:30" ht="16.5" customHeight="1">
      <c r="A147" s="106">
        <v>1</v>
      </c>
      <c r="B147" s="107" t="s">
        <v>290</v>
      </c>
      <c r="C147" s="178" t="s">
        <v>291</v>
      </c>
      <c r="D147" s="178"/>
      <c r="E147" s="107" t="s">
        <v>168</v>
      </c>
      <c r="F147" s="109">
        <v>65000</v>
      </c>
      <c r="G147" s="109">
        <f t="shared" ref="G147:G150" si="161">+H147+5000</f>
        <v>55000</v>
      </c>
      <c r="H147" s="109">
        <f t="shared" ref="H147:H150" si="162">+L147+5000</f>
        <v>50000</v>
      </c>
      <c r="I147" s="264"/>
      <c r="J147" s="264"/>
      <c r="K147" s="264"/>
      <c r="L147" s="265">
        <v>45000</v>
      </c>
      <c r="M147" s="128"/>
      <c r="N147" s="161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</row>
    <row r="148" spans="1:30" ht="16.5" customHeight="1">
      <c r="A148" s="106">
        <v>2</v>
      </c>
      <c r="B148" s="107" t="s">
        <v>292</v>
      </c>
      <c r="C148" s="178" t="s">
        <v>293</v>
      </c>
      <c r="D148" s="178"/>
      <c r="E148" s="107" t="s">
        <v>168</v>
      </c>
      <c r="F148" s="109">
        <v>80000</v>
      </c>
      <c r="G148" s="109">
        <f t="shared" si="161"/>
        <v>60000</v>
      </c>
      <c r="H148" s="109">
        <f t="shared" si="162"/>
        <v>55000</v>
      </c>
      <c r="I148" s="264"/>
      <c r="J148" s="264"/>
      <c r="K148" s="264"/>
      <c r="L148" s="265">
        <v>50000</v>
      </c>
      <c r="M148" s="128"/>
      <c r="N148" s="161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</row>
    <row r="149" spans="1:30" ht="16.5" customHeight="1">
      <c r="A149" s="106">
        <v>3</v>
      </c>
      <c r="B149" s="107" t="s">
        <v>294</v>
      </c>
      <c r="C149" s="178" t="s">
        <v>295</v>
      </c>
      <c r="D149" s="178"/>
      <c r="E149" s="107" t="s">
        <v>168</v>
      </c>
      <c r="F149" s="109">
        <v>95000</v>
      </c>
      <c r="G149" s="109">
        <f t="shared" si="161"/>
        <v>70000</v>
      </c>
      <c r="H149" s="109">
        <f t="shared" si="162"/>
        <v>65000</v>
      </c>
      <c r="I149" s="264"/>
      <c r="J149" s="264"/>
      <c r="K149" s="264"/>
      <c r="L149" s="265">
        <v>60000</v>
      </c>
      <c r="M149" s="128"/>
      <c r="N149" s="161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</row>
    <row r="150" spans="1:30" ht="16.5" customHeight="1">
      <c r="A150" s="106">
        <v>4</v>
      </c>
      <c r="B150" s="107" t="s">
        <v>296</v>
      </c>
      <c r="C150" s="178" t="s">
        <v>297</v>
      </c>
      <c r="D150" s="178"/>
      <c r="E150" s="107" t="s">
        <v>168</v>
      </c>
      <c r="F150" s="109">
        <v>105000</v>
      </c>
      <c r="G150" s="109">
        <f t="shared" si="161"/>
        <v>85000</v>
      </c>
      <c r="H150" s="109">
        <f t="shared" si="162"/>
        <v>80000</v>
      </c>
      <c r="I150" s="264"/>
      <c r="J150" s="264"/>
      <c r="K150" s="264"/>
      <c r="L150" s="265">
        <v>75000</v>
      </c>
      <c r="M150" s="128"/>
      <c r="N150" s="161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</row>
    <row r="151" spans="1:30" ht="16.5" customHeight="1">
      <c r="A151" s="106">
        <v>5</v>
      </c>
      <c r="B151" s="107" t="s">
        <v>298</v>
      </c>
      <c r="C151" s="178" t="s">
        <v>299</v>
      </c>
      <c r="D151" s="178"/>
      <c r="E151" s="107" t="s">
        <v>168</v>
      </c>
      <c r="F151" s="109">
        <v>145000</v>
      </c>
      <c r="G151" s="109">
        <f t="shared" ref="G151:G153" si="163">+H151+10000</f>
        <v>120000</v>
      </c>
      <c r="H151" s="109">
        <f t="shared" ref="H151:H153" si="164">+L151+10000</f>
        <v>110000</v>
      </c>
      <c r="I151" s="264"/>
      <c r="J151" s="264"/>
      <c r="K151" s="264"/>
      <c r="L151" s="265">
        <v>100000</v>
      </c>
      <c r="M151" s="128"/>
      <c r="N151" s="161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</row>
    <row r="152" spans="1:30" ht="16.5" customHeight="1">
      <c r="A152" s="106">
        <v>6</v>
      </c>
      <c r="B152" s="107" t="s">
        <v>300</v>
      </c>
      <c r="C152" s="178" t="s">
        <v>301</v>
      </c>
      <c r="D152" s="178"/>
      <c r="E152" s="107" t="s">
        <v>168</v>
      </c>
      <c r="F152" s="109">
        <v>165000</v>
      </c>
      <c r="G152" s="109">
        <f t="shared" si="163"/>
        <v>140000</v>
      </c>
      <c r="H152" s="109">
        <f t="shared" si="164"/>
        <v>130000</v>
      </c>
      <c r="I152" s="264"/>
      <c r="J152" s="264"/>
      <c r="K152" s="264"/>
      <c r="L152" s="265">
        <v>120000</v>
      </c>
      <c r="M152" s="128"/>
      <c r="N152" s="161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</row>
    <row r="153" spans="1:30" ht="16.5" customHeight="1">
      <c r="A153" s="106">
        <v>7</v>
      </c>
      <c r="B153" s="107" t="s">
        <v>302</v>
      </c>
      <c r="C153" s="261" t="s">
        <v>303</v>
      </c>
      <c r="D153" s="178"/>
      <c r="E153" s="107" t="s">
        <v>168</v>
      </c>
      <c r="F153" s="238">
        <v>186000</v>
      </c>
      <c r="G153" s="109">
        <f t="shared" si="163"/>
        <v>170000</v>
      </c>
      <c r="H153" s="109">
        <f t="shared" si="164"/>
        <v>160000</v>
      </c>
      <c r="I153" s="264"/>
      <c r="J153" s="264"/>
      <c r="K153" s="264"/>
      <c r="L153" s="265">
        <v>150000</v>
      </c>
      <c r="M153" s="128"/>
      <c r="N153" s="161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</row>
    <row r="154" spans="1:30" ht="16.5" customHeight="1">
      <c r="A154" s="106">
        <v>8</v>
      </c>
      <c r="B154" s="107" t="s">
        <v>304</v>
      </c>
      <c r="C154" s="261" t="s">
        <v>305</v>
      </c>
      <c r="D154" s="178"/>
      <c r="E154" s="107" t="s">
        <v>168</v>
      </c>
      <c r="F154" s="109">
        <v>256000</v>
      </c>
      <c r="G154" s="109">
        <f>+H154+20000</f>
        <v>240000</v>
      </c>
      <c r="H154" s="109">
        <f>+L154+20000</f>
        <v>220000</v>
      </c>
      <c r="I154" s="264"/>
      <c r="J154" s="264"/>
      <c r="K154" s="264"/>
      <c r="L154" s="265">
        <v>200000</v>
      </c>
      <c r="M154" s="128"/>
      <c r="N154" s="161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</row>
    <row r="155" spans="1:30" ht="19.5" customHeight="1">
      <c r="A155" s="746" t="s">
        <v>306</v>
      </c>
      <c r="B155" s="718"/>
      <c r="C155" s="718"/>
      <c r="D155" s="718"/>
      <c r="E155" s="718"/>
      <c r="F155" s="718"/>
      <c r="G155" s="718"/>
      <c r="H155" s="718"/>
      <c r="I155" s="718"/>
      <c r="J155" s="718"/>
      <c r="K155" s="718"/>
      <c r="L155" s="719"/>
      <c r="M155" s="254"/>
      <c r="N155" s="161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</row>
    <row r="156" spans="1:30" ht="16.5" customHeight="1">
      <c r="A156" s="106">
        <v>1</v>
      </c>
      <c r="B156" s="107" t="s">
        <v>307</v>
      </c>
      <c r="C156" s="177" t="s">
        <v>308</v>
      </c>
      <c r="D156" s="178"/>
      <c r="E156" s="107" t="s">
        <v>168</v>
      </c>
      <c r="F156" s="109">
        <v>170000</v>
      </c>
      <c r="G156" s="109">
        <f t="shared" ref="G156:H156" si="165">+F156-5000</f>
        <v>165000</v>
      </c>
      <c r="H156" s="109">
        <f t="shared" si="165"/>
        <v>160000</v>
      </c>
      <c r="I156" s="264"/>
      <c r="J156" s="264"/>
      <c r="K156" s="264"/>
      <c r="L156" s="265">
        <f t="shared" ref="L156:L157" si="166">+H156-5000</f>
        <v>155000</v>
      </c>
      <c r="M156" s="128"/>
      <c r="N156" s="161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</row>
    <row r="157" spans="1:30" ht="16.5" customHeight="1">
      <c r="A157" s="106">
        <v>2</v>
      </c>
      <c r="B157" s="107" t="s">
        <v>309</v>
      </c>
      <c r="C157" s="177" t="s">
        <v>310</v>
      </c>
      <c r="D157" s="178"/>
      <c r="E157" s="107" t="s">
        <v>168</v>
      </c>
      <c r="F157" s="109">
        <v>179000</v>
      </c>
      <c r="G157" s="109">
        <f t="shared" ref="G157:H157" si="167">+F157-5000</f>
        <v>174000</v>
      </c>
      <c r="H157" s="109">
        <f t="shared" si="167"/>
        <v>169000</v>
      </c>
      <c r="I157" s="264"/>
      <c r="J157" s="264"/>
      <c r="K157" s="264"/>
      <c r="L157" s="265">
        <f t="shared" si="166"/>
        <v>164000</v>
      </c>
      <c r="M157" s="128"/>
      <c r="N157" s="161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</row>
    <row r="158" spans="1:30" ht="16.5" customHeight="1">
      <c r="A158" s="106">
        <v>3</v>
      </c>
      <c r="B158" s="107" t="s">
        <v>311</v>
      </c>
      <c r="C158" s="177" t="s">
        <v>312</v>
      </c>
      <c r="D158" s="178"/>
      <c r="E158" s="107" t="s">
        <v>168</v>
      </c>
      <c r="F158" s="109">
        <v>200000</v>
      </c>
      <c r="G158" s="109">
        <f t="shared" ref="G158:H158" si="168">+F158-5000</f>
        <v>195000</v>
      </c>
      <c r="H158" s="109">
        <f t="shared" si="168"/>
        <v>190000</v>
      </c>
      <c r="I158" s="264"/>
      <c r="J158" s="264"/>
      <c r="K158" s="264"/>
      <c r="L158" s="265">
        <v>165000</v>
      </c>
      <c r="M158" s="128"/>
      <c r="N158" s="161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</row>
    <row r="159" spans="1:30" ht="16.5" customHeight="1">
      <c r="A159" s="106">
        <v>4</v>
      </c>
      <c r="B159" s="107" t="s">
        <v>313</v>
      </c>
      <c r="C159" s="177" t="s">
        <v>314</v>
      </c>
      <c r="D159" s="178"/>
      <c r="E159" s="107" t="s">
        <v>168</v>
      </c>
      <c r="F159" s="109">
        <v>230000</v>
      </c>
      <c r="G159" s="109">
        <f t="shared" ref="G159:H159" si="169">+F159-10000</f>
        <v>220000</v>
      </c>
      <c r="H159" s="109">
        <f t="shared" si="169"/>
        <v>210000</v>
      </c>
      <c r="I159" s="264"/>
      <c r="J159" s="264"/>
      <c r="K159" s="264"/>
      <c r="L159" s="265">
        <v>185000</v>
      </c>
      <c r="M159" s="128"/>
      <c r="N159" s="161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</row>
    <row r="160" spans="1:30" ht="16.5" customHeight="1">
      <c r="A160" s="106">
        <v>5</v>
      </c>
      <c r="B160" s="107" t="s">
        <v>315</v>
      </c>
      <c r="C160" s="177" t="s">
        <v>316</v>
      </c>
      <c r="D160" s="178"/>
      <c r="E160" s="107" t="s">
        <v>168</v>
      </c>
      <c r="F160" s="109">
        <v>258000</v>
      </c>
      <c r="G160" s="109">
        <v>230000</v>
      </c>
      <c r="H160" s="109">
        <v>225000</v>
      </c>
      <c r="I160" s="264"/>
      <c r="J160" s="264"/>
      <c r="K160" s="264"/>
      <c r="L160" s="265">
        <v>225000</v>
      </c>
      <c r="M160" s="128"/>
      <c r="N160" s="161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</row>
    <row r="161" spans="1:30" ht="16.5" customHeight="1">
      <c r="A161" s="106">
        <v>6</v>
      </c>
      <c r="B161" s="107" t="s">
        <v>317</v>
      </c>
      <c r="C161" s="177" t="s">
        <v>318</v>
      </c>
      <c r="D161" s="178"/>
      <c r="E161" s="107" t="s">
        <v>168</v>
      </c>
      <c r="F161" s="109">
        <v>332000</v>
      </c>
      <c r="G161" s="109">
        <f t="shared" ref="G161:G164" si="170">+H161+10000</f>
        <v>310000</v>
      </c>
      <c r="H161" s="109">
        <f t="shared" ref="H161:H164" si="171">+L161+10000</f>
        <v>300000</v>
      </c>
      <c r="I161" s="264"/>
      <c r="J161" s="264"/>
      <c r="K161" s="264"/>
      <c r="L161" s="265">
        <v>290000</v>
      </c>
      <c r="M161" s="128"/>
      <c r="N161" s="161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</row>
    <row r="162" spans="1:30" ht="16.5" customHeight="1">
      <c r="A162" s="106">
        <v>7</v>
      </c>
      <c r="B162" s="107" t="s">
        <v>319</v>
      </c>
      <c r="C162" s="177" t="s">
        <v>320</v>
      </c>
      <c r="D162" s="178"/>
      <c r="E162" s="107" t="s">
        <v>168</v>
      </c>
      <c r="F162" s="109">
        <v>410000</v>
      </c>
      <c r="G162" s="109">
        <f t="shared" si="170"/>
        <v>331000</v>
      </c>
      <c r="H162" s="109">
        <f t="shared" si="171"/>
        <v>321000</v>
      </c>
      <c r="I162" s="264"/>
      <c r="J162" s="264"/>
      <c r="K162" s="264"/>
      <c r="L162" s="265">
        <v>311000</v>
      </c>
      <c r="M162" s="128"/>
      <c r="N162" s="161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</row>
    <row r="163" spans="1:30" ht="16.5" customHeight="1">
      <c r="A163" s="106">
        <v>8</v>
      </c>
      <c r="B163" s="107" t="s">
        <v>321</v>
      </c>
      <c r="C163" s="177" t="s">
        <v>322</v>
      </c>
      <c r="D163" s="178"/>
      <c r="E163" s="107" t="s">
        <v>168</v>
      </c>
      <c r="F163" s="109">
        <v>525000</v>
      </c>
      <c r="G163" s="109">
        <f t="shared" si="170"/>
        <v>392000</v>
      </c>
      <c r="H163" s="109">
        <f t="shared" si="171"/>
        <v>382000</v>
      </c>
      <c r="I163" s="264"/>
      <c r="J163" s="264"/>
      <c r="K163" s="264"/>
      <c r="L163" s="265">
        <v>372000</v>
      </c>
      <c r="M163" s="128"/>
      <c r="N163" s="161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</row>
    <row r="164" spans="1:30" ht="16.5" customHeight="1">
      <c r="A164" s="106">
        <v>9</v>
      </c>
      <c r="B164" s="107" t="s">
        <v>323</v>
      </c>
      <c r="C164" s="177" t="s">
        <v>324</v>
      </c>
      <c r="D164" s="178"/>
      <c r="E164" s="107" t="s">
        <v>168</v>
      </c>
      <c r="F164" s="109">
        <v>585000</v>
      </c>
      <c r="G164" s="109">
        <f t="shared" si="170"/>
        <v>570000</v>
      </c>
      <c r="H164" s="109">
        <f t="shared" si="171"/>
        <v>560000</v>
      </c>
      <c r="I164" s="264"/>
      <c r="J164" s="264"/>
      <c r="K164" s="264"/>
      <c r="L164" s="265">
        <v>550000</v>
      </c>
      <c r="M164" s="128"/>
      <c r="N164" s="161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</row>
    <row r="165" spans="1:30" ht="19.5" customHeight="1">
      <c r="A165" s="746" t="s">
        <v>325</v>
      </c>
      <c r="B165" s="718"/>
      <c r="C165" s="718"/>
      <c r="D165" s="718"/>
      <c r="E165" s="718"/>
      <c r="F165" s="718"/>
      <c r="G165" s="718"/>
      <c r="H165" s="718"/>
      <c r="I165" s="718"/>
      <c r="J165" s="718"/>
      <c r="K165" s="718"/>
      <c r="L165" s="719"/>
      <c r="M165" s="254"/>
      <c r="N165" s="161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</row>
    <row r="166" spans="1:30" ht="16.5" customHeight="1">
      <c r="A166" s="106">
        <v>1</v>
      </c>
      <c r="B166" s="263" t="s">
        <v>184</v>
      </c>
      <c r="C166" s="178" t="s">
        <v>185</v>
      </c>
      <c r="D166" s="178"/>
      <c r="E166" s="107" t="s">
        <v>168</v>
      </c>
      <c r="F166" s="274">
        <v>210000</v>
      </c>
      <c r="G166" s="109">
        <f t="shared" ref="G166:G172" si="172">+H166+10000</f>
        <v>185000</v>
      </c>
      <c r="H166" s="109">
        <f t="shared" ref="H166:H172" si="173">+L166+10000</f>
        <v>175000</v>
      </c>
      <c r="I166" s="264"/>
      <c r="J166" s="264"/>
      <c r="K166" s="264"/>
      <c r="L166" s="265">
        <v>165000</v>
      </c>
      <c r="M166" s="128"/>
      <c r="N166" s="161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</row>
    <row r="167" spans="1:30" ht="16.5" customHeight="1">
      <c r="A167" s="106">
        <v>2</v>
      </c>
      <c r="B167" s="107" t="s">
        <v>186</v>
      </c>
      <c r="C167" s="178" t="s">
        <v>187</v>
      </c>
      <c r="D167" s="178"/>
      <c r="E167" s="107" t="s">
        <v>168</v>
      </c>
      <c r="F167" s="109">
        <v>380000</v>
      </c>
      <c r="G167" s="109">
        <f t="shared" si="172"/>
        <v>210000</v>
      </c>
      <c r="H167" s="109">
        <f t="shared" si="173"/>
        <v>200000</v>
      </c>
      <c r="I167" s="264"/>
      <c r="J167" s="264"/>
      <c r="K167" s="264"/>
      <c r="L167" s="265">
        <v>190000</v>
      </c>
      <c r="M167" s="128"/>
      <c r="N167" s="161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</row>
    <row r="168" spans="1:30" ht="16.5" customHeight="1">
      <c r="A168" s="106">
        <v>3</v>
      </c>
      <c r="B168" s="107" t="s">
        <v>188</v>
      </c>
      <c r="C168" s="178" t="s">
        <v>189</v>
      </c>
      <c r="D168" s="178"/>
      <c r="E168" s="107" t="s">
        <v>168</v>
      </c>
      <c r="F168" s="109">
        <v>415000</v>
      </c>
      <c r="G168" s="109">
        <f t="shared" si="172"/>
        <v>250000</v>
      </c>
      <c r="H168" s="109">
        <f t="shared" si="173"/>
        <v>240000</v>
      </c>
      <c r="I168" s="264"/>
      <c r="J168" s="264"/>
      <c r="K168" s="264"/>
      <c r="L168" s="265">
        <v>230000</v>
      </c>
      <c r="M168" s="128"/>
      <c r="N168" s="161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</row>
    <row r="169" spans="1:30" ht="16.5" customHeight="1">
      <c r="A169" s="106">
        <v>4</v>
      </c>
      <c r="B169" s="107" t="s">
        <v>190</v>
      </c>
      <c r="C169" s="178" t="s">
        <v>191</v>
      </c>
      <c r="D169" s="178"/>
      <c r="E169" s="107" t="s">
        <v>168</v>
      </c>
      <c r="F169" s="109">
        <v>430000</v>
      </c>
      <c r="G169" s="109">
        <f t="shared" si="172"/>
        <v>275000</v>
      </c>
      <c r="H169" s="109">
        <f t="shared" si="173"/>
        <v>265000</v>
      </c>
      <c r="I169" s="264"/>
      <c r="J169" s="264"/>
      <c r="K169" s="264"/>
      <c r="L169" s="265">
        <v>255000</v>
      </c>
      <c r="M169" s="128"/>
      <c r="N169" s="161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</row>
    <row r="170" spans="1:30" ht="16.5" customHeight="1">
      <c r="A170" s="106">
        <v>5</v>
      </c>
      <c r="B170" s="107" t="s">
        <v>192</v>
      </c>
      <c r="C170" s="178" t="s">
        <v>193</v>
      </c>
      <c r="D170" s="178"/>
      <c r="E170" s="107" t="s">
        <v>168</v>
      </c>
      <c r="F170" s="109">
        <v>455000</v>
      </c>
      <c r="G170" s="109">
        <f t="shared" si="172"/>
        <v>410000</v>
      </c>
      <c r="H170" s="109">
        <f t="shared" si="173"/>
        <v>400000</v>
      </c>
      <c r="I170" s="264"/>
      <c r="J170" s="264"/>
      <c r="K170" s="264"/>
      <c r="L170" s="265">
        <v>390000</v>
      </c>
      <c r="M170" s="128"/>
      <c r="N170" s="161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</row>
    <row r="171" spans="1:30" ht="16.5" customHeight="1">
      <c r="A171" s="106">
        <v>6</v>
      </c>
      <c r="B171" s="263" t="s">
        <v>194</v>
      </c>
      <c r="C171" s="178" t="s">
        <v>195</v>
      </c>
      <c r="D171" s="178"/>
      <c r="E171" s="107" t="s">
        <v>168</v>
      </c>
      <c r="F171" s="274">
        <v>450000</v>
      </c>
      <c r="G171" s="109">
        <f t="shared" si="172"/>
        <v>440000</v>
      </c>
      <c r="H171" s="109">
        <f t="shared" si="173"/>
        <v>430000</v>
      </c>
      <c r="I171" s="264"/>
      <c r="J171" s="264"/>
      <c r="K171" s="264"/>
      <c r="L171" s="265">
        <v>420000</v>
      </c>
      <c r="M171" s="128"/>
      <c r="N171" s="161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</row>
    <row r="172" spans="1:30" ht="16.5" customHeight="1">
      <c r="A172" s="106">
        <v>7</v>
      </c>
      <c r="B172" s="263" t="s">
        <v>196</v>
      </c>
      <c r="C172" s="178" t="s">
        <v>197</v>
      </c>
      <c r="D172" s="178"/>
      <c r="E172" s="107" t="s">
        <v>168</v>
      </c>
      <c r="F172" s="274">
        <v>530000</v>
      </c>
      <c r="G172" s="109">
        <f t="shared" si="172"/>
        <v>520000</v>
      </c>
      <c r="H172" s="109">
        <f t="shared" si="173"/>
        <v>510000</v>
      </c>
      <c r="I172" s="264"/>
      <c r="J172" s="264"/>
      <c r="K172" s="264"/>
      <c r="L172" s="265">
        <v>500000</v>
      </c>
      <c r="M172" s="128"/>
      <c r="N172" s="161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</row>
    <row r="173" spans="1:30" ht="16.5" customHeight="1">
      <c r="A173" s="746" t="s">
        <v>326</v>
      </c>
      <c r="B173" s="718"/>
      <c r="C173" s="718"/>
      <c r="D173" s="718"/>
      <c r="E173" s="718"/>
      <c r="F173" s="718"/>
      <c r="G173" s="718"/>
      <c r="H173" s="718"/>
      <c r="I173" s="718"/>
      <c r="J173" s="718"/>
      <c r="K173" s="718"/>
      <c r="L173" s="719"/>
      <c r="M173" s="254"/>
      <c r="N173" s="161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</row>
    <row r="174" spans="1:30" ht="19.5" customHeight="1">
      <c r="A174" s="106">
        <v>1</v>
      </c>
      <c r="B174" s="107"/>
      <c r="C174" s="178" t="s">
        <v>277</v>
      </c>
      <c r="D174" s="178" t="s">
        <v>278</v>
      </c>
      <c r="E174" s="107" t="s">
        <v>233</v>
      </c>
      <c r="F174" s="109">
        <f t="shared" ref="F174:F176" si="174">+G174+30000</f>
        <v>580000</v>
      </c>
      <c r="G174" s="109">
        <f t="shared" ref="G174:G176" si="175">+H174+20000</f>
        <v>550000</v>
      </c>
      <c r="H174" s="109">
        <f t="shared" ref="H174:H176" si="176">+L174+20000</f>
        <v>530000</v>
      </c>
      <c r="I174" s="264"/>
      <c r="J174" s="264"/>
      <c r="K174" s="264"/>
      <c r="L174" s="265">
        <v>510000</v>
      </c>
      <c r="M174" s="128"/>
      <c r="N174" s="161">
        <f t="shared" ref="N174:N176" si="177">F174*1.3</f>
        <v>754000</v>
      </c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</row>
    <row r="175" spans="1:30" ht="19.5" customHeight="1">
      <c r="A175" s="106">
        <v>2</v>
      </c>
      <c r="B175" s="107"/>
      <c r="C175" s="178" t="s">
        <v>277</v>
      </c>
      <c r="D175" s="178" t="s">
        <v>279</v>
      </c>
      <c r="E175" s="107" t="s">
        <v>233</v>
      </c>
      <c r="F175" s="109">
        <f t="shared" si="174"/>
        <v>540000</v>
      </c>
      <c r="G175" s="109">
        <f t="shared" si="175"/>
        <v>510000</v>
      </c>
      <c r="H175" s="109">
        <f t="shared" si="176"/>
        <v>490000</v>
      </c>
      <c r="I175" s="264"/>
      <c r="J175" s="264"/>
      <c r="K175" s="264"/>
      <c r="L175" s="265">
        <v>470000</v>
      </c>
      <c r="M175" s="128"/>
      <c r="N175" s="161">
        <f t="shared" si="177"/>
        <v>702000</v>
      </c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</row>
    <row r="176" spans="1:30" ht="15.75" customHeight="1">
      <c r="A176" s="106">
        <v>3</v>
      </c>
      <c r="B176" s="107"/>
      <c r="C176" s="178" t="s">
        <v>277</v>
      </c>
      <c r="D176" s="178" t="s">
        <v>280</v>
      </c>
      <c r="E176" s="107" t="s">
        <v>237</v>
      </c>
      <c r="F176" s="109">
        <f t="shared" si="174"/>
        <v>640000</v>
      </c>
      <c r="G176" s="109">
        <f t="shared" si="175"/>
        <v>610000</v>
      </c>
      <c r="H176" s="109">
        <f t="shared" si="176"/>
        <v>590000</v>
      </c>
      <c r="I176" s="264"/>
      <c r="J176" s="264"/>
      <c r="K176" s="264"/>
      <c r="L176" s="265">
        <v>570000</v>
      </c>
      <c r="M176" s="128"/>
      <c r="N176" s="161">
        <f t="shared" si="177"/>
        <v>832000</v>
      </c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</row>
    <row r="177" spans="1:30" ht="16.5" customHeight="1">
      <c r="A177" s="746" t="s">
        <v>327</v>
      </c>
      <c r="B177" s="718"/>
      <c r="C177" s="718"/>
      <c r="D177" s="718"/>
      <c r="E177" s="718"/>
      <c r="F177" s="718"/>
      <c r="G177" s="718"/>
      <c r="H177" s="718"/>
      <c r="I177" s="718"/>
      <c r="J177" s="718"/>
      <c r="K177" s="718"/>
      <c r="L177" s="719"/>
      <c r="M177" s="254"/>
      <c r="N177" s="161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</row>
    <row r="178" spans="1:30" ht="19.5" customHeight="1">
      <c r="A178" s="106">
        <v>1</v>
      </c>
      <c r="B178" s="107"/>
      <c r="C178" s="178" t="s">
        <v>277</v>
      </c>
      <c r="D178" s="178" t="s">
        <v>282</v>
      </c>
      <c r="E178" s="107" t="s">
        <v>233</v>
      </c>
      <c r="F178" s="109">
        <f t="shared" ref="F178:F180" si="178">+G178+30000</f>
        <v>740000</v>
      </c>
      <c r="G178" s="109">
        <f t="shared" ref="G178:G180" si="179">+H178+20000</f>
        <v>710000</v>
      </c>
      <c r="H178" s="109">
        <f t="shared" ref="H178:H180" si="180">+L178+20000</f>
        <v>690000</v>
      </c>
      <c r="I178" s="264"/>
      <c r="J178" s="264"/>
      <c r="K178" s="264"/>
      <c r="L178" s="265">
        <v>670000</v>
      </c>
      <c r="M178" s="128"/>
      <c r="N178" s="161">
        <f t="shared" ref="N178:N180" si="181">F178*1.3</f>
        <v>962000</v>
      </c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</row>
    <row r="179" spans="1:30" ht="19.5" customHeight="1">
      <c r="A179" s="106">
        <v>2</v>
      </c>
      <c r="B179" s="107"/>
      <c r="C179" s="178" t="s">
        <v>277</v>
      </c>
      <c r="D179" s="178" t="s">
        <v>283</v>
      </c>
      <c r="E179" s="107" t="s">
        <v>233</v>
      </c>
      <c r="F179" s="109">
        <f t="shared" si="178"/>
        <v>580000</v>
      </c>
      <c r="G179" s="109">
        <f t="shared" si="179"/>
        <v>550000</v>
      </c>
      <c r="H179" s="109">
        <f t="shared" si="180"/>
        <v>530000</v>
      </c>
      <c r="I179" s="264"/>
      <c r="J179" s="264"/>
      <c r="K179" s="264"/>
      <c r="L179" s="265">
        <v>510000</v>
      </c>
      <c r="M179" s="128"/>
      <c r="N179" s="161">
        <f t="shared" si="181"/>
        <v>754000</v>
      </c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</row>
    <row r="180" spans="1:30" ht="15.75" customHeight="1">
      <c r="A180" s="106">
        <v>3</v>
      </c>
      <c r="B180" s="107"/>
      <c r="C180" s="178" t="s">
        <v>277</v>
      </c>
      <c r="D180" s="178" t="s">
        <v>284</v>
      </c>
      <c r="E180" s="107" t="s">
        <v>237</v>
      </c>
      <c r="F180" s="109">
        <f t="shared" si="178"/>
        <v>720000</v>
      </c>
      <c r="G180" s="109">
        <f t="shared" si="179"/>
        <v>690000</v>
      </c>
      <c r="H180" s="109">
        <f t="shared" si="180"/>
        <v>670000</v>
      </c>
      <c r="I180" s="264"/>
      <c r="J180" s="264"/>
      <c r="K180" s="264"/>
      <c r="L180" s="265">
        <v>650000</v>
      </c>
      <c r="M180" s="128"/>
      <c r="N180" s="161">
        <f t="shared" si="181"/>
        <v>936000</v>
      </c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</row>
    <row r="181" spans="1:30" ht="15.75" customHeight="1">
      <c r="A181" s="776"/>
      <c r="B181" s="770"/>
      <c r="C181" s="770"/>
      <c r="D181" s="770"/>
      <c r="E181" s="770"/>
      <c r="F181" s="682"/>
      <c r="G181" s="769"/>
      <c r="H181" s="770"/>
      <c r="I181" s="770"/>
      <c r="J181" s="770"/>
      <c r="K181" s="770"/>
      <c r="L181" s="771"/>
      <c r="M181" s="266"/>
      <c r="N181" s="161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</row>
    <row r="182" spans="1:30" ht="15.75" customHeight="1">
      <c r="A182" s="267"/>
      <c r="B182" s="772"/>
      <c r="C182" s="763"/>
      <c r="D182" s="763"/>
      <c r="E182" s="763"/>
      <c r="F182" s="763"/>
      <c r="G182" s="763"/>
      <c r="H182" s="764"/>
      <c r="I182" s="268"/>
      <c r="J182" s="269"/>
      <c r="K182" s="269"/>
      <c r="L182" s="269"/>
      <c r="M182" s="234"/>
      <c r="N182" s="161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</row>
    <row r="183" spans="1:30" ht="15.75" customHeight="1">
      <c r="A183" s="777">
        <v>1</v>
      </c>
      <c r="B183" s="758" t="s">
        <v>285</v>
      </c>
      <c r="C183" s="759"/>
      <c r="D183" s="759"/>
      <c r="E183" s="759"/>
      <c r="F183" s="759"/>
      <c r="G183" s="759"/>
      <c r="H183" s="759"/>
      <c r="I183" s="759"/>
      <c r="J183" s="759"/>
      <c r="K183" s="759"/>
      <c r="L183" s="760"/>
      <c r="M183" s="236"/>
      <c r="N183" s="161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</row>
    <row r="184" spans="1:30" ht="35.25" customHeight="1">
      <c r="A184" s="778"/>
      <c r="B184" s="758" t="s">
        <v>259</v>
      </c>
      <c r="C184" s="759"/>
      <c r="D184" s="759"/>
      <c r="E184" s="759"/>
      <c r="F184" s="759"/>
      <c r="G184" s="759"/>
      <c r="H184" s="759"/>
      <c r="I184" s="759"/>
      <c r="J184" s="759"/>
      <c r="K184" s="759"/>
      <c r="L184" s="760"/>
      <c r="M184" s="236"/>
      <c r="N184" s="161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</row>
    <row r="185" spans="1:30" ht="15.75" customHeight="1">
      <c r="A185" s="779"/>
      <c r="B185" s="758" t="s">
        <v>286</v>
      </c>
      <c r="C185" s="759"/>
      <c r="D185" s="759"/>
      <c r="E185" s="759"/>
      <c r="F185" s="759"/>
      <c r="G185" s="759"/>
      <c r="H185" s="759"/>
      <c r="I185" s="759"/>
      <c r="J185" s="759"/>
      <c r="K185" s="759"/>
      <c r="L185" s="760"/>
      <c r="M185" s="236"/>
      <c r="N185" s="161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</row>
    <row r="186" spans="1:30" ht="15.75" customHeight="1">
      <c r="A186" s="270">
        <v>2</v>
      </c>
      <c r="B186" s="758" t="s">
        <v>261</v>
      </c>
      <c r="C186" s="759"/>
      <c r="D186" s="759"/>
      <c r="E186" s="759"/>
      <c r="F186" s="759"/>
      <c r="G186" s="759"/>
      <c r="H186" s="759"/>
      <c r="I186" s="759"/>
      <c r="J186" s="759"/>
      <c r="K186" s="759"/>
      <c r="L186" s="760"/>
      <c r="M186" s="236"/>
      <c r="N186" s="161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</row>
    <row r="187" spans="1:30" ht="30.75" customHeight="1">
      <c r="A187" s="270"/>
      <c r="B187" s="758"/>
      <c r="C187" s="759"/>
      <c r="D187" s="759"/>
      <c r="E187" s="759"/>
      <c r="F187" s="759"/>
      <c r="G187" s="759"/>
      <c r="H187" s="759"/>
      <c r="I187" s="759"/>
      <c r="J187" s="759"/>
      <c r="K187" s="759"/>
      <c r="L187" s="760"/>
      <c r="M187" s="236"/>
      <c r="N187" s="161"/>
      <c r="O187" s="238"/>
      <c r="P187" s="238"/>
      <c r="Q187" s="238"/>
      <c r="R187" s="238"/>
      <c r="S187" s="238"/>
      <c r="T187" s="238"/>
      <c r="U187" s="238"/>
      <c r="V187" s="238"/>
      <c r="W187" s="238"/>
      <c r="X187" s="238"/>
      <c r="Y187" s="238"/>
      <c r="Z187" s="238"/>
      <c r="AA187" s="238"/>
      <c r="AB187" s="238"/>
      <c r="AC187" s="238"/>
      <c r="AD187" s="238"/>
    </row>
    <row r="188" spans="1:30" ht="15.75" customHeight="1">
      <c r="A188" s="271"/>
      <c r="B188" s="271"/>
      <c r="C188" s="272" t="s">
        <v>263</v>
      </c>
      <c r="D188" s="273"/>
      <c r="E188" s="271"/>
      <c r="F188" s="246"/>
      <c r="G188" s="246"/>
      <c r="H188" s="246"/>
      <c r="I188" s="246"/>
      <c r="J188" s="246"/>
      <c r="K188" s="246"/>
      <c r="L188" s="246"/>
      <c r="M188" s="241"/>
      <c r="N188" s="161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</row>
    <row r="189" spans="1:30" ht="15.75" customHeight="1">
      <c r="A189" s="271"/>
      <c r="B189" s="271"/>
      <c r="C189" s="271"/>
      <c r="D189" s="273"/>
      <c r="E189" s="271"/>
      <c r="F189" s="246"/>
      <c r="G189" s="246"/>
      <c r="H189" s="246"/>
      <c r="I189" s="246"/>
      <c r="J189" s="246"/>
      <c r="K189" s="246"/>
      <c r="L189" s="246"/>
      <c r="M189" s="241"/>
      <c r="N189" s="161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</row>
    <row r="190" spans="1:3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161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</row>
    <row r="191" spans="1:30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161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</row>
    <row r="192" spans="1:30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161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</row>
    <row r="193" spans="1:30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161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</row>
    <row r="194" spans="1:30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161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</row>
    <row r="195" spans="1:30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161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</row>
    <row r="196" spans="1:30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161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</row>
    <row r="197" spans="1:30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161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</row>
    <row r="198" spans="1:30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161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</row>
  </sheetData>
  <mergeCells count="91">
    <mergeCell ref="B186:L186"/>
    <mergeCell ref="B187:L187"/>
    <mergeCell ref="A181:F181"/>
    <mergeCell ref="A183:A185"/>
    <mergeCell ref="B183:L183"/>
    <mergeCell ref="B184:L184"/>
    <mergeCell ref="B185:L185"/>
    <mergeCell ref="O91:O93"/>
    <mergeCell ref="A92:A93"/>
    <mergeCell ref="B92:B93"/>
    <mergeCell ref="C92:D93"/>
    <mergeCell ref="G92:L92"/>
    <mergeCell ref="G181:L181"/>
    <mergeCell ref="B182:H182"/>
    <mergeCell ref="E92:E93"/>
    <mergeCell ref="F92:F93"/>
    <mergeCell ref="B62:L62"/>
    <mergeCell ref="A88:L89"/>
    <mergeCell ref="A91:F91"/>
    <mergeCell ref="A94:L94"/>
    <mergeCell ref="A103:L103"/>
    <mergeCell ref="A113:L113"/>
    <mergeCell ref="A121:L121"/>
    <mergeCell ref="A125:L125"/>
    <mergeCell ref="G129:L129"/>
    <mergeCell ref="A129:F129"/>
    <mergeCell ref="B130:H130"/>
    <mergeCell ref="A131:A133"/>
    <mergeCell ref="A146:L146"/>
    <mergeCell ref="A155:L155"/>
    <mergeCell ref="A165:L165"/>
    <mergeCell ref="A173:L173"/>
    <mergeCell ref="A177:L177"/>
    <mergeCell ref="A140:L141"/>
    <mergeCell ref="A143:F143"/>
    <mergeCell ref="A144:A145"/>
    <mergeCell ref="B144:B145"/>
    <mergeCell ref="C144:D145"/>
    <mergeCell ref="E144:E145"/>
    <mergeCell ref="F144:F145"/>
    <mergeCell ref="G144:L144"/>
    <mergeCell ref="A59:A61"/>
    <mergeCell ref="B59:L59"/>
    <mergeCell ref="B60:L60"/>
    <mergeCell ref="B61:L61"/>
    <mergeCell ref="B135:L135"/>
    <mergeCell ref="B131:L131"/>
    <mergeCell ref="B132:L132"/>
    <mergeCell ref="B133:L133"/>
    <mergeCell ref="B134:L134"/>
    <mergeCell ref="V35:X35"/>
    <mergeCell ref="Z35:AC35"/>
    <mergeCell ref="A45:E45"/>
    <mergeCell ref="A51:E51"/>
    <mergeCell ref="B58:H58"/>
    <mergeCell ref="A35:E35"/>
    <mergeCell ref="F35:H35"/>
    <mergeCell ref="J35:M35"/>
    <mergeCell ref="N35:P35"/>
    <mergeCell ref="R35:U35"/>
    <mergeCell ref="V17:X17"/>
    <mergeCell ref="Z17:AC17"/>
    <mergeCell ref="A25:E25"/>
    <mergeCell ref="F25:H25"/>
    <mergeCell ref="J25:M25"/>
    <mergeCell ref="N25:P25"/>
    <mergeCell ref="R25:U25"/>
    <mergeCell ref="V25:X25"/>
    <mergeCell ref="Z25:AC25"/>
    <mergeCell ref="A17:E17"/>
    <mergeCell ref="F17:H17"/>
    <mergeCell ref="J17:M17"/>
    <mergeCell ref="N17:P17"/>
    <mergeCell ref="R17:U17"/>
    <mergeCell ref="A8:E8"/>
    <mergeCell ref="F8:I8"/>
    <mergeCell ref="J8:M8"/>
    <mergeCell ref="N8:Q8"/>
    <mergeCell ref="R8:U8"/>
    <mergeCell ref="V5:AC5"/>
    <mergeCell ref="V7:AC7"/>
    <mergeCell ref="V8:Y8"/>
    <mergeCell ref="Z8:AC8"/>
    <mergeCell ref="F7:M7"/>
    <mergeCell ref="N7:U7"/>
    <mergeCell ref="H2:P3"/>
    <mergeCell ref="A4:F4"/>
    <mergeCell ref="A5:D7"/>
    <mergeCell ref="E5:E7"/>
    <mergeCell ref="F5:M5"/>
    <mergeCell ref="N5:U5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V259"/>
  <sheetViews>
    <sheetView showGridLines="0" workbookViewId="0">
      <selection activeCell="S10" sqref="A10:S11"/>
    </sheetView>
  </sheetViews>
  <sheetFormatPr defaultColWidth="12.5703125" defaultRowHeight="15" customHeight="1"/>
  <cols>
    <col min="1" max="1" width="3.42578125" customWidth="1"/>
    <col min="2" max="2" width="14.85546875" customWidth="1"/>
    <col min="3" max="3" width="7.28515625" customWidth="1"/>
    <col min="4" max="4" width="7.42578125" customWidth="1"/>
    <col min="5" max="5" width="5.28515625" customWidth="1"/>
    <col min="6" max="6" width="6.42578125" customWidth="1"/>
    <col min="7" max="7" width="5.7109375" customWidth="1"/>
    <col min="8" max="8" width="6.28515625" customWidth="1"/>
    <col min="9" max="10" width="11.42578125" customWidth="1"/>
    <col min="11" max="11" width="10" customWidth="1"/>
    <col min="12" max="12" width="10.42578125" customWidth="1"/>
    <col min="13" max="13" width="9.85546875" customWidth="1"/>
    <col min="14" max="14" width="9.5703125" customWidth="1"/>
    <col min="15" max="15" width="10.5703125" customWidth="1"/>
    <col min="16" max="16" width="10.28515625" customWidth="1"/>
    <col min="17" max="20" width="10.7109375" customWidth="1"/>
    <col min="21" max="21" width="11.28515625" customWidth="1"/>
    <col min="22" max="22" width="6.42578125" hidden="1" customWidth="1"/>
  </cols>
  <sheetData>
    <row r="1" spans="1:22">
      <c r="A1" s="797"/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275"/>
      <c r="M1" s="84"/>
      <c r="N1" s="84"/>
      <c r="O1" s="84"/>
      <c r="P1" s="84"/>
      <c r="Q1" s="84"/>
      <c r="R1" s="84"/>
      <c r="S1" s="84"/>
      <c r="T1" s="84"/>
      <c r="U1" s="84"/>
      <c r="V1" s="84"/>
    </row>
    <row r="2" spans="1:22">
      <c r="A2" s="275"/>
      <c r="B2" s="275"/>
      <c r="C2" s="275"/>
      <c r="D2" s="275"/>
      <c r="E2" s="798" t="s">
        <v>328</v>
      </c>
      <c r="F2" s="672"/>
      <c r="G2" s="672"/>
      <c r="H2" s="672"/>
      <c r="I2" s="672"/>
      <c r="J2" s="672"/>
      <c r="K2" s="672"/>
      <c r="L2" s="672"/>
      <c r="M2" s="672"/>
      <c r="N2" s="672"/>
      <c r="O2" s="672"/>
      <c r="P2" s="84"/>
      <c r="Q2" s="84"/>
      <c r="R2" s="84"/>
      <c r="S2" s="84"/>
      <c r="T2" s="84"/>
      <c r="U2" s="84"/>
      <c r="V2" s="84"/>
    </row>
    <row r="3" spans="1:22">
      <c r="A3" s="275"/>
      <c r="B3" s="275"/>
      <c r="C3" s="275"/>
      <c r="D3" s="275"/>
      <c r="E3" s="672"/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84"/>
      <c r="Q3" s="84"/>
      <c r="R3" s="84"/>
      <c r="S3" s="84"/>
      <c r="T3" s="84"/>
      <c r="U3" s="84"/>
      <c r="V3" s="84"/>
    </row>
    <row r="4" spans="1:22">
      <c r="A4" s="275"/>
      <c r="B4" s="275"/>
      <c r="C4" s="275"/>
      <c r="D4" s="275"/>
      <c r="E4" s="275"/>
      <c r="F4" s="275"/>
      <c r="G4" s="275"/>
      <c r="H4" s="275"/>
      <c r="I4" s="275"/>
      <c r="J4" s="275"/>
      <c r="K4" s="275"/>
      <c r="L4" s="275"/>
      <c r="M4" s="84"/>
      <c r="N4" s="84"/>
      <c r="O4" s="84"/>
      <c r="P4" s="84"/>
      <c r="Q4" s="84"/>
      <c r="R4" s="84"/>
      <c r="S4" s="84"/>
      <c r="T4" s="84"/>
      <c r="U4" s="84"/>
      <c r="V4" s="84"/>
    </row>
    <row r="5" spans="1:22">
      <c r="A5" s="276"/>
      <c r="B5" s="799" t="s">
        <v>329</v>
      </c>
      <c r="C5" s="713"/>
      <c r="D5" s="713"/>
      <c r="E5" s="713"/>
      <c r="F5" s="713"/>
      <c r="G5" s="800"/>
      <c r="H5" s="277" t="s">
        <v>330</v>
      </c>
      <c r="I5" s="801" t="s">
        <v>80</v>
      </c>
      <c r="J5" s="713"/>
      <c r="K5" s="713"/>
      <c r="L5" s="714"/>
      <c r="M5" s="802" t="s">
        <v>81</v>
      </c>
      <c r="N5" s="713"/>
      <c r="O5" s="713"/>
      <c r="P5" s="714"/>
      <c r="Q5" s="803" t="s">
        <v>82</v>
      </c>
      <c r="R5" s="713"/>
      <c r="S5" s="713"/>
      <c r="T5" s="714"/>
      <c r="U5" s="278"/>
      <c r="V5" s="278"/>
    </row>
    <row r="6" spans="1:22">
      <c r="A6" s="804" t="s">
        <v>331</v>
      </c>
      <c r="B6" s="718"/>
      <c r="C6" s="718"/>
      <c r="D6" s="718"/>
      <c r="E6" s="718"/>
      <c r="F6" s="718"/>
      <c r="G6" s="718"/>
      <c r="H6" s="680"/>
      <c r="I6" s="279" t="s">
        <v>83</v>
      </c>
      <c r="J6" s="250" t="s">
        <v>332</v>
      </c>
      <c r="K6" s="250" t="s">
        <v>333</v>
      </c>
      <c r="L6" s="93"/>
      <c r="M6" s="280" t="s">
        <v>83</v>
      </c>
      <c r="N6" s="281" t="s">
        <v>332</v>
      </c>
      <c r="O6" s="281" t="s">
        <v>333</v>
      </c>
      <c r="P6" s="97"/>
      <c r="Q6" s="282" t="s">
        <v>83</v>
      </c>
      <c r="R6" s="282" t="s">
        <v>332</v>
      </c>
      <c r="S6" s="282" t="s">
        <v>333</v>
      </c>
      <c r="T6" s="101"/>
      <c r="U6" s="84"/>
      <c r="V6" s="84"/>
    </row>
    <row r="7" spans="1:22">
      <c r="A7" s="283">
        <v>1</v>
      </c>
      <c r="B7" s="284" t="s">
        <v>334</v>
      </c>
      <c r="C7" s="284" t="s">
        <v>335</v>
      </c>
      <c r="D7" s="284" t="s">
        <v>336</v>
      </c>
      <c r="E7" s="284" t="s">
        <v>337</v>
      </c>
      <c r="F7" s="284" t="s">
        <v>338</v>
      </c>
      <c r="G7" s="284" t="s">
        <v>339</v>
      </c>
      <c r="H7" s="285">
        <f ca="1">IFERROR(VLOOKUP(B7,TỒN!A:C,3,FALSE),0)</f>
        <v>3269</v>
      </c>
      <c r="I7" s="286">
        <f t="shared" ref="I7:I11" si="0">ROUND(K7/0.95,-2)</f>
        <v>505300</v>
      </c>
      <c r="J7" s="287">
        <f t="shared" ref="J7:J11" si="1">ROUND(K7/0.97,-2)</f>
        <v>494800</v>
      </c>
      <c r="K7" s="288">
        <v>480000</v>
      </c>
      <c r="L7" s="289"/>
      <c r="M7" s="290">
        <f t="shared" ref="M7:P7" si="2">IF(ISBLANK(I7),,ROUND(I7/1.1,-2))</f>
        <v>459400</v>
      </c>
      <c r="N7" s="287">
        <f t="shared" si="2"/>
        <v>449800</v>
      </c>
      <c r="O7" s="288">
        <f t="shared" si="2"/>
        <v>436400</v>
      </c>
      <c r="P7" s="289">
        <f t="shared" si="2"/>
        <v>0</v>
      </c>
      <c r="Q7" s="288">
        <f t="shared" ref="Q7:T7" si="3">IF(ISBLANK(I7),,ROUND(I7*(1-V7),0))</f>
        <v>490141</v>
      </c>
      <c r="R7" s="287">
        <f t="shared" si="3"/>
        <v>494800</v>
      </c>
      <c r="S7" s="288">
        <f t="shared" si="3"/>
        <v>480000</v>
      </c>
      <c r="T7" s="289">
        <f t="shared" si="3"/>
        <v>0</v>
      </c>
      <c r="U7" s="291">
        <v>44983</v>
      </c>
      <c r="V7" s="84">
        <v>0.03</v>
      </c>
    </row>
    <row r="8" spans="1:22">
      <c r="A8" s="283">
        <v>2</v>
      </c>
      <c r="B8" s="284" t="s">
        <v>340</v>
      </c>
      <c r="C8" s="284" t="s">
        <v>335</v>
      </c>
      <c r="D8" s="284" t="s">
        <v>336</v>
      </c>
      <c r="E8" s="284" t="s">
        <v>337</v>
      </c>
      <c r="F8" s="284" t="s">
        <v>341</v>
      </c>
      <c r="G8" s="284" t="s">
        <v>339</v>
      </c>
      <c r="H8" s="285">
        <f ca="1">IFERROR(VLOOKUP(B8,TỒN!A:C,3,FALSE),0)</f>
        <v>1</v>
      </c>
      <c r="I8" s="286">
        <f t="shared" si="0"/>
        <v>1831600</v>
      </c>
      <c r="J8" s="287">
        <f t="shared" si="1"/>
        <v>1793800</v>
      </c>
      <c r="K8" s="288">
        <v>1740000</v>
      </c>
      <c r="L8" s="289"/>
      <c r="M8" s="290">
        <f t="shared" ref="M8:P8" si="4">IF(ISBLANK(I8),,ROUND(I8/1.1,-2))</f>
        <v>1665100</v>
      </c>
      <c r="N8" s="287">
        <f t="shared" si="4"/>
        <v>1630700</v>
      </c>
      <c r="O8" s="288">
        <f t="shared" si="4"/>
        <v>1581800</v>
      </c>
      <c r="P8" s="289">
        <f t="shared" si="4"/>
        <v>0</v>
      </c>
      <c r="Q8" s="288">
        <f t="shared" ref="Q8:T8" si="5">IF(ISBLANK(I8),,ROUND(I8*(1-V8),0))</f>
        <v>1776652</v>
      </c>
      <c r="R8" s="287">
        <f t="shared" si="5"/>
        <v>1793800</v>
      </c>
      <c r="S8" s="288">
        <f t="shared" si="5"/>
        <v>1740000</v>
      </c>
      <c r="T8" s="289">
        <f t="shared" si="5"/>
        <v>0</v>
      </c>
      <c r="U8" s="291">
        <v>44983</v>
      </c>
      <c r="V8" s="84">
        <v>0.03</v>
      </c>
    </row>
    <row r="9" spans="1:22">
      <c r="A9" s="283">
        <v>3</v>
      </c>
      <c r="B9" s="284" t="s">
        <v>342</v>
      </c>
      <c r="C9" s="284" t="s">
        <v>335</v>
      </c>
      <c r="D9" s="284" t="s">
        <v>336</v>
      </c>
      <c r="E9" s="284" t="s">
        <v>343</v>
      </c>
      <c r="F9" s="284" t="s">
        <v>338</v>
      </c>
      <c r="G9" s="284" t="s">
        <v>339</v>
      </c>
      <c r="H9" s="285">
        <f ca="1">IFERROR(VLOOKUP(B9,TỒN!A:C,3,FALSE),0)</f>
        <v>1613</v>
      </c>
      <c r="I9" s="286">
        <f t="shared" si="0"/>
        <v>357900</v>
      </c>
      <c r="J9" s="287">
        <f t="shared" si="1"/>
        <v>350500</v>
      </c>
      <c r="K9" s="288">
        <v>340000</v>
      </c>
      <c r="L9" s="289"/>
      <c r="M9" s="290">
        <f t="shared" ref="M9:P9" si="6">IF(ISBLANK(I9),,ROUND(I9/1.1,-2))</f>
        <v>325400</v>
      </c>
      <c r="N9" s="287">
        <f t="shared" si="6"/>
        <v>318600</v>
      </c>
      <c r="O9" s="288">
        <f t="shared" si="6"/>
        <v>309100</v>
      </c>
      <c r="P9" s="289">
        <f t="shared" si="6"/>
        <v>0</v>
      </c>
      <c r="Q9" s="288">
        <f t="shared" ref="Q9:T9" si="7">IF(ISBLANK(I9),,ROUND(I9*(1-V9),0))</f>
        <v>347163</v>
      </c>
      <c r="R9" s="287">
        <f t="shared" si="7"/>
        <v>350500</v>
      </c>
      <c r="S9" s="288">
        <f t="shared" si="7"/>
        <v>340000</v>
      </c>
      <c r="T9" s="289">
        <f t="shared" si="7"/>
        <v>0</v>
      </c>
      <c r="U9" s="291">
        <v>44983</v>
      </c>
      <c r="V9" s="84">
        <v>0.03</v>
      </c>
    </row>
    <row r="10" spans="1:22">
      <c r="A10" s="283">
        <v>4</v>
      </c>
      <c r="B10" s="284" t="s">
        <v>344</v>
      </c>
      <c r="C10" s="284" t="s">
        <v>335</v>
      </c>
      <c r="D10" s="284" t="s">
        <v>336</v>
      </c>
      <c r="E10" s="284" t="s">
        <v>343</v>
      </c>
      <c r="F10" s="284" t="s">
        <v>345</v>
      </c>
      <c r="G10" s="284" t="s">
        <v>339</v>
      </c>
      <c r="H10" s="285">
        <f ca="1">IFERROR(VLOOKUP(B10,TỒN!A:C,3,FALSE),0)</f>
        <v>313</v>
      </c>
      <c r="I10" s="286">
        <f t="shared" si="0"/>
        <v>715800</v>
      </c>
      <c r="J10" s="287">
        <f t="shared" si="1"/>
        <v>701000</v>
      </c>
      <c r="K10" s="288">
        <v>680000</v>
      </c>
      <c r="L10" s="289"/>
      <c r="M10" s="290">
        <f t="shared" ref="M10:P10" si="8">IF(ISBLANK(I10),,ROUND(I10/1.1,-2))</f>
        <v>650700</v>
      </c>
      <c r="N10" s="287">
        <f t="shared" si="8"/>
        <v>637300</v>
      </c>
      <c r="O10" s="288">
        <f t="shared" si="8"/>
        <v>618200</v>
      </c>
      <c r="P10" s="289">
        <f t="shared" si="8"/>
        <v>0</v>
      </c>
      <c r="Q10" s="288">
        <f t="shared" ref="Q10:T10" si="9">IF(ISBLANK(I10),,ROUND(I10*(1-V10),0))</f>
        <v>701484</v>
      </c>
      <c r="R10" s="287">
        <f t="shared" si="9"/>
        <v>701000</v>
      </c>
      <c r="S10" s="288">
        <f t="shared" si="9"/>
        <v>680000</v>
      </c>
      <c r="T10" s="289">
        <f t="shared" si="9"/>
        <v>0</v>
      </c>
      <c r="U10" s="291">
        <v>44983</v>
      </c>
      <c r="V10" s="84">
        <v>0.02</v>
      </c>
    </row>
    <row r="11" spans="1:22">
      <c r="A11" s="283">
        <v>5</v>
      </c>
      <c r="B11" s="284" t="s">
        <v>346</v>
      </c>
      <c r="C11" s="284" t="s">
        <v>335</v>
      </c>
      <c r="D11" s="284" t="s">
        <v>336</v>
      </c>
      <c r="E11" s="284" t="s">
        <v>343</v>
      </c>
      <c r="F11" s="284" t="s">
        <v>347</v>
      </c>
      <c r="G11" s="284" t="s">
        <v>339</v>
      </c>
      <c r="H11" s="285">
        <f ca="1">IFERROR(VLOOKUP(B11,TỒN!A:C,3,FALSE),0)</f>
        <v>40</v>
      </c>
      <c r="I11" s="286">
        <f t="shared" si="0"/>
        <v>873700</v>
      </c>
      <c r="J11" s="287">
        <f t="shared" si="1"/>
        <v>855700</v>
      </c>
      <c r="K11" s="288">
        <v>830000</v>
      </c>
      <c r="L11" s="289"/>
      <c r="M11" s="290">
        <f t="shared" ref="M11:P11" si="10">IF(ISBLANK(I11),,ROUND(I11/1.1,-2))</f>
        <v>794300</v>
      </c>
      <c r="N11" s="287">
        <f t="shared" si="10"/>
        <v>777900</v>
      </c>
      <c r="O11" s="288">
        <f t="shared" si="10"/>
        <v>754500</v>
      </c>
      <c r="P11" s="289">
        <f t="shared" si="10"/>
        <v>0</v>
      </c>
      <c r="Q11" s="288">
        <f t="shared" ref="Q11:T11" si="11">IF(ISBLANK(I11),,ROUND(I11*(1-V11),0))</f>
        <v>856226</v>
      </c>
      <c r="R11" s="287">
        <f t="shared" si="11"/>
        <v>855700</v>
      </c>
      <c r="S11" s="288">
        <f t="shared" si="11"/>
        <v>830000</v>
      </c>
      <c r="T11" s="289">
        <f t="shared" si="11"/>
        <v>0</v>
      </c>
      <c r="U11" s="291">
        <v>44983</v>
      </c>
      <c r="V11" s="84">
        <v>0.02</v>
      </c>
    </row>
    <row r="12" spans="1:22">
      <c r="A12" s="283">
        <v>6</v>
      </c>
      <c r="B12" s="284" t="s">
        <v>348</v>
      </c>
      <c r="C12" s="284" t="s">
        <v>335</v>
      </c>
      <c r="D12" s="284" t="s">
        <v>336</v>
      </c>
      <c r="E12" s="284" t="s">
        <v>343</v>
      </c>
      <c r="F12" s="284" t="s">
        <v>349</v>
      </c>
      <c r="G12" s="284" t="s">
        <v>339</v>
      </c>
      <c r="H12" s="285">
        <f ca="1">IFERROR(VLOOKUP(B12,TỒN!A:C,3,FALSE),0)</f>
        <v>2</v>
      </c>
      <c r="I12" s="286">
        <v>980000</v>
      </c>
      <c r="J12" s="287"/>
      <c r="K12" s="288"/>
      <c r="L12" s="289"/>
      <c r="M12" s="290">
        <f t="shared" ref="M12:P12" si="12">IF(ISBLANK(I12),,ROUND(I12/1.1,-2))</f>
        <v>890900</v>
      </c>
      <c r="N12" s="287">
        <f t="shared" si="12"/>
        <v>0</v>
      </c>
      <c r="O12" s="288">
        <f t="shared" si="12"/>
        <v>0</v>
      </c>
      <c r="P12" s="289">
        <f t="shared" si="12"/>
        <v>0</v>
      </c>
      <c r="Q12" s="288">
        <f t="shared" ref="Q12:T12" si="13">IF(ISBLANK(I12),,ROUND(I12*(1-V12),0))</f>
        <v>960400</v>
      </c>
      <c r="R12" s="287">
        <f t="shared" si="13"/>
        <v>0</v>
      </c>
      <c r="S12" s="288">
        <f t="shared" si="13"/>
        <v>0</v>
      </c>
      <c r="T12" s="289">
        <f t="shared" si="13"/>
        <v>0</v>
      </c>
      <c r="U12" s="84"/>
      <c r="V12" s="84">
        <v>0.02</v>
      </c>
    </row>
    <row r="13" spans="1:22">
      <c r="A13" s="283">
        <v>7</v>
      </c>
      <c r="B13" s="284" t="s">
        <v>350</v>
      </c>
      <c r="C13" s="284" t="s">
        <v>335</v>
      </c>
      <c r="D13" s="284" t="s">
        <v>336</v>
      </c>
      <c r="E13" s="284" t="s">
        <v>351</v>
      </c>
      <c r="F13" s="284" t="s">
        <v>338</v>
      </c>
      <c r="G13" s="284" t="s">
        <v>339</v>
      </c>
      <c r="H13" s="285">
        <f ca="1">IFERROR(VLOOKUP(B13,TỒN!A:C,3,FALSE),0)</f>
        <v>3187</v>
      </c>
      <c r="I13" s="286">
        <f t="shared" ref="I13:I21" si="14">ROUND(K13/0.95,-2)</f>
        <v>421100</v>
      </c>
      <c r="J13" s="287">
        <f t="shared" ref="J13:J21" si="15">ROUND(K13/0.97,-2)</f>
        <v>412400</v>
      </c>
      <c r="K13" s="288">
        <v>400000</v>
      </c>
      <c r="L13" s="289"/>
      <c r="M13" s="290">
        <f t="shared" ref="M13:P13" si="16">IF(ISBLANK(I13),,ROUND(I13/1.1,-2))</f>
        <v>382800</v>
      </c>
      <c r="N13" s="287">
        <f t="shared" si="16"/>
        <v>374900</v>
      </c>
      <c r="O13" s="288">
        <f t="shared" si="16"/>
        <v>363600</v>
      </c>
      <c r="P13" s="289">
        <f t="shared" si="16"/>
        <v>0</v>
      </c>
      <c r="Q13" s="288">
        <f t="shared" ref="Q13:T13" si="17">IF(ISBLANK(I13),,ROUND(I13*(1-V13),0))</f>
        <v>408467</v>
      </c>
      <c r="R13" s="287">
        <f t="shared" si="17"/>
        <v>412400</v>
      </c>
      <c r="S13" s="288">
        <f t="shared" si="17"/>
        <v>400000</v>
      </c>
      <c r="T13" s="289">
        <f t="shared" si="17"/>
        <v>0</v>
      </c>
      <c r="U13" s="291">
        <v>44983</v>
      </c>
      <c r="V13" s="84">
        <v>0.03</v>
      </c>
    </row>
    <row r="14" spans="1:22">
      <c r="A14" s="283">
        <v>8</v>
      </c>
      <c r="B14" s="284" t="s">
        <v>352</v>
      </c>
      <c r="C14" s="284" t="s">
        <v>335</v>
      </c>
      <c r="D14" s="284" t="s">
        <v>336</v>
      </c>
      <c r="E14" s="284" t="s">
        <v>351</v>
      </c>
      <c r="F14" s="284" t="s">
        <v>341</v>
      </c>
      <c r="G14" s="284" t="s">
        <v>339</v>
      </c>
      <c r="H14" s="285">
        <f ca="1">IFERROR(VLOOKUP(B14,TỒN!A:C,3,FALSE),0)</f>
        <v>2</v>
      </c>
      <c r="I14" s="286">
        <f t="shared" si="14"/>
        <v>1536800</v>
      </c>
      <c r="J14" s="287">
        <f t="shared" si="15"/>
        <v>1505200</v>
      </c>
      <c r="K14" s="288">
        <v>1460000</v>
      </c>
      <c r="L14" s="289"/>
      <c r="M14" s="290">
        <f t="shared" ref="M14:P14" si="18">IF(ISBLANK(I14),,ROUND(I14/1.1,-2))</f>
        <v>1397100</v>
      </c>
      <c r="N14" s="287">
        <f t="shared" si="18"/>
        <v>1368400</v>
      </c>
      <c r="O14" s="288">
        <f t="shared" si="18"/>
        <v>1327300</v>
      </c>
      <c r="P14" s="289">
        <f t="shared" si="18"/>
        <v>0</v>
      </c>
      <c r="Q14" s="288">
        <f t="shared" ref="Q14:T14" si="19">IF(ISBLANK(I14),,ROUND(I14*(1-V14),0))</f>
        <v>1506064</v>
      </c>
      <c r="R14" s="287">
        <f t="shared" si="19"/>
        <v>1505200</v>
      </c>
      <c r="S14" s="288">
        <f t="shared" si="19"/>
        <v>1460000</v>
      </c>
      <c r="T14" s="289">
        <f t="shared" si="19"/>
        <v>0</v>
      </c>
      <c r="U14" s="291">
        <v>44983</v>
      </c>
      <c r="V14" s="84">
        <v>0.02</v>
      </c>
    </row>
    <row r="15" spans="1:22">
      <c r="A15" s="283">
        <v>9</v>
      </c>
      <c r="B15" s="284" t="s">
        <v>353</v>
      </c>
      <c r="C15" s="284" t="s">
        <v>335</v>
      </c>
      <c r="D15" s="284" t="s">
        <v>336</v>
      </c>
      <c r="E15" s="284" t="s">
        <v>354</v>
      </c>
      <c r="F15" s="284" t="s">
        <v>355</v>
      </c>
      <c r="G15" s="284" t="s">
        <v>339</v>
      </c>
      <c r="H15" s="285">
        <f ca="1">IFERROR(VLOOKUP(B15,TỒN!A:C,3,FALSE),0)</f>
        <v>3300</v>
      </c>
      <c r="I15" s="286">
        <f t="shared" si="14"/>
        <v>421100</v>
      </c>
      <c r="J15" s="287">
        <f t="shared" si="15"/>
        <v>412400</v>
      </c>
      <c r="K15" s="288">
        <v>400000</v>
      </c>
      <c r="L15" s="289"/>
      <c r="M15" s="290">
        <f t="shared" ref="M15:P15" si="20">IF(ISBLANK(I15),,ROUND(I15/1.1,-2))</f>
        <v>382800</v>
      </c>
      <c r="N15" s="287">
        <f t="shared" si="20"/>
        <v>374900</v>
      </c>
      <c r="O15" s="288">
        <f t="shared" si="20"/>
        <v>363600</v>
      </c>
      <c r="P15" s="289">
        <f t="shared" si="20"/>
        <v>0</v>
      </c>
      <c r="Q15" s="292">
        <f t="shared" ref="Q15:T15" si="21">IF(ISBLANK(I15),,ROUND(I15*(1-V15),0))</f>
        <v>408467</v>
      </c>
      <c r="R15" s="287">
        <f t="shared" si="21"/>
        <v>412400</v>
      </c>
      <c r="S15" s="292">
        <f t="shared" si="21"/>
        <v>400000</v>
      </c>
      <c r="T15" s="293">
        <f t="shared" si="21"/>
        <v>0</v>
      </c>
      <c r="U15" s="291">
        <v>44983</v>
      </c>
      <c r="V15" s="84">
        <v>0.03</v>
      </c>
    </row>
    <row r="16" spans="1:22">
      <c r="A16" s="283">
        <v>10</v>
      </c>
      <c r="B16" s="284" t="s">
        <v>356</v>
      </c>
      <c r="C16" s="284" t="s">
        <v>335</v>
      </c>
      <c r="D16" s="284" t="s">
        <v>336</v>
      </c>
      <c r="E16" s="284" t="s">
        <v>354</v>
      </c>
      <c r="F16" s="284" t="s">
        <v>357</v>
      </c>
      <c r="G16" s="284" t="s">
        <v>339</v>
      </c>
      <c r="H16" s="285">
        <f ca="1">IFERROR(VLOOKUP(B16,TỒN!A:C,3,FALSE),0)</f>
        <v>3</v>
      </c>
      <c r="I16" s="286">
        <f t="shared" si="14"/>
        <v>1400000</v>
      </c>
      <c r="J16" s="287">
        <f t="shared" si="15"/>
        <v>1371100</v>
      </c>
      <c r="K16" s="288">
        <v>1330000</v>
      </c>
      <c r="L16" s="289"/>
      <c r="M16" s="290">
        <f t="shared" ref="M16:P16" si="22">IF(ISBLANK(I16),,ROUND(I16/1.1,-2))</f>
        <v>1272700</v>
      </c>
      <c r="N16" s="287">
        <f t="shared" si="22"/>
        <v>1246500</v>
      </c>
      <c r="O16" s="288">
        <f t="shared" si="22"/>
        <v>1209100</v>
      </c>
      <c r="P16" s="289">
        <f t="shared" si="22"/>
        <v>0</v>
      </c>
      <c r="Q16" s="292">
        <f t="shared" ref="Q16:T16" si="23">IF(ISBLANK(I16),,ROUND(I16*(1-V16),0))</f>
        <v>1372000</v>
      </c>
      <c r="R16" s="287">
        <f t="shared" si="23"/>
        <v>1371100</v>
      </c>
      <c r="S16" s="292">
        <f t="shared" si="23"/>
        <v>1330000</v>
      </c>
      <c r="T16" s="293">
        <f t="shared" si="23"/>
        <v>0</v>
      </c>
      <c r="U16" s="291">
        <v>44983</v>
      </c>
      <c r="V16" s="84">
        <v>0.02</v>
      </c>
    </row>
    <row r="17" spans="1:22">
      <c r="A17" s="283">
        <v>11</v>
      </c>
      <c r="B17" s="284" t="s">
        <v>358</v>
      </c>
      <c r="C17" s="284" t="s">
        <v>335</v>
      </c>
      <c r="D17" s="284" t="s">
        <v>336</v>
      </c>
      <c r="E17" s="284" t="s">
        <v>359</v>
      </c>
      <c r="F17" s="284" t="s">
        <v>360</v>
      </c>
      <c r="G17" s="284" t="s">
        <v>339</v>
      </c>
      <c r="H17" s="285">
        <f ca="1">IFERROR(VLOOKUP(B17,TỒN!A:C,3,FALSE),0)</f>
        <v>1375</v>
      </c>
      <c r="I17" s="286">
        <f t="shared" si="14"/>
        <v>515800</v>
      </c>
      <c r="J17" s="287">
        <f t="shared" si="15"/>
        <v>505200</v>
      </c>
      <c r="K17" s="288">
        <v>490000</v>
      </c>
      <c r="L17" s="289"/>
      <c r="M17" s="290">
        <f t="shared" ref="M17:P17" si="24">IF(ISBLANK(I17),,ROUND(I17/1.1,-2))</f>
        <v>468900</v>
      </c>
      <c r="N17" s="287">
        <f t="shared" si="24"/>
        <v>459300</v>
      </c>
      <c r="O17" s="288">
        <f t="shared" si="24"/>
        <v>445500</v>
      </c>
      <c r="P17" s="289">
        <f t="shared" si="24"/>
        <v>0</v>
      </c>
      <c r="Q17" s="292">
        <f t="shared" ref="Q17:T17" si="25">IF(ISBLANK(I17),,ROUND(I17*(1-V17),0))</f>
        <v>500326</v>
      </c>
      <c r="R17" s="287">
        <f t="shared" si="25"/>
        <v>505200</v>
      </c>
      <c r="S17" s="292">
        <f t="shared" si="25"/>
        <v>490000</v>
      </c>
      <c r="T17" s="293">
        <f t="shared" si="25"/>
        <v>0</v>
      </c>
      <c r="U17" s="291">
        <v>44983</v>
      </c>
      <c r="V17" s="84">
        <v>0.03</v>
      </c>
    </row>
    <row r="18" spans="1:22">
      <c r="A18" s="283">
        <v>12</v>
      </c>
      <c r="B18" s="284" t="s">
        <v>361</v>
      </c>
      <c r="C18" s="284" t="s">
        <v>335</v>
      </c>
      <c r="D18" s="284" t="s">
        <v>336</v>
      </c>
      <c r="E18" s="284" t="s">
        <v>359</v>
      </c>
      <c r="F18" s="284" t="s">
        <v>362</v>
      </c>
      <c r="G18" s="284" t="s">
        <v>339</v>
      </c>
      <c r="H18" s="285">
        <f ca="1">IFERROR(VLOOKUP(B18,TỒN!A:C,3,FALSE),0)</f>
        <v>57</v>
      </c>
      <c r="I18" s="286">
        <f t="shared" si="14"/>
        <v>1442100</v>
      </c>
      <c r="J18" s="287">
        <f t="shared" si="15"/>
        <v>1412400</v>
      </c>
      <c r="K18" s="288">
        <v>1370000</v>
      </c>
      <c r="L18" s="289"/>
      <c r="M18" s="290">
        <f t="shared" ref="M18:P18" si="26">IF(ISBLANK(I18),,ROUND(I18/1.1,-2))</f>
        <v>1311000</v>
      </c>
      <c r="N18" s="287">
        <f t="shared" si="26"/>
        <v>1284000</v>
      </c>
      <c r="O18" s="288">
        <f t="shared" si="26"/>
        <v>1245500</v>
      </c>
      <c r="P18" s="289">
        <f t="shared" si="26"/>
        <v>0</v>
      </c>
      <c r="Q18" s="292">
        <f t="shared" ref="Q18:T18" si="27">IF(ISBLANK(I18),,ROUND(I18*(1-V18),0))</f>
        <v>1413258</v>
      </c>
      <c r="R18" s="287">
        <f t="shared" si="27"/>
        <v>1412400</v>
      </c>
      <c r="S18" s="292">
        <f t="shared" si="27"/>
        <v>1370000</v>
      </c>
      <c r="T18" s="293">
        <f t="shared" si="27"/>
        <v>0</v>
      </c>
      <c r="U18" s="291">
        <v>44983</v>
      </c>
      <c r="V18" s="84">
        <v>0.02</v>
      </c>
    </row>
    <row r="19" spans="1:22">
      <c r="A19" s="283">
        <v>13</v>
      </c>
      <c r="B19" s="284" t="s">
        <v>363</v>
      </c>
      <c r="C19" s="284" t="s">
        <v>335</v>
      </c>
      <c r="D19" s="284" t="s">
        <v>336</v>
      </c>
      <c r="E19" s="284" t="s">
        <v>364</v>
      </c>
      <c r="F19" s="284" t="s">
        <v>355</v>
      </c>
      <c r="G19" s="284" t="s">
        <v>339</v>
      </c>
      <c r="H19" s="285">
        <f ca="1">IFERROR(VLOOKUP(B19,TỒN!A:C,3,FALSE),0)</f>
        <v>2345</v>
      </c>
      <c r="I19" s="286">
        <f t="shared" si="14"/>
        <v>515800</v>
      </c>
      <c r="J19" s="287">
        <f t="shared" si="15"/>
        <v>505200</v>
      </c>
      <c r="K19" s="288">
        <v>490000</v>
      </c>
      <c r="L19" s="289"/>
      <c r="M19" s="294">
        <f t="shared" ref="M19:P19" si="28">IF(ISBLANK(I19),,ROUND(I19/1.1,-2))</f>
        <v>468900</v>
      </c>
      <c r="N19" s="287">
        <f t="shared" si="28"/>
        <v>459300</v>
      </c>
      <c r="O19" s="292">
        <f t="shared" si="28"/>
        <v>445500</v>
      </c>
      <c r="P19" s="293">
        <f t="shared" si="28"/>
        <v>0</v>
      </c>
      <c r="Q19" s="292">
        <f t="shared" ref="Q19:T19" si="29">IF(ISBLANK(I19),,ROUND(I19*(1-V19),0))</f>
        <v>500326</v>
      </c>
      <c r="R19" s="287">
        <f t="shared" si="29"/>
        <v>505200</v>
      </c>
      <c r="S19" s="292">
        <f t="shared" si="29"/>
        <v>490000</v>
      </c>
      <c r="T19" s="293">
        <f t="shared" si="29"/>
        <v>0</v>
      </c>
      <c r="U19" s="291">
        <v>44983</v>
      </c>
      <c r="V19" s="84">
        <v>0.03</v>
      </c>
    </row>
    <row r="20" spans="1:22">
      <c r="A20" s="209">
        <v>14</v>
      </c>
      <c r="B20" s="211" t="s">
        <v>365</v>
      </c>
      <c r="C20" s="211" t="s">
        <v>335</v>
      </c>
      <c r="D20" s="211" t="s">
        <v>336</v>
      </c>
      <c r="E20" s="211" t="s">
        <v>366</v>
      </c>
      <c r="F20" s="211" t="s">
        <v>338</v>
      </c>
      <c r="G20" s="211" t="s">
        <v>339</v>
      </c>
      <c r="H20" s="285">
        <f ca="1">IFERROR(VLOOKUP(B20,TỒN!A:C,3,FALSE),0)</f>
        <v>548</v>
      </c>
      <c r="I20" s="286">
        <f t="shared" si="14"/>
        <v>357900</v>
      </c>
      <c r="J20" s="287">
        <f t="shared" si="15"/>
        <v>350500</v>
      </c>
      <c r="K20" s="288">
        <v>340000</v>
      </c>
      <c r="L20" s="289"/>
      <c r="M20" s="294">
        <f t="shared" ref="M20:P20" si="30">IF(ISBLANK(I20),,ROUND(I20/1.1,-2))</f>
        <v>325400</v>
      </c>
      <c r="N20" s="287">
        <f t="shared" si="30"/>
        <v>318600</v>
      </c>
      <c r="O20" s="292">
        <f t="shared" si="30"/>
        <v>309100</v>
      </c>
      <c r="P20" s="293">
        <f t="shared" si="30"/>
        <v>0</v>
      </c>
      <c r="Q20" s="292">
        <f t="shared" ref="Q20:T20" si="31">IF(ISBLANK(I20),,ROUND(I20*(1-V20),0))</f>
        <v>347163</v>
      </c>
      <c r="R20" s="287">
        <f t="shared" si="31"/>
        <v>350500</v>
      </c>
      <c r="S20" s="292">
        <f t="shared" si="31"/>
        <v>340000</v>
      </c>
      <c r="T20" s="293">
        <f t="shared" si="31"/>
        <v>0</v>
      </c>
      <c r="U20" s="291">
        <v>44983</v>
      </c>
      <c r="V20" s="84">
        <v>0.03</v>
      </c>
    </row>
    <row r="21" spans="1:22">
      <c r="A21" s="283">
        <v>115</v>
      </c>
      <c r="B21" s="284" t="s">
        <v>367</v>
      </c>
      <c r="C21" s="284" t="s">
        <v>335</v>
      </c>
      <c r="D21" s="284" t="s">
        <v>336</v>
      </c>
      <c r="E21" s="284" t="s">
        <v>366</v>
      </c>
      <c r="F21" s="284" t="s">
        <v>368</v>
      </c>
      <c r="G21" s="284" t="s">
        <v>339</v>
      </c>
      <c r="H21" s="285">
        <f ca="1">IFERROR(VLOOKUP(B21,TỒN!A:C,3,FALSE),0)</f>
        <v>490</v>
      </c>
      <c r="I21" s="286">
        <f t="shared" si="14"/>
        <v>578900</v>
      </c>
      <c r="J21" s="287">
        <f t="shared" si="15"/>
        <v>567000</v>
      </c>
      <c r="K21" s="288">
        <v>550000</v>
      </c>
      <c r="L21" s="289"/>
      <c r="M21" s="294">
        <f t="shared" ref="M21:P21" si="32">IF(ISBLANK(I21),,ROUND(I21/1.1,-2))</f>
        <v>526300</v>
      </c>
      <c r="N21" s="287">
        <f t="shared" si="32"/>
        <v>515500</v>
      </c>
      <c r="O21" s="292">
        <f t="shared" si="32"/>
        <v>500000</v>
      </c>
      <c r="P21" s="293">
        <f t="shared" si="32"/>
        <v>0</v>
      </c>
      <c r="Q21" s="292">
        <f t="shared" ref="Q21:T21" si="33">IF(ISBLANK(I21),,ROUND(I21*(1-V21),0))</f>
        <v>567322</v>
      </c>
      <c r="R21" s="287">
        <f t="shared" si="33"/>
        <v>567000</v>
      </c>
      <c r="S21" s="292">
        <f t="shared" si="33"/>
        <v>550000</v>
      </c>
      <c r="T21" s="293">
        <f t="shared" si="33"/>
        <v>0</v>
      </c>
      <c r="U21" s="291">
        <v>44983</v>
      </c>
      <c r="V21" s="84">
        <v>0.02</v>
      </c>
    </row>
    <row r="22" spans="1:22">
      <c r="A22" s="804" t="s">
        <v>369</v>
      </c>
      <c r="B22" s="718"/>
      <c r="C22" s="718"/>
      <c r="D22" s="718"/>
      <c r="E22" s="718"/>
      <c r="F22" s="718"/>
      <c r="G22" s="718"/>
      <c r="H22" s="680"/>
      <c r="I22" s="279" t="s">
        <v>83</v>
      </c>
      <c r="J22" s="250" t="s">
        <v>332</v>
      </c>
      <c r="K22" s="250" t="s">
        <v>333</v>
      </c>
      <c r="L22" s="295"/>
      <c r="M22" s="280" t="s">
        <v>83</v>
      </c>
      <c r="N22" s="281" t="s">
        <v>332</v>
      </c>
      <c r="O22" s="281" t="s">
        <v>333</v>
      </c>
      <c r="P22" s="296"/>
      <c r="Q22" s="282" t="s">
        <v>83</v>
      </c>
      <c r="R22" s="282" t="s">
        <v>332</v>
      </c>
      <c r="S22" s="282" t="s">
        <v>333</v>
      </c>
      <c r="T22" s="297"/>
      <c r="U22" s="84"/>
      <c r="V22" s="84" t="s">
        <v>11807</v>
      </c>
    </row>
    <row r="23" spans="1:22">
      <c r="A23" s="283">
        <v>1</v>
      </c>
      <c r="B23" s="284" t="s">
        <v>370</v>
      </c>
      <c r="C23" s="284" t="s">
        <v>335</v>
      </c>
      <c r="D23" s="284" t="s">
        <v>371</v>
      </c>
      <c r="E23" s="284" t="s">
        <v>337</v>
      </c>
      <c r="F23" s="284" t="s">
        <v>341</v>
      </c>
      <c r="G23" s="284" t="s">
        <v>372</v>
      </c>
      <c r="H23" s="285">
        <f ca="1">IFERROR(VLOOKUP(B23,TỒN!A:C,2,FALSE),0)</f>
        <v>262</v>
      </c>
      <c r="I23" s="286">
        <f>ROUND(K23/0.95,-2)</f>
        <v>2255200</v>
      </c>
      <c r="J23" s="287">
        <f>ROUND(K23/0.97,-2)</f>
        <v>2208700</v>
      </c>
      <c r="K23" s="288">
        <v>2142400</v>
      </c>
      <c r="L23" s="289"/>
      <c r="M23" s="294">
        <f t="shared" ref="M23:P23" si="34">IF(ISBLANK(I23),,ROUND(I23/1.1,-2))</f>
        <v>2050200</v>
      </c>
      <c r="N23" s="287">
        <f t="shared" si="34"/>
        <v>2007900</v>
      </c>
      <c r="O23" s="292">
        <f t="shared" si="34"/>
        <v>1947600</v>
      </c>
      <c r="P23" s="293">
        <f t="shared" si="34"/>
        <v>0</v>
      </c>
      <c r="Q23" s="292">
        <f t="shared" ref="Q23:T23" si="35">IF(ISBLANK(I23),,ROUND(I23*(1-V23),0))</f>
        <v>2232648</v>
      </c>
      <c r="R23" s="287">
        <f t="shared" si="35"/>
        <v>2208700</v>
      </c>
      <c r="S23" s="292">
        <f t="shared" si="35"/>
        <v>2142400</v>
      </c>
      <c r="T23" s="293">
        <f t="shared" si="35"/>
        <v>0</v>
      </c>
      <c r="U23" s="291">
        <v>45019</v>
      </c>
      <c r="V23" s="84">
        <v>0.01</v>
      </c>
    </row>
    <row r="24" spans="1:22">
      <c r="A24" s="283">
        <v>2</v>
      </c>
      <c r="B24" s="284" t="s">
        <v>373</v>
      </c>
      <c r="C24" s="284" t="s">
        <v>335</v>
      </c>
      <c r="D24" s="284" t="s">
        <v>374</v>
      </c>
      <c r="E24" s="284" t="s">
        <v>351</v>
      </c>
      <c r="F24" s="284" t="s">
        <v>341</v>
      </c>
      <c r="G24" s="284" t="s">
        <v>372</v>
      </c>
      <c r="H24" s="285">
        <f ca="1">IFERROR(VLOOKUP(B24,TỒN!A:C,3,FALSE),0)</f>
        <v>0</v>
      </c>
      <c r="I24" s="286">
        <v>1950000</v>
      </c>
      <c r="J24" s="287"/>
      <c r="K24" s="288"/>
      <c r="L24" s="289"/>
      <c r="M24" s="294">
        <f t="shared" ref="M24:P24" si="36">IF(ISBLANK(I24),,ROUND(I24/1.1,-2))</f>
        <v>1772700</v>
      </c>
      <c r="N24" s="287">
        <f t="shared" si="36"/>
        <v>0</v>
      </c>
      <c r="O24" s="292">
        <f t="shared" si="36"/>
        <v>0</v>
      </c>
      <c r="P24" s="293">
        <f t="shared" si="36"/>
        <v>0</v>
      </c>
      <c r="Q24" s="292">
        <f t="shared" ref="Q24:T24" si="37">IF(ISBLANK(I24),,ROUND(I24*(1-V24),0))</f>
        <v>1950000</v>
      </c>
      <c r="R24" s="287">
        <f t="shared" si="37"/>
        <v>0</v>
      </c>
      <c r="S24" s="292">
        <f t="shared" si="37"/>
        <v>0</v>
      </c>
      <c r="T24" s="293">
        <f t="shared" si="37"/>
        <v>0</v>
      </c>
      <c r="U24" s="84"/>
      <c r="V24" s="84">
        <v>0</v>
      </c>
    </row>
    <row r="25" spans="1:22">
      <c r="A25" s="283">
        <v>3</v>
      </c>
      <c r="B25" s="284" t="s">
        <v>375</v>
      </c>
      <c r="C25" s="284" t="s">
        <v>335</v>
      </c>
      <c r="D25" s="284" t="s">
        <v>336</v>
      </c>
      <c r="E25" s="284" t="s">
        <v>354</v>
      </c>
      <c r="F25" s="284" t="s">
        <v>357</v>
      </c>
      <c r="G25" s="284" t="s">
        <v>372</v>
      </c>
      <c r="H25" s="285">
        <f ca="1">IFERROR(VLOOKUP(B25,TỒN!A:C,3,FALSE),0)</f>
        <v>0</v>
      </c>
      <c r="I25" s="286">
        <v>2000000</v>
      </c>
      <c r="J25" s="287"/>
      <c r="K25" s="288"/>
      <c r="L25" s="289"/>
      <c r="M25" s="294">
        <f t="shared" ref="M25:P25" si="38">IF(ISBLANK(I25),,ROUND(I25/1.1,-2))</f>
        <v>1818200</v>
      </c>
      <c r="N25" s="287">
        <f t="shared" si="38"/>
        <v>0</v>
      </c>
      <c r="O25" s="292">
        <f t="shared" si="38"/>
        <v>0</v>
      </c>
      <c r="P25" s="293">
        <f t="shared" si="38"/>
        <v>0</v>
      </c>
      <c r="Q25" s="292">
        <f t="shared" ref="Q25:T25" si="39">IF(ISBLANK(I25),,ROUND(I25*(1-V25),0))</f>
        <v>1960000</v>
      </c>
      <c r="R25" s="287">
        <f t="shared" si="39"/>
        <v>0</v>
      </c>
      <c r="S25" s="292">
        <f t="shared" si="39"/>
        <v>0</v>
      </c>
      <c r="T25" s="293">
        <f t="shared" si="39"/>
        <v>0</v>
      </c>
      <c r="U25" s="298" t="s">
        <v>376</v>
      </c>
      <c r="V25" s="84">
        <v>0.02</v>
      </c>
    </row>
    <row r="26" spans="1:22">
      <c r="A26" s="283">
        <v>4</v>
      </c>
      <c r="B26" s="284" t="s">
        <v>377</v>
      </c>
      <c r="C26" s="284" t="s">
        <v>335</v>
      </c>
      <c r="D26" s="284" t="s">
        <v>336</v>
      </c>
      <c r="E26" s="284" t="s">
        <v>337</v>
      </c>
      <c r="F26" s="284" t="s">
        <v>341</v>
      </c>
      <c r="G26" s="284" t="s">
        <v>372</v>
      </c>
      <c r="H26" s="285">
        <f ca="1">IFERROR(VLOOKUP(B26,TỒN!A:C,3,FALSE),0)</f>
        <v>511</v>
      </c>
      <c r="I26" s="286">
        <v>1900000</v>
      </c>
      <c r="J26" s="299"/>
      <c r="K26" s="288"/>
      <c r="L26" s="289"/>
      <c r="M26" s="294">
        <f t="shared" ref="M26:P26" si="40">IF(ISBLANK(I26),,ROUND(I26/1.1,-2))</f>
        <v>1727300</v>
      </c>
      <c r="N26" s="300">
        <f t="shared" si="40"/>
        <v>0</v>
      </c>
      <c r="O26" s="292">
        <f t="shared" si="40"/>
        <v>0</v>
      </c>
      <c r="P26" s="293">
        <f t="shared" si="40"/>
        <v>0</v>
      </c>
      <c r="Q26" s="292">
        <f t="shared" ref="Q26:T26" si="41">IF(ISBLANK(I26),,ROUND(I26*(1-V26),0))</f>
        <v>1862000</v>
      </c>
      <c r="R26" s="300">
        <f t="shared" si="41"/>
        <v>0</v>
      </c>
      <c r="S26" s="292">
        <f t="shared" si="41"/>
        <v>0</v>
      </c>
      <c r="T26" s="293">
        <f t="shared" si="41"/>
        <v>0</v>
      </c>
      <c r="U26" s="84"/>
      <c r="V26" s="84">
        <v>0.02</v>
      </c>
    </row>
    <row r="27" spans="1:22">
      <c r="A27" s="283">
        <v>5</v>
      </c>
      <c r="B27" s="301" t="s">
        <v>378</v>
      </c>
      <c r="C27" s="301" t="s">
        <v>335</v>
      </c>
      <c r="D27" s="301" t="s">
        <v>371</v>
      </c>
      <c r="E27" s="301" t="s">
        <v>354</v>
      </c>
      <c r="F27" s="301" t="s">
        <v>357</v>
      </c>
      <c r="G27" s="301" t="s">
        <v>372</v>
      </c>
      <c r="H27" s="285">
        <f ca="1">IFERROR(VLOOKUP(B27,TỒN!A:C,3,FALSE),0)</f>
        <v>271</v>
      </c>
      <c r="I27" s="286">
        <f>ROUND(K27/0.95,-2)</f>
        <v>1989500</v>
      </c>
      <c r="J27" s="287">
        <f>ROUND(K27/0.97,-2)</f>
        <v>1948500</v>
      </c>
      <c r="K27" s="288">
        <v>1890000</v>
      </c>
      <c r="L27" s="289"/>
      <c r="M27" s="294">
        <f t="shared" ref="M27:P27" si="42">IF(ISBLANK(I27),,ROUND(I27/1.1,-2))</f>
        <v>1808600</v>
      </c>
      <c r="N27" s="287">
        <f t="shared" si="42"/>
        <v>1771400</v>
      </c>
      <c r="O27" s="292">
        <f t="shared" si="42"/>
        <v>1718200</v>
      </c>
      <c r="P27" s="293">
        <f t="shared" si="42"/>
        <v>0</v>
      </c>
      <c r="Q27" s="292">
        <f t="shared" ref="Q27:T27" si="43">IF(ISBLANK(I27),,ROUND(I27*(1-V27),0))</f>
        <v>1969605</v>
      </c>
      <c r="R27" s="287">
        <f t="shared" si="43"/>
        <v>1948500</v>
      </c>
      <c r="S27" s="292">
        <f t="shared" si="43"/>
        <v>1890000</v>
      </c>
      <c r="T27" s="293">
        <f t="shared" si="43"/>
        <v>0</v>
      </c>
      <c r="U27" s="291">
        <v>44983</v>
      </c>
      <c r="V27" s="84">
        <v>0.01</v>
      </c>
    </row>
    <row r="28" spans="1:22">
      <c r="A28" s="283">
        <v>6</v>
      </c>
      <c r="B28" s="301" t="s">
        <v>379</v>
      </c>
      <c r="C28" s="301" t="s">
        <v>335</v>
      </c>
      <c r="D28" s="301" t="s">
        <v>371</v>
      </c>
      <c r="E28" s="301" t="s">
        <v>364</v>
      </c>
      <c r="F28" s="301" t="s">
        <v>357</v>
      </c>
      <c r="G28" s="301" t="s">
        <v>372</v>
      </c>
      <c r="H28" s="285">
        <f ca="1">IFERROR(VLOOKUP(B28,TỒN!A:C,3,FALSE),0)</f>
        <v>24</v>
      </c>
      <c r="I28" s="286">
        <f>J28+50000</f>
        <v>2100000</v>
      </c>
      <c r="J28" s="287">
        <v>2050000</v>
      </c>
      <c r="K28" s="288"/>
      <c r="L28" s="289"/>
      <c r="M28" s="294">
        <f t="shared" ref="M28:P28" si="44">IF(ISBLANK(I28),,ROUND(I28/1.1,-2))</f>
        <v>1909100</v>
      </c>
      <c r="N28" s="287">
        <f t="shared" si="44"/>
        <v>1863600</v>
      </c>
      <c r="O28" s="292">
        <f t="shared" si="44"/>
        <v>0</v>
      </c>
      <c r="P28" s="293">
        <f t="shared" si="44"/>
        <v>0</v>
      </c>
      <c r="Q28" s="292">
        <f t="shared" ref="Q28:T28" si="45">IF(ISBLANK(I28),,ROUND(I28*(1-V28),0))</f>
        <v>2079000</v>
      </c>
      <c r="R28" s="287">
        <f t="shared" si="45"/>
        <v>2050000</v>
      </c>
      <c r="S28" s="292">
        <f t="shared" si="45"/>
        <v>0</v>
      </c>
      <c r="T28" s="293">
        <f t="shared" si="45"/>
        <v>0</v>
      </c>
      <c r="U28" s="84"/>
      <c r="V28" s="84">
        <v>0.01</v>
      </c>
    </row>
    <row r="29" spans="1:22">
      <c r="A29" s="283">
        <v>7</v>
      </c>
      <c r="B29" s="301" t="s">
        <v>380</v>
      </c>
      <c r="C29" s="301" t="s">
        <v>381</v>
      </c>
      <c r="D29" s="301" t="s">
        <v>382</v>
      </c>
      <c r="E29" s="301" t="s">
        <v>359</v>
      </c>
      <c r="F29" s="302" t="s">
        <v>362</v>
      </c>
      <c r="G29" s="301" t="s">
        <v>372</v>
      </c>
      <c r="H29" s="285">
        <f ca="1">IFERROR(VLOOKUP(B29,TỒN!A:C,3,FALSE),0)</f>
        <v>0</v>
      </c>
      <c r="I29" s="286">
        <f>ROUND(K29/0.95,-2)</f>
        <v>2000000</v>
      </c>
      <c r="J29" s="287">
        <f>ROUND(K29/0.97,-2)</f>
        <v>1958800</v>
      </c>
      <c r="K29" s="288">
        <v>1900000</v>
      </c>
      <c r="L29" s="289"/>
      <c r="M29" s="294">
        <f t="shared" ref="M29:P29" si="46">IF(ISBLANK(I29),,ROUND(I29/1.1,-2))</f>
        <v>1818200</v>
      </c>
      <c r="N29" s="287">
        <f t="shared" si="46"/>
        <v>1780700</v>
      </c>
      <c r="O29" s="292">
        <f t="shared" si="46"/>
        <v>1727300</v>
      </c>
      <c r="P29" s="293">
        <f t="shared" si="46"/>
        <v>0</v>
      </c>
      <c r="Q29" s="292">
        <f t="shared" ref="Q29:T29" si="47">IF(ISBLANK(I29),,ROUND(I29*(1-V29),0))</f>
        <v>2000000</v>
      </c>
      <c r="R29" s="287">
        <f t="shared" si="47"/>
        <v>1958800</v>
      </c>
      <c r="S29" s="292">
        <f t="shared" si="47"/>
        <v>1900000</v>
      </c>
      <c r="T29" s="293">
        <f t="shared" si="47"/>
        <v>0</v>
      </c>
      <c r="U29" s="291">
        <v>44983</v>
      </c>
      <c r="V29" s="84">
        <v>0</v>
      </c>
    </row>
    <row r="30" spans="1:22">
      <c r="A30" s="804" t="s">
        <v>383</v>
      </c>
      <c r="B30" s="718"/>
      <c r="C30" s="718"/>
      <c r="D30" s="718"/>
      <c r="E30" s="718"/>
      <c r="F30" s="718"/>
      <c r="G30" s="680"/>
      <c r="H30" s="303"/>
      <c r="I30" s="279" t="s">
        <v>83</v>
      </c>
      <c r="J30" s="250" t="s">
        <v>384</v>
      </c>
      <c r="K30" s="250" t="s">
        <v>332</v>
      </c>
      <c r="L30" s="295"/>
      <c r="M30" s="280" t="s">
        <v>83</v>
      </c>
      <c r="N30" s="281" t="s">
        <v>384</v>
      </c>
      <c r="O30" s="281" t="s">
        <v>332</v>
      </c>
      <c r="P30" s="296"/>
      <c r="Q30" s="282" t="s">
        <v>83</v>
      </c>
      <c r="R30" s="282" t="s">
        <v>384</v>
      </c>
      <c r="S30" s="282" t="s">
        <v>332</v>
      </c>
      <c r="T30" s="297"/>
      <c r="U30" s="84"/>
      <c r="V30" s="84" t="s">
        <v>11807</v>
      </c>
    </row>
    <row r="31" spans="1:22">
      <c r="A31" s="102">
        <v>1</v>
      </c>
      <c r="B31" s="302" t="s">
        <v>385</v>
      </c>
      <c r="C31" s="302" t="s">
        <v>335</v>
      </c>
      <c r="D31" s="302" t="s">
        <v>386</v>
      </c>
      <c r="E31" s="302" t="s">
        <v>351</v>
      </c>
      <c r="F31" s="302" t="s">
        <v>341</v>
      </c>
      <c r="G31" s="302" t="s">
        <v>387</v>
      </c>
      <c r="H31" s="304">
        <f ca="1">IFERROR(VLOOKUP(B31,TỒN!A:C,3,FALSE),0)</f>
        <v>175</v>
      </c>
      <c r="I31" s="305">
        <f>ROUND(K31/0.95,-2)</f>
        <v>2736800</v>
      </c>
      <c r="J31" s="287">
        <f>ROUND(K31/0.97,-2)</f>
        <v>2680400</v>
      </c>
      <c r="K31" s="292">
        <v>2600000</v>
      </c>
      <c r="L31" s="289"/>
      <c r="M31" s="294">
        <f t="shared" ref="M31:P31" si="48">IF(ISBLANK(I31),,ROUND(I31/1.1,-2))</f>
        <v>2488000</v>
      </c>
      <c r="N31" s="287">
        <f t="shared" si="48"/>
        <v>2436700</v>
      </c>
      <c r="O31" s="292">
        <f t="shared" si="48"/>
        <v>2363600</v>
      </c>
      <c r="P31" s="293">
        <f t="shared" si="48"/>
        <v>0</v>
      </c>
      <c r="Q31" s="292">
        <f t="shared" ref="Q31:T31" si="49">IF(ISBLANK(I31),,ROUND(I31*(1-V31),0))</f>
        <v>2736800</v>
      </c>
      <c r="R31" s="287">
        <f t="shared" si="49"/>
        <v>2680400</v>
      </c>
      <c r="S31" s="292">
        <f t="shared" si="49"/>
        <v>2600000</v>
      </c>
      <c r="T31" s="293">
        <f t="shared" si="49"/>
        <v>0</v>
      </c>
      <c r="U31" s="291">
        <v>45020</v>
      </c>
      <c r="V31" s="84">
        <v>0</v>
      </c>
    </row>
    <row r="32" spans="1:22">
      <c r="A32" s="102">
        <v>2</v>
      </c>
      <c r="B32" s="302" t="s">
        <v>388</v>
      </c>
      <c r="C32" s="302" t="s">
        <v>335</v>
      </c>
      <c r="D32" s="302" t="s">
        <v>386</v>
      </c>
      <c r="E32" s="302" t="s">
        <v>354</v>
      </c>
      <c r="F32" s="302" t="s">
        <v>357</v>
      </c>
      <c r="G32" s="302" t="s">
        <v>387</v>
      </c>
      <c r="H32" s="304">
        <f ca="1">IFERROR(VLOOKUP(B32,TỒN!A:C,3,FALSE),0)</f>
        <v>2</v>
      </c>
      <c r="I32" s="306">
        <v>3300000</v>
      </c>
      <c r="J32" s="287"/>
      <c r="K32" s="292"/>
      <c r="L32" s="289"/>
      <c r="M32" s="294">
        <f t="shared" ref="M32:P32" si="50">IF(ISBLANK(I32),,ROUND(I32/1.1,-2))</f>
        <v>3000000</v>
      </c>
      <c r="N32" s="287">
        <f t="shared" si="50"/>
        <v>0</v>
      </c>
      <c r="O32" s="292">
        <f t="shared" si="50"/>
        <v>0</v>
      </c>
      <c r="P32" s="293">
        <f t="shared" si="50"/>
        <v>0</v>
      </c>
      <c r="Q32" s="292">
        <f t="shared" ref="Q32:T32" si="51">IF(ISBLANK(I32),,ROUND(I32*(1-V32),0))</f>
        <v>3300000</v>
      </c>
      <c r="R32" s="287">
        <f t="shared" si="51"/>
        <v>0</v>
      </c>
      <c r="S32" s="292">
        <f t="shared" si="51"/>
        <v>0</v>
      </c>
      <c r="T32" s="293">
        <f t="shared" si="51"/>
        <v>0</v>
      </c>
      <c r="U32" s="239"/>
      <c r="V32" s="84">
        <v>0</v>
      </c>
    </row>
    <row r="33" spans="1:22">
      <c r="A33" s="307">
        <v>3</v>
      </c>
      <c r="B33" s="308" t="s">
        <v>389</v>
      </c>
      <c r="C33" s="308" t="s">
        <v>335</v>
      </c>
      <c r="D33" s="308" t="s">
        <v>386</v>
      </c>
      <c r="E33" s="308" t="s">
        <v>354</v>
      </c>
      <c r="F33" s="308" t="s">
        <v>357</v>
      </c>
      <c r="G33" s="308" t="s">
        <v>390</v>
      </c>
      <c r="H33" s="309">
        <f ca="1">IFERROR(VLOOKUP(B33,TỒN!A:C,3,FALSE),0)</f>
        <v>780</v>
      </c>
      <c r="I33" s="306">
        <v>2480000</v>
      </c>
      <c r="J33" s="287">
        <v>2450000</v>
      </c>
      <c r="K33" s="292"/>
      <c r="L33" s="289"/>
      <c r="M33" s="294">
        <f t="shared" ref="M33:P33" si="52">IF(ISBLANK(I33),,ROUND(I33/1.1,-2))</f>
        <v>2254500</v>
      </c>
      <c r="N33" s="287">
        <f t="shared" si="52"/>
        <v>2227300</v>
      </c>
      <c r="O33" s="292">
        <f t="shared" si="52"/>
        <v>0</v>
      </c>
      <c r="P33" s="293">
        <f t="shared" si="52"/>
        <v>0</v>
      </c>
      <c r="Q33" s="292">
        <f t="shared" ref="Q33:T33" si="53">IF(ISBLANK(I33),,ROUND(I33*(1-V33),0))</f>
        <v>2480000</v>
      </c>
      <c r="R33" s="287">
        <f t="shared" si="53"/>
        <v>2450000</v>
      </c>
      <c r="S33" s="292">
        <f t="shared" si="53"/>
        <v>0</v>
      </c>
      <c r="T33" s="293">
        <f t="shared" si="53"/>
        <v>0</v>
      </c>
      <c r="U33" s="310"/>
      <c r="V33" s="84">
        <v>0</v>
      </c>
    </row>
    <row r="34" spans="1:22">
      <c r="A34" s="307">
        <v>4</v>
      </c>
      <c r="B34" s="308" t="s">
        <v>391</v>
      </c>
      <c r="C34" s="308" t="s">
        <v>335</v>
      </c>
      <c r="D34" s="308" t="s">
        <v>386</v>
      </c>
      <c r="E34" s="308" t="s">
        <v>359</v>
      </c>
      <c r="F34" s="308" t="s">
        <v>392</v>
      </c>
      <c r="G34" s="308" t="s">
        <v>390</v>
      </c>
      <c r="H34" s="309">
        <f ca="1">IFERROR(VLOOKUP(B34,TỒN!A:C,3,FALSE),0)</f>
        <v>23</v>
      </c>
      <c r="I34" s="306">
        <v>2800000</v>
      </c>
      <c r="J34" s="287"/>
      <c r="K34" s="311"/>
      <c r="L34" s="289"/>
      <c r="M34" s="294">
        <f t="shared" ref="M34:P34" si="54">IF(ISBLANK(I34),,ROUND(I34/1.1,-2))</f>
        <v>2545500</v>
      </c>
      <c r="N34" s="287">
        <f t="shared" si="54"/>
        <v>0</v>
      </c>
      <c r="O34" s="292">
        <f t="shared" si="54"/>
        <v>0</v>
      </c>
      <c r="P34" s="293">
        <f t="shared" si="54"/>
        <v>0</v>
      </c>
      <c r="Q34" s="292">
        <f t="shared" ref="Q34:T34" si="55">IF(ISBLANK(I34),,ROUND(I34*(1-V34),0))</f>
        <v>2800000</v>
      </c>
      <c r="R34" s="287">
        <f t="shared" si="55"/>
        <v>0</v>
      </c>
      <c r="S34" s="292">
        <f t="shared" si="55"/>
        <v>0</v>
      </c>
      <c r="T34" s="293">
        <f t="shared" si="55"/>
        <v>0</v>
      </c>
      <c r="U34" s="239"/>
      <c r="V34" s="84">
        <v>0</v>
      </c>
    </row>
    <row r="35" spans="1:22">
      <c r="A35" s="102">
        <v>5</v>
      </c>
      <c r="B35" s="302" t="s">
        <v>393</v>
      </c>
      <c r="C35" s="302" t="s">
        <v>335</v>
      </c>
      <c r="D35" s="302" t="s">
        <v>386</v>
      </c>
      <c r="E35" s="302" t="s">
        <v>364</v>
      </c>
      <c r="F35" s="302" t="s">
        <v>357</v>
      </c>
      <c r="G35" s="302" t="s">
        <v>387</v>
      </c>
      <c r="H35" s="304">
        <f ca="1">IFERROR(VLOOKUP(B35,TỒN!A:C,3,FALSE),0)</f>
        <v>0</v>
      </c>
      <c r="I35" s="306">
        <v>2800000</v>
      </c>
      <c r="J35" s="287"/>
      <c r="K35" s="292"/>
      <c r="L35" s="289"/>
      <c r="M35" s="294">
        <f t="shared" ref="M35:P35" si="56">IF(ISBLANK(I35),,ROUND(I35/1.1,-2))</f>
        <v>2545500</v>
      </c>
      <c r="N35" s="287">
        <f t="shared" si="56"/>
        <v>0</v>
      </c>
      <c r="O35" s="292">
        <f t="shared" si="56"/>
        <v>0</v>
      </c>
      <c r="P35" s="293">
        <f t="shared" si="56"/>
        <v>0</v>
      </c>
      <c r="Q35" s="292">
        <f t="shared" ref="Q35:T35" si="57">IF(ISBLANK(I35),,ROUND(I35*(1-V35),0))</f>
        <v>2800000</v>
      </c>
      <c r="R35" s="287">
        <f t="shared" si="57"/>
        <v>0</v>
      </c>
      <c r="S35" s="292">
        <f t="shared" si="57"/>
        <v>0</v>
      </c>
      <c r="T35" s="293">
        <f t="shared" si="57"/>
        <v>0</v>
      </c>
      <c r="U35" s="239"/>
      <c r="V35" s="84">
        <v>0</v>
      </c>
    </row>
    <row r="36" spans="1:22">
      <c r="A36" s="804" t="s">
        <v>394</v>
      </c>
      <c r="B36" s="718"/>
      <c r="C36" s="718"/>
      <c r="D36" s="718"/>
      <c r="E36" s="718"/>
      <c r="F36" s="718"/>
      <c r="G36" s="680"/>
      <c r="H36" s="303"/>
      <c r="I36" s="279" t="s">
        <v>83</v>
      </c>
      <c r="J36" s="250"/>
      <c r="K36" s="250"/>
      <c r="L36" s="252"/>
      <c r="M36" s="280" t="s">
        <v>83</v>
      </c>
      <c r="N36" s="281"/>
      <c r="O36" s="281"/>
      <c r="P36" s="312"/>
      <c r="Q36" s="282" t="s">
        <v>83</v>
      </c>
      <c r="R36" s="282"/>
      <c r="S36" s="282"/>
      <c r="T36" s="313"/>
      <c r="U36" s="239"/>
      <c r="V36" s="84" t="s">
        <v>11807</v>
      </c>
    </row>
    <row r="37" spans="1:22">
      <c r="A37" s="283" t="s">
        <v>122</v>
      </c>
      <c r="B37" s="284" t="s">
        <v>395</v>
      </c>
      <c r="C37" s="284" t="s">
        <v>335</v>
      </c>
      <c r="D37" s="284" t="s">
        <v>336</v>
      </c>
      <c r="E37" s="284" t="s">
        <v>351</v>
      </c>
      <c r="F37" s="284" t="s">
        <v>341</v>
      </c>
      <c r="G37" s="284" t="s">
        <v>396</v>
      </c>
      <c r="H37" s="285">
        <f ca="1">IFERROR(VLOOKUP(B37,TỒN!A:C,3,FALSE),0)</f>
        <v>2</v>
      </c>
      <c r="I37" s="286">
        <v>1908000</v>
      </c>
      <c r="J37" s="287"/>
      <c r="K37" s="288"/>
      <c r="L37" s="289"/>
      <c r="M37" s="294">
        <f t="shared" ref="M37:P37" si="58">IF(ISBLANK(I37),,ROUND(I37/1.1,-2))</f>
        <v>1734500</v>
      </c>
      <c r="N37" s="287">
        <f t="shared" si="58"/>
        <v>0</v>
      </c>
      <c r="O37" s="292">
        <f t="shared" si="58"/>
        <v>0</v>
      </c>
      <c r="P37" s="293">
        <f t="shared" si="58"/>
        <v>0</v>
      </c>
      <c r="Q37" s="292">
        <f t="shared" ref="Q37:T37" si="59">IF(ISBLANK(I37),,ROUND(I37*(1-V37),0))</f>
        <v>1869840</v>
      </c>
      <c r="R37" s="287">
        <f t="shared" si="59"/>
        <v>0</v>
      </c>
      <c r="S37" s="292">
        <f t="shared" si="59"/>
        <v>0</v>
      </c>
      <c r="T37" s="293">
        <f t="shared" si="59"/>
        <v>0</v>
      </c>
      <c r="U37" s="84"/>
      <c r="V37" s="84">
        <v>0.02</v>
      </c>
    </row>
    <row r="38" spans="1:22">
      <c r="A38" s="283" t="s">
        <v>122</v>
      </c>
      <c r="B38" s="284" t="s">
        <v>397</v>
      </c>
      <c r="C38" s="284" t="s">
        <v>335</v>
      </c>
      <c r="D38" s="284" t="s">
        <v>398</v>
      </c>
      <c r="E38" s="284" t="s">
        <v>354</v>
      </c>
      <c r="F38" s="284" t="s">
        <v>357</v>
      </c>
      <c r="G38" s="284" t="s">
        <v>339</v>
      </c>
      <c r="H38" s="285">
        <f ca="1">IFERROR(VLOOKUP(B38,TỒN!A:C,3,FALSE),0)</f>
        <v>0</v>
      </c>
      <c r="I38" s="286">
        <v>1800000</v>
      </c>
      <c r="J38" s="287"/>
      <c r="K38" s="288"/>
      <c r="L38" s="289"/>
      <c r="M38" s="294">
        <f t="shared" ref="M38:P38" si="60">IF(ISBLANK(I38),,ROUND(I38/1.1,-2))</f>
        <v>1636400</v>
      </c>
      <c r="N38" s="287">
        <f t="shared" si="60"/>
        <v>0</v>
      </c>
      <c r="O38" s="292">
        <f t="shared" si="60"/>
        <v>0</v>
      </c>
      <c r="P38" s="293">
        <f t="shared" si="60"/>
        <v>0</v>
      </c>
      <c r="Q38" s="292" t="e">
        <f t="shared" ref="Q38:T38" si="61">IF(ISBLANK(I38),,ROUND(I38*(1-V38),0))</f>
        <v>#VALUE!</v>
      </c>
      <c r="R38" s="287">
        <f t="shared" si="61"/>
        <v>0</v>
      </c>
      <c r="S38" s="292">
        <f t="shared" si="61"/>
        <v>0</v>
      </c>
      <c r="T38" s="293">
        <f t="shared" si="61"/>
        <v>0</v>
      </c>
      <c r="U38" s="84"/>
      <c r="V38" s="84" t="s">
        <v>11807</v>
      </c>
    </row>
    <row r="39" spans="1:22">
      <c r="A39" s="283" t="s">
        <v>122</v>
      </c>
      <c r="B39" s="284" t="s">
        <v>399</v>
      </c>
      <c r="C39" s="284" t="s">
        <v>335</v>
      </c>
      <c r="D39" s="284" t="s">
        <v>400</v>
      </c>
      <c r="E39" s="284" t="s">
        <v>354</v>
      </c>
      <c r="F39" s="284" t="s">
        <v>357</v>
      </c>
      <c r="G39" s="284" t="s">
        <v>387</v>
      </c>
      <c r="H39" s="285">
        <v>1</v>
      </c>
      <c r="I39" s="286">
        <v>1800000</v>
      </c>
      <c r="J39" s="287"/>
      <c r="K39" s="288"/>
      <c r="L39" s="289"/>
      <c r="M39" s="294">
        <f t="shared" ref="M39:P39" si="62">IF(ISBLANK(I39),,ROUND(I39/1.1,-2))</f>
        <v>1636400</v>
      </c>
      <c r="N39" s="287">
        <f t="shared" si="62"/>
        <v>0</v>
      </c>
      <c r="O39" s="292">
        <f t="shared" si="62"/>
        <v>0</v>
      </c>
      <c r="P39" s="293">
        <f t="shared" si="62"/>
        <v>0</v>
      </c>
      <c r="Q39" s="288" t="e">
        <f t="shared" ref="Q39:T39" si="63">IF(ISBLANK(I39),,ROUND(I39*(1-V39),0))</f>
        <v>#VALUE!</v>
      </c>
      <c r="R39" s="287">
        <f t="shared" si="63"/>
        <v>0</v>
      </c>
      <c r="S39" s="288">
        <f t="shared" si="63"/>
        <v>0</v>
      </c>
      <c r="T39" s="289">
        <f t="shared" si="63"/>
        <v>0</v>
      </c>
      <c r="U39" s="84"/>
      <c r="V39" s="84" t="s">
        <v>11807</v>
      </c>
    </row>
    <row r="40" spans="1:22">
      <c r="A40" s="314"/>
      <c r="B40" s="315"/>
      <c r="C40" s="315"/>
      <c r="D40" s="315"/>
      <c r="E40" s="315"/>
      <c r="F40" s="315"/>
      <c r="G40" s="315"/>
      <c r="H40" s="316"/>
      <c r="I40" s="317" t="s">
        <v>401</v>
      </c>
      <c r="J40" s="318">
        <f>SUM(J37:J39)</f>
        <v>0</v>
      </c>
      <c r="K40" s="315"/>
      <c r="L40" s="319"/>
      <c r="M40" s="320"/>
      <c r="N40" s="321"/>
      <c r="O40" s="322"/>
      <c r="P40" s="323"/>
      <c r="Q40" s="324"/>
      <c r="R40" s="325"/>
      <c r="S40" s="326"/>
      <c r="T40" s="327"/>
      <c r="U40" s="239"/>
      <c r="V40" s="84" t="s">
        <v>11807</v>
      </c>
    </row>
    <row r="41" spans="1:22">
      <c r="A41" s="805" t="s">
        <v>402</v>
      </c>
      <c r="B41" s="672"/>
      <c r="C41" s="89"/>
      <c r="D41" s="89"/>
      <c r="E41" s="89"/>
      <c r="F41" s="89"/>
      <c r="G41" s="89"/>
      <c r="H41" s="89"/>
      <c r="I41" s="89"/>
      <c r="J41" s="89"/>
      <c r="K41" s="89"/>
      <c r="L41" s="275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1:22">
      <c r="A42" s="89"/>
      <c r="B42" s="89"/>
      <c r="C42" s="89"/>
      <c r="D42" s="806"/>
      <c r="E42" s="672"/>
      <c r="F42" s="89"/>
      <c r="G42" s="89"/>
      <c r="H42" s="89"/>
      <c r="I42" s="89"/>
      <c r="J42" s="89"/>
      <c r="K42" s="89"/>
      <c r="L42" s="275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1:22">
      <c r="A43" s="89"/>
      <c r="B43" s="89"/>
      <c r="C43" s="89"/>
      <c r="D43" s="89" t="s">
        <v>403</v>
      </c>
      <c r="E43" s="89"/>
      <c r="F43" s="89"/>
      <c r="G43" s="89"/>
      <c r="H43" s="89"/>
      <c r="I43" s="89"/>
      <c r="J43" s="89"/>
      <c r="K43" s="89"/>
      <c r="L43" s="275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1:22">
      <c r="A44" s="89"/>
      <c r="B44" s="89"/>
      <c r="C44" s="89"/>
      <c r="D44" s="89" t="s">
        <v>404</v>
      </c>
      <c r="E44" s="89"/>
      <c r="F44" s="89"/>
      <c r="G44" s="89"/>
      <c r="H44" s="89"/>
      <c r="I44" s="89"/>
      <c r="J44" s="89"/>
      <c r="K44" s="89"/>
      <c r="L44" s="275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1:22">
      <c r="A45" s="275"/>
      <c r="B45" s="275"/>
      <c r="C45" s="275"/>
      <c r="D45" s="275"/>
      <c r="E45" s="275"/>
      <c r="F45" s="275"/>
      <c r="G45" s="275"/>
      <c r="H45" s="275"/>
      <c r="I45" s="275"/>
      <c r="J45" s="275"/>
      <c r="K45" s="275"/>
      <c r="L45" s="275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1:22">
      <c r="A46" s="275"/>
      <c r="B46" s="275"/>
      <c r="C46" s="275"/>
      <c r="D46" s="275"/>
      <c r="E46" s="275"/>
      <c r="F46" s="275"/>
      <c r="G46" s="275"/>
      <c r="H46" s="275"/>
      <c r="I46" s="275"/>
      <c r="J46" s="275"/>
      <c r="K46" s="275"/>
      <c r="L46" s="275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1:22">
      <c r="A47" s="275"/>
      <c r="B47" s="275"/>
      <c r="C47" s="275"/>
      <c r="D47" s="275"/>
      <c r="E47" s="275"/>
      <c r="F47" s="275"/>
      <c r="G47" s="275"/>
      <c r="H47" s="275"/>
      <c r="I47" s="275"/>
      <c r="J47" s="275"/>
      <c r="K47" s="275"/>
      <c r="L47" s="275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1:22">
      <c r="A48" s="242"/>
      <c r="B48" s="242"/>
      <c r="C48" s="242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</row>
    <row r="49" spans="1:22">
      <c r="A49" s="275"/>
      <c r="B49" s="275"/>
      <c r="C49" s="275"/>
      <c r="D49" s="275"/>
      <c r="E49" s="275"/>
      <c r="F49" s="275"/>
      <c r="G49" s="275"/>
      <c r="H49" s="275"/>
      <c r="I49" s="275"/>
      <c r="J49" s="275"/>
      <c r="K49" s="275"/>
      <c r="L49" s="275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1:22">
      <c r="A50" s="275"/>
      <c r="B50" s="275"/>
      <c r="C50" s="275"/>
      <c r="D50" s="275"/>
      <c r="E50" s="275"/>
      <c r="F50" s="275"/>
      <c r="G50" s="275"/>
      <c r="H50" s="275"/>
      <c r="I50" s="275"/>
      <c r="J50" s="275"/>
      <c r="K50" s="275"/>
      <c r="L50" s="275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1:22">
      <c r="A51" s="275"/>
      <c r="B51" s="275"/>
      <c r="C51" s="275"/>
      <c r="D51" s="275"/>
      <c r="E51" s="275"/>
      <c r="F51" s="275"/>
      <c r="G51" s="275"/>
      <c r="H51" s="275"/>
      <c r="I51" s="275"/>
      <c r="J51" s="275"/>
      <c r="K51" s="275"/>
      <c r="L51" s="275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1:22">
      <c r="A52" s="275"/>
      <c r="B52" s="275"/>
      <c r="C52" s="275"/>
      <c r="D52" s="275"/>
      <c r="E52" s="275"/>
      <c r="F52" s="275"/>
      <c r="G52" s="275"/>
      <c r="H52" s="275"/>
      <c r="I52" s="275"/>
      <c r="J52" s="275"/>
      <c r="K52" s="275"/>
      <c r="L52" s="275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1:22">
      <c r="A53" s="275"/>
      <c r="B53" s="275"/>
      <c r="C53" s="275"/>
      <c r="D53" s="275"/>
      <c r="E53" s="275"/>
      <c r="F53" s="275"/>
      <c r="G53" s="275"/>
      <c r="H53" s="275"/>
      <c r="I53" s="275"/>
      <c r="J53" s="275"/>
      <c r="K53" s="275"/>
      <c r="L53" s="275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1:22">
      <c r="A54" s="275"/>
      <c r="B54" s="275"/>
      <c r="C54" s="275"/>
      <c r="D54" s="275"/>
      <c r="E54" s="275"/>
      <c r="F54" s="275"/>
      <c r="G54" s="275"/>
      <c r="H54" s="275"/>
      <c r="I54" s="275"/>
      <c r="J54" s="275"/>
      <c r="K54" s="275"/>
      <c r="L54" s="275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1:22">
      <c r="A55" s="275"/>
      <c r="B55" s="275"/>
      <c r="C55" s="275"/>
      <c r="D55" s="275"/>
      <c r="E55" s="275"/>
      <c r="F55" s="275"/>
      <c r="G55" s="275"/>
      <c r="H55" s="275"/>
      <c r="I55" s="275"/>
      <c r="J55" s="275"/>
      <c r="K55" s="275"/>
      <c r="L55" s="275"/>
      <c r="M55" s="84"/>
      <c r="N55" s="84"/>
      <c r="O55" s="84"/>
      <c r="P55" s="84"/>
      <c r="Q55" s="84"/>
      <c r="R55" s="84" t="s">
        <v>334</v>
      </c>
      <c r="S55" s="84">
        <v>480000</v>
      </c>
      <c r="T55" s="84"/>
      <c r="U55" s="84"/>
      <c r="V55" s="84"/>
    </row>
    <row r="56" spans="1:22">
      <c r="A56" s="275"/>
      <c r="B56" s="275"/>
      <c r="C56" s="275"/>
      <c r="D56" s="275"/>
      <c r="E56" s="275"/>
      <c r="F56" s="275"/>
      <c r="G56" s="275"/>
      <c r="H56" s="275"/>
      <c r="I56" s="275"/>
      <c r="J56" s="275"/>
      <c r="K56" s="275"/>
      <c r="L56" s="275"/>
      <c r="M56" s="84"/>
      <c r="N56" s="84"/>
      <c r="O56" s="84"/>
      <c r="P56" s="84"/>
      <c r="Q56" s="84"/>
      <c r="R56" s="84" t="s">
        <v>342</v>
      </c>
      <c r="S56" s="84">
        <v>340000</v>
      </c>
      <c r="T56" s="84"/>
      <c r="U56" s="84"/>
      <c r="V56" s="84"/>
    </row>
    <row r="57" spans="1:22">
      <c r="A57" s="275"/>
      <c r="B57" s="275"/>
      <c r="C57" s="275"/>
      <c r="D57" s="275"/>
      <c r="E57" s="275"/>
      <c r="F57" s="275"/>
      <c r="G57" s="275"/>
      <c r="H57" s="275"/>
      <c r="I57" s="275"/>
      <c r="J57" s="275"/>
      <c r="K57" s="275"/>
      <c r="L57" s="275"/>
      <c r="M57" s="84"/>
      <c r="N57" s="84"/>
      <c r="O57" s="84"/>
      <c r="P57" s="84"/>
      <c r="Q57" s="84"/>
      <c r="R57" s="84" t="s">
        <v>346</v>
      </c>
      <c r="S57" s="84">
        <v>830000</v>
      </c>
      <c r="T57" s="84"/>
      <c r="U57" s="84"/>
      <c r="V57" s="84"/>
    </row>
    <row r="58" spans="1:22">
      <c r="A58" s="275"/>
      <c r="B58" s="275"/>
      <c r="C58" s="275"/>
      <c r="D58" s="275"/>
      <c r="E58" s="275"/>
      <c r="F58" s="275"/>
      <c r="G58" s="275"/>
      <c r="H58" s="275"/>
      <c r="I58" s="275"/>
      <c r="J58" s="275"/>
      <c r="K58" s="275"/>
      <c r="L58" s="275"/>
      <c r="M58" s="84"/>
      <c r="N58" s="84"/>
      <c r="O58" s="84"/>
      <c r="P58" s="84"/>
      <c r="Q58" s="84"/>
      <c r="R58" s="84" t="s">
        <v>350</v>
      </c>
      <c r="S58" s="84">
        <v>400000</v>
      </c>
      <c r="T58" s="84"/>
      <c r="U58" s="84"/>
      <c r="V58" s="84"/>
    </row>
    <row r="59" spans="1:22">
      <c r="A59" s="275"/>
      <c r="B59" s="275"/>
      <c r="C59" s="275"/>
      <c r="D59" s="275"/>
      <c r="E59" s="275"/>
      <c r="F59" s="275"/>
      <c r="G59" s="275"/>
      <c r="H59" s="275"/>
      <c r="I59" s="275"/>
      <c r="J59" s="275"/>
      <c r="K59" s="275"/>
      <c r="L59" s="275"/>
      <c r="M59" s="84"/>
      <c r="N59" s="84"/>
      <c r="O59" s="84"/>
      <c r="P59" s="84"/>
      <c r="Q59" s="84"/>
      <c r="R59" s="84" t="s">
        <v>352</v>
      </c>
      <c r="S59" s="84">
        <v>1460000</v>
      </c>
      <c r="T59" s="84"/>
      <c r="U59" s="84"/>
      <c r="V59" s="84"/>
    </row>
    <row r="60" spans="1:22">
      <c r="A60" s="797" t="s">
        <v>405</v>
      </c>
      <c r="B60" s="672"/>
      <c r="C60" s="672"/>
      <c r="D60" s="672"/>
      <c r="E60" s="672"/>
      <c r="F60" s="672"/>
      <c r="G60" s="672"/>
      <c r="H60" s="672"/>
      <c r="I60" s="672"/>
      <c r="J60" s="672"/>
      <c r="K60" s="672"/>
      <c r="L60" s="275"/>
      <c r="M60" s="84"/>
      <c r="N60" s="84"/>
      <c r="O60" s="84"/>
      <c r="P60" s="84"/>
      <c r="Q60" s="84"/>
      <c r="R60" s="84" t="s">
        <v>353</v>
      </c>
      <c r="S60" s="84">
        <v>400000</v>
      </c>
      <c r="T60" s="84"/>
      <c r="U60" s="84"/>
      <c r="V60" s="84"/>
    </row>
    <row r="61" spans="1:22">
      <c r="A61" s="328"/>
      <c r="B61" s="809" t="s">
        <v>329</v>
      </c>
      <c r="C61" s="810"/>
      <c r="D61" s="810"/>
      <c r="E61" s="810"/>
      <c r="F61" s="810"/>
      <c r="G61" s="811"/>
      <c r="H61" s="329" t="s">
        <v>406</v>
      </c>
      <c r="I61" s="329" t="s">
        <v>83</v>
      </c>
      <c r="J61" s="329" t="s">
        <v>407</v>
      </c>
      <c r="K61" s="329" t="s">
        <v>408</v>
      </c>
      <c r="L61" s="807" t="s">
        <v>409</v>
      </c>
      <c r="M61" s="278"/>
      <c r="N61" s="278"/>
      <c r="O61" s="278"/>
      <c r="P61" s="278"/>
      <c r="Q61" s="278"/>
      <c r="R61" s="278" t="s">
        <v>356</v>
      </c>
      <c r="S61" s="278">
        <v>1330000</v>
      </c>
      <c r="T61" s="278"/>
      <c r="U61" s="278"/>
      <c r="V61" s="278"/>
    </row>
    <row r="62" spans="1:22">
      <c r="A62" s="812" t="s">
        <v>331</v>
      </c>
      <c r="B62" s="813"/>
      <c r="C62" s="813"/>
      <c r="D62" s="813"/>
      <c r="E62" s="813"/>
      <c r="F62" s="813"/>
      <c r="G62" s="813"/>
      <c r="H62" s="813"/>
      <c r="I62" s="813"/>
      <c r="J62" s="814"/>
      <c r="K62" s="330"/>
      <c r="L62" s="808"/>
      <c r="M62" s="84"/>
      <c r="N62" s="84"/>
      <c r="O62" s="84"/>
      <c r="P62" s="84"/>
      <c r="Q62" s="84"/>
      <c r="R62" s="84" t="s">
        <v>365</v>
      </c>
      <c r="S62" s="84">
        <v>340000</v>
      </c>
      <c r="T62" s="84"/>
      <c r="U62" s="84"/>
      <c r="V62" s="84"/>
    </row>
    <row r="63" spans="1:22">
      <c r="A63" s="331">
        <v>1</v>
      </c>
      <c r="B63" s="332" t="s">
        <v>342</v>
      </c>
      <c r="C63" s="332" t="s">
        <v>335</v>
      </c>
      <c r="D63" s="332" t="s">
        <v>336</v>
      </c>
      <c r="E63" s="332" t="s">
        <v>343</v>
      </c>
      <c r="F63" s="332" t="s">
        <v>338</v>
      </c>
      <c r="G63" s="332" t="s">
        <v>339</v>
      </c>
      <c r="H63" s="333">
        <f ca="1">IFERROR(VLOOKUP(B63,TỒN!A:C,3,FALSE),0)</f>
        <v>1613</v>
      </c>
      <c r="I63" s="334">
        <v>460000</v>
      </c>
      <c r="J63" s="334">
        <v>400000</v>
      </c>
      <c r="K63" s="334">
        <v>388000</v>
      </c>
      <c r="L63" s="335">
        <f t="shared" ref="L63:L72" si="64">ROUND(I63/1.1,-3)</f>
        <v>418000</v>
      </c>
      <c r="M63" s="336"/>
      <c r="N63" s="336"/>
      <c r="O63" s="336"/>
      <c r="P63" s="336"/>
      <c r="Q63" s="336"/>
      <c r="R63" s="336" t="s">
        <v>367</v>
      </c>
      <c r="S63" s="336">
        <v>550000</v>
      </c>
      <c r="T63" s="336"/>
      <c r="U63" s="336"/>
      <c r="V63" s="336"/>
    </row>
    <row r="64" spans="1:22">
      <c r="A64" s="331">
        <v>2</v>
      </c>
      <c r="B64" s="332" t="s">
        <v>344</v>
      </c>
      <c r="C64" s="332" t="s">
        <v>335</v>
      </c>
      <c r="D64" s="332" t="s">
        <v>336</v>
      </c>
      <c r="E64" s="332" t="s">
        <v>343</v>
      </c>
      <c r="F64" s="332" t="s">
        <v>345</v>
      </c>
      <c r="G64" s="332" t="s">
        <v>339</v>
      </c>
      <c r="H64" s="333">
        <f ca="1">IFERROR(VLOOKUP(B64,TỒN!A:C,3,FALSE),0)</f>
        <v>313</v>
      </c>
      <c r="I64" s="334">
        <v>885500</v>
      </c>
      <c r="J64" s="334">
        <v>770000</v>
      </c>
      <c r="K64" s="334">
        <v>730000</v>
      </c>
      <c r="L64" s="335">
        <f t="shared" si="64"/>
        <v>805000</v>
      </c>
      <c r="M64" s="336"/>
      <c r="N64" s="336"/>
      <c r="O64" s="336"/>
      <c r="P64" s="336"/>
      <c r="Q64" s="336"/>
      <c r="R64" s="336" t="s">
        <v>370</v>
      </c>
      <c r="S64" s="336">
        <v>2060000</v>
      </c>
      <c r="T64" s="336"/>
      <c r="U64" s="336"/>
      <c r="V64" s="336"/>
    </row>
    <row r="65" spans="1:22">
      <c r="A65" s="331">
        <v>3</v>
      </c>
      <c r="B65" s="332" t="s">
        <v>348</v>
      </c>
      <c r="C65" s="332" t="s">
        <v>335</v>
      </c>
      <c r="D65" s="332" t="s">
        <v>336</v>
      </c>
      <c r="E65" s="332" t="s">
        <v>343</v>
      </c>
      <c r="F65" s="332" t="s">
        <v>349</v>
      </c>
      <c r="G65" s="332" t="s">
        <v>339</v>
      </c>
      <c r="H65" s="333">
        <f ca="1">IFERROR(VLOOKUP(B65,TỒN!A:C,3,FALSE),0)</f>
        <v>2</v>
      </c>
      <c r="I65" s="334">
        <v>1207500</v>
      </c>
      <c r="J65" s="334">
        <v>1050000</v>
      </c>
      <c r="K65" s="334">
        <v>1020000</v>
      </c>
      <c r="L65" s="335">
        <f t="shared" si="64"/>
        <v>1098000</v>
      </c>
      <c r="M65" s="336"/>
      <c r="N65" s="336"/>
      <c r="O65" s="336"/>
      <c r="P65" s="336"/>
      <c r="Q65" s="336"/>
      <c r="R65" s="336" t="s">
        <v>378</v>
      </c>
      <c r="S65" s="336">
        <v>1890000</v>
      </c>
      <c r="T65" s="336"/>
      <c r="U65" s="336"/>
      <c r="V65" s="336"/>
    </row>
    <row r="66" spans="1:22">
      <c r="A66" s="331">
        <v>4</v>
      </c>
      <c r="B66" s="332" t="s">
        <v>350</v>
      </c>
      <c r="C66" s="332" t="s">
        <v>335</v>
      </c>
      <c r="D66" s="332" t="s">
        <v>336</v>
      </c>
      <c r="E66" s="332" t="s">
        <v>351</v>
      </c>
      <c r="F66" s="332" t="s">
        <v>338</v>
      </c>
      <c r="G66" s="332" t="s">
        <v>339</v>
      </c>
      <c r="H66" s="333">
        <f ca="1">IFERROR(VLOOKUP(B66,TỒN!A:C,3,FALSE),0)</f>
        <v>3187</v>
      </c>
      <c r="I66" s="334">
        <v>609500</v>
      </c>
      <c r="J66" s="334">
        <v>530000</v>
      </c>
      <c r="K66" s="334">
        <v>510000</v>
      </c>
      <c r="L66" s="335">
        <f t="shared" si="64"/>
        <v>554000</v>
      </c>
      <c r="M66" s="336"/>
      <c r="N66" s="336"/>
      <c r="O66" s="336"/>
      <c r="P66" s="336"/>
      <c r="Q66" s="336"/>
      <c r="R66" s="336"/>
      <c r="S66" s="336"/>
      <c r="T66" s="336"/>
      <c r="U66" s="336"/>
      <c r="V66" s="336"/>
    </row>
    <row r="67" spans="1:22">
      <c r="A67" s="331">
        <v>5</v>
      </c>
      <c r="B67" s="332" t="s">
        <v>352</v>
      </c>
      <c r="C67" s="332" t="s">
        <v>335</v>
      </c>
      <c r="D67" s="332" t="s">
        <v>336</v>
      </c>
      <c r="E67" s="332" t="s">
        <v>351</v>
      </c>
      <c r="F67" s="332" t="s">
        <v>341</v>
      </c>
      <c r="G67" s="332" t="s">
        <v>339</v>
      </c>
      <c r="H67" s="333">
        <f ca="1">IFERROR(VLOOKUP(B67,TỒN!A:C,3,FALSE),0)</f>
        <v>2</v>
      </c>
      <c r="I67" s="334">
        <v>1782500</v>
      </c>
      <c r="J67" s="334">
        <v>1600000</v>
      </c>
      <c r="K67" s="334">
        <v>1550000</v>
      </c>
      <c r="L67" s="335">
        <f t="shared" si="64"/>
        <v>1620000</v>
      </c>
      <c r="M67" s="336"/>
      <c r="N67" s="336"/>
      <c r="O67" s="336"/>
      <c r="P67" s="336"/>
      <c r="Q67" s="336"/>
      <c r="R67" s="336"/>
      <c r="S67" s="336"/>
      <c r="T67" s="336"/>
      <c r="U67" s="336"/>
      <c r="V67" s="336"/>
    </row>
    <row r="68" spans="1:22">
      <c r="A68" s="331">
        <v>6</v>
      </c>
      <c r="B68" s="332" t="s">
        <v>353</v>
      </c>
      <c r="C68" s="332" t="s">
        <v>335</v>
      </c>
      <c r="D68" s="332" t="s">
        <v>336</v>
      </c>
      <c r="E68" s="332" t="s">
        <v>354</v>
      </c>
      <c r="F68" s="332" t="s">
        <v>355</v>
      </c>
      <c r="G68" s="332" t="s">
        <v>339</v>
      </c>
      <c r="H68" s="333">
        <f ca="1">IFERROR(VLOOKUP(B68,TỒN!A:C,3,FALSE),0)</f>
        <v>3300</v>
      </c>
      <c r="I68" s="334">
        <v>598000</v>
      </c>
      <c r="J68" s="334">
        <v>520000</v>
      </c>
      <c r="K68" s="334">
        <v>500000</v>
      </c>
      <c r="L68" s="335">
        <f t="shared" si="64"/>
        <v>544000</v>
      </c>
      <c r="M68" s="336"/>
      <c r="N68" s="336"/>
      <c r="O68" s="336"/>
      <c r="P68" s="336"/>
      <c r="Q68" s="336"/>
      <c r="R68" s="336"/>
      <c r="S68" s="336"/>
      <c r="T68" s="336"/>
      <c r="U68" s="336"/>
      <c r="V68" s="336"/>
    </row>
    <row r="69" spans="1:22">
      <c r="A69" s="331">
        <v>7</v>
      </c>
      <c r="B69" s="332" t="s">
        <v>356</v>
      </c>
      <c r="C69" s="332" t="s">
        <v>335</v>
      </c>
      <c r="D69" s="332" t="s">
        <v>336</v>
      </c>
      <c r="E69" s="332" t="s">
        <v>354</v>
      </c>
      <c r="F69" s="332" t="s">
        <v>357</v>
      </c>
      <c r="G69" s="332" t="s">
        <v>339</v>
      </c>
      <c r="H69" s="333">
        <f ca="1">IFERROR(VLOOKUP(B69,TỒN!A:C,3,FALSE),0)</f>
        <v>3</v>
      </c>
      <c r="I69" s="334">
        <v>1610000</v>
      </c>
      <c r="J69" s="334">
        <v>1400000</v>
      </c>
      <c r="K69" s="334">
        <v>1350000</v>
      </c>
      <c r="L69" s="335">
        <f t="shared" si="64"/>
        <v>1464000</v>
      </c>
      <c r="M69" s="336"/>
      <c r="N69" s="336"/>
      <c r="O69" s="336"/>
      <c r="P69" s="336"/>
      <c r="Q69" s="336"/>
      <c r="R69" s="336"/>
      <c r="S69" s="336"/>
      <c r="T69" s="336"/>
      <c r="U69" s="336"/>
      <c r="V69" s="336"/>
    </row>
    <row r="70" spans="1:22">
      <c r="A70" s="331">
        <v>8</v>
      </c>
      <c r="B70" s="332" t="s">
        <v>358</v>
      </c>
      <c r="C70" s="332" t="s">
        <v>335</v>
      </c>
      <c r="D70" s="332" t="s">
        <v>336</v>
      </c>
      <c r="E70" s="332" t="s">
        <v>359</v>
      </c>
      <c r="F70" s="332" t="s">
        <v>360</v>
      </c>
      <c r="G70" s="332" t="s">
        <v>339</v>
      </c>
      <c r="H70" s="333">
        <f ca="1">IFERROR(VLOOKUP(B70,TỒN!A:C,3,FALSE),0)</f>
        <v>1375</v>
      </c>
      <c r="I70" s="334">
        <v>632500</v>
      </c>
      <c r="J70" s="334">
        <v>600000</v>
      </c>
      <c r="K70" s="334">
        <v>530000</v>
      </c>
      <c r="L70" s="335">
        <f t="shared" si="64"/>
        <v>575000</v>
      </c>
      <c r="M70" s="336"/>
      <c r="N70" s="336"/>
      <c r="O70" s="336"/>
      <c r="P70" s="336"/>
      <c r="Q70" s="336"/>
      <c r="R70" s="336"/>
      <c r="S70" s="336"/>
      <c r="T70" s="336"/>
      <c r="U70" s="336"/>
      <c r="V70" s="336"/>
    </row>
    <row r="71" spans="1:22">
      <c r="A71" s="331">
        <v>9</v>
      </c>
      <c r="B71" s="332" t="s">
        <v>363</v>
      </c>
      <c r="C71" s="332" t="s">
        <v>335</v>
      </c>
      <c r="D71" s="332" t="s">
        <v>336</v>
      </c>
      <c r="E71" s="332" t="s">
        <v>364</v>
      </c>
      <c r="F71" s="332" t="s">
        <v>355</v>
      </c>
      <c r="G71" s="332" t="s">
        <v>339</v>
      </c>
      <c r="H71" s="333">
        <f ca="1">IFERROR(VLOOKUP(B71,TỒN!A:C,3,FALSE),0)</f>
        <v>2345</v>
      </c>
      <c r="I71" s="334">
        <v>609500</v>
      </c>
      <c r="J71" s="334">
        <v>530000</v>
      </c>
      <c r="K71" s="334">
        <v>510000</v>
      </c>
      <c r="L71" s="335">
        <f t="shared" si="64"/>
        <v>554000</v>
      </c>
      <c r="M71" s="336"/>
      <c r="N71" s="336"/>
      <c r="O71" s="336"/>
      <c r="P71" s="336"/>
      <c r="Q71" s="336"/>
      <c r="R71" s="336"/>
      <c r="S71" s="336"/>
      <c r="T71" s="336"/>
      <c r="U71" s="336"/>
      <c r="V71" s="336"/>
    </row>
    <row r="72" spans="1:22">
      <c r="A72" s="331">
        <v>10</v>
      </c>
      <c r="B72" s="332" t="s">
        <v>367</v>
      </c>
      <c r="C72" s="332" t="s">
        <v>335</v>
      </c>
      <c r="D72" s="332" t="s">
        <v>336</v>
      </c>
      <c r="E72" s="332" t="s">
        <v>366</v>
      </c>
      <c r="F72" s="332" t="s">
        <v>368</v>
      </c>
      <c r="G72" s="332" t="s">
        <v>339</v>
      </c>
      <c r="H72" s="333">
        <f ca="1">IFERROR(VLOOKUP(B72,TỒN!A:C,3,FALSE),0)</f>
        <v>490</v>
      </c>
      <c r="I72" s="334">
        <v>672750</v>
      </c>
      <c r="J72" s="334">
        <v>620000</v>
      </c>
      <c r="K72" s="334">
        <v>570000</v>
      </c>
      <c r="L72" s="335">
        <f t="shared" si="64"/>
        <v>612000</v>
      </c>
      <c r="M72" s="336"/>
      <c r="N72" s="336"/>
      <c r="O72" s="336"/>
      <c r="P72" s="336"/>
      <c r="Q72" s="336"/>
      <c r="R72" s="336"/>
      <c r="S72" s="336"/>
      <c r="T72" s="336"/>
      <c r="U72" s="336"/>
      <c r="V72" s="336"/>
    </row>
    <row r="73" spans="1:22">
      <c r="A73" s="812" t="s">
        <v>369</v>
      </c>
      <c r="B73" s="813"/>
      <c r="C73" s="813"/>
      <c r="D73" s="813"/>
      <c r="E73" s="813"/>
      <c r="F73" s="813"/>
      <c r="G73" s="813"/>
      <c r="H73" s="813"/>
      <c r="I73" s="813"/>
      <c r="J73" s="814"/>
      <c r="K73" s="330"/>
      <c r="L73" s="337"/>
      <c r="M73" s="336"/>
      <c r="N73" s="336"/>
      <c r="O73" s="336"/>
      <c r="P73" s="336"/>
      <c r="Q73" s="336"/>
      <c r="R73" s="336"/>
      <c r="S73" s="336"/>
      <c r="T73" s="336"/>
      <c r="U73" s="336"/>
      <c r="V73" s="336"/>
    </row>
    <row r="74" spans="1:22">
      <c r="A74" s="331">
        <v>1</v>
      </c>
      <c r="B74" s="332" t="s">
        <v>410</v>
      </c>
      <c r="C74" s="332" t="s">
        <v>335</v>
      </c>
      <c r="D74" s="332" t="s">
        <v>411</v>
      </c>
      <c r="E74" s="332" t="s">
        <v>351</v>
      </c>
      <c r="F74" s="332" t="s">
        <v>338</v>
      </c>
      <c r="G74" s="332" t="s">
        <v>412</v>
      </c>
      <c r="H74" s="333">
        <f ca="1">IFERROR(VLOOKUP(B74,TỒN!A:C,3,FALSE),0)</f>
        <v>0</v>
      </c>
      <c r="I74" s="334">
        <v>590000</v>
      </c>
      <c r="J74" s="334">
        <v>570000</v>
      </c>
      <c r="K74" s="334">
        <v>550000</v>
      </c>
      <c r="L74" s="335">
        <f t="shared" ref="L74:L78" si="65">ROUND(I74/1.1,-3)</f>
        <v>536000</v>
      </c>
      <c r="M74" s="336"/>
      <c r="N74" s="336"/>
      <c r="O74" s="336"/>
      <c r="P74" s="336"/>
      <c r="Q74" s="336"/>
      <c r="R74" s="336"/>
      <c r="S74" s="336"/>
      <c r="T74" s="336"/>
      <c r="U74" s="336"/>
      <c r="V74" s="336"/>
    </row>
    <row r="75" spans="1:22">
      <c r="A75" s="331">
        <v>2</v>
      </c>
      <c r="B75" s="332" t="s">
        <v>373</v>
      </c>
      <c r="C75" s="332" t="s">
        <v>335</v>
      </c>
      <c r="D75" s="332" t="s">
        <v>374</v>
      </c>
      <c r="E75" s="332" t="s">
        <v>351</v>
      </c>
      <c r="F75" s="332" t="s">
        <v>341</v>
      </c>
      <c r="G75" s="332" t="s">
        <v>372</v>
      </c>
      <c r="H75" s="333">
        <f ca="1">IFERROR(VLOOKUP(B75,TỒN!A:C,3,FALSE),0)</f>
        <v>0</v>
      </c>
      <c r="I75" s="334">
        <v>2060000</v>
      </c>
      <c r="J75" s="334">
        <v>1940000</v>
      </c>
      <c r="K75" s="334">
        <v>1900000</v>
      </c>
      <c r="L75" s="335">
        <f t="shared" si="65"/>
        <v>1873000</v>
      </c>
      <c r="M75" s="336"/>
      <c r="N75" s="336"/>
      <c r="O75" s="336"/>
      <c r="P75" s="336"/>
      <c r="Q75" s="336"/>
      <c r="R75" s="336"/>
      <c r="S75" s="336"/>
      <c r="T75" s="336"/>
      <c r="U75" s="336"/>
      <c r="V75" s="336"/>
    </row>
    <row r="76" spans="1:22">
      <c r="A76" s="331">
        <v>3</v>
      </c>
      <c r="B76" s="332" t="s">
        <v>375</v>
      </c>
      <c r="C76" s="332" t="s">
        <v>335</v>
      </c>
      <c r="D76" s="332" t="s">
        <v>336</v>
      </c>
      <c r="E76" s="332" t="s">
        <v>354</v>
      </c>
      <c r="F76" s="332" t="s">
        <v>357</v>
      </c>
      <c r="G76" s="332" t="s">
        <v>372</v>
      </c>
      <c r="H76" s="333">
        <f ca="1">IFERROR(VLOOKUP(B76,TỒN!A:C,3,FALSE),0)</f>
        <v>0</v>
      </c>
      <c r="I76" s="334">
        <v>1880000</v>
      </c>
      <c r="J76" s="334">
        <v>1730000</v>
      </c>
      <c r="K76" s="334">
        <v>1700000</v>
      </c>
      <c r="L76" s="335">
        <f t="shared" si="65"/>
        <v>1709000</v>
      </c>
      <c r="M76" s="336" t="s">
        <v>413</v>
      </c>
      <c r="N76" s="336"/>
      <c r="O76" s="336"/>
      <c r="P76" s="336"/>
      <c r="Q76" s="336"/>
      <c r="R76" s="336"/>
      <c r="S76" s="336"/>
      <c r="T76" s="336"/>
      <c r="U76" s="336"/>
      <c r="V76" s="336"/>
    </row>
    <row r="77" spans="1:22">
      <c r="A77" s="331">
        <v>4</v>
      </c>
      <c r="B77" s="332" t="s">
        <v>414</v>
      </c>
      <c r="C77" s="332" t="s">
        <v>335</v>
      </c>
      <c r="D77" s="332" t="s">
        <v>374</v>
      </c>
      <c r="E77" s="332" t="s">
        <v>359</v>
      </c>
      <c r="F77" s="332" t="s">
        <v>392</v>
      </c>
      <c r="G77" s="332" t="s">
        <v>372</v>
      </c>
      <c r="H77" s="333">
        <f ca="1">IFERROR(VLOOKUP(B77,TỒN!A:C,3,FALSE),0)</f>
        <v>0</v>
      </c>
      <c r="I77" s="334">
        <v>2350000</v>
      </c>
      <c r="J77" s="334"/>
      <c r="K77" s="334"/>
      <c r="L77" s="335">
        <f t="shared" si="65"/>
        <v>2136000</v>
      </c>
      <c r="M77" s="336" t="s">
        <v>413</v>
      </c>
      <c r="N77" s="336"/>
      <c r="O77" s="336"/>
      <c r="P77" s="336"/>
      <c r="Q77" s="336"/>
      <c r="R77" s="336"/>
      <c r="S77" s="336"/>
      <c r="T77" s="336"/>
      <c r="U77" s="336"/>
      <c r="V77" s="336"/>
    </row>
    <row r="78" spans="1:22">
      <c r="A78" s="331">
        <v>5</v>
      </c>
      <c r="B78" s="332" t="s">
        <v>415</v>
      </c>
      <c r="C78" s="332" t="s">
        <v>335</v>
      </c>
      <c r="D78" s="332" t="s">
        <v>374</v>
      </c>
      <c r="E78" s="332" t="s">
        <v>364</v>
      </c>
      <c r="F78" s="332" t="s">
        <v>357</v>
      </c>
      <c r="G78" s="332" t="s">
        <v>372</v>
      </c>
      <c r="H78" s="333">
        <f ca="1">IFERROR(VLOOKUP(B78,TỒN!A:C,3,FALSE),0)</f>
        <v>0</v>
      </c>
      <c r="I78" s="334">
        <v>2220000</v>
      </c>
      <c r="J78" s="334">
        <v>1880000</v>
      </c>
      <c r="K78" s="334">
        <v>1800000</v>
      </c>
      <c r="L78" s="335">
        <f t="shared" si="65"/>
        <v>2018000</v>
      </c>
      <c r="M78" s="336" t="s">
        <v>413</v>
      </c>
      <c r="N78" s="336"/>
      <c r="O78" s="336"/>
      <c r="P78" s="336"/>
      <c r="Q78" s="336"/>
      <c r="R78" s="336"/>
      <c r="S78" s="336"/>
      <c r="T78" s="336"/>
      <c r="U78" s="336"/>
      <c r="V78" s="336"/>
    </row>
    <row r="79" spans="1:22">
      <c r="A79" s="331">
        <v>6</v>
      </c>
      <c r="B79" s="332" t="s">
        <v>370</v>
      </c>
      <c r="C79" s="332" t="s">
        <v>335</v>
      </c>
      <c r="D79" s="332" t="s">
        <v>371</v>
      </c>
      <c r="E79" s="332" t="s">
        <v>337</v>
      </c>
      <c r="F79" s="332" t="s">
        <v>341</v>
      </c>
      <c r="G79" s="332" t="s">
        <v>372</v>
      </c>
      <c r="H79" s="333">
        <f ca="1">IFERROR(VLOOKUP(B79,TỒN!A:C,3,FALSE),0)</f>
        <v>262</v>
      </c>
      <c r="I79" s="334">
        <v>1980000</v>
      </c>
      <c r="J79" s="334">
        <f t="shared" ref="J79:K79" si="66">I79-10000</f>
        <v>1970000</v>
      </c>
      <c r="K79" s="334">
        <f t="shared" si="66"/>
        <v>1960000</v>
      </c>
      <c r="L79" s="334">
        <f>I79/1.1</f>
        <v>1799999.9999999998</v>
      </c>
      <c r="M79" s="336"/>
      <c r="N79" s="336"/>
      <c r="O79" s="336"/>
      <c r="P79" s="336"/>
      <c r="Q79" s="336"/>
      <c r="R79" s="336"/>
      <c r="S79" s="336"/>
      <c r="T79" s="336"/>
      <c r="U79" s="336"/>
      <c r="V79" s="336"/>
    </row>
    <row r="80" spans="1:22">
      <c r="A80" s="812" t="s">
        <v>383</v>
      </c>
      <c r="B80" s="813"/>
      <c r="C80" s="813"/>
      <c r="D80" s="813"/>
      <c r="E80" s="813"/>
      <c r="F80" s="813"/>
      <c r="G80" s="814"/>
      <c r="H80" s="330"/>
      <c r="I80" s="330" t="s">
        <v>416</v>
      </c>
      <c r="J80" s="330" t="s">
        <v>384</v>
      </c>
      <c r="K80" s="330" t="s">
        <v>407</v>
      </c>
      <c r="L80" s="337"/>
      <c r="M80" s="336"/>
      <c r="N80" s="336"/>
      <c r="O80" s="336"/>
      <c r="P80" s="336"/>
      <c r="Q80" s="336"/>
      <c r="R80" s="336"/>
      <c r="S80" s="336"/>
      <c r="T80" s="336"/>
      <c r="U80" s="336"/>
      <c r="V80" s="336"/>
    </row>
    <row r="81" spans="1:22">
      <c r="A81" s="338">
        <v>1</v>
      </c>
      <c r="B81" s="339" t="s">
        <v>385</v>
      </c>
      <c r="C81" s="339" t="s">
        <v>335</v>
      </c>
      <c r="D81" s="339" t="s">
        <v>386</v>
      </c>
      <c r="E81" s="339" t="s">
        <v>351</v>
      </c>
      <c r="F81" s="339" t="s">
        <v>341</v>
      </c>
      <c r="G81" s="339" t="s">
        <v>387</v>
      </c>
      <c r="H81" s="333">
        <f ca="1">IFERROR(VLOOKUP(B81,TỒN!A:C,3,FALSE),0)</f>
        <v>175</v>
      </c>
      <c r="I81" s="334">
        <v>3000000</v>
      </c>
      <c r="J81" s="334">
        <v>2950000</v>
      </c>
      <c r="K81" s="334">
        <v>2900000</v>
      </c>
      <c r="L81" s="335"/>
      <c r="M81" s="336" t="s">
        <v>417</v>
      </c>
      <c r="N81" s="336"/>
      <c r="O81" s="336"/>
      <c r="P81" s="336"/>
      <c r="Q81" s="336"/>
      <c r="R81" s="336"/>
      <c r="S81" s="336"/>
      <c r="T81" s="336"/>
      <c r="U81" s="336"/>
      <c r="V81" s="336"/>
    </row>
    <row r="82" spans="1:22">
      <c r="A82" s="338">
        <v>2</v>
      </c>
      <c r="B82" s="339" t="s">
        <v>388</v>
      </c>
      <c r="C82" s="339" t="s">
        <v>335</v>
      </c>
      <c r="D82" s="339" t="s">
        <v>386</v>
      </c>
      <c r="E82" s="339" t="s">
        <v>354</v>
      </c>
      <c r="F82" s="339" t="s">
        <v>357</v>
      </c>
      <c r="G82" s="339" t="s">
        <v>387</v>
      </c>
      <c r="H82" s="333">
        <f ca="1">IFERROR(VLOOKUP(B82,TỒN!A:C,3,FALSE),0)</f>
        <v>2</v>
      </c>
      <c r="I82" s="334">
        <v>3000000</v>
      </c>
      <c r="J82" s="334">
        <v>2950000</v>
      </c>
      <c r="K82" s="334">
        <v>2900000</v>
      </c>
      <c r="L82" s="335"/>
      <c r="M82" s="336" t="s">
        <v>417</v>
      </c>
      <c r="N82" s="336"/>
      <c r="O82" s="336"/>
      <c r="P82" s="336"/>
      <c r="Q82" s="336"/>
      <c r="R82" s="336"/>
      <c r="S82" s="336"/>
      <c r="T82" s="336"/>
      <c r="U82" s="336"/>
      <c r="V82" s="336"/>
    </row>
    <row r="83" spans="1:22">
      <c r="A83" s="338">
        <v>3</v>
      </c>
      <c r="B83" s="339" t="s">
        <v>418</v>
      </c>
      <c r="C83" s="339" t="s">
        <v>335</v>
      </c>
      <c r="D83" s="339" t="s">
        <v>386</v>
      </c>
      <c r="E83" s="339" t="s">
        <v>359</v>
      </c>
      <c r="F83" s="339" t="s">
        <v>392</v>
      </c>
      <c r="G83" s="339" t="s">
        <v>387</v>
      </c>
      <c r="H83" s="333">
        <f ca="1">IFERROR(VLOOKUP(B83,TỒN!A:C,3,FALSE),0)</f>
        <v>0</v>
      </c>
      <c r="I83" s="334">
        <v>3450000</v>
      </c>
      <c r="J83" s="334">
        <v>3400000</v>
      </c>
      <c r="K83" s="334"/>
      <c r="L83" s="335"/>
      <c r="M83" s="336" t="s">
        <v>417</v>
      </c>
      <c r="N83" s="336"/>
      <c r="O83" s="336"/>
      <c r="P83" s="336"/>
      <c r="Q83" s="336"/>
      <c r="R83" s="336"/>
      <c r="S83" s="336"/>
      <c r="T83" s="336"/>
      <c r="U83" s="336"/>
      <c r="V83" s="336"/>
    </row>
    <row r="84" spans="1:22">
      <c r="A84" s="338">
        <v>4</v>
      </c>
      <c r="B84" s="339" t="s">
        <v>393</v>
      </c>
      <c r="C84" s="339" t="s">
        <v>335</v>
      </c>
      <c r="D84" s="339" t="s">
        <v>386</v>
      </c>
      <c r="E84" s="339" t="s">
        <v>364</v>
      </c>
      <c r="F84" s="339" t="s">
        <v>357</v>
      </c>
      <c r="G84" s="339" t="s">
        <v>387</v>
      </c>
      <c r="H84" s="333">
        <f ca="1">IFERROR(VLOOKUP(B84,TỒN!A:C,3,FALSE),0)</f>
        <v>0</v>
      </c>
      <c r="I84" s="334">
        <v>3200000</v>
      </c>
      <c r="J84" s="334">
        <v>3150000</v>
      </c>
      <c r="K84" s="334"/>
      <c r="L84" s="335"/>
      <c r="M84" s="336" t="s">
        <v>417</v>
      </c>
      <c r="N84" s="336"/>
      <c r="O84" s="336"/>
      <c r="P84" s="336"/>
      <c r="Q84" s="336"/>
      <c r="R84" s="336"/>
      <c r="S84" s="336"/>
      <c r="T84" s="336"/>
      <c r="U84" s="336"/>
      <c r="V84" s="336"/>
    </row>
    <row r="85" spans="1:22">
      <c r="A85" s="812" t="s">
        <v>394</v>
      </c>
      <c r="B85" s="813"/>
      <c r="C85" s="813"/>
      <c r="D85" s="813"/>
      <c r="E85" s="813"/>
      <c r="F85" s="813"/>
      <c r="G85" s="814"/>
      <c r="H85" s="340"/>
      <c r="I85" s="815" t="s">
        <v>419</v>
      </c>
      <c r="J85" s="813"/>
      <c r="K85" s="814"/>
      <c r="L85" s="337"/>
      <c r="M85" s="336"/>
      <c r="N85" s="336"/>
      <c r="O85" s="336"/>
      <c r="P85" s="336"/>
      <c r="Q85" s="336"/>
      <c r="R85" s="336"/>
      <c r="S85" s="336"/>
      <c r="T85" s="336"/>
      <c r="U85" s="336"/>
      <c r="V85" s="336"/>
    </row>
    <row r="86" spans="1:22">
      <c r="A86" s="338" t="s">
        <v>122</v>
      </c>
      <c r="B86" s="339" t="s">
        <v>395</v>
      </c>
      <c r="C86" s="339" t="s">
        <v>335</v>
      </c>
      <c r="D86" s="339" t="s">
        <v>336</v>
      </c>
      <c r="E86" s="339" t="s">
        <v>351</v>
      </c>
      <c r="F86" s="339" t="s">
        <v>341</v>
      </c>
      <c r="G86" s="339" t="s">
        <v>396</v>
      </c>
      <c r="H86" s="333">
        <f ca="1">IFERROR(VLOOKUP(B86,TỒN!A:C,3,FALSE),0)</f>
        <v>2</v>
      </c>
      <c r="I86" s="334">
        <v>1400000</v>
      </c>
      <c r="J86" s="341">
        <f t="shared" ref="J86:J91" ca="1" si="67">H86*I86</f>
        <v>2800000</v>
      </c>
      <c r="K86" s="339"/>
      <c r="L86" s="335">
        <f t="shared" ref="L86:L91" si="68">ROUND(I86/1.1,-3)</f>
        <v>1273000</v>
      </c>
      <c r="M86" s="336"/>
      <c r="N86" s="336"/>
      <c r="O86" s="336"/>
      <c r="P86" s="336"/>
      <c r="Q86" s="336"/>
      <c r="R86" s="336"/>
      <c r="S86" s="336"/>
      <c r="T86" s="336"/>
      <c r="U86" s="336"/>
      <c r="V86" s="336"/>
    </row>
    <row r="87" spans="1:22">
      <c r="A87" s="338" t="s">
        <v>122</v>
      </c>
      <c r="B87" s="339" t="s">
        <v>378</v>
      </c>
      <c r="C87" s="339" t="s">
        <v>335</v>
      </c>
      <c r="D87" s="339" t="s">
        <v>371</v>
      </c>
      <c r="E87" s="339" t="s">
        <v>354</v>
      </c>
      <c r="F87" s="339" t="s">
        <v>357</v>
      </c>
      <c r="G87" s="339" t="s">
        <v>372</v>
      </c>
      <c r="H87" s="333">
        <f ca="1">IFERROR(VLOOKUP(B87,TỒN!A:C,3,FALSE),0)</f>
        <v>271</v>
      </c>
      <c r="I87" s="334">
        <v>1370000</v>
      </c>
      <c r="J87" s="341">
        <f t="shared" ca="1" si="67"/>
        <v>371270000</v>
      </c>
      <c r="K87" s="339"/>
      <c r="L87" s="335">
        <f t="shared" si="68"/>
        <v>1245000</v>
      </c>
      <c r="M87" s="336"/>
      <c r="N87" s="336"/>
      <c r="O87" s="336"/>
      <c r="P87" s="336"/>
      <c r="Q87" s="336"/>
      <c r="R87" s="336"/>
      <c r="S87" s="336"/>
      <c r="T87" s="336"/>
      <c r="U87" s="336"/>
      <c r="V87" s="336"/>
    </row>
    <row r="88" spans="1:22">
      <c r="A88" s="338" t="s">
        <v>122</v>
      </c>
      <c r="B88" s="332" t="s">
        <v>420</v>
      </c>
      <c r="C88" s="339" t="s">
        <v>335</v>
      </c>
      <c r="D88" s="339" t="s">
        <v>411</v>
      </c>
      <c r="E88" s="339" t="s">
        <v>354</v>
      </c>
      <c r="F88" s="339" t="s">
        <v>357</v>
      </c>
      <c r="G88" s="339" t="s">
        <v>372</v>
      </c>
      <c r="H88" s="333">
        <f ca="1">IFERROR(VLOOKUP(B88,TỒN!A:C,3,FALSE),0)</f>
        <v>0</v>
      </c>
      <c r="I88" s="334">
        <v>1380000</v>
      </c>
      <c r="J88" s="341">
        <f t="shared" ca="1" si="67"/>
        <v>0</v>
      </c>
      <c r="K88" s="339"/>
      <c r="L88" s="335">
        <f t="shared" si="68"/>
        <v>1255000</v>
      </c>
      <c r="M88" s="336"/>
      <c r="N88" s="336"/>
      <c r="O88" s="336"/>
      <c r="P88" s="336"/>
      <c r="Q88" s="336"/>
      <c r="R88" s="336"/>
      <c r="S88" s="336"/>
      <c r="T88" s="336"/>
      <c r="U88" s="336"/>
      <c r="V88" s="336"/>
    </row>
    <row r="89" spans="1:22">
      <c r="A89" s="338" t="s">
        <v>122</v>
      </c>
      <c r="B89" s="339" t="s">
        <v>397</v>
      </c>
      <c r="C89" s="339" t="s">
        <v>335</v>
      </c>
      <c r="D89" s="339" t="s">
        <v>398</v>
      </c>
      <c r="E89" s="339" t="s">
        <v>354</v>
      </c>
      <c r="F89" s="339" t="s">
        <v>357</v>
      </c>
      <c r="G89" s="339" t="s">
        <v>339</v>
      </c>
      <c r="H89" s="333">
        <f ca="1">IFERROR(VLOOKUP(B89,TỒN!A:C,3,FALSE),0)</f>
        <v>0</v>
      </c>
      <c r="I89" s="334">
        <v>1900000</v>
      </c>
      <c r="J89" s="341">
        <f t="shared" ca="1" si="67"/>
        <v>0</v>
      </c>
      <c r="K89" s="339"/>
      <c r="L89" s="335">
        <f t="shared" si="68"/>
        <v>1727000</v>
      </c>
      <c r="M89" s="336"/>
      <c r="N89" s="336"/>
      <c r="O89" s="336"/>
      <c r="P89" s="336"/>
      <c r="Q89" s="336"/>
      <c r="R89" s="336"/>
      <c r="S89" s="336"/>
      <c r="T89" s="336"/>
      <c r="U89" s="336"/>
      <c r="V89" s="336"/>
    </row>
    <row r="90" spans="1:22">
      <c r="A90" s="338" t="s">
        <v>122</v>
      </c>
      <c r="B90" s="339" t="s">
        <v>421</v>
      </c>
      <c r="C90" s="339" t="s">
        <v>335</v>
      </c>
      <c r="D90" s="339" t="s">
        <v>422</v>
      </c>
      <c r="E90" s="339" t="s">
        <v>337</v>
      </c>
      <c r="F90" s="339" t="s">
        <v>423</v>
      </c>
      <c r="G90" s="339" t="s">
        <v>372</v>
      </c>
      <c r="H90" s="333">
        <f ca="1">IFERROR(VLOOKUP(B90,TỒN!A:C,3,FALSE),0)</f>
        <v>0</v>
      </c>
      <c r="I90" s="334">
        <v>2250000</v>
      </c>
      <c r="J90" s="341">
        <f t="shared" ca="1" si="67"/>
        <v>0</v>
      </c>
      <c r="K90" s="339"/>
      <c r="L90" s="335">
        <f t="shared" si="68"/>
        <v>2045000</v>
      </c>
      <c r="M90" s="336"/>
      <c r="N90" s="336"/>
      <c r="O90" s="336"/>
      <c r="P90" s="336"/>
      <c r="Q90" s="336"/>
      <c r="R90" s="336"/>
      <c r="S90" s="336"/>
      <c r="T90" s="336"/>
      <c r="U90" s="336"/>
      <c r="V90" s="336"/>
    </row>
    <row r="91" spans="1:22">
      <c r="A91" s="338" t="s">
        <v>122</v>
      </c>
      <c r="B91" s="339" t="s">
        <v>424</v>
      </c>
      <c r="C91" s="339" t="s">
        <v>335</v>
      </c>
      <c r="D91" s="339" t="s">
        <v>336</v>
      </c>
      <c r="E91" s="339" t="s">
        <v>364</v>
      </c>
      <c r="F91" s="339" t="s">
        <v>357</v>
      </c>
      <c r="G91" s="339" t="s">
        <v>396</v>
      </c>
      <c r="H91" s="333">
        <f ca="1">IFERROR(VLOOKUP(B91,TỒN!A:C,3,FALSE),0)</f>
        <v>0</v>
      </c>
      <c r="I91" s="334">
        <v>1500000</v>
      </c>
      <c r="J91" s="341">
        <f t="shared" ca="1" si="67"/>
        <v>0</v>
      </c>
      <c r="K91" s="339"/>
      <c r="L91" s="335">
        <f t="shared" si="68"/>
        <v>1364000</v>
      </c>
      <c r="M91" s="336"/>
      <c r="N91" s="336"/>
      <c r="O91" s="336"/>
      <c r="P91" s="336"/>
      <c r="Q91" s="336"/>
      <c r="R91" s="336"/>
      <c r="S91" s="336"/>
      <c r="T91" s="336"/>
      <c r="U91" s="336"/>
      <c r="V91" s="336"/>
    </row>
    <row r="92" spans="1:22">
      <c r="A92" s="342"/>
      <c r="B92" s="343"/>
      <c r="C92" s="343"/>
      <c r="D92" s="343"/>
      <c r="E92" s="343"/>
      <c r="F92" s="343"/>
      <c r="G92" s="343"/>
      <c r="H92" s="343"/>
      <c r="I92" s="343" t="s">
        <v>401</v>
      </c>
      <c r="J92" s="344">
        <f ca="1">SUM(J86:J91)</f>
        <v>374070000</v>
      </c>
      <c r="K92" s="343"/>
      <c r="L92" s="345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1:22">
      <c r="A93" s="805" t="s">
        <v>402</v>
      </c>
      <c r="B93" s="672"/>
      <c r="C93" s="89"/>
      <c r="D93" s="89"/>
      <c r="E93" s="89"/>
      <c r="F93" s="89"/>
      <c r="G93" s="89"/>
      <c r="H93" s="89"/>
      <c r="I93" s="89"/>
      <c r="J93" s="89"/>
      <c r="K93" s="89"/>
      <c r="L93" s="275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1:22">
      <c r="A94" s="89"/>
      <c r="B94" s="89"/>
      <c r="C94" s="89"/>
      <c r="D94" s="806" t="s">
        <v>419</v>
      </c>
      <c r="E94" s="672"/>
      <c r="F94" s="89"/>
      <c r="G94" s="89"/>
      <c r="H94" s="89"/>
      <c r="I94" s="89"/>
      <c r="J94" s="89"/>
      <c r="K94" s="89"/>
      <c r="L94" s="275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1:22">
      <c r="A95" s="89"/>
      <c r="B95" s="89"/>
      <c r="C95" s="89"/>
      <c r="D95" s="806" t="s">
        <v>403</v>
      </c>
      <c r="E95" s="672"/>
      <c r="F95" s="672"/>
      <c r="G95" s="672"/>
      <c r="H95" s="672"/>
      <c r="I95" s="672"/>
      <c r="J95" s="672"/>
      <c r="K95" s="89"/>
      <c r="L95" s="275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1:22">
      <c r="A96" s="89"/>
      <c r="B96" s="89"/>
      <c r="C96" s="89"/>
      <c r="D96" s="806" t="s">
        <v>404</v>
      </c>
      <c r="E96" s="672"/>
      <c r="F96" s="672"/>
      <c r="G96" s="89"/>
      <c r="H96" s="89"/>
      <c r="I96" s="89"/>
      <c r="J96" s="89"/>
      <c r="K96" s="89"/>
      <c r="L96" s="275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1:22">
      <c r="A97" s="275"/>
      <c r="B97" s="275"/>
      <c r="C97" s="275"/>
      <c r="D97" s="275"/>
      <c r="E97" s="275"/>
      <c r="F97" s="275"/>
      <c r="G97" s="275"/>
      <c r="H97" s="275"/>
      <c r="I97" s="275"/>
      <c r="J97" s="275"/>
      <c r="K97" s="275"/>
      <c r="L97" s="275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1:22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1:22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1:22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1:22">
      <c r="A101" s="275"/>
      <c r="B101" s="275"/>
      <c r="C101" s="275"/>
      <c r="D101" s="275"/>
      <c r="E101" s="275"/>
      <c r="F101" s="275"/>
      <c r="G101" s="275"/>
      <c r="H101" s="275"/>
      <c r="I101" s="275"/>
      <c r="J101" s="275"/>
      <c r="K101" s="275"/>
      <c r="L101" s="275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1:22">
      <c r="A102" s="275"/>
      <c r="B102" s="275"/>
      <c r="C102" s="275"/>
      <c r="D102" s="275"/>
      <c r="E102" s="275"/>
      <c r="F102" s="275"/>
      <c r="G102" s="275"/>
      <c r="H102" s="275"/>
      <c r="I102" s="275"/>
      <c r="J102" s="275"/>
      <c r="K102" s="275"/>
      <c r="L102" s="275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1:22">
      <c r="A103" s="275"/>
      <c r="B103" s="275"/>
      <c r="C103" s="275"/>
      <c r="D103" s="275"/>
      <c r="E103" s="275"/>
      <c r="F103" s="275"/>
      <c r="G103" s="275"/>
      <c r="H103" s="275"/>
      <c r="I103" s="275"/>
      <c r="J103" s="275"/>
      <c r="K103" s="275"/>
      <c r="L103" s="275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1:22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1:22">
      <c r="A105" s="794" t="s">
        <v>425</v>
      </c>
      <c r="B105" s="669"/>
      <c r="C105" s="669"/>
      <c r="D105" s="669"/>
      <c r="E105" s="669"/>
      <c r="F105" s="669"/>
      <c r="G105" s="669"/>
      <c r="H105" s="669"/>
      <c r="I105" s="669"/>
      <c r="J105" s="669"/>
      <c r="K105" s="670"/>
      <c r="L105" s="275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1:22" ht="27" customHeight="1">
      <c r="A106" s="346" t="s">
        <v>2</v>
      </c>
      <c r="B106" s="346" t="s">
        <v>426</v>
      </c>
      <c r="C106" s="795" t="s">
        <v>329</v>
      </c>
      <c r="D106" s="669"/>
      <c r="E106" s="669"/>
      <c r="F106" s="669"/>
      <c r="G106" s="670"/>
      <c r="H106" s="346" t="s">
        <v>406</v>
      </c>
      <c r="I106" s="796" t="s">
        <v>427</v>
      </c>
      <c r="J106" s="669"/>
      <c r="K106" s="670"/>
      <c r="L106" s="34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</row>
    <row r="107" spans="1:22" ht="30">
      <c r="A107" s="349"/>
      <c r="B107" s="346"/>
      <c r="C107" s="346"/>
      <c r="D107" s="346"/>
      <c r="E107" s="346"/>
      <c r="F107" s="346"/>
      <c r="G107" s="346"/>
      <c r="H107" s="349"/>
      <c r="I107" s="350" t="s">
        <v>83</v>
      </c>
      <c r="J107" s="351" t="s">
        <v>428</v>
      </c>
      <c r="K107" s="351" t="s">
        <v>429</v>
      </c>
      <c r="L107" s="352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</row>
    <row r="108" spans="1:22">
      <c r="A108" s="784" t="s">
        <v>430</v>
      </c>
      <c r="B108" s="669"/>
      <c r="C108" s="669"/>
      <c r="D108" s="669"/>
      <c r="E108" s="669"/>
      <c r="F108" s="669"/>
      <c r="G108" s="669"/>
      <c r="H108" s="669"/>
      <c r="I108" s="669"/>
      <c r="J108" s="670"/>
      <c r="K108" s="354"/>
      <c r="L108" s="355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</row>
    <row r="109" spans="1:22">
      <c r="A109" s="781"/>
      <c r="B109" s="782"/>
      <c r="C109" s="782"/>
      <c r="D109" s="782"/>
      <c r="E109" s="782"/>
      <c r="F109" s="782"/>
      <c r="G109" s="782"/>
      <c r="H109" s="782"/>
      <c r="I109" s="783"/>
      <c r="J109" s="356"/>
      <c r="K109" s="357"/>
      <c r="L109" s="357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</row>
    <row r="110" spans="1:22">
      <c r="A110" s="359">
        <v>1</v>
      </c>
      <c r="B110" s="356" t="s">
        <v>342</v>
      </c>
      <c r="C110" s="360" t="s">
        <v>335</v>
      </c>
      <c r="D110" s="360" t="s">
        <v>336</v>
      </c>
      <c r="E110" s="360" t="s">
        <v>343</v>
      </c>
      <c r="F110" s="360" t="s">
        <v>338</v>
      </c>
      <c r="G110" s="360" t="s">
        <v>339</v>
      </c>
      <c r="H110" s="361">
        <f ca="1">IFERROR(VLOOKUP(B110,TỒN!A:D,4,FALSE),0)</f>
        <v>1144</v>
      </c>
      <c r="I110" s="362">
        <v>390000</v>
      </c>
      <c r="J110" s="362">
        <v>375000</v>
      </c>
      <c r="K110" s="363">
        <v>370000</v>
      </c>
      <c r="L110" s="364" t="s">
        <v>431</v>
      </c>
      <c r="M110" s="365"/>
      <c r="N110" s="365"/>
      <c r="O110" s="365"/>
      <c r="P110" s="365"/>
      <c r="Q110" s="365"/>
      <c r="R110" s="365"/>
      <c r="S110" s="365"/>
      <c r="T110" s="365"/>
      <c r="U110" s="365"/>
      <c r="V110" s="365"/>
    </row>
    <row r="111" spans="1:22">
      <c r="A111" s="366">
        <v>2</v>
      </c>
      <c r="B111" s="356" t="s">
        <v>344</v>
      </c>
      <c r="C111" s="356" t="s">
        <v>335</v>
      </c>
      <c r="D111" s="356" t="s">
        <v>336</v>
      </c>
      <c r="E111" s="356" t="s">
        <v>343</v>
      </c>
      <c r="F111" s="356" t="s">
        <v>345</v>
      </c>
      <c r="G111" s="356" t="s">
        <v>339</v>
      </c>
      <c r="H111" s="361">
        <f ca="1">IFERROR(VLOOKUP(B111,TỒN!A:D,4,FALSE),0)</f>
        <v>171</v>
      </c>
      <c r="I111" s="362">
        <v>740000</v>
      </c>
      <c r="J111" s="362">
        <v>690000</v>
      </c>
      <c r="K111" s="363">
        <v>660000</v>
      </c>
      <c r="L111" s="364" t="s">
        <v>431</v>
      </c>
      <c r="M111" s="365"/>
      <c r="N111" s="365"/>
      <c r="O111" s="365"/>
      <c r="P111" s="365"/>
      <c r="Q111" s="365"/>
      <c r="R111" s="365"/>
      <c r="S111" s="365"/>
      <c r="T111" s="365"/>
      <c r="U111" s="365"/>
      <c r="V111" s="365"/>
    </row>
    <row r="112" spans="1:22">
      <c r="A112" s="366">
        <v>3</v>
      </c>
      <c r="B112" s="356" t="s">
        <v>348</v>
      </c>
      <c r="C112" s="356" t="s">
        <v>335</v>
      </c>
      <c r="D112" s="356" t="s">
        <v>336</v>
      </c>
      <c r="E112" s="356" t="s">
        <v>343</v>
      </c>
      <c r="F112" s="356" t="s">
        <v>349</v>
      </c>
      <c r="G112" s="356" t="s">
        <v>339</v>
      </c>
      <c r="H112" s="361">
        <f ca="1">IFERROR(VLOOKUP(B112,TỒN!A:D,4,FALSE),0)</f>
        <v>1</v>
      </c>
      <c r="I112" s="362">
        <v>1000000</v>
      </c>
      <c r="J112" s="362">
        <v>940000</v>
      </c>
      <c r="K112" s="363">
        <v>885000</v>
      </c>
      <c r="L112" s="364" t="s">
        <v>431</v>
      </c>
      <c r="M112" s="365"/>
      <c r="N112" s="365"/>
      <c r="O112" s="365"/>
      <c r="P112" s="365"/>
      <c r="Q112" s="365"/>
      <c r="R112" s="365"/>
      <c r="S112" s="365"/>
      <c r="T112" s="365"/>
      <c r="U112" s="365"/>
      <c r="V112" s="365"/>
    </row>
    <row r="113" spans="1:22">
      <c r="A113" s="366">
        <v>4</v>
      </c>
      <c r="B113" s="356" t="s">
        <v>350</v>
      </c>
      <c r="C113" s="356" t="s">
        <v>335</v>
      </c>
      <c r="D113" s="356" t="s">
        <v>336</v>
      </c>
      <c r="E113" s="356" t="s">
        <v>351</v>
      </c>
      <c r="F113" s="356" t="s">
        <v>338</v>
      </c>
      <c r="G113" s="356" t="s">
        <v>339</v>
      </c>
      <c r="H113" s="361">
        <f ca="1">IFERROR(VLOOKUP(B113,TỒN!A:D,4,FALSE),0)</f>
        <v>3054</v>
      </c>
      <c r="I113" s="362">
        <v>505000</v>
      </c>
      <c r="J113" s="362">
        <v>500000</v>
      </c>
      <c r="K113" s="363">
        <v>470000</v>
      </c>
      <c r="L113" s="364" t="s">
        <v>431</v>
      </c>
      <c r="M113" s="365"/>
      <c r="N113" s="365"/>
      <c r="O113" s="365"/>
      <c r="P113" s="365"/>
      <c r="Q113" s="365"/>
      <c r="R113" s="365"/>
      <c r="S113" s="365"/>
      <c r="T113" s="365"/>
      <c r="U113" s="365"/>
      <c r="V113" s="365"/>
    </row>
    <row r="114" spans="1:22">
      <c r="A114" s="366">
        <v>5</v>
      </c>
      <c r="B114" s="356" t="s">
        <v>352</v>
      </c>
      <c r="C114" s="356" t="s">
        <v>335</v>
      </c>
      <c r="D114" s="356" t="s">
        <v>336</v>
      </c>
      <c r="E114" s="356" t="s">
        <v>351</v>
      </c>
      <c r="F114" s="356" t="s">
        <v>341</v>
      </c>
      <c r="G114" s="356" t="s">
        <v>339</v>
      </c>
      <c r="H114" s="361">
        <f ca="1">IFERROR(VLOOKUP(B114,TỒN!A:D,4,FALSE),0)</f>
        <v>2</v>
      </c>
      <c r="I114" s="367">
        <v>1670000</v>
      </c>
      <c r="J114" s="367">
        <v>1590000</v>
      </c>
      <c r="K114" s="363">
        <v>1520000</v>
      </c>
      <c r="L114" s="364" t="s">
        <v>431</v>
      </c>
      <c r="M114" s="365"/>
      <c r="N114" s="365"/>
      <c r="O114" s="365"/>
      <c r="P114" s="365"/>
      <c r="Q114" s="365"/>
      <c r="R114" s="365"/>
      <c r="S114" s="365"/>
      <c r="T114" s="365"/>
      <c r="U114" s="365"/>
      <c r="V114" s="365"/>
    </row>
    <row r="115" spans="1:22">
      <c r="A115" s="366">
        <v>6</v>
      </c>
      <c r="B115" s="356" t="s">
        <v>353</v>
      </c>
      <c r="C115" s="356" t="s">
        <v>335</v>
      </c>
      <c r="D115" s="356" t="s">
        <v>336</v>
      </c>
      <c r="E115" s="356" t="s">
        <v>354</v>
      </c>
      <c r="F115" s="356" t="s">
        <v>355</v>
      </c>
      <c r="G115" s="356" t="s">
        <v>339</v>
      </c>
      <c r="H115" s="361">
        <f ca="1">IFERROR(VLOOKUP(B115,TỒN!A:D,4,FALSE),0)</f>
        <v>2845</v>
      </c>
      <c r="I115" s="367">
        <v>470000</v>
      </c>
      <c r="J115" s="367">
        <v>455000</v>
      </c>
      <c r="K115" s="363">
        <v>435000</v>
      </c>
      <c r="L115" s="364" t="s">
        <v>431</v>
      </c>
      <c r="M115" s="365"/>
      <c r="N115" s="365"/>
      <c r="O115" s="365"/>
      <c r="P115" s="365"/>
      <c r="Q115" s="365"/>
      <c r="R115" s="365"/>
      <c r="S115" s="365"/>
      <c r="T115" s="365"/>
      <c r="U115" s="365"/>
      <c r="V115" s="365"/>
    </row>
    <row r="116" spans="1:22">
      <c r="A116" s="366">
        <v>7</v>
      </c>
      <c r="B116" s="356" t="s">
        <v>356</v>
      </c>
      <c r="C116" s="356" t="s">
        <v>335</v>
      </c>
      <c r="D116" s="356" t="s">
        <v>336</v>
      </c>
      <c r="E116" s="356" t="s">
        <v>354</v>
      </c>
      <c r="F116" s="356" t="s">
        <v>357</v>
      </c>
      <c r="G116" s="356" t="s">
        <v>339</v>
      </c>
      <c r="H116" s="361">
        <f ca="1">IFERROR(VLOOKUP(B116,TỒN!A:D,4,FALSE),0)</f>
        <v>1</v>
      </c>
      <c r="I116" s="367">
        <v>1455000</v>
      </c>
      <c r="J116" s="367">
        <v>1395000</v>
      </c>
      <c r="K116" s="363">
        <v>1320000</v>
      </c>
      <c r="L116" s="364" t="s">
        <v>431</v>
      </c>
      <c r="M116" s="365"/>
      <c r="N116" s="365"/>
      <c r="O116" s="365"/>
      <c r="P116" s="365"/>
      <c r="Q116" s="365"/>
      <c r="R116" s="365"/>
      <c r="S116" s="365"/>
      <c r="T116" s="365"/>
      <c r="U116" s="365"/>
      <c r="V116" s="365"/>
    </row>
    <row r="117" spans="1:22">
      <c r="A117" s="359">
        <v>8</v>
      </c>
      <c r="B117" s="360" t="s">
        <v>358</v>
      </c>
      <c r="C117" s="360" t="s">
        <v>335</v>
      </c>
      <c r="D117" s="360" t="s">
        <v>336</v>
      </c>
      <c r="E117" s="360" t="s">
        <v>359</v>
      </c>
      <c r="F117" s="360" t="s">
        <v>360</v>
      </c>
      <c r="G117" s="360" t="s">
        <v>339</v>
      </c>
      <c r="H117" s="361">
        <f ca="1">IFERROR(VLOOKUP(B117,TỒN!A:D,4,FALSE),0)</f>
        <v>1275</v>
      </c>
      <c r="I117" s="368">
        <v>560000</v>
      </c>
      <c r="J117" s="367">
        <v>510000</v>
      </c>
      <c r="K117" s="369">
        <v>490000</v>
      </c>
      <c r="L117" s="364" t="s">
        <v>431</v>
      </c>
      <c r="M117" s="365"/>
      <c r="N117" s="365"/>
      <c r="O117" s="365"/>
      <c r="P117" s="365"/>
      <c r="Q117" s="365"/>
      <c r="R117" s="365"/>
      <c r="S117" s="365"/>
      <c r="T117" s="365"/>
      <c r="U117" s="365"/>
      <c r="V117" s="365"/>
    </row>
    <row r="118" spans="1:22">
      <c r="A118" s="359">
        <v>9</v>
      </c>
      <c r="B118" s="360" t="s">
        <v>363</v>
      </c>
      <c r="C118" s="360" t="s">
        <v>335</v>
      </c>
      <c r="D118" s="360" t="s">
        <v>336</v>
      </c>
      <c r="E118" s="360" t="s">
        <v>364</v>
      </c>
      <c r="F118" s="360" t="s">
        <v>355</v>
      </c>
      <c r="G118" s="360" t="s">
        <v>339</v>
      </c>
      <c r="H118" s="361">
        <f ca="1">IFERROR(VLOOKUP(B118,TỒN!A:D,4,FALSE),0)</f>
        <v>1930</v>
      </c>
      <c r="I118" s="368">
        <v>530000</v>
      </c>
      <c r="J118" s="367">
        <v>490000</v>
      </c>
      <c r="K118" s="369">
        <v>480000</v>
      </c>
      <c r="L118" s="364" t="s">
        <v>431</v>
      </c>
      <c r="M118" s="365"/>
      <c r="N118" s="365"/>
      <c r="O118" s="365"/>
      <c r="P118" s="365"/>
      <c r="Q118" s="365"/>
      <c r="R118" s="365"/>
      <c r="S118" s="365"/>
      <c r="T118" s="365"/>
      <c r="U118" s="365"/>
      <c r="V118" s="365"/>
    </row>
    <row r="119" spans="1:22">
      <c r="A119" s="359">
        <v>10</v>
      </c>
      <c r="B119" s="360" t="s">
        <v>367</v>
      </c>
      <c r="C119" s="360" t="s">
        <v>335</v>
      </c>
      <c r="D119" s="360" t="s">
        <v>336</v>
      </c>
      <c r="E119" s="360" t="s">
        <v>366</v>
      </c>
      <c r="F119" s="360" t="s">
        <v>368</v>
      </c>
      <c r="G119" s="360" t="s">
        <v>339</v>
      </c>
      <c r="H119" s="361">
        <f ca="1">IFERROR(VLOOKUP(B119,TỒN!A:D,4,FALSE),0)</f>
        <v>388</v>
      </c>
      <c r="I119" s="368">
        <v>580000</v>
      </c>
      <c r="J119" s="367">
        <v>530000</v>
      </c>
      <c r="K119" s="369">
        <v>520000</v>
      </c>
      <c r="L119" s="364" t="s">
        <v>431</v>
      </c>
      <c r="M119" s="365"/>
      <c r="N119" s="365"/>
      <c r="O119" s="365"/>
      <c r="P119" s="365"/>
      <c r="Q119" s="365"/>
      <c r="R119" s="365"/>
      <c r="S119" s="365"/>
      <c r="T119" s="365"/>
      <c r="U119" s="365"/>
      <c r="V119" s="365"/>
    </row>
    <row r="120" spans="1:22">
      <c r="A120" s="784" t="s">
        <v>432</v>
      </c>
      <c r="B120" s="669"/>
      <c r="C120" s="669"/>
      <c r="D120" s="669"/>
      <c r="E120" s="669"/>
      <c r="F120" s="669"/>
      <c r="G120" s="669"/>
      <c r="H120" s="669"/>
      <c r="I120" s="669"/>
      <c r="J120" s="670"/>
      <c r="K120" s="354"/>
      <c r="L120" s="355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</row>
    <row r="121" spans="1:22">
      <c r="A121" s="370">
        <v>1</v>
      </c>
      <c r="B121" s="371" t="s">
        <v>410</v>
      </c>
      <c r="C121" s="371" t="s">
        <v>335</v>
      </c>
      <c r="D121" s="371" t="s">
        <v>411</v>
      </c>
      <c r="E121" s="371" t="s">
        <v>351</v>
      </c>
      <c r="F121" s="371" t="s">
        <v>338</v>
      </c>
      <c r="G121" s="371" t="s">
        <v>412</v>
      </c>
      <c r="H121" s="372">
        <f ca="1">IFERROR(VLOOKUP(B121,TỒN!A:D,4,FALSE),0)</f>
        <v>0</v>
      </c>
      <c r="I121" s="373">
        <v>540000</v>
      </c>
      <c r="J121" s="373">
        <v>520000</v>
      </c>
      <c r="K121" s="374">
        <v>490000</v>
      </c>
      <c r="L121" s="364"/>
      <c r="M121" s="365"/>
      <c r="N121" s="365"/>
      <c r="O121" s="365"/>
      <c r="P121" s="365"/>
      <c r="Q121" s="365"/>
      <c r="R121" s="365"/>
      <c r="S121" s="365"/>
      <c r="T121" s="365"/>
      <c r="U121" s="365"/>
      <c r="V121" s="365"/>
    </row>
    <row r="122" spans="1:22">
      <c r="A122" s="370">
        <v>2</v>
      </c>
      <c r="B122" s="371" t="s">
        <v>373</v>
      </c>
      <c r="C122" s="371" t="s">
        <v>335</v>
      </c>
      <c r="D122" s="371" t="s">
        <v>374</v>
      </c>
      <c r="E122" s="371" t="s">
        <v>351</v>
      </c>
      <c r="F122" s="371" t="s">
        <v>341</v>
      </c>
      <c r="G122" s="371" t="s">
        <v>372</v>
      </c>
      <c r="H122" s="375">
        <f ca="1">IFERROR(VLOOKUP(B122,TỒN!A:D,4,FALSE),0)</f>
        <v>0</v>
      </c>
      <c r="I122" s="373">
        <v>1900000</v>
      </c>
      <c r="J122" s="373">
        <v>1890000</v>
      </c>
      <c r="K122" s="376">
        <v>1880000</v>
      </c>
      <c r="L122" s="364" t="s">
        <v>431</v>
      </c>
      <c r="M122" s="365"/>
      <c r="N122" s="365"/>
      <c r="O122" s="365"/>
      <c r="P122" s="365"/>
      <c r="Q122" s="365"/>
      <c r="R122" s="365"/>
      <c r="S122" s="365"/>
      <c r="T122" s="365"/>
      <c r="U122" s="365"/>
      <c r="V122" s="365"/>
    </row>
    <row r="123" spans="1:22">
      <c r="A123" s="370">
        <v>3</v>
      </c>
      <c r="B123" s="371" t="s">
        <v>375</v>
      </c>
      <c r="C123" s="371" t="s">
        <v>335</v>
      </c>
      <c r="D123" s="371" t="s">
        <v>336</v>
      </c>
      <c r="E123" s="371" t="s">
        <v>354</v>
      </c>
      <c r="F123" s="371" t="s">
        <v>357</v>
      </c>
      <c r="G123" s="371" t="s">
        <v>372</v>
      </c>
      <c r="H123" s="372">
        <f ca="1">IFERROR(VLOOKUP(B123,TỒN!A:D,4,FALSE),0)</f>
        <v>0</v>
      </c>
      <c r="I123" s="373">
        <v>1720000</v>
      </c>
      <c r="J123" s="373">
        <v>1710000</v>
      </c>
      <c r="K123" s="376">
        <v>1700000</v>
      </c>
      <c r="L123" s="364" t="s">
        <v>431</v>
      </c>
      <c r="M123" s="365"/>
      <c r="N123" s="365"/>
      <c r="O123" s="365"/>
      <c r="P123" s="365"/>
      <c r="Q123" s="365"/>
      <c r="R123" s="365"/>
      <c r="S123" s="365"/>
      <c r="T123" s="365"/>
      <c r="U123" s="365"/>
      <c r="V123" s="365"/>
    </row>
    <row r="124" spans="1:22">
      <c r="A124" s="370">
        <v>4</v>
      </c>
      <c r="B124" s="371" t="s">
        <v>414</v>
      </c>
      <c r="C124" s="371" t="s">
        <v>335</v>
      </c>
      <c r="D124" s="371" t="s">
        <v>374</v>
      </c>
      <c r="E124" s="371" t="s">
        <v>359</v>
      </c>
      <c r="F124" s="371" t="s">
        <v>392</v>
      </c>
      <c r="G124" s="371" t="s">
        <v>372</v>
      </c>
      <c r="H124" s="372">
        <f ca="1">IFERROR(VLOOKUP(B124,TỒN!A:D,4,FALSE),0)</f>
        <v>0</v>
      </c>
      <c r="I124" s="373">
        <v>1620000</v>
      </c>
      <c r="J124" s="373">
        <v>1610000</v>
      </c>
      <c r="K124" s="376">
        <v>1600000</v>
      </c>
      <c r="L124" s="364" t="s">
        <v>431</v>
      </c>
      <c r="M124" s="365"/>
      <c r="N124" s="365"/>
      <c r="O124" s="365"/>
      <c r="P124" s="365"/>
      <c r="Q124" s="365"/>
      <c r="R124" s="365"/>
      <c r="S124" s="365"/>
      <c r="T124" s="365"/>
      <c r="U124" s="365"/>
      <c r="V124" s="365"/>
    </row>
    <row r="125" spans="1:22">
      <c r="A125" s="370">
        <v>5</v>
      </c>
      <c r="B125" s="371" t="s">
        <v>415</v>
      </c>
      <c r="C125" s="371" t="s">
        <v>335</v>
      </c>
      <c r="D125" s="371" t="s">
        <v>374</v>
      </c>
      <c r="E125" s="371" t="s">
        <v>364</v>
      </c>
      <c r="F125" s="371" t="s">
        <v>357</v>
      </c>
      <c r="G125" s="371" t="s">
        <v>372</v>
      </c>
      <c r="H125" s="372">
        <f ca="1">IFERROR(VLOOKUP(B125,TỒN!A:D,4,FALSE),0)</f>
        <v>0</v>
      </c>
      <c r="I125" s="373">
        <v>1670000</v>
      </c>
      <c r="J125" s="373">
        <v>1660000</v>
      </c>
      <c r="K125" s="376">
        <v>1650000</v>
      </c>
      <c r="L125" s="364" t="s">
        <v>431</v>
      </c>
      <c r="M125" s="365"/>
      <c r="N125" s="365"/>
      <c r="O125" s="365"/>
      <c r="P125" s="365"/>
      <c r="Q125" s="365"/>
      <c r="R125" s="365"/>
      <c r="S125" s="365"/>
      <c r="T125" s="365"/>
      <c r="U125" s="365"/>
      <c r="V125" s="365"/>
    </row>
    <row r="126" spans="1:22">
      <c r="A126" s="372">
        <v>5</v>
      </c>
      <c r="B126" s="371" t="s">
        <v>370</v>
      </c>
      <c r="C126" s="371" t="s">
        <v>335</v>
      </c>
      <c r="D126" s="371" t="s">
        <v>371</v>
      </c>
      <c r="E126" s="371" t="s">
        <v>337</v>
      </c>
      <c r="F126" s="371" t="s">
        <v>341</v>
      </c>
      <c r="G126" s="371" t="s">
        <v>372</v>
      </c>
      <c r="H126" s="372">
        <f ca="1">IFERROR(VLOOKUP(B126,TỒN!A:D,4,FALSE),0)</f>
        <v>262</v>
      </c>
      <c r="I126" s="373">
        <v>1840000</v>
      </c>
      <c r="J126" s="373">
        <v>1840000</v>
      </c>
      <c r="K126" s="376">
        <v>1840000</v>
      </c>
      <c r="L126" s="364" t="s">
        <v>431</v>
      </c>
      <c r="M126" s="365"/>
      <c r="N126" s="365"/>
      <c r="O126" s="365"/>
      <c r="P126" s="365"/>
      <c r="Q126" s="365"/>
      <c r="R126" s="365"/>
      <c r="S126" s="365"/>
      <c r="T126" s="365"/>
      <c r="U126" s="365"/>
      <c r="V126" s="365"/>
    </row>
    <row r="127" spans="1:22">
      <c r="A127" s="377"/>
      <c r="B127" s="349"/>
      <c r="C127" s="349"/>
      <c r="D127" s="349"/>
      <c r="E127" s="349"/>
      <c r="F127" s="349"/>
      <c r="G127" s="349"/>
      <c r="H127" s="349"/>
      <c r="I127" s="349"/>
      <c r="J127" s="347"/>
      <c r="K127" s="378"/>
      <c r="L127" s="253"/>
      <c r="M127" s="379"/>
      <c r="N127" s="379"/>
      <c r="O127" s="379"/>
      <c r="P127" s="379"/>
      <c r="Q127" s="379"/>
      <c r="R127" s="379"/>
      <c r="S127" s="379"/>
      <c r="T127" s="379"/>
      <c r="U127" s="379"/>
      <c r="V127" s="379"/>
    </row>
    <row r="128" spans="1:22">
      <c r="A128" s="784" t="s">
        <v>383</v>
      </c>
      <c r="B128" s="669"/>
      <c r="C128" s="669"/>
      <c r="D128" s="669"/>
      <c r="E128" s="669"/>
      <c r="F128" s="669"/>
      <c r="G128" s="669"/>
      <c r="H128" s="670"/>
      <c r="I128" s="350" t="s">
        <v>419</v>
      </c>
      <c r="J128" s="350" t="s">
        <v>384</v>
      </c>
      <c r="K128" s="350" t="s">
        <v>407</v>
      </c>
      <c r="L128" s="34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</row>
    <row r="129" spans="1:22" ht="12.75">
      <c r="A129" s="380">
        <v>1</v>
      </c>
      <c r="B129" s="381" t="s">
        <v>385</v>
      </c>
      <c r="C129" s="381" t="s">
        <v>335</v>
      </c>
      <c r="D129" s="381" t="s">
        <v>386</v>
      </c>
      <c r="E129" s="381" t="s">
        <v>351</v>
      </c>
      <c r="F129" s="381" t="s">
        <v>341</v>
      </c>
      <c r="G129" s="381" t="s">
        <v>387</v>
      </c>
      <c r="H129" s="380">
        <f ca="1">IFERROR(VLOOKUP(B129,TỒN!A:D,4,FALSE),0)</f>
        <v>125</v>
      </c>
      <c r="I129" s="364">
        <v>2790000</v>
      </c>
      <c r="J129" s="382">
        <v>2740000</v>
      </c>
      <c r="K129" s="382">
        <v>2720000</v>
      </c>
      <c r="L129" s="364" t="s">
        <v>431</v>
      </c>
      <c r="M129" s="365"/>
      <c r="N129" s="365"/>
      <c r="O129" s="365"/>
      <c r="P129" s="365"/>
      <c r="Q129" s="365"/>
      <c r="R129" s="365"/>
      <c r="S129" s="365"/>
      <c r="T129" s="365"/>
      <c r="U129" s="365"/>
      <c r="V129" s="365"/>
    </row>
    <row r="130" spans="1:22" ht="12.75">
      <c r="A130" s="380">
        <v>2</v>
      </c>
      <c r="B130" s="381" t="s">
        <v>388</v>
      </c>
      <c r="C130" s="381" t="s">
        <v>335</v>
      </c>
      <c r="D130" s="381" t="s">
        <v>386</v>
      </c>
      <c r="E130" s="381" t="s">
        <v>354</v>
      </c>
      <c r="F130" s="381" t="s">
        <v>357</v>
      </c>
      <c r="G130" s="381" t="s">
        <v>387</v>
      </c>
      <c r="H130" s="380">
        <f ca="1">IFERROR(VLOOKUP(B130,TỒN!A:D,4,FALSE),0)</f>
        <v>2</v>
      </c>
      <c r="I130" s="382">
        <v>2540000</v>
      </c>
      <c r="J130" s="382">
        <v>2490000</v>
      </c>
      <c r="K130" s="382">
        <v>2470000</v>
      </c>
      <c r="L130" s="364" t="s">
        <v>431</v>
      </c>
      <c r="M130" s="365"/>
      <c r="N130" s="365"/>
      <c r="O130" s="365"/>
      <c r="P130" s="365"/>
      <c r="Q130" s="365"/>
      <c r="R130" s="365"/>
      <c r="S130" s="365"/>
      <c r="T130" s="365"/>
      <c r="U130" s="365"/>
      <c r="V130" s="365"/>
    </row>
    <row r="131" spans="1:22" ht="12.75">
      <c r="A131" s="380">
        <v>3</v>
      </c>
      <c r="B131" s="381" t="s">
        <v>418</v>
      </c>
      <c r="C131" s="381" t="s">
        <v>335</v>
      </c>
      <c r="D131" s="381" t="s">
        <v>386</v>
      </c>
      <c r="E131" s="381" t="s">
        <v>359</v>
      </c>
      <c r="F131" s="381" t="s">
        <v>392</v>
      </c>
      <c r="G131" s="381" t="s">
        <v>387</v>
      </c>
      <c r="H131" s="383">
        <f ca="1">IFERROR(VLOOKUP(B131,TỒN!A:D,4,FALSE),0)</f>
        <v>0</v>
      </c>
      <c r="I131" s="382">
        <v>2890000</v>
      </c>
      <c r="J131" s="382">
        <v>2840000</v>
      </c>
      <c r="K131" s="382">
        <v>2820000</v>
      </c>
      <c r="L131" s="364" t="s">
        <v>431</v>
      </c>
      <c r="M131" s="365"/>
      <c r="N131" s="365"/>
      <c r="O131" s="365"/>
      <c r="P131" s="365"/>
      <c r="Q131" s="365"/>
      <c r="R131" s="365"/>
      <c r="S131" s="365"/>
      <c r="T131" s="365"/>
      <c r="U131" s="365"/>
      <c r="V131" s="365"/>
    </row>
    <row r="132" spans="1:22" ht="12.75">
      <c r="A132" s="380">
        <v>4</v>
      </c>
      <c r="B132" s="381" t="s">
        <v>393</v>
      </c>
      <c r="C132" s="381" t="s">
        <v>335</v>
      </c>
      <c r="D132" s="381" t="s">
        <v>386</v>
      </c>
      <c r="E132" s="381" t="s">
        <v>364</v>
      </c>
      <c r="F132" s="381" t="s">
        <v>357</v>
      </c>
      <c r="G132" s="381" t="s">
        <v>387</v>
      </c>
      <c r="H132" s="380">
        <f ca="1">IFERROR(VLOOKUP(B132,TỒN!A:D,4,FALSE),0)</f>
        <v>0</v>
      </c>
      <c r="I132" s="382">
        <v>2790000</v>
      </c>
      <c r="J132" s="382">
        <v>2740000</v>
      </c>
      <c r="K132" s="382">
        <v>2720000</v>
      </c>
      <c r="L132" s="364" t="s">
        <v>431</v>
      </c>
      <c r="M132" s="365"/>
      <c r="N132" s="365"/>
      <c r="O132" s="365"/>
      <c r="P132" s="365"/>
      <c r="Q132" s="365"/>
      <c r="R132" s="365"/>
      <c r="S132" s="365"/>
      <c r="T132" s="365"/>
      <c r="U132" s="365"/>
      <c r="V132" s="365"/>
    </row>
    <row r="133" spans="1:22">
      <c r="A133" s="785" t="s">
        <v>394</v>
      </c>
      <c r="B133" s="672"/>
      <c r="C133" s="672"/>
      <c r="D133" s="672"/>
      <c r="E133" s="672"/>
      <c r="F133" s="672"/>
      <c r="G133" s="672"/>
      <c r="H133" s="672"/>
      <c r="I133" s="384" t="s">
        <v>419</v>
      </c>
      <c r="J133" s="349"/>
      <c r="K133" s="349"/>
      <c r="L133" s="377"/>
      <c r="M133" s="239"/>
      <c r="N133" s="239"/>
      <c r="O133" s="239"/>
      <c r="P133" s="239"/>
      <c r="Q133" s="239"/>
      <c r="R133" s="239"/>
      <c r="S133" s="239"/>
      <c r="T133" s="239"/>
      <c r="U133" s="239"/>
      <c r="V133" s="239"/>
    </row>
    <row r="134" spans="1:22" ht="12.75">
      <c r="A134" s="380" t="s">
        <v>122</v>
      </c>
      <c r="B134" s="381" t="s">
        <v>433</v>
      </c>
      <c r="C134" s="381" t="s">
        <v>335</v>
      </c>
      <c r="D134" s="381" t="s">
        <v>411</v>
      </c>
      <c r="E134" s="381" t="s">
        <v>351</v>
      </c>
      <c r="F134" s="381" t="s">
        <v>341</v>
      </c>
      <c r="G134" s="381" t="s">
        <v>412</v>
      </c>
      <c r="H134" s="380">
        <f ca="1">IFERROR(VLOOKUP(B134,TỒN!A:D,4,FALSE),0)</f>
        <v>0</v>
      </c>
      <c r="I134" s="385">
        <v>1660000</v>
      </c>
      <c r="J134" s="386">
        <f t="shared" ref="J134:J142" ca="1" si="69">I134*H134</f>
        <v>0</v>
      </c>
      <c r="K134" s="387"/>
      <c r="L134" s="388"/>
      <c r="M134" s="239"/>
      <c r="N134" s="239"/>
      <c r="O134" s="239"/>
      <c r="P134" s="239"/>
      <c r="Q134" s="239"/>
      <c r="R134" s="239"/>
      <c r="S134" s="239"/>
      <c r="T134" s="239"/>
      <c r="U134" s="239"/>
      <c r="V134" s="239"/>
    </row>
    <row r="135" spans="1:22" ht="12.75">
      <c r="A135" s="380" t="s">
        <v>122</v>
      </c>
      <c r="B135" s="381" t="s">
        <v>395</v>
      </c>
      <c r="C135" s="381" t="s">
        <v>335</v>
      </c>
      <c r="D135" s="381" t="s">
        <v>336</v>
      </c>
      <c r="E135" s="381" t="s">
        <v>351</v>
      </c>
      <c r="F135" s="381" t="s">
        <v>341</v>
      </c>
      <c r="G135" s="381" t="s">
        <v>396</v>
      </c>
      <c r="H135" s="380">
        <f ca="1">IFERROR(VLOOKUP(B135,TỒN!A:D,4,FALSE),0)</f>
        <v>0</v>
      </c>
      <c r="I135" s="385">
        <v>1400000</v>
      </c>
      <c r="J135" s="386">
        <f t="shared" ca="1" si="69"/>
        <v>0</v>
      </c>
      <c r="K135" s="387"/>
      <c r="L135" s="388"/>
      <c r="M135" s="239"/>
      <c r="N135" s="239"/>
      <c r="O135" s="239"/>
      <c r="P135" s="239"/>
      <c r="Q135" s="239"/>
      <c r="R135" s="239"/>
      <c r="S135" s="239"/>
      <c r="T135" s="239"/>
      <c r="U135" s="239"/>
      <c r="V135" s="239"/>
    </row>
    <row r="136" spans="1:22" ht="12.75">
      <c r="A136" s="380" t="s">
        <v>122</v>
      </c>
      <c r="B136" s="381" t="s">
        <v>434</v>
      </c>
      <c r="C136" s="381" t="s">
        <v>335</v>
      </c>
      <c r="D136" s="381" t="s">
        <v>336</v>
      </c>
      <c r="E136" s="381" t="s">
        <v>354</v>
      </c>
      <c r="F136" s="381" t="s">
        <v>357</v>
      </c>
      <c r="G136" s="381" t="s">
        <v>396</v>
      </c>
      <c r="H136" s="380">
        <f ca="1">IFERROR(VLOOKUP(B136,TỒN!A:D,4,FALSE),0)</f>
        <v>0</v>
      </c>
      <c r="I136" s="385">
        <v>1300000</v>
      </c>
      <c r="J136" s="386">
        <f t="shared" ca="1" si="69"/>
        <v>0</v>
      </c>
      <c r="K136" s="387"/>
      <c r="L136" s="388"/>
      <c r="M136" s="239"/>
      <c r="N136" s="239"/>
      <c r="O136" s="239"/>
      <c r="P136" s="239"/>
      <c r="Q136" s="239"/>
      <c r="R136" s="239"/>
      <c r="S136" s="239"/>
      <c r="T136" s="239"/>
      <c r="U136" s="239"/>
      <c r="V136" s="239"/>
    </row>
    <row r="137" spans="1:22" ht="12.75">
      <c r="A137" s="380" t="s">
        <v>122</v>
      </c>
      <c r="B137" s="381" t="s">
        <v>378</v>
      </c>
      <c r="C137" s="381" t="s">
        <v>335</v>
      </c>
      <c r="D137" s="381" t="s">
        <v>371</v>
      </c>
      <c r="E137" s="381" t="s">
        <v>354</v>
      </c>
      <c r="F137" s="381" t="s">
        <v>357</v>
      </c>
      <c r="G137" s="381" t="s">
        <v>372</v>
      </c>
      <c r="H137" s="380">
        <f ca="1">IFERROR(VLOOKUP(B137,TỒN!A:D,4,FALSE),0)</f>
        <v>267</v>
      </c>
      <c r="I137" s="385">
        <v>1390000</v>
      </c>
      <c r="J137" s="386">
        <f t="shared" ca="1" si="69"/>
        <v>371130000</v>
      </c>
      <c r="K137" s="387"/>
      <c r="L137" s="388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</row>
    <row r="138" spans="1:22" ht="12.75">
      <c r="A138" s="380" t="s">
        <v>122</v>
      </c>
      <c r="B138" s="389" t="s">
        <v>420</v>
      </c>
      <c r="C138" s="381" t="s">
        <v>335</v>
      </c>
      <c r="D138" s="381" t="s">
        <v>411</v>
      </c>
      <c r="E138" s="381" t="s">
        <v>354</v>
      </c>
      <c r="F138" s="381" t="s">
        <v>357</v>
      </c>
      <c r="G138" s="381" t="s">
        <v>372</v>
      </c>
      <c r="H138" s="380">
        <f ca="1">IFERROR(VLOOKUP(B138,TỒN!A:D,4,FALSE),0)</f>
        <v>0</v>
      </c>
      <c r="I138" s="385">
        <v>1400000</v>
      </c>
      <c r="J138" s="386">
        <f t="shared" ca="1" si="69"/>
        <v>0</v>
      </c>
      <c r="K138" s="387"/>
      <c r="L138" s="388"/>
      <c r="M138" s="239"/>
      <c r="N138" s="239"/>
      <c r="O138" s="239"/>
      <c r="P138" s="239"/>
      <c r="Q138" s="239"/>
      <c r="R138" s="239"/>
      <c r="S138" s="239"/>
      <c r="T138" s="239"/>
      <c r="U138" s="239"/>
      <c r="V138" s="239"/>
    </row>
    <row r="139" spans="1:22" ht="12.75">
      <c r="A139" s="380" t="s">
        <v>122</v>
      </c>
      <c r="B139" s="381" t="s">
        <v>397</v>
      </c>
      <c r="C139" s="381" t="s">
        <v>335</v>
      </c>
      <c r="D139" s="381" t="s">
        <v>398</v>
      </c>
      <c r="E139" s="381" t="s">
        <v>354</v>
      </c>
      <c r="F139" s="381" t="s">
        <v>357</v>
      </c>
      <c r="G139" s="381" t="s">
        <v>339</v>
      </c>
      <c r="H139" s="380">
        <f ca="1">IFERROR(VLOOKUP(B139,TỒN!A:D,4,FALSE),0)</f>
        <v>0</v>
      </c>
      <c r="I139" s="385">
        <v>1920000</v>
      </c>
      <c r="J139" s="386">
        <f t="shared" ca="1" si="69"/>
        <v>0</v>
      </c>
      <c r="K139" s="387"/>
      <c r="L139" s="388"/>
      <c r="M139" s="239"/>
      <c r="N139" s="239"/>
      <c r="O139" s="239"/>
      <c r="P139" s="239"/>
      <c r="Q139" s="239"/>
      <c r="R139" s="239"/>
      <c r="S139" s="239"/>
      <c r="T139" s="239"/>
      <c r="U139" s="239"/>
      <c r="V139" s="239"/>
    </row>
    <row r="140" spans="1:22" ht="12.75">
      <c r="A140" s="380" t="s">
        <v>122</v>
      </c>
      <c r="B140" s="381" t="s">
        <v>435</v>
      </c>
      <c r="C140" s="381" t="s">
        <v>335</v>
      </c>
      <c r="D140" s="381" t="s">
        <v>436</v>
      </c>
      <c r="E140" s="381" t="s">
        <v>337</v>
      </c>
      <c r="F140" s="381" t="s">
        <v>341</v>
      </c>
      <c r="G140" s="381" t="s">
        <v>372</v>
      </c>
      <c r="H140" s="380">
        <f ca="1">IFERROR(VLOOKUP(B140,TỒN!A:D,4,FALSE),0)</f>
        <v>0</v>
      </c>
      <c r="I140" s="385">
        <v>1370000</v>
      </c>
      <c r="J140" s="386">
        <f t="shared" ca="1" si="69"/>
        <v>0</v>
      </c>
      <c r="K140" s="387"/>
      <c r="L140" s="388"/>
      <c r="M140" s="239"/>
      <c r="N140" s="239"/>
      <c r="O140" s="239"/>
      <c r="P140" s="239"/>
      <c r="Q140" s="239"/>
      <c r="R140" s="239"/>
      <c r="S140" s="239"/>
      <c r="T140" s="239"/>
      <c r="U140" s="239"/>
      <c r="V140" s="239"/>
    </row>
    <row r="141" spans="1:22" ht="12.75">
      <c r="A141" s="380" t="s">
        <v>122</v>
      </c>
      <c r="B141" s="381" t="s">
        <v>421</v>
      </c>
      <c r="C141" s="381" t="s">
        <v>335</v>
      </c>
      <c r="D141" s="381" t="s">
        <v>422</v>
      </c>
      <c r="E141" s="381" t="s">
        <v>337</v>
      </c>
      <c r="F141" s="381" t="s">
        <v>423</v>
      </c>
      <c r="G141" s="381" t="s">
        <v>372</v>
      </c>
      <c r="H141" s="380">
        <f ca="1">IFERROR(VLOOKUP(B141,TỒN!A:D,4,FALSE),0)</f>
        <v>0</v>
      </c>
      <c r="I141" s="385">
        <v>2270000</v>
      </c>
      <c r="J141" s="386">
        <f t="shared" ca="1" si="69"/>
        <v>0</v>
      </c>
      <c r="K141" s="387"/>
      <c r="L141" s="388"/>
      <c r="M141" s="239"/>
      <c r="N141" s="239"/>
      <c r="O141" s="239"/>
      <c r="P141" s="239"/>
      <c r="Q141" s="239"/>
      <c r="R141" s="239"/>
      <c r="S141" s="239"/>
      <c r="T141" s="239"/>
      <c r="U141" s="239"/>
      <c r="V141" s="239"/>
    </row>
    <row r="142" spans="1:22" ht="12.75">
      <c r="A142" s="380" t="s">
        <v>122</v>
      </c>
      <c r="B142" s="381" t="s">
        <v>424</v>
      </c>
      <c r="C142" s="381" t="s">
        <v>335</v>
      </c>
      <c r="D142" s="381" t="s">
        <v>336</v>
      </c>
      <c r="E142" s="381" t="s">
        <v>364</v>
      </c>
      <c r="F142" s="381" t="s">
        <v>357</v>
      </c>
      <c r="G142" s="381" t="s">
        <v>396</v>
      </c>
      <c r="H142" s="380">
        <f ca="1">IFERROR(VLOOKUP(B142,TỒN!A:D,4,FALSE),0)</f>
        <v>0</v>
      </c>
      <c r="I142" s="385">
        <v>1520000</v>
      </c>
      <c r="J142" s="386">
        <f t="shared" ca="1" si="69"/>
        <v>0</v>
      </c>
      <c r="K142" s="387"/>
      <c r="L142" s="388"/>
      <c r="M142" s="239"/>
      <c r="N142" s="239"/>
      <c r="O142" s="239"/>
      <c r="P142" s="239"/>
      <c r="Q142" s="239"/>
      <c r="R142" s="239"/>
      <c r="S142" s="239"/>
      <c r="T142" s="239"/>
      <c r="U142" s="239"/>
      <c r="V142" s="239"/>
    </row>
    <row r="143" spans="1:22">
      <c r="A143" s="387"/>
      <c r="B143" s="387"/>
      <c r="C143" s="387"/>
      <c r="D143" s="387"/>
      <c r="E143" s="387"/>
      <c r="F143" s="387"/>
      <c r="G143" s="387"/>
      <c r="H143" s="387"/>
      <c r="I143" s="390" t="s">
        <v>437</v>
      </c>
      <c r="J143" s="391">
        <f ca="1">SUM(J134:J142)</f>
        <v>371130000</v>
      </c>
      <c r="K143" s="387"/>
      <c r="L143" s="388"/>
      <c r="M143" s="239"/>
      <c r="N143" s="239"/>
      <c r="O143" s="239"/>
      <c r="P143" s="239"/>
      <c r="Q143" s="239"/>
      <c r="R143" s="239"/>
      <c r="S143" s="239"/>
      <c r="T143" s="239"/>
      <c r="U143" s="239"/>
      <c r="V143" s="239"/>
    </row>
    <row r="144" spans="1:22">
      <c r="A144" s="387"/>
      <c r="B144" s="387"/>
      <c r="C144" s="387"/>
      <c r="D144" s="387"/>
      <c r="E144" s="387"/>
      <c r="F144" s="387"/>
      <c r="G144" s="387"/>
      <c r="H144" s="387"/>
      <c r="I144" s="390"/>
      <c r="J144" s="391"/>
      <c r="K144" s="387"/>
      <c r="L144" s="388"/>
      <c r="M144" s="239"/>
      <c r="N144" s="239"/>
      <c r="O144" s="239"/>
      <c r="P144" s="239"/>
      <c r="Q144" s="239"/>
      <c r="R144" s="239"/>
      <c r="S144" s="239"/>
      <c r="T144" s="239"/>
      <c r="U144" s="239"/>
      <c r="V144" s="239"/>
    </row>
    <row r="145" spans="1:22">
      <c r="A145" s="789">
        <v>1</v>
      </c>
      <c r="B145" s="792">
        <v>1</v>
      </c>
      <c r="C145" s="780" t="s">
        <v>438</v>
      </c>
      <c r="D145" s="669"/>
      <c r="E145" s="669"/>
      <c r="F145" s="669"/>
      <c r="G145" s="669"/>
      <c r="H145" s="669"/>
      <c r="I145" s="669"/>
      <c r="J145" s="669"/>
      <c r="K145" s="670"/>
      <c r="L145" s="392"/>
      <c r="M145" s="393"/>
      <c r="N145" s="393"/>
      <c r="O145" s="393"/>
      <c r="P145" s="393"/>
      <c r="Q145" s="393"/>
      <c r="R145" s="393"/>
      <c r="S145" s="393"/>
      <c r="T145" s="393"/>
      <c r="U145" s="393"/>
      <c r="V145" s="393"/>
    </row>
    <row r="146" spans="1:22">
      <c r="A146" s="790"/>
      <c r="B146" s="790"/>
      <c r="C146" s="780" t="s">
        <v>439</v>
      </c>
      <c r="D146" s="669"/>
      <c r="E146" s="669"/>
      <c r="F146" s="669"/>
      <c r="G146" s="669"/>
      <c r="H146" s="669"/>
      <c r="I146" s="669"/>
      <c r="J146" s="669"/>
      <c r="K146" s="670"/>
      <c r="L146" s="392"/>
      <c r="M146" s="393"/>
      <c r="N146" s="393"/>
      <c r="O146" s="393"/>
      <c r="P146" s="393"/>
      <c r="Q146" s="393"/>
      <c r="R146" s="393"/>
      <c r="S146" s="393"/>
      <c r="T146" s="393"/>
      <c r="U146" s="393"/>
      <c r="V146" s="393"/>
    </row>
    <row r="147" spans="1:22">
      <c r="A147" s="790"/>
      <c r="B147" s="790"/>
      <c r="C147" s="780" t="s">
        <v>440</v>
      </c>
      <c r="D147" s="669"/>
      <c r="E147" s="669"/>
      <c r="F147" s="669"/>
      <c r="G147" s="669"/>
      <c r="H147" s="669"/>
      <c r="I147" s="669"/>
      <c r="J147" s="669"/>
      <c r="K147" s="670"/>
      <c r="L147" s="392"/>
      <c r="M147" s="393"/>
      <c r="N147" s="393"/>
      <c r="O147" s="393"/>
      <c r="P147" s="393"/>
      <c r="Q147" s="393"/>
      <c r="R147" s="393"/>
      <c r="S147" s="393"/>
      <c r="T147" s="393"/>
      <c r="U147" s="393"/>
      <c r="V147" s="393"/>
    </row>
    <row r="148" spans="1:22">
      <c r="A148" s="791"/>
      <c r="B148" s="791"/>
      <c r="C148" s="793" t="s">
        <v>286</v>
      </c>
      <c r="D148" s="669"/>
      <c r="E148" s="669"/>
      <c r="F148" s="669"/>
      <c r="G148" s="669"/>
      <c r="H148" s="669"/>
      <c r="I148" s="669"/>
      <c r="J148" s="669"/>
      <c r="K148" s="670"/>
      <c r="L148" s="394"/>
      <c r="M148" s="395"/>
      <c r="N148" s="395"/>
      <c r="O148" s="395"/>
      <c r="P148" s="395"/>
      <c r="Q148" s="395"/>
      <c r="R148" s="395"/>
      <c r="S148" s="395"/>
      <c r="T148" s="395"/>
      <c r="U148" s="395"/>
      <c r="V148" s="395"/>
    </row>
    <row r="149" spans="1:22">
      <c r="A149" s="396">
        <v>2</v>
      </c>
      <c r="B149" s="397">
        <v>2</v>
      </c>
      <c r="C149" s="780" t="s">
        <v>261</v>
      </c>
      <c r="D149" s="669"/>
      <c r="E149" s="669"/>
      <c r="F149" s="669"/>
      <c r="G149" s="669"/>
      <c r="H149" s="669"/>
      <c r="I149" s="669"/>
      <c r="J149" s="669"/>
      <c r="K149" s="670"/>
      <c r="L149" s="392"/>
      <c r="M149" s="393"/>
      <c r="N149" s="393"/>
      <c r="O149" s="393"/>
      <c r="P149" s="393"/>
      <c r="Q149" s="393"/>
      <c r="R149" s="393"/>
      <c r="S149" s="393"/>
      <c r="T149" s="393"/>
      <c r="U149" s="393"/>
      <c r="V149" s="393"/>
    </row>
    <row r="150" spans="1:22">
      <c r="A150" s="398">
        <v>3</v>
      </c>
      <c r="B150" s="397">
        <v>3</v>
      </c>
      <c r="C150" s="780" t="s">
        <v>441</v>
      </c>
      <c r="D150" s="669"/>
      <c r="E150" s="669"/>
      <c r="F150" s="669"/>
      <c r="G150" s="669"/>
      <c r="H150" s="669"/>
      <c r="I150" s="669"/>
      <c r="J150" s="669"/>
      <c r="K150" s="670"/>
      <c r="L150" s="392"/>
      <c r="M150" s="393"/>
      <c r="N150" s="393"/>
      <c r="O150" s="393"/>
      <c r="P150" s="393"/>
      <c r="Q150" s="393"/>
      <c r="R150" s="393"/>
      <c r="S150" s="393"/>
      <c r="T150" s="393"/>
      <c r="U150" s="393"/>
      <c r="V150" s="393"/>
    </row>
    <row r="151" spans="1:22">
      <c r="A151" s="387"/>
      <c r="B151" s="387"/>
      <c r="C151" s="387"/>
      <c r="D151" s="387"/>
      <c r="E151" s="387"/>
      <c r="F151" s="387"/>
      <c r="G151" s="387"/>
      <c r="H151" s="387"/>
      <c r="I151" s="390"/>
      <c r="J151" s="391"/>
      <c r="K151" s="387"/>
      <c r="L151" s="388"/>
      <c r="M151" s="239"/>
      <c r="N151" s="239"/>
      <c r="O151" s="239"/>
      <c r="P151" s="239"/>
      <c r="Q151" s="239"/>
      <c r="R151" s="239"/>
      <c r="S151" s="239"/>
      <c r="T151" s="239"/>
      <c r="U151" s="239"/>
      <c r="V151" s="239"/>
    </row>
    <row r="152" spans="1:22">
      <c r="A152" s="387"/>
      <c r="B152" s="387"/>
      <c r="C152" s="387"/>
      <c r="D152" s="387"/>
      <c r="E152" s="387"/>
      <c r="F152" s="387"/>
      <c r="G152" s="387"/>
      <c r="H152" s="387"/>
      <c r="I152" s="390"/>
      <c r="J152" s="391"/>
      <c r="K152" s="387"/>
      <c r="L152" s="388"/>
      <c r="M152" s="239"/>
      <c r="N152" s="239"/>
      <c r="O152" s="239"/>
      <c r="P152" s="239"/>
      <c r="Q152" s="239"/>
      <c r="R152" s="239"/>
      <c r="S152" s="239"/>
      <c r="T152" s="239"/>
      <c r="U152" s="239"/>
      <c r="V152" s="239"/>
    </row>
    <row r="153" spans="1:22">
      <c r="A153" s="794" t="s">
        <v>442</v>
      </c>
      <c r="B153" s="669"/>
      <c r="C153" s="669"/>
      <c r="D153" s="669"/>
      <c r="E153" s="669"/>
      <c r="F153" s="669"/>
      <c r="G153" s="669"/>
      <c r="H153" s="669"/>
      <c r="I153" s="669"/>
      <c r="J153" s="669"/>
      <c r="K153" s="670"/>
      <c r="L153" s="275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1:22" ht="27" customHeight="1">
      <c r="A154" s="346" t="s">
        <v>2</v>
      </c>
      <c r="B154" s="346" t="s">
        <v>426</v>
      </c>
      <c r="C154" s="795" t="s">
        <v>329</v>
      </c>
      <c r="D154" s="669"/>
      <c r="E154" s="669"/>
      <c r="F154" s="669"/>
      <c r="G154" s="670"/>
      <c r="H154" s="346" t="s">
        <v>406</v>
      </c>
      <c r="I154" s="796" t="s">
        <v>427</v>
      </c>
      <c r="J154" s="669"/>
      <c r="K154" s="670"/>
      <c r="L154" s="34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</row>
    <row r="155" spans="1:22" ht="30">
      <c r="A155" s="349"/>
      <c r="B155" s="346"/>
      <c r="C155" s="346"/>
      <c r="D155" s="346"/>
      <c r="E155" s="346"/>
      <c r="F155" s="346"/>
      <c r="G155" s="346"/>
      <c r="H155" s="349"/>
      <c r="I155" s="350" t="s">
        <v>83</v>
      </c>
      <c r="J155" s="351" t="s">
        <v>428</v>
      </c>
      <c r="K155" s="351" t="s">
        <v>429</v>
      </c>
      <c r="L155" s="352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</row>
    <row r="156" spans="1:22">
      <c r="A156" s="784" t="s">
        <v>443</v>
      </c>
      <c r="B156" s="669"/>
      <c r="C156" s="669"/>
      <c r="D156" s="669"/>
      <c r="E156" s="669"/>
      <c r="F156" s="669"/>
      <c r="G156" s="669"/>
      <c r="H156" s="669"/>
      <c r="I156" s="669"/>
      <c r="J156" s="670"/>
      <c r="K156" s="399"/>
      <c r="L156" s="154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</row>
    <row r="157" spans="1:22">
      <c r="A157" s="781"/>
      <c r="B157" s="782"/>
      <c r="C157" s="782"/>
      <c r="D157" s="782"/>
      <c r="E157" s="782"/>
      <c r="F157" s="782"/>
      <c r="G157" s="782"/>
      <c r="H157" s="782"/>
      <c r="I157" s="783"/>
      <c r="J157" s="356"/>
      <c r="K157" s="357"/>
      <c r="L157" s="357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</row>
    <row r="158" spans="1:22">
      <c r="A158" s="359">
        <v>1</v>
      </c>
      <c r="B158" s="356" t="s">
        <v>342</v>
      </c>
      <c r="C158" s="360" t="s">
        <v>335</v>
      </c>
      <c r="D158" s="360" t="s">
        <v>336</v>
      </c>
      <c r="E158" s="360" t="s">
        <v>343</v>
      </c>
      <c r="F158" s="360" t="s">
        <v>338</v>
      </c>
      <c r="G158" s="360" t="s">
        <v>339</v>
      </c>
      <c r="H158" s="361">
        <f ca="1">IFERROR(VLOOKUP(B158,TỒN!A:D,4,FALSE),0)</f>
        <v>1144</v>
      </c>
      <c r="I158" s="362">
        <v>390000</v>
      </c>
      <c r="J158" s="362">
        <v>375000</v>
      </c>
      <c r="K158" s="363">
        <v>370000</v>
      </c>
      <c r="L158" s="364" t="s">
        <v>444</v>
      </c>
      <c r="M158" s="365"/>
      <c r="N158" s="365"/>
      <c r="O158" s="365"/>
      <c r="P158" s="365"/>
      <c r="Q158" s="365"/>
      <c r="R158" s="365"/>
      <c r="S158" s="365"/>
      <c r="T158" s="365"/>
      <c r="U158" s="365"/>
      <c r="V158" s="365"/>
    </row>
    <row r="159" spans="1:22">
      <c r="A159" s="366">
        <v>2</v>
      </c>
      <c r="B159" s="356" t="s">
        <v>344</v>
      </c>
      <c r="C159" s="356" t="s">
        <v>335</v>
      </c>
      <c r="D159" s="356" t="s">
        <v>336</v>
      </c>
      <c r="E159" s="356" t="s">
        <v>343</v>
      </c>
      <c r="F159" s="356" t="s">
        <v>345</v>
      </c>
      <c r="G159" s="356" t="s">
        <v>339</v>
      </c>
      <c r="H159" s="361">
        <f ca="1">IFERROR(VLOOKUP(B159,TỒN!A:D,4,FALSE),0)</f>
        <v>171</v>
      </c>
      <c r="I159" s="362">
        <v>740000</v>
      </c>
      <c r="J159" s="362">
        <v>690000</v>
      </c>
      <c r="K159" s="363">
        <v>650000</v>
      </c>
      <c r="L159" s="364" t="s">
        <v>444</v>
      </c>
      <c r="M159" s="365"/>
      <c r="N159" s="365"/>
      <c r="O159" s="365"/>
      <c r="P159" s="365"/>
      <c r="Q159" s="365"/>
      <c r="R159" s="365"/>
      <c r="S159" s="365"/>
      <c r="T159" s="365"/>
      <c r="U159" s="365"/>
      <c r="V159" s="365"/>
    </row>
    <row r="160" spans="1:22">
      <c r="A160" s="366">
        <v>3</v>
      </c>
      <c r="B160" s="356" t="s">
        <v>348</v>
      </c>
      <c r="C160" s="356" t="s">
        <v>335</v>
      </c>
      <c r="D160" s="356" t="s">
        <v>336</v>
      </c>
      <c r="E160" s="356" t="s">
        <v>343</v>
      </c>
      <c r="F160" s="356" t="s">
        <v>349</v>
      </c>
      <c r="G160" s="356" t="s">
        <v>339</v>
      </c>
      <c r="H160" s="361">
        <f ca="1">IFERROR(VLOOKUP(B160,TỒN!A:D,4,FALSE),0)</f>
        <v>1</v>
      </c>
      <c r="I160" s="362">
        <v>1000000</v>
      </c>
      <c r="J160" s="362">
        <v>940000</v>
      </c>
      <c r="K160" s="363">
        <v>885000</v>
      </c>
      <c r="L160" s="364" t="s">
        <v>444</v>
      </c>
      <c r="M160" s="365"/>
      <c r="N160" s="365"/>
      <c r="O160" s="365"/>
      <c r="P160" s="365"/>
      <c r="Q160" s="365"/>
      <c r="R160" s="365"/>
      <c r="S160" s="365"/>
      <c r="T160" s="365"/>
      <c r="U160" s="365"/>
      <c r="V160" s="365"/>
    </row>
    <row r="161" spans="1:22">
      <c r="A161" s="366">
        <v>4</v>
      </c>
      <c r="B161" s="356" t="s">
        <v>350</v>
      </c>
      <c r="C161" s="356" t="s">
        <v>335</v>
      </c>
      <c r="D161" s="356" t="s">
        <v>336</v>
      </c>
      <c r="E161" s="356" t="s">
        <v>351</v>
      </c>
      <c r="F161" s="356" t="s">
        <v>338</v>
      </c>
      <c r="G161" s="356" t="s">
        <v>339</v>
      </c>
      <c r="H161" s="361">
        <f ca="1">IFERROR(VLOOKUP(B161,TỒN!A:D,4,FALSE),0)</f>
        <v>3054</v>
      </c>
      <c r="I161" s="362">
        <v>505000</v>
      </c>
      <c r="J161" s="362">
        <v>500000</v>
      </c>
      <c r="K161" s="363">
        <v>470000</v>
      </c>
      <c r="L161" s="364" t="s">
        <v>444</v>
      </c>
      <c r="M161" s="365"/>
      <c r="N161" s="365"/>
      <c r="O161" s="365"/>
      <c r="P161" s="365"/>
      <c r="Q161" s="365"/>
      <c r="R161" s="365"/>
      <c r="S161" s="365"/>
      <c r="T161" s="365"/>
      <c r="U161" s="365"/>
      <c r="V161" s="365"/>
    </row>
    <row r="162" spans="1:22">
      <c r="A162" s="366">
        <v>5</v>
      </c>
      <c r="B162" s="356" t="s">
        <v>352</v>
      </c>
      <c r="C162" s="356" t="s">
        <v>335</v>
      </c>
      <c r="D162" s="356" t="s">
        <v>336</v>
      </c>
      <c r="E162" s="356" t="s">
        <v>351</v>
      </c>
      <c r="F162" s="356" t="s">
        <v>341</v>
      </c>
      <c r="G162" s="356" t="s">
        <v>339</v>
      </c>
      <c r="H162" s="361">
        <f ca="1">IFERROR(VLOOKUP(B162,TỒN!A:D,4,FALSE),0)</f>
        <v>2</v>
      </c>
      <c r="I162" s="367">
        <v>1670000</v>
      </c>
      <c r="J162" s="367">
        <v>1590000</v>
      </c>
      <c r="K162" s="363">
        <v>1520000</v>
      </c>
      <c r="L162" s="364" t="s">
        <v>444</v>
      </c>
      <c r="M162" s="365"/>
      <c r="N162" s="365"/>
      <c r="O162" s="365"/>
      <c r="P162" s="365"/>
      <c r="Q162" s="365"/>
      <c r="R162" s="365"/>
      <c r="S162" s="365"/>
      <c r="T162" s="365"/>
      <c r="U162" s="365"/>
      <c r="V162" s="365"/>
    </row>
    <row r="163" spans="1:22">
      <c r="A163" s="366">
        <v>6</v>
      </c>
      <c r="B163" s="356" t="s">
        <v>353</v>
      </c>
      <c r="C163" s="356" t="s">
        <v>335</v>
      </c>
      <c r="D163" s="356" t="s">
        <v>336</v>
      </c>
      <c r="E163" s="356" t="s">
        <v>354</v>
      </c>
      <c r="F163" s="356" t="s">
        <v>355</v>
      </c>
      <c r="G163" s="356" t="s">
        <v>339</v>
      </c>
      <c r="H163" s="361">
        <f ca="1">IFERROR(VLOOKUP(B163,TỒN!A:D,4,FALSE),0)</f>
        <v>2845</v>
      </c>
      <c r="I163" s="367">
        <v>470000</v>
      </c>
      <c r="J163" s="367">
        <v>455000</v>
      </c>
      <c r="K163" s="363">
        <v>435000</v>
      </c>
      <c r="L163" s="364" t="s">
        <v>444</v>
      </c>
      <c r="M163" s="365"/>
      <c r="N163" s="365"/>
      <c r="O163" s="365"/>
      <c r="P163" s="365"/>
      <c r="Q163" s="365"/>
      <c r="R163" s="365"/>
      <c r="S163" s="365"/>
      <c r="T163" s="365"/>
      <c r="U163" s="365"/>
      <c r="V163" s="365"/>
    </row>
    <row r="164" spans="1:22">
      <c r="A164" s="366">
        <v>7</v>
      </c>
      <c r="B164" s="356" t="s">
        <v>356</v>
      </c>
      <c r="C164" s="356" t="s">
        <v>335</v>
      </c>
      <c r="D164" s="356" t="s">
        <v>336</v>
      </c>
      <c r="E164" s="356" t="s">
        <v>354</v>
      </c>
      <c r="F164" s="356" t="s">
        <v>357</v>
      </c>
      <c r="G164" s="356" t="s">
        <v>339</v>
      </c>
      <c r="H164" s="361">
        <f ca="1">IFERROR(VLOOKUP(B164,TỒN!A:D,4,FALSE),0)</f>
        <v>1</v>
      </c>
      <c r="I164" s="367">
        <v>1455000</v>
      </c>
      <c r="J164" s="367">
        <v>1395000</v>
      </c>
      <c r="K164" s="363">
        <v>1320000</v>
      </c>
      <c r="L164" s="364" t="s">
        <v>444</v>
      </c>
      <c r="M164" s="365"/>
      <c r="N164" s="365"/>
      <c r="O164" s="365"/>
      <c r="P164" s="365"/>
      <c r="Q164" s="365"/>
      <c r="R164" s="365"/>
      <c r="S164" s="365"/>
      <c r="T164" s="365"/>
      <c r="U164" s="365"/>
      <c r="V164" s="365"/>
    </row>
    <row r="165" spans="1:22">
      <c r="A165" s="359">
        <v>8</v>
      </c>
      <c r="B165" s="360" t="s">
        <v>358</v>
      </c>
      <c r="C165" s="360" t="s">
        <v>335</v>
      </c>
      <c r="D165" s="360" t="s">
        <v>336</v>
      </c>
      <c r="E165" s="360" t="s">
        <v>359</v>
      </c>
      <c r="F165" s="360" t="s">
        <v>360</v>
      </c>
      <c r="G165" s="360" t="s">
        <v>339</v>
      </c>
      <c r="H165" s="361">
        <f ca="1">IFERROR(VLOOKUP(B165,TỒN!A:D,4,FALSE),0)</f>
        <v>1275</v>
      </c>
      <c r="I165" s="368">
        <v>560000</v>
      </c>
      <c r="J165" s="367">
        <v>510000</v>
      </c>
      <c r="K165" s="369">
        <v>490000</v>
      </c>
      <c r="L165" s="364" t="s">
        <v>444</v>
      </c>
      <c r="M165" s="365"/>
      <c r="N165" s="365"/>
      <c r="O165" s="365"/>
      <c r="P165" s="365"/>
      <c r="Q165" s="365"/>
      <c r="R165" s="365"/>
      <c r="S165" s="365"/>
      <c r="T165" s="365"/>
      <c r="U165" s="365"/>
      <c r="V165" s="365"/>
    </row>
    <row r="166" spans="1:22">
      <c r="A166" s="359">
        <v>9</v>
      </c>
      <c r="B166" s="360" t="s">
        <v>363</v>
      </c>
      <c r="C166" s="360" t="s">
        <v>335</v>
      </c>
      <c r="D166" s="360" t="s">
        <v>336</v>
      </c>
      <c r="E166" s="360" t="s">
        <v>364</v>
      </c>
      <c r="F166" s="360" t="s">
        <v>355</v>
      </c>
      <c r="G166" s="360" t="s">
        <v>339</v>
      </c>
      <c r="H166" s="361">
        <f ca="1">IFERROR(VLOOKUP(B166,TỒN!A:D,4,FALSE),0)</f>
        <v>1930</v>
      </c>
      <c r="I166" s="368">
        <v>530000</v>
      </c>
      <c r="J166" s="367">
        <v>490000</v>
      </c>
      <c r="K166" s="369">
        <v>470000</v>
      </c>
      <c r="L166" s="364" t="s">
        <v>444</v>
      </c>
      <c r="M166" s="365"/>
      <c r="N166" s="365"/>
      <c r="O166" s="365"/>
      <c r="P166" s="365"/>
      <c r="Q166" s="365"/>
      <c r="R166" s="365"/>
      <c r="S166" s="365"/>
      <c r="T166" s="365"/>
      <c r="U166" s="365"/>
      <c r="V166" s="365"/>
    </row>
    <row r="167" spans="1:22">
      <c r="A167" s="359">
        <v>10</v>
      </c>
      <c r="B167" s="360" t="s">
        <v>367</v>
      </c>
      <c r="C167" s="360" t="s">
        <v>335</v>
      </c>
      <c r="D167" s="360" t="s">
        <v>336</v>
      </c>
      <c r="E167" s="360" t="s">
        <v>366</v>
      </c>
      <c r="F167" s="360" t="s">
        <v>368</v>
      </c>
      <c r="G167" s="360" t="s">
        <v>339</v>
      </c>
      <c r="H167" s="361">
        <f ca="1">IFERROR(VLOOKUP(B167,TỒN!A:D,4,FALSE),0)</f>
        <v>388</v>
      </c>
      <c r="I167" s="368">
        <v>580000</v>
      </c>
      <c r="J167" s="367">
        <v>530000</v>
      </c>
      <c r="K167" s="369">
        <v>505000</v>
      </c>
      <c r="L167" s="364" t="s">
        <v>444</v>
      </c>
      <c r="M167" s="365"/>
      <c r="N167" s="365"/>
      <c r="O167" s="365"/>
      <c r="P167" s="365"/>
      <c r="Q167" s="365"/>
      <c r="R167" s="365"/>
      <c r="S167" s="365"/>
      <c r="T167" s="365"/>
      <c r="U167" s="365"/>
      <c r="V167" s="365"/>
    </row>
    <row r="168" spans="1:22">
      <c r="A168" s="784" t="s">
        <v>445</v>
      </c>
      <c r="B168" s="669"/>
      <c r="C168" s="669"/>
      <c r="D168" s="669"/>
      <c r="E168" s="669"/>
      <c r="F168" s="669"/>
      <c r="G168" s="669"/>
      <c r="H168" s="669"/>
      <c r="I168" s="669"/>
      <c r="J168" s="670"/>
      <c r="K168" s="399"/>
      <c r="L168" s="154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</row>
    <row r="169" spans="1:22">
      <c r="A169" s="370">
        <v>1</v>
      </c>
      <c r="B169" s="371" t="s">
        <v>410</v>
      </c>
      <c r="C169" s="371" t="s">
        <v>335</v>
      </c>
      <c r="D169" s="371" t="s">
        <v>411</v>
      </c>
      <c r="E169" s="371" t="s">
        <v>351</v>
      </c>
      <c r="F169" s="371" t="s">
        <v>338</v>
      </c>
      <c r="G169" s="371" t="s">
        <v>412</v>
      </c>
      <c r="H169" s="372">
        <f ca="1">IFERROR(VLOOKUP(B169,TỒN!A:D,4,FALSE),0)</f>
        <v>0</v>
      </c>
      <c r="I169" s="373">
        <v>540000</v>
      </c>
      <c r="J169" s="373">
        <v>520000</v>
      </c>
      <c r="K169" s="374">
        <v>490000</v>
      </c>
      <c r="L169" s="364" t="s">
        <v>444</v>
      </c>
      <c r="M169" s="365"/>
      <c r="N169" s="365"/>
      <c r="O169" s="365"/>
      <c r="P169" s="365"/>
      <c r="Q169" s="365"/>
      <c r="R169" s="365"/>
      <c r="S169" s="365"/>
      <c r="T169" s="365"/>
      <c r="U169" s="365"/>
      <c r="V169" s="365"/>
    </row>
    <row r="170" spans="1:22">
      <c r="A170" s="370">
        <v>2</v>
      </c>
      <c r="B170" s="371" t="s">
        <v>373</v>
      </c>
      <c r="C170" s="371" t="s">
        <v>335</v>
      </c>
      <c r="D170" s="371" t="s">
        <v>374</v>
      </c>
      <c r="E170" s="371" t="s">
        <v>351</v>
      </c>
      <c r="F170" s="371" t="s">
        <v>341</v>
      </c>
      <c r="G170" s="371" t="s">
        <v>372</v>
      </c>
      <c r="H170" s="375">
        <f ca="1">IFERROR(VLOOKUP(B170,TỒN!A:D,4,FALSE),0)</f>
        <v>0</v>
      </c>
      <c r="I170" s="373">
        <v>1810000</v>
      </c>
      <c r="J170" s="373">
        <v>1800000</v>
      </c>
      <c r="K170" s="376">
        <v>1720000</v>
      </c>
      <c r="L170" s="364" t="s">
        <v>444</v>
      </c>
      <c r="M170" s="365"/>
      <c r="N170" s="365"/>
      <c r="O170" s="365"/>
      <c r="P170" s="365"/>
      <c r="Q170" s="365"/>
      <c r="R170" s="365"/>
      <c r="S170" s="365"/>
      <c r="T170" s="365"/>
      <c r="U170" s="365"/>
      <c r="V170" s="365"/>
    </row>
    <row r="171" spans="1:22">
      <c r="A171" s="370">
        <v>3</v>
      </c>
      <c r="B171" s="371" t="s">
        <v>375</v>
      </c>
      <c r="C171" s="371" t="s">
        <v>335</v>
      </c>
      <c r="D171" s="371" t="s">
        <v>336</v>
      </c>
      <c r="E171" s="371" t="s">
        <v>354</v>
      </c>
      <c r="F171" s="371" t="s">
        <v>357</v>
      </c>
      <c r="G171" s="371" t="s">
        <v>372</v>
      </c>
      <c r="H171" s="372">
        <f ca="1">IFERROR(VLOOKUP(B171,TỒN!A:D,4,FALSE),0)</f>
        <v>0</v>
      </c>
      <c r="I171" s="373">
        <v>1700000</v>
      </c>
      <c r="J171" s="373">
        <v>1680000</v>
      </c>
      <c r="K171" s="376">
        <v>1620000</v>
      </c>
      <c r="L171" s="364" t="s">
        <v>444</v>
      </c>
      <c r="M171" s="365"/>
      <c r="N171" s="365"/>
      <c r="O171" s="365"/>
      <c r="P171" s="365"/>
      <c r="Q171" s="365"/>
      <c r="R171" s="365"/>
      <c r="S171" s="365"/>
      <c r="T171" s="365"/>
      <c r="U171" s="365"/>
      <c r="V171" s="365"/>
    </row>
    <row r="172" spans="1:22">
      <c r="A172" s="370">
        <v>4</v>
      </c>
      <c r="B172" s="371" t="s">
        <v>414</v>
      </c>
      <c r="C172" s="371" t="s">
        <v>335</v>
      </c>
      <c r="D172" s="371" t="s">
        <v>374</v>
      </c>
      <c r="E172" s="371" t="s">
        <v>359</v>
      </c>
      <c r="F172" s="371" t="s">
        <v>392</v>
      </c>
      <c r="G172" s="371" t="s">
        <v>372</v>
      </c>
      <c r="H172" s="372">
        <f ca="1">IFERROR(VLOOKUP(B172,TỒN!A:D,4,FALSE),0)</f>
        <v>0</v>
      </c>
      <c r="I172" s="373">
        <v>1648000</v>
      </c>
      <c r="J172" s="373">
        <v>1568000</v>
      </c>
      <c r="K172" s="376">
        <v>1500000</v>
      </c>
      <c r="L172" s="364" t="s">
        <v>444</v>
      </c>
      <c r="M172" s="365"/>
      <c r="N172" s="365"/>
      <c r="O172" s="365"/>
      <c r="P172" s="365"/>
      <c r="Q172" s="365"/>
      <c r="R172" s="365"/>
      <c r="S172" s="365"/>
      <c r="T172" s="365"/>
      <c r="U172" s="365"/>
      <c r="V172" s="365"/>
    </row>
    <row r="173" spans="1:22">
      <c r="A173" s="370">
        <v>5</v>
      </c>
      <c r="B173" s="371" t="s">
        <v>415</v>
      </c>
      <c r="C173" s="371" t="s">
        <v>335</v>
      </c>
      <c r="D173" s="371" t="s">
        <v>374</v>
      </c>
      <c r="E173" s="371" t="s">
        <v>364</v>
      </c>
      <c r="F173" s="371" t="s">
        <v>357</v>
      </c>
      <c r="G173" s="371" t="s">
        <v>372</v>
      </c>
      <c r="H173" s="372">
        <f ca="1">IFERROR(VLOOKUP(B173,TỒN!A:D,4,FALSE),0)</f>
        <v>0</v>
      </c>
      <c r="I173" s="373">
        <v>1668000</v>
      </c>
      <c r="J173" s="373">
        <v>1588000</v>
      </c>
      <c r="K173" s="376">
        <v>1520000</v>
      </c>
      <c r="L173" s="364" t="s">
        <v>444</v>
      </c>
      <c r="M173" s="365"/>
      <c r="N173" s="365"/>
      <c r="O173" s="365"/>
      <c r="P173" s="365"/>
      <c r="Q173" s="365"/>
      <c r="R173" s="365"/>
      <c r="S173" s="365"/>
      <c r="T173" s="365"/>
      <c r="U173" s="365"/>
      <c r="V173" s="365"/>
    </row>
    <row r="174" spans="1:22">
      <c r="A174" s="372">
        <v>5</v>
      </c>
      <c r="B174" s="371" t="s">
        <v>370</v>
      </c>
      <c r="C174" s="371" t="s">
        <v>335</v>
      </c>
      <c r="D174" s="371" t="s">
        <v>371</v>
      </c>
      <c r="E174" s="371" t="s">
        <v>337</v>
      </c>
      <c r="F174" s="371" t="s">
        <v>341</v>
      </c>
      <c r="G174" s="371" t="s">
        <v>372</v>
      </c>
      <c r="H174" s="372">
        <f ca="1">IFERROR(VLOOKUP(B174,TỒN!A:D,4,FALSE),0)</f>
        <v>262</v>
      </c>
      <c r="I174" s="400">
        <v>1810000</v>
      </c>
      <c r="J174" s="400">
        <v>1800000</v>
      </c>
      <c r="K174" s="376">
        <v>1790000</v>
      </c>
      <c r="L174" s="364" t="s">
        <v>444</v>
      </c>
      <c r="M174" s="365"/>
      <c r="N174" s="365"/>
      <c r="O174" s="365"/>
      <c r="P174" s="365"/>
      <c r="Q174" s="365"/>
      <c r="R174" s="365"/>
      <c r="S174" s="365"/>
      <c r="T174" s="365"/>
      <c r="U174" s="365"/>
      <c r="V174" s="365"/>
    </row>
    <row r="175" spans="1:22">
      <c r="A175" s="377"/>
      <c r="B175" s="349"/>
      <c r="C175" s="349"/>
      <c r="D175" s="349"/>
      <c r="E175" s="349"/>
      <c r="F175" s="349"/>
      <c r="G175" s="349"/>
      <c r="H175" s="349"/>
      <c r="I175" s="349"/>
      <c r="J175" s="347"/>
      <c r="K175" s="378"/>
      <c r="L175" s="253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</row>
    <row r="176" spans="1:22">
      <c r="A176" s="784" t="s">
        <v>383</v>
      </c>
      <c r="B176" s="669"/>
      <c r="C176" s="669"/>
      <c r="D176" s="669"/>
      <c r="E176" s="669"/>
      <c r="F176" s="669"/>
      <c r="G176" s="669"/>
      <c r="H176" s="670"/>
      <c r="I176" s="350" t="s">
        <v>419</v>
      </c>
      <c r="J176" s="350" t="s">
        <v>384</v>
      </c>
      <c r="K176" s="350" t="s">
        <v>407</v>
      </c>
      <c r="L176" s="34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</row>
    <row r="177" spans="1:22" ht="12.75">
      <c r="A177" s="380">
        <v>1</v>
      </c>
      <c r="B177" s="381" t="s">
        <v>385</v>
      </c>
      <c r="C177" s="381" t="s">
        <v>335</v>
      </c>
      <c r="D177" s="381" t="s">
        <v>386</v>
      </c>
      <c r="E177" s="381" t="s">
        <v>351</v>
      </c>
      <c r="F177" s="381" t="s">
        <v>341</v>
      </c>
      <c r="G177" s="381" t="s">
        <v>387</v>
      </c>
      <c r="H177" s="380">
        <f ca="1">IFERROR(VLOOKUP(B177,TỒN!A:D,4,FALSE),0)</f>
        <v>125</v>
      </c>
      <c r="I177" s="364">
        <v>2600000</v>
      </c>
      <c r="J177" s="382">
        <v>2550000</v>
      </c>
      <c r="K177" s="382">
        <v>2500000</v>
      </c>
      <c r="L177" s="364" t="s">
        <v>444</v>
      </c>
      <c r="M177" s="365"/>
      <c r="N177" s="365"/>
      <c r="O177" s="365"/>
      <c r="P177" s="365"/>
      <c r="Q177" s="365"/>
      <c r="R177" s="365"/>
      <c r="S177" s="365"/>
      <c r="T177" s="365"/>
      <c r="U177" s="365"/>
      <c r="V177" s="365"/>
    </row>
    <row r="178" spans="1:22" ht="12.75">
      <c r="A178" s="380">
        <v>2</v>
      </c>
      <c r="B178" s="381" t="s">
        <v>388</v>
      </c>
      <c r="C178" s="381" t="s">
        <v>335</v>
      </c>
      <c r="D178" s="381" t="s">
        <v>386</v>
      </c>
      <c r="E178" s="381" t="s">
        <v>354</v>
      </c>
      <c r="F178" s="381" t="s">
        <v>357</v>
      </c>
      <c r="G178" s="381" t="s">
        <v>387</v>
      </c>
      <c r="H178" s="380">
        <f ca="1">IFERROR(VLOOKUP(B178,TỒN!A:D,4,FALSE),0)</f>
        <v>2</v>
      </c>
      <c r="I178" s="382">
        <v>2490000</v>
      </c>
      <c r="J178" s="382">
        <v>2440000</v>
      </c>
      <c r="K178" s="382">
        <v>2390000</v>
      </c>
      <c r="L178" s="364" t="s">
        <v>444</v>
      </c>
      <c r="M178" s="365"/>
      <c r="N178" s="365"/>
      <c r="O178" s="365"/>
      <c r="P178" s="365"/>
      <c r="Q178" s="365"/>
      <c r="R178" s="365"/>
      <c r="S178" s="365"/>
      <c r="T178" s="365"/>
      <c r="U178" s="365"/>
      <c r="V178" s="365"/>
    </row>
    <row r="179" spans="1:22" ht="12.75">
      <c r="A179" s="380">
        <v>3</v>
      </c>
      <c r="B179" s="381" t="s">
        <v>418</v>
      </c>
      <c r="C179" s="381" t="s">
        <v>335</v>
      </c>
      <c r="D179" s="381" t="s">
        <v>386</v>
      </c>
      <c r="E179" s="381" t="s">
        <v>359</v>
      </c>
      <c r="F179" s="381" t="s">
        <v>392</v>
      </c>
      <c r="G179" s="381" t="s">
        <v>387</v>
      </c>
      <c r="H179" s="383">
        <f ca="1">IFERROR(VLOOKUP(B179,TỒN!A:D,4,FALSE),0)</f>
        <v>0</v>
      </c>
      <c r="I179" s="382">
        <v>2620000</v>
      </c>
      <c r="J179" s="382">
        <v>2570000</v>
      </c>
      <c r="K179" s="382">
        <v>2520000</v>
      </c>
      <c r="L179" s="364" t="s">
        <v>444</v>
      </c>
      <c r="M179" s="365"/>
      <c r="N179" s="365"/>
      <c r="O179" s="365"/>
      <c r="P179" s="365"/>
      <c r="Q179" s="365"/>
      <c r="R179" s="365"/>
      <c r="S179" s="365"/>
      <c r="T179" s="365"/>
      <c r="U179" s="365"/>
      <c r="V179" s="365"/>
    </row>
    <row r="180" spans="1:22" ht="12.75">
      <c r="A180" s="380">
        <v>4</v>
      </c>
      <c r="B180" s="381" t="s">
        <v>393</v>
      </c>
      <c r="C180" s="381" t="s">
        <v>335</v>
      </c>
      <c r="D180" s="381" t="s">
        <v>386</v>
      </c>
      <c r="E180" s="381" t="s">
        <v>364</v>
      </c>
      <c r="F180" s="381" t="s">
        <v>357</v>
      </c>
      <c r="G180" s="381" t="s">
        <v>387</v>
      </c>
      <c r="H180" s="380">
        <f ca="1">IFERROR(VLOOKUP(B180,TỒN!A:D,4,FALSE),0)</f>
        <v>0</v>
      </c>
      <c r="I180" s="382">
        <v>2520000</v>
      </c>
      <c r="J180" s="382">
        <v>2470000</v>
      </c>
      <c r="K180" s="382">
        <v>2420000</v>
      </c>
      <c r="L180" s="364" t="s">
        <v>444</v>
      </c>
      <c r="M180" s="365"/>
      <c r="N180" s="365"/>
      <c r="O180" s="365"/>
      <c r="P180" s="365"/>
      <c r="Q180" s="365"/>
      <c r="R180" s="365"/>
      <c r="S180" s="365"/>
      <c r="T180" s="365"/>
      <c r="U180" s="365"/>
      <c r="V180" s="365"/>
    </row>
    <row r="181" spans="1:22">
      <c r="A181" s="785" t="s">
        <v>394</v>
      </c>
      <c r="B181" s="672"/>
      <c r="C181" s="672"/>
      <c r="D181" s="672"/>
      <c r="E181" s="672"/>
      <c r="F181" s="672"/>
      <c r="G181" s="672"/>
      <c r="H181" s="672"/>
      <c r="I181" s="384" t="s">
        <v>419</v>
      </c>
      <c r="J181" s="349"/>
      <c r="K181" s="349"/>
      <c r="L181" s="377"/>
      <c r="M181" s="239"/>
      <c r="N181" s="239"/>
      <c r="O181" s="239"/>
      <c r="P181" s="239"/>
      <c r="Q181" s="239"/>
      <c r="R181" s="239"/>
      <c r="S181" s="239"/>
      <c r="T181" s="239"/>
      <c r="U181" s="239"/>
      <c r="V181" s="239"/>
    </row>
    <row r="182" spans="1:22" ht="12.75">
      <c r="A182" s="380" t="s">
        <v>122</v>
      </c>
      <c r="B182" s="381" t="s">
        <v>433</v>
      </c>
      <c r="C182" s="381" t="s">
        <v>335</v>
      </c>
      <c r="D182" s="381" t="s">
        <v>411</v>
      </c>
      <c r="E182" s="381" t="s">
        <v>351</v>
      </c>
      <c r="F182" s="381" t="s">
        <v>341</v>
      </c>
      <c r="G182" s="381" t="s">
        <v>412</v>
      </c>
      <c r="H182" s="380">
        <f ca="1">IFERROR(VLOOKUP(B182,TỒN!A:D,4,FALSE),0)</f>
        <v>0</v>
      </c>
      <c r="I182" s="385">
        <v>1660000</v>
      </c>
      <c r="J182" s="386">
        <f t="shared" ref="J182:J191" ca="1" si="70">I182*H182</f>
        <v>0</v>
      </c>
      <c r="K182" s="387"/>
      <c r="L182" s="388"/>
      <c r="M182" s="239"/>
      <c r="N182" s="239"/>
      <c r="O182" s="239"/>
      <c r="P182" s="239"/>
      <c r="Q182" s="239"/>
      <c r="R182" s="239"/>
      <c r="S182" s="239"/>
      <c r="T182" s="239"/>
      <c r="U182" s="239"/>
      <c r="V182" s="239"/>
    </row>
    <row r="183" spans="1:22" ht="12.75">
      <c r="A183" s="380" t="s">
        <v>122</v>
      </c>
      <c r="B183" s="381" t="s">
        <v>395</v>
      </c>
      <c r="C183" s="381" t="s">
        <v>335</v>
      </c>
      <c r="D183" s="381" t="s">
        <v>336</v>
      </c>
      <c r="E183" s="381" t="s">
        <v>351</v>
      </c>
      <c r="F183" s="381" t="s">
        <v>341</v>
      </c>
      <c r="G183" s="381" t="s">
        <v>396</v>
      </c>
      <c r="H183" s="380">
        <f ca="1">IFERROR(VLOOKUP(B183,TỒN!A:D,4,FALSE),0)</f>
        <v>0</v>
      </c>
      <c r="I183" s="385">
        <v>1400000</v>
      </c>
      <c r="J183" s="386">
        <f t="shared" ca="1" si="70"/>
        <v>0</v>
      </c>
      <c r="K183" s="387"/>
      <c r="L183" s="388"/>
      <c r="M183" s="239"/>
      <c r="N183" s="239"/>
      <c r="O183" s="239"/>
      <c r="P183" s="239"/>
      <c r="Q183" s="239"/>
      <c r="R183" s="239"/>
      <c r="S183" s="239"/>
      <c r="T183" s="239"/>
      <c r="U183" s="239"/>
      <c r="V183" s="239"/>
    </row>
    <row r="184" spans="1:22" ht="12.75">
      <c r="A184" s="380" t="s">
        <v>122</v>
      </c>
      <c r="B184" s="381" t="s">
        <v>434</v>
      </c>
      <c r="C184" s="381" t="s">
        <v>335</v>
      </c>
      <c r="D184" s="381" t="s">
        <v>336</v>
      </c>
      <c r="E184" s="381" t="s">
        <v>354</v>
      </c>
      <c r="F184" s="381" t="s">
        <v>357</v>
      </c>
      <c r="G184" s="381" t="s">
        <v>396</v>
      </c>
      <c r="H184" s="380">
        <f ca="1">IFERROR(VLOOKUP(B184,TỒN!A:D,4,FALSE),0)</f>
        <v>0</v>
      </c>
      <c r="I184" s="385">
        <v>1300000</v>
      </c>
      <c r="J184" s="386">
        <f t="shared" ca="1" si="70"/>
        <v>0</v>
      </c>
      <c r="K184" s="387"/>
      <c r="L184" s="388"/>
      <c r="M184" s="239"/>
      <c r="N184" s="239"/>
      <c r="O184" s="239"/>
      <c r="P184" s="239"/>
      <c r="Q184" s="239"/>
      <c r="R184" s="239"/>
      <c r="S184" s="239"/>
      <c r="T184" s="239"/>
      <c r="U184" s="239"/>
      <c r="V184" s="239"/>
    </row>
    <row r="185" spans="1:22" ht="12.75">
      <c r="A185" s="380" t="s">
        <v>122</v>
      </c>
      <c r="B185" s="381" t="s">
        <v>378</v>
      </c>
      <c r="C185" s="381" t="s">
        <v>335</v>
      </c>
      <c r="D185" s="381" t="s">
        <v>371</v>
      </c>
      <c r="E185" s="381" t="s">
        <v>354</v>
      </c>
      <c r="F185" s="381" t="s">
        <v>357</v>
      </c>
      <c r="G185" s="381" t="s">
        <v>372</v>
      </c>
      <c r="H185" s="380">
        <f ca="1">IFERROR(VLOOKUP(B185,TỒN!A:D,4,FALSE),0)</f>
        <v>267</v>
      </c>
      <c r="I185" s="385">
        <v>1390000</v>
      </c>
      <c r="J185" s="386">
        <f t="shared" ca="1" si="70"/>
        <v>371130000</v>
      </c>
      <c r="K185" s="387"/>
      <c r="L185" s="388"/>
      <c r="M185" s="239"/>
      <c r="N185" s="239"/>
      <c r="O185" s="239"/>
      <c r="P185" s="239"/>
      <c r="Q185" s="239"/>
      <c r="R185" s="239"/>
      <c r="S185" s="239"/>
      <c r="T185" s="239"/>
      <c r="U185" s="239"/>
      <c r="V185" s="239"/>
    </row>
    <row r="186" spans="1:22" ht="12.75">
      <c r="A186" s="380" t="s">
        <v>122</v>
      </c>
      <c r="B186" s="389" t="s">
        <v>420</v>
      </c>
      <c r="C186" s="381" t="s">
        <v>335</v>
      </c>
      <c r="D186" s="381" t="s">
        <v>411</v>
      </c>
      <c r="E186" s="381" t="s">
        <v>354</v>
      </c>
      <c r="F186" s="381" t="s">
        <v>357</v>
      </c>
      <c r="G186" s="381" t="s">
        <v>372</v>
      </c>
      <c r="H186" s="380">
        <f ca="1">IFERROR(VLOOKUP(B186,TỒN!A:D,4,FALSE),0)</f>
        <v>0</v>
      </c>
      <c r="I186" s="385">
        <v>1400000</v>
      </c>
      <c r="J186" s="386">
        <f t="shared" ca="1" si="70"/>
        <v>0</v>
      </c>
      <c r="K186" s="387"/>
      <c r="L186" s="388"/>
      <c r="M186" s="239"/>
      <c r="N186" s="239"/>
      <c r="O186" s="239"/>
      <c r="P186" s="239"/>
      <c r="Q186" s="239"/>
      <c r="R186" s="239"/>
      <c r="S186" s="239"/>
      <c r="T186" s="239"/>
      <c r="U186" s="239"/>
      <c r="V186" s="239"/>
    </row>
    <row r="187" spans="1:22" ht="12.75">
      <c r="A187" s="380" t="s">
        <v>122</v>
      </c>
      <c r="B187" s="381" t="s">
        <v>397</v>
      </c>
      <c r="C187" s="381" t="s">
        <v>335</v>
      </c>
      <c r="D187" s="381" t="s">
        <v>398</v>
      </c>
      <c r="E187" s="381" t="s">
        <v>354</v>
      </c>
      <c r="F187" s="381" t="s">
        <v>357</v>
      </c>
      <c r="G187" s="381" t="s">
        <v>339</v>
      </c>
      <c r="H187" s="380">
        <f ca="1">IFERROR(VLOOKUP(B187,TỒN!A:D,4,FALSE),0)</f>
        <v>0</v>
      </c>
      <c r="I187" s="385">
        <v>1920000</v>
      </c>
      <c r="J187" s="386">
        <f t="shared" ca="1" si="70"/>
        <v>0</v>
      </c>
      <c r="K187" s="387"/>
      <c r="L187" s="388"/>
      <c r="M187" s="239"/>
      <c r="N187" s="239"/>
      <c r="O187" s="239"/>
      <c r="P187" s="239"/>
      <c r="Q187" s="239"/>
      <c r="R187" s="239"/>
      <c r="S187" s="239"/>
      <c r="T187" s="239"/>
      <c r="U187" s="239"/>
      <c r="V187" s="239"/>
    </row>
    <row r="188" spans="1:22" ht="12.75">
      <c r="A188" s="380" t="s">
        <v>122</v>
      </c>
      <c r="B188" s="381" t="s">
        <v>435</v>
      </c>
      <c r="C188" s="381" t="s">
        <v>335</v>
      </c>
      <c r="D188" s="381" t="s">
        <v>436</v>
      </c>
      <c r="E188" s="381" t="s">
        <v>337</v>
      </c>
      <c r="F188" s="381" t="s">
        <v>341</v>
      </c>
      <c r="G188" s="381" t="s">
        <v>372</v>
      </c>
      <c r="H188" s="380">
        <f ca="1">IFERROR(VLOOKUP(B188,TỒN!A:D,4,FALSE),0)</f>
        <v>0</v>
      </c>
      <c r="I188" s="385">
        <v>1370000</v>
      </c>
      <c r="J188" s="386">
        <f t="shared" ca="1" si="70"/>
        <v>0</v>
      </c>
      <c r="K188" s="387"/>
      <c r="L188" s="388"/>
      <c r="M188" s="239"/>
      <c r="N188" s="239"/>
      <c r="O188" s="239"/>
      <c r="P188" s="239"/>
      <c r="Q188" s="239"/>
      <c r="R188" s="239"/>
      <c r="S188" s="239"/>
      <c r="T188" s="239"/>
      <c r="U188" s="239"/>
      <c r="V188" s="239"/>
    </row>
    <row r="189" spans="1:22" ht="12.75">
      <c r="A189" s="380" t="s">
        <v>122</v>
      </c>
      <c r="B189" s="381" t="s">
        <v>421</v>
      </c>
      <c r="C189" s="381" t="s">
        <v>335</v>
      </c>
      <c r="D189" s="381" t="s">
        <v>422</v>
      </c>
      <c r="E189" s="381" t="s">
        <v>337</v>
      </c>
      <c r="F189" s="381" t="s">
        <v>423</v>
      </c>
      <c r="G189" s="381" t="s">
        <v>372</v>
      </c>
      <c r="H189" s="380">
        <f ca="1">IFERROR(VLOOKUP(B189,TỒN!A:D,4,FALSE),0)</f>
        <v>0</v>
      </c>
      <c r="I189" s="385">
        <v>2270000</v>
      </c>
      <c r="J189" s="386">
        <f t="shared" ca="1" si="70"/>
        <v>0</v>
      </c>
      <c r="K189" s="387"/>
      <c r="L189" s="388"/>
      <c r="M189" s="239"/>
      <c r="N189" s="239"/>
      <c r="O189" s="239"/>
      <c r="P189" s="239"/>
      <c r="Q189" s="239"/>
      <c r="R189" s="239"/>
      <c r="S189" s="239"/>
      <c r="T189" s="239"/>
      <c r="U189" s="239"/>
      <c r="V189" s="239"/>
    </row>
    <row r="190" spans="1:22" ht="12.75">
      <c r="A190" s="380" t="s">
        <v>122</v>
      </c>
      <c r="B190" s="381" t="s">
        <v>446</v>
      </c>
      <c r="C190" s="381" t="s">
        <v>335</v>
      </c>
      <c r="D190" s="381" t="s">
        <v>336</v>
      </c>
      <c r="E190" s="381" t="s">
        <v>359</v>
      </c>
      <c r="F190" s="381" t="s">
        <v>362</v>
      </c>
      <c r="G190" s="381" t="s">
        <v>396</v>
      </c>
      <c r="H190" s="380">
        <f ca="1">IFERROR(VLOOKUP(B190,TỒN!A:D,4,FALSE),0)</f>
        <v>0</v>
      </c>
      <c r="I190" s="385">
        <v>1520000</v>
      </c>
      <c r="J190" s="386">
        <f t="shared" ca="1" si="70"/>
        <v>0</v>
      </c>
      <c r="K190" s="387"/>
      <c r="L190" s="388"/>
      <c r="M190" s="239"/>
      <c r="N190" s="239"/>
      <c r="O190" s="239"/>
      <c r="P190" s="239"/>
      <c r="Q190" s="239"/>
      <c r="R190" s="239"/>
      <c r="S190" s="239"/>
      <c r="T190" s="239"/>
      <c r="U190" s="239"/>
      <c r="V190" s="239"/>
    </row>
    <row r="191" spans="1:22" ht="12.75">
      <c r="A191" s="380" t="s">
        <v>122</v>
      </c>
      <c r="B191" s="381" t="s">
        <v>424</v>
      </c>
      <c r="C191" s="381" t="s">
        <v>335</v>
      </c>
      <c r="D191" s="381" t="s">
        <v>336</v>
      </c>
      <c r="E191" s="381" t="s">
        <v>364</v>
      </c>
      <c r="F191" s="381" t="s">
        <v>357</v>
      </c>
      <c r="G191" s="381" t="s">
        <v>396</v>
      </c>
      <c r="H191" s="380">
        <f ca="1">IFERROR(VLOOKUP(B191,TỒN!A:D,4,FALSE),0)</f>
        <v>0</v>
      </c>
      <c r="I191" s="385">
        <v>1520000</v>
      </c>
      <c r="J191" s="386">
        <f t="shared" ca="1" si="70"/>
        <v>0</v>
      </c>
      <c r="K191" s="387"/>
      <c r="L191" s="388"/>
      <c r="M191" s="239"/>
      <c r="N191" s="239"/>
      <c r="O191" s="239"/>
      <c r="P191" s="239"/>
      <c r="Q191" s="239"/>
      <c r="R191" s="239"/>
      <c r="S191" s="239"/>
      <c r="T191" s="239"/>
      <c r="U191" s="239"/>
      <c r="V191" s="239"/>
    </row>
    <row r="192" spans="1:22">
      <c r="A192" s="387"/>
      <c r="B192" s="387"/>
      <c r="C192" s="387"/>
      <c r="D192" s="387"/>
      <c r="E192" s="387"/>
      <c r="F192" s="387"/>
      <c r="G192" s="387"/>
      <c r="H192" s="387"/>
      <c r="I192" s="390" t="s">
        <v>437</v>
      </c>
      <c r="J192" s="391">
        <f ca="1">SUM(J182:J191)</f>
        <v>371130000</v>
      </c>
      <c r="K192" s="387"/>
      <c r="L192" s="388"/>
      <c r="M192" s="239"/>
      <c r="N192" s="239"/>
      <c r="O192" s="239"/>
      <c r="P192" s="239"/>
      <c r="Q192" s="239"/>
      <c r="R192" s="239"/>
      <c r="S192" s="239"/>
      <c r="T192" s="239"/>
      <c r="U192" s="239"/>
      <c r="V192" s="239"/>
    </row>
    <row r="193" spans="1:22" ht="12.75">
      <c r="A193" s="387"/>
      <c r="B193" s="786"/>
      <c r="C193" s="787"/>
      <c r="D193" s="787"/>
      <c r="E193" s="787"/>
      <c r="F193" s="787"/>
      <c r="G193" s="787"/>
      <c r="H193" s="787"/>
      <c r="I193" s="787"/>
      <c r="J193" s="787"/>
      <c r="K193" s="788"/>
      <c r="L193" s="89"/>
      <c r="M193" s="401"/>
      <c r="N193" s="401"/>
      <c r="O193" s="401"/>
      <c r="P193" s="401"/>
      <c r="Q193" s="401"/>
      <c r="R193" s="401"/>
      <c r="S193" s="401"/>
      <c r="T193" s="401"/>
      <c r="U193" s="401"/>
      <c r="V193" s="401"/>
    </row>
    <row r="194" spans="1:22">
      <c r="A194" s="789">
        <v>1</v>
      </c>
      <c r="B194" s="792">
        <v>1</v>
      </c>
      <c r="C194" s="780" t="s">
        <v>438</v>
      </c>
      <c r="D194" s="669"/>
      <c r="E194" s="669"/>
      <c r="F194" s="669"/>
      <c r="G194" s="669"/>
      <c r="H194" s="669"/>
      <c r="I194" s="669"/>
      <c r="J194" s="669"/>
      <c r="K194" s="670"/>
      <c r="L194" s="392"/>
      <c r="M194" s="393"/>
      <c r="N194" s="393"/>
      <c r="O194" s="393"/>
      <c r="P194" s="393"/>
      <c r="Q194" s="393"/>
      <c r="R194" s="393"/>
      <c r="S194" s="393"/>
      <c r="T194" s="393"/>
      <c r="U194" s="393"/>
      <c r="V194" s="393"/>
    </row>
    <row r="195" spans="1:22">
      <c r="A195" s="790"/>
      <c r="B195" s="790"/>
      <c r="C195" s="780" t="s">
        <v>439</v>
      </c>
      <c r="D195" s="669"/>
      <c r="E195" s="669"/>
      <c r="F195" s="669"/>
      <c r="G195" s="669"/>
      <c r="H195" s="669"/>
      <c r="I195" s="669"/>
      <c r="J195" s="669"/>
      <c r="K195" s="670"/>
      <c r="L195" s="392"/>
      <c r="M195" s="393"/>
      <c r="N195" s="393"/>
      <c r="O195" s="393"/>
      <c r="P195" s="393"/>
      <c r="Q195" s="393"/>
      <c r="R195" s="393"/>
      <c r="S195" s="393"/>
      <c r="T195" s="393"/>
      <c r="U195" s="393"/>
      <c r="V195" s="393"/>
    </row>
    <row r="196" spans="1:22">
      <c r="A196" s="790"/>
      <c r="B196" s="790"/>
      <c r="C196" s="780" t="s">
        <v>440</v>
      </c>
      <c r="D196" s="669"/>
      <c r="E196" s="669"/>
      <c r="F196" s="669"/>
      <c r="G196" s="669"/>
      <c r="H196" s="669"/>
      <c r="I196" s="669"/>
      <c r="J196" s="669"/>
      <c r="K196" s="670"/>
      <c r="L196" s="392"/>
      <c r="M196" s="393"/>
      <c r="N196" s="393"/>
      <c r="O196" s="393"/>
      <c r="P196" s="393"/>
      <c r="Q196" s="393"/>
      <c r="R196" s="393"/>
      <c r="S196" s="393"/>
      <c r="T196" s="393"/>
      <c r="U196" s="393"/>
      <c r="V196" s="393"/>
    </row>
    <row r="197" spans="1:22">
      <c r="A197" s="791"/>
      <c r="B197" s="791"/>
      <c r="C197" s="793" t="s">
        <v>286</v>
      </c>
      <c r="D197" s="669"/>
      <c r="E197" s="669"/>
      <c r="F197" s="669"/>
      <c r="G197" s="669"/>
      <c r="H197" s="669"/>
      <c r="I197" s="669"/>
      <c r="J197" s="669"/>
      <c r="K197" s="670"/>
      <c r="L197" s="394"/>
      <c r="M197" s="395"/>
      <c r="N197" s="395"/>
      <c r="O197" s="395"/>
      <c r="P197" s="395"/>
      <c r="Q197" s="395"/>
      <c r="R197" s="395"/>
      <c r="S197" s="395"/>
      <c r="T197" s="395"/>
      <c r="U197" s="395"/>
      <c r="V197" s="395"/>
    </row>
    <row r="198" spans="1:22">
      <c r="A198" s="396">
        <v>2</v>
      </c>
      <c r="B198" s="397">
        <v>2</v>
      </c>
      <c r="C198" s="780" t="s">
        <v>261</v>
      </c>
      <c r="D198" s="669"/>
      <c r="E198" s="669"/>
      <c r="F198" s="669"/>
      <c r="G198" s="669"/>
      <c r="H198" s="669"/>
      <c r="I198" s="669"/>
      <c r="J198" s="669"/>
      <c r="K198" s="670"/>
      <c r="L198" s="392"/>
      <c r="M198" s="393"/>
      <c r="N198" s="393"/>
      <c r="O198" s="393"/>
      <c r="P198" s="393"/>
      <c r="Q198" s="393"/>
      <c r="R198" s="393"/>
      <c r="S198" s="393"/>
      <c r="T198" s="393"/>
      <c r="U198" s="393"/>
      <c r="V198" s="393"/>
    </row>
    <row r="199" spans="1:22">
      <c r="A199" s="398">
        <v>3</v>
      </c>
      <c r="B199" s="397">
        <v>3</v>
      </c>
      <c r="C199" s="780" t="s">
        <v>447</v>
      </c>
      <c r="D199" s="669"/>
      <c r="E199" s="669"/>
      <c r="F199" s="669"/>
      <c r="G199" s="669"/>
      <c r="H199" s="669"/>
      <c r="I199" s="669"/>
      <c r="J199" s="669"/>
      <c r="K199" s="670"/>
      <c r="L199" s="392"/>
      <c r="M199" s="393"/>
      <c r="N199" s="393"/>
      <c r="O199" s="393"/>
      <c r="P199" s="393"/>
      <c r="Q199" s="393"/>
      <c r="R199" s="393"/>
      <c r="S199" s="393"/>
      <c r="T199" s="393"/>
      <c r="U199" s="393"/>
      <c r="V199" s="393"/>
    </row>
    <row r="200" spans="1:22">
      <c r="A200" s="275"/>
      <c r="B200" s="275"/>
      <c r="C200" s="275"/>
      <c r="D200" s="275"/>
      <c r="E200" s="275"/>
      <c r="F200" s="275"/>
      <c r="G200" s="275"/>
      <c r="H200" s="275"/>
      <c r="I200" s="275"/>
      <c r="J200" s="275"/>
      <c r="K200" s="275"/>
      <c r="L200" s="275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1:22">
      <c r="A201" s="275"/>
      <c r="B201" s="275"/>
      <c r="C201" s="275"/>
      <c r="D201" s="275"/>
      <c r="E201" s="275"/>
      <c r="F201" s="275"/>
      <c r="G201" s="275"/>
      <c r="H201" s="275"/>
      <c r="I201" s="275"/>
      <c r="J201" s="275"/>
      <c r="K201" s="275"/>
      <c r="L201" s="275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1:22">
      <c r="A202" s="275"/>
      <c r="B202" s="275"/>
      <c r="C202" s="275"/>
      <c r="D202" s="275"/>
      <c r="E202" s="275"/>
      <c r="F202" s="275"/>
      <c r="G202" s="275"/>
      <c r="H202" s="275"/>
      <c r="I202" s="275"/>
      <c r="J202" s="275"/>
      <c r="K202" s="275"/>
      <c r="L202" s="275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1:22">
      <c r="A203" s="275"/>
      <c r="B203" s="275"/>
      <c r="C203" s="275"/>
      <c r="D203" s="275"/>
      <c r="E203" s="275"/>
      <c r="F203" s="275"/>
      <c r="G203" s="275"/>
      <c r="H203" s="275"/>
      <c r="I203" s="275"/>
      <c r="J203" s="275"/>
      <c r="K203" s="275"/>
      <c r="L203" s="275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1:22">
      <c r="A204" s="275"/>
      <c r="B204" s="275"/>
      <c r="C204" s="275"/>
      <c r="D204" s="275"/>
      <c r="E204" s="275"/>
      <c r="F204" s="275"/>
      <c r="G204" s="275"/>
      <c r="H204" s="275"/>
      <c r="I204" s="275"/>
      <c r="J204" s="275"/>
      <c r="K204" s="275"/>
      <c r="L204" s="275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1:22">
      <c r="A205" s="794" t="s">
        <v>448</v>
      </c>
      <c r="B205" s="669"/>
      <c r="C205" s="669"/>
      <c r="D205" s="669"/>
      <c r="E205" s="669"/>
      <c r="F205" s="669"/>
      <c r="G205" s="669"/>
      <c r="H205" s="669"/>
      <c r="I205" s="669"/>
      <c r="J205" s="669"/>
      <c r="K205" s="670"/>
      <c r="L205" s="275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1:22" ht="27" customHeight="1">
      <c r="A206" s="346" t="s">
        <v>2</v>
      </c>
      <c r="B206" s="346" t="s">
        <v>426</v>
      </c>
      <c r="C206" s="795" t="s">
        <v>329</v>
      </c>
      <c r="D206" s="669"/>
      <c r="E206" s="669"/>
      <c r="F206" s="669"/>
      <c r="G206" s="670"/>
      <c r="H206" s="346" t="s">
        <v>406</v>
      </c>
      <c r="I206" s="796" t="s">
        <v>427</v>
      </c>
      <c r="J206" s="669"/>
      <c r="K206" s="670"/>
      <c r="L206" s="34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</row>
    <row r="207" spans="1:22" ht="30">
      <c r="A207" s="349"/>
      <c r="B207" s="346"/>
      <c r="C207" s="346"/>
      <c r="D207" s="346"/>
      <c r="E207" s="346"/>
      <c r="F207" s="346"/>
      <c r="G207" s="346"/>
      <c r="H207" s="349"/>
      <c r="I207" s="350" t="s">
        <v>83</v>
      </c>
      <c r="J207" s="351" t="s">
        <v>428</v>
      </c>
      <c r="K207" s="351" t="s">
        <v>429</v>
      </c>
      <c r="L207" s="352"/>
      <c r="M207" s="353"/>
      <c r="N207" s="353"/>
      <c r="O207" s="353"/>
      <c r="P207" s="353"/>
      <c r="Q207" s="353"/>
      <c r="R207" s="353"/>
      <c r="S207" s="353"/>
      <c r="T207" s="353"/>
      <c r="U207" s="353"/>
      <c r="V207" s="353"/>
    </row>
    <row r="208" spans="1:22">
      <c r="A208" s="784" t="s">
        <v>449</v>
      </c>
      <c r="B208" s="669"/>
      <c r="C208" s="669"/>
      <c r="D208" s="669"/>
      <c r="E208" s="669"/>
      <c r="F208" s="669"/>
      <c r="G208" s="669"/>
      <c r="H208" s="669"/>
      <c r="I208" s="669"/>
      <c r="J208" s="670"/>
      <c r="K208" s="399"/>
      <c r="L208" s="154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</row>
    <row r="209" spans="1:22">
      <c r="A209" s="781"/>
      <c r="B209" s="782"/>
      <c r="C209" s="782"/>
      <c r="D209" s="782"/>
      <c r="E209" s="782"/>
      <c r="F209" s="782"/>
      <c r="G209" s="782"/>
      <c r="H209" s="782"/>
      <c r="I209" s="783"/>
      <c r="J209" s="356"/>
      <c r="K209" s="357"/>
      <c r="L209" s="357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</row>
    <row r="210" spans="1:22">
      <c r="A210" s="359">
        <v>1</v>
      </c>
      <c r="B210" s="356" t="s">
        <v>342</v>
      </c>
      <c r="C210" s="360" t="s">
        <v>335</v>
      </c>
      <c r="D210" s="360" t="s">
        <v>336</v>
      </c>
      <c r="E210" s="360" t="s">
        <v>343</v>
      </c>
      <c r="F210" s="360" t="s">
        <v>338</v>
      </c>
      <c r="G210" s="360" t="s">
        <v>339</v>
      </c>
      <c r="H210" s="361">
        <f ca="1">IFERROR(VLOOKUP(B210,TỒN!A:D,4,FALSE),0)</f>
        <v>1144</v>
      </c>
      <c r="I210" s="362">
        <v>399000</v>
      </c>
      <c r="J210" s="362">
        <v>391700</v>
      </c>
      <c r="K210" s="363">
        <v>378000</v>
      </c>
      <c r="L210" s="364" t="s">
        <v>450</v>
      </c>
      <c r="M210" s="365"/>
      <c r="N210" s="365"/>
      <c r="O210" s="365"/>
      <c r="P210" s="365"/>
      <c r="Q210" s="365"/>
      <c r="R210" s="365"/>
      <c r="S210" s="365"/>
      <c r="T210" s="365"/>
      <c r="U210" s="365"/>
      <c r="V210" s="365"/>
    </row>
    <row r="211" spans="1:22">
      <c r="A211" s="366">
        <v>2</v>
      </c>
      <c r="B211" s="356" t="s">
        <v>344</v>
      </c>
      <c r="C211" s="356" t="s">
        <v>335</v>
      </c>
      <c r="D211" s="356" t="s">
        <v>336</v>
      </c>
      <c r="E211" s="356" t="s">
        <v>343</v>
      </c>
      <c r="F211" s="356" t="s">
        <v>345</v>
      </c>
      <c r="G211" s="356" t="s">
        <v>339</v>
      </c>
      <c r="H211" s="361">
        <f ca="1">IFERROR(VLOOKUP(B211,TỒN!A:D,4,FALSE),0)</f>
        <v>171</v>
      </c>
      <c r="I211" s="362">
        <v>777000</v>
      </c>
      <c r="J211" s="362">
        <v>724500</v>
      </c>
      <c r="K211" s="363">
        <v>682500</v>
      </c>
      <c r="L211" s="364" t="s">
        <v>450</v>
      </c>
      <c r="M211" s="365"/>
      <c r="N211" s="365"/>
      <c r="O211" s="365"/>
      <c r="P211" s="365"/>
      <c r="Q211" s="365"/>
      <c r="R211" s="365"/>
      <c r="S211" s="365"/>
      <c r="T211" s="365"/>
      <c r="U211" s="365"/>
      <c r="V211" s="365"/>
    </row>
    <row r="212" spans="1:22">
      <c r="A212" s="366">
        <v>3</v>
      </c>
      <c r="B212" s="356" t="s">
        <v>348</v>
      </c>
      <c r="C212" s="356" t="s">
        <v>335</v>
      </c>
      <c r="D212" s="356" t="s">
        <v>336</v>
      </c>
      <c r="E212" s="356" t="s">
        <v>343</v>
      </c>
      <c r="F212" s="356" t="s">
        <v>349</v>
      </c>
      <c r="G212" s="356" t="s">
        <v>339</v>
      </c>
      <c r="H212" s="361">
        <f ca="1">IFERROR(VLOOKUP(B212,TỒN!A:D,4,FALSE),0)</f>
        <v>1</v>
      </c>
      <c r="I212" s="362">
        <v>1047900</v>
      </c>
      <c r="J212" s="362">
        <v>1005900</v>
      </c>
      <c r="K212" s="363">
        <v>929300</v>
      </c>
      <c r="L212" s="364" t="s">
        <v>450</v>
      </c>
      <c r="M212" s="365"/>
      <c r="N212" s="365"/>
      <c r="O212" s="365"/>
      <c r="P212" s="365"/>
      <c r="Q212" s="365"/>
      <c r="R212" s="365"/>
      <c r="S212" s="365"/>
      <c r="T212" s="365"/>
      <c r="U212" s="365"/>
      <c r="V212" s="365"/>
    </row>
    <row r="213" spans="1:22">
      <c r="A213" s="366">
        <v>4</v>
      </c>
      <c r="B213" s="356" t="s">
        <v>350</v>
      </c>
      <c r="C213" s="356" t="s">
        <v>335</v>
      </c>
      <c r="D213" s="356" t="s">
        <v>336</v>
      </c>
      <c r="E213" s="356" t="s">
        <v>351</v>
      </c>
      <c r="F213" s="356" t="s">
        <v>338</v>
      </c>
      <c r="G213" s="356" t="s">
        <v>339</v>
      </c>
      <c r="H213" s="361">
        <f ca="1">IFERROR(VLOOKUP(B213,TỒN!A:D,4,FALSE),0)</f>
        <v>3054</v>
      </c>
      <c r="I213" s="362">
        <v>467300</v>
      </c>
      <c r="J213" s="362">
        <v>457800</v>
      </c>
      <c r="K213" s="363">
        <v>420000</v>
      </c>
      <c r="L213" s="364" t="s">
        <v>450</v>
      </c>
      <c r="M213" s="365"/>
      <c r="N213" s="365"/>
      <c r="O213" s="365"/>
      <c r="P213" s="365"/>
      <c r="Q213" s="365"/>
      <c r="R213" s="365"/>
      <c r="S213" s="365"/>
      <c r="T213" s="365"/>
      <c r="U213" s="365"/>
      <c r="V213" s="365"/>
    </row>
    <row r="214" spans="1:22">
      <c r="A214" s="366">
        <v>5</v>
      </c>
      <c r="B214" s="356" t="s">
        <v>352</v>
      </c>
      <c r="C214" s="356" t="s">
        <v>335</v>
      </c>
      <c r="D214" s="356" t="s">
        <v>336</v>
      </c>
      <c r="E214" s="356" t="s">
        <v>351</v>
      </c>
      <c r="F214" s="356" t="s">
        <v>341</v>
      </c>
      <c r="G214" s="356" t="s">
        <v>339</v>
      </c>
      <c r="H214" s="361">
        <f ca="1">IFERROR(VLOOKUP(B214,TỒN!A:D,4,FALSE),0)</f>
        <v>2</v>
      </c>
      <c r="I214" s="367">
        <v>1491000</v>
      </c>
      <c r="J214" s="367">
        <v>1428000</v>
      </c>
      <c r="K214" s="363">
        <v>1333500</v>
      </c>
      <c r="L214" s="364" t="s">
        <v>450</v>
      </c>
      <c r="M214" s="365"/>
      <c r="N214" s="365"/>
      <c r="O214" s="365"/>
      <c r="P214" s="365"/>
      <c r="Q214" s="365"/>
      <c r="R214" s="365"/>
      <c r="S214" s="365"/>
      <c r="T214" s="365"/>
      <c r="U214" s="365"/>
      <c r="V214" s="365"/>
    </row>
    <row r="215" spans="1:22">
      <c r="A215" s="366">
        <v>6</v>
      </c>
      <c r="B215" s="356" t="s">
        <v>353</v>
      </c>
      <c r="C215" s="356" t="s">
        <v>335</v>
      </c>
      <c r="D215" s="356" t="s">
        <v>336</v>
      </c>
      <c r="E215" s="356" t="s">
        <v>354</v>
      </c>
      <c r="F215" s="356" t="s">
        <v>355</v>
      </c>
      <c r="G215" s="356" t="s">
        <v>339</v>
      </c>
      <c r="H215" s="361">
        <f ca="1">IFERROR(VLOOKUP(B215,TỒN!A:D,4,FALSE),0)</f>
        <v>2845</v>
      </c>
      <c r="I215" s="367">
        <v>451500</v>
      </c>
      <c r="J215" s="367">
        <v>435800</v>
      </c>
      <c r="K215" s="363">
        <v>399000</v>
      </c>
      <c r="L215" s="364" t="s">
        <v>450</v>
      </c>
      <c r="M215" s="365"/>
      <c r="N215" s="365"/>
      <c r="O215" s="365"/>
      <c r="P215" s="365"/>
      <c r="Q215" s="365"/>
      <c r="R215" s="365"/>
      <c r="S215" s="365"/>
      <c r="T215" s="365"/>
      <c r="U215" s="365"/>
      <c r="V215" s="365"/>
    </row>
    <row r="216" spans="1:22">
      <c r="A216" s="366">
        <v>7</v>
      </c>
      <c r="B216" s="356" t="s">
        <v>356</v>
      </c>
      <c r="C216" s="356" t="s">
        <v>335</v>
      </c>
      <c r="D216" s="356" t="s">
        <v>336</v>
      </c>
      <c r="E216" s="356" t="s">
        <v>354</v>
      </c>
      <c r="F216" s="356" t="s">
        <v>357</v>
      </c>
      <c r="G216" s="356" t="s">
        <v>339</v>
      </c>
      <c r="H216" s="361">
        <f ca="1">IFERROR(VLOOKUP(B216,TỒN!A:D,4,FALSE),0)</f>
        <v>1</v>
      </c>
      <c r="I216" s="367">
        <v>1281000</v>
      </c>
      <c r="J216" s="367">
        <v>1239000</v>
      </c>
      <c r="K216" s="363">
        <v>1139300</v>
      </c>
      <c r="L216" s="364" t="s">
        <v>450</v>
      </c>
      <c r="M216" s="365"/>
      <c r="N216" s="365"/>
      <c r="O216" s="365"/>
      <c r="P216" s="365"/>
      <c r="Q216" s="365"/>
      <c r="R216" s="365"/>
      <c r="S216" s="365"/>
      <c r="T216" s="365"/>
      <c r="U216" s="365"/>
      <c r="V216" s="365"/>
    </row>
    <row r="217" spans="1:22">
      <c r="A217" s="359">
        <v>8</v>
      </c>
      <c r="B217" s="360" t="s">
        <v>358</v>
      </c>
      <c r="C217" s="360" t="s">
        <v>335</v>
      </c>
      <c r="D217" s="360" t="s">
        <v>336</v>
      </c>
      <c r="E217" s="360" t="s">
        <v>359</v>
      </c>
      <c r="F217" s="360" t="s">
        <v>360</v>
      </c>
      <c r="G217" s="360" t="s">
        <v>339</v>
      </c>
      <c r="H217" s="361">
        <f ca="1">IFERROR(VLOOKUP(B217,TỒN!A:D,4,FALSE),0)</f>
        <v>1275</v>
      </c>
      <c r="I217" s="368">
        <v>588000</v>
      </c>
      <c r="J217" s="367">
        <v>535500</v>
      </c>
      <c r="K217" s="369">
        <v>514500</v>
      </c>
      <c r="L217" s="364" t="s">
        <v>450</v>
      </c>
      <c r="M217" s="365"/>
      <c r="N217" s="365"/>
      <c r="O217" s="365"/>
      <c r="P217" s="365"/>
      <c r="Q217" s="365"/>
      <c r="R217" s="365"/>
      <c r="S217" s="365"/>
      <c r="T217" s="365"/>
      <c r="U217" s="365"/>
      <c r="V217" s="365"/>
    </row>
    <row r="218" spans="1:22">
      <c r="A218" s="359">
        <v>9</v>
      </c>
      <c r="B218" s="360" t="s">
        <v>363</v>
      </c>
      <c r="C218" s="360" t="s">
        <v>335</v>
      </c>
      <c r="D218" s="360" t="s">
        <v>336</v>
      </c>
      <c r="E218" s="360" t="s">
        <v>364</v>
      </c>
      <c r="F218" s="360" t="s">
        <v>355</v>
      </c>
      <c r="G218" s="360" t="s">
        <v>339</v>
      </c>
      <c r="H218" s="361">
        <f ca="1">IFERROR(VLOOKUP(B218,TỒN!A:D,4,FALSE),0)</f>
        <v>1930</v>
      </c>
      <c r="I218" s="368">
        <v>556500</v>
      </c>
      <c r="J218" s="367">
        <v>514500</v>
      </c>
      <c r="K218" s="369">
        <v>493500</v>
      </c>
      <c r="L218" s="364" t="s">
        <v>450</v>
      </c>
      <c r="M218" s="365"/>
      <c r="N218" s="365"/>
      <c r="O218" s="365"/>
      <c r="P218" s="365"/>
      <c r="Q218" s="365"/>
      <c r="R218" s="365"/>
      <c r="S218" s="365"/>
      <c r="T218" s="365"/>
      <c r="U218" s="365"/>
      <c r="V218" s="365"/>
    </row>
    <row r="219" spans="1:22">
      <c r="A219" s="359">
        <v>10</v>
      </c>
      <c r="B219" s="360" t="s">
        <v>367</v>
      </c>
      <c r="C219" s="360" t="s">
        <v>335</v>
      </c>
      <c r="D219" s="360" t="s">
        <v>336</v>
      </c>
      <c r="E219" s="360" t="s">
        <v>366</v>
      </c>
      <c r="F219" s="360" t="s">
        <v>368</v>
      </c>
      <c r="G219" s="360" t="s">
        <v>339</v>
      </c>
      <c r="H219" s="361">
        <f ca="1">IFERROR(VLOOKUP(B219,TỒN!A:D,4,FALSE),0)</f>
        <v>388</v>
      </c>
      <c r="I219" s="368">
        <v>609000</v>
      </c>
      <c r="J219" s="367">
        <v>556500</v>
      </c>
      <c r="K219" s="369">
        <v>530300</v>
      </c>
      <c r="L219" s="364" t="s">
        <v>450</v>
      </c>
      <c r="M219" s="365"/>
      <c r="N219" s="365"/>
      <c r="O219" s="365"/>
      <c r="P219" s="365"/>
      <c r="Q219" s="365"/>
      <c r="R219" s="365"/>
      <c r="S219" s="365"/>
      <c r="T219" s="365"/>
      <c r="U219" s="365"/>
      <c r="V219" s="365"/>
    </row>
    <row r="220" spans="1:22">
      <c r="A220" s="784" t="s">
        <v>451</v>
      </c>
      <c r="B220" s="669"/>
      <c r="C220" s="669"/>
      <c r="D220" s="669"/>
      <c r="E220" s="669"/>
      <c r="F220" s="669"/>
      <c r="G220" s="669"/>
      <c r="H220" s="669"/>
      <c r="I220" s="669"/>
      <c r="J220" s="670"/>
      <c r="K220" s="399"/>
      <c r="L220" s="154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</row>
    <row r="221" spans="1:22">
      <c r="A221" s="370">
        <v>1</v>
      </c>
      <c r="B221" s="371" t="s">
        <v>410</v>
      </c>
      <c r="C221" s="371" t="s">
        <v>335</v>
      </c>
      <c r="D221" s="371" t="s">
        <v>411</v>
      </c>
      <c r="E221" s="371" t="s">
        <v>351</v>
      </c>
      <c r="F221" s="371" t="s">
        <v>338</v>
      </c>
      <c r="G221" s="371" t="s">
        <v>412</v>
      </c>
      <c r="H221" s="372">
        <f ca="1">IFERROR(VLOOKUP(B221,TỒN!A:D,4,FALSE),0)</f>
        <v>0</v>
      </c>
      <c r="I221" s="373">
        <v>458000</v>
      </c>
      <c r="J221" s="373">
        <v>453000</v>
      </c>
      <c r="K221" s="374">
        <v>435000</v>
      </c>
      <c r="L221" s="374"/>
      <c r="M221" s="402"/>
      <c r="N221" s="402"/>
      <c r="O221" s="402"/>
      <c r="P221" s="402"/>
      <c r="Q221" s="402"/>
      <c r="R221" s="402"/>
      <c r="S221" s="402"/>
      <c r="T221" s="402"/>
      <c r="U221" s="402"/>
      <c r="V221" s="402"/>
    </row>
    <row r="222" spans="1:22">
      <c r="A222" s="370">
        <v>2</v>
      </c>
      <c r="B222" s="371" t="s">
        <v>373</v>
      </c>
      <c r="C222" s="371" t="s">
        <v>335</v>
      </c>
      <c r="D222" s="371" t="s">
        <v>374</v>
      </c>
      <c r="E222" s="371" t="s">
        <v>351</v>
      </c>
      <c r="F222" s="371" t="s">
        <v>341</v>
      </c>
      <c r="G222" s="371" t="s">
        <v>372</v>
      </c>
      <c r="H222" s="375">
        <f ca="1">IFERROR(VLOOKUP(B222,TỒN!A:D,4,FALSE),0)</f>
        <v>0</v>
      </c>
      <c r="I222" s="373">
        <v>1740000</v>
      </c>
      <c r="J222" s="373">
        <v>1730000</v>
      </c>
      <c r="K222" s="376">
        <v>1650000</v>
      </c>
      <c r="L222" s="374"/>
      <c r="M222" s="402"/>
      <c r="N222" s="402"/>
      <c r="O222" s="402"/>
      <c r="P222" s="402"/>
      <c r="Q222" s="402"/>
      <c r="R222" s="402"/>
      <c r="S222" s="402"/>
      <c r="T222" s="402"/>
      <c r="U222" s="402"/>
      <c r="V222" s="402"/>
    </row>
    <row r="223" spans="1:22">
      <c r="A223" s="370">
        <v>3</v>
      </c>
      <c r="B223" s="371" t="s">
        <v>375</v>
      </c>
      <c r="C223" s="371" t="s">
        <v>335</v>
      </c>
      <c r="D223" s="371" t="s">
        <v>336</v>
      </c>
      <c r="E223" s="371" t="s">
        <v>354</v>
      </c>
      <c r="F223" s="371" t="s">
        <v>357</v>
      </c>
      <c r="G223" s="371" t="s">
        <v>372</v>
      </c>
      <c r="H223" s="372">
        <f ca="1">IFERROR(VLOOKUP(B223,TỒN!A:D,4,FALSE),0)</f>
        <v>0</v>
      </c>
      <c r="I223" s="373">
        <v>1430000</v>
      </c>
      <c r="J223" s="373">
        <v>1410000</v>
      </c>
      <c r="K223" s="376">
        <v>1350000</v>
      </c>
      <c r="L223" s="374"/>
      <c r="M223" s="402"/>
      <c r="N223" s="402"/>
      <c r="O223" s="402"/>
      <c r="P223" s="402"/>
      <c r="Q223" s="402"/>
      <c r="R223" s="402"/>
      <c r="S223" s="402"/>
      <c r="T223" s="402"/>
      <c r="U223" s="402"/>
      <c r="V223" s="402"/>
    </row>
    <row r="224" spans="1:22">
      <c r="A224" s="370">
        <v>4</v>
      </c>
      <c r="B224" s="371" t="s">
        <v>414</v>
      </c>
      <c r="C224" s="371" t="s">
        <v>335</v>
      </c>
      <c r="D224" s="371" t="s">
        <v>374</v>
      </c>
      <c r="E224" s="371" t="s">
        <v>359</v>
      </c>
      <c r="F224" s="371" t="s">
        <v>392</v>
      </c>
      <c r="G224" s="371" t="s">
        <v>372</v>
      </c>
      <c r="H224" s="372">
        <f ca="1">IFERROR(VLOOKUP(B224,TỒN!A:D,4,FALSE),0)</f>
        <v>0</v>
      </c>
      <c r="I224" s="373">
        <v>1588000</v>
      </c>
      <c r="J224" s="373">
        <v>1508000</v>
      </c>
      <c r="K224" s="376">
        <v>1440000</v>
      </c>
      <c r="L224" s="374"/>
      <c r="M224" s="402"/>
      <c r="N224" s="402"/>
      <c r="O224" s="402"/>
      <c r="P224" s="402"/>
      <c r="Q224" s="402"/>
      <c r="R224" s="402"/>
      <c r="S224" s="402"/>
      <c r="T224" s="402"/>
      <c r="U224" s="402"/>
      <c r="V224" s="402"/>
    </row>
    <row r="225" spans="1:22">
      <c r="A225" s="370">
        <v>5</v>
      </c>
      <c r="B225" s="371" t="s">
        <v>415</v>
      </c>
      <c r="C225" s="371" t="s">
        <v>335</v>
      </c>
      <c r="D225" s="371" t="s">
        <v>374</v>
      </c>
      <c r="E225" s="371" t="s">
        <v>364</v>
      </c>
      <c r="F225" s="371" t="s">
        <v>357</v>
      </c>
      <c r="G225" s="371" t="s">
        <v>372</v>
      </c>
      <c r="H225" s="372">
        <f ca="1">IFERROR(VLOOKUP(B225,TỒN!A:D,4,FALSE),0)</f>
        <v>0</v>
      </c>
      <c r="I225" s="373">
        <v>1588000</v>
      </c>
      <c r="J225" s="373">
        <v>1508000</v>
      </c>
      <c r="K225" s="376">
        <v>1440000</v>
      </c>
      <c r="L225" s="374"/>
      <c r="M225" s="402"/>
      <c r="N225" s="402"/>
      <c r="O225" s="402"/>
      <c r="P225" s="402"/>
      <c r="Q225" s="402"/>
      <c r="R225" s="402"/>
      <c r="S225" s="402"/>
      <c r="T225" s="402"/>
      <c r="U225" s="402"/>
      <c r="V225" s="402"/>
    </row>
    <row r="226" spans="1:22">
      <c r="A226" s="372">
        <v>5</v>
      </c>
      <c r="B226" s="371" t="s">
        <v>370</v>
      </c>
      <c r="C226" s="371" t="s">
        <v>335</v>
      </c>
      <c r="D226" s="371" t="s">
        <v>371</v>
      </c>
      <c r="E226" s="371" t="s">
        <v>337</v>
      </c>
      <c r="F226" s="371" t="s">
        <v>341</v>
      </c>
      <c r="G226" s="371" t="s">
        <v>372</v>
      </c>
      <c r="H226" s="372">
        <f ca="1">IFERROR(VLOOKUP(B226,TỒN!A:D,4,FALSE),0)</f>
        <v>262</v>
      </c>
      <c r="I226" s="400">
        <v>1670000</v>
      </c>
      <c r="J226" s="400">
        <v>1650000</v>
      </c>
      <c r="K226" s="376">
        <v>1635000</v>
      </c>
      <c r="L226" s="374"/>
      <c r="M226" s="402"/>
      <c r="N226" s="402"/>
      <c r="O226" s="402"/>
      <c r="P226" s="402"/>
      <c r="Q226" s="402"/>
      <c r="R226" s="402"/>
      <c r="S226" s="402"/>
      <c r="T226" s="402"/>
      <c r="U226" s="402"/>
      <c r="V226" s="402"/>
    </row>
    <row r="227" spans="1:22">
      <c r="A227" s="377"/>
      <c r="B227" s="349"/>
      <c r="C227" s="349"/>
      <c r="D227" s="349"/>
      <c r="E227" s="349"/>
      <c r="F227" s="349"/>
      <c r="G227" s="349"/>
      <c r="H227" s="349"/>
      <c r="I227" s="349"/>
      <c r="J227" s="347"/>
      <c r="K227" s="378"/>
      <c r="L227" s="253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</row>
    <row r="228" spans="1:22">
      <c r="A228" s="784" t="s">
        <v>383</v>
      </c>
      <c r="B228" s="669"/>
      <c r="C228" s="669"/>
      <c r="D228" s="669"/>
      <c r="E228" s="669"/>
      <c r="F228" s="669"/>
      <c r="G228" s="669"/>
      <c r="H228" s="670"/>
      <c r="I228" s="350" t="s">
        <v>81</v>
      </c>
      <c r="J228" s="350" t="s">
        <v>384</v>
      </c>
      <c r="K228" s="350" t="s">
        <v>407</v>
      </c>
      <c r="L228" s="348"/>
      <c r="M228" s="278"/>
      <c r="N228" s="278"/>
      <c r="O228" s="278"/>
      <c r="P228" s="278"/>
      <c r="Q228" s="278"/>
      <c r="R228" s="278"/>
      <c r="S228" s="278"/>
      <c r="T228" s="278"/>
      <c r="U228" s="278"/>
      <c r="V228" s="278"/>
    </row>
    <row r="229" spans="1:22" ht="12.75">
      <c r="A229" s="380">
        <v>1</v>
      </c>
      <c r="B229" s="381" t="s">
        <v>385</v>
      </c>
      <c r="C229" s="381" t="s">
        <v>335</v>
      </c>
      <c r="D229" s="381" t="s">
        <v>386</v>
      </c>
      <c r="E229" s="381" t="s">
        <v>351</v>
      </c>
      <c r="F229" s="381" t="s">
        <v>341</v>
      </c>
      <c r="G229" s="381" t="s">
        <v>387</v>
      </c>
      <c r="H229" s="380">
        <f ca="1">IFERROR(VLOOKUP(B229,TỒN!A:D,4,FALSE),0)</f>
        <v>125</v>
      </c>
      <c r="I229" s="364">
        <v>2580000</v>
      </c>
      <c r="J229" s="382">
        <v>2530000</v>
      </c>
      <c r="K229" s="382">
        <v>2480000</v>
      </c>
      <c r="L229" s="364" t="s">
        <v>452</v>
      </c>
      <c r="M229" s="365"/>
      <c r="N229" s="365"/>
      <c r="O229" s="365"/>
      <c r="P229" s="365"/>
      <c r="Q229" s="365"/>
      <c r="R229" s="365"/>
      <c r="S229" s="365"/>
      <c r="T229" s="365"/>
      <c r="U229" s="365"/>
      <c r="V229" s="365"/>
    </row>
    <row r="230" spans="1:22" ht="12.75">
      <c r="A230" s="380">
        <v>2</v>
      </c>
      <c r="B230" s="381" t="s">
        <v>388</v>
      </c>
      <c r="C230" s="381" t="s">
        <v>335</v>
      </c>
      <c r="D230" s="381" t="s">
        <v>386</v>
      </c>
      <c r="E230" s="381" t="s">
        <v>354</v>
      </c>
      <c r="F230" s="381" t="s">
        <v>357</v>
      </c>
      <c r="G230" s="381" t="s">
        <v>387</v>
      </c>
      <c r="H230" s="380">
        <f ca="1">IFERROR(VLOOKUP(B230,TỒN!A:D,4,FALSE),0)</f>
        <v>2</v>
      </c>
      <c r="I230" s="382">
        <v>2470000</v>
      </c>
      <c r="J230" s="382">
        <v>2420000</v>
      </c>
      <c r="K230" s="382">
        <v>2370000</v>
      </c>
      <c r="L230" s="364" t="s">
        <v>452</v>
      </c>
      <c r="M230" s="365"/>
      <c r="N230" s="365"/>
      <c r="O230" s="365"/>
      <c r="P230" s="365"/>
      <c r="Q230" s="365"/>
      <c r="R230" s="365"/>
      <c r="S230" s="365"/>
      <c r="T230" s="365"/>
      <c r="U230" s="365"/>
      <c r="V230" s="365"/>
    </row>
    <row r="231" spans="1:22" ht="12.75">
      <c r="A231" s="380">
        <v>3</v>
      </c>
      <c r="B231" s="381" t="s">
        <v>418</v>
      </c>
      <c r="C231" s="381" t="s">
        <v>335</v>
      </c>
      <c r="D231" s="381" t="s">
        <v>386</v>
      </c>
      <c r="E231" s="381" t="s">
        <v>359</v>
      </c>
      <c r="F231" s="381" t="s">
        <v>392</v>
      </c>
      <c r="G231" s="381" t="s">
        <v>387</v>
      </c>
      <c r="H231" s="383">
        <f ca="1">IFERROR(VLOOKUP(B231,TỒN!A:D,4,FALSE),0)</f>
        <v>0</v>
      </c>
      <c r="I231" s="382">
        <v>2600000</v>
      </c>
      <c r="J231" s="382">
        <v>2550000</v>
      </c>
      <c r="K231" s="382">
        <v>2500000</v>
      </c>
      <c r="L231" s="364" t="s">
        <v>452</v>
      </c>
      <c r="M231" s="365"/>
      <c r="N231" s="365"/>
      <c r="O231" s="365"/>
      <c r="P231" s="365"/>
      <c r="Q231" s="365"/>
      <c r="R231" s="365"/>
      <c r="S231" s="365"/>
      <c r="T231" s="365"/>
      <c r="U231" s="365"/>
      <c r="V231" s="365"/>
    </row>
    <row r="232" spans="1:22" ht="12.75">
      <c r="A232" s="380">
        <v>4</v>
      </c>
      <c r="B232" s="381" t="s">
        <v>393</v>
      </c>
      <c r="C232" s="381" t="s">
        <v>335</v>
      </c>
      <c r="D232" s="381" t="s">
        <v>386</v>
      </c>
      <c r="E232" s="381" t="s">
        <v>364</v>
      </c>
      <c r="F232" s="381" t="s">
        <v>357</v>
      </c>
      <c r="G232" s="381" t="s">
        <v>387</v>
      </c>
      <c r="H232" s="380">
        <f ca="1">IFERROR(VLOOKUP(B232,TỒN!A:D,4,FALSE),0)</f>
        <v>0</v>
      </c>
      <c r="I232" s="382">
        <v>2500000</v>
      </c>
      <c r="J232" s="382">
        <v>2450000</v>
      </c>
      <c r="K232" s="382">
        <v>2400000</v>
      </c>
      <c r="L232" s="364" t="s">
        <v>452</v>
      </c>
      <c r="M232" s="365"/>
      <c r="N232" s="365"/>
      <c r="O232" s="365"/>
      <c r="P232" s="365"/>
      <c r="Q232" s="365"/>
      <c r="R232" s="365"/>
      <c r="S232" s="365"/>
      <c r="T232" s="365"/>
      <c r="U232" s="365"/>
      <c r="V232" s="365"/>
    </row>
    <row r="233" spans="1:22">
      <c r="A233" s="785" t="s">
        <v>394</v>
      </c>
      <c r="B233" s="672"/>
      <c r="C233" s="672"/>
      <c r="D233" s="672"/>
      <c r="E233" s="672"/>
      <c r="F233" s="672"/>
      <c r="G233" s="672"/>
      <c r="H233" s="672"/>
      <c r="I233" s="403" t="s">
        <v>419</v>
      </c>
      <c r="J233" s="349"/>
      <c r="K233" s="349"/>
      <c r="L233" s="377"/>
      <c r="M233" s="239"/>
      <c r="N233" s="239"/>
      <c r="O233" s="239"/>
      <c r="P233" s="239"/>
      <c r="Q233" s="239"/>
      <c r="R233" s="239"/>
      <c r="S233" s="239"/>
      <c r="T233" s="239"/>
      <c r="U233" s="239"/>
      <c r="V233" s="239"/>
    </row>
    <row r="234" spans="1:22" ht="12.75">
      <c r="A234" s="380" t="s">
        <v>122</v>
      </c>
      <c r="B234" s="381" t="s">
        <v>433</v>
      </c>
      <c r="C234" s="381" t="s">
        <v>335</v>
      </c>
      <c r="D234" s="381" t="s">
        <v>411</v>
      </c>
      <c r="E234" s="381" t="s">
        <v>351</v>
      </c>
      <c r="F234" s="381" t="s">
        <v>341</v>
      </c>
      <c r="G234" s="381" t="s">
        <v>412</v>
      </c>
      <c r="H234" s="380">
        <f ca="1">IFERROR(VLOOKUP(B234,TỒN!A:D,4,FALSE),0)</f>
        <v>0</v>
      </c>
      <c r="I234" s="385">
        <v>1660000</v>
      </c>
      <c r="J234" s="386">
        <f t="shared" ref="J234:J244" ca="1" si="71">I234*H234</f>
        <v>0</v>
      </c>
      <c r="K234" s="387"/>
      <c r="L234" s="388"/>
      <c r="M234" s="239"/>
      <c r="N234" s="239"/>
      <c r="O234" s="239"/>
      <c r="P234" s="239"/>
      <c r="Q234" s="239"/>
      <c r="R234" s="239"/>
      <c r="S234" s="239"/>
      <c r="T234" s="239"/>
      <c r="U234" s="239"/>
      <c r="V234" s="239"/>
    </row>
    <row r="235" spans="1:22" ht="12.75">
      <c r="A235" s="380" t="s">
        <v>122</v>
      </c>
      <c r="B235" s="381" t="s">
        <v>395</v>
      </c>
      <c r="C235" s="381" t="s">
        <v>335</v>
      </c>
      <c r="D235" s="381" t="s">
        <v>336</v>
      </c>
      <c r="E235" s="381" t="s">
        <v>351</v>
      </c>
      <c r="F235" s="381" t="s">
        <v>341</v>
      </c>
      <c r="G235" s="381" t="s">
        <v>396</v>
      </c>
      <c r="H235" s="380">
        <f ca="1">IFERROR(VLOOKUP(B235,TỒN!A:D,4,FALSE),0)</f>
        <v>0</v>
      </c>
      <c r="I235" s="385">
        <v>1400000</v>
      </c>
      <c r="J235" s="386">
        <f t="shared" ca="1" si="71"/>
        <v>0</v>
      </c>
      <c r="K235" s="387"/>
      <c r="L235" s="388"/>
      <c r="M235" s="239"/>
      <c r="N235" s="239"/>
      <c r="O235" s="239"/>
      <c r="P235" s="239"/>
      <c r="Q235" s="239"/>
      <c r="R235" s="239"/>
      <c r="S235" s="239"/>
      <c r="T235" s="239"/>
      <c r="U235" s="239"/>
      <c r="V235" s="239"/>
    </row>
    <row r="236" spans="1:22" ht="12.75">
      <c r="A236" s="380" t="s">
        <v>122</v>
      </c>
      <c r="B236" s="381" t="s">
        <v>434</v>
      </c>
      <c r="C236" s="381" t="s">
        <v>335</v>
      </c>
      <c r="D236" s="381" t="s">
        <v>336</v>
      </c>
      <c r="E236" s="381" t="s">
        <v>354</v>
      </c>
      <c r="F236" s="381" t="s">
        <v>357</v>
      </c>
      <c r="G236" s="381" t="s">
        <v>396</v>
      </c>
      <c r="H236" s="380">
        <f ca="1">IFERROR(VLOOKUP(B236,TỒN!A:D,4,FALSE),0)</f>
        <v>0</v>
      </c>
      <c r="I236" s="385">
        <v>1300000</v>
      </c>
      <c r="J236" s="386">
        <f t="shared" ca="1" si="71"/>
        <v>0</v>
      </c>
      <c r="K236" s="387"/>
      <c r="L236" s="388"/>
      <c r="M236" s="239"/>
      <c r="N236" s="239"/>
      <c r="O236" s="239"/>
      <c r="P236" s="239"/>
      <c r="Q236" s="239"/>
      <c r="R236" s="239"/>
      <c r="S236" s="239"/>
      <c r="T236" s="239"/>
      <c r="U236" s="239"/>
      <c r="V236" s="239"/>
    </row>
    <row r="237" spans="1:22" ht="12.75">
      <c r="A237" s="380" t="s">
        <v>122</v>
      </c>
      <c r="B237" s="381" t="s">
        <v>378</v>
      </c>
      <c r="C237" s="381" t="s">
        <v>335</v>
      </c>
      <c r="D237" s="381" t="s">
        <v>371</v>
      </c>
      <c r="E237" s="381" t="s">
        <v>354</v>
      </c>
      <c r="F237" s="381" t="s">
        <v>357</v>
      </c>
      <c r="G237" s="381" t="s">
        <v>372</v>
      </c>
      <c r="H237" s="380">
        <f ca="1">IFERROR(VLOOKUP(B237,TỒN!A:D,4,FALSE),0)</f>
        <v>267</v>
      </c>
      <c r="I237" s="385">
        <v>1390000</v>
      </c>
      <c r="J237" s="386">
        <f t="shared" ca="1" si="71"/>
        <v>371130000</v>
      </c>
      <c r="K237" s="387"/>
      <c r="L237" s="388"/>
      <c r="M237" s="239"/>
      <c r="N237" s="239"/>
      <c r="O237" s="239"/>
      <c r="P237" s="239"/>
      <c r="Q237" s="239"/>
      <c r="R237" s="239"/>
      <c r="S237" s="239"/>
      <c r="T237" s="239"/>
      <c r="U237" s="239"/>
      <c r="V237" s="239"/>
    </row>
    <row r="238" spans="1:22" ht="12.75">
      <c r="A238" s="380" t="s">
        <v>122</v>
      </c>
      <c r="B238" s="389" t="s">
        <v>420</v>
      </c>
      <c r="C238" s="381" t="s">
        <v>335</v>
      </c>
      <c r="D238" s="381" t="s">
        <v>411</v>
      </c>
      <c r="E238" s="381" t="s">
        <v>354</v>
      </c>
      <c r="F238" s="381" t="s">
        <v>357</v>
      </c>
      <c r="G238" s="381" t="s">
        <v>372</v>
      </c>
      <c r="H238" s="380">
        <f ca="1">IFERROR(VLOOKUP(B238,TỒN!A:D,4,FALSE),0)</f>
        <v>0</v>
      </c>
      <c r="I238" s="385">
        <v>1400000</v>
      </c>
      <c r="J238" s="386">
        <f t="shared" ca="1" si="71"/>
        <v>0</v>
      </c>
      <c r="K238" s="387"/>
      <c r="L238" s="388"/>
      <c r="M238" s="239"/>
      <c r="N238" s="239"/>
      <c r="O238" s="239"/>
      <c r="P238" s="239"/>
      <c r="Q238" s="239"/>
      <c r="R238" s="239"/>
      <c r="S238" s="239"/>
      <c r="T238" s="239"/>
      <c r="U238" s="239"/>
      <c r="V238" s="239"/>
    </row>
    <row r="239" spans="1:22" ht="12.75">
      <c r="A239" s="380" t="s">
        <v>122</v>
      </c>
      <c r="B239" s="381" t="s">
        <v>397</v>
      </c>
      <c r="C239" s="381" t="s">
        <v>335</v>
      </c>
      <c r="D239" s="381" t="s">
        <v>398</v>
      </c>
      <c r="E239" s="381" t="s">
        <v>354</v>
      </c>
      <c r="F239" s="381" t="s">
        <v>357</v>
      </c>
      <c r="G239" s="381" t="s">
        <v>339</v>
      </c>
      <c r="H239" s="380">
        <f ca="1">IFERROR(VLOOKUP(B239,TỒN!A:D,4,FALSE),0)</f>
        <v>0</v>
      </c>
      <c r="I239" s="385">
        <v>1920000</v>
      </c>
      <c r="J239" s="386">
        <f t="shared" ca="1" si="71"/>
        <v>0</v>
      </c>
      <c r="K239" s="387"/>
      <c r="L239" s="388"/>
      <c r="M239" s="239"/>
      <c r="N239" s="239"/>
      <c r="O239" s="239"/>
      <c r="P239" s="239"/>
      <c r="Q239" s="239"/>
      <c r="R239" s="239"/>
      <c r="S239" s="239"/>
      <c r="T239" s="239"/>
      <c r="U239" s="239"/>
      <c r="V239" s="239"/>
    </row>
    <row r="240" spans="1:22" ht="12.75">
      <c r="A240" s="380" t="s">
        <v>122</v>
      </c>
      <c r="B240" s="381" t="s">
        <v>435</v>
      </c>
      <c r="C240" s="381" t="s">
        <v>335</v>
      </c>
      <c r="D240" s="381" t="s">
        <v>436</v>
      </c>
      <c r="E240" s="381" t="s">
        <v>337</v>
      </c>
      <c r="F240" s="381" t="s">
        <v>341</v>
      </c>
      <c r="G240" s="381" t="s">
        <v>372</v>
      </c>
      <c r="H240" s="380">
        <f ca="1">IFERROR(VLOOKUP(B240,TỒN!A:D,4,FALSE),0)</f>
        <v>0</v>
      </c>
      <c r="I240" s="385">
        <v>1370000</v>
      </c>
      <c r="J240" s="386">
        <f t="shared" ca="1" si="71"/>
        <v>0</v>
      </c>
      <c r="K240" s="387"/>
      <c r="L240" s="388"/>
      <c r="M240" s="239"/>
      <c r="N240" s="239"/>
      <c r="O240" s="239"/>
      <c r="P240" s="239"/>
      <c r="Q240" s="239"/>
      <c r="R240" s="239"/>
      <c r="S240" s="239"/>
      <c r="T240" s="239"/>
      <c r="U240" s="239"/>
      <c r="V240" s="239"/>
    </row>
    <row r="241" spans="1:22" ht="12.75">
      <c r="A241" s="380" t="s">
        <v>122</v>
      </c>
      <c r="B241" s="381" t="s">
        <v>421</v>
      </c>
      <c r="C241" s="381" t="s">
        <v>335</v>
      </c>
      <c r="D241" s="381" t="s">
        <v>422</v>
      </c>
      <c r="E241" s="381" t="s">
        <v>337</v>
      </c>
      <c r="F241" s="381" t="s">
        <v>423</v>
      </c>
      <c r="G241" s="381" t="s">
        <v>372</v>
      </c>
      <c r="H241" s="380">
        <f ca="1">IFERROR(VLOOKUP(B241,TỒN!A:D,4,FALSE),0)</f>
        <v>0</v>
      </c>
      <c r="I241" s="385">
        <v>2270000</v>
      </c>
      <c r="J241" s="386">
        <f t="shared" ca="1" si="71"/>
        <v>0</v>
      </c>
      <c r="K241" s="387"/>
      <c r="L241" s="388"/>
      <c r="M241" s="239"/>
      <c r="N241" s="239"/>
      <c r="O241" s="239"/>
      <c r="P241" s="239"/>
      <c r="Q241" s="239"/>
      <c r="R241" s="239"/>
      <c r="S241" s="239"/>
      <c r="T241" s="239"/>
      <c r="U241" s="239"/>
      <c r="V241" s="239"/>
    </row>
    <row r="242" spans="1:22" ht="12.75">
      <c r="A242" s="380" t="s">
        <v>122</v>
      </c>
      <c r="B242" s="381" t="s">
        <v>446</v>
      </c>
      <c r="C242" s="381" t="s">
        <v>335</v>
      </c>
      <c r="D242" s="381" t="s">
        <v>336</v>
      </c>
      <c r="E242" s="381" t="s">
        <v>359</v>
      </c>
      <c r="F242" s="381" t="s">
        <v>362</v>
      </c>
      <c r="G242" s="381" t="s">
        <v>396</v>
      </c>
      <c r="H242" s="380">
        <f ca="1">IFERROR(VLOOKUP(B242,TỒN!A:D,4,FALSE),0)</f>
        <v>0</v>
      </c>
      <c r="I242" s="385">
        <v>1520000</v>
      </c>
      <c r="J242" s="386">
        <f t="shared" ca="1" si="71"/>
        <v>0</v>
      </c>
      <c r="K242" s="387"/>
      <c r="L242" s="388"/>
      <c r="M242" s="239"/>
      <c r="N242" s="239"/>
      <c r="O242" s="239"/>
      <c r="P242" s="239"/>
      <c r="Q242" s="239"/>
      <c r="R242" s="239"/>
      <c r="S242" s="239"/>
      <c r="T242" s="239"/>
      <c r="U242" s="239"/>
      <c r="V242" s="239"/>
    </row>
    <row r="243" spans="1:22" ht="12.75">
      <c r="A243" s="380" t="s">
        <v>122</v>
      </c>
      <c r="B243" s="381" t="s">
        <v>424</v>
      </c>
      <c r="C243" s="381" t="s">
        <v>335</v>
      </c>
      <c r="D243" s="381" t="s">
        <v>336</v>
      </c>
      <c r="E243" s="381" t="s">
        <v>364</v>
      </c>
      <c r="F243" s="381" t="s">
        <v>357</v>
      </c>
      <c r="G243" s="381" t="s">
        <v>396</v>
      </c>
      <c r="H243" s="380">
        <f ca="1">IFERROR(VLOOKUP(B243,TỒN!A:D,4,FALSE),0)</f>
        <v>0</v>
      </c>
      <c r="I243" s="385">
        <v>1520000</v>
      </c>
      <c r="J243" s="386">
        <f t="shared" ca="1" si="71"/>
        <v>0</v>
      </c>
      <c r="K243" s="387"/>
      <c r="L243" s="388"/>
      <c r="M243" s="239"/>
      <c r="N243" s="239"/>
      <c r="O243" s="239"/>
      <c r="P243" s="239"/>
      <c r="Q243" s="239"/>
      <c r="R243" s="239"/>
      <c r="S243" s="239"/>
      <c r="T243" s="239"/>
      <c r="U243" s="239"/>
      <c r="V243" s="239"/>
    </row>
    <row r="244" spans="1:22" ht="12.75">
      <c r="A244" s="380" t="s">
        <v>122</v>
      </c>
      <c r="B244" s="381" t="s">
        <v>453</v>
      </c>
      <c r="C244" s="381" t="s">
        <v>335</v>
      </c>
      <c r="D244" s="381" t="s">
        <v>454</v>
      </c>
      <c r="E244" s="381" t="s">
        <v>359</v>
      </c>
      <c r="F244" s="381" t="s">
        <v>392</v>
      </c>
      <c r="G244" s="381" t="s">
        <v>387</v>
      </c>
      <c r="H244" s="380">
        <f ca="1">IFERROR(VLOOKUP(B244,TỒN!A:D,4,FALSE),0)</f>
        <v>0</v>
      </c>
      <c r="I244" s="385">
        <v>1920000</v>
      </c>
      <c r="J244" s="386">
        <f t="shared" ca="1" si="71"/>
        <v>0</v>
      </c>
      <c r="K244" s="387"/>
      <c r="L244" s="388"/>
      <c r="M244" s="239"/>
      <c r="N244" s="239"/>
      <c r="O244" s="239"/>
      <c r="P244" s="239"/>
      <c r="Q244" s="239"/>
      <c r="R244" s="239"/>
      <c r="S244" s="239"/>
      <c r="T244" s="239"/>
      <c r="U244" s="239"/>
      <c r="V244" s="239"/>
    </row>
    <row r="245" spans="1:22">
      <c r="A245" s="387"/>
      <c r="B245" s="387"/>
      <c r="C245" s="387"/>
      <c r="D245" s="387"/>
      <c r="E245" s="387"/>
      <c r="F245" s="387"/>
      <c r="G245" s="387"/>
      <c r="H245" s="387"/>
      <c r="I245" s="390" t="s">
        <v>437</v>
      </c>
      <c r="J245" s="391">
        <f ca="1">SUM(J234:J244)</f>
        <v>371130000</v>
      </c>
      <c r="K245" s="387"/>
      <c r="L245" s="388"/>
      <c r="M245" s="239"/>
      <c r="N245" s="239"/>
      <c r="O245" s="239"/>
      <c r="P245" s="239"/>
      <c r="Q245" s="239"/>
      <c r="R245" s="239"/>
      <c r="S245" s="239"/>
      <c r="T245" s="239"/>
      <c r="U245" s="239"/>
      <c r="V245" s="239"/>
    </row>
    <row r="246" spans="1:22" ht="12.75">
      <c r="A246" s="387"/>
      <c r="B246" s="786"/>
      <c r="C246" s="787"/>
      <c r="D246" s="787"/>
      <c r="E246" s="787"/>
      <c r="F246" s="787"/>
      <c r="G246" s="787"/>
      <c r="H246" s="787"/>
      <c r="I246" s="787"/>
      <c r="J246" s="787"/>
      <c r="K246" s="788"/>
      <c r="L246" s="89"/>
      <c r="M246" s="401"/>
      <c r="N246" s="401"/>
      <c r="O246" s="401"/>
      <c r="P246" s="401"/>
      <c r="Q246" s="401"/>
      <c r="R246" s="401"/>
      <c r="S246" s="401"/>
      <c r="T246" s="401"/>
      <c r="U246" s="401"/>
      <c r="V246" s="401"/>
    </row>
    <row r="247" spans="1:22">
      <c r="A247" s="789">
        <v>1</v>
      </c>
      <c r="B247" s="792">
        <v>1</v>
      </c>
      <c r="C247" s="780" t="s">
        <v>438</v>
      </c>
      <c r="D247" s="669"/>
      <c r="E247" s="669"/>
      <c r="F247" s="669"/>
      <c r="G247" s="669"/>
      <c r="H247" s="669"/>
      <c r="I247" s="669"/>
      <c r="J247" s="669"/>
      <c r="K247" s="670"/>
      <c r="L247" s="392"/>
      <c r="M247" s="393"/>
      <c r="N247" s="393"/>
      <c r="O247" s="393"/>
      <c r="P247" s="393"/>
      <c r="Q247" s="393"/>
      <c r="R247" s="393"/>
      <c r="S247" s="393"/>
      <c r="T247" s="393"/>
      <c r="U247" s="393"/>
      <c r="V247" s="393"/>
    </row>
    <row r="248" spans="1:22">
      <c r="A248" s="790"/>
      <c r="B248" s="790"/>
      <c r="C248" s="780" t="s">
        <v>439</v>
      </c>
      <c r="D248" s="669"/>
      <c r="E248" s="669"/>
      <c r="F248" s="669"/>
      <c r="G248" s="669"/>
      <c r="H248" s="669"/>
      <c r="I248" s="669"/>
      <c r="J248" s="669"/>
      <c r="K248" s="670"/>
      <c r="L248" s="392"/>
      <c r="M248" s="393"/>
      <c r="N248" s="393"/>
      <c r="O248" s="393"/>
      <c r="P248" s="393"/>
      <c r="Q248" s="393"/>
      <c r="R248" s="393"/>
      <c r="S248" s="393"/>
      <c r="T248" s="393"/>
      <c r="U248" s="393"/>
      <c r="V248" s="393"/>
    </row>
    <row r="249" spans="1:22">
      <c r="A249" s="790"/>
      <c r="B249" s="790"/>
      <c r="C249" s="780" t="s">
        <v>440</v>
      </c>
      <c r="D249" s="669"/>
      <c r="E249" s="669"/>
      <c r="F249" s="669"/>
      <c r="G249" s="669"/>
      <c r="H249" s="669"/>
      <c r="I249" s="669"/>
      <c r="J249" s="669"/>
      <c r="K249" s="670"/>
      <c r="L249" s="392"/>
      <c r="M249" s="393"/>
      <c r="N249" s="393"/>
      <c r="O249" s="393"/>
      <c r="P249" s="393"/>
      <c r="Q249" s="393"/>
      <c r="R249" s="393"/>
      <c r="S249" s="393"/>
      <c r="T249" s="393"/>
      <c r="U249" s="393"/>
      <c r="V249" s="393"/>
    </row>
    <row r="250" spans="1:22">
      <c r="A250" s="791"/>
      <c r="B250" s="791"/>
      <c r="C250" s="793" t="s">
        <v>286</v>
      </c>
      <c r="D250" s="669"/>
      <c r="E250" s="669"/>
      <c r="F250" s="669"/>
      <c r="G250" s="669"/>
      <c r="H250" s="669"/>
      <c r="I250" s="669"/>
      <c r="J250" s="669"/>
      <c r="K250" s="670"/>
      <c r="L250" s="394"/>
      <c r="M250" s="395"/>
      <c r="N250" s="395"/>
      <c r="O250" s="395"/>
      <c r="P250" s="395"/>
      <c r="Q250" s="395"/>
      <c r="R250" s="395"/>
      <c r="S250" s="395"/>
      <c r="T250" s="395"/>
      <c r="U250" s="395"/>
      <c r="V250" s="395"/>
    </row>
    <row r="251" spans="1:22">
      <c r="A251" s="396">
        <v>2</v>
      </c>
      <c r="B251" s="397">
        <v>2</v>
      </c>
      <c r="C251" s="780" t="s">
        <v>261</v>
      </c>
      <c r="D251" s="669"/>
      <c r="E251" s="669"/>
      <c r="F251" s="669"/>
      <c r="G251" s="669"/>
      <c r="H251" s="669"/>
      <c r="I251" s="669"/>
      <c r="J251" s="669"/>
      <c r="K251" s="670"/>
      <c r="L251" s="392"/>
      <c r="M251" s="393"/>
      <c r="N251" s="393"/>
      <c r="O251" s="393"/>
      <c r="P251" s="393"/>
      <c r="Q251" s="393"/>
      <c r="R251" s="393"/>
      <c r="S251" s="393"/>
      <c r="T251" s="393"/>
      <c r="U251" s="393"/>
      <c r="V251" s="393"/>
    </row>
    <row r="252" spans="1:22">
      <c r="A252" s="398">
        <v>3</v>
      </c>
      <c r="B252" s="397">
        <v>3</v>
      </c>
      <c r="C252" s="780" t="s">
        <v>455</v>
      </c>
      <c r="D252" s="669"/>
      <c r="E252" s="669"/>
      <c r="F252" s="669"/>
      <c r="G252" s="669"/>
      <c r="H252" s="669"/>
      <c r="I252" s="669"/>
      <c r="J252" s="669"/>
      <c r="K252" s="670"/>
      <c r="L252" s="392"/>
      <c r="M252" s="393"/>
      <c r="N252" s="393"/>
      <c r="O252" s="393"/>
      <c r="P252" s="393"/>
      <c r="Q252" s="393"/>
      <c r="R252" s="393"/>
      <c r="S252" s="393"/>
      <c r="T252" s="393"/>
      <c r="U252" s="393"/>
      <c r="V252" s="393"/>
    </row>
    <row r="253" spans="1:22" ht="12.75">
      <c r="A253" s="86"/>
      <c r="B253" s="86"/>
      <c r="C253" s="86"/>
      <c r="D253" s="86"/>
      <c r="E253" s="86"/>
      <c r="F253" s="86"/>
      <c r="G253" s="86"/>
      <c r="H253" s="86"/>
      <c r="I253" s="88"/>
      <c r="J253" s="88"/>
      <c r="K253" s="88"/>
      <c r="L253" s="88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</row>
    <row r="254" spans="1:22" ht="12.75">
      <c r="A254" s="86"/>
      <c r="B254" s="86"/>
      <c r="C254" s="404"/>
      <c r="D254" s="86"/>
      <c r="E254" s="86"/>
      <c r="F254" s="86"/>
      <c r="G254" s="86"/>
      <c r="H254" s="86"/>
      <c r="I254" s="88"/>
      <c r="J254" s="88"/>
      <c r="K254" s="88"/>
      <c r="L254" s="88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</row>
    <row r="255" spans="1:22">
      <c r="A255" s="86"/>
      <c r="B255" s="404"/>
      <c r="C255" s="405" t="s">
        <v>263</v>
      </c>
      <c r="D255" s="404"/>
      <c r="E255" s="404"/>
      <c r="F255" s="404"/>
      <c r="G255" s="404"/>
      <c r="H255" s="404"/>
      <c r="I255" s="406"/>
      <c r="J255" s="88"/>
      <c r="K255" s="88"/>
      <c r="L255" s="88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</row>
    <row r="256" spans="1:22" ht="12.75">
      <c r="A256" s="86"/>
      <c r="B256" s="86"/>
      <c r="C256" s="86"/>
      <c r="D256" s="86"/>
      <c r="E256" s="86"/>
      <c r="F256" s="86"/>
      <c r="G256" s="86"/>
      <c r="H256" s="86"/>
      <c r="I256" s="88"/>
      <c r="J256" s="88"/>
      <c r="K256" s="88"/>
      <c r="L256" s="88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</row>
    <row r="257" spans="1:22" ht="12.75">
      <c r="A257" s="86"/>
      <c r="B257" s="86"/>
      <c r="C257" s="86"/>
      <c r="D257" s="86"/>
      <c r="E257" s="86"/>
      <c r="F257" s="86"/>
      <c r="G257" s="86"/>
      <c r="H257" s="86"/>
      <c r="I257" s="88"/>
      <c r="J257" s="88"/>
      <c r="K257" s="88"/>
      <c r="L257" s="88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</row>
    <row r="258" spans="1:22" ht="12.75">
      <c r="A258" s="86"/>
      <c r="B258" s="86"/>
      <c r="C258" s="86"/>
      <c r="D258" s="86"/>
      <c r="E258" s="86"/>
      <c r="F258" s="86"/>
      <c r="G258" s="86"/>
      <c r="H258" s="86"/>
      <c r="I258" s="88"/>
      <c r="J258" s="88"/>
      <c r="K258" s="88"/>
      <c r="L258" s="88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</row>
    <row r="259" spans="1:22" ht="12.75">
      <c r="A259" s="86"/>
      <c r="B259" s="86"/>
      <c r="C259" s="86"/>
      <c r="D259" s="86"/>
      <c r="E259" s="86"/>
      <c r="F259" s="86"/>
      <c r="G259" s="86"/>
      <c r="H259" s="86"/>
      <c r="I259" s="88"/>
      <c r="J259" s="88"/>
      <c r="K259" s="88"/>
      <c r="L259" s="88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</row>
  </sheetData>
  <mergeCells count="74">
    <mergeCell ref="A156:J156"/>
    <mergeCell ref="C149:K149"/>
    <mergeCell ref="C150:K150"/>
    <mergeCell ref="A153:K153"/>
    <mergeCell ref="C154:G154"/>
    <mergeCell ref="I154:K154"/>
    <mergeCell ref="A108:J108"/>
    <mergeCell ref="C146:K146"/>
    <mergeCell ref="C147:K147"/>
    <mergeCell ref="A109:I109"/>
    <mergeCell ref="A120:J120"/>
    <mergeCell ref="A128:H128"/>
    <mergeCell ref="A133:H133"/>
    <mergeCell ref="A145:A148"/>
    <mergeCell ref="B145:B148"/>
    <mergeCell ref="C145:K145"/>
    <mergeCell ref="C148:K148"/>
    <mergeCell ref="D94:E94"/>
    <mergeCell ref="D95:J95"/>
    <mergeCell ref="D96:F96"/>
    <mergeCell ref="A105:K105"/>
    <mergeCell ref="C106:G106"/>
    <mergeCell ref="I106:K106"/>
    <mergeCell ref="A73:J73"/>
    <mergeCell ref="A80:G80"/>
    <mergeCell ref="A85:G85"/>
    <mergeCell ref="I85:K85"/>
    <mergeCell ref="A93:B93"/>
    <mergeCell ref="A41:B41"/>
    <mergeCell ref="D42:E42"/>
    <mergeCell ref="A60:K60"/>
    <mergeCell ref="L61:L62"/>
    <mergeCell ref="B61:G61"/>
    <mergeCell ref="A62:J62"/>
    <mergeCell ref="Q5:T5"/>
    <mergeCell ref="A6:H6"/>
    <mergeCell ref="A22:H22"/>
    <mergeCell ref="A30:G30"/>
    <mergeCell ref="A36:G36"/>
    <mergeCell ref="A1:K1"/>
    <mergeCell ref="E2:O3"/>
    <mergeCell ref="B5:G5"/>
    <mergeCell ref="I5:L5"/>
    <mergeCell ref="M5:P5"/>
    <mergeCell ref="C251:K251"/>
    <mergeCell ref="C252:K252"/>
    <mergeCell ref="A208:J208"/>
    <mergeCell ref="A209:I209"/>
    <mergeCell ref="A220:J220"/>
    <mergeCell ref="A228:H228"/>
    <mergeCell ref="A233:H233"/>
    <mergeCell ref="A247:A250"/>
    <mergeCell ref="B247:B250"/>
    <mergeCell ref="B246:K246"/>
    <mergeCell ref="C247:K247"/>
    <mergeCell ref="C248:K248"/>
    <mergeCell ref="C249:K249"/>
    <mergeCell ref="C250:K250"/>
    <mergeCell ref="C198:K198"/>
    <mergeCell ref="C199:K199"/>
    <mergeCell ref="A205:K205"/>
    <mergeCell ref="C206:G206"/>
    <mergeCell ref="I206:K206"/>
    <mergeCell ref="C194:K194"/>
    <mergeCell ref="C195:K195"/>
    <mergeCell ref="A157:I157"/>
    <mergeCell ref="A168:J168"/>
    <mergeCell ref="A176:H176"/>
    <mergeCell ref="A181:H181"/>
    <mergeCell ref="B193:K193"/>
    <mergeCell ref="A194:A197"/>
    <mergeCell ref="B194:B197"/>
    <mergeCell ref="C196:K196"/>
    <mergeCell ref="C197:K197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70"/>
  <sheetViews>
    <sheetView showGridLines="0" topLeftCell="A16" workbookViewId="0">
      <selection activeCell="C20" sqref="C20:C26"/>
    </sheetView>
  </sheetViews>
  <sheetFormatPr defaultColWidth="12.5703125" defaultRowHeight="15" customHeight="1"/>
  <cols>
    <col min="1" max="1" width="4.42578125" customWidth="1"/>
    <col min="2" max="3" width="9" customWidth="1"/>
    <col min="4" max="4" width="21.28515625" customWidth="1"/>
    <col min="5" max="5" width="16.5703125" customWidth="1"/>
    <col min="6" max="6" width="11.28515625" customWidth="1"/>
    <col min="7" max="10" width="13" customWidth="1"/>
    <col min="11" max="11" width="11.42578125" customWidth="1"/>
    <col min="12" max="12" width="13.85546875" customWidth="1"/>
    <col min="13" max="13" width="25" customWidth="1"/>
    <col min="14" max="14" width="9.42578125" customWidth="1"/>
    <col min="15" max="15" width="10" customWidth="1"/>
    <col min="16" max="16" width="8.5703125" customWidth="1"/>
    <col min="17" max="17" width="9.5703125" customWidth="1"/>
    <col min="18" max="18" width="5.7109375" customWidth="1"/>
    <col min="19" max="22" width="7" customWidth="1"/>
  </cols>
  <sheetData>
    <row r="1" spans="1:22" ht="21" customHeight="1">
      <c r="A1" s="84"/>
      <c r="B1" s="84"/>
      <c r="C1" s="84"/>
      <c r="D1" s="84"/>
      <c r="E1" s="84"/>
      <c r="F1" s="84"/>
      <c r="G1" s="84"/>
      <c r="H1" s="84"/>
      <c r="I1" s="84"/>
      <c r="J1" s="241"/>
      <c r="K1" s="241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</row>
    <row r="2" spans="1:22" ht="21" customHeight="1">
      <c r="A2" s="817" t="s">
        <v>456</v>
      </c>
      <c r="B2" s="672"/>
      <c r="C2" s="672"/>
      <c r="D2" s="672"/>
      <c r="E2" s="672"/>
      <c r="F2" s="672"/>
      <c r="G2" s="672"/>
      <c r="H2" s="672"/>
      <c r="I2" s="672"/>
      <c r="J2" s="241"/>
      <c r="K2" s="241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</row>
    <row r="3" spans="1:22" ht="21" customHeight="1">
      <c r="A3" s="84"/>
      <c r="B3" s="84"/>
      <c r="C3" s="84"/>
      <c r="D3" s="84"/>
      <c r="E3" s="84"/>
      <c r="F3" s="84"/>
      <c r="G3" s="84"/>
      <c r="H3" s="84"/>
      <c r="I3" s="84"/>
      <c r="J3" s="241"/>
      <c r="K3" s="241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</row>
    <row r="4" spans="1:22" ht="21" customHeight="1">
      <c r="A4" s="84"/>
      <c r="B4" s="84"/>
      <c r="C4" s="84"/>
      <c r="D4" s="407"/>
      <c r="E4" s="408" t="s">
        <v>457</v>
      </c>
      <c r="F4" s="409"/>
      <c r="G4" s="410" t="s">
        <v>457</v>
      </c>
      <c r="H4" s="241"/>
      <c r="I4" s="241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</row>
    <row r="5" spans="1:22" ht="21" customHeight="1">
      <c r="A5" s="84"/>
      <c r="B5" s="84"/>
      <c r="C5" s="84"/>
      <c r="D5" s="411" t="s">
        <v>458</v>
      </c>
      <c r="E5" s="412">
        <v>250000</v>
      </c>
      <c r="F5" s="412" t="s">
        <v>459</v>
      </c>
      <c r="G5" s="413">
        <v>255000</v>
      </c>
      <c r="H5" s="241"/>
      <c r="I5" s="241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</row>
    <row r="6" spans="1:22" ht="21" customHeight="1">
      <c r="A6" s="129"/>
      <c r="B6" s="129"/>
      <c r="C6" s="129"/>
      <c r="D6" s="129"/>
      <c r="E6" s="414"/>
      <c r="F6" s="414"/>
      <c r="G6" s="129"/>
      <c r="H6" s="414"/>
      <c r="I6" s="414"/>
      <c r="J6" s="88"/>
      <c r="K6" s="88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</row>
    <row r="7" spans="1:22" ht="21" customHeight="1">
      <c r="A7" s="818" t="s">
        <v>2</v>
      </c>
      <c r="B7" s="819" t="s">
        <v>460</v>
      </c>
      <c r="C7" s="819" t="s">
        <v>461</v>
      </c>
      <c r="D7" s="820" t="s">
        <v>462</v>
      </c>
      <c r="E7" s="694"/>
      <c r="F7" s="821" t="s">
        <v>79</v>
      </c>
      <c r="G7" s="775" t="s">
        <v>458</v>
      </c>
      <c r="H7" s="713"/>
      <c r="I7" s="713"/>
      <c r="J7" s="800"/>
      <c r="K7" s="816" t="s">
        <v>459</v>
      </c>
      <c r="L7" s="415" t="s">
        <v>463</v>
      </c>
      <c r="M7" s="88"/>
      <c r="N7" s="88"/>
      <c r="O7" s="86"/>
      <c r="P7" s="86"/>
      <c r="Q7" s="86"/>
      <c r="R7" s="86"/>
      <c r="S7" s="816" t="s">
        <v>464</v>
      </c>
      <c r="T7" s="816" t="s">
        <v>465</v>
      </c>
      <c r="U7" s="816" t="s">
        <v>466</v>
      </c>
      <c r="V7" s="816" t="s">
        <v>467</v>
      </c>
    </row>
    <row r="8" spans="1:22" ht="21" customHeight="1">
      <c r="A8" s="766"/>
      <c r="B8" s="768"/>
      <c r="C8" s="768"/>
      <c r="D8" s="741"/>
      <c r="E8" s="678"/>
      <c r="F8" s="768"/>
      <c r="G8" s="416" t="s">
        <v>468</v>
      </c>
      <c r="H8" s="417" t="s">
        <v>469</v>
      </c>
      <c r="I8" s="417" t="s">
        <v>470</v>
      </c>
      <c r="J8" s="417" t="s">
        <v>471</v>
      </c>
      <c r="K8" s="768"/>
      <c r="L8" s="418"/>
      <c r="M8" s="88"/>
      <c r="N8" s="88"/>
      <c r="O8" s="86"/>
      <c r="P8" s="86"/>
      <c r="Q8" s="86"/>
      <c r="R8" s="86"/>
      <c r="S8" s="768"/>
      <c r="T8" s="768"/>
      <c r="U8" s="768"/>
      <c r="V8" s="768"/>
    </row>
    <row r="9" spans="1:22" ht="21" customHeight="1">
      <c r="A9" s="419">
        <v>1</v>
      </c>
      <c r="B9" s="420" t="s">
        <v>472</v>
      </c>
      <c r="C9" s="420" t="s">
        <v>473</v>
      </c>
      <c r="D9" s="211" t="s">
        <v>474</v>
      </c>
      <c r="E9" s="421" t="s">
        <v>475</v>
      </c>
      <c r="F9" s="422" t="s">
        <v>476</v>
      </c>
      <c r="G9" s="423">
        <f>ROUND($E$5*S9/1.1+'Taisei Kép + Bạc(01)'!$F$9/195*15+$F$20,-2)</f>
        <v>981800</v>
      </c>
      <c r="H9" s="423">
        <f>ROUND($E$5*T9/1.1+'Taisei Kép + Bạc(01)'!$F$9/195*15+$F$20,-2)</f>
        <v>972700</v>
      </c>
      <c r="I9" s="423">
        <f>ROUND($E$5*U9/1.1+'Taisei Kép + Bạc(01)'!$G$9/195*15+$F$20,-2)</f>
        <v>963500</v>
      </c>
      <c r="J9" s="423"/>
      <c r="K9" s="424">
        <f>ROUND($G$5*$S9/1.1+'Taisei Kép + Bạc(01)'!$H$9/195*15+$F$20,-2)</f>
        <v>995300</v>
      </c>
      <c r="L9" s="425" t="s">
        <v>477</v>
      </c>
      <c r="M9" s="426"/>
      <c r="N9" s="88"/>
      <c r="O9" s="86"/>
      <c r="P9" s="86"/>
      <c r="Q9" s="86"/>
      <c r="R9" s="86"/>
      <c r="S9" s="427">
        <v>3.75</v>
      </c>
      <c r="T9" s="427">
        <v>3.71</v>
      </c>
      <c r="U9" s="427">
        <v>3.68</v>
      </c>
      <c r="V9" s="427">
        <v>3.63</v>
      </c>
    </row>
    <row r="10" spans="1:22" ht="21" customHeight="1">
      <c r="A10" s="419">
        <v>2</v>
      </c>
      <c r="B10" s="420" t="s">
        <v>478</v>
      </c>
      <c r="C10" s="420" t="s">
        <v>479</v>
      </c>
      <c r="D10" s="211" t="s">
        <v>474</v>
      </c>
      <c r="E10" s="421" t="s">
        <v>480</v>
      </c>
      <c r="F10" s="422" t="s">
        <v>476</v>
      </c>
      <c r="G10" s="423">
        <f>ROUND($E$5*S10/1.1+'Taisei Kép + Bạc(01)'!$F$10/195*15+$F$20,-2)</f>
        <v>1169700</v>
      </c>
      <c r="H10" s="423">
        <f>ROUND($E$5*T10/1.1+'Taisei Kép + Bạc(01)'!$F$10/195*15+$F$20,-2)</f>
        <v>1158400</v>
      </c>
      <c r="I10" s="423">
        <f>ROUND($E$5*U10/1.1+'Taisei Kép + Bạc(01)'!$G$10/195*15+$F$20,-2)</f>
        <v>1146900</v>
      </c>
      <c r="J10" s="423"/>
      <c r="K10" s="424">
        <f>ROUND($G$5*$S10/1.1+'Taisei Kép + Bạc(01)'!$H$10/195*15+$F$20,-2)</f>
        <v>1187000</v>
      </c>
      <c r="L10" s="425" t="s">
        <v>477</v>
      </c>
      <c r="M10" s="426"/>
      <c r="N10" s="88"/>
      <c r="O10" s="86"/>
      <c r="P10" s="86"/>
      <c r="Q10" s="86"/>
      <c r="R10" s="86"/>
      <c r="S10" s="427">
        <v>4.57</v>
      </c>
      <c r="T10" s="427">
        <v>4.5199999999999996</v>
      </c>
      <c r="U10" s="427">
        <v>4.4800000000000004</v>
      </c>
      <c r="V10" s="427">
        <v>4.42</v>
      </c>
    </row>
    <row r="11" spans="1:22" ht="21" customHeight="1">
      <c r="A11" s="419">
        <v>3</v>
      </c>
      <c r="B11" s="420" t="s">
        <v>481</v>
      </c>
      <c r="C11" s="420" t="s">
        <v>482</v>
      </c>
      <c r="D11" s="211" t="s">
        <v>474</v>
      </c>
      <c r="E11" s="421" t="s">
        <v>483</v>
      </c>
      <c r="F11" s="422" t="s">
        <v>476</v>
      </c>
      <c r="G11" s="423">
        <f>ROUND($E$5*S11/1.1+'Taisei Kép + Bạc(01)'!$F$9/195*15+$F$20,-2)</f>
        <v>1109100</v>
      </c>
      <c r="H11" s="423">
        <f>ROUND($E$5*T11/1.1+'Taisei Kép + Bạc(01)'!$F$9/195*15+$F$20,-2)</f>
        <v>1100000</v>
      </c>
      <c r="I11" s="423">
        <f>ROUND($E$5*U11/1.1+'Taisei Kép + Bạc(01)'!$G$9/195*15+$F$20,-2)</f>
        <v>1090800</v>
      </c>
      <c r="J11" s="423"/>
      <c r="K11" s="424">
        <f>ROUND($G$5*$S11/1.1+'Taisei Kép + Bạc(01)'!$H$9/195*15+$F$20,-2)</f>
        <v>1125100</v>
      </c>
      <c r="L11" s="425" t="s">
        <v>477</v>
      </c>
      <c r="M11" s="426"/>
      <c r="N11" s="88"/>
      <c r="O11" s="86"/>
      <c r="P11" s="86"/>
      <c r="Q11" s="86"/>
      <c r="R11" s="86"/>
      <c r="S11" s="427">
        <v>4.3099999999999996</v>
      </c>
      <c r="T11" s="427">
        <v>4.2699999999999996</v>
      </c>
      <c r="U11" s="427">
        <v>4.24</v>
      </c>
      <c r="V11" s="427">
        <v>4.16</v>
      </c>
    </row>
    <row r="12" spans="1:22" ht="21" customHeight="1">
      <c r="A12" s="419">
        <v>4</v>
      </c>
      <c r="B12" s="420" t="s">
        <v>484</v>
      </c>
      <c r="C12" s="420" t="s">
        <v>485</v>
      </c>
      <c r="D12" s="211" t="s">
        <v>474</v>
      </c>
      <c r="E12" s="421" t="s">
        <v>486</v>
      </c>
      <c r="F12" s="422" t="s">
        <v>476</v>
      </c>
      <c r="G12" s="423">
        <f>ROUND($E$5*S12/1.1+'Taisei Kép + Bạc(01)'!$F$10/195*15+$F$20,-2)</f>
        <v>1326500</v>
      </c>
      <c r="H12" s="423">
        <f>ROUND($E$5*T12/1.1+'Taisei Kép + Bạc(01)'!$F$10/195*15+$F$20,-2)</f>
        <v>1315200</v>
      </c>
      <c r="I12" s="423">
        <f>ROUND($E$5*U12/1.1+'Taisei Kép + Bạc(01)'!$G$10/195*15+$F$20,-2)</f>
        <v>1303700</v>
      </c>
      <c r="J12" s="423"/>
      <c r="K12" s="424">
        <f>ROUND($G$5*$S12/1.1+'Taisei Kép + Bạc(01)'!$H$10/195*15+$F$20,-2)</f>
        <v>1346900</v>
      </c>
      <c r="L12" s="425" t="s">
        <v>477</v>
      </c>
      <c r="M12" s="426"/>
      <c r="N12" s="88"/>
      <c r="O12" s="86"/>
      <c r="P12" s="86"/>
      <c r="Q12" s="86"/>
      <c r="R12" s="86"/>
      <c r="S12" s="427">
        <v>5.26</v>
      </c>
      <c r="T12" s="427">
        <v>5.21</v>
      </c>
      <c r="U12" s="427">
        <v>5.17</v>
      </c>
      <c r="V12" s="427">
        <v>5.07</v>
      </c>
    </row>
    <row r="13" spans="1:22" ht="21" customHeight="1">
      <c r="A13" s="419">
        <v>5</v>
      </c>
      <c r="B13" s="420" t="s">
        <v>487</v>
      </c>
      <c r="C13" s="420" t="s">
        <v>488</v>
      </c>
      <c r="D13" s="211" t="s">
        <v>474</v>
      </c>
      <c r="E13" s="421" t="s">
        <v>489</v>
      </c>
      <c r="F13" s="422" t="s">
        <v>476</v>
      </c>
      <c r="G13" s="423">
        <f>ROUND($E$5*S13/1.1+'Taisei Kép + Bạc(01)'!$F$11/195*15+$F$20,-2)</f>
        <v>1570000</v>
      </c>
      <c r="H13" s="423">
        <f>ROUND($E$5*T13/1.1+'Taisei Kép + Bạc(01)'!$F$11/195*15+$F$20,-2)</f>
        <v>1556300</v>
      </c>
      <c r="I13" s="423">
        <f>ROUND($E$5*U13/1.1+'Taisei Kép + Bạc(01)'!$G$11/195*15+$F$20,-2)</f>
        <v>1542600</v>
      </c>
      <c r="J13" s="423"/>
      <c r="K13" s="424">
        <f>ROUND($G$5*$S13/1.1+'Taisei Kép + Bạc(01)'!$H$11/195*15+$F$20,-2)</f>
        <v>1594600</v>
      </c>
      <c r="L13" s="425" t="s">
        <v>477</v>
      </c>
      <c r="M13" s="426"/>
      <c r="N13" s="88"/>
      <c r="O13" s="86"/>
      <c r="P13" s="86"/>
      <c r="Q13" s="86"/>
      <c r="R13" s="86"/>
      <c r="S13" s="427">
        <v>6.1999999999999993</v>
      </c>
      <c r="T13" s="427">
        <v>6.1400000000000006</v>
      </c>
      <c r="U13" s="427">
        <v>6.09</v>
      </c>
      <c r="V13" s="427">
        <v>5.95</v>
      </c>
    </row>
    <row r="14" spans="1:22" ht="21" customHeight="1">
      <c r="A14" s="419">
        <v>6</v>
      </c>
      <c r="B14" s="420" t="s">
        <v>490</v>
      </c>
      <c r="C14" s="420" t="s">
        <v>491</v>
      </c>
      <c r="D14" s="211" t="s">
        <v>474</v>
      </c>
      <c r="E14" s="421" t="s">
        <v>492</v>
      </c>
      <c r="F14" s="422" t="s">
        <v>476</v>
      </c>
      <c r="G14" s="423">
        <f>ROUND($E$5*S14/1.1+'Taisei Kép + Bạc(01)'!$F$12/195*15+$F$20,-2)</f>
        <v>1793700</v>
      </c>
      <c r="H14" s="423">
        <f>ROUND($E$5*T14/1.1+'Taisei Kép + Bạc(01)'!$F$12/195*15+$F$20,-2)</f>
        <v>1780100</v>
      </c>
      <c r="I14" s="423">
        <f>ROUND($E$5*U14/1.1+'Taisei Kép + Bạc(01)'!$G$12/195*15+$F$20,-2)</f>
        <v>1764100</v>
      </c>
      <c r="J14" s="423"/>
      <c r="K14" s="424">
        <f>ROUND($G$5*$S14/1.1+'Taisei Kép + Bạc(01)'!$H$12/195*15+$F$20,-2)</f>
        <v>1822700</v>
      </c>
      <c r="L14" s="425" t="s">
        <v>477</v>
      </c>
      <c r="M14" s="426"/>
      <c r="N14" s="88"/>
      <c r="O14" s="86"/>
      <c r="P14" s="86"/>
      <c r="Q14" s="86"/>
      <c r="R14" s="86"/>
      <c r="S14" s="427">
        <v>7.1499999999999995</v>
      </c>
      <c r="T14" s="427">
        <v>7.09</v>
      </c>
      <c r="U14" s="427">
        <v>7.03</v>
      </c>
      <c r="V14" s="427">
        <v>6.85</v>
      </c>
    </row>
    <row r="15" spans="1:22" ht="21" customHeight="1">
      <c r="A15" s="419">
        <v>7</v>
      </c>
      <c r="B15" s="420" t="s">
        <v>493</v>
      </c>
      <c r="C15" s="420" t="s">
        <v>494</v>
      </c>
      <c r="D15" s="211" t="s">
        <v>474</v>
      </c>
      <c r="E15" s="421" t="s">
        <v>495</v>
      </c>
      <c r="F15" s="422" t="s">
        <v>476</v>
      </c>
      <c r="G15" s="423">
        <f>ROUND($E$5*S15/1.1+'Taisei Kép + Bạc(01)'!$F$9/195*15+$F$20,-2)</f>
        <v>1229500</v>
      </c>
      <c r="H15" s="423">
        <f>ROUND($E$5*T15/1.1+'Taisei Kép + Bạc(01)'!$F$9/195*15+$F$20,-2)</f>
        <v>1220400</v>
      </c>
      <c r="I15" s="423">
        <f>ROUND($E$5*U15/1.1+'Taisei Kép + Bạc(01)'!$G$9/195*15+$F$20,-2)</f>
        <v>1211300</v>
      </c>
      <c r="J15" s="423"/>
      <c r="K15" s="424">
        <f>ROUND($G$5*$S15/1.1+'Taisei Kép + Bạc(01)'!$H$9/195*15+$F$20,-2)</f>
        <v>1248000</v>
      </c>
      <c r="L15" s="425" t="s">
        <v>477</v>
      </c>
      <c r="M15" s="426"/>
      <c r="N15" s="88"/>
      <c r="O15" s="86"/>
      <c r="P15" s="86"/>
      <c r="Q15" s="86"/>
      <c r="R15" s="86"/>
      <c r="S15" s="427">
        <v>4.84</v>
      </c>
      <c r="T15" s="427">
        <v>4.8</v>
      </c>
      <c r="U15" s="427">
        <v>4.7699999999999996</v>
      </c>
      <c r="V15" s="427">
        <v>4.7</v>
      </c>
    </row>
    <row r="16" spans="1:22" ht="21" customHeight="1">
      <c r="A16" s="419">
        <v>8</v>
      </c>
      <c r="B16" s="420" t="s">
        <v>496</v>
      </c>
      <c r="C16" s="420" t="s">
        <v>497</v>
      </c>
      <c r="D16" s="211" t="s">
        <v>474</v>
      </c>
      <c r="E16" s="421" t="s">
        <v>498</v>
      </c>
      <c r="F16" s="422" t="s">
        <v>476</v>
      </c>
      <c r="G16" s="423">
        <f>ROUND($E$5*S16/1.1+'Taisei Kép + Bạc(01)'!$F$10/195*15+$F$20,-2)</f>
        <v>1476500</v>
      </c>
      <c r="H16" s="423">
        <f>ROUND($E$5*T16/1.1+'Taisei Kép + Bạc(01)'!$F$10/195*15+$F$20,-2)</f>
        <v>1465200</v>
      </c>
      <c r="I16" s="423">
        <f>ROUND($E$5*U16/1.1+'Taisei Kép + Bạc(01)'!$G$10/195*15+$F$20,-2)</f>
        <v>1453700</v>
      </c>
      <c r="J16" s="423"/>
      <c r="K16" s="424">
        <f>ROUND($G$5*$S16/1.1+'Taisei Kép + Bạc(01)'!$H$10/195*15+$F$20,-2)</f>
        <v>1499900</v>
      </c>
      <c r="L16" s="425" t="s">
        <v>477</v>
      </c>
      <c r="M16" s="426"/>
      <c r="N16" s="88"/>
      <c r="O16" s="86"/>
      <c r="P16" s="86"/>
      <c r="Q16" s="86"/>
      <c r="R16" s="86"/>
      <c r="S16" s="427">
        <v>5.92</v>
      </c>
      <c r="T16" s="427">
        <v>5.87</v>
      </c>
      <c r="U16" s="427">
        <v>5.83</v>
      </c>
      <c r="V16" s="427">
        <v>5.6899999999999995</v>
      </c>
    </row>
    <row r="17" spans="1:22" ht="21" customHeight="1">
      <c r="A17" s="419">
        <v>9</v>
      </c>
      <c r="B17" s="420" t="s">
        <v>499</v>
      </c>
      <c r="C17" s="420" t="s">
        <v>500</v>
      </c>
      <c r="D17" s="211" t="s">
        <v>474</v>
      </c>
      <c r="E17" s="421" t="s">
        <v>501</v>
      </c>
      <c r="F17" s="422" t="s">
        <v>476</v>
      </c>
      <c r="G17" s="423">
        <f>ROUND($E$5*S17/1.1+'Taisei Kép + Bạc(01)'!$F$11/195*15+$F$20,-2)</f>
        <v>1754000</v>
      </c>
      <c r="H17" s="423">
        <f>ROUND($E$5*T17/1.1+'Taisei Kép + Bạc(01)'!$F$11/195*15+$F$20,-2)</f>
        <v>1740400</v>
      </c>
      <c r="I17" s="423">
        <f>ROUND($E$5*U17/1.1+'Taisei Kép + Bạc(01)'!$G$11/195*15+$F$20,-2)</f>
        <v>1726700</v>
      </c>
      <c r="J17" s="423"/>
      <c r="K17" s="424">
        <f>ROUND($G$5*$S17/1.1+'Taisei Kép + Bạc(01)'!$H$11/195*15+$F$20,-2)</f>
        <v>1782400</v>
      </c>
      <c r="L17" s="425" t="s">
        <v>477</v>
      </c>
      <c r="M17" s="426"/>
      <c r="N17" s="88"/>
      <c r="O17" s="86"/>
      <c r="P17" s="86"/>
      <c r="Q17" s="86"/>
      <c r="R17" s="86"/>
      <c r="S17" s="427">
        <v>7.01</v>
      </c>
      <c r="T17" s="427">
        <v>6.95</v>
      </c>
      <c r="U17" s="427">
        <v>6.9</v>
      </c>
      <c r="V17" s="427">
        <v>6.7700000000000005</v>
      </c>
    </row>
    <row r="18" spans="1:22" ht="21" customHeight="1">
      <c r="A18" s="428">
        <v>10</v>
      </c>
      <c r="B18" s="429" t="s">
        <v>502</v>
      </c>
      <c r="C18" s="429" t="s">
        <v>503</v>
      </c>
      <c r="D18" s="430" t="s">
        <v>474</v>
      </c>
      <c r="E18" s="431" t="s">
        <v>504</v>
      </c>
      <c r="F18" s="432" t="s">
        <v>476</v>
      </c>
      <c r="G18" s="433">
        <f>ROUND($E$5*S18/1.1+'Taisei Kép + Bạc(01)'!$F$12/195*15+$F$20,-2)</f>
        <v>2007300</v>
      </c>
      <c r="H18" s="433">
        <f>ROUND($E$5*T18/1.1+'Taisei Kép + Bạc(01)'!$F$12/195*15+$F$20,-2)</f>
        <v>1993700</v>
      </c>
      <c r="I18" s="433">
        <f>ROUND($E$5*U18/1.1+'Taisei Kép + Bạc(01)'!$G$12/195*15+$F$20,-2)</f>
        <v>1977700</v>
      </c>
      <c r="J18" s="433"/>
      <c r="K18" s="434">
        <f>ROUND($G$5*$S18/1.1+'Taisei Kép + Bạc(01)'!$H$12/195*15+$F$20,-2)</f>
        <v>2040600</v>
      </c>
      <c r="L18" s="435" t="s">
        <v>477</v>
      </c>
      <c r="M18" s="426"/>
      <c r="N18" s="88"/>
      <c r="O18" s="86"/>
      <c r="P18" s="86"/>
      <c r="Q18" s="86"/>
      <c r="R18" s="86"/>
      <c r="S18" s="436">
        <v>8.09</v>
      </c>
      <c r="T18" s="436">
        <v>8.0299999999999994</v>
      </c>
      <c r="U18" s="436">
        <v>7.97</v>
      </c>
      <c r="V18" s="436">
        <v>7.8100000000000005</v>
      </c>
    </row>
    <row r="19" spans="1:22" ht="12.75">
      <c r="A19" s="86"/>
      <c r="B19" s="86"/>
      <c r="C19" s="86"/>
      <c r="D19" s="86"/>
      <c r="E19" s="129"/>
      <c r="F19" s="86"/>
      <c r="G19" s="86"/>
      <c r="H19" s="437"/>
      <c r="I19" s="437"/>
      <c r="J19" s="88"/>
      <c r="K19" s="88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1:22">
      <c r="A20" s="86"/>
      <c r="B20" s="86"/>
      <c r="C20" s="86"/>
      <c r="D20" s="86"/>
      <c r="E20" s="438" t="s">
        <v>505</v>
      </c>
      <c r="F20" s="439">
        <v>50000</v>
      </c>
      <c r="G20" s="86"/>
      <c r="H20" s="440" t="s">
        <v>506</v>
      </c>
      <c r="I20" s="437"/>
      <c r="J20" s="88"/>
      <c r="K20" s="88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1:22">
      <c r="A21" s="239"/>
      <c r="B21" s="441"/>
      <c r="C21" s="441"/>
      <c r="D21" s="441"/>
      <c r="E21" s="442"/>
      <c r="F21" s="126"/>
      <c r="G21" s="441"/>
      <c r="H21" s="442"/>
      <c r="I21" s="241"/>
      <c r="J21" s="241"/>
      <c r="K21" s="241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1:22">
      <c r="A22" s="239"/>
      <c r="B22" s="441"/>
      <c r="C22" s="441"/>
      <c r="D22" s="441"/>
      <c r="E22" s="442"/>
      <c r="F22" s="126"/>
      <c r="G22" s="441"/>
      <c r="H22" s="442"/>
      <c r="I22" s="241"/>
      <c r="J22" s="241"/>
      <c r="K22" s="241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1:22">
      <c r="A23" s="239"/>
      <c r="B23" s="441"/>
      <c r="C23" s="441"/>
      <c r="D23" s="441"/>
      <c r="E23" s="442"/>
      <c r="F23" s="126"/>
      <c r="G23" s="441"/>
      <c r="H23" s="442"/>
      <c r="I23" s="241"/>
      <c r="J23" s="241"/>
      <c r="K23" s="241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1:22" ht="19.5" customHeight="1">
      <c r="A24" s="271"/>
      <c r="B24" s="443"/>
      <c r="C24" s="115"/>
      <c r="D24" s="444" t="s">
        <v>507</v>
      </c>
      <c r="E24" s="445">
        <v>300000</v>
      </c>
      <c r="F24" s="446"/>
      <c r="G24" s="447"/>
      <c r="H24" s="246"/>
      <c r="I24" s="246"/>
      <c r="J24" s="246"/>
      <c r="K24" s="86"/>
      <c r="L24" s="86"/>
      <c r="M24" s="86"/>
      <c r="N24" s="86"/>
      <c r="O24" s="86"/>
      <c r="P24" s="86"/>
      <c r="Q24" s="115"/>
      <c r="R24" s="86"/>
      <c r="S24" s="86"/>
      <c r="T24" s="86"/>
      <c r="U24" s="86"/>
      <c r="V24" s="86"/>
    </row>
    <row r="25" spans="1:22" ht="19.5" customHeight="1">
      <c r="A25" s="271"/>
      <c r="B25" s="443"/>
      <c r="C25" s="115"/>
      <c r="D25" s="448" t="s">
        <v>508</v>
      </c>
      <c r="E25" s="449"/>
      <c r="F25" s="450"/>
      <c r="G25" s="246"/>
      <c r="H25" s="246"/>
      <c r="I25" s="246"/>
      <c r="J25" s="246"/>
      <c r="K25" s="86"/>
      <c r="L25" s="86"/>
      <c r="M25" s="86"/>
      <c r="N25" s="86"/>
      <c r="O25" s="86"/>
      <c r="P25" s="86"/>
      <c r="Q25" s="115"/>
      <c r="R25" s="86"/>
      <c r="S25" s="86"/>
      <c r="T25" s="86"/>
      <c r="U25" s="86"/>
      <c r="V25" s="86"/>
    </row>
    <row r="26" spans="1:22">
      <c r="A26" s="239"/>
      <c r="B26" s="441"/>
      <c r="C26" s="441"/>
      <c r="D26" s="442"/>
      <c r="E26" s="126"/>
      <c r="F26" s="241"/>
      <c r="G26" s="241"/>
      <c r="H26" s="241"/>
      <c r="I26" s="241"/>
      <c r="J26" s="241"/>
      <c r="K26" s="86"/>
      <c r="L26" s="86"/>
      <c r="M26" s="86"/>
      <c r="N26" s="86"/>
      <c r="O26" s="86"/>
      <c r="P26" s="86"/>
      <c r="Q26" s="115"/>
      <c r="R26" s="86"/>
      <c r="S26" s="86"/>
      <c r="T26" s="86"/>
      <c r="U26" s="86"/>
      <c r="V26" s="86"/>
    </row>
    <row r="27" spans="1:22" ht="60">
      <c r="A27" s="115"/>
      <c r="B27" s="115"/>
      <c r="C27" s="822" t="s">
        <v>266</v>
      </c>
      <c r="D27" s="824" t="s">
        <v>509</v>
      </c>
      <c r="E27" s="825"/>
      <c r="F27" s="828" t="s">
        <v>79</v>
      </c>
      <c r="G27" s="830" t="s">
        <v>510</v>
      </c>
      <c r="H27" s="831" t="s">
        <v>511</v>
      </c>
      <c r="I27" s="832" t="s">
        <v>512</v>
      </c>
      <c r="J27" s="451"/>
      <c r="K27" s="115"/>
      <c r="L27" s="452" t="s">
        <v>142</v>
      </c>
      <c r="M27" s="453" t="s">
        <v>513</v>
      </c>
      <c r="N27" s="454" t="s">
        <v>79</v>
      </c>
      <c r="O27" s="454" t="s">
        <v>514</v>
      </c>
      <c r="P27" s="455"/>
      <c r="Q27" s="456" t="s">
        <v>512</v>
      </c>
      <c r="R27" s="86"/>
      <c r="S27" s="457" t="s">
        <v>515</v>
      </c>
      <c r="T27" s="457" t="s">
        <v>516</v>
      </c>
      <c r="U27" s="86"/>
      <c r="V27" s="86"/>
    </row>
    <row r="28" spans="1:22">
      <c r="A28" s="115"/>
      <c r="B28" s="115"/>
      <c r="C28" s="823"/>
      <c r="D28" s="826"/>
      <c r="E28" s="827"/>
      <c r="F28" s="829"/>
      <c r="G28" s="829"/>
      <c r="H28" s="829"/>
      <c r="I28" s="833"/>
      <c r="J28" s="451"/>
      <c r="K28" s="115"/>
      <c r="L28" s="458" t="s">
        <v>517</v>
      </c>
      <c r="M28" s="459" t="s">
        <v>518</v>
      </c>
      <c r="N28" s="460" t="s">
        <v>519</v>
      </c>
      <c r="O28" s="461">
        <f ca="1">IFERROR(VLOOKUP(L28,TỒN!A:C,3,FALSE),0)</f>
        <v>172.8</v>
      </c>
      <c r="P28" s="462">
        <v>1</v>
      </c>
      <c r="Q28" s="463">
        <f t="shared" ref="Q28:Q37" si="0">ROUND(P28*$E$25,-2)</f>
        <v>0</v>
      </c>
      <c r="R28" s="86"/>
      <c r="S28" s="464">
        <v>17</v>
      </c>
      <c r="T28" s="465">
        <v>12</v>
      </c>
      <c r="U28" s="86"/>
      <c r="V28" s="86"/>
    </row>
    <row r="29" spans="1:22" ht="15.75" customHeight="1">
      <c r="A29" s="115"/>
      <c r="B29" s="115"/>
      <c r="C29" s="466" t="s">
        <v>520</v>
      </c>
      <c r="D29" s="834" t="s">
        <v>521</v>
      </c>
      <c r="E29" s="835"/>
      <c r="F29" s="467" t="s">
        <v>522</v>
      </c>
      <c r="G29" s="467">
        <f ca="1">IFERROR(VLOOKUP(C29,TỒN!$A:$C,3,FALSE),)</f>
        <v>0</v>
      </c>
      <c r="H29" s="468">
        <v>12.575167920000004</v>
      </c>
      <c r="I29" s="469">
        <f t="shared" ref="I29:I62" si="1">ROUND($E$24*H29/1.1,-2)</f>
        <v>3429600</v>
      </c>
      <c r="J29" s="451"/>
      <c r="K29" s="115"/>
      <c r="L29" s="458" t="s">
        <v>523</v>
      </c>
      <c r="M29" s="459" t="s">
        <v>524</v>
      </c>
      <c r="N29" s="460" t="s">
        <v>525</v>
      </c>
      <c r="O29" s="461">
        <f ca="1">IFERROR(VLOOKUP(L29,TỒN!A:C,3,FALSE),0)</f>
        <v>24</v>
      </c>
      <c r="P29" s="462">
        <v>1.4191174199999999</v>
      </c>
      <c r="Q29" s="463">
        <f t="shared" si="0"/>
        <v>0</v>
      </c>
      <c r="R29" s="86"/>
      <c r="S29" s="464">
        <v>19.399999999999999</v>
      </c>
      <c r="T29" s="465">
        <v>12</v>
      </c>
      <c r="U29" s="86"/>
      <c r="V29" s="86"/>
    </row>
    <row r="30" spans="1:22" ht="15.75" customHeight="1">
      <c r="A30" s="115"/>
      <c r="B30" s="115"/>
      <c r="C30" s="470" t="s">
        <v>526</v>
      </c>
      <c r="D30" s="836" t="s">
        <v>527</v>
      </c>
      <c r="E30" s="835"/>
      <c r="F30" s="471" t="s">
        <v>522</v>
      </c>
      <c r="G30" s="471">
        <f ca="1">IFERROR(VLOOKUP(C30,TỒN!$A:$C,3,FALSE),)</f>
        <v>0</v>
      </c>
      <c r="H30" s="472">
        <v>9.4813992000000002</v>
      </c>
      <c r="I30" s="473">
        <f t="shared" si="1"/>
        <v>2585800</v>
      </c>
      <c r="J30" s="451"/>
      <c r="K30" s="115"/>
      <c r="L30" s="458" t="s">
        <v>528</v>
      </c>
      <c r="M30" s="459" t="s">
        <v>529</v>
      </c>
      <c r="N30" s="460" t="s">
        <v>525</v>
      </c>
      <c r="O30" s="461">
        <f ca="1">IFERROR(VLOOKUP(L30,TỒN!A:C,3,FALSE),0)</f>
        <v>132</v>
      </c>
      <c r="P30" s="462">
        <v>1.6229833199999997</v>
      </c>
      <c r="Q30" s="463">
        <f t="shared" si="0"/>
        <v>0</v>
      </c>
      <c r="R30" s="86"/>
      <c r="S30" s="464">
        <v>21.8</v>
      </c>
      <c r="T30" s="465">
        <v>12</v>
      </c>
      <c r="U30" s="86"/>
      <c r="V30" s="86"/>
    </row>
    <row r="31" spans="1:22" ht="15.75" customHeight="1">
      <c r="A31" s="115"/>
      <c r="B31" s="115"/>
      <c r="C31" s="466" t="s">
        <v>530</v>
      </c>
      <c r="D31" s="834" t="s">
        <v>531</v>
      </c>
      <c r="E31" s="835"/>
      <c r="F31" s="467" t="s">
        <v>522</v>
      </c>
      <c r="G31" s="467">
        <f ca="1">IFERROR(VLOOKUP(C31,TỒN!$A:$C,3,FALSE),)</f>
        <v>0</v>
      </c>
      <c r="H31" s="468">
        <v>9.482860800000001</v>
      </c>
      <c r="I31" s="469">
        <f t="shared" si="1"/>
        <v>2586200</v>
      </c>
      <c r="J31" s="451"/>
      <c r="K31" s="115"/>
      <c r="L31" s="458" t="s">
        <v>532</v>
      </c>
      <c r="M31" s="459" t="s">
        <v>533</v>
      </c>
      <c r="N31" s="460" t="s">
        <v>525</v>
      </c>
      <c r="O31" s="461">
        <f ca="1">IFERROR(VLOOKUP(L31,TỒN!A:C,3,FALSE),0)</f>
        <v>219</v>
      </c>
      <c r="P31" s="462">
        <v>1.8187432199999998</v>
      </c>
      <c r="Q31" s="463">
        <f t="shared" si="0"/>
        <v>0</v>
      </c>
      <c r="R31" s="86"/>
      <c r="S31" s="464">
        <v>19.8</v>
      </c>
      <c r="T31" s="465">
        <v>9</v>
      </c>
      <c r="U31" s="86"/>
      <c r="V31" s="86"/>
    </row>
    <row r="32" spans="1:22" ht="15.75" customHeight="1">
      <c r="A32" s="115"/>
      <c r="B32" s="115"/>
      <c r="C32" s="470" t="s">
        <v>534</v>
      </c>
      <c r="D32" s="836" t="s">
        <v>535</v>
      </c>
      <c r="E32" s="835"/>
      <c r="F32" s="471" t="s">
        <v>522</v>
      </c>
      <c r="G32" s="471">
        <f ca="1">IFERROR(VLOOKUP(C32,TỒN!$A:$C,3,FALSE),)</f>
        <v>0</v>
      </c>
      <c r="H32" s="472">
        <v>7.4574079999999983</v>
      </c>
      <c r="I32" s="473">
        <f t="shared" si="1"/>
        <v>2033800</v>
      </c>
      <c r="J32" s="451"/>
      <c r="K32" s="115"/>
      <c r="L32" s="458" t="s">
        <v>536</v>
      </c>
      <c r="M32" s="459" t="s">
        <v>537</v>
      </c>
      <c r="N32" s="460" t="s">
        <v>525</v>
      </c>
      <c r="O32" s="461">
        <f ca="1">IFERROR(VLOOKUP(L32,TỒN!A:C,3,FALSE),0)</f>
        <v>30</v>
      </c>
      <c r="P32" s="462">
        <v>2.5351920299999993</v>
      </c>
      <c r="Q32" s="463">
        <f t="shared" si="0"/>
        <v>0</v>
      </c>
      <c r="R32" s="86"/>
      <c r="S32" s="464">
        <v>22.7</v>
      </c>
      <c r="T32" s="465">
        <v>9</v>
      </c>
      <c r="U32" s="86"/>
      <c r="V32" s="86"/>
    </row>
    <row r="33" spans="1:22" ht="15.75" customHeight="1">
      <c r="A33" s="115"/>
      <c r="B33" s="115"/>
      <c r="C33" s="466" t="s">
        <v>538</v>
      </c>
      <c r="D33" s="834" t="s">
        <v>539</v>
      </c>
      <c r="E33" s="835"/>
      <c r="F33" s="467" t="s">
        <v>522</v>
      </c>
      <c r="G33" s="467">
        <f ca="1">IFERROR(VLOOKUP(C33,TỒN!$A:$C,3,FALSE),)</f>
        <v>0</v>
      </c>
      <c r="H33" s="468">
        <v>8.4967680000000012</v>
      </c>
      <c r="I33" s="469">
        <f t="shared" si="1"/>
        <v>2317300</v>
      </c>
      <c r="J33" s="451"/>
      <c r="K33" s="115"/>
      <c r="L33" s="458" t="s">
        <v>540</v>
      </c>
      <c r="M33" s="459" t="s">
        <v>541</v>
      </c>
      <c r="N33" s="460" t="s">
        <v>525</v>
      </c>
      <c r="O33" s="461">
        <f ca="1">IFERROR(VLOOKUP(L33,TỒN!A:C,3,FALSE),0)</f>
        <v>214</v>
      </c>
      <c r="P33" s="462">
        <v>2.8594320299999998</v>
      </c>
      <c r="Q33" s="463">
        <f t="shared" si="0"/>
        <v>0</v>
      </c>
      <c r="R33" s="86"/>
      <c r="S33" s="464">
        <v>25.7</v>
      </c>
      <c r="T33" s="465">
        <v>9</v>
      </c>
      <c r="U33" s="86"/>
      <c r="V33" s="86"/>
    </row>
    <row r="34" spans="1:22" ht="15.75" customHeight="1">
      <c r="A34" s="115"/>
      <c r="B34" s="115"/>
      <c r="C34" s="470" t="s">
        <v>542</v>
      </c>
      <c r="D34" s="836" t="s">
        <v>543</v>
      </c>
      <c r="E34" s="835"/>
      <c r="F34" s="471" t="s">
        <v>522</v>
      </c>
      <c r="G34" s="471">
        <f ca="1">IFERROR(VLOOKUP(C34,TỒN!$A:$C,3,FALSE),)</f>
        <v>0</v>
      </c>
      <c r="H34" s="472">
        <v>9.5296320000000012</v>
      </c>
      <c r="I34" s="473">
        <f t="shared" si="1"/>
        <v>2599000</v>
      </c>
      <c r="J34" s="451"/>
      <c r="K34" s="115"/>
      <c r="L34" s="458" t="s">
        <v>544</v>
      </c>
      <c r="M34" s="459" t="s">
        <v>545</v>
      </c>
      <c r="N34" s="460" t="s">
        <v>525</v>
      </c>
      <c r="O34" s="461">
        <f ca="1">IFERROR(VLOOKUP(L34,TỒN!A:C,3,FALSE),0)</f>
        <v>134</v>
      </c>
      <c r="P34" s="462">
        <v>2.98904697</v>
      </c>
      <c r="Q34" s="463">
        <f t="shared" si="0"/>
        <v>0</v>
      </c>
      <c r="R34" s="86"/>
      <c r="S34" s="464">
        <v>20.8</v>
      </c>
      <c r="T34" s="465">
        <v>7</v>
      </c>
      <c r="U34" s="86"/>
      <c r="V34" s="86"/>
    </row>
    <row r="35" spans="1:22" ht="15.75" customHeight="1">
      <c r="A35" s="115"/>
      <c r="B35" s="115"/>
      <c r="C35" s="466" t="s">
        <v>546</v>
      </c>
      <c r="D35" s="834" t="s">
        <v>547</v>
      </c>
      <c r="E35" s="835"/>
      <c r="F35" s="467" t="s">
        <v>522</v>
      </c>
      <c r="G35" s="467">
        <f ca="1">IFERROR(VLOOKUP(C35,TỒN!$A:$C,3,FALSE),)</f>
        <v>0</v>
      </c>
      <c r="H35" s="468">
        <v>10.555999999999999</v>
      </c>
      <c r="I35" s="469">
        <f t="shared" si="1"/>
        <v>2878900</v>
      </c>
      <c r="J35" s="451"/>
      <c r="K35" s="115"/>
      <c r="L35" s="458" t="s">
        <v>548</v>
      </c>
      <c r="M35" s="459" t="s">
        <v>549</v>
      </c>
      <c r="N35" s="460" t="s">
        <v>525</v>
      </c>
      <c r="O35" s="461">
        <f ca="1">IFERROR(VLOOKUP(L35,TỒN!A:C,3,FALSE),0)</f>
        <v>70</v>
      </c>
      <c r="P35" s="462">
        <v>5.2775734200000004</v>
      </c>
      <c r="Q35" s="463">
        <f t="shared" si="0"/>
        <v>0</v>
      </c>
      <c r="R35" s="86"/>
      <c r="S35" s="464">
        <v>24.1</v>
      </c>
      <c r="T35" s="465">
        <v>7</v>
      </c>
      <c r="U35" s="86"/>
      <c r="V35" s="86"/>
    </row>
    <row r="36" spans="1:22" ht="19.5" customHeight="1">
      <c r="A36" s="115"/>
      <c r="B36" s="115"/>
      <c r="C36" s="470" t="s">
        <v>550</v>
      </c>
      <c r="D36" s="836" t="s">
        <v>551</v>
      </c>
      <c r="E36" s="835"/>
      <c r="F36" s="471" t="s">
        <v>522</v>
      </c>
      <c r="G36" s="471">
        <f ca="1">IFERROR(VLOOKUP(C36,TỒN!$A:$C,3,FALSE),)</f>
        <v>0</v>
      </c>
      <c r="H36" s="472">
        <v>7.8853320000000009</v>
      </c>
      <c r="I36" s="473">
        <f t="shared" si="1"/>
        <v>2150500</v>
      </c>
      <c r="J36" s="451"/>
      <c r="K36" s="115"/>
      <c r="L36" s="458" t="s">
        <v>552</v>
      </c>
      <c r="M36" s="459" t="s">
        <v>553</v>
      </c>
      <c r="N36" s="460" t="s">
        <v>525</v>
      </c>
      <c r="O36" s="461">
        <f ca="1">IFERROR(VLOOKUP(L36,TỒN!A:C,3,FALSE),0)</f>
        <v>97</v>
      </c>
      <c r="P36" s="462">
        <v>5.9880643200000003</v>
      </c>
      <c r="Q36" s="463">
        <f t="shared" si="0"/>
        <v>0</v>
      </c>
      <c r="R36" s="86"/>
      <c r="S36" s="464">
        <v>27.3</v>
      </c>
      <c r="T36" s="465">
        <v>7</v>
      </c>
      <c r="U36" s="86"/>
      <c r="V36" s="86"/>
    </row>
    <row r="37" spans="1:22" ht="19.5" customHeight="1">
      <c r="A37" s="115"/>
      <c r="B37" s="115"/>
      <c r="C37" s="466" t="s">
        <v>554</v>
      </c>
      <c r="D37" s="834" t="s">
        <v>555</v>
      </c>
      <c r="E37" s="835"/>
      <c r="F37" s="467" t="s">
        <v>522</v>
      </c>
      <c r="G37" s="467">
        <f ca="1">IFERROR(VLOOKUP(C37,TỒN!$A:$C,3,FALSE),)</f>
        <v>0</v>
      </c>
      <c r="H37" s="468">
        <v>9.6660480000000017</v>
      </c>
      <c r="I37" s="469">
        <f t="shared" si="1"/>
        <v>2636200</v>
      </c>
      <c r="J37" s="451"/>
      <c r="K37" s="115"/>
      <c r="L37" s="474" t="s">
        <v>556</v>
      </c>
      <c r="M37" s="475" t="s">
        <v>557</v>
      </c>
      <c r="N37" s="476" t="s">
        <v>525</v>
      </c>
      <c r="O37" s="477">
        <f ca="1">IFERROR(VLOOKUP(L37,TỒN!A:C,3,FALSE),0)</f>
        <v>8</v>
      </c>
      <c r="P37" s="478">
        <v>7.315665000000001</v>
      </c>
      <c r="Q37" s="479">
        <f t="shared" si="0"/>
        <v>0</v>
      </c>
      <c r="R37" s="86"/>
      <c r="S37" s="464">
        <v>21.7</v>
      </c>
      <c r="T37" s="465">
        <v>5</v>
      </c>
      <c r="U37" s="86"/>
      <c r="V37" s="86"/>
    </row>
    <row r="38" spans="1:22" ht="19.5" customHeight="1">
      <c r="A38" s="115"/>
      <c r="B38" s="115"/>
      <c r="C38" s="470" t="s">
        <v>558</v>
      </c>
      <c r="D38" s="836" t="s">
        <v>559</v>
      </c>
      <c r="E38" s="835"/>
      <c r="F38" s="471" t="s">
        <v>522</v>
      </c>
      <c r="G38" s="471">
        <f ca="1">IFERROR(VLOOKUP(C38,TỒN!$A:$C,3,FALSE),)</f>
        <v>0</v>
      </c>
      <c r="H38" s="472">
        <v>10.845072</v>
      </c>
      <c r="I38" s="473">
        <f t="shared" si="1"/>
        <v>2957700</v>
      </c>
      <c r="J38" s="451"/>
      <c r="K38" s="115"/>
      <c r="L38" s="86"/>
      <c r="M38" s="86"/>
      <c r="N38" s="86"/>
      <c r="O38" s="86"/>
      <c r="P38" s="86"/>
      <c r="Q38" s="86"/>
      <c r="R38" s="86"/>
      <c r="S38" s="464">
        <v>24.8</v>
      </c>
      <c r="T38" s="465">
        <v>5</v>
      </c>
      <c r="U38" s="86"/>
      <c r="V38" s="86"/>
    </row>
    <row r="39" spans="1:22" ht="45">
      <c r="A39" s="115"/>
      <c r="B39" s="115"/>
      <c r="C39" s="466" t="s">
        <v>560</v>
      </c>
      <c r="D39" s="834" t="s">
        <v>561</v>
      </c>
      <c r="E39" s="835"/>
      <c r="F39" s="467" t="s">
        <v>522</v>
      </c>
      <c r="G39" s="467">
        <f ca="1">IFERROR(VLOOKUP(C39,TỒN!$A:$C,3,FALSE),)</f>
        <v>0</v>
      </c>
      <c r="H39" s="468">
        <v>13.719552</v>
      </c>
      <c r="I39" s="469">
        <f t="shared" si="1"/>
        <v>3741700</v>
      </c>
      <c r="J39" s="451"/>
      <c r="K39" s="115"/>
      <c r="L39" s="452" t="s">
        <v>562</v>
      </c>
      <c r="M39" s="453" t="s">
        <v>563</v>
      </c>
      <c r="N39" s="454" t="s">
        <v>514</v>
      </c>
      <c r="O39" s="454" t="s">
        <v>564</v>
      </c>
      <c r="P39" s="455" t="s">
        <v>565</v>
      </c>
      <c r="Q39" s="480" t="s">
        <v>512</v>
      </c>
      <c r="R39" s="86"/>
      <c r="S39" s="464">
        <v>30.6</v>
      </c>
      <c r="T39" s="465">
        <v>5</v>
      </c>
      <c r="U39" s="86"/>
      <c r="V39" s="86"/>
    </row>
    <row r="40" spans="1:22" ht="19.5" customHeight="1">
      <c r="A40" s="115"/>
      <c r="B40" s="115"/>
      <c r="C40" s="470" t="s">
        <v>566</v>
      </c>
      <c r="D40" s="836" t="s">
        <v>567</v>
      </c>
      <c r="E40" s="835"/>
      <c r="F40" s="471" t="s">
        <v>522</v>
      </c>
      <c r="G40" s="471">
        <f ca="1">IFERROR(VLOOKUP(C40,TỒN!$A:$C,3,FALSE),)</f>
        <v>0</v>
      </c>
      <c r="H40" s="472">
        <v>10.105177599999999</v>
      </c>
      <c r="I40" s="473">
        <f t="shared" si="1"/>
        <v>2756000</v>
      </c>
      <c r="J40" s="451"/>
      <c r="K40" s="115"/>
      <c r="L40" s="458" t="s">
        <v>568</v>
      </c>
      <c r="M40" s="459" t="s">
        <v>569</v>
      </c>
      <c r="N40" s="460" t="s">
        <v>525</v>
      </c>
      <c r="O40" s="461">
        <f ca="1">IFERROR(VLOOKUP(L40,TỒN!A:C,3,FALSE),0)</f>
        <v>53</v>
      </c>
      <c r="P40" s="462">
        <v>4.3653647100000006</v>
      </c>
      <c r="Q40" s="463">
        <f t="shared" ref="Q40:Q41" si="2">ROUND(P40*$E$25,-2)</f>
        <v>0</v>
      </c>
      <c r="R40" s="86"/>
      <c r="S40" s="464">
        <v>21.1</v>
      </c>
      <c r="T40" s="465">
        <v>4</v>
      </c>
      <c r="U40" s="86"/>
      <c r="V40" s="86"/>
    </row>
    <row r="41" spans="1:22" ht="19.5" customHeight="1">
      <c r="A41" s="115"/>
      <c r="B41" s="115"/>
      <c r="C41" s="466" t="s">
        <v>570</v>
      </c>
      <c r="D41" s="834" t="s">
        <v>571</v>
      </c>
      <c r="E41" s="835"/>
      <c r="F41" s="467" t="s">
        <v>522</v>
      </c>
      <c r="G41" s="467">
        <f ca="1">IFERROR(VLOOKUP(C41,TỒN!$A:$C,3,FALSE),)</f>
        <v>0</v>
      </c>
      <c r="H41" s="468">
        <v>17.23142764</v>
      </c>
      <c r="I41" s="469">
        <f t="shared" si="1"/>
        <v>4699500</v>
      </c>
      <c r="J41" s="451"/>
      <c r="K41" s="115"/>
      <c r="L41" s="474" t="s">
        <v>572</v>
      </c>
      <c r="M41" s="475" t="s">
        <v>573</v>
      </c>
      <c r="N41" s="476" t="s">
        <v>525</v>
      </c>
      <c r="O41" s="477">
        <f ca="1">IFERROR(VLOOKUP(L41,TỒN!A:C,3,FALSE),0)</f>
        <v>182</v>
      </c>
      <c r="P41" s="478">
        <v>5.2775734200000004</v>
      </c>
      <c r="Q41" s="479">
        <f t="shared" si="2"/>
        <v>0</v>
      </c>
      <c r="R41" s="86"/>
      <c r="S41" s="464">
        <v>24.1</v>
      </c>
      <c r="T41" s="465">
        <v>4</v>
      </c>
      <c r="U41" s="86"/>
      <c r="V41" s="86"/>
    </row>
    <row r="42" spans="1:22" ht="19.5" customHeight="1">
      <c r="A42" s="115"/>
      <c r="B42" s="115"/>
      <c r="C42" s="470" t="s">
        <v>574</v>
      </c>
      <c r="D42" s="836" t="s">
        <v>575</v>
      </c>
      <c r="E42" s="835"/>
      <c r="F42" s="471" t="s">
        <v>522</v>
      </c>
      <c r="G42" s="471">
        <f ca="1">IFERROR(VLOOKUP(C42,TỒN!$A:$C,3,FALSE),)</f>
        <v>0</v>
      </c>
      <c r="H42" s="472">
        <v>28.699398000000002</v>
      </c>
      <c r="I42" s="473">
        <f t="shared" si="1"/>
        <v>7827100</v>
      </c>
      <c r="J42" s="451"/>
      <c r="K42" s="115"/>
      <c r="L42" s="86"/>
      <c r="M42" s="86"/>
      <c r="N42" s="86"/>
      <c r="O42" s="86"/>
      <c r="P42" s="86"/>
      <c r="Q42" s="86"/>
      <c r="R42" s="86"/>
      <c r="S42" s="464">
        <v>29.8</v>
      </c>
      <c r="T42" s="465">
        <v>4</v>
      </c>
      <c r="U42" s="86"/>
      <c r="V42" s="86"/>
    </row>
    <row r="43" spans="1:22" ht="15.75" customHeight="1">
      <c r="A43" s="271"/>
      <c r="B43" s="481"/>
      <c r="C43" s="466" t="s">
        <v>576</v>
      </c>
      <c r="D43" s="834" t="s">
        <v>577</v>
      </c>
      <c r="E43" s="835"/>
      <c r="F43" s="467" t="s">
        <v>522</v>
      </c>
      <c r="G43" s="467">
        <f ca="1">IFERROR(VLOOKUP(C43,TỒN!$A:$C,3,FALSE),)</f>
        <v>0</v>
      </c>
      <c r="H43" s="468">
        <v>6.4837388000000011</v>
      </c>
      <c r="I43" s="469">
        <f t="shared" si="1"/>
        <v>1768300</v>
      </c>
      <c r="J43" s="246"/>
      <c r="K43" s="24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1:22" ht="15.75" customHeight="1">
      <c r="A44" s="271"/>
      <c r="B44" s="481"/>
      <c r="C44" s="470" t="s">
        <v>578</v>
      </c>
      <c r="D44" s="836" t="s">
        <v>579</v>
      </c>
      <c r="E44" s="835"/>
      <c r="F44" s="482" t="s">
        <v>522</v>
      </c>
      <c r="G44" s="471">
        <f ca="1">IFERROR(VLOOKUP(C44,TỒN!$A:$C,3,FALSE),)</f>
        <v>0</v>
      </c>
      <c r="H44" s="472">
        <v>7.4198935999999991</v>
      </c>
      <c r="I44" s="473">
        <f t="shared" si="1"/>
        <v>2023600</v>
      </c>
      <c r="J44" s="246"/>
      <c r="K44" s="24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1:22" ht="15.75" customHeight="1">
      <c r="A45" s="89"/>
      <c r="B45" s="89"/>
      <c r="C45" s="466" t="s">
        <v>580</v>
      </c>
      <c r="D45" s="834" t="s">
        <v>581</v>
      </c>
      <c r="E45" s="835"/>
      <c r="F45" s="483" t="s">
        <v>522</v>
      </c>
      <c r="G45" s="467">
        <f ca="1">IFERROR(VLOOKUP(C45,TỒN!$A:$C,3,FALSE),)</f>
        <v>0</v>
      </c>
      <c r="H45" s="468">
        <v>8.4538944000000029</v>
      </c>
      <c r="I45" s="469">
        <f t="shared" si="1"/>
        <v>2305600</v>
      </c>
      <c r="J45" s="238"/>
      <c r="K45" s="238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1:22" ht="15.75" customHeight="1">
      <c r="A46" s="89"/>
      <c r="B46" s="89"/>
      <c r="C46" s="470" t="s">
        <v>582</v>
      </c>
      <c r="D46" s="836" t="s">
        <v>583</v>
      </c>
      <c r="E46" s="835"/>
      <c r="F46" s="482" t="s">
        <v>522</v>
      </c>
      <c r="G46" s="471">
        <f ca="1">IFERROR(VLOOKUP(C46,TỒN!$A:$C,3,FALSE),)</f>
        <v>0</v>
      </c>
      <c r="H46" s="472">
        <v>8.9684588000000005</v>
      </c>
      <c r="I46" s="473">
        <f t="shared" si="1"/>
        <v>2445900</v>
      </c>
      <c r="J46" s="238"/>
      <c r="K46" s="238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1:22" ht="15.75" customHeight="1">
      <c r="A47" s="89"/>
      <c r="B47" s="89"/>
      <c r="C47" s="466" t="s">
        <v>584</v>
      </c>
      <c r="D47" s="834" t="s">
        <v>585</v>
      </c>
      <c r="E47" s="835"/>
      <c r="F47" s="483" t="s">
        <v>522</v>
      </c>
      <c r="G47" s="467">
        <f ca="1">IFERROR(VLOOKUP(C47,TỒN!$A:$C,3,FALSE),)</f>
        <v>0</v>
      </c>
      <c r="H47" s="468">
        <v>9.4813992000000002</v>
      </c>
      <c r="I47" s="469">
        <f t="shared" si="1"/>
        <v>2585800</v>
      </c>
      <c r="J47" s="238"/>
      <c r="K47" s="238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2" ht="15.75" customHeight="1">
      <c r="A48" s="89"/>
      <c r="B48" s="89"/>
      <c r="C48" s="470" t="s">
        <v>586</v>
      </c>
      <c r="D48" s="836" t="s">
        <v>587</v>
      </c>
      <c r="E48" s="835"/>
      <c r="F48" s="482" t="s">
        <v>522</v>
      </c>
      <c r="G48" s="471">
        <f ca="1">IFERROR(VLOOKUP(C48,TỒN!$A:$C,3,FALSE),)</f>
        <v>0</v>
      </c>
      <c r="H48" s="472">
        <v>10.502408000000001</v>
      </c>
      <c r="I48" s="473">
        <f t="shared" si="1"/>
        <v>2864300</v>
      </c>
      <c r="J48" s="238"/>
      <c r="K48" s="238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1:22" ht="15.75" customHeight="1">
      <c r="A49" s="89"/>
      <c r="B49" s="89"/>
      <c r="C49" s="466" t="s">
        <v>588</v>
      </c>
      <c r="D49" s="834" t="s">
        <v>589</v>
      </c>
      <c r="E49" s="835"/>
      <c r="F49" s="483" t="s">
        <v>522</v>
      </c>
      <c r="G49" s="467">
        <f ca="1">IFERROR(VLOOKUP(C49,TỒN!$A:$C,3,FALSE),)</f>
        <v>0</v>
      </c>
      <c r="H49" s="468">
        <v>10.65499904</v>
      </c>
      <c r="I49" s="469">
        <f t="shared" si="1"/>
        <v>2905900</v>
      </c>
      <c r="J49" s="238"/>
      <c r="K49" s="238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1:22" ht="15.75" customHeight="1">
      <c r="A50" s="89"/>
      <c r="B50" s="89"/>
      <c r="C50" s="470" t="s">
        <v>590</v>
      </c>
      <c r="D50" s="836" t="s">
        <v>591</v>
      </c>
      <c r="E50" s="835"/>
      <c r="F50" s="482" t="s">
        <v>522</v>
      </c>
      <c r="G50" s="471">
        <f ca="1">IFERROR(VLOOKUP(C50,TỒN!$A:$C,3,FALSE),)</f>
        <v>0</v>
      </c>
      <c r="H50" s="472">
        <v>10.727461920000001</v>
      </c>
      <c r="I50" s="473">
        <f t="shared" si="1"/>
        <v>2925700</v>
      </c>
      <c r="J50" s="238"/>
      <c r="K50" s="238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1:22" ht="15.75" customHeight="1">
      <c r="A51" s="89"/>
      <c r="B51" s="89"/>
      <c r="C51" s="466" t="s">
        <v>592</v>
      </c>
      <c r="D51" s="834" t="s">
        <v>593</v>
      </c>
      <c r="E51" s="835"/>
      <c r="F51" s="483" t="s">
        <v>522</v>
      </c>
      <c r="G51" s="467">
        <f ca="1">IFERROR(VLOOKUP(C51,TỒN!$A:$C,3,FALSE),)</f>
        <v>0</v>
      </c>
      <c r="H51" s="468">
        <v>9.0740999999999996</v>
      </c>
      <c r="I51" s="469">
        <f t="shared" si="1"/>
        <v>2474800</v>
      </c>
      <c r="J51" s="238"/>
      <c r="K51" s="238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1:22" ht="15.75" customHeight="1">
      <c r="A52" s="89"/>
      <c r="B52" s="89"/>
      <c r="C52" s="470" t="s">
        <v>594</v>
      </c>
      <c r="D52" s="836" t="s">
        <v>595</v>
      </c>
      <c r="E52" s="835"/>
      <c r="F52" s="482" t="s">
        <v>522</v>
      </c>
      <c r="G52" s="471">
        <f ca="1">IFERROR(VLOOKUP(C52,TỒN!$A:$C,3,FALSE),)</f>
        <v>0</v>
      </c>
      <c r="H52" s="472">
        <v>10.845072</v>
      </c>
      <c r="I52" s="473">
        <f t="shared" si="1"/>
        <v>2957700</v>
      </c>
      <c r="J52" s="238"/>
      <c r="K52" s="238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1:22" ht="15.75" customHeight="1">
      <c r="A53" s="89"/>
      <c r="B53" s="89"/>
      <c r="C53" s="466" t="s">
        <v>596</v>
      </c>
      <c r="D53" s="834" t="s">
        <v>597</v>
      </c>
      <c r="E53" s="835"/>
      <c r="F53" s="483" t="s">
        <v>522</v>
      </c>
      <c r="G53" s="467">
        <f ca="1">IFERROR(VLOOKUP(C53,TỒN!$A:$C,3,FALSE),)</f>
        <v>2</v>
      </c>
      <c r="H53" s="468">
        <v>8.5032639999999979</v>
      </c>
      <c r="I53" s="469">
        <f t="shared" si="1"/>
        <v>2319100</v>
      </c>
      <c r="J53" s="238"/>
      <c r="K53" s="238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1:22" ht="15.75" customHeight="1">
      <c r="A54" s="89"/>
      <c r="B54" s="89"/>
      <c r="C54" s="470" t="s">
        <v>598</v>
      </c>
      <c r="D54" s="836" t="s">
        <v>597</v>
      </c>
      <c r="E54" s="835"/>
      <c r="F54" s="482" t="s">
        <v>522</v>
      </c>
      <c r="G54" s="471">
        <f ca="1">IFERROR(VLOOKUP(C54,TỒN!$A:$C,3,FALSE),)</f>
        <v>0</v>
      </c>
      <c r="H54" s="472">
        <v>8.796479999999999</v>
      </c>
      <c r="I54" s="473">
        <f t="shared" si="1"/>
        <v>2399000</v>
      </c>
      <c r="J54" s="238"/>
      <c r="K54" s="238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1:22" ht="15.75" customHeight="1">
      <c r="A55" s="89"/>
      <c r="B55" s="89"/>
      <c r="C55" s="466" t="s">
        <v>599</v>
      </c>
      <c r="D55" s="834" t="s">
        <v>600</v>
      </c>
      <c r="E55" s="835"/>
      <c r="F55" s="483" t="s">
        <v>522</v>
      </c>
      <c r="G55" s="467">
        <f ca="1">IFERROR(VLOOKUP(C55,TỒN!$A:$C,3,FALSE),)</f>
        <v>0</v>
      </c>
      <c r="H55" s="468">
        <v>9.0984600000000011</v>
      </c>
      <c r="I55" s="469">
        <f t="shared" si="1"/>
        <v>2481400</v>
      </c>
      <c r="J55" s="238"/>
      <c r="K55" s="238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1:22" ht="15.75" customHeight="1">
      <c r="A56" s="89"/>
      <c r="B56" s="89"/>
      <c r="C56" s="470" t="s">
        <v>601</v>
      </c>
      <c r="D56" s="836" t="s">
        <v>602</v>
      </c>
      <c r="E56" s="835"/>
      <c r="F56" s="482" t="s">
        <v>522</v>
      </c>
      <c r="G56" s="471">
        <f ca="1">IFERROR(VLOOKUP(C56,TỒN!$A:$C,3,FALSE),)</f>
        <v>0</v>
      </c>
      <c r="H56" s="472">
        <v>9.6920320000000011</v>
      </c>
      <c r="I56" s="473">
        <f t="shared" si="1"/>
        <v>2643300</v>
      </c>
      <c r="J56" s="238"/>
      <c r="K56" s="238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1:22" ht="15.75" customHeight="1">
      <c r="A57" s="89"/>
      <c r="B57" s="89"/>
      <c r="C57" s="466" t="s">
        <v>603</v>
      </c>
      <c r="D57" s="834" t="s">
        <v>604</v>
      </c>
      <c r="E57" s="835"/>
      <c r="F57" s="483" t="s">
        <v>522</v>
      </c>
      <c r="G57" s="467">
        <f ca="1">IFERROR(VLOOKUP(C57,TỒN!$A:$C,3,FALSE),)</f>
        <v>0</v>
      </c>
      <c r="H57" s="468">
        <v>10.28398</v>
      </c>
      <c r="I57" s="469">
        <f t="shared" si="1"/>
        <v>2804700</v>
      </c>
      <c r="J57" s="238"/>
      <c r="K57" s="238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1:22" ht="15.75" customHeight="1">
      <c r="A58" s="89"/>
      <c r="B58" s="89"/>
      <c r="C58" s="470" t="s">
        <v>605</v>
      </c>
      <c r="D58" s="836" t="s">
        <v>606</v>
      </c>
      <c r="E58" s="835"/>
      <c r="F58" s="482" t="s">
        <v>522</v>
      </c>
      <c r="G58" s="471">
        <f ca="1">IFERROR(VLOOKUP(C58,TỒN!$A:$C,3,FALSE),)</f>
        <v>2</v>
      </c>
      <c r="H58" s="472">
        <v>13.801564000000001</v>
      </c>
      <c r="I58" s="473">
        <f t="shared" si="1"/>
        <v>3764100</v>
      </c>
      <c r="J58" s="238"/>
      <c r="K58" s="238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1:22" ht="15.75" customHeight="1">
      <c r="A59" s="89"/>
      <c r="B59" s="89"/>
      <c r="C59" s="466" t="s">
        <v>607</v>
      </c>
      <c r="D59" s="834" t="s">
        <v>608</v>
      </c>
      <c r="E59" s="835"/>
      <c r="F59" s="483" t="s">
        <v>522</v>
      </c>
      <c r="G59" s="467">
        <f ca="1">IFERROR(VLOOKUP(C59,TỒN!$A:$C,3,FALSE),)</f>
        <v>0</v>
      </c>
      <c r="H59" s="468">
        <v>14.961099999999998</v>
      </c>
      <c r="I59" s="469">
        <f t="shared" si="1"/>
        <v>4080300</v>
      </c>
      <c r="J59" s="238"/>
      <c r="K59" s="238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1:22" ht="15.75" customHeight="1">
      <c r="A60" s="89"/>
      <c r="B60" s="89"/>
      <c r="C60" s="470" t="s">
        <v>609</v>
      </c>
      <c r="D60" s="836" t="s">
        <v>610</v>
      </c>
      <c r="E60" s="835"/>
      <c r="F60" s="482" t="s">
        <v>522</v>
      </c>
      <c r="G60" s="471">
        <f ca="1">IFERROR(VLOOKUP(C60,TỒN!$A:$C,3,FALSE),)</f>
        <v>1</v>
      </c>
      <c r="H60" s="472">
        <v>11.337631200000001</v>
      </c>
      <c r="I60" s="473">
        <f t="shared" si="1"/>
        <v>3092100</v>
      </c>
      <c r="J60" s="238"/>
      <c r="K60" s="238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1:22" ht="15.75" customHeight="1">
      <c r="A61" s="89"/>
      <c r="B61" s="89"/>
      <c r="C61" s="466" t="s">
        <v>611</v>
      </c>
      <c r="D61" s="834" t="s">
        <v>612</v>
      </c>
      <c r="E61" s="835"/>
      <c r="F61" s="483" t="s">
        <v>522</v>
      </c>
      <c r="G61" s="467">
        <f ca="1">IFERROR(VLOOKUP(C61,TỒN!$A:$C,3,FALSE),)</f>
        <v>0</v>
      </c>
      <c r="H61" s="468">
        <v>28.669462639999999</v>
      </c>
      <c r="I61" s="469">
        <f t="shared" si="1"/>
        <v>7818900</v>
      </c>
      <c r="J61" s="238"/>
      <c r="K61" s="238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1:22" ht="15.75" customHeight="1">
      <c r="A62" s="89"/>
      <c r="B62" s="89"/>
      <c r="C62" s="484" t="s">
        <v>613</v>
      </c>
      <c r="D62" s="837" t="s">
        <v>614</v>
      </c>
      <c r="E62" s="838"/>
      <c r="F62" s="485" t="s">
        <v>522</v>
      </c>
      <c r="G62" s="486">
        <f ca="1">IFERROR(VLOOKUP(C62,TỒN!$A:$C,3,FALSE),)</f>
        <v>0</v>
      </c>
      <c r="H62" s="487">
        <v>16.173416</v>
      </c>
      <c r="I62" s="488">
        <f t="shared" si="1"/>
        <v>4410900</v>
      </c>
      <c r="J62" s="238"/>
      <c r="K62" s="238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1:22" ht="15.75" customHeight="1">
      <c r="A63" s="89"/>
      <c r="B63" s="89"/>
      <c r="C63" s="489"/>
      <c r="D63" s="115"/>
      <c r="E63" s="490"/>
      <c r="F63" s="451"/>
      <c r="G63" s="491"/>
      <c r="H63" s="492"/>
      <c r="I63" s="238"/>
      <c r="J63" s="238"/>
      <c r="K63" s="238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1:22" ht="15.75" customHeight="1">
      <c r="A64" s="89"/>
      <c r="B64" s="89"/>
      <c r="C64" s="489"/>
      <c r="D64" s="115"/>
      <c r="E64" s="490"/>
      <c r="F64" s="451"/>
      <c r="G64" s="491"/>
      <c r="H64" s="492"/>
      <c r="I64" s="238"/>
      <c r="J64" s="238"/>
      <c r="K64" s="238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1:22" ht="15.75" customHeight="1">
      <c r="A65" s="89"/>
      <c r="B65" s="89"/>
      <c r="C65" s="489"/>
      <c r="D65" s="115"/>
      <c r="E65" s="490"/>
      <c r="F65" s="451"/>
      <c r="G65" s="491"/>
      <c r="H65" s="492"/>
      <c r="I65" s="238"/>
      <c r="J65" s="238"/>
      <c r="K65" s="238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1:22" ht="15.75" customHeight="1">
      <c r="A66" s="89"/>
      <c r="B66" s="89"/>
      <c r="C66" s="489"/>
      <c r="D66" s="115"/>
      <c r="E66" s="490"/>
      <c r="F66" s="451"/>
      <c r="G66" s="491"/>
      <c r="H66" s="492"/>
      <c r="I66" s="238"/>
      <c r="J66" s="238"/>
      <c r="K66" s="238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1:22" ht="15.75" customHeight="1">
      <c r="A67" s="89"/>
      <c r="B67" s="89"/>
      <c r="C67" s="489"/>
      <c r="D67" s="115"/>
      <c r="E67" s="490"/>
      <c r="F67" s="451"/>
      <c r="G67" s="491"/>
      <c r="H67" s="492"/>
      <c r="I67" s="238"/>
      <c r="J67" s="238"/>
      <c r="K67" s="238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1:22" ht="15.75" customHeight="1">
      <c r="A68" s="89"/>
      <c r="B68" s="89"/>
      <c r="C68" s="489"/>
      <c r="D68" s="115"/>
      <c r="E68" s="490"/>
      <c r="F68" s="451"/>
      <c r="G68" s="491"/>
      <c r="H68" s="492"/>
      <c r="I68" s="238"/>
      <c r="J68" s="238"/>
      <c r="K68" s="238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1:22" ht="15.75" customHeight="1">
      <c r="A69" s="89"/>
      <c r="B69" s="89"/>
      <c r="C69" s="489"/>
      <c r="D69" s="115"/>
      <c r="E69" s="490"/>
      <c r="F69" s="451"/>
      <c r="G69" s="491"/>
      <c r="H69" s="492"/>
      <c r="I69" s="238"/>
      <c r="J69" s="238"/>
      <c r="K69" s="238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1:22" ht="15.75" customHeight="1">
      <c r="A70" s="89"/>
      <c r="B70" s="89"/>
      <c r="C70" s="489"/>
      <c r="D70" s="115"/>
      <c r="E70" s="490"/>
      <c r="F70" s="451"/>
      <c r="G70" s="491"/>
      <c r="H70" s="492"/>
      <c r="I70" s="238"/>
      <c r="J70" s="238"/>
      <c r="K70" s="238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</sheetData>
  <mergeCells count="52"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8:E58"/>
    <mergeCell ref="D59:E59"/>
    <mergeCell ref="D43:E43"/>
    <mergeCell ref="D44:E44"/>
    <mergeCell ref="D45:E45"/>
    <mergeCell ref="D46:E46"/>
    <mergeCell ref="D47:E47"/>
    <mergeCell ref="D38:E38"/>
    <mergeCell ref="D39:E39"/>
    <mergeCell ref="D40:E40"/>
    <mergeCell ref="D41:E41"/>
    <mergeCell ref="D42:E42"/>
    <mergeCell ref="D33:E33"/>
    <mergeCell ref="D34:E34"/>
    <mergeCell ref="D35:E35"/>
    <mergeCell ref="D36:E36"/>
    <mergeCell ref="D37:E37"/>
    <mergeCell ref="I27:I28"/>
    <mergeCell ref="D29:E29"/>
    <mergeCell ref="D30:E30"/>
    <mergeCell ref="D31:E31"/>
    <mergeCell ref="D32:E32"/>
    <mergeCell ref="C27:C28"/>
    <mergeCell ref="D27:E28"/>
    <mergeCell ref="F27:F28"/>
    <mergeCell ref="G27:G28"/>
    <mergeCell ref="H27:H28"/>
    <mergeCell ref="A2:I2"/>
    <mergeCell ref="A7:A8"/>
    <mergeCell ref="B7:B8"/>
    <mergeCell ref="C7:C8"/>
    <mergeCell ref="D7:E8"/>
    <mergeCell ref="F7:F8"/>
    <mergeCell ref="G7:J7"/>
    <mergeCell ref="K7:K8"/>
    <mergeCell ref="S7:S8"/>
    <mergeCell ref="T7:T8"/>
    <mergeCell ref="U7:U8"/>
    <mergeCell ref="V7:V8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U54"/>
  <sheetViews>
    <sheetView showGridLines="0" workbookViewId="0">
      <selection activeCell="M11" sqref="L6:Q36"/>
    </sheetView>
  </sheetViews>
  <sheetFormatPr defaultColWidth="12.5703125" defaultRowHeight="15" customHeight="1"/>
  <cols>
    <col min="1" max="1" width="3.85546875" customWidth="1"/>
    <col min="2" max="2" width="13.7109375" customWidth="1"/>
    <col min="3" max="3" width="23.5703125" customWidth="1"/>
    <col min="4" max="5" width="5" customWidth="1"/>
    <col min="6" max="14" width="11.42578125" customWidth="1"/>
    <col min="15" max="15" width="6.140625" customWidth="1"/>
    <col min="16" max="18" width="11.42578125" customWidth="1"/>
    <col min="19" max="19" width="9" customWidth="1"/>
    <col min="20" max="20" width="7" customWidth="1"/>
    <col min="21" max="21" width="7" hidden="1" customWidth="1"/>
  </cols>
  <sheetData>
    <row r="1" spans="1:21" ht="12.75" customHeight="1">
      <c r="A1" s="493"/>
      <c r="B1" s="494"/>
      <c r="C1" s="494"/>
      <c r="D1" s="494"/>
      <c r="E1" s="494"/>
      <c r="F1" s="494"/>
      <c r="G1" s="494"/>
      <c r="H1" s="495"/>
      <c r="I1" s="496"/>
      <c r="J1" s="496"/>
      <c r="K1" s="496"/>
      <c r="L1" s="496"/>
      <c r="M1" s="496"/>
      <c r="N1" s="496"/>
      <c r="O1" s="496"/>
      <c r="P1" s="86"/>
      <c r="Q1" s="86"/>
      <c r="R1" s="86"/>
      <c r="S1" s="238"/>
      <c r="T1" s="238"/>
      <c r="U1" s="238"/>
    </row>
    <row r="2" spans="1:21" ht="12.75" customHeight="1">
      <c r="A2" s="497"/>
      <c r="B2" s="498"/>
      <c r="C2" s="498"/>
      <c r="D2" s="498"/>
      <c r="E2" s="498"/>
      <c r="F2" s="849" t="s">
        <v>615</v>
      </c>
      <c r="G2" s="704"/>
      <c r="H2" s="704"/>
      <c r="I2" s="704"/>
      <c r="J2" s="704"/>
      <c r="K2" s="704"/>
      <c r="L2" s="704"/>
      <c r="M2" s="704"/>
      <c r="N2" s="86"/>
      <c r="O2" s="86"/>
      <c r="P2" s="86"/>
      <c r="Q2" s="86"/>
      <c r="R2" s="86"/>
      <c r="S2" s="238"/>
      <c r="T2" s="238"/>
      <c r="U2" s="238"/>
    </row>
    <row r="3" spans="1:21" ht="12.75" customHeight="1">
      <c r="A3" s="496"/>
      <c r="B3" s="496"/>
      <c r="C3" s="496"/>
      <c r="D3" s="496"/>
      <c r="E3" s="499"/>
      <c r="F3" s="734"/>
      <c r="G3" s="672"/>
      <c r="H3" s="672"/>
      <c r="I3" s="672"/>
      <c r="J3" s="672"/>
      <c r="K3" s="672"/>
      <c r="L3" s="672"/>
      <c r="M3" s="672"/>
      <c r="N3" s="496"/>
      <c r="O3" s="496"/>
      <c r="P3" s="496"/>
      <c r="Q3" s="496"/>
      <c r="R3" s="496"/>
      <c r="S3" s="238"/>
      <c r="T3" s="238"/>
      <c r="U3" s="238"/>
    </row>
    <row r="4" spans="1:21" ht="12.75" customHeight="1">
      <c r="A4" s="496"/>
      <c r="B4" s="496"/>
      <c r="C4" s="496"/>
      <c r="D4" s="496"/>
      <c r="E4" s="499"/>
      <c r="F4" s="496"/>
      <c r="G4" s="496"/>
      <c r="H4" s="496"/>
      <c r="I4" s="496"/>
      <c r="J4" s="496"/>
      <c r="K4" s="496"/>
      <c r="L4" s="496"/>
      <c r="M4" s="496"/>
      <c r="N4" s="496"/>
      <c r="O4" s="496"/>
      <c r="P4" s="496"/>
      <c r="Q4" s="496"/>
      <c r="R4" s="496"/>
      <c r="S4" s="238"/>
      <c r="T4" s="238"/>
      <c r="U4" s="238"/>
    </row>
    <row r="5" spans="1:21" ht="15.75" customHeight="1">
      <c r="A5" s="850" t="s">
        <v>616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8"/>
      <c r="O5" s="500"/>
      <c r="P5" s="839" t="s">
        <v>617</v>
      </c>
      <c r="Q5" s="763"/>
      <c r="R5" s="764"/>
      <c r="S5" s="238"/>
      <c r="T5" s="238"/>
      <c r="U5" s="238"/>
    </row>
    <row r="6" spans="1:21" ht="18" customHeight="1">
      <c r="A6" s="851" t="s">
        <v>78</v>
      </c>
      <c r="B6" s="713"/>
      <c r="C6" s="713"/>
      <c r="D6" s="713"/>
      <c r="E6" s="800"/>
      <c r="F6" s="852" t="s">
        <v>618</v>
      </c>
      <c r="G6" s="501" t="s">
        <v>619</v>
      </c>
      <c r="H6" s="502" t="s">
        <v>620</v>
      </c>
      <c r="I6" s="853" t="s">
        <v>618</v>
      </c>
      <c r="J6" s="503" t="s">
        <v>619</v>
      </c>
      <c r="K6" s="504" t="s">
        <v>620</v>
      </c>
      <c r="L6" s="854" t="s">
        <v>618</v>
      </c>
      <c r="M6" s="505" t="s">
        <v>619</v>
      </c>
      <c r="N6" s="506" t="s">
        <v>620</v>
      </c>
      <c r="O6" s="855" t="s">
        <v>621</v>
      </c>
      <c r="P6" s="840" t="s">
        <v>618</v>
      </c>
      <c r="Q6" s="507" t="s">
        <v>619</v>
      </c>
      <c r="R6" s="507" t="s">
        <v>620</v>
      </c>
      <c r="S6" s="508" t="s">
        <v>622</v>
      </c>
      <c r="T6" s="238"/>
      <c r="U6" s="238"/>
    </row>
    <row r="7" spans="1:21" ht="15.75" customHeight="1">
      <c r="A7" s="841" t="s">
        <v>623</v>
      </c>
      <c r="B7" s="842"/>
      <c r="C7" s="842"/>
      <c r="D7" s="842"/>
      <c r="E7" s="725"/>
      <c r="F7" s="766"/>
      <c r="G7" s="91" t="s">
        <v>624</v>
      </c>
      <c r="H7" s="252" t="s">
        <v>625</v>
      </c>
      <c r="I7" s="766"/>
      <c r="J7" s="95" t="s">
        <v>624</v>
      </c>
      <c r="K7" s="312" t="s">
        <v>625</v>
      </c>
      <c r="L7" s="766"/>
      <c r="M7" s="99" t="s">
        <v>624</v>
      </c>
      <c r="N7" s="313" t="s">
        <v>625</v>
      </c>
      <c r="O7" s="856"/>
      <c r="P7" s="768"/>
      <c r="Q7" s="509" t="s">
        <v>624</v>
      </c>
      <c r="R7" s="510" t="s">
        <v>625</v>
      </c>
      <c r="S7" s="238"/>
      <c r="T7" s="238"/>
      <c r="U7" s="238"/>
    </row>
    <row r="8" spans="1:21" ht="15.75" customHeight="1">
      <c r="A8" s="709"/>
      <c r="B8" s="710"/>
      <c r="C8" s="710"/>
      <c r="D8" s="710"/>
      <c r="E8" s="678"/>
      <c r="F8" s="804" t="s">
        <v>80</v>
      </c>
      <c r="G8" s="718"/>
      <c r="H8" s="719"/>
      <c r="I8" s="843" t="s">
        <v>81</v>
      </c>
      <c r="J8" s="718"/>
      <c r="K8" s="719"/>
      <c r="L8" s="844" t="s">
        <v>82</v>
      </c>
      <c r="M8" s="718"/>
      <c r="N8" s="719"/>
      <c r="O8" s="856"/>
      <c r="P8" s="510"/>
      <c r="Q8" s="509"/>
      <c r="R8" s="510"/>
      <c r="S8" s="238"/>
      <c r="T8" s="238"/>
      <c r="U8" s="238"/>
    </row>
    <row r="9" spans="1:21" ht="12.75">
      <c r="A9" s="106">
        <v>1</v>
      </c>
      <c r="B9" s="107" t="s">
        <v>626</v>
      </c>
      <c r="C9" s="178" t="s">
        <v>627</v>
      </c>
      <c r="D9" s="511">
        <v>200</v>
      </c>
      <c r="E9" s="512" t="s">
        <v>628</v>
      </c>
      <c r="F9" s="513">
        <v>1033800</v>
      </c>
      <c r="G9" s="109">
        <v>1003200</v>
      </c>
      <c r="H9" s="265">
        <v>987900</v>
      </c>
      <c r="I9" s="513">
        <f t="shared" ref="I9:K9" si="0">IF(ISBLANK(F9),,ROUND(F9/1.1,-1))</f>
        <v>939820</v>
      </c>
      <c r="J9" s="109">
        <f t="shared" si="0"/>
        <v>912000</v>
      </c>
      <c r="K9" s="265">
        <f t="shared" si="0"/>
        <v>898090</v>
      </c>
      <c r="L9" s="513">
        <f t="shared" ref="L9:N9" si="1">IF(ISBLANK(F9),,ROUND(F9*(1-$U9),-1))</f>
        <v>951100</v>
      </c>
      <c r="M9" s="109">
        <f t="shared" si="1"/>
        <v>922940</v>
      </c>
      <c r="N9" s="265">
        <f t="shared" si="1"/>
        <v>908870</v>
      </c>
      <c r="O9" s="856"/>
      <c r="P9" s="109">
        <f>F9-100000</f>
        <v>933800</v>
      </c>
      <c r="Q9" s="109">
        <f t="shared" ref="P9:R9" si="2">G9-100000</f>
        <v>903200</v>
      </c>
      <c r="R9" s="109">
        <f t="shared" si="2"/>
        <v>887900</v>
      </c>
      <c r="S9" s="238"/>
      <c r="T9" s="238"/>
      <c r="U9" s="514">
        <v>0.08</v>
      </c>
    </row>
    <row r="10" spans="1:21" ht="12.75">
      <c r="A10" s="106">
        <v>2</v>
      </c>
      <c r="B10" s="107" t="s">
        <v>629</v>
      </c>
      <c r="C10" s="178" t="s">
        <v>630</v>
      </c>
      <c r="D10" s="511">
        <v>200</v>
      </c>
      <c r="E10" s="512" t="s">
        <v>628</v>
      </c>
      <c r="F10" s="513">
        <v>1054100</v>
      </c>
      <c r="G10" s="109">
        <v>1023700</v>
      </c>
      <c r="H10" s="265">
        <v>1008400</v>
      </c>
      <c r="I10" s="513">
        <f t="shared" ref="I10:K10" si="3">IF(ISBLANK(F10),,ROUND(F10/1.1,-1))</f>
        <v>958270</v>
      </c>
      <c r="J10" s="109">
        <f t="shared" si="3"/>
        <v>930640</v>
      </c>
      <c r="K10" s="265">
        <f t="shared" si="3"/>
        <v>916730</v>
      </c>
      <c r="L10" s="513">
        <f t="shared" ref="L10:N10" si="4">IF(ISBLANK(F10),,ROUND(F10*(1-$U10),-1))</f>
        <v>969770</v>
      </c>
      <c r="M10" s="109">
        <f t="shared" si="4"/>
        <v>941800</v>
      </c>
      <c r="N10" s="265">
        <f t="shared" si="4"/>
        <v>927730</v>
      </c>
      <c r="O10" s="856"/>
      <c r="P10" s="109">
        <f t="shared" ref="P10:R10" si="5">F10-100000</f>
        <v>954100</v>
      </c>
      <c r="Q10" s="109">
        <f t="shared" si="5"/>
        <v>923700</v>
      </c>
      <c r="R10" s="109">
        <f t="shared" si="5"/>
        <v>908400</v>
      </c>
      <c r="S10" s="238"/>
      <c r="T10" s="238"/>
      <c r="U10" s="514">
        <v>0.08</v>
      </c>
    </row>
    <row r="11" spans="1:21" ht="12.75">
      <c r="A11" s="106">
        <v>3</v>
      </c>
      <c r="B11" s="107" t="s">
        <v>631</v>
      </c>
      <c r="C11" s="178" t="s">
        <v>632</v>
      </c>
      <c r="D11" s="511">
        <v>200</v>
      </c>
      <c r="E11" s="512" t="s">
        <v>628</v>
      </c>
      <c r="F11" s="513">
        <v>1441200</v>
      </c>
      <c r="G11" s="109">
        <v>1410600</v>
      </c>
      <c r="H11" s="265">
        <v>1395400</v>
      </c>
      <c r="I11" s="513">
        <f t="shared" ref="I11:K11" si="6">IF(ISBLANK(F11),,ROUND(F11/1.1,-1))</f>
        <v>1310180</v>
      </c>
      <c r="J11" s="109">
        <f t="shared" si="6"/>
        <v>1282360</v>
      </c>
      <c r="K11" s="265">
        <f t="shared" si="6"/>
        <v>1268550</v>
      </c>
      <c r="L11" s="513">
        <f t="shared" ref="L11:N11" si="7">IF(ISBLANK(F11),,ROUND(F11*(1-$U11),-1))</f>
        <v>1325900</v>
      </c>
      <c r="M11" s="109">
        <f t="shared" si="7"/>
        <v>1297750</v>
      </c>
      <c r="N11" s="265">
        <f t="shared" si="7"/>
        <v>1283770</v>
      </c>
      <c r="O11" s="856"/>
      <c r="P11" s="109">
        <f t="shared" ref="P11:R11" si="8">F11-100000</f>
        <v>1341200</v>
      </c>
      <c r="Q11" s="109">
        <f t="shared" si="8"/>
        <v>1310600</v>
      </c>
      <c r="R11" s="109">
        <f t="shared" si="8"/>
        <v>1295400</v>
      </c>
      <c r="S11" s="238"/>
      <c r="T11" s="238"/>
      <c r="U11" s="514">
        <v>0.08</v>
      </c>
    </row>
    <row r="12" spans="1:21" ht="12.75">
      <c r="A12" s="106">
        <v>4</v>
      </c>
      <c r="B12" s="107" t="s">
        <v>633</v>
      </c>
      <c r="C12" s="178" t="s">
        <v>634</v>
      </c>
      <c r="D12" s="511">
        <v>200</v>
      </c>
      <c r="E12" s="512" t="s">
        <v>628</v>
      </c>
      <c r="F12" s="513">
        <v>1543100</v>
      </c>
      <c r="G12" s="109">
        <v>1512500</v>
      </c>
      <c r="H12" s="265">
        <v>1497200</v>
      </c>
      <c r="I12" s="513">
        <f t="shared" ref="I12:K12" si="9">IF(ISBLANK(F12),,ROUND(F12/1.1,-1))</f>
        <v>1402820</v>
      </c>
      <c r="J12" s="109">
        <f t="shared" si="9"/>
        <v>1375000</v>
      </c>
      <c r="K12" s="265">
        <f t="shared" si="9"/>
        <v>1361090</v>
      </c>
      <c r="L12" s="513">
        <f t="shared" ref="L12:N12" si="10">IF(ISBLANK(F12),,ROUND(F12*(1-$U12),-1))</f>
        <v>1419650</v>
      </c>
      <c r="M12" s="109">
        <f t="shared" si="10"/>
        <v>1391500</v>
      </c>
      <c r="N12" s="265">
        <f t="shared" si="10"/>
        <v>1377420</v>
      </c>
      <c r="O12" s="856"/>
      <c r="P12" s="109">
        <f t="shared" ref="P12:R12" si="11">F12-100000</f>
        <v>1443100</v>
      </c>
      <c r="Q12" s="109">
        <f t="shared" si="11"/>
        <v>1412500</v>
      </c>
      <c r="R12" s="109">
        <f t="shared" si="11"/>
        <v>1397200</v>
      </c>
      <c r="S12" s="238"/>
      <c r="T12" s="238"/>
      <c r="U12" s="514">
        <v>0.08</v>
      </c>
    </row>
    <row r="13" spans="1:21" ht="12.75">
      <c r="A13" s="106">
        <v>5</v>
      </c>
      <c r="B13" s="107"/>
      <c r="C13" s="178" t="s">
        <v>635</v>
      </c>
      <c r="D13" s="511">
        <v>200</v>
      </c>
      <c r="E13" s="512" t="s">
        <v>628</v>
      </c>
      <c r="F13" s="513">
        <v>1644900</v>
      </c>
      <c r="G13" s="109">
        <v>1614400</v>
      </c>
      <c r="H13" s="265">
        <v>1599100</v>
      </c>
      <c r="I13" s="513">
        <f t="shared" ref="I13:K13" si="12">IF(ISBLANK(F13),,ROUND(F13/1.1,-1))</f>
        <v>1495360</v>
      </c>
      <c r="J13" s="109">
        <f t="shared" si="12"/>
        <v>1467640</v>
      </c>
      <c r="K13" s="265">
        <f t="shared" si="12"/>
        <v>1453730</v>
      </c>
      <c r="L13" s="513">
        <f t="shared" ref="L13:N13" si="13">IF(ISBLANK(F13),,ROUND(F13*(1-$U13),-1))</f>
        <v>1513310</v>
      </c>
      <c r="M13" s="109">
        <f t="shared" si="13"/>
        <v>1485250</v>
      </c>
      <c r="N13" s="265">
        <f t="shared" si="13"/>
        <v>1471170</v>
      </c>
      <c r="O13" s="856"/>
      <c r="P13" s="109">
        <f t="shared" ref="P13:R13" si="14">F13-100000</f>
        <v>1544900</v>
      </c>
      <c r="Q13" s="109">
        <f t="shared" si="14"/>
        <v>1514400</v>
      </c>
      <c r="R13" s="109">
        <f t="shared" si="14"/>
        <v>1499100</v>
      </c>
      <c r="S13" s="238"/>
      <c r="T13" s="238"/>
      <c r="U13" s="514">
        <v>0.08</v>
      </c>
    </row>
    <row r="14" spans="1:21">
      <c r="A14" s="845" t="s">
        <v>636</v>
      </c>
      <c r="B14" s="718"/>
      <c r="C14" s="718"/>
      <c r="D14" s="718"/>
      <c r="E14" s="718"/>
      <c r="F14" s="279" t="s">
        <v>83</v>
      </c>
      <c r="G14" s="91" t="s">
        <v>625</v>
      </c>
      <c r="H14" s="252" t="s">
        <v>637</v>
      </c>
      <c r="I14" s="515" t="s">
        <v>83</v>
      </c>
      <c r="J14" s="95" t="s">
        <v>625</v>
      </c>
      <c r="K14" s="312" t="s">
        <v>637</v>
      </c>
      <c r="L14" s="516" t="s">
        <v>83</v>
      </c>
      <c r="M14" s="99" t="s">
        <v>625</v>
      </c>
      <c r="N14" s="313" t="s">
        <v>637</v>
      </c>
      <c r="O14" s="856"/>
      <c r="P14" s="510" t="s">
        <v>83</v>
      </c>
      <c r="Q14" s="509" t="s">
        <v>624</v>
      </c>
      <c r="R14" s="510" t="s">
        <v>625</v>
      </c>
      <c r="S14" s="238"/>
      <c r="T14" s="238"/>
      <c r="U14" s="514">
        <v>0.08</v>
      </c>
    </row>
    <row r="15" spans="1:21" ht="12.75">
      <c r="A15" s="106">
        <v>1</v>
      </c>
      <c r="B15" s="107" t="s">
        <v>638</v>
      </c>
      <c r="C15" s="178" t="s">
        <v>639</v>
      </c>
      <c r="D15" s="511">
        <v>200</v>
      </c>
      <c r="E15" s="512" t="s">
        <v>628</v>
      </c>
      <c r="F15" s="513">
        <v>967600</v>
      </c>
      <c r="G15" s="109">
        <v>947200</v>
      </c>
      <c r="H15" s="265">
        <v>926900</v>
      </c>
      <c r="I15" s="513">
        <f t="shared" ref="I15:K15" si="15">IF(ISBLANK(F15),,ROUND(F15/1.1,-1))</f>
        <v>879640</v>
      </c>
      <c r="J15" s="109">
        <f t="shared" si="15"/>
        <v>861090</v>
      </c>
      <c r="K15" s="265">
        <f t="shared" si="15"/>
        <v>842640</v>
      </c>
      <c r="L15" s="513">
        <f t="shared" ref="L15:N15" si="16">IF(ISBLANK(F15),,ROUND(F15*(1-$U15),-1))</f>
        <v>890190</v>
      </c>
      <c r="M15" s="109">
        <f t="shared" si="16"/>
        <v>871420</v>
      </c>
      <c r="N15" s="265">
        <f t="shared" si="16"/>
        <v>852750</v>
      </c>
      <c r="O15" s="856"/>
      <c r="P15" s="109">
        <f t="shared" ref="P15:R15" si="17">F15-100000</f>
        <v>867600</v>
      </c>
      <c r="Q15" s="109">
        <f t="shared" si="17"/>
        <v>847200</v>
      </c>
      <c r="R15" s="109">
        <f t="shared" si="17"/>
        <v>826900</v>
      </c>
      <c r="S15" s="238"/>
      <c r="T15" s="238"/>
      <c r="U15" s="514">
        <v>0.08</v>
      </c>
    </row>
    <row r="16" spans="1:21" ht="12.75">
      <c r="A16" s="106">
        <v>2</v>
      </c>
      <c r="B16" s="107" t="s">
        <v>640</v>
      </c>
      <c r="C16" s="178" t="s">
        <v>641</v>
      </c>
      <c r="D16" s="511">
        <v>200</v>
      </c>
      <c r="E16" s="512" t="s">
        <v>628</v>
      </c>
      <c r="F16" s="513">
        <v>1018500</v>
      </c>
      <c r="G16" s="109">
        <v>993100</v>
      </c>
      <c r="H16" s="265">
        <v>967600</v>
      </c>
      <c r="I16" s="513">
        <f t="shared" ref="I16:K16" si="18">IF(ISBLANK(F16),,ROUND(F16/1.1,-1))</f>
        <v>925910</v>
      </c>
      <c r="J16" s="109">
        <f t="shared" si="18"/>
        <v>902820</v>
      </c>
      <c r="K16" s="265">
        <f t="shared" si="18"/>
        <v>879640</v>
      </c>
      <c r="L16" s="513">
        <f t="shared" ref="L16:N16" si="19">IF(ISBLANK(F16),,ROUND(F16*(1-$U16),-1))</f>
        <v>937020</v>
      </c>
      <c r="M16" s="109">
        <f t="shared" si="19"/>
        <v>913650</v>
      </c>
      <c r="N16" s="265">
        <f t="shared" si="19"/>
        <v>890190</v>
      </c>
      <c r="O16" s="856"/>
      <c r="P16" s="109">
        <f t="shared" ref="P16:R16" si="20">F16-100000</f>
        <v>918500</v>
      </c>
      <c r="Q16" s="109">
        <f t="shared" si="20"/>
        <v>893100</v>
      </c>
      <c r="R16" s="109">
        <f t="shared" si="20"/>
        <v>867600</v>
      </c>
      <c r="S16" s="238"/>
      <c r="T16" s="238"/>
      <c r="U16" s="514">
        <v>0.08</v>
      </c>
    </row>
    <row r="17" spans="1:21" ht="12.75">
      <c r="A17" s="106">
        <v>3</v>
      </c>
      <c r="B17" s="107" t="s">
        <v>642</v>
      </c>
      <c r="C17" s="178" t="s">
        <v>643</v>
      </c>
      <c r="D17" s="511">
        <v>200</v>
      </c>
      <c r="E17" s="512" t="s">
        <v>628</v>
      </c>
      <c r="F17" s="513">
        <v>1415700</v>
      </c>
      <c r="G17" s="109">
        <v>1385200</v>
      </c>
      <c r="H17" s="265">
        <v>1354700</v>
      </c>
      <c r="I17" s="513">
        <f t="shared" ref="I17:K17" si="21">IF(ISBLANK(F17),,ROUND(F17/1.1,-1))</f>
        <v>1287000</v>
      </c>
      <c r="J17" s="109">
        <f t="shared" si="21"/>
        <v>1259270</v>
      </c>
      <c r="K17" s="265">
        <f t="shared" si="21"/>
        <v>1231550</v>
      </c>
      <c r="L17" s="513">
        <f t="shared" ref="L17:N17" si="22">IF(ISBLANK(F17),,ROUND(F17*(1-$U17),-1))</f>
        <v>1302440</v>
      </c>
      <c r="M17" s="109">
        <f t="shared" si="22"/>
        <v>1274380</v>
      </c>
      <c r="N17" s="265">
        <f t="shared" si="22"/>
        <v>1246320</v>
      </c>
      <c r="O17" s="856"/>
      <c r="P17" s="109">
        <f t="shared" ref="P17:R17" si="23">F17-100000</f>
        <v>1315700</v>
      </c>
      <c r="Q17" s="109">
        <f t="shared" si="23"/>
        <v>1285200</v>
      </c>
      <c r="R17" s="109">
        <f t="shared" si="23"/>
        <v>1254700</v>
      </c>
      <c r="S17" s="238"/>
      <c r="T17" s="238"/>
      <c r="U17" s="514">
        <v>0.08</v>
      </c>
    </row>
    <row r="18" spans="1:21" ht="12.75">
      <c r="A18" s="106">
        <v>4</v>
      </c>
      <c r="B18" s="107" t="s">
        <v>644</v>
      </c>
      <c r="C18" s="178" t="s">
        <v>645</v>
      </c>
      <c r="D18" s="511">
        <v>200</v>
      </c>
      <c r="E18" s="512" t="s">
        <v>628</v>
      </c>
      <c r="F18" s="513">
        <v>1517600</v>
      </c>
      <c r="G18" s="109">
        <v>1487100</v>
      </c>
      <c r="H18" s="265">
        <v>1456500</v>
      </c>
      <c r="I18" s="513">
        <f t="shared" ref="I18:K18" si="24">IF(ISBLANK(F18),,ROUND(F18/1.1,-1))</f>
        <v>1379640</v>
      </c>
      <c r="J18" s="109">
        <f t="shared" si="24"/>
        <v>1351910</v>
      </c>
      <c r="K18" s="265">
        <f t="shared" si="24"/>
        <v>1324090</v>
      </c>
      <c r="L18" s="513">
        <f t="shared" ref="L18:N18" si="25">IF(ISBLANK(F18),,ROUND(F18*(1-$U18),-1))</f>
        <v>1396190</v>
      </c>
      <c r="M18" s="109">
        <f t="shared" si="25"/>
        <v>1368130</v>
      </c>
      <c r="N18" s="265">
        <f t="shared" si="25"/>
        <v>1339980</v>
      </c>
      <c r="O18" s="856"/>
      <c r="P18" s="109">
        <f t="shared" ref="P18:R18" si="26">F18-100000</f>
        <v>1417600</v>
      </c>
      <c r="Q18" s="109">
        <f t="shared" si="26"/>
        <v>1387100</v>
      </c>
      <c r="R18" s="109">
        <f t="shared" si="26"/>
        <v>1356500</v>
      </c>
      <c r="S18" s="238"/>
      <c r="T18" s="238"/>
      <c r="U18" s="514">
        <v>0.08</v>
      </c>
    </row>
    <row r="19" spans="1:21" ht="15.75" customHeight="1">
      <c r="A19" s="106">
        <v>5</v>
      </c>
      <c r="B19" s="107"/>
      <c r="C19" s="178" t="s">
        <v>646</v>
      </c>
      <c r="D19" s="511">
        <v>200</v>
      </c>
      <c r="E19" s="512" t="s">
        <v>628</v>
      </c>
      <c r="F19" s="513">
        <v>1609300</v>
      </c>
      <c r="G19" s="109">
        <v>1578700</v>
      </c>
      <c r="H19" s="265">
        <v>1548100</v>
      </c>
      <c r="I19" s="513">
        <f t="shared" ref="I19:K19" si="27">IF(ISBLANK(F19),,ROUND(F19/1.1,-1))</f>
        <v>1463000</v>
      </c>
      <c r="J19" s="109">
        <f t="shared" si="27"/>
        <v>1435180</v>
      </c>
      <c r="K19" s="265">
        <f t="shared" si="27"/>
        <v>1407360</v>
      </c>
      <c r="L19" s="513">
        <f t="shared" ref="L19:N19" si="28">IF(ISBLANK(F19),,ROUND(F19*(1-$U19),-1))</f>
        <v>1480560</v>
      </c>
      <c r="M19" s="109">
        <f t="shared" si="28"/>
        <v>1452400</v>
      </c>
      <c r="N19" s="265">
        <f t="shared" si="28"/>
        <v>1424250</v>
      </c>
      <c r="O19" s="856"/>
      <c r="P19" s="109">
        <f t="shared" ref="P19:R19" si="29">F19-100000</f>
        <v>1509300</v>
      </c>
      <c r="Q19" s="109">
        <f t="shared" si="29"/>
        <v>1478700</v>
      </c>
      <c r="R19" s="109">
        <f t="shared" si="29"/>
        <v>1448100</v>
      </c>
      <c r="S19" s="238"/>
      <c r="T19" s="238"/>
      <c r="U19" s="514">
        <v>0.08</v>
      </c>
    </row>
    <row r="20" spans="1:21" ht="15.75" customHeight="1">
      <c r="A20" s="845" t="s">
        <v>647</v>
      </c>
      <c r="B20" s="718"/>
      <c r="C20" s="718"/>
      <c r="D20" s="718"/>
      <c r="E20" s="680"/>
      <c r="F20" s="517" t="s">
        <v>83</v>
      </c>
      <c r="G20" s="91" t="s">
        <v>625</v>
      </c>
      <c r="H20" s="252" t="s">
        <v>637</v>
      </c>
      <c r="I20" s="518" t="s">
        <v>83</v>
      </c>
      <c r="J20" s="95" t="s">
        <v>625</v>
      </c>
      <c r="K20" s="312" t="s">
        <v>637</v>
      </c>
      <c r="L20" s="519" t="s">
        <v>83</v>
      </c>
      <c r="M20" s="99" t="s">
        <v>625</v>
      </c>
      <c r="N20" s="313" t="s">
        <v>637</v>
      </c>
      <c r="O20" s="856"/>
      <c r="P20" s="510" t="s">
        <v>83</v>
      </c>
      <c r="Q20" s="509" t="s">
        <v>625</v>
      </c>
      <c r="R20" s="510" t="s">
        <v>637</v>
      </c>
      <c r="S20" s="238"/>
      <c r="T20" s="238"/>
      <c r="U20" s="514">
        <v>0.08</v>
      </c>
    </row>
    <row r="21" spans="1:21" ht="15.75" customHeight="1">
      <c r="A21" s="106">
        <v>1</v>
      </c>
      <c r="B21" s="107" t="s">
        <v>648</v>
      </c>
      <c r="C21" s="178" t="s">
        <v>649</v>
      </c>
      <c r="D21" s="511">
        <v>100</v>
      </c>
      <c r="E21" s="512" t="s">
        <v>628</v>
      </c>
      <c r="F21" s="513">
        <v>2016600</v>
      </c>
      <c r="G21" s="109">
        <v>1904700</v>
      </c>
      <c r="H21" s="265">
        <v>1848700</v>
      </c>
      <c r="I21" s="513">
        <f t="shared" ref="I21:K21" si="30">IF(ISBLANK(F21),,ROUND(F21/1.1,-1))</f>
        <v>1833270</v>
      </c>
      <c r="J21" s="109">
        <f t="shared" si="30"/>
        <v>1731550</v>
      </c>
      <c r="K21" s="265">
        <f t="shared" si="30"/>
        <v>1680640</v>
      </c>
      <c r="L21" s="513">
        <f t="shared" ref="L21:N21" si="31">IF(ISBLANK(F21),,ROUND(F21*(1-$U21),-1))</f>
        <v>1855270</v>
      </c>
      <c r="M21" s="109">
        <f t="shared" si="31"/>
        <v>1752320</v>
      </c>
      <c r="N21" s="265">
        <f t="shared" si="31"/>
        <v>1700800</v>
      </c>
      <c r="O21" s="856"/>
      <c r="P21" s="109">
        <v>3980000</v>
      </c>
      <c r="Q21" s="109">
        <v>3830000</v>
      </c>
      <c r="R21" s="109">
        <v>3690000</v>
      </c>
      <c r="S21" s="238"/>
      <c r="T21" s="238"/>
      <c r="U21" s="514">
        <v>0.08</v>
      </c>
    </row>
    <row r="22" spans="1:21" ht="15.75" customHeight="1">
      <c r="A22" s="106">
        <v>2</v>
      </c>
      <c r="B22" s="107" t="s">
        <v>650</v>
      </c>
      <c r="C22" s="178" t="s">
        <v>651</v>
      </c>
      <c r="D22" s="511">
        <v>50</v>
      </c>
      <c r="E22" s="512" t="s">
        <v>628</v>
      </c>
      <c r="F22" s="513">
        <v>1400400</v>
      </c>
      <c r="G22" s="109">
        <v>1328100</v>
      </c>
      <c r="H22" s="265">
        <v>1288400</v>
      </c>
      <c r="I22" s="513">
        <f t="shared" ref="I22:K22" si="32">IF(ISBLANK(F22),,ROUND(F22/1.1,-1))</f>
        <v>1273090</v>
      </c>
      <c r="J22" s="109">
        <f t="shared" si="32"/>
        <v>1207360</v>
      </c>
      <c r="K22" s="265">
        <f t="shared" si="32"/>
        <v>1171270</v>
      </c>
      <c r="L22" s="513">
        <f t="shared" ref="L22:N22" si="33">IF(ISBLANK(F22),,ROUND(F22*(1-$U22),-1))</f>
        <v>1288370</v>
      </c>
      <c r="M22" s="109">
        <f t="shared" si="33"/>
        <v>1221850</v>
      </c>
      <c r="N22" s="265">
        <f t="shared" si="33"/>
        <v>1185330</v>
      </c>
      <c r="O22" s="856"/>
      <c r="P22" s="109">
        <v>2450000</v>
      </c>
      <c r="Q22" s="109">
        <v>2360000</v>
      </c>
      <c r="R22" s="109">
        <v>2280000</v>
      </c>
      <c r="S22" s="238"/>
      <c r="T22" s="238"/>
      <c r="U22" s="514">
        <v>0.08</v>
      </c>
    </row>
    <row r="23" spans="1:21" ht="15.75" customHeight="1">
      <c r="A23" s="106">
        <v>3</v>
      </c>
      <c r="B23" s="107" t="s">
        <v>652</v>
      </c>
      <c r="C23" s="178" t="s">
        <v>653</v>
      </c>
      <c r="D23" s="511">
        <v>50</v>
      </c>
      <c r="E23" s="512" t="s">
        <v>628</v>
      </c>
      <c r="F23" s="513">
        <v>1792600</v>
      </c>
      <c r="G23" s="109">
        <v>1702900</v>
      </c>
      <c r="H23" s="265">
        <v>1680600</v>
      </c>
      <c r="I23" s="513">
        <f t="shared" ref="I23:K23" si="34">IF(ISBLANK(F23),,ROUND(F23/1.1,-1))</f>
        <v>1629640</v>
      </c>
      <c r="J23" s="109">
        <f t="shared" si="34"/>
        <v>1548090</v>
      </c>
      <c r="K23" s="265">
        <f t="shared" si="34"/>
        <v>1527820</v>
      </c>
      <c r="L23" s="513">
        <f t="shared" ref="L23:N23" si="35">IF(ISBLANK(F23),,ROUND(F23*(1-$U23),-1))</f>
        <v>1649190</v>
      </c>
      <c r="M23" s="109">
        <f t="shared" si="35"/>
        <v>1566670</v>
      </c>
      <c r="N23" s="265">
        <f t="shared" si="35"/>
        <v>1546150</v>
      </c>
      <c r="O23" s="856"/>
      <c r="P23" s="109">
        <v>2940000</v>
      </c>
      <c r="Q23" s="109">
        <v>2840000</v>
      </c>
      <c r="R23" s="109">
        <v>2730000</v>
      </c>
      <c r="S23" s="238"/>
      <c r="T23" s="238"/>
      <c r="U23" s="514">
        <v>0.08</v>
      </c>
    </row>
    <row r="24" spans="1:21" ht="15.75" customHeight="1">
      <c r="A24" s="106">
        <v>4</v>
      </c>
      <c r="B24" s="107" t="s">
        <v>654</v>
      </c>
      <c r="C24" s="178" t="s">
        <v>655</v>
      </c>
      <c r="D24" s="511">
        <v>25</v>
      </c>
      <c r="E24" s="512" t="s">
        <v>628</v>
      </c>
      <c r="F24" s="513">
        <v>1176300</v>
      </c>
      <c r="G24" s="109">
        <v>1092900</v>
      </c>
      <c r="H24" s="265">
        <v>1036900</v>
      </c>
      <c r="I24" s="513">
        <f t="shared" ref="I24:K24" si="36">IF(ISBLANK(F24),,ROUND(F24/1.1,-1))</f>
        <v>1069360</v>
      </c>
      <c r="J24" s="109">
        <f t="shared" si="36"/>
        <v>993550</v>
      </c>
      <c r="K24" s="265">
        <f t="shared" si="36"/>
        <v>942640</v>
      </c>
      <c r="L24" s="513">
        <f t="shared" ref="L24:N24" si="37">IF(ISBLANK(F24),,ROUND(F24*(1-$U24),-1))</f>
        <v>1082200</v>
      </c>
      <c r="M24" s="109">
        <f t="shared" si="37"/>
        <v>1005470</v>
      </c>
      <c r="N24" s="265">
        <f t="shared" si="37"/>
        <v>953950</v>
      </c>
      <c r="O24" s="856"/>
      <c r="P24" s="109">
        <v>1680000</v>
      </c>
      <c r="Q24" s="109">
        <v>1620000</v>
      </c>
      <c r="R24" s="109">
        <v>1560000</v>
      </c>
      <c r="S24" s="238"/>
      <c r="T24" s="238"/>
      <c r="U24" s="514">
        <v>0.08</v>
      </c>
    </row>
    <row r="25" spans="1:21" ht="15.75" customHeight="1">
      <c r="A25" s="106">
        <v>5</v>
      </c>
      <c r="B25" s="107" t="s">
        <v>656</v>
      </c>
      <c r="C25" s="178" t="s">
        <v>657</v>
      </c>
      <c r="D25" s="511">
        <v>25</v>
      </c>
      <c r="E25" s="512" t="s">
        <v>628</v>
      </c>
      <c r="F25" s="513">
        <v>1344400</v>
      </c>
      <c r="G25" s="109">
        <v>1277200</v>
      </c>
      <c r="H25" s="265">
        <v>1232400</v>
      </c>
      <c r="I25" s="513">
        <f t="shared" ref="I25:K25" si="38">IF(ISBLANK(F25),,ROUND(F25/1.1,-1))</f>
        <v>1222180</v>
      </c>
      <c r="J25" s="109">
        <f t="shared" si="38"/>
        <v>1161090</v>
      </c>
      <c r="K25" s="265">
        <f t="shared" si="38"/>
        <v>1120360</v>
      </c>
      <c r="L25" s="513">
        <f t="shared" ref="L25:N25" si="39">IF(ISBLANK(F25),,ROUND(F25*(1-$U25),-1))</f>
        <v>1236850</v>
      </c>
      <c r="M25" s="109">
        <f t="shared" si="39"/>
        <v>1175020</v>
      </c>
      <c r="N25" s="265">
        <f t="shared" si="39"/>
        <v>1133810</v>
      </c>
      <c r="O25" s="856"/>
      <c r="P25" s="109">
        <v>1750000</v>
      </c>
      <c r="Q25" s="109">
        <v>1690000</v>
      </c>
      <c r="R25" s="109">
        <v>1630000</v>
      </c>
      <c r="S25" s="238"/>
      <c r="T25" s="238"/>
      <c r="U25" s="514">
        <v>0.08</v>
      </c>
    </row>
    <row r="26" spans="1:21" ht="15.75" customHeight="1">
      <c r="A26" s="106">
        <v>6</v>
      </c>
      <c r="B26" s="107" t="s">
        <v>658</v>
      </c>
      <c r="C26" s="178" t="s">
        <v>659</v>
      </c>
      <c r="D26" s="511">
        <v>25</v>
      </c>
      <c r="E26" s="512" t="s">
        <v>628</v>
      </c>
      <c r="F26" s="513">
        <v>1597100</v>
      </c>
      <c r="G26" s="109">
        <v>1515600</v>
      </c>
      <c r="H26" s="265">
        <v>1456500</v>
      </c>
      <c r="I26" s="513">
        <f t="shared" ref="I26:K26" si="40">IF(ISBLANK(F26),,ROUND(F26/1.1,-1))</f>
        <v>1451910</v>
      </c>
      <c r="J26" s="109">
        <f t="shared" si="40"/>
        <v>1377820</v>
      </c>
      <c r="K26" s="265">
        <f t="shared" si="40"/>
        <v>1324090</v>
      </c>
      <c r="L26" s="513">
        <f t="shared" ref="L26:N26" si="41">IF(ISBLANK(F26),,ROUND(F26*(1-$U26),-1))</f>
        <v>1469330</v>
      </c>
      <c r="M26" s="109">
        <f t="shared" si="41"/>
        <v>1394350</v>
      </c>
      <c r="N26" s="265">
        <f t="shared" si="41"/>
        <v>1339980</v>
      </c>
      <c r="O26" s="856"/>
      <c r="P26" s="109"/>
      <c r="Q26" s="109"/>
      <c r="R26" s="109"/>
      <c r="S26" s="238"/>
      <c r="T26" s="238"/>
      <c r="U26" s="514">
        <v>0.08</v>
      </c>
    </row>
    <row r="27" spans="1:21" ht="15.75" customHeight="1">
      <c r="A27" s="106">
        <v>7</v>
      </c>
      <c r="B27" s="107" t="s">
        <v>660</v>
      </c>
      <c r="C27" s="178" t="s">
        <v>661</v>
      </c>
      <c r="D27" s="511">
        <v>4</v>
      </c>
      <c r="E27" s="512" t="s">
        <v>628</v>
      </c>
      <c r="F27" s="513">
        <v>470600</v>
      </c>
      <c r="G27" s="109">
        <v>439000</v>
      </c>
      <c r="H27" s="265">
        <v>416600</v>
      </c>
      <c r="I27" s="513">
        <f t="shared" ref="I27:K27" si="42">IF(ISBLANK(F27),,ROUND(F27/1.1,-1))</f>
        <v>427820</v>
      </c>
      <c r="J27" s="109">
        <f t="shared" si="42"/>
        <v>399090</v>
      </c>
      <c r="K27" s="265">
        <f t="shared" si="42"/>
        <v>378730</v>
      </c>
      <c r="L27" s="513">
        <f t="shared" ref="L27:N27" si="43">IF(ISBLANK(F27),,ROUND(F27*(1-$U27),-1))</f>
        <v>432950</v>
      </c>
      <c r="M27" s="109">
        <f t="shared" si="43"/>
        <v>403880</v>
      </c>
      <c r="N27" s="265">
        <f t="shared" si="43"/>
        <v>383270</v>
      </c>
      <c r="O27" s="856"/>
      <c r="P27" s="109"/>
      <c r="Q27" s="109"/>
      <c r="R27" s="109"/>
      <c r="S27" s="238"/>
      <c r="T27" s="238"/>
      <c r="U27" s="514">
        <v>0.08</v>
      </c>
    </row>
    <row r="28" spans="1:21" ht="15.75" customHeight="1">
      <c r="A28" s="845" t="s">
        <v>662</v>
      </c>
      <c r="B28" s="718"/>
      <c r="C28" s="718"/>
      <c r="D28" s="718"/>
      <c r="E28" s="680"/>
      <c r="F28" s="517" t="s">
        <v>83</v>
      </c>
      <c r="G28" s="91" t="s">
        <v>625</v>
      </c>
      <c r="H28" s="252" t="s">
        <v>637</v>
      </c>
      <c r="I28" s="518" t="s">
        <v>83</v>
      </c>
      <c r="J28" s="95" t="s">
        <v>625</v>
      </c>
      <c r="K28" s="312" t="s">
        <v>637</v>
      </c>
      <c r="L28" s="519" t="s">
        <v>83</v>
      </c>
      <c r="M28" s="99" t="s">
        <v>625</v>
      </c>
      <c r="N28" s="313" t="s">
        <v>637</v>
      </c>
      <c r="O28" s="856"/>
      <c r="P28" s="510" t="s">
        <v>83</v>
      </c>
      <c r="Q28" s="509" t="s">
        <v>625</v>
      </c>
      <c r="R28" s="510" t="s">
        <v>637</v>
      </c>
      <c r="S28" s="238"/>
      <c r="T28" s="238"/>
      <c r="U28" s="514">
        <v>0.08</v>
      </c>
    </row>
    <row r="29" spans="1:21" ht="15.75" customHeight="1">
      <c r="A29" s="106">
        <v>1</v>
      </c>
      <c r="B29" s="107" t="s">
        <v>663</v>
      </c>
      <c r="C29" s="178" t="s">
        <v>649</v>
      </c>
      <c r="D29" s="511">
        <v>100</v>
      </c>
      <c r="E29" s="512" t="s">
        <v>628</v>
      </c>
      <c r="F29" s="513">
        <v>3943700</v>
      </c>
      <c r="G29" s="109">
        <v>3831600</v>
      </c>
      <c r="H29" s="265">
        <v>3697200</v>
      </c>
      <c r="I29" s="513">
        <f t="shared" ref="I29:K29" si="44">IF(ISBLANK(F29),,ROUND(F29/1.1,-1))</f>
        <v>3585180</v>
      </c>
      <c r="J29" s="109">
        <f t="shared" si="44"/>
        <v>3483270</v>
      </c>
      <c r="K29" s="265">
        <f t="shared" si="44"/>
        <v>3361090</v>
      </c>
      <c r="L29" s="513">
        <f t="shared" ref="L29:N29" si="45">IF(ISBLANK(F29),,ROUND(F29*(1-$U29),-1))</f>
        <v>3628200</v>
      </c>
      <c r="M29" s="109">
        <f t="shared" si="45"/>
        <v>3525070</v>
      </c>
      <c r="N29" s="265">
        <f t="shared" si="45"/>
        <v>3401420</v>
      </c>
      <c r="O29" s="856"/>
      <c r="P29" s="109">
        <v>1210000</v>
      </c>
      <c r="Q29" s="109">
        <v>1160000</v>
      </c>
      <c r="R29" s="109">
        <v>1120000</v>
      </c>
      <c r="S29" s="238"/>
      <c r="T29" s="238"/>
      <c r="U29" s="514">
        <v>0.08</v>
      </c>
    </row>
    <row r="30" spans="1:21" ht="15.75" customHeight="1">
      <c r="A30" s="106">
        <v>2</v>
      </c>
      <c r="B30" s="107" t="s">
        <v>664</v>
      </c>
      <c r="C30" s="178" t="s">
        <v>651</v>
      </c>
      <c r="D30" s="511">
        <v>50</v>
      </c>
      <c r="E30" s="512" t="s">
        <v>628</v>
      </c>
      <c r="F30" s="513">
        <v>2400600</v>
      </c>
      <c r="G30" s="109">
        <v>2288700</v>
      </c>
      <c r="H30" s="265">
        <v>2240700</v>
      </c>
      <c r="I30" s="513">
        <f t="shared" ref="I30:K30" si="46">IF(ISBLANK(F30),,ROUND(F30/1.1,-1))</f>
        <v>2182360</v>
      </c>
      <c r="J30" s="109">
        <f t="shared" si="46"/>
        <v>2080640</v>
      </c>
      <c r="K30" s="265">
        <f t="shared" si="46"/>
        <v>2037000</v>
      </c>
      <c r="L30" s="513">
        <f t="shared" ref="L30:N30" si="47">IF(ISBLANK(F30),,ROUND(F30*(1-$U30),-1))</f>
        <v>2208550</v>
      </c>
      <c r="M30" s="109">
        <f t="shared" si="47"/>
        <v>2105600</v>
      </c>
      <c r="N30" s="265">
        <f t="shared" si="47"/>
        <v>2061440</v>
      </c>
      <c r="O30" s="856"/>
      <c r="P30" s="109">
        <v>1100000</v>
      </c>
      <c r="Q30" s="109">
        <v>1060000</v>
      </c>
      <c r="R30" s="109">
        <v>1020000</v>
      </c>
      <c r="S30" s="238"/>
      <c r="T30" s="238"/>
      <c r="U30" s="514">
        <v>0.08</v>
      </c>
    </row>
    <row r="31" spans="1:21" ht="15.75" customHeight="1">
      <c r="A31" s="106">
        <v>3</v>
      </c>
      <c r="B31" s="107" t="s">
        <v>665</v>
      </c>
      <c r="C31" s="178" t="s">
        <v>653</v>
      </c>
      <c r="D31" s="511">
        <v>50</v>
      </c>
      <c r="E31" s="512" t="s">
        <v>628</v>
      </c>
      <c r="F31" s="513">
        <v>2773400</v>
      </c>
      <c r="G31" s="109">
        <v>2661300</v>
      </c>
      <c r="H31" s="265">
        <v>2576900</v>
      </c>
      <c r="I31" s="513">
        <f t="shared" ref="I31:K31" si="48">IF(ISBLANK(F31),,ROUND(F31/1.1,-1))</f>
        <v>2521270</v>
      </c>
      <c r="J31" s="109">
        <f t="shared" si="48"/>
        <v>2419360</v>
      </c>
      <c r="K31" s="265">
        <f t="shared" si="48"/>
        <v>2342640</v>
      </c>
      <c r="L31" s="513">
        <f t="shared" ref="L31:N31" si="49">IF(ISBLANK(F31),,ROUND(F31*(1-$U31),-1))</f>
        <v>2551530</v>
      </c>
      <c r="M31" s="109">
        <f t="shared" si="49"/>
        <v>2448400</v>
      </c>
      <c r="N31" s="265">
        <f t="shared" si="49"/>
        <v>2370750</v>
      </c>
      <c r="O31" s="856"/>
      <c r="P31" s="109">
        <v>1540000</v>
      </c>
      <c r="Q31" s="109">
        <v>1490000</v>
      </c>
      <c r="R31" s="109">
        <v>1430000</v>
      </c>
      <c r="S31" s="238"/>
      <c r="T31" s="238"/>
      <c r="U31" s="514">
        <v>0.08</v>
      </c>
    </row>
    <row r="32" spans="1:21" ht="15.75" customHeight="1">
      <c r="A32" s="106">
        <v>4</v>
      </c>
      <c r="B32" s="107" t="s">
        <v>666</v>
      </c>
      <c r="C32" s="178" t="s">
        <v>655</v>
      </c>
      <c r="D32" s="511">
        <v>25</v>
      </c>
      <c r="E32" s="512" t="s">
        <v>628</v>
      </c>
      <c r="F32" s="513">
        <v>1680600</v>
      </c>
      <c r="G32" s="109">
        <v>1568500</v>
      </c>
      <c r="H32" s="265">
        <v>1490100</v>
      </c>
      <c r="I32" s="513">
        <f t="shared" ref="I32:K32" si="50">IF(ISBLANK(F32),,ROUND(F32/1.1,-1))</f>
        <v>1527820</v>
      </c>
      <c r="J32" s="109">
        <f t="shared" si="50"/>
        <v>1425910</v>
      </c>
      <c r="K32" s="265">
        <f t="shared" si="50"/>
        <v>1354640</v>
      </c>
      <c r="L32" s="513">
        <f t="shared" ref="L32:N32" si="51">IF(ISBLANK(F32),,ROUND(F32*(1-$U32),-1))</f>
        <v>1546150</v>
      </c>
      <c r="M32" s="109">
        <f t="shared" si="51"/>
        <v>1443020</v>
      </c>
      <c r="N32" s="265">
        <f t="shared" si="51"/>
        <v>1370890</v>
      </c>
      <c r="O32" s="856"/>
      <c r="P32" s="109">
        <v>960000</v>
      </c>
      <c r="Q32" s="109">
        <v>920000</v>
      </c>
      <c r="R32" s="109">
        <v>890000</v>
      </c>
      <c r="S32" s="238"/>
      <c r="T32" s="238"/>
      <c r="U32" s="514">
        <v>0.08</v>
      </c>
    </row>
    <row r="33" spans="1:21" ht="15.75" customHeight="1">
      <c r="A33" s="106">
        <v>5</v>
      </c>
      <c r="B33" s="107" t="s">
        <v>667</v>
      </c>
      <c r="C33" s="178" t="s">
        <v>657</v>
      </c>
      <c r="D33" s="511">
        <v>25</v>
      </c>
      <c r="E33" s="512" t="s">
        <v>628</v>
      </c>
      <c r="F33" s="513">
        <v>1933100</v>
      </c>
      <c r="G33" s="109">
        <v>1821200</v>
      </c>
      <c r="H33" s="265">
        <v>1755900</v>
      </c>
      <c r="I33" s="513">
        <f t="shared" ref="I33:K33" si="52">IF(ISBLANK(F33),,ROUND(F33/1.1,-1))</f>
        <v>1757360</v>
      </c>
      <c r="J33" s="109">
        <f t="shared" si="52"/>
        <v>1655640</v>
      </c>
      <c r="K33" s="265">
        <f t="shared" si="52"/>
        <v>1596270</v>
      </c>
      <c r="L33" s="513">
        <f t="shared" ref="L33:N33" si="53">IF(ISBLANK(F33),,ROUND(F33*(1-$U33),-1))</f>
        <v>1778450</v>
      </c>
      <c r="M33" s="109">
        <f t="shared" si="53"/>
        <v>1675500</v>
      </c>
      <c r="N33" s="265">
        <f t="shared" si="53"/>
        <v>1615430</v>
      </c>
      <c r="O33" s="856"/>
      <c r="P33" s="109">
        <v>1180000</v>
      </c>
      <c r="Q33" s="109">
        <v>1130000</v>
      </c>
      <c r="R33" s="109">
        <v>1090000</v>
      </c>
      <c r="S33" s="238"/>
      <c r="T33" s="238"/>
      <c r="U33" s="514">
        <v>0.08</v>
      </c>
    </row>
    <row r="34" spans="1:21" ht="15.75" customHeight="1">
      <c r="A34" s="106">
        <v>6</v>
      </c>
      <c r="B34" s="107" t="s">
        <v>668</v>
      </c>
      <c r="C34" s="178" t="s">
        <v>659</v>
      </c>
      <c r="D34" s="511">
        <v>25</v>
      </c>
      <c r="E34" s="512" t="s">
        <v>628</v>
      </c>
      <c r="F34" s="513">
        <v>2107300</v>
      </c>
      <c r="G34" s="109">
        <v>1995300</v>
      </c>
      <c r="H34" s="265">
        <v>1904700</v>
      </c>
      <c r="I34" s="513">
        <f t="shared" ref="I34:K34" si="54">IF(ISBLANK(F34),,ROUND(F34/1.1,-1))</f>
        <v>1915730</v>
      </c>
      <c r="J34" s="109">
        <f t="shared" si="54"/>
        <v>1813910</v>
      </c>
      <c r="K34" s="265">
        <f t="shared" si="54"/>
        <v>1731550</v>
      </c>
      <c r="L34" s="513">
        <f t="shared" ref="L34:N34" si="55">IF(ISBLANK(F34),,ROUND(F34*(1-$U34),-1))</f>
        <v>1938720</v>
      </c>
      <c r="M34" s="109">
        <f t="shared" si="55"/>
        <v>1835680</v>
      </c>
      <c r="N34" s="265">
        <f t="shared" si="55"/>
        <v>1752320</v>
      </c>
      <c r="O34" s="856"/>
      <c r="P34" s="109"/>
      <c r="Q34" s="109"/>
      <c r="R34" s="109"/>
      <c r="S34" s="238"/>
      <c r="T34" s="238"/>
      <c r="U34" s="514">
        <v>0.08</v>
      </c>
    </row>
    <row r="35" spans="1:21" ht="15.75" customHeight="1">
      <c r="A35" s="106">
        <v>7</v>
      </c>
      <c r="B35" s="107" t="s">
        <v>669</v>
      </c>
      <c r="C35" s="178" t="s">
        <v>661</v>
      </c>
      <c r="D35" s="511">
        <v>4</v>
      </c>
      <c r="E35" s="512" t="s">
        <v>628</v>
      </c>
      <c r="F35" s="513">
        <v>649800</v>
      </c>
      <c r="G35" s="109">
        <v>537800</v>
      </c>
      <c r="H35" s="265">
        <v>515400</v>
      </c>
      <c r="I35" s="513">
        <f t="shared" ref="I35:K35" si="56">IF(ISBLANK(F35),,ROUND(F35/1.1,-1))</f>
        <v>590730</v>
      </c>
      <c r="J35" s="109">
        <f t="shared" si="56"/>
        <v>488910</v>
      </c>
      <c r="K35" s="265">
        <f t="shared" si="56"/>
        <v>468550</v>
      </c>
      <c r="L35" s="513">
        <f t="shared" ref="L35:N35" si="57">IF(ISBLANK(F35),,ROUND(F35*(1-$U35),-1))</f>
        <v>597820</v>
      </c>
      <c r="M35" s="109">
        <f t="shared" si="57"/>
        <v>494780</v>
      </c>
      <c r="N35" s="265">
        <f t="shared" si="57"/>
        <v>474170</v>
      </c>
      <c r="O35" s="856"/>
      <c r="P35" s="109"/>
      <c r="Q35" s="109"/>
      <c r="R35" s="109"/>
      <c r="S35" s="238"/>
      <c r="T35" s="238"/>
      <c r="U35" s="514">
        <v>0.08</v>
      </c>
    </row>
    <row r="36" spans="1:21" ht="15.75" customHeight="1">
      <c r="A36" s="520"/>
      <c r="B36" s="521"/>
      <c r="C36" s="521"/>
      <c r="D36" s="521"/>
      <c r="E36" s="521"/>
      <c r="F36" s="522"/>
      <c r="G36" s="523"/>
      <c r="H36" s="524"/>
      <c r="I36" s="525"/>
      <c r="J36" s="526"/>
      <c r="K36" s="527"/>
      <c r="L36" s="528"/>
      <c r="M36" s="529"/>
      <c r="N36" s="530"/>
      <c r="O36" s="857"/>
      <c r="P36" s="531"/>
      <c r="Q36" s="532"/>
      <c r="R36" s="531"/>
      <c r="S36" s="238"/>
      <c r="T36" s="238"/>
      <c r="U36" s="514">
        <v>0.08</v>
      </c>
    </row>
    <row r="37" spans="1:21" ht="16.5" customHeight="1">
      <c r="A37" s="533"/>
      <c r="B37" s="88"/>
      <c r="C37" s="88"/>
      <c r="D37" s="88"/>
      <c r="E37" s="534"/>
      <c r="F37" s="88"/>
      <c r="G37" s="535"/>
      <c r="H37" s="88"/>
      <c r="I37" s="536"/>
      <c r="J37" s="536"/>
      <c r="K37" s="536"/>
      <c r="L37" s="536"/>
      <c r="M37" s="536"/>
      <c r="N37" s="536"/>
      <c r="O37" s="537"/>
      <c r="P37" s="88"/>
      <c r="Q37" s="535"/>
      <c r="R37" s="88"/>
      <c r="S37" s="238"/>
      <c r="T37" s="238"/>
      <c r="U37" s="238"/>
    </row>
    <row r="38" spans="1:21" ht="15.75" customHeight="1">
      <c r="A38" s="755">
        <v>1</v>
      </c>
      <c r="B38" s="756"/>
      <c r="C38" s="672"/>
      <c r="D38" s="672"/>
      <c r="E38" s="672"/>
      <c r="F38" s="672"/>
      <c r="G38" s="672"/>
      <c r="H38" s="672"/>
      <c r="I38" s="672"/>
      <c r="J38" s="672"/>
      <c r="K38" s="672"/>
      <c r="L38" s="672"/>
      <c r="M38" s="672"/>
      <c r="N38" s="672"/>
      <c r="O38" s="672"/>
      <c r="P38" s="86"/>
      <c r="Q38" s="86"/>
      <c r="R38" s="86"/>
      <c r="S38" s="238"/>
      <c r="T38" s="238"/>
      <c r="U38" s="238"/>
    </row>
    <row r="39" spans="1:21" ht="32.25" customHeight="1">
      <c r="A39" s="672"/>
      <c r="B39" s="756" t="s">
        <v>670</v>
      </c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86"/>
      <c r="Q39" s="86"/>
      <c r="R39" s="86"/>
      <c r="S39" s="238"/>
      <c r="T39" s="238"/>
      <c r="U39" s="238"/>
    </row>
    <row r="40" spans="1:21" ht="15.75" customHeight="1">
      <c r="A40" s="672"/>
      <c r="B40" s="846" t="s">
        <v>286</v>
      </c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86"/>
      <c r="Q40" s="86"/>
      <c r="R40" s="86"/>
      <c r="S40" s="238"/>
      <c r="T40" s="238"/>
      <c r="U40" s="238"/>
    </row>
    <row r="41" spans="1:21" ht="15.75" customHeight="1">
      <c r="A41" s="235">
        <v>2</v>
      </c>
      <c r="B41" s="756" t="s">
        <v>261</v>
      </c>
      <c r="C41" s="672"/>
      <c r="D41" s="672"/>
      <c r="E41" s="672"/>
      <c r="F41" s="672"/>
      <c r="G41" s="672"/>
      <c r="H41" s="672"/>
      <c r="I41" s="672"/>
      <c r="J41" s="672"/>
      <c r="K41" s="672"/>
      <c r="L41" s="672"/>
      <c r="M41" s="672"/>
      <c r="N41" s="672"/>
      <c r="O41" s="672"/>
      <c r="P41" s="86"/>
      <c r="Q41" s="86"/>
      <c r="R41" s="86"/>
      <c r="S41" s="238"/>
      <c r="T41" s="238"/>
      <c r="U41" s="238"/>
    </row>
    <row r="42" spans="1:21" ht="36" customHeight="1">
      <c r="A42" s="235">
        <v>3</v>
      </c>
      <c r="B42" s="756" t="s">
        <v>671</v>
      </c>
      <c r="C42" s="672"/>
      <c r="D42" s="672"/>
      <c r="E42" s="672"/>
      <c r="F42" s="672"/>
      <c r="G42" s="672"/>
      <c r="H42" s="672"/>
      <c r="I42" s="672"/>
      <c r="J42" s="672"/>
      <c r="K42" s="672"/>
      <c r="L42" s="672"/>
      <c r="M42" s="672"/>
      <c r="N42" s="672"/>
      <c r="O42" s="672"/>
      <c r="P42" s="86"/>
      <c r="Q42" s="86"/>
      <c r="R42" s="86"/>
      <c r="S42" s="238"/>
      <c r="T42" s="238"/>
      <c r="U42" s="238"/>
    </row>
    <row r="43" spans="1:21" ht="15.75" customHeight="1">
      <c r="A43" s="235"/>
      <c r="B43" s="236"/>
      <c r="C43" s="236"/>
      <c r="D43" s="236"/>
      <c r="E43" s="236"/>
      <c r="F43" s="236"/>
      <c r="G43" s="236"/>
      <c r="H43" s="236"/>
      <c r="I43" s="236"/>
      <c r="J43" s="236"/>
      <c r="K43" s="236"/>
      <c r="L43" s="236"/>
      <c r="M43" s="236"/>
      <c r="N43" s="236"/>
      <c r="O43" s="236"/>
      <c r="P43" s="538"/>
      <c r="Q43" s="268"/>
      <c r="R43" s="268"/>
      <c r="S43" s="238"/>
      <c r="T43" s="238"/>
      <c r="U43" s="238"/>
    </row>
    <row r="44" spans="1:21" ht="15.75" customHeight="1">
      <c r="A44" s="539"/>
      <c r="B44" s="536"/>
      <c r="C44" s="240" t="s">
        <v>263</v>
      </c>
      <c r="D44" s="240"/>
      <c r="E44" s="540"/>
      <c r="F44" s="240"/>
      <c r="G44" s="240"/>
      <c r="H44" s="240"/>
      <c r="I44" s="238"/>
      <c r="J44" s="238"/>
      <c r="K44" s="238"/>
      <c r="L44" s="238"/>
      <c r="M44" s="238"/>
      <c r="N44" s="238"/>
      <c r="O44" s="238"/>
      <c r="P44" s="541"/>
      <c r="Q44" s="272"/>
      <c r="R44" s="272"/>
      <c r="S44" s="238"/>
      <c r="T44" s="238"/>
      <c r="U44" s="238"/>
    </row>
    <row r="45" spans="1:21" ht="15.75" customHeight="1">
      <c r="A45" s="542"/>
      <c r="B45" s="543"/>
      <c r="C45" s="543"/>
      <c r="D45" s="543"/>
      <c r="E45" s="544"/>
      <c r="F45" s="543"/>
      <c r="G45" s="847"/>
      <c r="H45" s="708"/>
      <c r="I45" s="238"/>
      <c r="J45" s="238"/>
      <c r="K45" s="238"/>
      <c r="L45" s="238"/>
      <c r="M45" s="238"/>
      <c r="N45" s="238"/>
      <c r="O45" s="238"/>
      <c r="P45" s="86"/>
      <c r="Q45" s="848"/>
      <c r="R45" s="764"/>
      <c r="S45" s="238"/>
      <c r="T45" s="238"/>
      <c r="U45" s="238"/>
    </row>
    <row r="46" spans="1:21" ht="15.75" customHeight="1">
      <c r="A46" s="545"/>
      <c r="B46" s="545"/>
      <c r="C46" s="545"/>
      <c r="D46" s="545"/>
      <c r="E46" s="546"/>
      <c r="F46" s="545"/>
      <c r="G46" s="545"/>
      <c r="H46" s="545"/>
      <c r="I46" s="238"/>
      <c r="J46" s="238"/>
      <c r="K46" s="238"/>
      <c r="L46" s="238"/>
      <c r="M46" s="238"/>
      <c r="N46" s="238"/>
      <c r="O46" s="238"/>
      <c r="P46" s="545"/>
      <c r="Q46" s="545"/>
      <c r="R46" s="545"/>
      <c r="S46" s="238"/>
      <c r="T46" s="238"/>
      <c r="U46" s="238"/>
    </row>
    <row r="47" spans="1:21" ht="15.75" customHeight="1">
      <c r="A47" s="545"/>
      <c r="B47" s="545"/>
      <c r="C47" s="545"/>
      <c r="D47" s="545"/>
      <c r="E47" s="546"/>
      <c r="F47" s="545"/>
      <c r="G47" s="545"/>
      <c r="H47" s="545"/>
      <c r="I47" s="238"/>
      <c r="J47" s="238"/>
      <c r="K47" s="238"/>
      <c r="L47" s="238"/>
      <c r="M47" s="238"/>
      <c r="N47" s="238"/>
      <c r="O47" s="238"/>
      <c r="P47" s="545"/>
      <c r="Q47" s="545"/>
      <c r="R47" s="545"/>
      <c r="S47" s="238"/>
      <c r="T47" s="238"/>
      <c r="U47" s="238"/>
    </row>
    <row r="48" spans="1:21" ht="15.75" customHeight="1">
      <c r="A48" s="545"/>
      <c r="B48" s="545"/>
      <c r="C48" s="545"/>
      <c r="D48" s="545"/>
      <c r="E48" s="546"/>
      <c r="F48" s="545"/>
      <c r="G48" s="545"/>
      <c r="H48" s="545"/>
      <c r="I48" s="238"/>
      <c r="J48" s="238"/>
      <c r="K48" s="238"/>
      <c r="L48" s="238"/>
      <c r="M48" s="238"/>
      <c r="N48" s="238"/>
      <c r="O48" s="238"/>
      <c r="P48" s="545"/>
      <c r="Q48" s="545"/>
      <c r="R48" s="545"/>
      <c r="S48" s="238"/>
      <c r="T48" s="238"/>
      <c r="U48" s="238"/>
    </row>
    <row r="49" spans="1:21" ht="15.75" customHeight="1">
      <c r="A49" s="238"/>
      <c r="B49" s="238"/>
      <c r="C49" s="238"/>
      <c r="D49" s="238"/>
      <c r="E49" s="547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</row>
    <row r="50" spans="1:21" ht="15.75" customHeight="1">
      <c r="A50" s="238"/>
      <c r="B50" s="238"/>
      <c r="C50" s="238"/>
      <c r="D50" s="238"/>
      <c r="E50" s="547"/>
      <c r="F50" s="238"/>
      <c r="G50" s="238"/>
      <c r="H50" s="238"/>
      <c r="I50" s="238"/>
      <c r="J50" s="238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</row>
    <row r="51" spans="1:21" ht="15.75" customHeight="1">
      <c r="A51" s="238"/>
      <c r="B51" s="238"/>
      <c r="C51" s="238"/>
      <c r="D51" s="238"/>
      <c r="E51" s="547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</row>
    <row r="52" spans="1:21" ht="15.75" customHeight="1">
      <c r="A52" s="238"/>
      <c r="B52" s="238"/>
      <c r="C52" s="238"/>
      <c r="D52" s="238"/>
      <c r="E52" s="547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</row>
    <row r="53" spans="1:21" ht="15.75" customHeight="1">
      <c r="A53" s="238"/>
      <c r="B53" s="238"/>
      <c r="C53" s="238"/>
      <c r="D53" s="238"/>
      <c r="E53" s="547"/>
      <c r="F53" s="238"/>
      <c r="G53" s="238"/>
      <c r="H53" s="238"/>
      <c r="I53" s="238"/>
      <c r="J53" s="238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</row>
    <row r="54" spans="1:21" ht="15.75" customHeight="1">
      <c r="A54" s="238"/>
      <c r="B54" s="238"/>
      <c r="C54" s="238"/>
      <c r="D54" s="238"/>
      <c r="E54" s="547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</row>
  </sheetData>
  <mergeCells count="24">
    <mergeCell ref="B41:O41"/>
    <mergeCell ref="B42:O42"/>
    <mergeCell ref="G45:H45"/>
    <mergeCell ref="Q45:R45"/>
    <mergeCell ref="F2:M3"/>
    <mergeCell ref="A5:N5"/>
    <mergeCell ref="A6:E6"/>
    <mergeCell ref="F6:F7"/>
    <mergeCell ref="I6:I7"/>
    <mergeCell ref="L6:L7"/>
    <mergeCell ref="O6:O36"/>
    <mergeCell ref="A14:E14"/>
    <mergeCell ref="A20:E20"/>
    <mergeCell ref="A28:E28"/>
    <mergeCell ref="A38:A40"/>
    <mergeCell ref="B38:O38"/>
    <mergeCell ref="B39:O39"/>
    <mergeCell ref="B40:O40"/>
    <mergeCell ref="P5:R5"/>
    <mergeCell ref="P6:P7"/>
    <mergeCell ref="A7:E8"/>
    <mergeCell ref="F8:H8"/>
    <mergeCell ref="I8:K8"/>
    <mergeCell ref="L8:N8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J256"/>
  <sheetViews>
    <sheetView showGridLines="0" workbookViewId="0"/>
  </sheetViews>
  <sheetFormatPr defaultColWidth="12.5703125" defaultRowHeight="15" customHeight="1"/>
  <cols>
    <col min="1" max="1" width="17" customWidth="1"/>
    <col min="3" max="3" width="36.7109375" customWidth="1"/>
    <col min="4" max="7" width="6.7109375" customWidth="1"/>
    <col min="8" max="8" width="16.85546875" customWidth="1"/>
    <col min="10" max="10" width="9.28515625" customWidth="1"/>
  </cols>
  <sheetData>
    <row r="1" spans="1:10" ht="15" customHeight="1">
      <c r="A1" s="858" t="s">
        <v>672</v>
      </c>
      <c r="B1" s="669"/>
      <c r="C1" s="669"/>
      <c r="D1" s="669"/>
      <c r="E1" s="669"/>
      <c r="F1" s="669"/>
      <c r="G1" s="669"/>
      <c r="H1" s="669"/>
      <c r="I1" s="669"/>
      <c r="J1" s="670"/>
    </row>
    <row r="2" spans="1:10" ht="15" customHeight="1">
      <c r="A2" s="548" t="s">
        <v>673</v>
      </c>
      <c r="B2" s="548" t="s">
        <v>674</v>
      </c>
      <c r="C2" s="548" t="s">
        <v>675</v>
      </c>
      <c r="D2" s="549" t="s">
        <v>79</v>
      </c>
      <c r="E2" s="550" t="s">
        <v>676</v>
      </c>
      <c r="F2" s="550" t="s">
        <v>677</v>
      </c>
      <c r="G2" s="550" t="s">
        <v>678</v>
      </c>
      <c r="H2" s="551" t="s">
        <v>679</v>
      </c>
      <c r="I2" s="551" t="s">
        <v>463</v>
      </c>
      <c r="J2" s="552" t="s">
        <v>680</v>
      </c>
    </row>
    <row r="3" spans="1:10">
      <c r="A3" s="553" t="s">
        <v>681</v>
      </c>
      <c r="B3" s="553" t="s">
        <v>682</v>
      </c>
      <c r="C3" s="553" t="s">
        <v>683</v>
      </c>
      <c r="D3" s="553" t="s">
        <v>684</v>
      </c>
      <c r="E3" s="553" t="s">
        <v>685</v>
      </c>
      <c r="F3" s="554" t="s">
        <v>686</v>
      </c>
      <c r="G3" s="553">
        <v>2</v>
      </c>
      <c r="H3" s="555">
        <v>10900</v>
      </c>
      <c r="I3" s="553" t="s">
        <v>687</v>
      </c>
      <c r="J3" s="553">
        <v>132</v>
      </c>
    </row>
    <row r="4" spans="1:10">
      <c r="A4" s="553" t="s">
        <v>681</v>
      </c>
      <c r="B4" s="553" t="s">
        <v>688</v>
      </c>
      <c r="C4" s="553" t="s">
        <v>689</v>
      </c>
      <c r="D4" s="553" t="s">
        <v>684</v>
      </c>
      <c r="E4" s="553">
        <v>10</v>
      </c>
      <c r="F4" s="554" t="s">
        <v>686</v>
      </c>
      <c r="G4" s="553">
        <v>2</v>
      </c>
      <c r="H4" s="555">
        <v>12700</v>
      </c>
      <c r="I4" s="553" t="s">
        <v>687</v>
      </c>
      <c r="J4" s="553">
        <v>110</v>
      </c>
    </row>
    <row r="5" spans="1:10">
      <c r="A5" s="553" t="s">
        <v>681</v>
      </c>
      <c r="B5" s="553" t="s">
        <v>690</v>
      </c>
      <c r="C5" s="553" t="s">
        <v>691</v>
      </c>
      <c r="D5" s="553" t="s">
        <v>684</v>
      </c>
      <c r="E5" s="553">
        <v>13</v>
      </c>
      <c r="F5" s="554" t="s">
        <v>686</v>
      </c>
      <c r="G5" s="553">
        <v>2</v>
      </c>
      <c r="H5" s="555">
        <v>15500</v>
      </c>
      <c r="I5" s="553" t="s">
        <v>687</v>
      </c>
      <c r="J5" s="553">
        <v>84</v>
      </c>
    </row>
    <row r="6" spans="1:10">
      <c r="A6" s="553" t="s">
        <v>681</v>
      </c>
      <c r="B6" s="553" t="s">
        <v>692</v>
      </c>
      <c r="C6" s="553" t="s">
        <v>693</v>
      </c>
      <c r="D6" s="553" t="s">
        <v>684</v>
      </c>
      <c r="E6" s="553">
        <v>16</v>
      </c>
      <c r="F6" s="554" t="s">
        <v>686</v>
      </c>
      <c r="G6" s="553">
        <v>2</v>
      </c>
      <c r="H6" s="555">
        <v>17300</v>
      </c>
      <c r="I6" s="553" t="s">
        <v>687</v>
      </c>
      <c r="J6" s="553">
        <v>70</v>
      </c>
    </row>
    <row r="7" spans="1:10">
      <c r="A7" s="553" t="s">
        <v>681</v>
      </c>
      <c r="B7" s="553" t="s">
        <v>694</v>
      </c>
      <c r="C7" s="553" t="s">
        <v>695</v>
      </c>
      <c r="D7" s="553" t="s">
        <v>684</v>
      </c>
      <c r="E7" s="553">
        <v>19</v>
      </c>
      <c r="F7" s="554" t="s">
        <v>686</v>
      </c>
      <c r="G7" s="553">
        <v>2</v>
      </c>
      <c r="H7" s="555">
        <v>19100</v>
      </c>
      <c r="I7" s="553" t="s">
        <v>687</v>
      </c>
      <c r="J7" s="553">
        <v>60</v>
      </c>
    </row>
    <row r="8" spans="1:10">
      <c r="A8" s="553" t="s">
        <v>681</v>
      </c>
      <c r="B8" s="553" t="s">
        <v>696</v>
      </c>
      <c r="C8" s="553" t="s">
        <v>697</v>
      </c>
      <c r="D8" s="553" t="s">
        <v>684</v>
      </c>
      <c r="E8" s="553">
        <v>22</v>
      </c>
      <c r="F8" s="554" t="s">
        <v>686</v>
      </c>
      <c r="G8" s="553">
        <v>2</v>
      </c>
      <c r="H8" s="555">
        <v>20000</v>
      </c>
      <c r="I8" s="553" t="s">
        <v>687</v>
      </c>
      <c r="J8" s="553">
        <v>54</v>
      </c>
    </row>
    <row r="9" spans="1:10">
      <c r="A9" s="553" t="s">
        <v>681</v>
      </c>
      <c r="B9" s="553" t="s">
        <v>698</v>
      </c>
      <c r="C9" s="553" t="s">
        <v>699</v>
      </c>
      <c r="D9" s="553" t="s">
        <v>684</v>
      </c>
      <c r="E9" s="553">
        <v>25</v>
      </c>
      <c r="F9" s="554" t="s">
        <v>686</v>
      </c>
      <c r="G9" s="553">
        <v>2</v>
      </c>
      <c r="H9" s="555">
        <v>20000</v>
      </c>
      <c r="I9" s="553" t="s">
        <v>687</v>
      </c>
      <c r="J9" s="553">
        <v>44</v>
      </c>
    </row>
    <row r="10" spans="1:10">
      <c r="A10" s="553" t="s">
        <v>681</v>
      </c>
      <c r="B10" s="553" t="s">
        <v>700</v>
      </c>
      <c r="C10" s="553" t="s">
        <v>701</v>
      </c>
      <c r="D10" s="553" t="s">
        <v>684</v>
      </c>
      <c r="E10" s="553">
        <v>28</v>
      </c>
      <c r="F10" s="554" t="s">
        <v>686</v>
      </c>
      <c r="G10" s="553">
        <v>2</v>
      </c>
      <c r="H10" s="555">
        <v>23600</v>
      </c>
      <c r="I10" s="553" t="s">
        <v>687</v>
      </c>
      <c r="J10" s="553">
        <v>36</v>
      </c>
    </row>
    <row r="11" spans="1:10">
      <c r="A11" s="553" t="s">
        <v>681</v>
      </c>
      <c r="B11" s="553" t="s">
        <v>702</v>
      </c>
      <c r="C11" s="553" t="s">
        <v>703</v>
      </c>
      <c r="D11" s="553" t="s">
        <v>684</v>
      </c>
      <c r="E11" s="553">
        <v>32</v>
      </c>
      <c r="F11" s="554" t="s">
        <v>686</v>
      </c>
      <c r="G11" s="553">
        <v>2</v>
      </c>
      <c r="H11" s="555">
        <v>27300</v>
      </c>
      <c r="I11" s="553" t="s">
        <v>687</v>
      </c>
      <c r="J11" s="553">
        <v>34</v>
      </c>
    </row>
    <row r="12" spans="1:10">
      <c r="A12" s="553" t="s">
        <v>681</v>
      </c>
      <c r="B12" s="553" t="s">
        <v>704</v>
      </c>
      <c r="C12" s="553" t="s">
        <v>705</v>
      </c>
      <c r="D12" s="553" t="s">
        <v>684</v>
      </c>
      <c r="E12" s="553">
        <v>35</v>
      </c>
      <c r="F12" s="554" t="s">
        <v>686</v>
      </c>
      <c r="G12" s="553">
        <v>2</v>
      </c>
      <c r="H12" s="555">
        <v>30000</v>
      </c>
      <c r="I12" s="553" t="s">
        <v>687</v>
      </c>
      <c r="J12" s="553">
        <v>32</v>
      </c>
    </row>
    <row r="13" spans="1:10">
      <c r="A13" s="553" t="s">
        <v>681</v>
      </c>
      <c r="B13" s="553" t="s">
        <v>706</v>
      </c>
      <c r="C13" s="553" t="s">
        <v>707</v>
      </c>
      <c r="D13" s="553" t="s">
        <v>684</v>
      </c>
      <c r="E13" s="553">
        <v>42</v>
      </c>
      <c r="F13" s="554" t="s">
        <v>686</v>
      </c>
      <c r="G13" s="553">
        <v>2</v>
      </c>
      <c r="H13" s="555">
        <v>36400</v>
      </c>
      <c r="I13" s="553" t="s">
        <v>687</v>
      </c>
      <c r="J13" s="553">
        <v>28</v>
      </c>
    </row>
    <row r="14" spans="1:10">
      <c r="A14" s="553" t="s">
        <v>681</v>
      </c>
      <c r="B14" s="553" t="s">
        <v>708</v>
      </c>
      <c r="C14" s="553" t="s">
        <v>709</v>
      </c>
      <c r="D14" s="553" t="s">
        <v>684</v>
      </c>
      <c r="E14" s="553">
        <v>48</v>
      </c>
      <c r="F14" s="554" t="s">
        <v>686</v>
      </c>
      <c r="G14" s="553">
        <v>2</v>
      </c>
      <c r="H14" s="555">
        <v>39100</v>
      </c>
      <c r="I14" s="553" t="s">
        <v>687</v>
      </c>
      <c r="J14" s="553">
        <v>20</v>
      </c>
    </row>
    <row r="15" spans="1:10">
      <c r="A15" s="553" t="s">
        <v>681</v>
      </c>
      <c r="B15" s="553" t="s">
        <v>710</v>
      </c>
      <c r="C15" s="553" t="s">
        <v>711</v>
      </c>
      <c r="D15" s="553" t="s">
        <v>684</v>
      </c>
      <c r="E15" s="553">
        <v>54</v>
      </c>
      <c r="F15" s="554" t="s">
        <v>686</v>
      </c>
      <c r="G15" s="553">
        <v>2</v>
      </c>
      <c r="H15" s="555">
        <v>44500</v>
      </c>
      <c r="I15" s="553" t="s">
        <v>687</v>
      </c>
      <c r="J15" s="553">
        <v>18</v>
      </c>
    </row>
    <row r="16" spans="1:10">
      <c r="A16" s="553" t="s">
        <v>681</v>
      </c>
      <c r="B16" s="553" t="s">
        <v>712</v>
      </c>
      <c r="C16" s="553" t="s">
        <v>713</v>
      </c>
      <c r="D16" s="553" t="s">
        <v>684</v>
      </c>
      <c r="E16" s="553">
        <v>60</v>
      </c>
      <c r="F16" s="554" t="s">
        <v>686</v>
      </c>
      <c r="G16" s="553">
        <v>2</v>
      </c>
      <c r="H16" s="555">
        <v>51800</v>
      </c>
      <c r="I16" s="553" t="s">
        <v>687</v>
      </c>
      <c r="J16" s="553">
        <v>18</v>
      </c>
    </row>
    <row r="17" spans="1:10">
      <c r="A17" s="553" t="s">
        <v>681</v>
      </c>
      <c r="B17" s="553" t="s">
        <v>714</v>
      </c>
      <c r="C17" s="553" t="s">
        <v>715</v>
      </c>
      <c r="D17" s="553" t="s">
        <v>684</v>
      </c>
      <c r="E17" s="553" t="s">
        <v>685</v>
      </c>
      <c r="F17" s="553" t="s">
        <v>716</v>
      </c>
      <c r="G17" s="553">
        <v>2</v>
      </c>
      <c r="H17" s="555">
        <v>16400</v>
      </c>
      <c r="I17" s="553" t="s">
        <v>687</v>
      </c>
      <c r="J17" s="553">
        <v>80</v>
      </c>
    </row>
    <row r="18" spans="1:10">
      <c r="A18" s="553" t="s">
        <v>681</v>
      </c>
      <c r="B18" s="553" t="s">
        <v>717</v>
      </c>
      <c r="C18" s="553" t="s">
        <v>718</v>
      </c>
      <c r="D18" s="553" t="s">
        <v>684</v>
      </c>
      <c r="E18" s="553">
        <v>10</v>
      </c>
      <c r="F18" s="553" t="s">
        <v>716</v>
      </c>
      <c r="G18" s="553">
        <v>2</v>
      </c>
      <c r="H18" s="555">
        <v>18200</v>
      </c>
      <c r="I18" s="553" t="s">
        <v>687</v>
      </c>
      <c r="J18" s="553">
        <v>70</v>
      </c>
    </row>
    <row r="19" spans="1:10">
      <c r="A19" s="553" t="s">
        <v>681</v>
      </c>
      <c r="B19" s="553" t="s">
        <v>719</v>
      </c>
      <c r="C19" s="553" t="s">
        <v>720</v>
      </c>
      <c r="D19" s="553" t="s">
        <v>684</v>
      </c>
      <c r="E19" s="553">
        <v>13</v>
      </c>
      <c r="F19" s="553" t="s">
        <v>716</v>
      </c>
      <c r="G19" s="553">
        <v>2</v>
      </c>
      <c r="H19" s="555">
        <v>19100</v>
      </c>
      <c r="I19" s="553" t="s">
        <v>687</v>
      </c>
      <c r="J19" s="553">
        <v>60</v>
      </c>
    </row>
    <row r="20" spans="1:10">
      <c r="A20" s="553" t="s">
        <v>681</v>
      </c>
      <c r="B20" s="553" t="s">
        <v>721</v>
      </c>
      <c r="C20" s="553" t="s">
        <v>722</v>
      </c>
      <c r="D20" s="553" t="s">
        <v>684</v>
      </c>
      <c r="E20" s="553">
        <v>16</v>
      </c>
      <c r="F20" s="553" t="s">
        <v>716</v>
      </c>
      <c r="G20" s="553">
        <v>2</v>
      </c>
      <c r="H20" s="555">
        <v>20900</v>
      </c>
      <c r="I20" s="553" t="s">
        <v>687</v>
      </c>
      <c r="J20" s="553">
        <v>50</v>
      </c>
    </row>
    <row r="21" spans="1:10">
      <c r="A21" s="553" t="s">
        <v>681</v>
      </c>
      <c r="B21" s="553" t="s">
        <v>723</v>
      </c>
      <c r="C21" s="553" t="s">
        <v>724</v>
      </c>
      <c r="D21" s="553" t="s">
        <v>684</v>
      </c>
      <c r="E21" s="553">
        <v>19</v>
      </c>
      <c r="F21" s="553" t="s">
        <v>716</v>
      </c>
      <c r="G21" s="553">
        <v>2</v>
      </c>
      <c r="H21" s="555">
        <v>25500</v>
      </c>
      <c r="I21" s="553" t="s">
        <v>687</v>
      </c>
      <c r="J21" s="553">
        <v>40</v>
      </c>
    </row>
    <row r="22" spans="1:10">
      <c r="A22" s="553" t="s">
        <v>681</v>
      </c>
      <c r="B22" s="553" t="s">
        <v>725</v>
      </c>
      <c r="C22" s="553" t="s">
        <v>726</v>
      </c>
      <c r="D22" s="553" t="s">
        <v>684</v>
      </c>
      <c r="E22" s="553">
        <v>22</v>
      </c>
      <c r="F22" s="553" t="s">
        <v>716</v>
      </c>
      <c r="G22" s="553">
        <v>2</v>
      </c>
      <c r="H22" s="555">
        <v>27300</v>
      </c>
      <c r="I22" s="553" t="s">
        <v>687</v>
      </c>
      <c r="J22" s="553">
        <v>32</v>
      </c>
    </row>
    <row r="23" spans="1:10">
      <c r="A23" s="553" t="s">
        <v>681</v>
      </c>
      <c r="B23" s="553" t="s">
        <v>727</v>
      </c>
      <c r="C23" s="553" t="s">
        <v>728</v>
      </c>
      <c r="D23" s="553" t="s">
        <v>684</v>
      </c>
      <c r="E23" s="553">
        <v>25</v>
      </c>
      <c r="F23" s="553" t="s">
        <v>716</v>
      </c>
      <c r="G23" s="553">
        <v>2</v>
      </c>
      <c r="H23" s="555">
        <v>30900</v>
      </c>
      <c r="I23" s="553" t="s">
        <v>687</v>
      </c>
      <c r="J23" s="553">
        <v>30</v>
      </c>
    </row>
    <row r="24" spans="1:10" ht="12.75">
      <c r="A24" s="553" t="s">
        <v>681</v>
      </c>
      <c r="B24" s="553" t="s">
        <v>729</v>
      </c>
      <c r="C24" s="553" t="s">
        <v>730</v>
      </c>
      <c r="D24" s="553" t="s">
        <v>684</v>
      </c>
      <c r="E24" s="553">
        <v>28</v>
      </c>
      <c r="F24" s="553" t="s">
        <v>716</v>
      </c>
      <c r="G24" s="553">
        <v>2</v>
      </c>
      <c r="H24" s="555">
        <v>31800</v>
      </c>
      <c r="I24" s="553" t="s">
        <v>687</v>
      </c>
      <c r="J24" s="553">
        <v>28</v>
      </c>
    </row>
    <row r="25" spans="1:10" ht="12.75">
      <c r="A25" s="553" t="s">
        <v>681</v>
      </c>
      <c r="B25" s="553" t="s">
        <v>731</v>
      </c>
      <c r="C25" s="553" t="s">
        <v>732</v>
      </c>
      <c r="D25" s="553" t="s">
        <v>684</v>
      </c>
      <c r="E25" s="553">
        <v>32</v>
      </c>
      <c r="F25" s="553" t="s">
        <v>716</v>
      </c>
      <c r="G25" s="553">
        <v>2</v>
      </c>
      <c r="H25" s="555">
        <v>37300</v>
      </c>
      <c r="I25" s="553" t="s">
        <v>687</v>
      </c>
      <c r="J25" s="553">
        <v>24</v>
      </c>
    </row>
    <row r="26" spans="1:10" ht="12.75">
      <c r="A26" s="553" t="s">
        <v>681</v>
      </c>
      <c r="B26" s="553" t="s">
        <v>733</v>
      </c>
      <c r="C26" s="553" t="s">
        <v>734</v>
      </c>
      <c r="D26" s="553" t="s">
        <v>684</v>
      </c>
      <c r="E26" s="553">
        <v>35</v>
      </c>
      <c r="F26" s="553" t="s">
        <v>716</v>
      </c>
      <c r="G26" s="553">
        <v>2</v>
      </c>
      <c r="H26" s="555">
        <v>38200</v>
      </c>
      <c r="I26" s="553" t="s">
        <v>687</v>
      </c>
      <c r="J26" s="553">
        <v>20</v>
      </c>
    </row>
    <row r="27" spans="1:10" ht="12.75">
      <c r="A27" s="553" t="s">
        <v>681</v>
      </c>
      <c r="B27" s="553" t="s">
        <v>735</v>
      </c>
      <c r="C27" s="553" t="s">
        <v>736</v>
      </c>
      <c r="D27" s="553" t="s">
        <v>684</v>
      </c>
      <c r="E27" s="553">
        <v>42</v>
      </c>
      <c r="F27" s="553" t="s">
        <v>716</v>
      </c>
      <c r="G27" s="553">
        <v>2</v>
      </c>
      <c r="H27" s="555">
        <v>49100</v>
      </c>
      <c r="I27" s="553" t="s">
        <v>687</v>
      </c>
      <c r="J27" s="553">
        <v>18</v>
      </c>
    </row>
    <row r="28" spans="1:10" ht="12.75">
      <c r="A28" s="553" t="s">
        <v>681</v>
      </c>
      <c r="B28" s="553" t="s">
        <v>737</v>
      </c>
      <c r="C28" s="553" t="s">
        <v>738</v>
      </c>
      <c r="D28" s="553" t="s">
        <v>684</v>
      </c>
      <c r="E28" s="553">
        <v>48</v>
      </c>
      <c r="F28" s="553" t="s">
        <v>716</v>
      </c>
      <c r="G28" s="553">
        <v>2</v>
      </c>
      <c r="H28" s="555">
        <v>53600</v>
      </c>
      <c r="I28" s="553" t="s">
        <v>687</v>
      </c>
      <c r="J28" s="553">
        <v>16</v>
      </c>
    </row>
    <row r="29" spans="1:10" ht="12.75">
      <c r="A29" s="553" t="s">
        <v>681</v>
      </c>
      <c r="B29" s="553" t="s">
        <v>739</v>
      </c>
      <c r="C29" s="553" t="s">
        <v>740</v>
      </c>
      <c r="D29" s="553" t="s">
        <v>684</v>
      </c>
      <c r="E29" s="553">
        <v>54</v>
      </c>
      <c r="F29" s="553" t="s">
        <v>716</v>
      </c>
      <c r="G29" s="553">
        <v>2</v>
      </c>
      <c r="H29" s="555">
        <v>56400</v>
      </c>
      <c r="I29" s="553" t="s">
        <v>687</v>
      </c>
      <c r="J29" s="553">
        <v>14</v>
      </c>
    </row>
    <row r="30" spans="1:10" ht="12.75">
      <c r="A30" s="553" t="s">
        <v>681</v>
      </c>
      <c r="B30" s="553" t="s">
        <v>741</v>
      </c>
      <c r="C30" s="553" t="s">
        <v>742</v>
      </c>
      <c r="D30" s="553" t="s">
        <v>684</v>
      </c>
      <c r="E30" s="553">
        <v>60</v>
      </c>
      <c r="F30" s="553" t="s">
        <v>716</v>
      </c>
      <c r="G30" s="553">
        <v>2</v>
      </c>
      <c r="H30" s="555">
        <v>61800</v>
      </c>
      <c r="I30" s="553" t="s">
        <v>687</v>
      </c>
      <c r="J30" s="553">
        <v>12</v>
      </c>
    </row>
    <row r="31" spans="1:10" ht="12.75">
      <c r="A31" s="553" t="s">
        <v>681</v>
      </c>
      <c r="B31" s="553" t="s">
        <v>743</v>
      </c>
      <c r="C31" s="553" t="s">
        <v>744</v>
      </c>
      <c r="D31" s="553" t="s">
        <v>684</v>
      </c>
      <c r="E31" s="553">
        <v>67</v>
      </c>
      <c r="F31" s="553" t="s">
        <v>716</v>
      </c>
      <c r="G31" s="553">
        <v>2</v>
      </c>
      <c r="H31" s="555">
        <v>86400</v>
      </c>
      <c r="I31" s="553" t="s">
        <v>687</v>
      </c>
      <c r="J31" s="553">
        <v>10</v>
      </c>
    </row>
    <row r="32" spans="1:10" ht="12.75">
      <c r="A32" s="553" t="s">
        <v>681</v>
      </c>
      <c r="B32" s="553" t="s">
        <v>745</v>
      </c>
      <c r="C32" s="553" t="s">
        <v>746</v>
      </c>
      <c r="D32" s="553" t="s">
        <v>684</v>
      </c>
      <c r="E32" s="553">
        <v>76</v>
      </c>
      <c r="F32" s="553" t="s">
        <v>716</v>
      </c>
      <c r="G32" s="553">
        <v>2</v>
      </c>
      <c r="H32" s="555">
        <v>101100</v>
      </c>
      <c r="I32" s="553" t="s">
        <v>687</v>
      </c>
      <c r="J32" s="553">
        <v>8</v>
      </c>
    </row>
    <row r="33" spans="1:10" ht="12.75">
      <c r="A33" s="553" t="s">
        <v>681</v>
      </c>
      <c r="B33" s="553" t="s">
        <v>747</v>
      </c>
      <c r="C33" s="553" t="s">
        <v>748</v>
      </c>
      <c r="D33" s="553" t="s">
        <v>684</v>
      </c>
      <c r="E33" s="553">
        <v>90</v>
      </c>
      <c r="F33" s="553" t="s">
        <v>716</v>
      </c>
      <c r="G33" s="553">
        <v>2</v>
      </c>
      <c r="H33" s="555">
        <v>121300</v>
      </c>
      <c r="I33" s="553" t="s">
        <v>687</v>
      </c>
      <c r="J33" s="553">
        <v>8</v>
      </c>
    </row>
    <row r="34" spans="1:10" ht="12.75">
      <c r="A34" s="553" t="s">
        <v>681</v>
      </c>
      <c r="B34" s="553" t="s">
        <v>749</v>
      </c>
      <c r="C34" s="553" t="s">
        <v>750</v>
      </c>
      <c r="D34" s="553" t="s">
        <v>684</v>
      </c>
      <c r="E34" s="553">
        <v>115</v>
      </c>
      <c r="F34" s="553" t="s">
        <v>716</v>
      </c>
      <c r="G34" s="553">
        <v>2</v>
      </c>
      <c r="H34" s="555">
        <v>148500</v>
      </c>
      <c r="I34" s="553" t="s">
        <v>687</v>
      </c>
      <c r="J34" s="553">
        <v>6</v>
      </c>
    </row>
    <row r="35" spans="1:10" ht="12.75">
      <c r="A35" s="553" t="s">
        <v>681</v>
      </c>
      <c r="B35" s="553" t="s">
        <v>751</v>
      </c>
      <c r="C35" s="553" t="s">
        <v>752</v>
      </c>
      <c r="D35" s="553" t="s">
        <v>684</v>
      </c>
      <c r="E35" s="553" t="s">
        <v>685</v>
      </c>
      <c r="F35" s="553">
        <v>19</v>
      </c>
      <c r="G35" s="553">
        <v>2</v>
      </c>
      <c r="H35" s="555">
        <v>29100</v>
      </c>
      <c r="I35" s="553" t="s">
        <v>687</v>
      </c>
      <c r="J35" s="553">
        <v>32</v>
      </c>
    </row>
    <row r="36" spans="1:10" ht="12.75">
      <c r="A36" s="553" t="s">
        <v>681</v>
      </c>
      <c r="B36" s="553" t="s">
        <v>753</v>
      </c>
      <c r="C36" s="553" t="s">
        <v>754</v>
      </c>
      <c r="D36" s="553" t="s">
        <v>684</v>
      </c>
      <c r="E36" s="553">
        <v>10</v>
      </c>
      <c r="F36" s="553">
        <v>19</v>
      </c>
      <c r="G36" s="553">
        <v>2</v>
      </c>
      <c r="H36" s="555">
        <v>30900</v>
      </c>
      <c r="I36" s="553" t="s">
        <v>687</v>
      </c>
      <c r="J36" s="553">
        <v>32</v>
      </c>
    </row>
    <row r="37" spans="1:10" ht="12.75">
      <c r="A37" s="553" t="s">
        <v>681</v>
      </c>
      <c r="B37" s="553" t="s">
        <v>755</v>
      </c>
      <c r="C37" s="553" t="s">
        <v>756</v>
      </c>
      <c r="D37" s="553" t="s">
        <v>684</v>
      </c>
      <c r="E37" s="553">
        <v>13</v>
      </c>
      <c r="F37" s="553">
        <v>19</v>
      </c>
      <c r="G37" s="553">
        <v>2</v>
      </c>
      <c r="H37" s="555">
        <v>34500</v>
      </c>
      <c r="I37" s="553" t="s">
        <v>687</v>
      </c>
      <c r="J37" s="553">
        <v>32</v>
      </c>
    </row>
    <row r="38" spans="1:10" ht="12.75">
      <c r="A38" s="553" t="s">
        <v>681</v>
      </c>
      <c r="B38" s="553" t="s">
        <v>757</v>
      </c>
      <c r="C38" s="553" t="s">
        <v>758</v>
      </c>
      <c r="D38" s="553" t="s">
        <v>684</v>
      </c>
      <c r="E38" s="553">
        <v>16</v>
      </c>
      <c r="F38" s="553">
        <v>19</v>
      </c>
      <c r="G38" s="553">
        <v>2</v>
      </c>
      <c r="H38" s="555">
        <v>38200</v>
      </c>
      <c r="I38" s="553" t="s">
        <v>687</v>
      </c>
      <c r="J38" s="553">
        <v>28</v>
      </c>
    </row>
    <row r="39" spans="1:10" ht="12.75">
      <c r="A39" s="553" t="s">
        <v>681</v>
      </c>
      <c r="B39" s="553" t="s">
        <v>759</v>
      </c>
      <c r="C39" s="553" t="s">
        <v>760</v>
      </c>
      <c r="D39" s="553" t="s">
        <v>684</v>
      </c>
      <c r="E39" s="553">
        <v>19</v>
      </c>
      <c r="F39" s="553">
        <v>19</v>
      </c>
      <c r="G39" s="553">
        <v>2</v>
      </c>
      <c r="H39" s="555">
        <v>42700</v>
      </c>
      <c r="I39" s="553" t="s">
        <v>687</v>
      </c>
      <c r="J39" s="553">
        <v>24</v>
      </c>
    </row>
    <row r="40" spans="1:10" ht="12.75">
      <c r="A40" s="553" t="s">
        <v>681</v>
      </c>
      <c r="B40" s="553" t="s">
        <v>761</v>
      </c>
      <c r="C40" s="553" t="s">
        <v>762</v>
      </c>
      <c r="D40" s="553" t="s">
        <v>684</v>
      </c>
      <c r="E40" s="553">
        <v>22</v>
      </c>
      <c r="F40" s="553">
        <v>19</v>
      </c>
      <c r="G40" s="553">
        <v>2</v>
      </c>
      <c r="H40" s="555">
        <v>46400</v>
      </c>
      <c r="I40" s="553" t="s">
        <v>687</v>
      </c>
      <c r="J40" s="553">
        <v>20</v>
      </c>
    </row>
    <row r="41" spans="1:10" ht="12.75">
      <c r="A41" s="553" t="s">
        <v>681</v>
      </c>
      <c r="B41" s="553" t="s">
        <v>763</v>
      </c>
      <c r="C41" s="553" t="s">
        <v>764</v>
      </c>
      <c r="D41" s="553" t="s">
        <v>684</v>
      </c>
      <c r="E41" s="553">
        <v>25</v>
      </c>
      <c r="F41" s="553">
        <v>19</v>
      </c>
      <c r="G41" s="553">
        <v>2</v>
      </c>
      <c r="H41" s="555">
        <v>50900</v>
      </c>
      <c r="I41" s="553" t="s">
        <v>687</v>
      </c>
      <c r="J41" s="553">
        <v>18</v>
      </c>
    </row>
    <row r="42" spans="1:10" ht="12.75">
      <c r="A42" s="553" t="s">
        <v>681</v>
      </c>
      <c r="B42" s="553" t="s">
        <v>765</v>
      </c>
      <c r="C42" s="553" t="s">
        <v>766</v>
      </c>
      <c r="D42" s="553" t="s">
        <v>684</v>
      </c>
      <c r="E42" s="553">
        <v>28</v>
      </c>
      <c r="F42" s="553">
        <v>19</v>
      </c>
      <c r="G42" s="553">
        <v>2</v>
      </c>
      <c r="H42" s="555">
        <v>55500</v>
      </c>
      <c r="I42" s="553" t="s">
        <v>687</v>
      </c>
      <c r="J42" s="553">
        <v>18</v>
      </c>
    </row>
    <row r="43" spans="1:10" ht="12.75">
      <c r="A43" s="553" t="s">
        <v>681</v>
      </c>
      <c r="B43" s="553" t="s">
        <v>767</v>
      </c>
      <c r="C43" s="553" t="s">
        <v>768</v>
      </c>
      <c r="D43" s="553" t="s">
        <v>684</v>
      </c>
      <c r="E43" s="553">
        <v>32</v>
      </c>
      <c r="F43" s="553">
        <v>19</v>
      </c>
      <c r="G43" s="553">
        <v>2</v>
      </c>
      <c r="H43" s="555">
        <v>60900</v>
      </c>
      <c r="I43" s="553" t="s">
        <v>687</v>
      </c>
      <c r="J43" s="553">
        <v>18</v>
      </c>
    </row>
    <row r="44" spans="1:10" ht="12.75">
      <c r="A44" s="553" t="s">
        <v>681</v>
      </c>
      <c r="B44" s="553" t="s">
        <v>769</v>
      </c>
      <c r="C44" s="553" t="s">
        <v>770</v>
      </c>
      <c r="D44" s="553" t="s">
        <v>684</v>
      </c>
      <c r="E44" s="553">
        <v>35</v>
      </c>
      <c r="F44" s="553">
        <v>19</v>
      </c>
      <c r="G44" s="553">
        <v>2</v>
      </c>
      <c r="H44" s="555">
        <v>70000</v>
      </c>
      <c r="I44" s="553" t="s">
        <v>687</v>
      </c>
      <c r="J44" s="553">
        <v>16</v>
      </c>
    </row>
    <row r="45" spans="1:10" ht="12.75">
      <c r="A45" s="553" t="s">
        <v>681</v>
      </c>
      <c r="B45" s="553" t="s">
        <v>771</v>
      </c>
      <c r="C45" s="553" t="s">
        <v>772</v>
      </c>
      <c r="D45" s="553" t="s">
        <v>684</v>
      </c>
      <c r="E45" s="553">
        <v>38</v>
      </c>
      <c r="F45" s="553">
        <v>19</v>
      </c>
      <c r="G45" s="553">
        <v>2</v>
      </c>
      <c r="H45" s="555">
        <v>75000</v>
      </c>
      <c r="I45" s="553" t="s">
        <v>687</v>
      </c>
      <c r="J45" s="553"/>
    </row>
    <row r="46" spans="1:10" ht="12.75">
      <c r="A46" s="553" t="s">
        <v>681</v>
      </c>
      <c r="B46" s="553" t="s">
        <v>773</v>
      </c>
      <c r="C46" s="553" t="s">
        <v>774</v>
      </c>
      <c r="D46" s="553" t="s">
        <v>684</v>
      </c>
      <c r="E46" s="553">
        <v>42</v>
      </c>
      <c r="F46" s="553">
        <v>19</v>
      </c>
      <c r="G46" s="553">
        <v>2</v>
      </c>
      <c r="H46" s="555">
        <v>80900</v>
      </c>
      <c r="I46" s="553" t="s">
        <v>687</v>
      </c>
      <c r="J46" s="553">
        <v>12</v>
      </c>
    </row>
    <row r="47" spans="1:10" ht="12.75">
      <c r="A47" s="553" t="s">
        <v>681</v>
      </c>
      <c r="B47" s="553" t="s">
        <v>775</v>
      </c>
      <c r="C47" s="553" t="s">
        <v>776</v>
      </c>
      <c r="D47" s="553" t="s">
        <v>684</v>
      </c>
      <c r="E47" s="553">
        <v>48</v>
      </c>
      <c r="F47" s="553">
        <v>19</v>
      </c>
      <c r="G47" s="553">
        <v>2</v>
      </c>
      <c r="H47" s="555">
        <v>95000</v>
      </c>
      <c r="I47" s="553" t="s">
        <v>687</v>
      </c>
      <c r="J47" s="553">
        <v>10</v>
      </c>
    </row>
    <row r="48" spans="1:10" ht="12.75">
      <c r="A48" s="553" t="s">
        <v>681</v>
      </c>
      <c r="B48" s="553" t="s">
        <v>777</v>
      </c>
      <c r="C48" s="553" t="s">
        <v>778</v>
      </c>
      <c r="D48" s="553" t="s">
        <v>684</v>
      </c>
      <c r="E48" s="553">
        <v>54</v>
      </c>
      <c r="F48" s="553">
        <v>19</v>
      </c>
      <c r="G48" s="553">
        <v>2</v>
      </c>
      <c r="H48" s="555">
        <v>108000</v>
      </c>
      <c r="I48" s="553" t="s">
        <v>687</v>
      </c>
      <c r="J48" s="553">
        <v>8</v>
      </c>
    </row>
    <row r="49" spans="1:10" ht="12.75">
      <c r="A49" s="553" t="s">
        <v>681</v>
      </c>
      <c r="B49" s="553" t="s">
        <v>779</v>
      </c>
      <c r="C49" s="553" t="s">
        <v>780</v>
      </c>
      <c r="D49" s="553" t="s">
        <v>684</v>
      </c>
      <c r="E49" s="553">
        <v>60</v>
      </c>
      <c r="F49" s="553">
        <v>19</v>
      </c>
      <c r="G49" s="553">
        <v>2</v>
      </c>
      <c r="H49" s="555">
        <v>116000</v>
      </c>
      <c r="I49" s="553" t="s">
        <v>687</v>
      </c>
      <c r="J49" s="553">
        <v>8</v>
      </c>
    </row>
    <row r="50" spans="1:10" ht="12.75">
      <c r="A50" s="553" t="s">
        <v>681</v>
      </c>
      <c r="B50" s="553" t="s">
        <v>781</v>
      </c>
      <c r="C50" s="553" t="s">
        <v>782</v>
      </c>
      <c r="D50" s="553" t="s">
        <v>684</v>
      </c>
      <c r="E50" s="553">
        <v>67</v>
      </c>
      <c r="F50" s="553">
        <v>19</v>
      </c>
      <c r="G50" s="553">
        <v>2</v>
      </c>
      <c r="H50" s="555">
        <v>125000</v>
      </c>
      <c r="I50" s="553" t="s">
        <v>687</v>
      </c>
      <c r="J50" s="553">
        <v>8</v>
      </c>
    </row>
    <row r="51" spans="1:10" ht="12.75">
      <c r="A51" s="553" t="s">
        <v>681</v>
      </c>
      <c r="B51" s="553" t="s">
        <v>783</v>
      </c>
      <c r="C51" s="553" t="s">
        <v>784</v>
      </c>
      <c r="D51" s="553" t="s">
        <v>684</v>
      </c>
      <c r="E51" s="553">
        <v>76</v>
      </c>
      <c r="F51" s="553">
        <v>19</v>
      </c>
      <c r="G51" s="553">
        <v>2</v>
      </c>
      <c r="H51" s="555">
        <v>149000</v>
      </c>
      <c r="I51" s="553" t="s">
        <v>687</v>
      </c>
      <c r="J51" s="553">
        <v>6</v>
      </c>
    </row>
    <row r="52" spans="1:10" ht="12.75">
      <c r="A52" s="553" t="s">
        <v>681</v>
      </c>
      <c r="B52" s="553" t="s">
        <v>785</v>
      </c>
      <c r="C52" s="553" t="s">
        <v>786</v>
      </c>
      <c r="D52" s="553" t="s">
        <v>684</v>
      </c>
      <c r="E52" s="553">
        <v>90</v>
      </c>
      <c r="F52" s="553">
        <v>19</v>
      </c>
      <c r="G52" s="553">
        <v>2</v>
      </c>
      <c r="H52" s="555">
        <v>168000</v>
      </c>
      <c r="I52" s="553" t="s">
        <v>687</v>
      </c>
      <c r="J52" s="553">
        <v>6</v>
      </c>
    </row>
    <row r="53" spans="1:10" ht="12.75">
      <c r="A53" s="553" t="s">
        <v>681</v>
      </c>
      <c r="B53" s="553" t="s">
        <v>787</v>
      </c>
      <c r="C53" s="553" t="s">
        <v>788</v>
      </c>
      <c r="D53" s="553" t="s">
        <v>684</v>
      </c>
      <c r="E53" s="553">
        <v>115</v>
      </c>
      <c r="F53" s="553">
        <v>19</v>
      </c>
      <c r="G53" s="553">
        <v>2</v>
      </c>
      <c r="H53" s="555">
        <v>237000</v>
      </c>
      <c r="I53" s="553" t="s">
        <v>687</v>
      </c>
      <c r="J53" s="553">
        <v>4</v>
      </c>
    </row>
    <row r="54" spans="1:10" ht="12.75">
      <c r="A54" s="553" t="s">
        <v>681</v>
      </c>
      <c r="B54" s="553" t="s">
        <v>789</v>
      </c>
      <c r="C54" s="553" t="s">
        <v>790</v>
      </c>
      <c r="D54" s="553" t="s">
        <v>684</v>
      </c>
      <c r="E54" s="553">
        <v>140</v>
      </c>
      <c r="F54" s="553">
        <v>19</v>
      </c>
      <c r="G54" s="553">
        <v>2</v>
      </c>
      <c r="H54" s="555">
        <v>0</v>
      </c>
      <c r="I54" s="553" t="s">
        <v>687</v>
      </c>
      <c r="J54" s="553">
        <v>4</v>
      </c>
    </row>
    <row r="55" spans="1:10" ht="12.75">
      <c r="A55" s="553" t="s">
        <v>681</v>
      </c>
      <c r="B55" s="553" t="s">
        <v>791</v>
      </c>
      <c r="C55" s="553" t="s">
        <v>792</v>
      </c>
      <c r="D55" s="553" t="s">
        <v>684</v>
      </c>
      <c r="E55" s="553">
        <v>10</v>
      </c>
      <c r="F55" s="553">
        <v>25</v>
      </c>
      <c r="G55" s="553">
        <v>2</v>
      </c>
      <c r="H55" s="555">
        <v>59100</v>
      </c>
      <c r="I55" s="553" t="s">
        <v>687</v>
      </c>
      <c r="J55" s="553">
        <v>24</v>
      </c>
    </row>
    <row r="56" spans="1:10" ht="12.75">
      <c r="A56" s="553" t="s">
        <v>681</v>
      </c>
      <c r="B56" s="553" t="s">
        <v>793</v>
      </c>
      <c r="C56" s="553" t="s">
        <v>794</v>
      </c>
      <c r="D56" s="553" t="s">
        <v>684</v>
      </c>
      <c r="E56" s="553">
        <v>13</v>
      </c>
      <c r="F56" s="553">
        <v>25</v>
      </c>
      <c r="G56" s="553">
        <v>2</v>
      </c>
      <c r="H56" s="555">
        <v>65500</v>
      </c>
      <c r="I56" s="553" t="s">
        <v>687</v>
      </c>
      <c r="J56" s="553">
        <v>20</v>
      </c>
    </row>
    <row r="57" spans="1:10" ht="12.75">
      <c r="A57" s="553" t="s">
        <v>681</v>
      </c>
      <c r="B57" s="553" t="s">
        <v>795</v>
      </c>
      <c r="C57" s="553" t="s">
        <v>796</v>
      </c>
      <c r="D57" s="553" t="s">
        <v>684</v>
      </c>
      <c r="E57" s="553">
        <v>16</v>
      </c>
      <c r="F57" s="553">
        <v>25</v>
      </c>
      <c r="G57" s="553">
        <v>2</v>
      </c>
      <c r="H57" s="555">
        <v>71800</v>
      </c>
      <c r="I57" s="553" t="s">
        <v>687</v>
      </c>
      <c r="J57" s="553">
        <v>18</v>
      </c>
    </row>
    <row r="58" spans="1:10" ht="12.75">
      <c r="A58" s="553" t="s">
        <v>681</v>
      </c>
      <c r="B58" s="553" t="s">
        <v>797</v>
      </c>
      <c r="C58" s="553" t="s">
        <v>798</v>
      </c>
      <c r="D58" s="553" t="s">
        <v>684</v>
      </c>
      <c r="E58" s="553">
        <v>19</v>
      </c>
      <c r="F58" s="553">
        <v>25</v>
      </c>
      <c r="G58" s="553">
        <v>2</v>
      </c>
      <c r="H58" s="555">
        <v>76400</v>
      </c>
      <c r="I58" s="553" t="s">
        <v>687</v>
      </c>
      <c r="J58" s="553">
        <v>18</v>
      </c>
    </row>
    <row r="59" spans="1:10" ht="12.75">
      <c r="A59" s="553" t="s">
        <v>681</v>
      </c>
      <c r="B59" s="553" t="s">
        <v>799</v>
      </c>
      <c r="C59" s="553" t="s">
        <v>800</v>
      </c>
      <c r="D59" s="553" t="s">
        <v>684</v>
      </c>
      <c r="E59" s="553">
        <v>22</v>
      </c>
      <c r="F59" s="553">
        <v>25</v>
      </c>
      <c r="G59" s="553">
        <v>2</v>
      </c>
      <c r="H59" s="555">
        <v>84500</v>
      </c>
      <c r="I59" s="553" t="s">
        <v>687</v>
      </c>
      <c r="J59" s="553">
        <v>16</v>
      </c>
    </row>
    <row r="60" spans="1:10" ht="12.75">
      <c r="A60" s="553" t="s">
        <v>681</v>
      </c>
      <c r="B60" s="553" t="s">
        <v>801</v>
      </c>
      <c r="C60" s="553" t="s">
        <v>802</v>
      </c>
      <c r="D60" s="553" t="s">
        <v>684</v>
      </c>
      <c r="E60" s="553">
        <v>25</v>
      </c>
      <c r="F60" s="553">
        <v>25</v>
      </c>
      <c r="G60" s="553">
        <v>2</v>
      </c>
      <c r="H60" s="555">
        <v>93600</v>
      </c>
      <c r="I60" s="553" t="s">
        <v>687</v>
      </c>
      <c r="J60" s="553">
        <v>12</v>
      </c>
    </row>
    <row r="61" spans="1:10" ht="12.75">
      <c r="A61" s="553" t="s">
        <v>681</v>
      </c>
      <c r="B61" s="553" t="s">
        <v>803</v>
      </c>
      <c r="C61" s="553" t="s">
        <v>804</v>
      </c>
      <c r="D61" s="553" t="s">
        <v>684</v>
      </c>
      <c r="E61" s="553">
        <v>28</v>
      </c>
      <c r="F61" s="553">
        <v>25</v>
      </c>
      <c r="G61" s="553">
        <v>2</v>
      </c>
      <c r="H61" s="555">
        <v>98200</v>
      </c>
      <c r="I61" s="553" t="s">
        <v>687</v>
      </c>
      <c r="J61" s="553">
        <v>12</v>
      </c>
    </row>
    <row r="62" spans="1:10" ht="12.75">
      <c r="A62" s="553" t="s">
        <v>681</v>
      </c>
      <c r="B62" s="553" t="s">
        <v>805</v>
      </c>
      <c r="C62" s="553" t="s">
        <v>806</v>
      </c>
      <c r="D62" s="553" t="s">
        <v>684</v>
      </c>
      <c r="E62" s="553">
        <v>32</v>
      </c>
      <c r="F62" s="553">
        <v>25</v>
      </c>
      <c r="G62" s="553">
        <v>2</v>
      </c>
      <c r="H62" s="555">
        <v>105500</v>
      </c>
      <c r="I62" s="553" t="s">
        <v>687</v>
      </c>
      <c r="J62" s="553">
        <v>12</v>
      </c>
    </row>
    <row r="63" spans="1:10" ht="12.75">
      <c r="A63" s="553" t="s">
        <v>681</v>
      </c>
      <c r="B63" s="553" t="s">
        <v>807</v>
      </c>
      <c r="C63" s="553" t="s">
        <v>808</v>
      </c>
      <c r="D63" s="553" t="s">
        <v>684</v>
      </c>
      <c r="E63" s="553">
        <v>35</v>
      </c>
      <c r="F63" s="553">
        <v>25</v>
      </c>
      <c r="G63" s="553">
        <v>2</v>
      </c>
      <c r="H63" s="555">
        <v>110900</v>
      </c>
      <c r="I63" s="553" t="s">
        <v>687</v>
      </c>
      <c r="J63" s="553">
        <v>10</v>
      </c>
    </row>
    <row r="64" spans="1:10" ht="12.75">
      <c r="A64" s="553" t="s">
        <v>681</v>
      </c>
      <c r="B64" s="553" t="s">
        <v>809</v>
      </c>
      <c r="C64" s="553" t="s">
        <v>810</v>
      </c>
      <c r="D64" s="553" t="s">
        <v>684</v>
      </c>
      <c r="E64" s="553">
        <v>38</v>
      </c>
      <c r="F64" s="553">
        <v>25</v>
      </c>
      <c r="G64" s="553">
        <v>2</v>
      </c>
      <c r="H64" s="555">
        <v>118200</v>
      </c>
      <c r="I64" s="553" t="s">
        <v>687</v>
      </c>
      <c r="J64" s="553">
        <v>10</v>
      </c>
    </row>
    <row r="65" spans="1:10" ht="12.75">
      <c r="A65" s="553" t="s">
        <v>681</v>
      </c>
      <c r="B65" s="553" t="s">
        <v>811</v>
      </c>
      <c r="C65" s="553" t="s">
        <v>812</v>
      </c>
      <c r="D65" s="553" t="s">
        <v>684</v>
      </c>
      <c r="E65" s="553">
        <v>42</v>
      </c>
      <c r="F65" s="553">
        <v>25</v>
      </c>
      <c r="G65" s="553">
        <v>2</v>
      </c>
      <c r="H65" s="555">
        <v>124500</v>
      </c>
      <c r="I65" s="553" t="s">
        <v>687</v>
      </c>
      <c r="J65" s="553">
        <v>8</v>
      </c>
    </row>
    <row r="66" spans="1:10" ht="12.75">
      <c r="A66" s="553" t="s">
        <v>681</v>
      </c>
      <c r="B66" s="553" t="s">
        <v>813</v>
      </c>
      <c r="C66" s="553" t="s">
        <v>814</v>
      </c>
      <c r="D66" s="553" t="s">
        <v>684</v>
      </c>
      <c r="E66" s="553">
        <v>48</v>
      </c>
      <c r="F66" s="553">
        <v>25</v>
      </c>
      <c r="G66" s="553">
        <v>2</v>
      </c>
      <c r="H66" s="555">
        <v>130000</v>
      </c>
      <c r="I66" s="553" t="s">
        <v>687</v>
      </c>
      <c r="J66" s="553">
        <v>8</v>
      </c>
    </row>
    <row r="67" spans="1:10" ht="12.75">
      <c r="A67" s="553" t="s">
        <v>681</v>
      </c>
      <c r="B67" s="553" t="s">
        <v>815</v>
      </c>
      <c r="C67" s="553" t="s">
        <v>816</v>
      </c>
      <c r="D67" s="553" t="s">
        <v>684</v>
      </c>
      <c r="E67" s="553">
        <v>54</v>
      </c>
      <c r="F67" s="553">
        <v>25</v>
      </c>
      <c r="G67" s="553">
        <v>2</v>
      </c>
      <c r="H67" s="555">
        <v>141800</v>
      </c>
      <c r="I67" s="553" t="s">
        <v>687</v>
      </c>
      <c r="J67" s="553">
        <v>8</v>
      </c>
    </row>
    <row r="68" spans="1:10" ht="12.75">
      <c r="A68" s="553" t="s">
        <v>681</v>
      </c>
      <c r="B68" s="553" t="s">
        <v>817</v>
      </c>
      <c r="C68" s="553" t="s">
        <v>818</v>
      </c>
      <c r="D68" s="553" t="s">
        <v>684</v>
      </c>
      <c r="E68" s="553">
        <v>60</v>
      </c>
      <c r="F68" s="553">
        <v>25</v>
      </c>
      <c r="G68" s="553">
        <v>2</v>
      </c>
      <c r="H68" s="555">
        <v>170000</v>
      </c>
      <c r="I68" s="553" t="s">
        <v>687</v>
      </c>
      <c r="J68" s="553">
        <v>6</v>
      </c>
    </row>
    <row r="69" spans="1:10" ht="12.75">
      <c r="A69" s="553" t="s">
        <v>681</v>
      </c>
      <c r="B69" s="553" t="s">
        <v>819</v>
      </c>
      <c r="C69" s="553" t="s">
        <v>820</v>
      </c>
      <c r="D69" s="553" t="s">
        <v>684</v>
      </c>
      <c r="E69" s="553">
        <v>67</v>
      </c>
      <c r="F69" s="553">
        <v>25</v>
      </c>
      <c r="G69" s="553">
        <v>2</v>
      </c>
      <c r="H69" s="555">
        <v>180900</v>
      </c>
      <c r="I69" s="553" t="s">
        <v>687</v>
      </c>
      <c r="J69" s="553">
        <v>6</v>
      </c>
    </row>
    <row r="70" spans="1:10" ht="12.75">
      <c r="A70" s="553" t="s">
        <v>681</v>
      </c>
      <c r="B70" s="553" t="s">
        <v>821</v>
      </c>
      <c r="C70" s="553" t="s">
        <v>822</v>
      </c>
      <c r="D70" s="553" t="s">
        <v>684</v>
      </c>
      <c r="E70" s="553">
        <v>76</v>
      </c>
      <c r="F70" s="553">
        <v>25</v>
      </c>
      <c r="G70" s="553">
        <v>2</v>
      </c>
      <c r="H70" s="555">
        <v>217300</v>
      </c>
      <c r="I70" s="553" t="s">
        <v>687</v>
      </c>
      <c r="J70" s="553">
        <v>6</v>
      </c>
    </row>
    <row r="71" spans="1:10" ht="12.75">
      <c r="A71" s="553" t="s">
        <v>681</v>
      </c>
      <c r="B71" s="553" t="s">
        <v>823</v>
      </c>
      <c r="C71" s="553" t="s">
        <v>824</v>
      </c>
      <c r="D71" s="553" t="s">
        <v>684</v>
      </c>
      <c r="E71" s="553">
        <v>80</v>
      </c>
      <c r="F71" s="553">
        <v>25</v>
      </c>
      <c r="G71" s="553">
        <v>2</v>
      </c>
      <c r="H71" s="555">
        <v>222700</v>
      </c>
      <c r="I71" s="553" t="s">
        <v>687</v>
      </c>
      <c r="J71" s="553">
        <v>6</v>
      </c>
    </row>
    <row r="72" spans="1:10" ht="12.75">
      <c r="A72" s="553" t="s">
        <v>681</v>
      </c>
      <c r="B72" s="553" t="s">
        <v>825</v>
      </c>
      <c r="C72" s="553" t="s">
        <v>826</v>
      </c>
      <c r="D72" s="553" t="s">
        <v>684</v>
      </c>
      <c r="E72" s="553">
        <v>90</v>
      </c>
      <c r="F72" s="553">
        <v>25</v>
      </c>
      <c r="G72" s="553">
        <v>2</v>
      </c>
      <c r="H72" s="555">
        <v>236400</v>
      </c>
      <c r="I72" s="553" t="s">
        <v>687</v>
      </c>
      <c r="J72" s="553">
        <v>4</v>
      </c>
    </row>
    <row r="73" spans="1:10" ht="12.75">
      <c r="A73" s="553" t="s">
        <v>681</v>
      </c>
      <c r="B73" s="553" t="s">
        <v>827</v>
      </c>
      <c r="C73" s="553" t="s">
        <v>828</v>
      </c>
      <c r="D73" s="553" t="s">
        <v>684</v>
      </c>
      <c r="E73" s="553">
        <v>119</v>
      </c>
      <c r="F73" s="553">
        <v>25</v>
      </c>
      <c r="G73" s="553">
        <v>2</v>
      </c>
      <c r="H73" s="555">
        <v>270000</v>
      </c>
      <c r="I73" s="553" t="s">
        <v>687</v>
      </c>
      <c r="J73" s="553">
        <v>4</v>
      </c>
    </row>
    <row r="74" spans="1:10" ht="12.75">
      <c r="A74" s="553" t="s">
        <v>681</v>
      </c>
      <c r="B74" s="553" t="s">
        <v>829</v>
      </c>
      <c r="C74" s="553" t="s">
        <v>830</v>
      </c>
      <c r="D74" s="553" t="s">
        <v>684</v>
      </c>
      <c r="E74" s="553">
        <v>115</v>
      </c>
      <c r="F74" s="553">
        <v>25</v>
      </c>
      <c r="G74" s="553">
        <v>2</v>
      </c>
      <c r="H74" s="555">
        <v>280900</v>
      </c>
      <c r="I74" s="553" t="s">
        <v>687</v>
      </c>
      <c r="J74" s="553">
        <v>4</v>
      </c>
    </row>
    <row r="75" spans="1:10" ht="12.75">
      <c r="A75" s="553" t="s">
        <v>681</v>
      </c>
      <c r="B75" s="553" t="s">
        <v>831</v>
      </c>
      <c r="C75" s="553" t="s">
        <v>832</v>
      </c>
      <c r="D75" s="553" t="s">
        <v>684</v>
      </c>
      <c r="E75" s="553">
        <v>140</v>
      </c>
      <c r="F75" s="553">
        <v>25</v>
      </c>
      <c r="G75" s="553">
        <v>2</v>
      </c>
      <c r="H75" s="555">
        <v>352700</v>
      </c>
      <c r="I75" s="553" t="s">
        <v>687</v>
      </c>
      <c r="J75" s="553">
        <v>2</v>
      </c>
    </row>
    <row r="76" spans="1:10" ht="12.75">
      <c r="A76" s="553" t="s">
        <v>681</v>
      </c>
      <c r="B76" s="553" t="s">
        <v>833</v>
      </c>
      <c r="C76" s="553" t="s">
        <v>834</v>
      </c>
      <c r="D76" s="553" t="s">
        <v>684</v>
      </c>
      <c r="E76" s="553">
        <v>13</v>
      </c>
      <c r="F76" s="553">
        <v>32</v>
      </c>
      <c r="G76" s="553">
        <v>2</v>
      </c>
      <c r="H76" s="555">
        <v>105500</v>
      </c>
      <c r="I76" s="553" t="s">
        <v>687</v>
      </c>
      <c r="J76" s="553">
        <v>14</v>
      </c>
    </row>
    <row r="77" spans="1:10" ht="12.75">
      <c r="A77" s="553" t="s">
        <v>681</v>
      </c>
      <c r="B77" s="553" t="s">
        <v>835</v>
      </c>
      <c r="C77" s="553" t="s">
        <v>836</v>
      </c>
      <c r="D77" s="553" t="s">
        <v>684</v>
      </c>
      <c r="E77" s="553">
        <v>16</v>
      </c>
      <c r="F77" s="553">
        <v>32</v>
      </c>
      <c r="G77" s="553">
        <v>2</v>
      </c>
      <c r="H77" s="555">
        <v>110900</v>
      </c>
      <c r="I77" s="553" t="s">
        <v>687</v>
      </c>
      <c r="J77" s="553">
        <v>14</v>
      </c>
    </row>
    <row r="78" spans="1:10" ht="12.75">
      <c r="A78" s="553" t="s">
        <v>681</v>
      </c>
      <c r="B78" s="553" t="s">
        <v>837</v>
      </c>
      <c r="C78" s="553" t="s">
        <v>838</v>
      </c>
      <c r="D78" s="553" t="s">
        <v>684</v>
      </c>
      <c r="E78" s="553">
        <v>19</v>
      </c>
      <c r="F78" s="553">
        <v>32</v>
      </c>
      <c r="G78" s="553">
        <v>2</v>
      </c>
      <c r="H78" s="555">
        <v>116400</v>
      </c>
      <c r="I78" s="553" t="s">
        <v>687</v>
      </c>
      <c r="J78" s="553">
        <v>12</v>
      </c>
    </row>
    <row r="79" spans="1:10" ht="12.75">
      <c r="A79" s="553" t="s">
        <v>681</v>
      </c>
      <c r="B79" s="553" t="s">
        <v>839</v>
      </c>
      <c r="C79" s="553" t="s">
        <v>840</v>
      </c>
      <c r="D79" s="553" t="s">
        <v>684</v>
      </c>
      <c r="E79" s="553">
        <v>22</v>
      </c>
      <c r="F79" s="553">
        <v>32</v>
      </c>
      <c r="G79" s="553">
        <v>2</v>
      </c>
      <c r="H79" s="555">
        <v>121800</v>
      </c>
      <c r="I79" s="553" t="s">
        <v>687</v>
      </c>
      <c r="J79" s="553">
        <v>12</v>
      </c>
    </row>
    <row r="80" spans="1:10" ht="12.75">
      <c r="A80" s="553" t="s">
        <v>681</v>
      </c>
      <c r="B80" s="553" t="s">
        <v>841</v>
      </c>
      <c r="C80" s="553" t="s">
        <v>842</v>
      </c>
      <c r="D80" s="553" t="s">
        <v>684</v>
      </c>
      <c r="E80" s="553">
        <v>25</v>
      </c>
      <c r="F80" s="553">
        <v>32</v>
      </c>
      <c r="G80" s="553">
        <v>2</v>
      </c>
      <c r="H80" s="555">
        <v>124500</v>
      </c>
      <c r="I80" s="553" t="s">
        <v>687</v>
      </c>
      <c r="J80" s="553">
        <v>10</v>
      </c>
    </row>
    <row r="81" spans="1:10" ht="12.75">
      <c r="A81" s="553" t="s">
        <v>681</v>
      </c>
      <c r="B81" s="553" t="s">
        <v>843</v>
      </c>
      <c r="C81" s="553" t="s">
        <v>844</v>
      </c>
      <c r="D81" s="553" t="s">
        <v>684</v>
      </c>
      <c r="E81" s="553">
        <v>28</v>
      </c>
      <c r="F81" s="553">
        <v>32</v>
      </c>
      <c r="G81" s="553">
        <v>2</v>
      </c>
      <c r="H81" s="555">
        <v>134500</v>
      </c>
      <c r="I81" s="553" t="s">
        <v>687</v>
      </c>
      <c r="J81" s="553">
        <v>8</v>
      </c>
    </row>
    <row r="82" spans="1:10" ht="12.75">
      <c r="A82" s="553" t="s">
        <v>681</v>
      </c>
      <c r="B82" s="553" t="s">
        <v>845</v>
      </c>
      <c r="C82" s="553" t="s">
        <v>846</v>
      </c>
      <c r="D82" s="553" t="s">
        <v>684</v>
      </c>
      <c r="E82" s="553">
        <v>32</v>
      </c>
      <c r="F82" s="553">
        <v>32</v>
      </c>
      <c r="G82" s="553">
        <v>2</v>
      </c>
      <c r="H82" s="555">
        <v>148200</v>
      </c>
      <c r="I82" s="553" t="s">
        <v>687</v>
      </c>
      <c r="J82" s="553">
        <v>8</v>
      </c>
    </row>
    <row r="83" spans="1:10" ht="12.75">
      <c r="A83" s="553" t="s">
        <v>681</v>
      </c>
      <c r="B83" s="553" t="s">
        <v>847</v>
      </c>
      <c r="C83" s="553" t="s">
        <v>848</v>
      </c>
      <c r="D83" s="553" t="s">
        <v>684</v>
      </c>
      <c r="E83" s="553">
        <v>35</v>
      </c>
      <c r="F83" s="553">
        <v>32</v>
      </c>
      <c r="G83" s="553">
        <v>2</v>
      </c>
      <c r="H83" s="555">
        <v>150000</v>
      </c>
      <c r="I83" s="553" t="s">
        <v>687</v>
      </c>
      <c r="J83" s="553">
        <v>8</v>
      </c>
    </row>
    <row r="84" spans="1:10" ht="12.75">
      <c r="A84" s="553" t="s">
        <v>681</v>
      </c>
      <c r="B84" s="553" t="s">
        <v>849</v>
      </c>
      <c r="C84" s="553" t="s">
        <v>850</v>
      </c>
      <c r="D84" s="553" t="s">
        <v>684</v>
      </c>
      <c r="E84" s="553">
        <v>42</v>
      </c>
      <c r="F84" s="553">
        <v>32</v>
      </c>
      <c r="G84" s="553">
        <v>2</v>
      </c>
      <c r="H84" s="555">
        <v>178200</v>
      </c>
      <c r="I84" s="553" t="s">
        <v>687</v>
      </c>
      <c r="J84" s="553">
        <v>8</v>
      </c>
    </row>
    <row r="85" spans="1:10" ht="12.75">
      <c r="A85" s="553" t="s">
        <v>681</v>
      </c>
      <c r="B85" s="553" t="s">
        <v>851</v>
      </c>
      <c r="C85" s="553" t="s">
        <v>852</v>
      </c>
      <c r="D85" s="553" t="s">
        <v>684</v>
      </c>
      <c r="E85" s="553">
        <v>48</v>
      </c>
      <c r="F85" s="553">
        <v>32</v>
      </c>
      <c r="G85" s="553">
        <v>2</v>
      </c>
      <c r="H85" s="555">
        <v>190000</v>
      </c>
      <c r="I85" s="553" t="s">
        <v>687</v>
      </c>
      <c r="J85" s="553">
        <v>6</v>
      </c>
    </row>
    <row r="86" spans="1:10" ht="12.75">
      <c r="A86" s="553" t="s">
        <v>681</v>
      </c>
      <c r="B86" s="553" t="s">
        <v>853</v>
      </c>
      <c r="C86" s="553" t="s">
        <v>854</v>
      </c>
      <c r="D86" s="553" t="s">
        <v>684</v>
      </c>
      <c r="E86" s="553">
        <v>54</v>
      </c>
      <c r="F86" s="553">
        <v>32</v>
      </c>
      <c r="G86" s="553">
        <v>2</v>
      </c>
      <c r="H86" s="555">
        <v>205500</v>
      </c>
      <c r="I86" s="553" t="s">
        <v>687</v>
      </c>
      <c r="J86" s="553">
        <v>6</v>
      </c>
    </row>
    <row r="87" spans="1:10" ht="12.75">
      <c r="A87" s="553" t="s">
        <v>681</v>
      </c>
      <c r="B87" s="553" t="s">
        <v>855</v>
      </c>
      <c r="C87" s="553" t="s">
        <v>856</v>
      </c>
      <c r="D87" s="553" t="s">
        <v>684</v>
      </c>
      <c r="E87" s="553">
        <v>60</v>
      </c>
      <c r="F87" s="553">
        <v>32</v>
      </c>
      <c r="G87" s="553">
        <v>2</v>
      </c>
      <c r="H87" s="555">
        <v>218200</v>
      </c>
      <c r="I87" s="553" t="s">
        <v>687</v>
      </c>
      <c r="J87" s="553">
        <v>4</v>
      </c>
    </row>
    <row r="88" spans="1:10" ht="12.75">
      <c r="A88" s="553" t="s">
        <v>681</v>
      </c>
      <c r="B88" s="553" t="s">
        <v>857</v>
      </c>
      <c r="C88" s="553" t="s">
        <v>858</v>
      </c>
      <c r="D88" s="553" t="s">
        <v>684</v>
      </c>
      <c r="E88" s="553">
        <v>67</v>
      </c>
      <c r="F88" s="553">
        <v>32</v>
      </c>
      <c r="G88" s="553">
        <v>2</v>
      </c>
      <c r="H88" s="555">
        <v>243600</v>
      </c>
      <c r="I88" s="553" t="s">
        <v>687</v>
      </c>
      <c r="J88" s="553">
        <v>4</v>
      </c>
    </row>
    <row r="89" spans="1:10" ht="12.75">
      <c r="A89" s="553" t="s">
        <v>681</v>
      </c>
      <c r="B89" s="553" t="s">
        <v>859</v>
      </c>
      <c r="C89" s="553" t="s">
        <v>860</v>
      </c>
      <c r="D89" s="553" t="s">
        <v>684</v>
      </c>
      <c r="E89" s="553">
        <v>76</v>
      </c>
      <c r="F89" s="553">
        <v>32</v>
      </c>
      <c r="G89" s="553">
        <v>2</v>
      </c>
      <c r="H89" s="555">
        <v>282700</v>
      </c>
      <c r="I89" s="553" t="s">
        <v>687</v>
      </c>
      <c r="J89" s="553">
        <v>4</v>
      </c>
    </row>
    <row r="90" spans="1:10" ht="12.75">
      <c r="A90" s="553" t="s">
        <v>681</v>
      </c>
      <c r="B90" s="553" t="s">
        <v>861</v>
      </c>
      <c r="C90" s="553" t="s">
        <v>862</v>
      </c>
      <c r="D90" s="553" t="s">
        <v>684</v>
      </c>
      <c r="E90" s="553">
        <v>80</v>
      </c>
      <c r="F90" s="553">
        <v>32</v>
      </c>
      <c r="G90" s="553">
        <v>2</v>
      </c>
      <c r="H90" s="555">
        <v>290900</v>
      </c>
      <c r="I90" s="553" t="s">
        <v>687</v>
      </c>
      <c r="J90" s="553">
        <v>4</v>
      </c>
    </row>
    <row r="91" spans="1:10" ht="12.75">
      <c r="A91" s="553" t="s">
        <v>681</v>
      </c>
      <c r="B91" s="553" t="s">
        <v>863</v>
      </c>
      <c r="C91" s="553" t="s">
        <v>864</v>
      </c>
      <c r="D91" s="553" t="s">
        <v>684</v>
      </c>
      <c r="E91" s="553">
        <v>90</v>
      </c>
      <c r="F91" s="553">
        <v>32</v>
      </c>
      <c r="G91" s="553">
        <v>2</v>
      </c>
      <c r="H91" s="555">
        <v>307300</v>
      </c>
      <c r="I91" s="553" t="s">
        <v>687</v>
      </c>
      <c r="J91" s="553">
        <v>4</v>
      </c>
    </row>
    <row r="92" spans="1:10" ht="12.75">
      <c r="A92" s="553" t="s">
        <v>681</v>
      </c>
      <c r="B92" s="553" t="s">
        <v>865</v>
      </c>
      <c r="C92" s="553" t="s">
        <v>866</v>
      </c>
      <c r="D92" s="553" t="s">
        <v>684</v>
      </c>
      <c r="E92" s="553">
        <v>109</v>
      </c>
      <c r="F92" s="553">
        <v>32</v>
      </c>
      <c r="G92" s="553">
        <v>2</v>
      </c>
      <c r="H92" s="555">
        <v>404500</v>
      </c>
      <c r="I92" s="553" t="s">
        <v>687</v>
      </c>
      <c r="J92" s="553">
        <v>2</v>
      </c>
    </row>
    <row r="93" spans="1:10" ht="12.75">
      <c r="A93" s="553" t="s">
        <v>681</v>
      </c>
      <c r="B93" s="553" t="s">
        <v>867</v>
      </c>
      <c r="C93" s="553" t="s">
        <v>868</v>
      </c>
      <c r="D93" s="553" t="s">
        <v>684</v>
      </c>
      <c r="E93" s="553">
        <v>115</v>
      </c>
      <c r="F93" s="553">
        <v>32</v>
      </c>
      <c r="G93" s="553">
        <v>2</v>
      </c>
      <c r="H93" s="555">
        <v>416400</v>
      </c>
      <c r="I93" s="553" t="s">
        <v>687</v>
      </c>
      <c r="J93" s="553">
        <v>2</v>
      </c>
    </row>
    <row r="94" spans="1:10" ht="12.75">
      <c r="A94" s="553" t="s">
        <v>681</v>
      </c>
      <c r="B94" s="553" t="s">
        <v>869</v>
      </c>
      <c r="C94" s="553" t="s">
        <v>870</v>
      </c>
      <c r="D94" s="553" t="s">
        <v>684</v>
      </c>
      <c r="E94" s="553">
        <v>140</v>
      </c>
      <c r="F94" s="553">
        <v>32</v>
      </c>
      <c r="G94" s="553">
        <v>2</v>
      </c>
      <c r="H94" s="555">
        <v>477300</v>
      </c>
      <c r="I94" s="553" t="s">
        <v>687</v>
      </c>
      <c r="J94" s="553">
        <v>2</v>
      </c>
    </row>
    <row r="95" spans="1:10" ht="12.75">
      <c r="A95" s="553" t="s">
        <v>681</v>
      </c>
      <c r="B95" s="553" t="s">
        <v>871</v>
      </c>
      <c r="C95" s="553" t="s">
        <v>872</v>
      </c>
      <c r="D95" s="553" t="s">
        <v>684</v>
      </c>
      <c r="E95" s="553">
        <v>168</v>
      </c>
      <c r="F95" s="553">
        <v>32</v>
      </c>
      <c r="G95" s="553">
        <v>2</v>
      </c>
      <c r="H95" s="555">
        <v>0</v>
      </c>
      <c r="I95" s="553" t="s">
        <v>687</v>
      </c>
      <c r="J95" s="553"/>
    </row>
    <row r="96" spans="1:10" ht="12.75">
      <c r="A96" s="553" t="s">
        <v>681</v>
      </c>
      <c r="B96" s="553" t="s">
        <v>873</v>
      </c>
      <c r="C96" s="553" t="s">
        <v>874</v>
      </c>
      <c r="D96" s="553" t="s">
        <v>684</v>
      </c>
      <c r="E96" s="553">
        <v>16</v>
      </c>
      <c r="F96" s="553">
        <v>38</v>
      </c>
      <c r="G96" s="553">
        <v>2</v>
      </c>
      <c r="H96" s="555">
        <v>147300</v>
      </c>
      <c r="I96" s="553" t="s">
        <v>687</v>
      </c>
      <c r="J96" s="553">
        <v>8</v>
      </c>
    </row>
    <row r="97" spans="1:10" ht="12.75">
      <c r="A97" s="553" t="s">
        <v>681</v>
      </c>
      <c r="B97" s="553" t="s">
        <v>875</v>
      </c>
      <c r="C97" s="553" t="s">
        <v>876</v>
      </c>
      <c r="D97" s="553" t="s">
        <v>684</v>
      </c>
      <c r="E97" s="553">
        <v>19</v>
      </c>
      <c r="F97" s="553">
        <v>38</v>
      </c>
      <c r="G97" s="553">
        <v>2</v>
      </c>
      <c r="H97" s="555">
        <v>156400</v>
      </c>
      <c r="I97" s="553" t="s">
        <v>687</v>
      </c>
      <c r="J97" s="553">
        <v>8</v>
      </c>
    </row>
    <row r="98" spans="1:10" ht="12.75">
      <c r="A98" s="553" t="s">
        <v>681</v>
      </c>
      <c r="B98" s="553" t="s">
        <v>877</v>
      </c>
      <c r="C98" s="553" t="s">
        <v>878</v>
      </c>
      <c r="D98" s="553" t="s">
        <v>684</v>
      </c>
      <c r="E98" s="553">
        <v>22</v>
      </c>
      <c r="F98" s="553">
        <v>38</v>
      </c>
      <c r="G98" s="553">
        <v>2</v>
      </c>
      <c r="H98" s="555">
        <v>168200</v>
      </c>
      <c r="I98" s="553" t="s">
        <v>687</v>
      </c>
      <c r="J98" s="553">
        <v>8</v>
      </c>
    </row>
    <row r="99" spans="1:10" ht="12.75">
      <c r="A99" s="553" t="s">
        <v>681</v>
      </c>
      <c r="B99" s="553" t="s">
        <v>879</v>
      </c>
      <c r="C99" s="553" t="s">
        <v>880</v>
      </c>
      <c r="D99" s="553" t="s">
        <v>684</v>
      </c>
      <c r="E99" s="553">
        <v>25</v>
      </c>
      <c r="F99" s="553">
        <v>38</v>
      </c>
      <c r="G99" s="553">
        <v>2</v>
      </c>
      <c r="H99" s="555">
        <v>181800</v>
      </c>
      <c r="I99" s="553" t="s">
        <v>687</v>
      </c>
      <c r="J99" s="553">
        <v>8</v>
      </c>
    </row>
    <row r="100" spans="1:10" ht="12.75">
      <c r="A100" s="553" t="s">
        <v>681</v>
      </c>
      <c r="B100" s="553" t="s">
        <v>881</v>
      </c>
      <c r="C100" s="553" t="s">
        <v>882</v>
      </c>
      <c r="D100" s="553" t="s">
        <v>684</v>
      </c>
      <c r="E100" s="553">
        <v>28</v>
      </c>
      <c r="F100" s="553">
        <v>38</v>
      </c>
      <c r="G100" s="553">
        <v>2</v>
      </c>
      <c r="H100" s="555">
        <v>203600</v>
      </c>
      <c r="I100" s="553" t="s">
        <v>687</v>
      </c>
      <c r="J100" s="553">
        <v>8</v>
      </c>
    </row>
    <row r="101" spans="1:10" ht="12.75">
      <c r="A101" s="553" t="s">
        <v>681</v>
      </c>
      <c r="B101" s="553" t="s">
        <v>883</v>
      </c>
      <c r="C101" s="553" t="s">
        <v>884</v>
      </c>
      <c r="D101" s="553" t="s">
        <v>684</v>
      </c>
      <c r="E101" s="553">
        <v>32</v>
      </c>
      <c r="F101" s="553">
        <v>38</v>
      </c>
      <c r="G101" s="553">
        <v>2</v>
      </c>
      <c r="H101" s="555">
        <v>207300</v>
      </c>
      <c r="I101" s="553" t="s">
        <v>687</v>
      </c>
      <c r="J101" s="553">
        <v>8</v>
      </c>
    </row>
    <row r="102" spans="1:10" ht="12.75">
      <c r="A102" s="553" t="s">
        <v>681</v>
      </c>
      <c r="B102" s="553" t="s">
        <v>885</v>
      </c>
      <c r="C102" s="553" t="s">
        <v>886</v>
      </c>
      <c r="D102" s="553" t="s">
        <v>684</v>
      </c>
      <c r="E102" s="553">
        <v>35</v>
      </c>
      <c r="F102" s="553">
        <v>38</v>
      </c>
      <c r="G102" s="553">
        <v>2</v>
      </c>
      <c r="H102" s="555">
        <v>211800</v>
      </c>
      <c r="I102" s="553" t="s">
        <v>687</v>
      </c>
      <c r="J102" s="553">
        <v>6</v>
      </c>
    </row>
    <row r="103" spans="1:10" ht="12.75">
      <c r="A103" s="553" t="s">
        <v>681</v>
      </c>
      <c r="B103" s="553" t="s">
        <v>887</v>
      </c>
      <c r="C103" s="553" t="s">
        <v>888</v>
      </c>
      <c r="D103" s="553" t="s">
        <v>684</v>
      </c>
      <c r="E103" s="553">
        <v>42</v>
      </c>
      <c r="F103" s="553">
        <v>38</v>
      </c>
      <c r="G103" s="553">
        <v>2</v>
      </c>
      <c r="H103" s="555">
        <v>223600</v>
      </c>
      <c r="I103" s="553" t="s">
        <v>687</v>
      </c>
      <c r="J103" s="553">
        <v>6</v>
      </c>
    </row>
    <row r="104" spans="1:10" ht="12.75">
      <c r="A104" s="553" t="s">
        <v>681</v>
      </c>
      <c r="B104" s="553" t="s">
        <v>889</v>
      </c>
      <c r="C104" s="553" t="s">
        <v>890</v>
      </c>
      <c r="D104" s="553" t="s">
        <v>684</v>
      </c>
      <c r="E104" s="553">
        <v>48</v>
      </c>
      <c r="F104" s="553">
        <v>38</v>
      </c>
      <c r="G104" s="553">
        <v>2</v>
      </c>
      <c r="H104" s="555">
        <v>229100</v>
      </c>
      <c r="I104" s="553" t="s">
        <v>687</v>
      </c>
      <c r="J104" s="553">
        <v>6</v>
      </c>
    </row>
    <row r="105" spans="1:10" ht="12.75">
      <c r="A105" s="553" t="s">
        <v>681</v>
      </c>
      <c r="B105" s="553" t="s">
        <v>891</v>
      </c>
      <c r="C105" s="553" t="s">
        <v>892</v>
      </c>
      <c r="D105" s="553" t="s">
        <v>684</v>
      </c>
      <c r="E105" s="553">
        <v>54</v>
      </c>
      <c r="F105" s="553">
        <v>38</v>
      </c>
      <c r="G105" s="553">
        <v>2</v>
      </c>
      <c r="H105" s="555">
        <v>257300</v>
      </c>
      <c r="I105" s="553" t="s">
        <v>687</v>
      </c>
      <c r="J105" s="553">
        <v>4</v>
      </c>
    </row>
    <row r="106" spans="1:10" ht="12.75">
      <c r="A106" s="553" t="s">
        <v>681</v>
      </c>
      <c r="B106" s="553" t="s">
        <v>893</v>
      </c>
      <c r="C106" s="553" t="s">
        <v>894</v>
      </c>
      <c r="D106" s="553" t="s">
        <v>684</v>
      </c>
      <c r="E106" s="553">
        <v>60</v>
      </c>
      <c r="F106" s="553">
        <v>38</v>
      </c>
      <c r="G106" s="553">
        <v>2</v>
      </c>
      <c r="H106" s="555">
        <v>272700</v>
      </c>
      <c r="I106" s="553" t="s">
        <v>687</v>
      </c>
      <c r="J106" s="553">
        <v>4</v>
      </c>
    </row>
    <row r="107" spans="1:10" ht="12.75">
      <c r="A107" s="553" t="s">
        <v>681</v>
      </c>
      <c r="B107" s="553" t="s">
        <v>895</v>
      </c>
      <c r="C107" s="553" t="s">
        <v>896</v>
      </c>
      <c r="D107" s="553" t="s">
        <v>684</v>
      </c>
      <c r="E107" s="553">
        <v>67</v>
      </c>
      <c r="F107" s="553">
        <v>38</v>
      </c>
      <c r="G107" s="553">
        <v>2</v>
      </c>
      <c r="H107" s="555">
        <v>291800</v>
      </c>
      <c r="I107" s="553" t="s">
        <v>687</v>
      </c>
      <c r="J107" s="553">
        <v>4</v>
      </c>
    </row>
    <row r="108" spans="1:10" ht="12.75">
      <c r="A108" s="553" t="s">
        <v>681</v>
      </c>
      <c r="B108" s="553" t="s">
        <v>897</v>
      </c>
      <c r="C108" s="553" t="s">
        <v>898</v>
      </c>
      <c r="D108" s="553" t="s">
        <v>684</v>
      </c>
      <c r="E108" s="553">
        <v>76</v>
      </c>
      <c r="F108" s="553">
        <v>38</v>
      </c>
      <c r="G108" s="553">
        <v>2</v>
      </c>
      <c r="H108" s="555">
        <v>339100</v>
      </c>
      <c r="I108" s="553" t="s">
        <v>687</v>
      </c>
      <c r="J108" s="553">
        <v>3</v>
      </c>
    </row>
    <row r="109" spans="1:10" ht="12.75">
      <c r="A109" s="553" t="s">
        <v>681</v>
      </c>
      <c r="B109" s="553" t="s">
        <v>899</v>
      </c>
      <c r="C109" s="553" t="s">
        <v>900</v>
      </c>
      <c r="D109" s="553" t="s">
        <v>684</v>
      </c>
      <c r="E109" s="553">
        <v>90</v>
      </c>
      <c r="F109" s="553">
        <v>38</v>
      </c>
      <c r="G109" s="553">
        <v>2</v>
      </c>
      <c r="H109" s="555">
        <v>378200</v>
      </c>
      <c r="I109" s="553" t="s">
        <v>687</v>
      </c>
      <c r="J109" s="553">
        <v>3</v>
      </c>
    </row>
    <row r="110" spans="1:10" ht="12.75">
      <c r="A110" s="553" t="s">
        <v>681</v>
      </c>
      <c r="B110" s="553" t="s">
        <v>901</v>
      </c>
      <c r="C110" s="553" t="s">
        <v>902</v>
      </c>
      <c r="D110" s="553" t="s">
        <v>684</v>
      </c>
      <c r="E110" s="553">
        <v>109</v>
      </c>
      <c r="F110" s="553">
        <v>38</v>
      </c>
      <c r="G110" s="553">
        <v>2</v>
      </c>
      <c r="H110" s="555">
        <v>466400</v>
      </c>
      <c r="I110" s="553" t="s">
        <v>687</v>
      </c>
      <c r="J110" s="553">
        <v>2</v>
      </c>
    </row>
    <row r="111" spans="1:10" ht="12.75">
      <c r="A111" s="553" t="s">
        <v>681</v>
      </c>
      <c r="B111" s="553" t="s">
        <v>903</v>
      </c>
      <c r="C111" s="553" t="s">
        <v>904</v>
      </c>
      <c r="D111" s="553" t="s">
        <v>684</v>
      </c>
      <c r="E111" s="553">
        <v>115</v>
      </c>
      <c r="F111" s="553">
        <v>38</v>
      </c>
      <c r="G111" s="553">
        <v>2</v>
      </c>
      <c r="H111" s="555">
        <v>484500</v>
      </c>
      <c r="I111" s="553" t="s">
        <v>687</v>
      </c>
      <c r="J111" s="553">
        <v>2</v>
      </c>
    </row>
    <row r="112" spans="1:10" ht="12.75">
      <c r="A112" s="553" t="s">
        <v>681</v>
      </c>
      <c r="B112" s="553" t="s">
        <v>905</v>
      </c>
      <c r="C112" s="553" t="s">
        <v>906</v>
      </c>
      <c r="D112" s="553" t="s">
        <v>684</v>
      </c>
      <c r="E112" s="553">
        <v>140</v>
      </c>
      <c r="F112" s="553">
        <v>38</v>
      </c>
      <c r="G112" s="553">
        <v>2</v>
      </c>
      <c r="H112" s="555">
        <v>565500</v>
      </c>
      <c r="I112" s="553" t="s">
        <v>687</v>
      </c>
      <c r="J112" s="553">
        <v>2</v>
      </c>
    </row>
    <row r="113" spans="1:10" ht="12.75">
      <c r="A113" s="553" t="s">
        <v>681</v>
      </c>
      <c r="B113" s="553" t="s">
        <v>907</v>
      </c>
      <c r="C113" s="553" t="s">
        <v>908</v>
      </c>
      <c r="D113" s="553" t="s">
        <v>684</v>
      </c>
      <c r="E113" s="553">
        <v>168</v>
      </c>
      <c r="F113" s="553">
        <v>38</v>
      </c>
      <c r="G113" s="553">
        <v>2</v>
      </c>
      <c r="H113" s="555">
        <v>0</v>
      </c>
      <c r="I113" s="553" t="s">
        <v>687</v>
      </c>
      <c r="J113" s="553">
        <v>2</v>
      </c>
    </row>
    <row r="114" spans="1:10" ht="12.75">
      <c r="A114" s="553" t="s">
        <v>681</v>
      </c>
      <c r="B114" s="553" t="s">
        <v>909</v>
      </c>
      <c r="C114" s="553" t="s">
        <v>910</v>
      </c>
      <c r="D114" s="553" t="s">
        <v>684</v>
      </c>
      <c r="E114" s="553">
        <v>19</v>
      </c>
      <c r="F114" s="553">
        <v>50</v>
      </c>
      <c r="G114" s="553">
        <v>2</v>
      </c>
      <c r="H114" s="555">
        <v>247300</v>
      </c>
      <c r="I114" s="553" t="s">
        <v>687</v>
      </c>
      <c r="J114" s="553">
        <v>4</v>
      </c>
    </row>
    <row r="115" spans="1:10" ht="12.75">
      <c r="A115" s="553" t="s">
        <v>681</v>
      </c>
      <c r="B115" s="553" t="s">
        <v>911</v>
      </c>
      <c r="C115" s="553" t="s">
        <v>912</v>
      </c>
      <c r="D115" s="553" t="s">
        <v>684</v>
      </c>
      <c r="E115" s="553">
        <v>22</v>
      </c>
      <c r="F115" s="553">
        <v>50</v>
      </c>
      <c r="G115" s="553">
        <v>2</v>
      </c>
      <c r="H115" s="555">
        <v>250900</v>
      </c>
      <c r="I115" s="553" t="s">
        <v>687</v>
      </c>
      <c r="J115" s="553">
        <v>4</v>
      </c>
    </row>
    <row r="116" spans="1:10" ht="12.75">
      <c r="A116" s="553" t="s">
        <v>681</v>
      </c>
      <c r="B116" s="553" t="s">
        <v>913</v>
      </c>
      <c r="C116" s="553" t="s">
        <v>914</v>
      </c>
      <c r="D116" s="553" t="s">
        <v>684</v>
      </c>
      <c r="E116" s="553">
        <v>25</v>
      </c>
      <c r="F116" s="553">
        <v>50</v>
      </c>
      <c r="G116" s="553">
        <v>2</v>
      </c>
      <c r="H116" s="555">
        <v>291800</v>
      </c>
      <c r="I116" s="553" t="s">
        <v>687</v>
      </c>
      <c r="J116" s="553">
        <v>4</v>
      </c>
    </row>
    <row r="117" spans="1:10" ht="12.75">
      <c r="A117" s="553" t="s">
        <v>681</v>
      </c>
      <c r="B117" s="553" t="s">
        <v>915</v>
      </c>
      <c r="C117" s="553" t="s">
        <v>916</v>
      </c>
      <c r="D117" s="553" t="s">
        <v>684</v>
      </c>
      <c r="E117" s="553">
        <v>28</v>
      </c>
      <c r="F117" s="553">
        <v>50</v>
      </c>
      <c r="G117" s="553">
        <v>2</v>
      </c>
      <c r="H117" s="555">
        <v>308200</v>
      </c>
      <c r="I117" s="553" t="s">
        <v>687</v>
      </c>
      <c r="J117" s="553">
        <v>4</v>
      </c>
    </row>
    <row r="118" spans="1:10" ht="12.75">
      <c r="A118" s="553" t="s">
        <v>681</v>
      </c>
      <c r="B118" s="553" t="s">
        <v>917</v>
      </c>
      <c r="C118" s="553" t="s">
        <v>918</v>
      </c>
      <c r="D118" s="553" t="s">
        <v>684</v>
      </c>
      <c r="E118" s="553">
        <v>32</v>
      </c>
      <c r="F118" s="553">
        <v>50</v>
      </c>
      <c r="G118" s="553">
        <v>2</v>
      </c>
      <c r="H118" s="555">
        <v>316400</v>
      </c>
      <c r="I118" s="553" t="s">
        <v>687</v>
      </c>
      <c r="J118" s="553">
        <v>4</v>
      </c>
    </row>
    <row r="119" spans="1:10" ht="12.75">
      <c r="A119" s="553" t="s">
        <v>681</v>
      </c>
      <c r="B119" s="553" t="s">
        <v>919</v>
      </c>
      <c r="C119" s="553" t="s">
        <v>920</v>
      </c>
      <c r="D119" s="553" t="s">
        <v>684</v>
      </c>
      <c r="E119" s="553">
        <v>35</v>
      </c>
      <c r="F119" s="553">
        <v>50</v>
      </c>
      <c r="G119" s="553">
        <v>2</v>
      </c>
      <c r="H119" s="555">
        <v>323600</v>
      </c>
      <c r="I119" s="553" t="s">
        <v>687</v>
      </c>
      <c r="J119" s="553">
        <v>4</v>
      </c>
    </row>
    <row r="120" spans="1:10" ht="12.75">
      <c r="A120" s="553" t="s">
        <v>681</v>
      </c>
      <c r="B120" s="553" t="s">
        <v>921</v>
      </c>
      <c r="C120" s="553" t="s">
        <v>922</v>
      </c>
      <c r="D120" s="553" t="s">
        <v>684</v>
      </c>
      <c r="E120" s="553">
        <v>42</v>
      </c>
      <c r="F120" s="553">
        <v>50</v>
      </c>
      <c r="G120" s="553">
        <v>2</v>
      </c>
      <c r="H120" s="555">
        <v>340000</v>
      </c>
      <c r="I120" s="553" t="s">
        <v>687</v>
      </c>
      <c r="J120" s="553">
        <v>4</v>
      </c>
    </row>
    <row r="121" spans="1:10" ht="12.75">
      <c r="A121" s="553" t="s">
        <v>681</v>
      </c>
      <c r="B121" s="553" t="s">
        <v>923</v>
      </c>
      <c r="C121" s="553" t="s">
        <v>924</v>
      </c>
      <c r="D121" s="553" t="s">
        <v>684</v>
      </c>
      <c r="E121" s="553">
        <v>48</v>
      </c>
      <c r="F121" s="553">
        <v>50</v>
      </c>
      <c r="G121" s="553">
        <v>2</v>
      </c>
      <c r="H121" s="555">
        <v>372700</v>
      </c>
      <c r="I121" s="553" t="s">
        <v>687</v>
      </c>
      <c r="J121" s="553">
        <v>3</v>
      </c>
    </row>
    <row r="122" spans="1:10" ht="12.75">
      <c r="A122" s="553" t="s">
        <v>681</v>
      </c>
      <c r="B122" s="553" t="s">
        <v>925</v>
      </c>
      <c r="C122" s="553" t="s">
        <v>926</v>
      </c>
      <c r="D122" s="553" t="s">
        <v>684</v>
      </c>
      <c r="E122" s="553">
        <v>54</v>
      </c>
      <c r="F122" s="553">
        <v>50</v>
      </c>
      <c r="G122" s="553">
        <v>2</v>
      </c>
      <c r="H122" s="555">
        <v>427300</v>
      </c>
      <c r="I122" s="553" t="s">
        <v>687</v>
      </c>
      <c r="J122" s="553">
        <v>3</v>
      </c>
    </row>
    <row r="123" spans="1:10" ht="12.75">
      <c r="A123" s="553" t="s">
        <v>681</v>
      </c>
      <c r="B123" s="553" t="s">
        <v>927</v>
      </c>
      <c r="C123" s="553" t="s">
        <v>928</v>
      </c>
      <c r="D123" s="553" t="s">
        <v>684</v>
      </c>
      <c r="E123" s="553">
        <v>60</v>
      </c>
      <c r="F123" s="553">
        <v>50</v>
      </c>
      <c r="G123" s="553">
        <v>2</v>
      </c>
      <c r="H123" s="555">
        <v>462700</v>
      </c>
      <c r="I123" s="553" t="s">
        <v>687</v>
      </c>
      <c r="J123" s="553">
        <v>3</v>
      </c>
    </row>
    <row r="124" spans="1:10" ht="12.75">
      <c r="A124" s="553" t="s">
        <v>681</v>
      </c>
      <c r="B124" s="553" t="s">
        <v>929</v>
      </c>
      <c r="C124" s="553" t="s">
        <v>930</v>
      </c>
      <c r="D124" s="553" t="s">
        <v>684</v>
      </c>
      <c r="E124" s="553">
        <v>67</v>
      </c>
      <c r="F124" s="553">
        <v>50</v>
      </c>
      <c r="G124" s="553">
        <v>2</v>
      </c>
      <c r="H124" s="555">
        <v>478200</v>
      </c>
      <c r="I124" s="553" t="s">
        <v>687</v>
      </c>
      <c r="J124" s="553">
        <v>3</v>
      </c>
    </row>
    <row r="125" spans="1:10" ht="12.75">
      <c r="A125" s="553" t="s">
        <v>681</v>
      </c>
      <c r="B125" s="553" t="s">
        <v>931</v>
      </c>
      <c r="C125" s="553" t="s">
        <v>932</v>
      </c>
      <c r="D125" s="553" t="s">
        <v>684</v>
      </c>
      <c r="E125" s="553">
        <v>76</v>
      </c>
      <c r="F125" s="553">
        <v>50</v>
      </c>
      <c r="G125" s="553">
        <v>2</v>
      </c>
      <c r="H125" s="555">
        <v>557300</v>
      </c>
      <c r="I125" s="553" t="s">
        <v>687</v>
      </c>
      <c r="J125" s="553">
        <v>2</v>
      </c>
    </row>
    <row r="126" spans="1:10" ht="12.75">
      <c r="A126" s="553" t="s">
        <v>681</v>
      </c>
      <c r="B126" s="553" t="s">
        <v>933</v>
      </c>
      <c r="C126" s="553" t="s">
        <v>934</v>
      </c>
      <c r="D126" s="553" t="s">
        <v>684</v>
      </c>
      <c r="E126" s="553">
        <v>90</v>
      </c>
      <c r="F126" s="553">
        <v>50</v>
      </c>
      <c r="G126" s="553">
        <v>2</v>
      </c>
      <c r="H126" s="555">
        <v>721800</v>
      </c>
      <c r="I126" s="553" t="s">
        <v>687</v>
      </c>
      <c r="J126" s="553">
        <v>2</v>
      </c>
    </row>
    <row r="127" spans="1:10" ht="12.75">
      <c r="A127" s="553" t="s">
        <v>681</v>
      </c>
      <c r="B127" s="553" t="s">
        <v>935</v>
      </c>
      <c r="C127" s="553" t="s">
        <v>936</v>
      </c>
      <c r="D127" s="553" t="s">
        <v>684</v>
      </c>
      <c r="E127" s="553">
        <v>109</v>
      </c>
      <c r="F127" s="553">
        <v>50</v>
      </c>
      <c r="G127" s="553">
        <v>2</v>
      </c>
      <c r="H127" s="555">
        <v>814500</v>
      </c>
      <c r="I127" s="553" t="s">
        <v>687</v>
      </c>
      <c r="J127" s="553">
        <v>2</v>
      </c>
    </row>
    <row r="128" spans="1:10" ht="12.75">
      <c r="A128" s="553" t="s">
        <v>681</v>
      </c>
      <c r="B128" s="553" t="s">
        <v>937</v>
      </c>
      <c r="C128" s="553" t="s">
        <v>938</v>
      </c>
      <c r="D128" s="553" t="s">
        <v>684</v>
      </c>
      <c r="E128" s="553">
        <v>115</v>
      </c>
      <c r="F128" s="553">
        <v>50</v>
      </c>
      <c r="G128" s="553">
        <v>2</v>
      </c>
      <c r="H128" s="555">
        <v>853600</v>
      </c>
      <c r="I128" s="553" t="s">
        <v>687</v>
      </c>
      <c r="J128" s="553">
        <v>2</v>
      </c>
    </row>
    <row r="129" spans="1:10" ht="12.75">
      <c r="A129" s="553" t="s">
        <v>681</v>
      </c>
      <c r="B129" s="553" t="s">
        <v>939</v>
      </c>
      <c r="C129" s="553" t="s">
        <v>940</v>
      </c>
      <c r="D129" s="553" t="s">
        <v>684</v>
      </c>
      <c r="E129" s="553">
        <v>140</v>
      </c>
      <c r="F129" s="553">
        <v>50</v>
      </c>
      <c r="G129" s="553">
        <v>2</v>
      </c>
      <c r="H129" s="555">
        <v>963600</v>
      </c>
      <c r="I129" s="553" t="s">
        <v>687</v>
      </c>
      <c r="J129" s="553">
        <v>2</v>
      </c>
    </row>
    <row r="130" spans="1:10" ht="12.75">
      <c r="A130" s="553" t="s">
        <v>681</v>
      </c>
      <c r="B130" s="553" t="s">
        <v>941</v>
      </c>
      <c r="C130" s="553" t="s">
        <v>942</v>
      </c>
      <c r="D130" s="553" t="s">
        <v>684</v>
      </c>
      <c r="E130" s="553">
        <v>168</v>
      </c>
      <c r="F130" s="553">
        <v>50</v>
      </c>
      <c r="G130" s="553">
        <v>2</v>
      </c>
      <c r="H130" s="555">
        <v>0</v>
      </c>
      <c r="I130" s="553" t="s">
        <v>687</v>
      </c>
      <c r="J130" s="553">
        <v>2</v>
      </c>
    </row>
    <row r="131" spans="1:10" ht="12.75">
      <c r="A131" s="553" t="s">
        <v>943</v>
      </c>
      <c r="B131" s="553" t="s">
        <v>944</v>
      </c>
      <c r="C131" s="553" t="s">
        <v>945</v>
      </c>
      <c r="D131" s="553" t="s">
        <v>684</v>
      </c>
      <c r="E131" s="553" t="s">
        <v>685</v>
      </c>
      <c r="F131" s="554" t="s">
        <v>686</v>
      </c>
      <c r="G131" s="553">
        <v>2</v>
      </c>
      <c r="H131" s="555">
        <v>11800</v>
      </c>
      <c r="I131" s="553" t="s">
        <v>687</v>
      </c>
      <c r="J131" s="553">
        <v>132</v>
      </c>
    </row>
    <row r="132" spans="1:10" ht="12.75">
      <c r="A132" s="553" t="s">
        <v>943</v>
      </c>
      <c r="B132" s="553" t="s">
        <v>946</v>
      </c>
      <c r="C132" s="553" t="s">
        <v>947</v>
      </c>
      <c r="D132" s="553" t="s">
        <v>684</v>
      </c>
      <c r="E132" s="553">
        <v>10</v>
      </c>
      <c r="F132" s="554" t="s">
        <v>686</v>
      </c>
      <c r="G132" s="553">
        <v>2</v>
      </c>
      <c r="H132" s="555">
        <v>13900</v>
      </c>
      <c r="I132" s="553" t="s">
        <v>687</v>
      </c>
      <c r="J132" s="553">
        <v>110</v>
      </c>
    </row>
    <row r="133" spans="1:10" ht="12.75">
      <c r="A133" s="553" t="s">
        <v>943</v>
      </c>
      <c r="B133" s="553" t="s">
        <v>948</v>
      </c>
      <c r="C133" s="553" t="s">
        <v>949</v>
      </c>
      <c r="D133" s="553" t="s">
        <v>684</v>
      </c>
      <c r="E133" s="553">
        <v>13</v>
      </c>
      <c r="F133" s="554" t="s">
        <v>686</v>
      </c>
      <c r="G133" s="553">
        <v>2</v>
      </c>
      <c r="H133" s="555">
        <v>17000</v>
      </c>
      <c r="I133" s="553" t="s">
        <v>687</v>
      </c>
      <c r="J133" s="553">
        <v>84</v>
      </c>
    </row>
    <row r="134" spans="1:10" ht="12.75">
      <c r="A134" s="553" t="s">
        <v>943</v>
      </c>
      <c r="B134" s="553" t="s">
        <v>950</v>
      </c>
      <c r="C134" s="553" t="s">
        <v>951</v>
      </c>
      <c r="D134" s="553" t="s">
        <v>684</v>
      </c>
      <c r="E134" s="553">
        <v>16</v>
      </c>
      <c r="F134" s="554" t="s">
        <v>686</v>
      </c>
      <c r="G134" s="553">
        <v>2</v>
      </c>
      <c r="H134" s="555">
        <v>19000</v>
      </c>
      <c r="I134" s="553" t="s">
        <v>687</v>
      </c>
      <c r="J134" s="553">
        <v>70</v>
      </c>
    </row>
    <row r="135" spans="1:10" ht="12.75">
      <c r="A135" s="553" t="s">
        <v>943</v>
      </c>
      <c r="B135" s="553" t="s">
        <v>952</v>
      </c>
      <c r="C135" s="553" t="s">
        <v>953</v>
      </c>
      <c r="D135" s="553" t="s">
        <v>684</v>
      </c>
      <c r="E135" s="553">
        <v>19</v>
      </c>
      <c r="F135" s="554" t="s">
        <v>686</v>
      </c>
      <c r="G135" s="553">
        <v>2</v>
      </c>
      <c r="H135" s="555">
        <v>21000</v>
      </c>
      <c r="I135" s="553" t="s">
        <v>687</v>
      </c>
      <c r="J135" s="553">
        <v>60</v>
      </c>
    </row>
    <row r="136" spans="1:10" ht="12.75">
      <c r="A136" s="553" t="s">
        <v>943</v>
      </c>
      <c r="B136" s="553" t="s">
        <v>954</v>
      </c>
      <c r="C136" s="553" t="s">
        <v>955</v>
      </c>
      <c r="D136" s="553" t="s">
        <v>684</v>
      </c>
      <c r="E136" s="553">
        <v>22</v>
      </c>
      <c r="F136" s="554" t="s">
        <v>686</v>
      </c>
      <c r="G136" s="553">
        <v>2</v>
      </c>
      <c r="H136" s="555">
        <v>21900</v>
      </c>
      <c r="I136" s="553" t="s">
        <v>687</v>
      </c>
      <c r="J136" s="553">
        <v>54</v>
      </c>
    </row>
    <row r="137" spans="1:10" ht="12.75">
      <c r="A137" s="553" t="s">
        <v>943</v>
      </c>
      <c r="B137" s="553" t="s">
        <v>956</v>
      </c>
      <c r="C137" s="553" t="s">
        <v>957</v>
      </c>
      <c r="D137" s="553" t="s">
        <v>684</v>
      </c>
      <c r="E137" s="553">
        <v>25</v>
      </c>
      <c r="F137" s="554" t="s">
        <v>686</v>
      </c>
      <c r="G137" s="553">
        <v>2</v>
      </c>
      <c r="H137" s="555">
        <v>21900</v>
      </c>
      <c r="I137" s="553" t="s">
        <v>687</v>
      </c>
      <c r="J137" s="553">
        <v>44</v>
      </c>
    </row>
    <row r="138" spans="1:10" ht="12.75">
      <c r="A138" s="553" t="s">
        <v>943</v>
      </c>
      <c r="B138" s="553" t="s">
        <v>958</v>
      </c>
      <c r="C138" s="553" t="s">
        <v>959</v>
      </c>
      <c r="D138" s="553" t="s">
        <v>684</v>
      </c>
      <c r="E138" s="553">
        <v>28</v>
      </c>
      <c r="F138" s="554" t="s">
        <v>686</v>
      </c>
      <c r="G138" s="553">
        <v>2</v>
      </c>
      <c r="H138" s="555">
        <v>25800</v>
      </c>
      <c r="I138" s="553" t="s">
        <v>687</v>
      </c>
      <c r="J138" s="553">
        <v>36</v>
      </c>
    </row>
    <row r="139" spans="1:10" ht="12.75">
      <c r="A139" s="553" t="s">
        <v>943</v>
      </c>
      <c r="B139" s="553" t="s">
        <v>960</v>
      </c>
      <c r="C139" s="553" t="s">
        <v>961</v>
      </c>
      <c r="D139" s="553" t="s">
        <v>684</v>
      </c>
      <c r="E139" s="553">
        <v>32</v>
      </c>
      <c r="F139" s="554" t="s">
        <v>686</v>
      </c>
      <c r="G139" s="553">
        <v>2</v>
      </c>
      <c r="H139" s="555">
        <v>29800</v>
      </c>
      <c r="I139" s="553" t="s">
        <v>687</v>
      </c>
      <c r="J139" s="553">
        <v>34</v>
      </c>
    </row>
    <row r="140" spans="1:10" ht="12.75">
      <c r="A140" s="553" t="s">
        <v>943</v>
      </c>
      <c r="B140" s="553" t="s">
        <v>962</v>
      </c>
      <c r="C140" s="553" t="s">
        <v>963</v>
      </c>
      <c r="D140" s="553" t="s">
        <v>684</v>
      </c>
      <c r="E140" s="553">
        <v>35</v>
      </c>
      <c r="F140" s="554" t="s">
        <v>686</v>
      </c>
      <c r="G140" s="553">
        <v>2</v>
      </c>
      <c r="H140" s="555">
        <v>32900</v>
      </c>
      <c r="I140" s="553" t="s">
        <v>687</v>
      </c>
      <c r="J140" s="553">
        <v>32</v>
      </c>
    </row>
    <row r="141" spans="1:10" ht="12.75">
      <c r="A141" s="553" t="s">
        <v>943</v>
      </c>
      <c r="B141" s="553" t="s">
        <v>964</v>
      </c>
      <c r="C141" s="553" t="s">
        <v>965</v>
      </c>
      <c r="D141" s="553" t="s">
        <v>684</v>
      </c>
      <c r="E141" s="553">
        <v>42</v>
      </c>
      <c r="F141" s="554" t="s">
        <v>686</v>
      </c>
      <c r="G141" s="553">
        <v>2</v>
      </c>
      <c r="H141" s="555">
        <v>40000</v>
      </c>
      <c r="I141" s="553" t="s">
        <v>687</v>
      </c>
      <c r="J141" s="553">
        <v>28</v>
      </c>
    </row>
    <row r="142" spans="1:10" ht="12.75">
      <c r="A142" s="553" t="s">
        <v>943</v>
      </c>
      <c r="B142" s="553" t="s">
        <v>966</v>
      </c>
      <c r="C142" s="553" t="s">
        <v>967</v>
      </c>
      <c r="D142" s="553" t="s">
        <v>684</v>
      </c>
      <c r="E142" s="553">
        <v>48</v>
      </c>
      <c r="F142" s="554" t="s">
        <v>686</v>
      </c>
      <c r="G142" s="553">
        <v>2</v>
      </c>
      <c r="H142" s="555">
        <v>42600</v>
      </c>
      <c r="I142" s="553" t="s">
        <v>687</v>
      </c>
      <c r="J142" s="553">
        <v>20</v>
      </c>
    </row>
    <row r="143" spans="1:10" ht="12.75">
      <c r="A143" s="553" t="s">
        <v>943</v>
      </c>
      <c r="B143" s="553" t="s">
        <v>968</v>
      </c>
      <c r="C143" s="553" t="s">
        <v>969</v>
      </c>
      <c r="D143" s="553" t="s">
        <v>684</v>
      </c>
      <c r="E143" s="553">
        <v>54</v>
      </c>
      <c r="F143" s="554" t="s">
        <v>686</v>
      </c>
      <c r="G143" s="553">
        <v>2</v>
      </c>
      <c r="H143" s="555">
        <v>48300</v>
      </c>
      <c r="I143" s="553" t="s">
        <v>687</v>
      </c>
      <c r="J143" s="553">
        <v>18</v>
      </c>
    </row>
    <row r="144" spans="1:10" ht="12.75">
      <c r="A144" s="553" t="s">
        <v>943</v>
      </c>
      <c r="B144" s="553" t="s">
        <v>970</v>
      </c>
      <c r="C144" s="553" t="s">
        <v>971</v>
      </c>
      <c r="D144" s="553" t="s">
        <v>684</v>
      </c>
      <c r="E144" s="553">
        <v>60</v>
      </c>
      <c r="F144" s="554" t="s">
        <v>686</v>
      </c>
      <c r="G144" s="553">
        <v>2</v>
      </c>
      <c r="H144" s="555">
        <v>56500</v>
      </c>
      <c r="I144" s="553" t="s">
        <v>687</v>
      </c>
      <c r="J144" s="553">
        <v>18</v>
      </c>
    </row>
    <row r="145" spans="1:10" ht="12.75">
      <c r="A145" s="553" t="s">
        <v>943</v>
      </c>
      <c r="B145" s="553" t="s">
        <v>972</v>
      </c>
      <c r="C145" s="553" t="s">
        <v>973</v>
      </c>
      <c r="D145" s="553" t="s">
        <v>684</v>
      </c>
      <c r="E145" s="553" t="s">
        <v>685</v>
      </c>
      <c r="F145" s="553">
        <v>13</v>
      </c>
      <c r="G145" s="553">
        <v>2</v>
      </c>
      <c r="H145" s="555">
        <v>18000</v>
      </c>
      <c r="I145" s="553" t="s">
        <v>687</v>
      </c>
      <c r="J145" s="553">
        <v>80</v>
      </c>
    </row>
    <row r="146" spans="1:10" ht="12.75">
      <c r="A146" s="553" t="s">
        <v>943</v>
      </c>
      <c r="B146" s="553" t="s">
        <v>974</v>
      </c>
      <c r="C146" s="553" t="s">
        <v>975</v>
      </c>
      <c r="D146" s="553" t="s">
        <v>684</v>
      </c>
      <c r="E146" s="553">
        <v>10</v>
      </c>
      <c r="F146" s="553">
        <v>13</v>
      </c>
      <c r="G146" s="553">
        <v>2</v>
      </c>
      <c r="H146" s="555">
        <v>20000</v>
      </c>
      <c r="I146" s="553" t="s">
        <v>687</v>
      </c>
      <c r="J146" s="553">
        <v>70</v>
      </c>
    </row>
    <row r="147" spans="1:10" ht="12.75">
      <c r="A147" s="553" t="s">
        <v>943</v>
      </c>
      <c r="B147" s="553" t="s">
        <v>976</v>
      </c>
      <c r="C147" s="553" t="s">
        <v>977</v>
      </c>
      <c r="D147" s="553" t="s">
        <v>684</v>
      </c>
      <c r="E147" s="553">
        <v>13</v>
      </c>
      <c r="F147" s="553">
        <v>13</v>
      </c>
      <c r="G147" s="553">
        <v>2</v>
      </c>
      <c r="H147" s="555">
        <v>21000</v>
      </c>
      <c r="I147" s="553" t="s">
        <v>687</v>
      </c>
      <c r="J147" s="553">
        <v>60</v>
      </c>
    </row>
    <row r="148" spans="1:10" ht="12.75">
      <c r="A148" s="553" t="s">
        <v>943</v>
      </c>
      <c r="B148" s="553" t="s">
        <v>978</v>
      </c>
      <c r="C148" s="553" t="s">
        <v>979</v>
      </c>
      <c r="D148" s="553" t="s">
        <v>684</v>
      </c>
      <c r="E148" s="553">
        <v>16</v>
      </c>
      <c r="F148" s="553">
        <v>13</v>
      </c>
      <c r="G148" s="553">
        <v>2</v>
      </c>
      <c r="H148" s="555">
        <v>23000</v>
      </c>
      <c r="I148" s="553" t="s">
        <v>687</v>
      </c>
      <c r="J148" s="553">
        <v>50</v>
      </c>
    </row>
    <row r="149" spans="1:10" ht="12.75">
      <c r="A149" s="553" t="s">
        <v>943</v>
      </c>
      <c r="B149" s="553" t="s">
        <v>980</v>
      </c>
      <c r="C149" s="553" t="s">
        <v>981</v>
      </c>
      <c r="D149" s="553" t="s">
        <v>684</v>
      </c>
      <c r="E149" s="553">
        <v>19</v>
      </c>
      <c r="F149" s="553">
        <v>13</v>
      </c>
      <c r="G149" s="553">
        <v>2</v>
      </c>
      <c r="H149" s="555">
        <v>28000</v>
      </c>
      <c r="I149" s="553" t="s">
        <v>687</v>
      </c>
      <c r="J149" s="553">
        <v>40</v>
      </c>
    </row>
    <row r="150" spans="1:10" ht="12.75">
      <c r="A150" s="553" t="s">
        <v>943</v>
      </c>
      <c r="B150" s="553" t="s">
        <v>982</v>
      </c>
      <c r="C150" s="553" t="s">
        <v>983</v>
      </c>
      <c r="D150" s="553" t="s">
        <v>684</v>
      </c>
      <c r="E150" s="553">
        <v>22</v>
      </c>
      <c r="F150" s="553">
        <v>13</v>
      </c>
      <c r="G150" s="553">
        <v>2</v>
      </c>
      <c r="H150" s="555">
        <v>30000</v>
      </c>
      <c r="I150" s="553" t="s">
        <v>687</v>
      </c>
      <c r="J150" s="553">
        <v>32</v>
      </c>
    </row>
    <row r="151" spans="1:10" ht="12.75">
      <c r="A151" s="553" t="s">
        <v>943</v>
      </c>
      <c r="B151" s="553" t="s">
        <v>984</v>
      </c>
      <c r="C151" s="553" t="s">
        <v>985</v>
      </c>
      <c r="D151" s="553" t="s">
        <v>684</v>
      </c>
      <c r="E151" s="553">
        <v>25</v>
      </c>
      <c r="F151" s="553">
        <v>13</v>
      </c>
      <c r="G151" s="553">
        <v>2</v>
      </c>
      <c r="H151" s="555">
        <v>34000</v>
      </c>
      <c r="I151" s="553" t="s">
        <v>687</v>
      </c>
      <c r="J151" s="553">
        <v>30</v>
      </c>
    </row>
    <row r="152" spans="1:10" ht="12.75">
      <c r="A152" s="553" t="s">
        <v>943</v>
      </c>
      <c r="B152" s="553" t="s">
        <v>986</v>
      </c>
      <c r="C152" s="553" t="s">
        <v>987</v>
      </c>
      <c r="D152" s="553" t="s">
        <v>684</v>
      </c>
      <c r="E152" s="553">
        <v>28</v>
      </c>
      <c r="F152" s="553">
        <v>13</v>
      </c>
      <c r="G152" s="553">
        <v>2</v>
      </c>
      <c r="H152" s="555">
        <v>35000</v>
      </c>
      <c r="I152" s="553" t="s">
        <v>687</v>
      </c>
      <c r="J152" s="553">
        <v>28</v>
      </c>
    </row>
    <row r="153" spans="1:10" ht="12.75">
      <c r="A153" s="553" t="s">
        <v>943</v>
      </c>
      <c r="B153" s="553" t="s">
        <v>988</v>
      </c>
      <c r="C153" s="553" t="s">
        <v>989</v>
      </c>
      <c r="D153" s="553" t="s">
        <v>684</v>
      </c>
      <c r="E153" s="553">
        <v>32</v>
      </c>
      <c r="F153" s="553">
        <v>13</v>
      </c>
      <c r="G153" s="553">
        <v>2</v>
      </c>
      <c r="H153" s="555">
        <v>41000</v>
      </c>
      <c r="I153" s="553" t="s">
        <v>687</v>
      </c>
      <c r="J153" s="553">
        <v>24</v>
      </c>
    </row>
    <row r="154" spans="1:10" ht="12.75">
      <c r="A154" s="553" t="s">
        <v>943</v>
      </c>
      <c r="B154" s="553" t="s">
        <v>990</v>
      </c>
      <c r="C154" s="553" t="s">
        <v>991</v>
      </c>
      <c r="D154" s="553" t="s">
        <v>684</v>
      </c>
      <c r="E154" s="553">
        <v>35</v>
      </c>
      <c r="F154" s="553">
        <v>13</v>
      </c>
      <c r="G154" s="553">
        <v>2</v>
      </c>
      <c r="H154" s="555">
        <v>42000</v>
      </c>
      <c r="I154" s="553" t="s">
        <v>687</v>
      </c>
      <c r="J154" s="553">
        <v>20</v>
      </c>
    </row>
    <row r="155" spans="1:10" ht="12.75">
      <c r="A155" s="553" t="s">
        <v>943</v>
      </c>
      <c r="B155" s="553" t="s">
        <v>992</v>
      </c>
      <c r="C155" s="553" t="s">
        <v>993</v>
      </c>
      <c r="D155" s="553" t="s">
        <v>684</v>
      </c>
      <c r="E155" s="553">
        <v>42</v>
      </c>
      <c r="F155" s="553">
        <v>13</v>
      </c>
      <c r="G155" s="553">
        <v>2</v>
      </c>
      <c r="H155" s="555">
        <v>54000</v>
      </c>
      <c r="I155" s="553" t="s">
        <v>687</v>
      </c>
      <c r="J155" s="553">
        <v>18</v>
      </c>
    </row>
    <row r="156" spans="1:10" ht="12.75">
      <c r="A156" s="553" t="s">
        <v>943</v>
      </c>
      <c r="B156" s="553" t="s">
        <v>994</v>
      </c>
      <c r="C156" s="553" t="s">
        <v>995</v>
      </c>
      <c r="D156" s="553" t="s">
        <v>684</v>
      </c>
      <c r="E156" s="553">
        <v>48</v>
      </c>
      <c r="F156" s="553">
        <v>13</v>
      </c>
      <c r="G156" s="553">
        <v>2</v>
      </c>
      <c r="H156" s="555">
        <v>59000</v>
      </c>
      <c r="I156" s="553" t="s">
        <v>687</v>
      </c>
      <c r="J156" s="553">
        <v>16</v>
      </c>
    </row>
    <row r="157" spans="1:10" ht="12.75">
      <c r="A157" s="553" t="s">
        <v>943</v>
      </c>
      <c r="B157" s="553" t="s">
        <v>996</v>
      </c>
      <c r="C157" s="553" t="s">
        <v>997</v>
      </c>
      <c r="D157" s="553" t="s">
        <v>684</v>
      </c>
      <c r="E157" s="553">
        <v>54</v>
      </c>
      <c r="F157" s="553">
        <v>13</v>
      </c>
      <c r="G157" s="553">
        <v>2</v>
      </c>
      <c r="H157" s="555">
        <v>62000</v>
      </c>
      <c r="I157" s="553" t="s">
        <v>687</v>
      </c>
      <c r="J157" s="553">
        <v>14</v>
      </c>
    </row>
    <row r="158" spans="1:10" ht="12.75">
      <c r="A158" s="553" t="s">
        <v>943</v>
      </c>
      <c r="B158" s="553" t="s">
        <v>998</v>
      </c>
      <c r="C158" s="553" t="s">
        <v>999</v>
      </c>
      <c r="D158" s="553" t="s">
        <v>684</v>
      </c>
      <c r="E158" s="553">
        <v>60</v>
      </c>
      <c r="F158" s="553">
        <v>13</v>
      </c>
      <c r="G158" s="553">
        <v>2</v>
      </c>
      <c r="H158" s="555">
        <v>68000</v>
      </c>
      <c r="I158" s="553" t="s">
        <v>687</v>
      </c>
      <c r="J158" s="553">
        <v>12</v>
      </c>
    </row>
    <row r="159" spans="1:10" ht="12.75">
      <c r="A159" s="553" t="s">
        <v>943</v>
      </c>
      <c r="B159" s="553" t="s">
        <v>1000</v>
      </c>
      <c r="C159" s="553" t="s">
        <v>1001</v>
      </c>
      <c r="D159" s="553" t="s">
        <v>684</v>
      </c>
      <c r="E159" s="553">
        <v>67</v>
      </c>
      <c r="F159" s="553">
        <v>13</v>
      </c>
      <c r="G159" s="553">
        <v>2</v>
      </c>
      <c r="H159" s="555">
        <v>95000</v>
      </c>
      <c r="I159" s="553" t="s">
        <v>687</v>
      </c>
      <c r="J159" s="553">
        <v>10</v>
      </c>
    </row>
    <row r="160" spans="1:10" ht="12.75">
      <c r="A160" s="553" t="s">
        <v>943</v>
      </c>
      <c r="B160" s="553" t="s">
        <v>1002</v>
      </c>
      <c r="C160" s="553" t="s">
        <v>1003</v>
      </c>
      <c r="D160" s="553" t="s">
        <v>684</v>
      </c>
      <c r="E160" s="553">
        <v>76</v>
      </c>
      <c r="F160" s="553">
        <v>13</v>
      </c>
      <c r="G160" s="553">
        <v>2</v>
      </c>
      <c r="H160" s="555">
        <v>111300</v>
      </c>
      <c r="I160" s="553" t="s">
        <v>687</v>
      </c>
      <c r="J160" s="553">
        <v>8</v>
      </c>
    </row>
    <row r="161" spans="1:10" ht="12.75">
      <c r="A161" s="553" t="s">
        <v>943</v>
      </c>
      <c r="B161" s="553" t="s">
        <v>1004</v>
      </c>
      <c r="C161" s="553" t="s">
        <v>1005</v>
      </c>
      <c r="D161" s="553" t="s">
        <v>684</v>
      </c>
      <c r="E161" s="553">
        <v>90</v>
      </c>
      <c r="F161" s="553">
        <v>13</v>
      </c>
      <c r="G161" s="553">
        <v>2</v>
      </c>
      <c r="H161" s="555">
        <v>133400</v>
      </c>
      <c r="I161" s="553" t="s">
        <v>687</v>
      </c>
      <c r="J161" s="553">
        <v>8</v>
      </c>
    </row>
    <row r="162" spans="1:10" ht="12.75">
      <c r="A162" s="553" t="s">
        <v>943</v>
      </c>
      <c r="B162" s="553" t="s">
        <v>1006</v>
      </c>
      <c r="C162" s="553" t="s">
        <v>1007</v>
      </c>
      <c r="D162" s="553" t="s">
        <v>684</v>
      </c>
      <c r="E162" s="553">
        <v>115</v>
      </c>
      <c r="F162" s="553">
        <v>13</v>
      </c>
      <c r="G162" s="553">
        <v>2</v>
      </c>
      <c r="H162" s="555">
        <v>163300</v>
      </c>
      <c r="I162" s="553" t="s">
        <v>687</v>
      </c>
      <c r="J162" s="553">
        <v>6</v>
      </c>
    </row>
    <row r="163" spans="1:10" ht="12.75">
      <c r="A163" s="553" t="s">
        <v>943</v>
      </c>
      <c r="B163" s="553" t="s">
        <v>1008</v>
      </c>
      <c r="C163" s="553" t="s">
        <v>1009</v>
      </c>
      <c r="D163" s="553" t="s">
        <v>684</v>
      </c>
      <c r="E163" s="553" t="s">
        <v>685</v>
      </c>
      <c r="F163" s="553">
        <v>19</v>
      </c>
      <c r="G163" s="553">
        <v>2</v>
      </c>
      <c r="H163" s="555">
        <v>32000</v>
      </c>
      <c r="I163" s="553" t="s">
        <v>687</v>
      </c>
      <c r="J163" s="553">
        <v>32</v>
      </c>
    </row>
    <row r="164" spans="1:10" ht="12.75">
      <c r="A164" s="553" t="s">
        <v>943</v>
      </c>
      <c r="B164" s="553" t="s">
        <v>1010</v>
      </c>
      <c r="C164" s="553" t="s">
        <v>1011</v>
      </c>
      <c r="D164" s="553" t="s">
        <v>684</v>
      </c>
      <c r="E164" s="553">
        <v>10</v>
      </c>
      <c r="F164" s="553">
        <v>19</v>
      </c>
      <c r="G164" s="553">
        <v>2</v>
      </c>
      <c r="H164" s="555">
        <v>34000</v>
      </c>
      <c r="I164" s="553" t="s">
        <v>687</v>
      </c>
      <c r="J164" s="553">
        <v>32</v>
      </c>
    </row>
    <row r="165" spans="1:10" ht="12.75">
      <c r="A165" s="553" t="s">
        <v>943</v>
      </c>
      <c r="B165" s="553" t="s">
        <v>1012</v>
      </c>
      <c r="C165" s="553" t="s">
        <v>1013</v>
      </c>
      <c r="D165" s="553" t="s">
        <v>684</v>
      </c>
      <c r="E165" s="553">
        <v>13</v>
      </c>
      <c r="F165" s="553">
        <v>19</v>
      </c>
      <c r="G165" s="553">
        <v>2</v>
      </c>
      <c r="H165" s="555">
        <v>38000</v>
      </c>
      <c r="I165" s="553" t="s">
        <v>687</v>
      </c>
      <c r="J165" s="553">
        <v>32</v>
      </c>
    </row>
    <row r="166" spans="1:10" ht="12.75">
      <c r="A166" s="553" t="s">
        <v>943</v>
      </c>
      <c r="B166" s="553" t="s">
        <v>1014</v>
      </c>
      <c r="C166" s="553" t="s">
        <v>1015</v>
      </c>
      <c r="D166" s="553" t="s">
        <v>684</v>
      </c>
      <c r="E166" s="553">
        <v>16</v>
      </c>
      <c r="F166" s="553">
        <v>19</v>
      </c>
      <c r="G166" s="553">
        <v>2</v>
      </c>
      <c r="H166" s="555">
        <v>42000</v>
      </c>
      <c r="I166" s="553" t="s">
        <v>687</v>
      </c>
      <c r="J166" s="553">
        <v>28</v>
      </c>
    </row>
    <row r="167" spans="1:10" ht="12.75">
      <c r="A167" s="553" t="s">
        <v>943</v>
      </c>
      <c r="B167" s="553" t="s">
        <v>1016</v>
      </c>
      <c r="C167" s="553" t="s">
        <v>1017</v>
      </c>
      <c r="D167" s="553" t="s">
        <v>684</v>
      </c>
      <c r="E167" s="553">
        <v>19</v>
      </c>
      <c r="F167" s="553">
        <v>19</v>
      </c>
      <c r="G167" s="553">
        <v>2</v>
      </c>
      <c r="H167" s="555">
        <v>47000</v>
      </c>
      <c r="I167" s="553" t="s">
        <v>687</v>
      </c>
      <c r="J167" s="553">
        <v>24</v>
      </c>
    </row>
    <row r="168" spans="1:10" ht="12.75">
      <c r="A168" s="553" t="s">
        <v>943</v>
      </c>
      <c r="B168" s="553" t="s">
        <v>1018</v>
      </c>
      <c r="C168" s="553" t="s">
        <v>1019</v>
      </c>
      <c r="D168" s="553" t="s">
        <v>684</v>
      </c>
      <c r="E168" s="553">
        <v>22</v>
      </c>
      <c r="F168" s="553">
        <v>19</v>
      </c>
      <c r="G168" s="553">
        <v>2</v>
      </c>
      <c r="H168" s="555">
        <v>51000</v>
      </c>
      <c r="I168" s="553" t="s">
        <v>687</v>
      </c>
      <c r="J168" s="553">
        <v>20</v>
      </c>
    </row>
    <row r="169" spans="1:10" ht="12.75">
      <c r="A169" s="553" t="s">
        <v>943</v>
      </c>
      <c r="B169" s="553" t="s">
        <v>1020</v>
      </c>
      <c r="C169" s="553" t="s">
        <v>1021</v>
      </c>
      <c r="D169" s="553" t="s">
        <v>684</v>
      </c>
      <c r="E169" s="553">
        <v>25</v>
      </c>
      <c r="F169" s="553">
        <v>19</v>
      </c>
      <c r="G169" s="553">
        <v>2</v>
      </c>
      <c r="H169" s="555">
        <v>56000</v>
      </c>
      <c r="I169" s="553" t="s">
        <v>687</v>
      </c>
      <c r="J169" s="553">
        <v>18</v>
      </c>
    </row>
    <row r="170" spans="1:10" ht="12.75">
      <c r="A170" s="553" t="s">
        <v>943</v>
      </c>
      <c r="B170" s="553" t="s">
        <v>1022</v>
      </c>
      <c r="C170" s="553" t="s">
        <v>1023</v>
      </c>
      <c r="D170" s="553" t="s">
        <v>684</v>
      </c>
      <c r="E170" s="553">
        <v>28</v>
      </c>
      <c r="F170" s="553">
        <v>19</v>
      </c>
      <c r="G170" s="553">
        <v>2</v>
      </c>
      <c r="H170" s="555">
        <v>61000</v>
      </c>
      <c r="I170" s="553" t="s">
        <v>687</v>
      </c>
      <c r="J170" s="553">
        <v>18</v>
      </c>
    </row>
    <row r="171" spans="1:10" ht="12.75">
      <c r="A171" s="553" t="s">
        <v>943</v>
      </c>
      <c r="B171" s="553" t="s">
        <v>1024</v>
      </c>
      <c r="C171" s="553" t="s">
        <v>1025</v>
      </c>
      <c r="D171" s="553" t="s">
        <v>684</v>
      </c>
      <c r="E171" s="553">
        <v>32</v>
      </c>
      <c r="F171" s="553">
        <v>19</v>
      </c>
      <c r="G171" s="553">
        <v>2</v>
      </c>
      <c r="H171" s="555">
        <v>67000</v>
      </c>
      <c r="I171" s="553" t="s">
        <v>687</v>
      </c>
      <c r="J171" s="553">
        <v>18</v>
      </c>
    </row>
    <row r="172" spans="1:10" ht="12.75">
      <c r="A172" s="553" t="s">
        <v>943</v>
      </c>
      <c r="B172" s="553" t="s">
        <v>1026</v>
      </c>
      <c r="C172" s="553" t="s">
        <v>1027</v>
      </c>
      <c r="D172" s="553" t="s">
        <v>684</v>
      </c>
      <c r="E172" s="553">
        <v>35</v>
      </c>
      <c r="F172" s="553">
        <v>19</v>
      </c>
      <c r="G172" s="553">
        <v>2</v>
      </c>
      <c r="H172" s="555">
        <v>77000</v>
      </c>
      <c r="I172" s="553" t="s">
        <v>687</v>
      </c>
      <c r="J172" s="553">
        <v>16</v>
      </c>
    </row>
    <row r="173" spans="1:10" ht="12.75">
      <c r="A173" s="553" t="s">
        <v>943</v>
      </c>
      <c r="B173" s="553" t="s">
        <v>1028</v>
      </c>
      <c r="C173" s="553" t="s">
        <v>1029</v>
      </c>
      <c r="D173" s="553" t="s">
        <v>684</v>
      </c>
      <c r="E173" s="553">
        <v>42</v>
      </c>
      <c r="F173" s="553">
        <v>19</v>
      </c>
      <c r="G173" s="553">
        <v>2</v>
      </c>
      <c r="H173" s="555">
        <v>89000</v>
      </c>
      <c r="I173" s="553" t="s">
        <v>687</v>
      </c>
      <c r="J173" s="553">
        <v>12</v>
      </c>
    </row>
    <row r="174" spans="1:10" ht="12.75">
      <c r="A174" s="553" t="s">
        <v>943</v>
      </c>
      <c r="B174" s="553" t="s">
        <v>1030</v>
      </c>
      <c r="C174" s="553" t="s">
        <v>1031</v>
      </c>
      <c r="D174" s="553" t="s">
        <v>684</v>
      </c>
      <c r="E174" s="553">
        <v>48</v>
      </c>
      <c r="F174" s="553">
        <v>19</v>
      </c>
      <c r="G174" s="553">
        <v>2</v>
      </c>
      <c r="H174" s="555">
        <v>104500</v>
      </c>
      <c r="I174" s="553" t="s">
        <v>687</v>
      </c>
      <c r="J174" s="553">
        <v>10</v>
      </c>
    </row>
    <row r="175" spans="1:10" ht="12.75">
      <c r="A175" s="553" t="s">
        <v>943</v>
      </c>
      <c r="B175" s="553" t="s">
        <v>1032</v>
      </c>
      <c r="C175" s="553" t="s">
        <v>1033</v>
      </c>
      <c r="D175" s="553" t="s">
        <v>684</v>
      </c>
      <c r="E175" s="553">
        <v>54</v>
      </c>
      <c r="F175" s="553">
        <v>19</v>
      </c>
      <c r="G175" s="553">
        <v>2</v>
      </c>
      <c r="H175" s="555">
        <v>118800</v>
      </c>
      <c r="I175" s="553" t="s">
        <v>687</v>
      </c>
      <c r="J175" s="553">
        <v>8</v>
      </c>
    </row>
    <row r="176" spans="1:10" ht="12.75">
      <c r="A176" s="553" t="s">
        <v>943</v>
      </c>
      <c r="B176" s="553" t="s">
        <v>1034</v>
      </c>
      <c r="C176" s="553" t="s">
        <v>1035</v>
      </c>
      <c r="D176" s="553" t="s">
        <v>684</v>
      </c>
      <c r="E176" s="553">
        <v>60</v>
      </c>
      <c r="F176" s="553">
        <v>19</v>
      </c>
      <c r="G176" s="553">
        <v>2</v>
      </c>
      <c r="H176" s="555">
        <v>127600</v>
      </c>
      <c r="I176" s="553" t="s">
        <v>687</v>
      </c>
      <c r="J176" s="553">
        <v>8</v>
      </c>
    </row>
    <row r="177" spans="1:10" ht="12.75">
      <c r="A177" s="553" t="s">
        <v>943</v>
      </c>
      <c r="B177" s="553" t="s">
        <v>1036</v>
      </c>
      <c r="C177" s="553" t="s">
        <v>1037</v>
      </c>
      <c r="D177" s="553" t="s">
        <v>684</v>
      </c>
      <c r="E177" s="553">
        <v>67</v>
      </c>
      <c r="F177" s="553">
        <v>19</v>
      </c>
      <c r="G177" s="553">
        <v>2</v>
      </c>
      <c r="H177" s="555">
        <v>137500</v>
      </c>
      <c r="I177" s="553" t="s">
        <v>687</v>
      </c>
      <c r="J177" s="553">
        <v>8</v>
      </c>
    </row>
    <row r="178" spans="1:10" ht="12.75">
      <c r="A178" s="553" t="s">
        <v>943</v>
      </c>
      <c r="B178" s="553" t="s">
        <v>1038</v>
      </c>
      <c r="C178" s="553" t="s">
        <v>1039</v>
      </c>
      <c r="D178" s="553" t="s">
        <v>684</v>
      </c>
      <c r="E178" s="553">
        <v>76</v>
      </c>
      <c r="F178" s="553">
        <v>19</v>
      </c>
      <c r="G178" s="553">
        <v>2</v>
      </c>
      <c r="H178" s="555">
        <v>163900</v>
      </c>
      <c r="I178" s="553" t="s">
        <v>687</v>
      </c>
      <c r="J178" s="553">
        <v>6</v>
      </c>
    </row>
    <row r="179" spans="1:10" ht="12.75">
      <c r="A179" s="553" t="s">
        <v>943</v>
      </c>
      <c r="B179" s="553" t="s">
        <v>1040</v>
      </c>
      <c r="C179" s="553" t="s">
        <v>1041</v>
      </c>
      <c r="D179" s="553" t="s">
        <v>684</v>
      </c>
      <c r="E179" s="553">
        <v>90</v>
      </c>
      <c r="F179" s="553">
        <v>19</v>
      </c>
      <c r="G179" s="553">
        <v>2</v>
      </c>
      <c r="H179" s="555">
        <v>184800</v>
      </c>
      <c r="I179" s="553" t="s">
        <v>687</v>
      </c>
      <c r="J179" s="553">
        <v>6</v>
      </c>
    </row>
    <row r="180" spans="1:10" ht="12.75">
      <c r="A180" s="553" t="s">
        <v>943</v>
      </c>
      <c r="B180" s="553" t="s">
        <v>1042</v>
      </c>
      <c r="C180" s="553" t="s">
        <v>1043</v>
      </c>
      <c r="D180" s="553" t="s">
        <v>684</v>
      </c>
      <c r="E180" s="553">
        <v>115</v>
      </c>
      <c r="F180" s="553">
        <v>19</v>
      </c>
      <c r="G180" s="553">
        <v>2</v>
      </c>
      <c r="H180" s="555">
        <v>260700</v>
      </c>
      <c r="I180" s="553" t="s">
        <v>687</v>
      </c>
      <c r="J180" s="553">
        <v>4</v>
      </c>
    </row>
    <row r="181" spans="1:10" ht="12.75">
      <c r="A181" s="553" t="s">
        <v>943</v>
      </c>
      <c r="B181" s="553" t="s">
        <v>1044</v>
      </c>
      <c r="C181" s="553" t="s">
        <v>1045</v>
      </c>
      <c r="D181" s="553" t="s">
        <v>684</v>
      </c>
      <c r="E181" s="553">
        <v>10</v>
      </c>
      <c r="F181" s="553">
        <v>25</v>
      </c>
      <c r="G181" s="553">
        <v>2</v>
      </c>
      <c r="H181" s="555">
        <v>65000</v>
      </c>
      <c r="I181" s="553" t="s">
        <v>687</v>
      </c>
      <c r="J181" s="553">
        <v>24</v>
      </c>
    </row>
    <row r="182" spans="1:10" ht="12.75">
      <c r="A182" s="553" t="s">
        <v>943</v>
      </c>
      <c r="B182" s="553" t="s">
        <v>1046</v>
      </c>
      <c r="C182" s="553" t="s">
        <v>1047</v>
      </c>
      <c r="D182" s="553" t="s">
        <v>684</v>
      </c>
      <c r="E182" s="553">
        <v>13</v>
      </c>
      <c r="F182" s="553">
        <v>25</v>
      </c>
      <c r="G182" s="553">
        <v>2</v>
      </c>
      <c r="H182" s="555">
        <v>72000</v>
      </c>
      <c r="I182" s="553" t="s">
        <v>687</v>
      </c>
      <c r="J182" s="553">
        <v>20</v>
      </c>
    </row>
    <row r="183" spans="1:10" ht="12.75">
      <c r="A183" s="553" t="s">
        <v>943</v>
      </c>
      <c r="B183" s="553" t="s">
        <v>1048</v>
      </c>
      <c r="C183" s="553" t="s">
        <v>1049</v>
      </c>
      <c r="D183" s="553" t="s">
        <v>684</v>
      </c>
      <c r="E183" s="553">
        <v>16</v>
      </c>
      <c r="F183" s="553">
        <v>25</v>
      </c>
      <c r="G183" s="553">
        <v>2</v>
      </c>
      <c r="H183" s="555">
        <v>79000</v>
      </c>
      <c r="I183" s="553" t="s">
        <v>687</v>
      </c>
      <c r="J183" s="553">
        <v>18</v>
      </c>
    </row>
    <row r="184" spans="1:10" ht="12.75">
      <c r="A184" s="553" t="s">
        <v>943</v>
      </c>
      <c r="B184" s="553" t="s">
        <v>1050</v>
      </c>
      <c r="C184" s="553" t="s">
        <v>1051</v>
      </c>
      <c r="D184" s="553" t="s">
        <v>684</v>
      </c>
      <c r="E184" s="553">
        <v>19</v>
      </c>
      <c r="F184" s="553">
        <v>25</v>
      </c>
      <c r="G184" s="553">
        <v>2</v>
      </c>
      <c r="H184" s="555">
        <v>84000</v>
      </c>
      <c r="I184" s="553" t="s">
        <v>687</v>
      </c>
      <c r="J184" s="553">
        <v>18</v>
      </c>
    </row>
    <row r="185" spans="1:10" ht="12.75">
      <c r="A185" s="553" t="s">
        <v>943</v>
      </c>
      <c r="B185" s="553" t="s">
        <v>1052</v>
      </c>
      <c r="C185" s="553" t="s">
        <v>1053</v>
      </c>
      <c r="D185" s="553" t="s">
        <v>684</v>
      </c>
      <c r="E185" s="553">
        <v>22</v>
      </c>
      <c r="F185" s="553">
        <v>25</v>
      </c>
      <c r="G185" s="553">
        <v>2</v>
      </c>
      <c r="H185" s="555">
        <v>93000</v>
      </c>
      <c r="I185" s="553" t="s">
        <v>687</v>
      </c>
      <c r="J185" s="553">
        <v>16</v>
      </c>
    </row>
    <row r="186" spans="1:10" ht="12.75">
      <c r="A186" s="553" t="s">
        <v>943</v>
      </c>
      <c r="B186" s="553" t="s">
        <v>1054</v>
      </c>
      <c r="C186" s="553" t="s">
        <v>1055</v>
      </c>
      <c r="D186" s="553" t="s">
        <v>684</v>
      </c>
      <c r="E186" s="553">
        <v>25</v>
      </c>
      <c r="F186" s="553">
        <v>25</v>
      </c>
      <c r="G186" s="553">
        <v>2</v>
      </c>
      <c r="H186" s="555">
        <v>103000</v>
      </c>
      <c r="I186" s="553" t="s">
        <v>687</v>
      </c>
      <c r="J186" s="553">
        <v>12</v>
      </c>
    </row>
    <row r="187" spans="1:10" ht="12.75">
      <c r="A187" s="553" t="s">
        <v>943</v>
      </c>
      <c r="B187" s="553" t="s">
        <v>1056</v>
      </c>
      <c r="C187" s="553" t="s">
        <v>1057</v>
      </c>
      <c r="D187" s="553" t="s">
        <v>684</v>
      </c>
      <c r="E187" s="553">
        <v>28</v>
      </c>
      <c r="F187" s="553">
        <v>25</v>
      </c>
      <c r="G187" s="553">
        <v>2</v>
      </c>
      <c r="H187" s="555">
        <v>108000</v>
      </c>
      <c r="I187" s="553" t="s">
        <v>687</v>
      </c>
      <c r="J187" s="553">
        <v>12</v>
      </c>
    </row>
    <row r="188" spans="1:10" ht="12.75">
      <c r="A188" s="553" t="s">
        <v>943</v>
      </c>
      <c r="B188" s="553" t="s">
        <v>1058</v>
      </c>
      <c r="C188" s="553" t="s">
        <v>1059</v>
      </c>
      <c r="D188" s="553" t="s">
        <v>684</v>
      </c>
      <c r="E188" s="553">
        <v>32</v>
      </c>
      <c r="F188" s="553">
        <v>25</v>
      </c>
      <c r="G188" s="553">
        <v>2</v>
      </c>
      <c r="H188" s="555">
        <v>116000</v>
      </c>
      <c r="I188" s="553" t="s">
        <v>687</v>
      </c>
      <c r="J188" s="553">
        <v>12</v>
      </c>
    </row>
    <row r="189" spans="1:10" ht="12.75">
      <c r="A189" s="553" t="s">
        <v>943</v>
      </c>
      <c r="B189" s="553" t="s">
        <v>1060</v>
      </c>
      <c r="C189" s="553" t="s">
        <v>1061</v>
      </c>
      <c r="D189" s="553" t="s">
        <v>684</v>
      </c>
      <c r="E189" s="553">
        <v>35</v>
      </c>
      <c r="F189" s="553">
        <v>25</v>
      </c>
      <c r="G189" s="553">
        <v>2</v>
      </c>
      <c r="H189" s="555">
        <v>122000</v>
      </c>
      <c r="I189" s="553" t="s">
        <v>687</v>
      </c>
      <c r="J189" s="553">
        <v>10</v>
      </c>
    </row>
    <row r="190" spans="1:10" ht="12.75">
      <c r="A190" s="553" t="s">
        <v>943</v>
      </c>
      <c r="B190" s="553" t="s">
        <v>1062</v>
      </c>
      <c r="C190" s="553" t="s">
        <v>1063</v>
      </c>
      <c r="D190" s="553" t="s">
        <v>684</v>
      </c>
      <c r="E190" s="553">
        <v>38</v>
      </c>
      <c r="F190" s="553">
        <v>25</v>
      </c>
      <c r="G190" s="553">
        <v>2</v>
      </c>
      <c r="H190" s="555">
        <v>130000</v>
      </c>
      <c r="I190" s="553" t="s">
        <v>687</v>
      </c>
      <c r="J190" s="553">
        <v>10</v>
      </c>
    </row>
    <row r="191" spans="1:10" ht="12.75">
      <c r="A191" s="553" t="s">
        <v>943</v>
      </c>
      <c r="B191" s="553" t="s">
        <v>1064</v>
      </c>
      <c r="C191" s="553" t="s">
        <v>1065</v>
      </c>
      <c r="D191" s="553" t="s">
        <v>684</v>
      </c>
      <c r="E191" s="553">
        <v>42</v>
      </c>
      <c r="F191" s="553">
        <v>25</v>
      </c>
      <c r="G191" s="553">
        <v>2</v>
      </c>
      <c r="H191" s="555">
        <v>137000</v>
      </c>
      <c r="I191" s="553" t="s">
        <v>687</v>
      </c>
      <c r="J191" s="553">
        <v>8</v>
      </c>
    </row>
    <row r="192" spans="1:10" ht="12.75">
      <c r="A192" s="553" t="s">
        <v>943</v>
      </c>
      <c r="B192" s="553" t="s">
        <v>1066</v>
      </c>
      <c r="C192" s="553" t="s">
        <v>1067</v>
      </c>
      <c r="D192" s="553" t="s">
        <v>684</v>
      </c>
      <c r="E192" s="553">
        <v>48</v>
      </c>
      <c r="F192" s="553">
        <v>25</v>
      </c>
      <c r="G192" s="553">
        <v>2</v>
      </c>
      <c r="H192" s="555">
        <v>143000</v>
      </c>
      <c r="I192" s="553" t="s">
        <v>687</v>
      </c>
      <c r="J192" s="553">
        <v>8</v>
      </c>
    </row>
    <row r="193" spans="1:10" ht="12.75">
      <c r="A193" s="553" t="s">
        <v>943</v>
      </c>
      <c r="B193" s="553" t="s">
        <v>1068</v>
      </c>
      <c r="C193" s="553" t="s">
        <v>1069</v>
      </c>
      <c r="D193" s="553" t="s">
        <v>684</v>
      </c>
      <c r="E193" s="553">
        <v>54</v>
      </c>
      <c r="F193" s="553">
        <v>25</v>
      </c>
      <c r="G193" s="553">
        <v>2</v>
      </c>
      <c r="H193" s="555">
        <v>156000</v>
      </c>
      <c r="I193" s="553" t="s">
        <v>687</v>
      </c>
      <c r="J193" s="553">
        <v>8</v>
      </c>
    </row>
    <row r="194" spans="1:10" ht="12.75">
      <c r="A194" s="553" t="s">
        <v>943</v>
      </c>
      <c r="B194" s="553" t="s">
        <v>1070</v>
      </c>
      <c r="C194" s="553" t="s">
        <v>1071</v>
      </c>
      <c r="D194" s="553" t="s">
        <v>684</v>
      </c>
      <c r="E194" s="553">
        <v>60</v>
      </c>
      <c r="F194" s="553">
        <v>25</v>
      </c>
      <c r="G194" s="553">
        <v>2</v>
      </c>
      <c r="H194" s="555">
        <v>187000</v>
      </c>
      <c r="I194" s="553" t="s">
        <v>687</v>
      </c>
      <c r="J194" s="553">
        <v>6</v>
      </c>
    </row>
    <row r="195" spans="1:10" ht="12.75">
      <c r="A195" s="553" t="s">
        <v>943</v>
      </c>
      <c r="B195" s="553" t="s">
        <v>1072</v>
      </c>
      <c r="C195" s="553" t="s">
        <v>1073</v>
      </c>
      <c r="D195" s="553" t="s">
        <v>684</v>
      </c>
      <c r="E195" s="553">
        <v>67</v>
      </c>
      <c r="F195" s="553">
        <v>25</v>
      </c>
      <c r="G195" s="553">
        <v>2</v>
      </c>
      <c r="H195" s="555">
        <v>199000</v>
      </c>
      <c r="I195" s="553" t="s">
        <v>687</v>
      </c>
      <c r="J195" s="553">
        <v>6</v>
      </c>
    </row>
    <row r="196" spans="1:10" ht="12.75">
      <c r="A196" s="553" t="s">
        <v>943</v>
      </c>
      <c r="B196" s="553" t="s">
        <v>1074</v>
      </c>
      <c r="C196" s="553" t="s">
        <v>1075</v>
      </c>
      <c r="D196" s="553" t="s">
        <v>684</v>
      </c>
      <c r="E196" s="553">
        <v>76</v>
      </c>
      <c r="F196" s="553">
        <v>25</v>
      </c>
      <c r="G196" s="553">
        <v>2</v>
      </c>
      <c r="H196" s="555">
        <v>239000</v>
      </c>
      <c r="I196" s="553" t="s">
        <v>687</v>
      </c>
      <c r="J196" s="553">
        <v>6</v>
      </c>
    </row>
    <row r="197" spans="1:10" ht="12.75">
      <c r="A197" s="553" t="s">
        <v>943</v>
      </c>
      <c r="B197" s="553" t="s">
        <v>1076</v>
      </c>
      <c r="C197" s="553" t="s">
        <v>1077</v>
      </c>
      <c r="D197" s="553" t="s">
        <v>684</v>
      </c>
      <c r="E197" s="553">
        <v>80</v>
      </c>
      <c r="F197" s="553">
        <v>25</v>
      </c>
      <c r="G197" s="553">
        <v>2</v>
      </c>
      <c r="H197" s="555">
        <v>245000</v>
      </c>
      <c r="I197" s="553" t="s">
        <v>687</v>
      </c>
      <c r="J197" s="553">
        <v>6</v>
      </c>
    </row>
    <row r="198" spans="1:10" ht="12.75">
      <c r="A198" s="553" t="s">
        <v>943</v>
      </c>
      <c r="B198" s="553" t="s">
        <v>1078</v>
      </c>
      <c r="C198" s="553" t="s">
        <v>1079</v>
      </c>
      <c r="D198" s="553" t="s">
        <v>684</v>
      </c>
      <c r="E198" s="553">
        <v>90</v>
      </c>
      <c r="F198" s="553">
        <v>25</v>
      </c>
      <c r="G198" s="553">
        <v>2</v>
      </c>
      <c r="H198" s="555">
        <v>260000</v>
      </c>
      <c r="I198" s="553" t="s">
        <v>687</v>
      </c>
      <c r="J198" s="553">
        <v>4</v>
      </c>
    </row>
    <row r="199" spans="1:10" ht="12.75">
      <c r="A199" s="553" t="s">
        <v>943</v>
      </c>
      <c r="B199" s="553" t="s">
        <v>1080</v>
      </c>
      <c r="C199" s="553" t="s">
        <v>1081</v>
      </c>
      <c r="D199" s="553" t="s">
        <v>684</v>
      </c>
      <c r="E199" s="553">
        <v>109</v>
      </c>
      <c r="F199" s="553">
        <v>25</v>
      </c>
      <c r="G199" s="553">
        <v>2</v>
      </c>
      <c r="H199" s="555">
        <v>297000</v>
      </c>
      <c r="I199" s="553" t="s">
        <v>687</v>
      </c>
      <c r="J199" s="553">
        <v>4</v>
      </c>
    </row>
    <row r="200" spans="1:10" ht="12.75">
      <c r="A200" s="553" t="s">
        <v>943</v>
      </c>
      <c r="B200" s="553" t="s">
        <v>1082</v>
      </c>
      <c r="C200" s="553" t="s">
        <v>1083</v>
      </c>
      <c r="D200" s="553" t="s">
        <v>684</v>
      </c>
      <c r="E200" s="553">
        <v>115</v>
      </c>
      <c r="F200" s="553">
        <v>25</v>
      </c>
      <c r="G200" s="553">
        <v>2</v>
      </c>
      <c r="H200" s="555">
        <v>309000</v>
      </c>
      <c r="I200" s="553" t="s">
        <v>687</v>
      </c>
      <c r="J200" s="553">
        <v>4</v>
      </c>
    </row>
    <row r="201" spans="1:10" ht="12.75">
      <c r="A201" s="553" t="s">
        <v>943</v>
      </c>
      <c r="B201" s="553" t="s">
        <v>1084</v>
      </c>
      <c r="C201" s="553" t="s">
        <v>1085</v>
      </c>
      <c r="D201" s="553" t="s">
        <v>684</v>
      </c>
      <c r="E201" s="553">
        <v>140</v>
      </c>
      <c r="F201" s="553">
        <v>25</v>
      </c>
      <c r="G201" s="553">
        <v>2</v>
      </c>
      <c r="H201" s="555">
        <v>388000</v>
      </c>
      <c r="I201" s="553" t="s">
        <v>687</v>
      </c>
      <c r="J201" s="553">
        <v>2</v>
      </c>
    </row>
    <row r="202" spans="1:10" ht="12.75">
      <c r="A202" s="553" t="s">
        <v>943</v>
      </c>
      <c r="B202" s="553" t="s">
        <v>1086</v>
      </c>
      <c r="C202" s="553" t="s">
        <v>1087</v>
      </c>
      <c r="D202" s="553" t="s">
        <v>684</v>
      </c>
      <c r="E202" s="553">
        <v>13</v>
      </c>
      <c r="F202" s="553">
        <v>32</v>
      </c>
      <c r="G202" s="553">
        <v>2</v>
      </c>
      <c r="H202" s="555">
        <v>116000</v>
      </c>
      <c r="I202" s="553" t="s">
        <v>687</v>
      </c>
      <c r="J202" s="553">
        <v>14</v>
      </c>
    </row>
    <row r="203" spans="1:10" ht="12.75">
      <c r="A203" s="553" t="s">
        <v>943</v>
      </c>
      <c r="B203" s="553" t="s">
        <v>1088</v>
      </c>
      <c r="C203" s="553" t="s">
        <v>1089</v>
      </c>
      <c r="D203" s="553" t="s">
        <v>684</v>
      </c>
      <c r="E203" s="553">
        <v>16</v>
      </c>
      <c r="F203" s="553">
        <v>32</v>
      </c>
      <c r="G203" s="553">
        <v>2</v>
      </c>
      <c r="H203" s="555">
        <v>122000</v>
      </c>
      <c r="I203" s="553" t="s">
        <v>687</v>
      </c>
      <c r="J203" s="553">
        <v>14</v>
      </c>
    </row>
    <row r="204" spans="1:10" ht="12.75">
      <c r="A204" s="553" t="s">
        <v>943</v>
      </c>
      <c r="B204" s="553" t="s">
        <v>1090</v>
      </c>
      <c r="C204" s="553" t="s">
        <v>1091</v>
      </c>
      <c r="D204" s="553" t="s">
        <v>684</v>
      </c>
      <c r="E204" s="553">
        <v>19</v>
      </c>
      <c r="F204" s="553">
        <v>32</v>
      </c>
      <c r="G204" s="553">
        <v>2</v>
      </c>
      <c r="H204" s="555">
        <v>128000</v>
      </c>
      <c r="I204" s="553" t="s">
        <v>687</v>
      </c>
      <c r="J204" s="553">
        <v>12</v>
      </c>
    </row>
    <row r="205" spans="1:10" ht="12.75">
      <c r="A205" s="553" t="s">
        <v>943</v>
      </c>
      <c r="B205" s="553" t="s">
        <v>1092</v>
      </c>
      <c r="C205" s="553" t="s">
        <v>1093</v>
      </c>
      <c r="D205" s="553" t="s">
        <v>684</v>
      </c>
      <c r="E205" s="553">
        <v>22</v>
      </c>
      <c r="F205" s="553">
        <v>32</v>
      </c>
      <c r="G205" s="553">
        <v>2</v>
      </c>
      <c r="H205" s="555">
        <v>134000</v>
      </c>
      <c r="I205" s="553" t="s">
        <v>687</v>
      </c>
      <c r="J205" s="553">
        <v>12</v>
      </c>
    </row>
    <row r="206" spans="1:10" ht="12.75">
      <c r="A206" s="553" t="s">
        <v>943</v>
      </c>
      <c r="B206" s="553" t="s">
        <v>1094</v>
      </c>
      <c r="C206" s="553" t="s">
        <v>1095</v>
      </c>
      <c r="D206" s="553" t="s">
        <v>684</v>
      </c>
      <c r="E206" s="553">
        <v>25</v>
      </c>
      <c r="F206" s="553">
        <v>32</v>
      </c>
      <c r="G206" s="553">
        <v>2</v>
      </c>
      <c r="H206" s="555">
        <v>137000</v>
      </c>
      <c r="I206" s="553" t="s">
        <v>687</v>
      </c>
      <c r="J206" s="553">
        <v>10</v>
      </c>
    </row>
    <row r="207" spans="1:10" ht="12.75">
      <c r="A207" s="553" t="s">
        <v>943</v>
      </c>
      <c r="B207" s="553" t="s">
        <v>1096</v>
      </c>
      <c r="C207" s="553" t="s">
        <v>1097</v>
      </c>
      <c r="D207" s="553" t="s">
        <v>684</v>
      </c>
      <c r="E207" s="553">
        <v>28</v>
      </c>
      <c r="F207" s="553">
        <v>32</v>
      </c>
      <c r="G207" s="553">
        <v>2</v>
      </c>
      <c r="H207" s="555">
        <v>148000</v>
      </c>
      <c r="I207" s="553" t="s">
        <v>687</v>
      </c>
      <c r="J207" s="553">
        <v>8</v>
      </c>
    </row>
    <row r="208" spans="1:10" ht="12.75">
      <c r="A208" s="553" t="s">
        <v>943</v>
      </c>
      <c r="B208" s="553" t="s">
        <v>1098</v>
      </c>
      <c r="C208" s="553" t="s">
        <v>1099</v>
      </c>
      <c r="D208" s="553" t="s">
        <v>684</v>
      </c>
      <c r="E208" s="553">
        <v>32</v>
      </c>
      <c r="F208" s="553">
        <v>32</v>
      </c>
      <c r="G208" s="553">
        <v>2</v>
      </c>
      <c r="H208" s="555">
        <v>163000</v>
      </c>
      <c r="I208" s="553" t="s">
        <v>687</v>
      </c>
      <c r="J208" s="553">
        <v>8</v>
      </c>
    </row>
    <row r="209" spans="1:10" ht="12.75">
      <c r="A209" s="553" t="s">
        <v>943</v>
      </c>
      <c r="B209" s="553" t="s">
        <v>1100</v>
      </c>
      <c r="C209" s="553" t="s">
        <v>1101</v>
      </c>
      <c r="D209" s="553" t="s">
        <v>684</v>
      </c>
      <c r="E209" s="553">
        <v>35</v>
      </c>
      <c r="F209" s="553">
        <v>32</v>
      </c>
      <c r="G209" s="553">
        <v>2</v>
      </c>
      <c r="H209" s="555">
        <v>165000</v>
      </c>
      <c r="I209" s="553" t="s">
        <v>687</v>
      </c>
      <c r="J209" s="553">
        <v>8</v>
      </c>
    </row>
    <row r="210" spans="1:10" ht="12.75">
      <c r="A210" s="553" t="s">
        <v>943</v>
      </c>
      <c r="B210" s="553" t="s">
        <v>1102</v>
      </c>
      <c r="C210" s="553" t="s">
        <v>1103</v>
      </c>
      <c r="D210" s="553" t="s">
        <v>684</v>
      </c>
      <c r="E210" s="553">
        <v>42</v>
      </c>
      <c r="F210" s="553">
        <v>32</v>
      </c>
      <c r="G210" s="553">
        <v>2</v>
      </c>
      <c r="H210" s="555">
        <v>196000</v>
      </c>
      <c r="I210" s="553" t="s">
        <v>687</v>
      </c>
      <c r="J210" s="553">
        <v>8</v>
      </c>
    </row>
    <row r="211" spans="1:10" ht="12.75">
      <c r="A211" s="553" t="s">
        <v>943</v>
      </c>
      <c r="B211" s="553" t="s">
        <v>1104</v>
      </c>
      <c r="C211" s="553" t="s">
        <v>1105</v>
      </c>
      <c r="D211" s="553" t="s">
        <v>684</v>
      </c>
      <c r="E211" s="553">
        <v>48</v>
      </c>
      <c r="F211" s="553">
        <v>32</v>
      </c>
      <c r="G211" s="553">
        <v>2</v>
      </c>
      <c r="H211" s="555">
        <v>209000</v>
      </c>
      <c r="I211" s="553" t="s">
        <v>687</v>
      </c>
      <c r="J211" s="553">
        <v>6</v>
      </c>
    </row>
    <row r="212" spans="1:10" ht="12.75">
      <c r="A212" s="553" t="s">
        <v>943</v>
      </c>
      <c r="B212" s="553" t="s">
        <v>1106</v>
      </c>
      <c r="C212" s="553" t="s">
        <v>1107</v>
      </c>
      <c r="D212" s="553" t="s">
        <v>684</v>
      </c>
      <c r="E212" s="553">
        <v>54</v>
      </c>
      <c r="F212" s="553">
        <v>32</v>
      </c>
      <c r="G212" s="553">
        <v>2</v>
      </c>
      <c r="H212" s="555">
        <v>226000</v>
      </c>
      <c r="I212" s="553" t="s">
        <v>687</v>
      </c>
      <c r="J212" s="553">
        <v>6</v>
      </c>
    </row>
    <row r="213" spans="1:10" ht="12.75">
      <c r="A213" s="553" t="s">
        <v>943</v>
      </c>
      <c r="B213" s="553" t="s">
        <v>1108</v>
      </c>
      <c r="C213" s="553" t="s">
        <v>1109</v>
      </c>
      <c r="D213" s="553" t="s">
        <v>684</v>
      </c>
      <c r="E213" s="553">
        <v>60</v>
      </c>
      <c r="F213" s="553">
        <v>32</v>
      </c>
      <c r="G213" s="553">
        <v>2</v>
      </c>
      <c r="H213" s="555">
        <v>240000</v>
      </c>
      <c r="I213" s="553" t="s">
        <v>687</v>
      </c>
      <c r="J213" s="553">
        <v>4</v>
      </c>
    </row>
    <row r="214" spans="1:10" ht="12.75">
      <c r="A214" s="553" t="s">
        <v>943</v>
      </c>
      <c r="B214" s="553" t="s">
        <v>1110</v>
      </c>
      <c r="C214" s="553" t="s">
        <v>1111</v>
      </c>
      <c r="D214" s="553" t="s">
        <v>684</v>
      </c>
      <c r="E214" s="553">
        <v>67</v>
      </c>
      <c r="F214" s="553">
        <v>32</v>
      </c>
      <c r="G214" s="553">
        <v>2</v>
      </c>
      <c r="H214" s="555">
        <v>268000</v>
      </c>
      <c r="I214" s="553" t="s">
        <v>687</v>
      </c>
      <c r="J214" s="553">
        <v>4</v>
      </c>
    </row>
    <row r="215" spans="1:10" ht="12.75">
      <c r="A215" s="553" t="s">
        <v>943</v>
      </c>
      <c r="B215" s="553" t="s">
        <v>1112</v>
      </c>
      <c r="C215" s="553" t="s">
        <v>1113</v>
      </c>
      <c r="D215" s="553" t="s">
        <v>684</v>
      </c>
      <c r="E215" s="553">
        <v>76</v>
      </c>
      <c r="F215" s="553">
        <v>32</v>
      </c>
      <c r="G215" s="553">
        <v>2</v>
      </c>
      <c r="H215" s="555">
        <v>311000</v>
      </c>
      <c r="I215" s="553" t="s">
        <v>687</v>
      </c>
      <c r="J215" s="553">
        <v>4</v>
      </c>
    </row>
    <row r="216" spans="1:10" ht="12.75">
      <c r="A216" s="553" t="s">
        <v>943</v>
      </c>
      <c r="B216" s="553" t="s">
        <v>1114</v>
      </c>
      <c r="C216" s="553" t="s">
        <v>1115</v>
      </c>
      <c r="D216" s="553" t="s">
        <v>684</v>
      </c>
      <c r="E216" s="553">
        <v>80</v>
      </c>
      <c r="F216" s="553">
        <v>32</v>
      </c>
      <c r="G216" s="553">
        <v>2</v>
      </c>
      <c r="H216" s="555">
        <v>320000</v>
      </c>
      <c r="I216" s="553" t="s">
        <v>687</v>
      </c>
      <c r="J216" s="553">
        <v>4</v>
      </c>
    </row>
    <row r="217" spans="1:10" ht="12.75">
      <c r="A217" s="553" t="s">
        <v>943</v>
      </c>
      <c r="B217" s="553" t="s">
        <v>1116</v>
      </c>
      <c r="C217" s="553" t="s">
        <v>1117</v>
      </c>
      <c r="D217" s="553" t="s">
        <v>684</v>
      </c>
      <c r="E217" s="553">
        <v>90</v>
      </c>
      <c r="F217" s="553">
        <v>32</v>
      </c>
      <c r="G217" s="553">
        <v>2</v>
      </c>
      <c r="H217" s="555">
        <v>338000</v>
      </c>
      <c r="I217" s="553" t="s">
        <v>687</v>
      </c>
      <c r="J217" s="553">
        <v>4</v>
      </c>
    </row>
    <row r="218" spans="1:10" ht="12.75">
      <c r="A218" s="553" t="s">
        <v>943</v>
      </c>
      <c r="B218" s="553" t="s">
        <v>1118</v>
      </c>
      <c r="C218" s="553" t="s">
        <v>1119</v>
      </c>
      <c r="D218" s="553" t="s">
        <v>684</v>
      </c>
      <c r="E218" s="553">
        <v>109</v>
      </c>
      <c r="F218" s="553">
        <v>32</v>
      </c>
      <c r="G218" s="553">
        <v>2</v>
      </c>
      <c r="H218" s="555">
        <v>445000</v>
      </c>
      <c r="I218" s="553" t="s">
        <v>687</v>
      </c>
      <c r="J218" s="553">
        <v>2</v>
      </c>
    </row>
    <row r="219" spans="1:10" ht="12.75">
      <c r="A219" s="553" t="s">
        <v>943</v>
      </c>
      <c r="B219" s="553" t="s">
        <v>1120</v>
      </c>
      <c r="C219" s="553" t="s">
        <v>1121</v>
      </c>
      <c r="D219" s="553" t="s">
        <v>684</v>
      </c>
      <c r="E219" s="553">
        <v>115</v>
      </c>
      <c r="F219" s="553">
        <v>32</v>
      </c>
      <c r="G219" s="553">
        <v>2</v>
      </c>
      <c r="H219" s="555">
        <v>458000</v>
      </c>
      <c r="I219" s="553" t="s">
        <v>687</v>
      </c>
      <c r="J219" s="553">
        <v>2</v>
      </c>
    </row>
    <row r="220" spans="1:10" ht="12.75">
      <c r="A220" s="553" t="s">
        <v>943</v>
      </c>
      <c r="B220" s="553" t="s">
        <v>1122</v>
      </c>
      <c r="C220" s="553" t="s">
        <v>1123</v>
      </c>
      <c r="D220" s="553" t="s">
        <v>684</v>
      </c>
      <c r="E220" s="553">
        <v>140</v>
      </c>
      <c r="F220" s="553">
        <v>32</v>
      </c>
      <c r="G220" s="553">
        <v>2</v>
      </c>
      <c r="H220" s="555">
        <v>525000</v>
      </c>
      <c r="I220" s="553" t="s">
        <v>687</v>
      </c>
      <c r="J220" s="553">
        <v>2</v>
      </c>
    </row>
    <row r="221" spans="1:10" ht="12.75">
      <c r="A221" s="553" t="s">
        <v>943</v>
      </c>
      <c r="B221" s="553" t="s">
        <v>1124</v>
      </c>
      <c r="C221" s="553" t="s">
        <v>1125</v>
      </c>
      <c r="D221" s="553" t="s">
        <v>684</v>
      </c>
      <c r="E221" s="553">
        <v>16</v>
      </c>
      <c r="F221" s="553">
        <v>38</v>
      </c>
      <c r="G221" s="553">
        <v>2</v>
      </c>
      <c r="H221" s="555">
        <v>162000</v>
      </c>
      <c r="I221" s="553" t="s">
        <v>687</v>
      </c>
      <c r="J221" s="553">
        <v>8</v>
      </c>
    </row>
    <row r="222" spans="1:10" ht="12.75">
      <c r="A222" s="553" t="s">
        <v>943</v>
      </c>
      <c r="B222" s="553" t="s">
        <v>1126</v>
      </c>
      <c r="C222" s="553" t="s">
        <v>1127</v>
      </c>
      <c r="D222" s="553" t="s">
        <v>684</v>
      </c>
      <c r="E222" s="553">
        <v>19</v>
      </c>
      <c r="F222" s="553">
        <v>38</v>
      </c>
      <c r="G222" s="553">
        <v>2</v>
      </c>
      <c r="H222" s="555">
        <v>172000</v>
      </c>
      <c r="I222" s="553" t="s">
        <v>687</v>
      </c>
      <c r="J222" s="553">
        <v>8</v>
      </c>
    </row>
    <row r="223" spans="1:10" ht="12.75">
      <c r="A223" s="553" t="s">
        <v>943</v>
      </c>
      <c r="B223" s="553" t="s">
        <v>1128</v>
      </c>
      <c r="C223" s="553" t="s">
        <v>1129</v>
      </c>
      <c r="D223" s="553" t="s">
        <v>684</v>
      </c>
      <c r="E223" s="553">
        <v>22</v>
      </c>
      <c r="F223" s="553">
        <v>38</v>
      </c>
      <c r="G223" s="553">
        <v>2</v>
      </c>
      <c r="H223" s="555">
        <v>185000</v>
      </c>
      <c r="I223" s="553" t="s">
        <v>687</v>
      </c>
      <c r="J223" s="553">
        <v>8</v>
      </c>
    </row>
    <row r="224" spans="1:10" ht="12.75">
      <c r="A224" s="553" t="s">
        <v>943</v>
      </c>
      <c r="B224" s="553" t="s">
        <v>1130</v>
      </c>
      <c r="C224" s="553" t="s">
        <v>1131</v>
      </c>
      <c r="D224" s="553" t="s">
        <v>684</v>
      </c>
      <c r="E224" s="553">
        <v>25</v>
      </c>
      <c r="F224" s="553">
        <v>38</v>
      </c>
      <c r="G224" s="553">
        <v>2</v>
      </c>
      <c r="H224" s="555">
        <v>200000</v>
      </c>
      <c r="I224" s="553" t="s">
        <v>687</v>
      </c>
      <c r="J224" s="553">
        <v>8</v>
      </c>
    </row>
    <row r="225" spans="1:10" ht="12.75">
      <c r="A225" s="553" t="s">
        <v>943</v>
      </c>
      <c r="B225" s="553" t="s">
        <v>1132</v>
      </c>
      <c r="C225" s="553" t="s">
        <v>1133</v>
      </c>
      <c r="D225" s="553" t="s">
        <v>684</v>
      </c>
      <c r="E225" s="553">
        <v>28</v>
      </c>
      <c r="F225" s="553">
        <v>38</v>
      </c>
      <c r="G225" s="553">
        <v>2</v>
      </c>
      <c r="H225" s="555">
        <v>224000</v>
      </c>
      <c r="I225" s="553" t="s">
        <v>687</v>
      </c>
      <c r="J225" s="553">
        <v>8</v>
      </c>
    </row>
    <row r="226" spans="1:10" ht="12.75">
      <c r="A226" s="553" t="s">
        <v>943</v>
      </c>
      <c r="B226" s="553" t="s">
        <v>1134</v>
      </c>
      <c r="C226" s="553" t="s">
        <v>1135</v>
      </c>
      <c r="D226" s="553" t="s">
        <v>684</v>
      </c>
      <c r="E226" s="553">
        <v>32</v>
      </c>
      <c r="F226" s="553">
        <v>38</v>
      </c>
      <c r="G226" s="553">
        <v>2</v>
      </c>
      <c r="H226" s="555">
        <v>228000</v>
      </c>
      <c r="I226" s="553" t="s">
        <v>687</v>
      </c>
      <c r="J226" s="553">
        <v>8</v>
      </c>
    </row>
    <row r="227" spans="1:10" ht="12.75">
      <c r="A227" s="553" t="s">
        <v>943</v>
      </c>
      <c r="B227" s="553" t="s">
        <v>1136</v>
      </c>
      <c r="C227" s="553" t="s">
        <v>1137</v>
      </c>
      <c r="D227" s="553" t="s">
        <v>684</v>
      </c>
      <c r="E227" s="553">
        <v>35</v>
      </c>
      <c r="F227" s="553">
        <v>38</v>
      </c>
      <c r="G227" s="553">
        <v>2</v>
      </c>
      <c r="H227" s="555">
        <v>233000</v>
      </c>
      <c r="I227" s="553" t="s">
        <v>687</v>
      </c>
      <c r="J227" s="553">
        <v>6</v>
      </c>
    </row>
    <row r="228" spans="1:10" ht="12.75">
      <c r="A228" s="553" t="s">
        <v>943</v>
      </c>
      <c r="B228" s="553" t="s">
        <v>1138</v>
      </c>
      <c r="C228" s="553" t="s">
        <v>1139</v>
      </c>
      <c r="D228" s="553" t="s">
        <v>684</v>
      </c>
      <c r="E228" s="553">
        <v>42</v>
      </c>
      <c r="F228" s="553">
        <v>38</v>
      </c>
      <c r="G228" s="553">
        <v>2</v>
      </c>
      <c r="H228" s="555">
        <v>246000</v>
      </c>
      <c r="I228" s="553" t="s">
        <v>687</v>
      </c>
      <c r="J228" s="553">
        <v>6</v>
      </c>
    </row>
    <row r="229" spans="1:10" ht="12.75">
      <c r="A229" s="553" t="s">
        <v>943</v>
      </c>
      <c r="B229" s="553" t="s">
        <v>1140</v>
      </c>
      <c r="C229" s="553" t="s">
        <v>1141</v>
      </c>
      <c r="D229" s="553" t="s">
        <v>684</v>
      </c>
      <c r="E229" s="553">
        <v>48</v>
      </c>
      <c r="F229" s="553">
        <v>38</v>
      </c>
      <c r="G229" s="553">
        <v>2</v>
      </c>
      <c r="H229" s="555">
        <v>252000</v>
      </c>
      <c r="I229" s="553" t="s">
        <v>687</v>
      </c>
      <c r="J229" s="553">
        <v>6</v>
      </c>
    </row>
    <row r="230" spans="1:10" ht="12.75">
      <c r="A230" s="553" t="s">
        <v>943</v>
      </c>
      <c r="B230" s="553" t="s">
        <v>1142</v>
      </c>
      <c r="C230" s="553" t="s">
        <v>1143</v>
      </c>
      <c r="D230" s="553" t="s">
        <v>684</v>
      </c>
      <c r="E230" s="553">
        <v>54</v>
      </c>
      <c r="F230" s="553">
        <v>38</v>
      </c>
      <c r="G230" s="553">
        <v>2</v>
      </c>
      <c r="H230" s="555">
        <v>283000</v>
      </c>
      <c r="I230" s="553" t="s">
        <v>687</v>
      </c>
      <c r="J230" s="553">
        <v>4</v>
      </c>
    </row>
    <row r="231" spans="1:10" ht="12.75">
      <c r="A231" s="553" t="s">
        <v>943</v>
      </c>
      <c r="B231" s="553" t="s">
        <v>1144</v>
      </c>
      <c r="C231" s="553" t="s">
        <v>1145</v>
      </c>
      <c r="D231" s="553" t="s">
        <v>684</v>
      </c>
      <c r="E231" s="553">
        <v>60</v>
      </c>
      <c r="F231" s="553">
        <v>38</v>
      </c>
      <c r="G231" s="553">
        <v>2</v>
      </c>
      <c r="H231" s="555">
        <v>300000</v>
      </c>
      <c r="I231" s="553" t="s">
        <v>687</v>
      </c>
      <c r="J231" s="553">
        <v>4</v>
      </c>
    </row>
    <row r="232" spans="1:10" ht="12.75">
      <c r="A232" s="553" t="s">
        <v>943</v>
      </c>
      <c r="B232" s="553" t="s">
        <v>1146</v>
      </c>
      <c r="C232" s="553" t="s">
        <v>1147</v>
      </c>
      <c r="D232" s="553" t="s">
        <v>684</v>
      </c>
      <c r="E232" s="553">
        <v>67</v>
      </c>
      <c r="F232" s="553">
        <v>38</v>
      </c>
      <c r="G232" s="553">
        <v>2</v>
      </c>
      <c r="H232" s="555">
        <v>321000</v>
      </c>
      <c r="I232" s="553" t="s">
        <v>687</v>
      </c>
      <c r="J232" s="553">
        <v>4</v>
      </c>
    </row>
    <row r="233" spans="1:10" ht="12.75">
      <c r="A233" s="553" t="s">
        <v>943</v>
      </c>
      <c r="B233" s="553" t="s">
        <v>1148</v>
      </c>
      <c r="C233" s="553" t="s">
        <v>1149</v>
      </c>
      <c r="D233" s="553" t="s">
        <v>684</v>
      </c>
      <c r="E233" s="553">
        <v>76</v>
      </c>
      <c r="F233" s="553">
        <v>38</v>
      </c>
      <c r="G233" s="553">
        <v>2</v>
      </c>
      <c r="H233" s="555">
        <v>373000</v>
      </c>
      <c r="I233" s="553" t="s">
        <v>687</v>
      </c>
      <c r="J233" s="553">
        <v>3</v>
      </c>
    </row>
    <row r="234" spans="1:10" ht="12.75">
      <c r="A234" s="553" t="s">
        <v>943</v>
      </c>
      <c r="B234" s="553" t="s">
        <v>1150</v>
      </c>
      <c r="C234" s="553" t="s">
        <v>1151</v>
      </c>
      <c r="D234" s="553" t="s">
        <v>684</v>
      </c>
      <c r="E234" s="553">
        <v>90</v>
      </c>
      <c r="F234" s="553">
        <v>38</v>
      </c>
      <c r="G234" s="553">
        <v>2</v>
      </c>
      <c r="H234" s="555">
        <v>416000</v>
      </c>
      <c r="I234" s="553" t="s">
        <v>687</v>
      </c>
      <c r="J234" s="553">
        <v>3</v>
      </c>
    </row>
    <row r="235" spans="1:10" ht="12.75">
      <c r="A235" s="553" t="s">
        <v>943</v>
      </c>
      <c r="B235" s="553" t="s">
        <v>1152</v>
      </c>
      <c r="C235" s="553" t="s">
        <v>1153</v>
      </c>
      <c r="D235" s="553" t="s">
        <v>684</v>
      </c>
      <c r="E235" s="553">
        <v>109</v>
      </c>
      <c r="F235" s="553">
        <v>38</v>
      </c>
      <c r="G235" s="553">
        <v>2</v>
      </c>
      <c r="H235" s="555">
        <v>513000</v>
      </c>
      <c r="I235" s="553" t="s">
        <v>687</v>
      </c>
      <c r="J235" s="553">
        <v>2</v>
      </c>
    </row>
    <row r="236" spans="1:10" ht="12.75">
      <c r="A236" s="553" t="s">
        <v>943</v>
      </c>
      <c r="B236" s="553" t="s">
        <v>1154</v>
      </c>
      <c r="C236" s="553" t="s">
        <v>1155</v>
      </c>
      <c r="D236" s="553" t="s">
        <v>684</v>
      </c>
      <c r="E236" s="553">
        <v>115</v>
      </c>
      <c r="F236" s="553">
        <v>38</v>
      </c>
      <c r="G236" s="553">
        <v>2</v>
      </c>
      <c r="H236" s="555">
        <v>533000</v>
      </c>
      <c r="I236" s="553" t="s">
        <v>687</v>
      </c>
      <c r="J236" s="553">
        <v>2</v>
      </c>
    </row>
    <row r="237" spans="1:10" ht="12.75">
      <c r="A237" s="553" t="s">
        <v>943</v>
      </c>
      <c r="B237" s="553" t="s">
        <v>1156</v>
      </c>
      <c r="C237" s="553" t="s">
        <v>1157</v>
      </c>
      <c r="D237" s="553" t="s">
        <v>684</v>
      </c>
      <c r="E237" s="553">
        <v>140</v>
      </c>
      <c r="F237" s="553">
        <v>38</v>
      </c>
      <c r="G237" s="553">
        <v>2</v>
      </c>
      <c r="H237" s="555">
        <v>622000</v>
      </c>
      <c r="I237" s="553" t="s">
        <v>687</v>
      </c>
      <c r="J237" s="553">
        <v>2</v>
      </c>
    </row>
    <row r="238" spans="1:10" ht="12.75">
      <c r="A238" s="553" t="s">
        <v>943</v>
      </c>
      <c r="B238" s="553" t="s">
        <v>1158</v>
      </c>
      <c r="C238" s="553" t="s">
        <v>1159</v>
      </c>
      <c r="D238" s="553" t="s">
        <v>684</v>
      </c>
      <c r="E238" s="553">
        <v>19</v>
      </c>
      <c r="F238" s="553">
        <v>50</v>
      </c>
      <c r="G238" s="553">
        <v>2</v>
      </c>
      <c r="H238" s="555">
        <v>272000</v>
      </c>
      <c r="I238" s="553" t="s">
        <v>687</v>
      </c>
      <c r="J238" s="553">
        <v>4</v>
      </c>
    </row>
    <row r="239" spans="1:10" ht="12.75">
      <c r="A239" s="553" t="s">
        <v>943</v>
      </c>
      <c r="B239" s="553" t="s">
        <v>1160</v>
      </c>
      <c r="C239" s="553" t="s">
        <v>1161</v>
      </c>
      <c r="D239" s="553" t="s">
        <v>684</v>
      </c>
      <c r="E239" s="553">
        <v>22</v>
      </c>
      <c r="F239" s="553">
        <v>50</v>
      </c>
      <c r="G239" s="553">
        <v>2</v>
      </c>
      <c r="H239" s="555">
        <v>276000</v>
      </c>
      <c r="I239" s="553" t="s">
        <v>687</v>
      </c>
      <c r="J239" s="553">
        <v>4</v>
      </c>
    </row>
    <row r="240" spans="1:10" ht="12.75">
      <c r="A240" s="553" t="s">
        <v>943</v>
      </c>
      <c r="B240" s="553" t="s">
        <v>1162</v>
      </c>
      <c r="C240" s="553" t="s">
        <v>1163</v>
      </c>
      <c r="D240" s="553" t="s">
        <v>684</v>
      </c>
      <c r="E240" s="553">
        <v>25</v>
      </c>
      <c r="F240" s="553">
        <v>50</v>
      </c>
      <c r="G240" s="553">
        <v>2</v>
      </c>
      <c r="H240" s="555">
        <v>321000</v>
      </c>
      <c r="I240" s="553" t="s">
        <v>687</v>
      </c>
      <c r="J240" s="553">
        <v>4</v>
      </c>
    </row>
    <row r="241" spans="1:10" ht="12.75">
      <c r="A241" s="553" t="s">
        <v>943</v>
      </c>
      <c r="B241" s="553" t="s">
        <v>1164</v>
      </c>
      <c r="C241" s="553" t="s">
        <v>1165</v>
      </c>
      <c r="D241" s="553" t="s">
        <v>684</v>
      </c>
      <c r="E241" s="553">
        <v>28</v>
      </c>
      <c r="F241" s="553">
        <v>50</v>
      </c>
      <c r="G241" s="553">
        <v>2</v>
      </c>
      <c r="H241" s="555">
        <v>339000</v>
      </c>
      <c r="I241" s="553" t="s">
        <v>687</v>
      </c>
      <c r="J241" s="553">
        <v>4</v>
      </c>
    </row>
    <row r="242" spans="1:10" ht="12.75">
      <c r="A242" s="553" t="s">
        <v>943</v>
      </c>
      <c r="B242" s="553" t="s">
        <v>1166</v>
      </c>
      <c r="C242" s="553" t="s">
        <v>1167</v>
      </c>
      <c r="D242" s="553" t="s">
        <v>684</v>
      </c>
      <c r="E242" s="553">
        <v>32</v>
      </c>
      <c r="F242" s="553">
        <v>50</v>
      </c>
      <c r="G242" s="553">
        <v>2</v>
      </c>
      <c r="H242" s="555">
        <v>348000</v>
      </c>
      <c r="I242" s="553" t="s">
        <v>687</v>
      </c>
      <c r="J242" s="553">
        <v>4</v>
      </c>
    </row>
    <row r="243" spans="1:10" ht="12.75">
      <c r="A243" s="553" t="s">
        <v>943</v>
      </c>
      <c r="B243" s="553" t="s">
        <v>1168</v>
      </c>
      <c r="C243" s="553" t="s">
        <v>1169</v>
      </c>
      <c r="D243" s="553" t="s">
        <v>684</v>
      </c>
      <c r="E243" s="553">
        <v>35</v>
      </c>
      <c r="F243" s="553">
        <v>50</v>
      </c>
      <c r="G243" s="553">
        <v>2</v>
      </c>
      <c r="H243" s="555">
        <v>356000</v>
      </c>
      <c r="I243" s="553" t="s">
        <v>687</v>
      </c>
      <c r="J243" s="553">
        <v>4</v>
      </c>
    </row>
    <row r="244" spans="1:10" ht="12.75">
      <c r="A244" s="553" t="s">
        <v>943</v>
      </c>
      <c r="B244" s="553" t="s">
        <v>1170</v>
      </c>
      <c r="C244" s="553" t="s">
        <v>1171</v>
      </c>
      <c r="D244" s="553" t="s">
        <v>684</v>
      </c>
      <c r="E244" s="553">
        <v>42</v>
      </c>
      <c r="F244" s="553">
        <v>50</v>
      </c>
      <c r="G244" s="553">
        <v>2</v>
      </c>
      <c r="H244" s="555">
        <v>374000</v>
      </c>
      <c r="I244" s="553" t="s">
        <v>687</v>
      </c>
      <c r="J244" s="553">
        <v>4</v>
      </c>
    </row>
    <row r="245" spans="1:10" ht="12.75">
      <c r="A245" s="553" t="s">
        <v>943</v>
      </c>
      <c r="B245" s="553" t="s">
        <v>1172</v>
      </c>
      <c r="C245" s="553" t="s">
        <v>1173</v>
      </c>
      <c r="D245" s="553" t="s">
        <v>684</v>
      </c>
      <c r="E245" s="553">
        <v>48</v>
      </c>
      <c r="F245" s="553">
        <v>50</v>
      </c>
      <c r="G245" s="553">
        <v>2</v>
      </c>
      <c r="H245" s="555">
        <v>410000</v>
      </c>
      <c r="I245" s="553" t="s">
        <v>687</v>
      </c>
      <c r="J245" s="553">
        <v>3</v>
      </c>
    </row>
    <row r="246" spans="1:10" ht="12.75">
      <c r="A246" s="553" t="s">
        <v>943</v>
      </c>
      <c r="B246" s="553" t="s">
        <v>1174</v>
      </c>
      <c r="C246" s="553" t="s">
        <v>1175</v>
      </c>
      <c r="D246" s="553" t="s">
        <v>684</v>
      </c>
      <c r="E246" s="553">
        <v>54</v>
      </c>
      <c r="F246" s="553">
        <v>50</v>
      </c>
      <c r="G246" s="553">
        <v>2</v>
      </c>
      <c r="H246" s="555">
        <v>470000</v>
      </c>
      <c r="I246" s="553" t="s">
        <v>687</v>
      </c>
      <c r="J246" s="553">
        <v>3</v>
      </c>
    </row>
    <row r="247" spans="1:10" ht="12.75">
      <c r="A247" s="553" t="s">
        <v>943</v>
      </c>
      <c r="B247" s="553" t="s">
        <v>1176</v>
      </c>
      <c r="C247" s="553" t="s">
        <v>1177</v>
      </c>
      <c r="D247" s="553" t="s">
        <v>684</v>
      </c>
      <c r="E247" s="553">
        <v>60</v>
      </c>
      <c r="F247" s="553">
        <v>50</v>
      </c>
      <c r="G247" s="553">
        <v>2</v>
      </c>
      <c r="H247" s="555">
        <v>509000</v>
      </c>
      <c r="I247" s="553" t="s">
        <v>687</v>
      </c>
      <c r="J247" s="553">
        <v>3</v>
      </c>
    </row>
    <row r="248" spans="1:10" ht="12.75">
      <c r="A248" s="553" t="s">
        <v>943</v>
      </c>
      <c r="B248" s="553" t="s">
        <v>1178</v>
      </c>
      <c r="C248" s="553" t="s">
        <v>1179</v>
      </c>
      <c r="D248" s="553" t="s">
        <v>684</v>
      </c>
      <c r="E248" s="553">
        <v>67</v>
      </c>
      <c r="F248" s="553">
        <v>50</v>
      </c>
      <c r="G248" s="553">
        <v>2</v>
      </c>
      <c r="H248" s="555">
        <v>526000</v>
      </c>
      <c r="I248" s="553" t="s">
        <v>687</v>
      </c>
      <c r="J248" s="553">
        <v>3</v>
      </c>
    </row>
    <row r="249" spans="1:10" ht="12.75">
      <c r="A249" s="553" t="s">
        <v>943</v>
      </c>
      <c r="B249" s="553" t="s">
        <v>1180</v>
      </c>
      <c r="C249" s="553" t="s">
        <v>1181</v>
      </c>
      <c r="D249" s="553" t="s">
        <v>684</v>
      </c>
      <c r="E249" s="553">
        <v>76</v>
      </c>
      <c r="F249" s="553">
        <v>50</v>
      </c>
      <c r="G249" s="553">
        <v>2</v>
      </c>
      <c r="H249" s="555">
        <v>613000</v>
      </c>
      <c r="I249" s="553" t="s">
        <v>687</v>
      </c>
      <c r="J249" s="553">
        <v>2</v>
      </c>
    </row>
    <row r="250" spans="1:10" ht="12.75">
      <c r="A250" s="553" t="s">
        <v>943</v>
      </c>
      <c r="B250" s="553" t="s">
        <v>1182</v>
      </c>
      <c r="C250" s="553" t="s">
        <v>1183</v>
      </c>
      <c r="D250" s="553" t="s">
        <v>684</v>
      </c>
      <c r="E250" s="553">
        <v>90</v>
      </c>
      <c r="F250" s="553">
        <v>50</v>
      </c>
      <c r="G250" s="553">
        <v>2</v>
      </c>
      <c r="H250" s="555">
        <v>794000</v>
      </c>
      <c r="I250" s="553" t="s">
        <v>687</v>
      </c>
      <c r="J250" s="553">
        <v>2</v>
      </c>
    </row>
    <row r="251" spans="1:10" ht="12.75">
      <c r="A251" s="553" t="s">
        <v>943</v>
      </c>
      <c r="B251" s="553" t="s">
        <v>1184</v>
      </c>
      <c r="C251" s="553" t="s">
        <v>1185</v>
      </c>
      <c r="D251" s="553" t="s">
        <v>684</v>
      </c>
      <c r="E251" s="553">
        <v>109</v>
      </c>
      <c r="F251" s="553">
        <v>50</v>
      </c>
      <c r="G251" s="553">
        <v>2</v>
      </c>
      <c r="H251" s="555">
        <v>896000</v>
      </c>
      <c r="I251" s="553" t="s">
        <v>687</v>
      </c>
      <c r="J251" s="553">
        <v>2</v>
      </c>
    </row>
    <row r="252" spans="1:10" ht="12.75">
      <c r="A252" s="553" t="s">
        <v>943</v>
      </c>
      <c r="B252" s="553" t="s">
        <v>1186</v>
      </c>
      <c r="C252" s="553" t="s">
        <v>1187</v>
      </c>
      <c r="D252" s="553" t="s">
        <v>684</v>
      </c>
      <c r="E252" s="553">
        <v>115</v>
      </c>
      <c r="F252" s="553">
        <v>50</v>
      </c>
      <c r="G252" s="553">
        <v>2</v>
      </c>
      <c r="H252" s="555">
        <v>939000</v>
      </c>
      <c r="I252" s="553" t="s">
        <v>687</v>
      </c>
      <c r="J252" s="553">
        <v>2</v>
      </c>
    </row>
    <row r="253" spans="1:10" ht="12.75">
      <c r="A253" s="553" t="s">
        <v>943</v>
      </c>
      <c r="B253" s="553" t="s">
        <v>1188</v>
      </c>
      <c r="C253" s="553" t="s">
        <v>1189</v>
      </c>
      <c r="D253" s="553" t="s">
        <v>684</v>
      </c>
      <c r="E253" s="553">
        <v>140</v>
      </c>
      <c r="F253" s="553">
        <v>50</v>
      </c>
      <c r="G253" s="553">
        <v>2</v>
      </c>
      <c r="H253" s="555">
        <v>1060000</v>
      </c>
      <c r="I253" s="553" t="s">
        <v>687</v>
      </c>
      <c r="J253" s="553">
        <v>2</v>
      </c>
    </row>
    <row r="254" spans="1:10" ht="12.75">
      <c r="A254" s="553"/>
      <c r="B254" s="553"/>
      <c r="C254" s="553"/>
      <c r="D254" s="553"/>
      <c r="E254" s="553"/>
      <c r="F254" s="553"/>
      <c r="G254" s="553"/>
      <c r="H254" s="553"/>
      <c r="I254" s="553"/>
      <c r="J254" s="553"/>
    </row>
    <row r="255" spans="1:10" ht="12.75">
      <c r="A255" s="553"/>
      <c r="B255" s="553"/>
      <c r="C255" s="553"/>
      <c r="D255" s="553"/>
      <c r="E255" s="553"/>
      <c r="F255" s="553"/>
      <c r="G255" s="553"/>
      <c r="H255" s="553"/>
      <c r="I255" s="553"/>
      <c r="J255" s="553"/>
    </row>
    <row r="256" spans="1:10" ht="12.75">
      <c r="A256" s="553"/>
      <c r="B256" s="553"/>
      <c r="C256" s="553"/>
      <c r="D256" s="553"/>
      <c r="E256" s="553"/>
      <c r="F256" s="553"/>
      <c r="G256" s="553"/>
      <c r="H256" s="553"/>
      <c r="I256" s="553"/>
      <c r="J256" s="553"/>
    </row>
  </sheetData>
  <mergeCells count="1">
    <mergeCell ref="A1:J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L103"/>
  <sheetViews>
    <sheetView showGridLines="0" workbookViewId="0"/>
  </sheetViews>
  <sheetFormatPr defaultColWidth="12.5703125" defaultRowHeight="15" customHeight="1"/>
  <cols>
    <col min="1" max="1" width="15.5703125" customWidth="1"/>
    <col min="2" max="2" width="13.42578125" customWidth="1"/>
    <col min="3" max="3" width="47" customWidth="1"/>
    <col min="4" max="4" width="6.85546875" customWidth="1"/>
    <col min="5" max="7" width="5.7109375" customWidth="1"/>
    <col min="8" max="8" width="19.42578125" customWidth="1"/>
  </cols>
  <sheetData>
    <row r="1" spans="1:12">
      <c r="A1" s="859" t="s">
        <v>1190</v>
      </c>
      <c r="B1" s="669"/>
      <c r="C1" s="669"/>
      <c r="D1" s="669"/>
      <c r="E1" s="669"/>
      <c r="F1" s="669"/>
      <c r="G1" s="669"/>
      <c r="H1" s="669"/>
      <c r="I1" s="669"/>
      <c r="J1" s="670"/>
      <c r="K1" s="493"/>
      <c r="L1" s="493"/>
    </row>
    <row r="2" spans="1:12">
      <c r="A2" s="556" t="s">
        <v>673</v>
      </c>
      <c r="B2" s="556" t="s">
        <v>674</v>
      </c>
      <c r="C2" s="556" t="s">
        <v>675</v>
      </c>
      <c r="D2" s="557" t="s">
        <v>79</v>
      </c>
      <c r="E2" s="558" t="s">
        <v>676</v>
      </c>
      <c r="F2" s="558" t="s">
        <v>677</v>
      </c>
      <c r="G2" s="558" t="s">
        <v>678</v>
      </c>
      <c r="H2" s="559" t="s">
        <v>679</v>
      </c>
      <c r="I2" s="560" t="s">
        <v>463</v>
      </c>
      <c r="J2" s="561" t="s">
        <v>406</v>
      </c>
      <c r="K2" s="493"/>
      <c r="L2" s="493"/>
    </row>
    <row r="3" spans="1:12">
      <c r="A3" s="562" t="s">
        <v>1191</v>
      </c>
      <c r="B3" s="562" t="s">
        <v>1192</v>
      </c>
      <c r="C3" s="562" t="s">
        <v>1193</v>
      </c>
      <c r="D3" s="562" t="s">
        <v>684</v>
      </c>
      <c r="E3" s="562" t="s">
        <v>1194</v>
      </c>
      <c r="F3" s="563" t="s">
        <v>686</v>
      </c>
      <c r="G3" s="562">
        <v>2</v>
      </c>
      <c r="H3" s="564">
        <v>9200</v>
      </c>
      <c r="I3" s="562" t="s">
        <v>687</v>
      </c>
      <c r="J3" s="562">
        <v>605</v>
      </c>
      <c r="K3" s="493"/>
      <c r="L3" s="493"/>
    </row>
    <row r="4" spans="1:12">
      <c r="A4" s="562" t="s">
        <v>1191</v>
      </c>
      <c r="B4" s="562" t="s">
        <v>1195</v>
      </c>
      <c r="C4" s="562" t="s">
        <v>1196</v>
      </c>
      <c r="D4" s="562" t="s">
        <v>684</v>
      </c>
      <c r="E4" s="562" t="s">
        <v>1197</v>
      </c>
      <c r="F4" s="563" t="s">
        <v>686</v>
      </c>
      <c r="G4" s="562">
        <v>2</v>
      </c>
      <c r="H4" s="564">
        <v>14500</v>
      </c>
      <c r="I4" s="562" t="s">
        <v>687</v>
      </c>
      <c r="J4" s="562" t="s">
        <v>11807</v>
      </c>
      <c r="K4" s="493"/>
      <c r="L4" s="493"/>
    </row>
    <row r="5" spans="1:12">
      <c r="A5" s="562" t="s">
        <v>1191</v>
      </c>
      <c r="B5" s="562" t="s">
        <v>1198</v>
      </c>
      <c r="C5" s="562" t="s">
        <v>1199</v>
      </c>
      <c r="D5" s="562" t="s">
        <v>684</v>
      </c>
      <c r="E5" s="562" t="s">
        <v>1200</v>
      </c>
      <c r="F5" s="563" t="s">
        <v>686</v>
      </c>
      <c r="G5" s="562">
        <v>2</v>
      </c>
      <c r="H5" s="564">
        <v>17600</v>
      </c>
      <c r="I5" s="562" t="s">
        <v>687</v>
      </c>
      <c r="J5" s="562">
        <v>280</v>
      </c>
      <c r="K5" s="493"/>
      <c r="L5" s="493"/>
    </row>
    <row r="6" spans="1:12">
      <c r="A6" s="562" t="s">
        <v>1191</v>
      </c>
      <c r="B6" s="562" t="s">
        <v>1201</v>
      </c>
      <c r="C6" s="562" t="s">
        <v>1202</v>
      </c>
      <c r="D6" s="562" t="s">
        <v>684</v>
      </c>
      <c r="E6" s="562" t="s">
        <v>1203</v>
      </c>
      <c r="F6" s="563" t="s">
        <v>686</v>
      </c>
      <c r="G6" s="562">
        <v>2</v>
      </c>
      <c r="H6" s="564">
        <v>19900</v>
      </c>
      <c r="I6" s="562" t="s">
        <v>687</v>
      </c>
      <c r="J6" s="562" t="s">
        <v>11807</v>
      </c>
      <c r="K6" s="493"/>
      <c r="L6" s="493"/>
    </row>
    <row r="7" spans="1:12">
      <c r="A7" s="562" t="s">
        <v>1191</v>
      </c>
      <c r="B7" s="562" t="s">
        <v>1204</v>
      </c>
      <c r="C7" s="562" t="s">
        <v>1205</v>
      </c>
      <c r="D7" s="562" t="s">
        <v>684</v>
      </c>
      <c r="E7" s="562" t="s">
        <v>1206</v>
      </c>
      <c r="F7" s="562" t="s">
        <v>716</v>
      </c>
      <c r="G7" s="562">
        <v>2</v>
      </c>
      <c r="H7" s="564">
        <v>10700</v>
      </c>
      <c r="I7" s="562" t="s">
        <v>687</v>
      </c>
      <c r="J7" s="562">
        <v>1129</v>
      </c>
      <c r="K7" s="493"/>
      <c r="L7" s="493"/>
    </row>
    <row r="8" spans="1:12">
      <c r="A8" s="562" t="s">
        <v>1191</v>
      </c>
      <c r="B8" s="562" t="s">
        <v>1207</v>
      </c>
      <c r="C8" s="562" t="s">
        <v>1208</v>
      </c>
      <c r="D8" s="562" t="s">
        <v>684</v>
      </c>
      <c r="E8" s="562" t="s">
        <v>1209</v>
      </c>
      <c r="F8" s="562" t="s">
        <v>716</v>
      </c>
      <c r="G8" s="562">
        <v>2</v>
      </c>
      <c r="H8" s="564">
        <v>14500</v>
      </c>
      <c r="I8" s="562" t="s">
        <v>687</v>
      </c>
      <c r="J8" s="562">
        <v>550</v>
      </c>
      <c r="K8" s="493"/>
      <c r="L8" s="493"/>
    </row>
    <row r="9" spans="1:12">
      <c r="A9" s="562" t="s">
        <v>1191</v>
      </c>
      <c r="B9" s="562" t="s">
        <v>1210</v>
      </c>
      <c r="C9" s="562" t="s">
        <v>1211</v>
      </c>
      <c r="D9" s="562" t="s">
        <v>684</v>
      </c>
      <c r="E9" s="562" t="s">
        <v>1212</v>
      </c>
      <c r="F9" s="562" t="s">
        <v>716</v>
      </c>
      <c r="G9" s="562">
        <v>2</v>
      </c>
      <c r="H9" s="564">
        <v>17600</v>
      </c>
      <c r="I9" s="562" t="s">
        <v>687</v>
      </c>
      <c r="J9" s="562">
        <v>171</v>
      </c>
      <c r="K9" s="493"/>
      <c r="L9" s="493"/>
    </row>
    <row r="10" spans="1:12">
      <c r="A10" s="562" t="s">
        <v>1191</v>
      </c>
      <c r="B10" s="562" t="s">
        <v>1213</v>
      </c>
      <c r="C10" s="562" t="s">
        <v>1214</v>
      </c>
      <c r="D10" s="562" t="s">
        <v>684</v>
      </c>
      <c r="E10" s="562" t="s">
        <v>1215</v>
      </c>
      <c r="F10" s="562" t="s">
        <v>716</v>
      </c>
      <c r="G10" s="562">
        <v>2</v>
      </c>
      <c r="H10" s="564">
        <v>19100</v>
      </c>
      <c r="I10" s="562" t="s">
        <v>687</v>
      </c>
      <c r="J10" s="562" t="s">
        <v>11807</v>
      </c>
      <c r="K10" s="493"/>
      <c r="L10" s="493"/>
    </row>
    <row r="11" spans="1:12">
      <c r="A11" s="562" t="s">
        <v>1191</v>
      </c>
      <c r="B11" s="562" t="s">
        <v>1216</v>
      </c>
      <c r="C11" s="562" t="s">
        <v>1217</v>
      </c>
      <c r="D11" s="562" t="s">
        <v>684</v>
      </c>
      <c r="E11" s="562" t="s">
        <v>1197</v>
      </c>
      <c r="F11" s="562" t="s">
        <v>716</v>
      </c>
      <c r="G11" s="562">
        <v>2</v>
      </c>
      <c r="H11" s="564">
        <v>22200</v>
      </c>
      <c r="I11" s="562" t="s">
        <v>687</v>
      </c>
      <c r="J11" s="562">
        <v>726</v>
      </c>
      <c r="K11" s="493"/>
      <c r="L11" s="493"/>
    </row>
    <row r="12" spans="1:12">
      <c r="A12" s="562" t="s">
        <v>1191</v>
      </c>
      <c r="B12" s="562" t="s">
        <v>1218</v>
      </c>
      <c r="C12" s="562" t="s">
        <v>1219</v>
      </c>
      <c r="D12" s="562" t="s">
        <v>684</v>
      </c>
      <c r="E12" s="562" t="s">
        <v>1200</v>
      </c>
      <c r="F12" s="562" t="s">
        <v>716</v>
      </c>
      <c r="G12" s="562">
        <v>2</v>
      </c>
      <c r="H12" s="564">
        <v>26000</v>
      </c>
      <c r="I12" s="562" t="s">
        <v>687</v>
      </c>
      <c r="J12" s="562">
        <v>2277</v>
      </c>
      <c r="K12" s="493"/>
      <c r="L12" s="493"/>
    </row>
    <row r="13" spans="1:12">
      <c r="A13" s="562" t="s">
        <v>1191</v>
      </c>
      <c r="B13" s="562" t="s">
        <v>1220</v>
      </c>
      <c r="C13" s="562" t="s">
        <v>1221</v>
      </c>
      <c r="D13" s="562" t="s">
        <v>684</v>
      </c>
      <c r="E13" s="562" t="s">
        <v>1203</v>
      </c>
      <c r="F13" s="562" t="s">
        <v>716</v>
      </c>
      <c r="G13" s="562">
        <v>2</v>
      </c>
      <c r="H13" s="564">
        <v>30600</v>
      </c>
      <c r="I13" s="562" t="s">
        <v>687</v>
      </c>
      <c r="J13" s="562" t="s">
        <v>11807</v>
      </c>
      <c r="K13" s="493"/>
      <c r="L13" s="493"/>
    </row>
    <row r="14" spans="1:12">
      <c r="A14" s="562" t="s">
        <v>1191</v>
      </c>
      <c r="B14" s="562" t="s">
        <v>1222</v>
      </c>
      <c r="C14" s="562" t="s">
        <v>1223</v>
      </c>
      <c r="D14" s="562" t="s">
        <v>684</v>
      </c>
      <c r="E14" s="562" t="s">
        <v>1224</v>
      </c>
      <c r="F14" s="562" t="s">
        <v>716</v>
      </c>
      <c r="G14" s="562">
        <v>2</v>
      </c>
      <c r="H14" s="564">
        <v>38300</v>
      </c>
      <c r="I14" s="562" t="s">
        <v>687</v>
      </c>
      <c r="J14" s="562">
        <v>737</v>
      </c>
      <c r="K14" s="493"/>
      <c r="L14" s="493"/>
    </row>
    <row r="15" spans="1:12">
      <c r="A15" s="562" t="s">
        <v>1191</v>
      </c>
      <c r="B15" s="562" t="s">
        <v>1225</v>
      </c>
      <c r="C15" s="562" t="s">
        <v>1226</v>
      </c>
      <c r="D15" s="562" t="s">
        <v>684</v>
      </c>
      <c r="E15" s="562" t="s">
        <v>1227</v>
      </c>
      <c r="F15" s="562" t="s">
        <v>716</v>
      </c>
      <c r="G15" s="562">
        <v>2</v>
      </c>
      <c r="H15" s="564">
        <v>58100</v>
      </c>
      <c r="I15" s="562" t="s">
        <v>687</v>
      </c>
      <c r="J15" s="562" t="s">
        <v>11807</v>
      </c>
      <c r="K15" s="493"/>
      <c r="L15" s="493"/>
    </row>
    <row r="16" spans="1:12">
      <c r="A16" s="562" t="s">
        <v>1191</v>
      </c>
      <c r="B16" s="562" t="s">
        <v>1228</v>
      </c>
      <c r="C16" s="562" t="s">
        <v>1229</v>
      </c>
      <c r="D16" s="562" t="s">
        <v>684</v>
      </c>
      <c r="E16" s="562" t="s">
        <v>1206</v>
      </c>
      <c r="F16" s="562" t="s">
        <v>1230</v>
      </c>
      <c r="G16" s="562">
        <v>2</v>
      </c>
      <c r="H16" s="564">
        <v>19100</v>
      </c>
      <c r="I16" s="562" t="s">
        <v>687</v>
      </c>
      <c r="J16" s="562">
        <v>2028</v>
      </c>
      <c r="K16" s="493"/>
      <c r="L16" s="493"/>
    </row>
    <row r="17" spans="1:12">
      <c r="A17" s="562" t="s">
        <v>1191</v>
      </c>
      <c r="B17" s="562" t="s">
        <v>1231</v>
      </c>
      <c r="C17" s="562" t="s">
        <v>1232</v>
      </c>
      <c r="D17" s="562" t="s">
        <v>684</v>
      </c>
      <c r="E17" s="562" t="s">
        <v>1233</v>
      </c>
      <c r="F17" s="562" t="s">
        <v>1230</v>
      </c>
      <c r="G17" s="562">
        <v>2</v>
      </c>
      <c r="H17" s="564">
        <v>21400</v>
      </c>
      <c r="I17" s="562" t="s">
        <v>687</v>
      </c>
      <c r="J17" s="562" t="s">
        <v>11807</v>
      </c>
      <c r="K17" s="493"/>
      <c r="L17" s="493"/>
    </row>
    <row r="18" spans="1:12">
      <c r="A18" s="562" t="s">
        <v>1191</v>
      </c>
      <c r="B18" s="562" t="s">
        <v>1234</v>
      </c>
      <c r="C18" s="562" t="s">
        <v>1235</v>
      </c>
      <c r="D18" s="562" t="s">
        <v>684</v>
      </c>
      <c r="E18" s="562" t="s">
        <v>1209</v>
      </c>
      <c r="F18" s="562" t="s">
        <v>1230</v>
      </c>
      <c r="G18" s="562">
        <v>2</v>
      </c>
      <c r="H18" s="564">
        <v>23000</v>
      </c>
      <c r="I18" s="562" t="s">
        <v>687</v>
      </c>
      <c r="J18" s="562">
        <v>23</v>
      </c>
      <c r="K18" s="493"/>
      <c r="L18" s="493"/>
    </row>
    <row r="19" spans="1:12">
      <c r="A19" s="562" t="s">
        <v>1191</v>
      </c>
      <c r="B19" s="562" t="s">
        <v>1236</v>
      </c>
      <c r="C19" s="562" t="s">
        <v>1237</v>
      </c>
      <c r="D19" s="562" t="s">
        <v>684</v>
      </c>
      <c r="E19" s="562" t="s">
        <v>1194</v>
      </c>
      <c r="F19" s="562" t="s">
        <v>1230</v>
      </c>
      <c r="G19" s="562">
        <v>2</v>
      </c>
      <c r="H19" s="564">
        <v>25200</v>
      </c>
      <c r="I19" s="562" t="s">
        <v>687</v>
      </c>
      <c r="J19" s="562">
        <v>1017</v>
      </c>
      <c r="K19" s="493"/>
      <c r="L19" s="493"/>
    </row>
    <row r="20" spans="1:12">
      <c r="A20" s="562" t="s">
        <v>1191</v>
      </c>
      <c r="B20" s="562" t="s">
        <v>1238</v>
      </c>
      <c r="C20" s="562" t="s">
        <v>1239</v>
      </c>
      <c r="D20" s="562" t="s">
        <v>684</v>
      </c>
      <c r="E20" s="562" t="s">
        <v>1215</v>
      </c>
      <c r="F20" s="562" t="s">
        <v>1230</v>
      </c>
      <c r="G20" s="562">
        <v>2</v>
      </c>
      <c r="H20" s="564">
        <v>31400</v>
      </c>
      <c r="I20" s="562" t="s">
        <v>687</v>
      </c>
      <c r="J20" s="562">
        <v>242</v>
      </c>
      <c r="K20" s="493"/>
      <c r="L20" s="493"/>
    </row>
    <row r="21" spans="1:12">
      <c r="A21" s="562" t="s">
        <v>1191</v>
      </c>
      <c r="B21" s="562" t="s">
        <v>1240</v>
      </c>
      <c r="C21" s="562" t="s">
        <v>1241</v>
      </c>
      <c r="D21" s="562" t="s">
        <v>684</v>
      </c>
      <c r="E21" s="562" t="s">
        <v>1242</v>
      </c>
      <c r="F21" s="562" t="s">
        <v>1230</v>
      </c>
      <c r="G21" s="562">
        <v>2</v>
      </c>
      <c r="H21" s="564">
        <v>33700</v>
      </c>
      <c r="I21" s="562" t="s">
        <v>687</v>
      </c>
      <c r="J21" s="562">
        <v>52</v>
      </c>
      <c r="K21" s="493"/>
      <c r="L21" s="493"/>
    </row>
    <row r="22" spans="1:12">
      <c r="A22" s="562" t="s">
        <v>1191</v>
      </c>
      <c r="B22" s="562" t="s">
        <v>1243</v>
      </c>
      <c r="C22" s="562" t="s">
        <v>1244</v>
      </c>
      <c r="D22" s="562" t="s">
        <v>684</v>
      </c>
      <c r="E22" s="562" t="s">
        <v>1197</v>
      </c>
      <c r="F22" s="562" t="s">
        <v>1230</v>
      </c>
      <c r="G22" s="562">
        <v>2</v>
      </c>
      <c r="H22" s="564">
        <v>36700</v>
      </c>
      <c r="I22" s="562" t="s">
        <v>687</v>
      </c>
      <c r="J22" s="562" t="s">
        <v>11807</v>
      </c>
      <c r="K22" s="493"/>
      <c r="L22" s="493"/>
    </row>
    <row r="23" spans="1:12">
      <c r="A23" s="562" t="s">
        <v>1191</v>
      </c>
      <c r="B23" s="562" t="s">
        <v>1245</v>
      </c>
      <c r="C23" s="562" t="s">
        <v>1246</v>
      </c>
      <c r="D23" s="562" t="s">
        <v>684</v>
      </c>
      <c r="E23" s="562" t="s">
        <v>1203</v>
      </c>
      <c r="F23" s="562" t="s">
        <v>1230</v>
      </c>
      <c r="G23" s="562">
        <v>2</v>
      </c>
      <c r="H23" s="564">
        <v>45900</v>
      </c>
      <c r="I23" s="562" t="s">
        <v>687</v>
      </c>
      <c r="J23" s="562" t="s">
        <v>11807</v>
      </c>
      <c r="K23" s="493"/>
      <c r="L23" s="493"/>
    </row>
    <row r="24" spans="1:12">
      <c r="A24" s="562" t="s">
        <v>1191</v>
      </c>
      <c r="B24" s="562" t="s">
        <v>1247</v>
      </c>
      <c r="C24" s="562" t="s">
        <v>1248</v>
      </c>
      <c r="D24" s="562" t="s">
        <v>684</v>
      </c>
      <c r="E24" s="562" t="s">
        <v>1227</v>
      </c>
      <c r="F24" s="562" t="s">
        <v>1230</v>
      </c>
      <c r="G24" s="562">
        <v>2</v>
      </c>
      <c r="H24" s="564">
        <v>103300</v>
      </c>
      <c r="I24" s="562" t="s">
        <v>687</v>
      </c>
      <c r="J24" s="562" t="s">
        <v>11807</v>
      </c>
      <c r="K24" s="493"/>
      <c r="L24" s="493"/>
    </row>
    <row r="25" spans="1:12">
      <c r="A25" s="562" t="s">
        <v>1191</v>
      </c>
      <c r="B25" s="562" t="s">
        <v>1249</v>
      </c>
      <c r="C25" s="562" t="s">
        <v>1250</v>
      </c>
      <c r="D25" s="562" t="s">
        <v>684</v>
      </c>
      <c r="E25" s="562" t="s">
        <v>1233</v>
      </c>
      <c r="F25" s="562" t="s">
        <v>1212</v>
      </c>
      <c r="G25" s="562">
        <v>2</v>
      </c>
      <c r="H25" s="564">
        <v>35200</v>
      </c>
      <c r="I25" s="562" t="s">
        <v>687</v>
      </c>
      <c r="J25" s="562" t="s">
        <v>11807</v>
      </c>
      <c r="K25" s="493"/>
      <c r="L25" s="493"/>
    </row>
    <row r="26" spans="1:12">
      <c r="A26" s="562" t="s">
        <v>1191</v>
      </c>
      <c r="B26" s="562" t="s">
        <v>1251</v>
      </c>
      <c r="C26" s="562" t="s">
        <v>1252</v>
      </c>
      <c r="D26" s="562" t="s">
        <v>684</v>
      </c>
      <c r="E26" s="562" t="s">
        <v>1212</v>
      </c>
      <c r="F26" s="562" t="s">
        <v>1212</v>
      </c>
      <c r="G26" s="562">
        <v>2</v>
      </c>
      <c r="H26" s="564">
        <v>44400</v>
      </c>
      <c r="I26" s="562" t="s">
        <v>687</v>
      </c>
      <c r="J26" s="562" t="s">
        <v>11807</v>
      </c>
      <c r="K26" s="493"/>
      <c r="L26" s="493"/>
    </row>
    <row r="27" spans="1:12">
      <c r="A27" s="562" t="s">
        <v>1191</v>
      </c>
      <c r="B27" s="562" t="s">
        <v>1253</v>
      </c>
      <c r="C27" s="562" t="s">
        <v>1254</v>
      </c>
      <c r="D27" s="562" t="s">
        <v>684</v>
      </c>
      <c r="E27" s="562" t="s">
        <v>1215</v>
      </c>
      <c r="F27" s="562" t="s">
        <v>1212</v>
      </c>
      <c r="G27" s="562">
        <v>2</v>
      </c>
      <c r="H27" s="564">
        <v>45900</v>
      </c>
      <c r="I27" s="562" t="s">
        <v>687</v>
      </c>
      <c r="J27" s="562" t="s">
        <v>11807</v>
      </c>
      <c r="K27" s="493"/>
      <c r="L27" s="493"/>
    </row>
    <row r="28" spans="1:12">
      <c r="A28" s="562" t="s">
        <v>1191</v>
      </c>
      <c r="B28" s="562" t="s">
        <v>1255</v>
      </c>
      <c r="C28" s="562" t="s">
        <v>1256</v>
      </c>
      <c r="D28" s="562" t="s">
        <v>684</v>
      </c>
      <c r="E28" s="562" t="s">
        <v>1203</v>
      </c>
      <c r="F28" s="562" t="s">
        <v>1212</v>
      </c>
      <c r="G28" s="562">
        <v>2</v>
      </c>
      <c r="H28" s="564">
        <v>68900</v>
      </c>
      <c r="I28" s="562" t="s">
        <v>687</v>
      </c>
      <c r="J28" s="562" t="s">
        <v>11807</v>
      </c>
      <c r="K28" s="493"/>
      <c r="L28" s="493"/>
    </row>
    <row r="29" spans="1:12">
      <c r="A29" s="562" t="s">
        <v>1191</v>
      </c>
      <c r="B29" s="562" t="s">
        <v>1257</v>
      </c>
      <c r="C29" s="562" t="s">
        <v>1258</v>
      </c>
      <c r="D29" s="562" t="s">
        <v>684</v>
      </c>
      <c r="E29" s="562" t="s">
        <v>1259</v>
      </c>
      <c r="F29" s="562" t="s">
        <v>1212</v>
      </c>
      <c r="G29" s="562">
        <v>2</v>
      </c>
      <c r="H29" s="564">
        <v>81900</v>
      </c>
      <c r="I29" s="562" t="s">
        <v>687</v>
      </c>
      <c r="J29" s="562" t="s">
        <v>11807</v>
      </c>
      <c r="K29" s="493"/>
      <c r="L29" s="493"/>
    </row>
    <row r="30" spans="1:12">
      <c r="A30" s="562" t="s">
        <v>1191</v>
      </c>
      <c r="B30" s="562" t="s">
        <v>1260</v>
      </c>
      <c r="C30" s="562" t="s">
        <v>1261</v>
      </c>
      <c r="D30" s="562" t="s">
        <v>684</v>
      </c>
      <c r="E30" s="562" t="s">
        <v>1262</v>
      </c>
      <c r="F30" s="562" t="s">
        <v>1212</v>
      </c>
      <c r="G30" s="562">
        <v>2</v>
      </c>
      <c r="H30" s="564">
        <v>102500</v>
      </c>
      <c r="I30" s="562" t="s">
        <v>687</v>
      </c>
      <c r="J30" s="562" t="s">
        <v>11807</v>
      </c>
      <c r="K30" s="493"/>
      <c r="L30" s="493"/>
    </row>
    <row r="31" spans="1:12">
      <c r="A31" s="562" t="s">
        <v>1191</v>
      </c>
      <c r="B31" s="562" t="s">
        <v>1263</v>
      </c>
      <c r="C31" s="562" t="s">
        <v>1264</v>
      </c>
      <c r="D31" s="562" t="s">
        <v>684</v>
      </c>
      <c r="E31" s="562" t="s">
        <v>1227</v>
      </c>
      <c r="F31" s="562" t="s">
        <v>1212</v>
      </c>
      <c r="G31" s="562">
        <v>2</v>
      </c>
      <c r="H31" s="564">
        <v>122400</v>
      </c>
      <c r="I31" s="562" t="s">
        <v>687</v>
      </c>
      <c r="J31" s="562">
        <v>69</v>
      </c>
      <c r="K31" s="493"/>
      <c r="L31" s="493"/>
    </row>
    <row r="32" spans="1:12">
      <c r="A32" s="562" t="s">
        <v>1191</v>
      </c>
      <c r="B32" s="562" t="s">
        <v>1265</v>
      </c>
      <c r="C32" s="562" t="s">
        <v>1266</v>
      </c>
      <c r="D32" s="562" t="s">
        <v>684</v>
      </c>
      <c r="E32" s="562" t="s">
        <v>1215</v>
      </c>
      <c r="F32" s="562" t="s">
        <v>1242</v>
      </c>
      <c r="G32" s="562">
        <v>2</v>
      </c>
      <c r="H32" s="564">
        <v>97200</v>
      </c>
      <c r="I32" s="562" t="s">
        <v>687</v>
      </c>
      <c r="J32" s="562">
        <v>86</v>
      </c>
      <c r="K32" s="493"/>
      <c r="L32" s="493"/>
    </row>
    <row r="33" spans="1:12">
      <c r="A33" s="562" t="s">
        <v>1191</v>
      </c>
      <c r="B33" s="562" t="s">
        <v>1267</v>
      </c>
      <c r="C33" s="562" t="s">
        <v>1268</v>
      </c>
      <c r="D33" s="562" t="s">
        <v>684</v>
      </c>
      <c r="E33" s="562" t="s">
        <v>1203</v>
      </c>
      <c r="F33" s="562" t="s">
        <v>1242</v>
      </c>
      <c r="G33" s="562">
        <v>2</v>
      </c>
      <c r="H33" s="564">
        <v>146900</v>
      </c>
      <c r="I33" s="562" t="s">
        <v>687</v>
      </c>
      <c r="J33" s="562" t="s">
        <v>11807</v>
      </c>
      <c r="K33" s="493"/>
      <c r="L33" s="493"/>
    </row>
    <row r="34" spans="1:12">
      <c r="A34" s="562" t="s">
        <v>1191</v>
      </c>
      <c r="B34" s="562" t="s">
        <v>1269</v>
      </c>
      <c r="C34" s="562" t="s">
        <v>1270</v>
      </c>
      <c r="D34" s="562" t="s">
        <v>684</v>
      </c>
      <c r="E34" s="562" t="s">
        <v>1227</v>
      </c>
      <c r="F34" s="562" t="s">
        <v>1242</v>
      </c>
      <c r="G34" s="562">
        <v>2</v>
      </c>
      <c r="H34" s="564">
        <v>259300</v>
      </c>
      <c r="I34" s="562" t="s">
        <v>687</v>
      </c>
      <c r="J34" s="562" t="s">
        <v>11807</v>
      </c>
      <c r="K34" s="493"/>
      <c r="L34" s="493"/>
    </row>
    <row r="35" spans="1:12">
      <c r="A35" s="562" t="s">
        <v>1191</v>
      </c>
      <c r="B35" s="562" t="s">
        <v>1271</v>
      </c>
      <c r="C35" s="562" t="s">
        <v>1272</v>
      </c>
      <c r="D35" s="562" t="s">
        <v>684</v>
      </c>
      <c r="E35" s="562" t="s">
        <v>1197</v>
      </c>
      <c r="F35" s="562" t="s">
        <v>1273</v>
      </c>
      <c r="G35" s="562">
        <v>2</v>
      </c>
      <c r="H35" s="564">
        <v>156100</v>
      </c>
      <c r="I35" s="562" t="s">
        <v>687</v>
      </c>
      <c r="J35" s="562">
        <v>27</v>
      </c>
      <c r="K35" s="493"/>
      <c r="L35" s="493"/>
    </row>
    <row r="36" spans="1:12">
      <c r="A36" s="562" t="s">
        <v>1191</v>
      </c>
      <c r="B36" s="562" t="s">
        <v>1274</v>
      </c>
      <c r="C36" s="562" t="s">
        <v>1275</v>
      </c>
      <c r="D36" s="562" t="s">
        <v>684</v>
      </c>
      <c r="E36" s="562" t="s">
        <v>1203</v>
      </c>
      <c r="F36" s="562" t="s">
        <v>1273</v>
      </c>
      <c r="G36" s="562">
        <v>2</v>
      </c>
      <c r="H36" s="564">
        <v>201200</v>
      </c>
      <c r="I36" s="562" t="s">
        <v>687</v>
      </c>
      <c r="J36" s="562">
        <v>3</v>
      </c>
      <c r="K36" s="493"/>
      <c r="L36" s="493"/>
    </row>
    <row r="37" spans="1:12">
      <c r="A37" s="562" t="s">
        <v>1191</v>
      </c>
      <c r="B37" s="562" t="s">
        <v>1276</v>
      </c>
      <c r="C37" s="562" t="s">
        <v>1277</v>
      </c>
      <c r="D37" s="562" t="s">
        <v>684</v>
      </c>
      <c r="E37" s="562" t="s">
        <v>1224</v>
      </c>
      <c r="F37" s="562" t="s">
        <v>1273</v>
      </c>
      <c r="G37" s="562">
        <v>2</v>
      </c>
      <c r="H37" s="564">
        <v>289200</v>
      </c>
      <c r="I37" s="562" t="s">
        <v>687</v>
      </c>
      <c r="J37" s="562">
        <v>1</v>
      </c>
      <c r="K37" s="493"/>
      <c r="L37" s="493"/>
    </row>
    <row r="38" spans="1:12">
      <c r="A38" s="562" t="s">
        <v>1191</v>
      </c>
      <c r="B38" s="562" t="s">
        <v>1278</v>
      </c>
      <c r="C38" s="562" t="s">
        <v>1279</v>
      </c>
      <c r="D38" s="562" t="s">
        <v>684</v>
      </c>
      <c r="E38" s="562" t="s">
        <v>1227</v>
      </c>
      <c r="F38" s="562" t="s">
        <v>1273</v>
      </c>
      <c r="G38" s="562">
        <v>2</v>
      </c>
      <c r="H38" s="564">
        <v>419200</v>
      </c>
      <c r="I38" s="562" t="s">
        <v>687</v>
      </c>
      <c r="J38" s="562">
        <v>12</v>
      </c>
      <c r="K38" s="493"/>
      <c r="L38" s="493"/>
    </row>
    <row r="39" spans="1:12">
      <c r="A39" s="562" t="s">
        <v>1191</v>
      </c>
      <c r="B39" s="562" t="s">
        <v>1280</v>
      </c>
      <c r="C39" s="562" t="s">
        <v>1281</v>
      </c>
      <c r="D39" s="562" t="s">
        <v>684</v>
      </c>
      <c r="E39" s="562" t="s">
        <v>1282</v>
      </c>
      <c r="F39" s="562" t="s">
        <v>1273</v>
      </c>
      <c r="G39" s="562">
        <v>2</v>
      </c>
      <c r="H39" s="564">
        <v>431500</v>
      </c>
      <c r="I39" s="562" t="s">
        <v>687</v>
      </c>
      <c r="J39" s="562">
        <v>28</v>
      </c>
      <c r="K39" s="493"/>
      <c r="L39" s="493"/>
    </row>
    <row r="40" spans="1:12">
      <c r="A40" s="562" t="s">
        <v>1191</v>
      </c>
      <c r="B40" s="562" t="s">
        <v>1283</v>
      </c>
      <c r="C40" s="562" t="s">
        <v>1284</v>
      </c>
      <c r="D40" s="562" t="s">
        <v>684</v>
      </c>
      <c r="E40" s="562" t="s">
        <v>1227</v>
      </c>
      <c r="F40" s="562" t="s">
        <v>1285</v>
      </c>
      <c r="G40" s="562">
        <v>2</v>
      </c>
      <c r="H40" s="564">
        <v>467600</v>
      </c>
      <c r="I40" s="562" t="s">
        <v>687</v>
      </c>
      <c r="J40" s="562">
        <v>5</v>
      </c>
      <c r="K40" s="493"/>
      <c r="L40" s="493"/>
    </row>
    <row r="41" spans="1:12">
      <c r="A41" s="562" t="s">
        <v>1286</v>
      </c>
      <c r="B41" s="562" t="s">
        <v>1287</v>
      </c>
      <c r="C41" s="562" t="s">
        <v>1288</v>
      </c>
      <c r="D41" s="562" t="s">
        <v>684</v>
      </c>
      <c r="E41" s="562" t="s">
        <v>1194</v>
      </c>
      <c r="F41" s="563" t="s">
        <v>686</v>
      </c>
      <c r="G41" s="562">
        <v>2</v>
      </c>
      <c r="H41" s="564">
        <v>9200</v>
      </c>
      <c r="I41" s="562" t="s">
        <v>687</v>
      </c>
      <c r="J41" s="562">
        <v>1204</v>
      </c>
      <c r="K41" s="493"/>
      <c r="L41" s="493"/>
    </row>
    <row r="42" spans="1:12">
      <c r="A42" s="562" t="s">
        <v>1286</v>
      </c>
      <c r="B42" s="562" t="s">
        <v>1289</v>
      </c>
      <c r="C42" s="562" t="s">
        <v>1290</v>
      </c>
      <c r="D42" s="562" t="s">
        <v>684</v>
      </c>
      <c r="E42" s="562" t="s">
        <v>1215</v>
      </c>
      <c r="F42" s="563" t="s">
        <v>686</v>
      </c>
      <c r="G42" s="562">
        <v>2</v>
      </c>
      <c r="H42" s="564">
        <v>12200</v>
      </c>
      <c r="I42" s="562" t="s">
        <v>687</v>
      </c>
      <c r="J42" s="562">
        <v>153</v>
      </c>
      <c r="K42" s="493"/>
      <c r="L42" s="493"/>
    </row>
    <row r="43" spans="1:12">
      <c r="A43" s="562" t="s">
        <v>1286</v>
      </c>
      <c r="B43" s="562" t="s">
        <v>1291</v>
      </c>
      <c r="C43" s="562" t="s">
        <v>1292</v>
      </c>
      <c r="D43" s="562" t="s">
        <v>684</v>
      </c>
      <c r="E43" s="562" t="s">
        <v>1200</v>
      </c>
      <c r="F43" s="563" t="s">
        <v>686</v>
      </c>
      <c r="G43" s="562">
        <v>2</v>
      </c>
      <c r="H43" s="564">
        <v>17600</v>
      </c>
      <c r="I43" s="562" t="s">
        <v>687</v>
      </c>
      <c r="J43" s="562">
        <v>356</v>
      </c>
      <c r="K43" s="493"/>
      <c r="L43" s="493"/>
    </row>
    <row r="44" spans="1:12">
      <c r="A44" s="562" t="s">
        <v>1286</v>
      </c>
      <c r="B44" s="562" t="s">
        <v>1293</v>
      </c>
      <c r="C44" s="562" t="s">
        <v>1294</v>
      </c>
      <c r="D44" s="562" t="s">
        <v>684</v>
      </c>
      <c r="E44" s="562" t="s">
        <v>685</v>
      </c>
      <c r="F44" s="562" t="s">
        <v>716</v>
      </c>
      <c r="G44" s="562">
        <v>2</v>
      </c>
      <c r="H44" s="564">
        <v>7300</v>
      </c>
      <c r="I44" s="562" t="s">
        <v>687</v>
      </c>
      <c r="J44" s="562">
        <v>2395</v>
      </c>
      <c r="K44" s="493"/>
      <c r="L44" s="493"/>
    </row>
    <row r="45" spans="1:12">
      <c r="A45" s="562" t="s">
        <v>1286</v>
      </c>
      <c r="B45" s="562" t="s">
        <v>1295</v>
      </c>
      <c r="C45" s="562" t="s">
        <v>1296</v>
      </c>
      <c r="D45" s="562" t="s">
        <v>684</v>
      </c>
      <c r="E45" s="562" t="s">
        <v>1297</v>
      </c>
      <c r="F45" s="562" t="s">
        <v>716</v>
      </c>
      <c r="G45" s="562">
        <v>2</v>
      </c>
      <c r="H45" s="564">
        <v>8000</v>
      </c>
      <c r="I45" s="562" t="s">
        <v>687</v>
      </c>
      <c r="J45" s="562">
        <v>2569</v>
      </c>
      <c r="K45" s="493"/>
      <c r="L45" s="493"/>
    </row>
    <row r="46" spans="1:12">
      <c r="A46" s="562" t="s">
        <v>1286</v>
      </c>
      <c r="B46" s="562" t="s">
        <v>1298</v>
      </c>
      <c r="C46" s="562" t="s">
        <v>1299</v>
      </c>
      <c r="D46" s="562" t="s">
        <v>684</v>
      </c>
      <c r="E46" s="562" t="s">
        <v>1194</v>
      </c>
      <c r="F46" s="562" t="s">
        <v>716</v>
      </c>
      <c r="G46" s="562">
        <v>2</v>
      </c>
      <c r="H46" s="564">
        <v>16100</v>
      </c>
      <c r="I46" s="562" t="s">
        <v>687</v>
      </c>
      <c r="J46" s="562">
        <v>1154</v>
      </c>
      <c r="K46" s="493"/>
      <c r="L46" s="493"/>
    </row>
    <row r="47" spans="1:12">
      <c r="A47" s="562" t="s">
        <v>1286</v>
      </c>
      <c r="B47" s="562" t="s">
        <v>1300</v>
      </c>
      <c r="C47" s="562" t="s">
        <v>1301</v>
      </c>
      <c r="D47" s="562" t="s">
        <v>684</v>
      </c>
      <c r="E47" s="562" t="s">
        <v>1215</v>
      </c>
      <c r="F47" s="562" t="s">
        <v>716</v>
      </c>
      <c r="G47" s="562">
        <v>2</v>
      </c>
      <c r="H47" s="564">
        <v>19100</v>
      </c>
      <c r="I47" s="562" t="s">
        <v>687</v>
      </c>
      <c r="J47" s="562">
        <v>7</v>
      </c>
      <c r="K47" s="493"/>
      <c r="L47" s="493"/>
    </row>
    <row r="48" spans="1:12">
      <c r="A48" s="562" t="s">
        <v>1286</v>
      </c>
      <c r="B48" s="562" t="s">
        <v>1302</v>
      </c>
      <c r="C48" s="562" t="s">
        <v>1303</v>
      </c>
      <c r="D48" s="562" t="s">
        <v>684</v>
      </c>
      <c r="E48" s="562" t="s">
        <v>1197</v>
      </c>
      <c r="F48" s="562" t="s">
        <v>716</v>
      </c>
      <c r="G48" s="562">
        <v>2</v>
      </c>
      <c r="H48" s="564">
        <v>22200</v>
      </c>
      <c r="I48" s="562" t="s">
        <v>687</v>
      </c>
      <c r="J48" s="562">
        <v>22</v>
      </c>
      <c r="K48" s="493"/>
      <c r="L48" s="493"/>
    </row>
    <row r="49" spans="1:12">
      <c r="A49" s="562" t="s">
        <v>1286</v>
      </c>
      <c r="B49" s="562" t="s">
        <v>1304</v>
      </c>
      <c r="C49" s="562" t="s">
        <v>1305</v>
      </c>
      <c r="D49" s="562" t="s">
        <v>684</v>
      </c>
      <c r="E49" s="562" t="s">
        <v>1200</v>
      </c>
      <c r="F49" s="562" t="s">
        <v>716</v>
      </c>
      <c r="G49" s="562">
        <v>2</v>
      </c>
      <c r="H49" s="564">
        <v>26000</v>
      </c>
      <c r="I49" s="562" t="s">
        <v>687</v>
      </c>
      <c r="J49" s="562">
        <v>148</v>
      </c>
      <c r="K49" s="493"/>
      <c r="L49" s="493"/>
    </row>
    <row r="50" spans="1:12">
      <c r="A50" s="562" t="s">
        <v>1286</v>
      </c>
      <c r="B50" s="562" t="s">
        <v>1306</v>
      </c>
      <c r="C50" s="562" t="s">
        <v>1307</v>
      </c>
      <c r="D50" s="562" t="s">
        <v>684</v>
      </c>
      <c r="E50" s="562" t="s">
        <v>1203</v>
      </c>
      <c r="F50" s="562" t="s">
        <v>716</v>
      </c>
      <c r="G50" s="562">
        <v>2</v>
      </c>
      <c r="H50" s="564">
        <v>30600</v>
      </c>
      <c r="I50" s="562" t="s">
        <v>687</v>
      </c>
      <c r="J50" s="562">
        <v>163</v>
      </c>
      <c r="K50" s="493"/>
      <c r="L50" s="493"/>
    </row>
    <row r="51" spans="1:12">
      <c r="A51" s="562" t="s">
        <v>1286</v>
      </c>
      <c r="B51" s="562" t="s">
        <v>1308</v>
      </c>
      <c r="C51" s="562" t="s">
        <v>1309</v>
      </c>
      <c r="D51" s="562" t="s">
        <v>684</v>
      </c>
      <c r="E51" s="562" t="s">
        <v>1224</v>
      </c>
      <c r="F51" s="562" t="s">
        <v>716</v>
      </c>
      <c r="G51" s="562">
        <v>2</v>
      </c>
      <c r="H51" s="564">
        <v>38300</v>
      </c>
      <c r="I51" s="562" t="s">
        <v>687</v>
      </c>
      <c r="J51" s="562">
        <v>93</v>
      </c>
      <c r="K51" s="493"/>
      <c r="L51" s="493"/>
    </row>
    <row r="52" spans="1:12">
      <c r="A52" s="562" t="s">
        <v>1286</v>
      </c>
      <c r="B52" s="562" t="s">
        <v>1310</v>
      </c>
      <c r="C52" s="562" t="s">
        <v>1311</v>
      </c>
      <c r="D52" s="562" t="s">
        <v>684</v>
      </c>
      <c r="E52" s="562">
        <v>73</v>
      </c>
      <c r="F52" s="562" t="s">
        <v>716</v>
      </c>
      <c r="G52" s="562">
        <v>2</v>
      </c>
      <c r="H52" s="564">
        <v>49700</v>
      </c>
      <c r="I52" s="562" t="s">
        <v>687</v>
      </c>
      <c r="J52" s="562">
        <v>60</v>
      </c>
      <c r="K52" s="493"/>
      <c r="L52" s="493"/>
    </row>
    <row r="53" spans="1:12">
      <c r="A53" s="562" t="s">
        <v>1286</v>
      </c>
      <c r="B53" s="562" t="s">
        <v>1312</v>
      </c>
      <c r="C53" s="562" t="s">
        <v>1313</v>
      </c>
      <c r="D53" s="562" t="s">
        <v>684</v>
      </c>
      <c r="E53" s="562" t="s">
        <v>685</v>
      </c>
      <c r="F53" s="562" t="s">
        <v>1230</v>
      </c>
      <c r="G53" s="562">
        <v>2</v>
      </c>
      <c r="H53" s="564">
        <v>13800</v>
      </c>
      <c r="I53" s="562" t="s">
        <v>687</v>
      </c>
      <c r="J53" s="562">
        <v>1630</v>
      </c>
      <c r="K53" s="493"/>
      <c r="L53" s="493"/>
    </row>
    <row r="54" spans="1:12">
      <c r="A54" s="562" t="s">
        <v>1286</v>
      </c>
      <c r="B54" s="562" t="s">
        <v>1314</v>
      </c>
      <c r="C54" s="562" t="s">
        <v>1315</v>
      </c>
      <c r="D54" s="562" t="s">
        <v>684</v>
      </c>
      <c r="E54" s="562" t="s">
        <v>1206</v>
      </c>
      <c r="F54" s="562" t="s">
        <v>1230</v>
      </c>
      <c r="G54" s="562">
        <v>2</v>
      </c>
      <c r="H54" s="564">
        <v>19100</v>
      </c>
      <c r="I54" s="562" t="s">
        <v>687</v>
      </c>
      <c r="J54" s="562">
        <v>921</v>
      </c>
      <c r="K54" s="493"/>
      <c r="L54" s="493"/>
    </row>
    <row r="55" spans="1:12">
      <c r="A55" s="562" t="s">
        <v>1286</v>
      </c>
      <c r="B55" s="562" t="s">
        <v>1316</v>
      </c>
      <c r="C55" s="562" t="s">
        <v>1317</v>
      </c>
      <c r="D55" s="562" t="s">
        <v>684</v>
      </c>
      <c r="E55" s="562" t="s">
        <v>1233</v>
      </c>
      <c r="F55" s="562" t="s">
        <v>1230</v>
      </c>
      <c r="G55" s="562">
        <v>2</v>
      </c>
      <c r="H55" s="564">
        <v>21400</v>
      </c>
      <c r="I55" s="562" t="s">
        <v>687</v>
      </c>
      <c r="J55" s="562" t="s">
        <v>11807</v>
      </c>
      <c r="K55" s="493"/>
      <c r="L55" s="493"/>
    </row>
    <row r="56" spans="1:12">
      <c r="A56" s="562" t="s">
        <v>1286</v>
      </c>
      <c r="B56" s="562" t="s">
        <v>1318</v>
      </c>
      <c r="C56" s="562" t="s">
        <v>1319</v>
      </c>
      <c r="D56" s="562" t="s">
        <v>684</v>
      </c>
      <c r="E56" s="562" t="s">
        <v>1194</v>
      </c>
      <c r="F56" s="562" t="s">
        <v>1230</v>
      </c>
      <c r="G56" s="562">
        <v>2</v>
      </c>
      <c r="H56" s="564">
        <v>25200</v>
      </c>
      <c r="I56" s="562" t="s">
        <v>687</v>
      </c>
      <c r="J56" s="562">
        <v>132</v>
      </c>
      <c r="K56" s="493"/>
      <c r="L56" s="493"/>
    </row>
    <row r="57" spans="1:12">
      <c r="A57" s="562" t="s">
        <v>1286</v>
      </c>
      <c r="B57" s="562" t="s">
        <v>1320</v>
      </c>
      <c r="C57" s="562" t="s">
        <v>1321</v>
      </c>
      <c r="D57" s="562" t="s">
        <v>684</v>
      </c>
      <c r="E57" s="562" t="s">
        <v>1215</v>
      </c>
      <c r="F57" s="562" t="s">
        <v>1230</v>
      </c>
      <c r="G57" s="562">
        <v>2</v>
      </c>
      <c r="H57" s="564">
        <v>31400</v>
      </c>
      <c r="I57" s="562" t="s">
        <v>687</v>
      </c>
      <c r="J57" s="562">
        <v>36</v>
      </c>
      <c r="K57" s="493"/>
      <c r="L57" s="493"/>
    </row>
    <row r="58" spans="1:12">
      <c r="A58" s="562" t="s">
        <v>1286</v>
      </c>
      <c r="B58" s="562" t="s">
        <v>1322</v>
      </c>
      <c r="C58" s="562" t="s">
        <v>1323</v>
      </c>
      <c r="D58" s="562" t="s">
        <v>684</v>
      </c>
      <c r="E58" s="562" t="s">
        <v>1200</v>
      </c>
      <c r="F58" s="562" t="s">
        <v>1230</v>
      </c>
      <c r="G58" s="562">
        <v>2</v>
      </c>
      <c r="H58" s="564">
        <v>41300</v>
      </c>
      <c r="I58" s="562" t="s">
        <v>687</v>
      </c>
      <c r="J58" s="562">
        <v>389</v>
      </c>
      <c r="K58" s="493"/>
      <c r="L58" s="493"/>
    </row>
    <row r="59" spans="1:12">
      <c r="A59" s="562" t="s">
        <v>1286</v>
      </c>
      <c r="B59" s="562" t="s">
        <v>1324</v>
      </c>
      <c r="C59" s="562" t="s">
        <v>1325</v>
      </c>
      <c r="D59" s="562" t="s">
        <v>684</v>
      </c>
      <c r="E59" s="562" t="s">
        <v>1227</v>
      </c>
      <c r="F59" s="562" t="s">
        <v>1230</v>
      </c>
      <c r="G59" s="562">
        <v>2</v>
      </c>
      <c r="H59" s="564">
        <v>103300</v>
      </c>
      <c r="I59" s="562" t="s">
        <v>687</v>
      </c>
      <c r="J59" s="562" t="s">
        <v>11807</v>
      </c>
      <c r="K59" s="493"/>
      <c r="L59" s="493"/>
    </row>
    <row r="60" spans="1:12">
      <c r="A60" s="562" t="s">
        <v>1286</v>
      </c>
      <c r="B60" s="562" t="s">
        <v>1326</v>
      </c>
      <c r="C60" s="562" t="s">
        <v>1327</v>
      </c>
      <c r="D60" s="562" t="s">
        <v>684</v>
      </c>
      <c r="E60" s="562" t="s">
        <v>1209</v>
      </c>
      <c r="F60" s="562" t="s">
        <v>1212</v>
      </c>
      <c r="G60" s="562">
        <v>2</v>
      </c>
      <c r="H60" s="564">
        <v>38300</v>
      </c>
      <c r="I60" s="562" t="s">
        <v>687</v>
      </c>
      <c r="J60" s="562">
        <v>428</v>
      </c>
      <c r="K60" s="493"/>
      <c r="L60" s="493"/>
    </row>
    <row r="61" spans="1:12">
      <c r="A61" s="562" t="s">
        <v>1286</v>
      </c>
      <c r="B61" s="562" t="s">
        <v>1328</v>
      </c>
      <c r="C61" s="562" t="s">
        <v>1329</v>
      </c>
      <c r="D61" s="562" t="s">
        <v>684</v>
      </c>
      <c r="E61" s="562" t="s">
        <v>1194</v>
      </c>
      <c r="F61" s="562" t="s">
        <v>1212</v>
      </c>
      <c r="G61" s="562">
        <v>2</v>
      </c>
      <c r="H61" s="564">
        <v>42100</v>
      </c>
      <c r="I61" s="562" t="s">
        <v>687</v>
      </c>
      <c r="J61" s="562">
        <v>817</v>
      </c>
      <c r="K61" s="493"/>
      <c r="L61" s="493"/>
    </row>
    <row r="62" spans="1:12">
      <c r="A62" s="562" t="s">
        <v>1286</v>
      </c>
      <c r="B62" s="562" t="s">
        <v>1330</v>
      </c>
      <c r="C62" s="562" t="s">
        <v>1331</v>
      </c>
      <c r="D62" s="562" t="s">
        <v>684</v>
      </c>
      <c r="E62" s="562" t="s">
        <v>1197</v>
      </c>
      <c r="F62" s="562" t="s">
        <v>1212</v>
      </c>
      <c r="G62" s="562">
        <v>2</v>
      </c>
      <c r="H62" s="564">
        <v>54300</v>
      </c>
      <c r="I62" s="562" t="s">
        <v>687</v>
      </c>
      <c r="J62" s="562">
        <v>46</v>
      </c>
      <c r="K62" s="493"/>
      <c r="L62" s="493"/>
    </row>
    <row r="63" spans="1:12">
      <c r="A63" s="562" t="s">
        <v>1286</v>
      </c>
      <c r="B63" s="562" t="s">
        <v>1332</v>
      </c>
      <c r="C63" s="562" t="s">
        <v>1333</v>
      </c>
      <c r="D63" s="562" t="s">
        <v>684</v>
      </c>
      <c r="E63" s="562" t="s">
        <v>1203</v>
      </c>
      <c r="F63" s="562" t="s">
        <v>1242</v>
      </c>
      <c r="G63" s="562">
        <v>2</v>
      </c>
      <c r="H63" s="564">
        <v>146900</v>
      </c>
      <c r="I63" s="562" t="s">
        <v>687</v>
      </c>
      <c r="J63" s="562" t="s">
        <v>11807</v>
      </c>
      <c r="K63" s="493"/>
      <c r="L63" s="493"/>
    </row>
    <row r="64" spans="1:12">
      <c r="A64" s="562" t="s">
        <v>1286</v>
      </c>
      <c r="B64" s="562" t="s">
        <v>1334</v>
      </c>
      <c r="C64" s="562" t="s">
        <v>1335</v>
      </c>
      <c r="D64" s="562" t="s">
        <v>684</v>
      </c>
      <c r="E64" s="562" t="s">
        <v>1262</v>
      </c>
      <c r="F64" s="562" t="s">
        <v>1242</v>
      </c>
      <c r="G64" s="562">
        <v>2</v>
      </c>
      <c r="H64" s="564">
        <v>221900</v>
      </c>
      <c r="I64" s="562" t="s">
        <v>687</v>
      </c>
      <c r="J64" s="562" t="s">
        <v>11807</v>
      </c>
      <c r="K64" s="493"/>
      <c r="L64" s="493"/>
    </row>
    <row r="65" spans="1:12">
      <c r="A65" s="562" t="s">
        <v>1286</v>
      </c>
      <c r="B65" s="562" t="s">
        <v>1336</v>
      </c>
      <c r="C65" s="562" t="s">
        <v>1337</v>
      </c>
      <c r="D65" s="562" t="s">
        <v>684</v>
      </c>
      <c r="E65" s="562" t="s">
        <v>1227</v>
      </c>
      <c r="F65" s="562" t="s">
        <v>1285</v>
      </c>
      <c r="G65" s="562">
        <v>2</v>
      </c>
      <c r="H65" s="564">
        <v>467600</v>
      </c>
      <c r="I65" s="562" t="s">
        <v>687</v>
      </c>
      <c r="J65" s="562">
        <v>1</v>
      </c>
      <c r="K65" s="493"/>
      <c r="L65" s="493"/>
    </row>
    <row r="66" spans="1:12">
      <c r="A66" s="562" t="s">
        <v>1338</v>
      </c>
      <c r="B66" s="562" t="s">
        <v>1339</v>
      </c>
      <c r="C66" s="562" t="s">
        <v>1340</v>
      </c>
      <c r="D66" s="562" t="s">
        <v>684</v>
      </c>
      <c r="E66" s="562" t="s">
        <v>1242</v>
      </c>
      <c r="F66" s="563" t="s">
        <v>686</v>
      </c>
      <c r="G66" s="562">
        <v>2</v>
      </c>
      <c r="H66" s="564">
        <v>14900</v>
      </c>
      <c r="I66" s="562" t="s">
        <v>687</v>
      </c>
      <c r="J66" s="562">
        <v>126</v>
      </c>
      <c r="K66" s="493"/>
      <c r="L66" s="493"/>
    </row>
    <row r="67" spans="1:12">
      <c r="A67" s="562" t="s">
        <v>1338</v>
      </c>
      <c r="B67" s="562" t="s">
        <v>1341</v>
      </c>
      <c r="C67" s="562" t="s">
        <v>1342</v>
      </c>
      <c r="D67" s="562" t="s">
        <v>684</v>
      </c>
      <c r="E67" s="562" t="s">
        <v>1197</v>
      </c>
      <c r="F67" s="563" t="s">
        <v>686</v>
      </c>
      <c r="G67" s="562">
        <v>2</v>
      </c>
      <c r="H67" s="564">
        <v>16600</v>
      </c>
      <c r="I67" s="562" t="s">
        <v>687</v>
      </c>
      <c r="J67" s="562">
        <v>555</v>
      </c>
      <c r="K67" s="493"/>
      <c r="L67" s="493"/>
    </row>
    <row r="68" spans="1:12">
      <c r="A68" s="562" t="s">
        <v>1338</v>
      </c>
      <c r="B68" s="562" t="s">
        <v>1343</v>
      </c>
      <c r="C68" s="562" t="s">
        <v>1344</v>
      </c>
      <c r="D68" s="562" t="s">
        <v>684</v>
      </c>
      <c r="E68" s="562" t="s">
        <v>1200</v>
      </c>
      <c r="F68" s="563" t="s">
        <v>686</v>
      </c>
      <c r="G68" s="562">
        <v>2</v>
      </c>
      <c r="H68" s="564">
        <v>20100</v>
      </c>
      <c r="I68" s="562" t="s">
        <v>687</v>
      </c>
      <c r="J68" s="562">
        <v>21</v>
      </c>
      <c r="K68" s="493"/>
      <c r="L68" s="493"/>
    </row>
    <row r="69" spans="1:12">
      <c r="A69" s="562" t="s">
        <v>1338</v>
      </c>
      <c r="B69" s="562" t="s">
        <v>1345</v>
      </c>
      <c r="C69" s="562" t="s">
        <v>1346</v>
      </c>
      <c r="D69" s="562" t="s">
        <v>684</v>
      </c>
      <c r="E69" s="562" t="s">
        <v>685</v>
      </c>
      <c r="F69" s="562" t="s">
        <v>716</v>
      </c>
      <c r="G69" s="562">
        <v>2</v>
      </c>
      <c r="H69" s="564">
        <v>8300</v>
      </c>
      <c r="I69" s="562" t="s">
        <v>687</v>
      </c>
      <c r="J69" s="562">
        <v>96</v>
      </c>
      <c r="K69" s="493"/>
      <c r="L69" s="493"/>
    </row>
    <row r="70" spans="1:12">
      <c r="A70" s="562" t="s">
        <v>1338</v>
      </c>
      <c r="B70" s="562" t="s">
        <v>1347</v>
      </c>
      <c r="C70" s="562" t="s">
        <v>1348</v>
      </c>
      <c r="D70" s="562" t="s">
        <v>684</v>
      </c>
      <c r="E70" s="562" t="s">
        <v>1297</v>
      </c>
      <c r="F70" s="562" t="s">
        <v>716</v>
      </c>
      <c r="G70" s="562">
        <v>2</v>
      </c>
      <c r="H70" s="564">
        <v>9200</v>
      </c>
      <c r="I70" s="562" t="s">
        <v>687</v>
      </c>
      <c r="J70" s="562">
        <v>671</v>
      </c>
      <c r="K70" s="493"/>
      <c r="L70" s="493"/>
    </row>
    <row r="71" spans="1:12">
      <c r="A71" s="562" t="s">
        <v>1338</v>
      </c>
      <c r="B71" s="562" t="s">
        <v>1349</v>
      </c>
      <c r="C71" s="562" t="s">
        <v>1350</v>
      </c>
      <c r="D71" s="562" t="s">
        <v>684</v>
      </c>
      <c r="E71" s="562" t="s">
        <v>1215</v>
      </c>
      <c r="F71" s="562" t="s">
        <v>716</v>
      </c>
      <c r="G71" s="562">
        <v>2</v>
      </c>
      <c r="H71" s="564">
        <v>21900</v>
      </c>
      <c r="I71" s="562" t="s">
        <v>687</v>
      </c>
      <c r="J71" s="562">
        <v>15</v>
      </c>
      <c r="K71" s="493"/>
      <c r="L71" s="493"/>
    </row>
    <row r="72" spans="1:12">
      <c r="A72" s="562" t="s">
        <v>1338</v>
      </c>
      <c r="B72" s="562" t="s">
        <v>1351</v>
      </c>
      <c r="C72" s="562" t="s">
        <v>1352</v>
      </c>
      <c r="D72" s="562" t="s">
        <v>684</v>
      </c>
      <c r="E72" s="562" t="s">
        <v>1242</v>
      </c>
      <c r="F72" s="562" t="s">
        <v>716</v>
      </c>
      <c r="G72" s="562">
        <v>2</v>
      </c>
      <c r="H72" s="564">
        <v>24500</v>
      </c>
      <c r="I72" s="562" t="s">
        <v>687</v>
      </c>
      <c r="J72" s="562" t="s">
        <v>11807</v>
      </c>
      <c r="K72" s="493"/>
      <c r="L72" s="493"/>
    </row>
    <row r="73" spans="1:12">
      <c r="A73" s="562" t="s">
        <v>1338</v>
      </c>
      <c r="B73" s="562" t="s">
        <v>1353</v>
      </c>
      <c r="C73" s="562" t="s">
        <v>1354</v>
      </c>
      <c r="D73" s="562" t="s">
        <v>684</v>
      </c>
      <c r="E73" s="562" t="s">
        <v>1197</v>
      </c>
      <c r="F73" s="562" t="s">
        <v>716</v>
      </c>
      <c r="G73" s="562">
        <v>2</v>
      </c>
      <c r="H73" s="564">
        <v>25400</v>
      </c>
      <c r="I73" s="562" t="s">
        <v>687</v>
      </c>
      <c r="J73" s="562">
        <v>294</v>
      </c>
      <c r="K73" s="493"/>
      <c r="L73" s="493"/>
    </row>
    <row r="74" spans="1:12">
      <c r="A74" s="562" t="s">
        <v>1338</v>
      </c>
      <c r="B74" s="562" t="s">
        <v>1355</v>
      </c>
      <c r="C74" s="562" t="s">
        <v>1356</v>
      </c>
      <c r="D74" s="562" t="s">
        <v>684</v>
      </c>
      <c r="E74" s="562" t="s">
        <v>1200</v>
      </c>
      <c r="F74" s="562" t="s">
        <v>716</v>
      </c>
      <c r="G74" s="562">
        <v>2</v>
      </c>
      <c r="H74" s="564">
        <v>29700</v>
      </c>
      <c r="I74" s="562" t="s">
        <v>687</v>
      </c>
      <c r="J74" s="562" t="s">
        <v>11807</v>
      </c>
      <c r="K74" s="493"/>
      <c r="L74" s="493"/>
    </row>
    <row r="75" spans="1:12">
      <c r="A75" s="562" t="s">
        <v>1338</v>
      </c>
      <c r="B75" s="562" t="s">
        <v>1357</v>
      </c>
      <c r="C75" s="562" t="s">
        <v>1358</v>
      </c>
      <c r="D75" s="562" t="s">
        <v>684</v>
      </c>
      <c r="E75" s="562" t="s">
        <v>1203</v>
      </c>
      <c r="F75" s="562" t="s">
        <v>716</v>
      </c>
      <c r="G75" s="562">
        <v>2</v>
      </c>
      <c r="H75" s="564">
        <v>35000</v>
      </c>
      <c r="I75" s="562" t="s">
        <v>687</v>
      </c>
      <c r="J75" s="562" t="s">
        <v>11807</v>
      </c>
      <c r="K75" s="493"/>
      <c r="L75" s="493"/>
    </row>
    <row r="76" spans="1:12">
      <c r="A76" s="562" t="s">
        <v>1338</v>
      </c>
      <c r="B76" s="562" t="s">
        <v>1359</v>
      </c>
      <c r="C76" s="562" t="s">
        <v>1360</v>
      </c>
      <c r="D76" s="562" t="s">
        <v>684</v>
      </c>
      <c r="E76" s="562" t="s">
        <v>1224</v>
      </c>
      <c r="F76" s="562" t="s">
        <v>716</v>
      </c>
      <c r="G76" s="562">
        <v>2</v>
      </c>
      <c r="H76" s="564">
        <v>43700</v>
      </c>
      <c r="I76" s="562" t="s">
        <v>687</v>
      </c>
      <c r="J76" s="562">
        <v>61</v>
      </c>
      <c r="K76" s="493"/>
      <c r="L76" s="493"/>
    </row>
    <row r="77" spans="1:12">
      <c r="A77" s="562" t="s">
        <v>1338</v>
      </c>
      <c r="B77" s="562" t="s">
        <v>1361</v>
      </c>
      <c r="C77" s="562" t="s">
        <v>1362</v>
      </c>
      <c r="D77" s="562" t="s">
        <v>684</v>
      </c>
      <c r="E77" s="562" t="s">
        <v>1227</v>
      </c>
      <c r="F77" s="562" t="s">
        <v>716</v>
      </c>
      <c r="G77" s="562">
        <v>2</v>
      </c>
      <c r="H77" s="564">
        <v>66400</v>
      </c>
      <c r="I77" s="562" t="s">
        <v>687</v>
      </c>
      <c r="J77" s="562">
        <v>119</v>
      </c>
      <c r="K77" s="493"/>
      <c r="L77" s="493"/>
    </row>
    <row r="78" spans="1:12">
      <c r="A78" s="562" t="s">
        <v>1338</v>
      </c>
      <c r="B78" s="562" t="s">
        <v>1363</v>
      </c>
      <c r="C78" s="562" t="s">
        <v>1364</v>
      </c>
      <c r="D78" s="562" t="s">
        <v>684</v>
      </c>
      <c r="E78" s="562" t="s">
        <v>685</v>
      </c>
      <c r="F78" s="562" t="s">
        <v>1230</v>
      </c>
      <c r="G78" s="562">
        <v>2</v>
      </c>
      <c r="H78" s="564">
        <v>15700</v>
      </c>
      <c r="I78" s="562" t="s">
        <v>687</v>
      </c>
      <c r="J78" s="562" t="s">
        <v>11807</v>
      </c>
      <c r="K78" s="493"/>
      <c r="L78" s="493"/>
    </row>
    <row r="79" spans="1:12">
      <c r="A79" s="562" t="s">
        <v>1338</v>
      </c>
      <c r="B79" s="562" t="s">
        <v>1365</v>
      </c>
      <c r="C79" s="562" t="s">
        <v>1366</v>
      </c>
      <c r="D79" s="562" t="s">
        <v>684</v>
      </c>
      <c r="E79" s="562" t="s">
        <v>1297</v>
      </c>
      <c r="F79" s="562" t="s">
        <v>1230</v>
      </c>
      <c r="G79" s="562">
        <v>2</v>
      </c>
      <c r="H79" s="564">
        <v>18400</v>
      </c>
      <c r="I79" s="562" t="s">
        <v>687</v>
      </c>
      <c r="J79" s="562" t="s">
        <v>11807</v>
      </c>
      <c r="K79" s="493"/>
      <c r="L79" s="493"/>
    </row>
    <row r="80" spans="1:12">
      <c r="A80" s="562" t="s">
        <v>1338</v>
      </c>
      <c r="B80" s="562" t="s">
        <v>1367</v>
      </c>
      <c r="C80" s="562" t="s">
        <v>1368</v>
      </c>
      <c r="D80" s="562" t="s">
        <v>684</v>
      </c>
      <c r="E80" s="562" t="s">
        <v>1206</v>
      </c>
      <c r="F80" s="562" t="s">
        <v>1230</v>
      </c>
      <c r="G80" s="562">
        <v>2</v>
      </c>
      <c r="H80" s="564">
        <v>21900</v>
      </c>
      <c r="I80" s="562" t="s">
        <v>687</v>
      </c>
      <c r="J80" s="562">
        <v>745</v>
      </c>
      <c r="K80" s="493"/>
      <c r="L80" s="493"/>
    </row>
    <row r="81" spans="1:12">
      <c r="A81" s="562" t="s">
        <v>1338</v>
      </c>
      <c r="B81" s="562" t="s">
        <v>1369</v>
      </c>
      <c r="C81" s="562" t="s">
        <v>1370</v>
      </c>
      <c r="D81" s="562" t="s">
        <v>684</v>
      </c>
      <c r="E81" s="562" t="s">
        <v>1233</v>
      </c>
      <c r="F81" s="562" t="s">
        <v>1230</v>
      </c>
      <c r="G81" s="562">
        <v>2</v>
      </c>
      <c r="H81" s="564">
        <v>24500</v>
      </c>
      <c r="I81" s="562" t="s">
        <v>687</v>
      </c>
      <c r="J81" s="562" t="s">
        <v>11807</v>
      </c>
      <c r="K81" s="493"/>
      <c r="L81" s="493"/>
    </row>
    <row r="82" spans="1:12">
      <c r="A82" s="562" t="s">
        <v>1338</v>
      </c>
      <c r="B82" s="562" t="s">
        <v>1371</v>
      </c>
      <c r="C82" s="562" t="s">
        <v>1372</v>
      </c>
      <c r="D82" s="562" t="s">
        <v>684</v>
      </c>
      <c r="E82" s="562" t="s">
        <v>1209</v>
      </c>
      <c r="F82" s="562" t="s">
        <v>1230</v>
      </c>
      <c r="G82" s="562">
        <v>2</v>
      </c>
      <c r="H82" s="564">
        <v>26200</v>
      </c>
      <c r="I82" s="562" t="s">
        <v>687</v>
      </c>
      <c r="J82" s="562">
        <v>875</v>
      </c>
      <c r="K82" s="493"/>
      <c r="L82" s="493"/>
    </row>
    <row r="83" spans="1:12">
      <c r="A83" s="562" t="s">
        <v>1338</v>
      </c>
      <c r="B83" s="562" t="s">
        <v>1373</v>
      </c>
      <c r="C83" s="562" t="s">
        <v>1374</v>
      </c>
      <c r="D83" s="562" t="s">
        <v>684</v>
      </c>
      <c r="E83" s="562" t="s">
        <v>1194</v>
      </c>
      <c r="F83" s="562" t="s">
        <v>1230</v>
      </c>
      <c r="G83" s="562">
        <v>2</v>
      </c>
      <c r="H83" s="564">
        <v>28900</v>
      </c>
      <c r="I83" s="562" t="s">
        <v>687</v>
      </c>
      <c r="J83" s="562" t="s">
        <v>11807</v>
      </c>
      <c r="K83" s="493"/>
      <c r="L83" s="493"/>
    </row>
    <row r="84" spans="1:12">
      <c r="A84" s="562" t="s">
        <v>1338</v>
      </c>
      <c r="B84" s="562" t="s">
        <v>1375</v>
      </c>
      <c r="C84" s="562" t="s">
        <v>1376</v>
      </c>
      <c r="D84" s="562" t="s">
        <v>684</v>
      </c>
      <c r="E84" s="562" t="s">
        <v>1215</v>
      </c>
      <c r="F84" s="562" t="s">
        <v>1230</v>
      </c>
      <c r="G84" s="562">
        <v>2</v>
      </c>
      <c r="H84" s="564">
        <v>35800</v>
      </c>
      <c r="I84" s="562" t="s">
        <v>687</v>
      </c>
      <c r="J84" s="562">
        <v>1176</v>
      </c>
      <c r="K84" s="493"/>
      <c r="L84" s="493"/>
    </row>
    <row r="85" spans="1:12">
      <c r="A85" s="562" t="s">
        <v>1338</v>
      </c>
      <c r="B85" s="562" t="s">
        <v>1377</v>
      </c>
      <c r="C85" s="562" t="s">
        <v>1378</v>
      </c>
      <c r="D85" s="562" t="s">
        <v>684</v>
      </c>
      <c r="E85" s="562" t="s">
        <v>1242</v>
      </c>
      <c r="F85" s="562" t="s">
        <v>1230</v>
      </c>
      <c r="G85" s="562">
        <v>2</v>
      </c>
      <c r="H85" s="564">
        <v>38500</v>
      </c>
      <c r="I85" s="562" t="s">
        <v>687</v>
      </c>
      <c r="J85" s="562" t="s">
        <v>11807</v>
      </c>
      <c r="K85" s="493"/>
      <c r="L85" s="493"/>
    </row>
    <row r="86" spans="1:12">
      <c r="A86" s="562" t="s">
        <v>1338</v>
      </c>
      <c r="B86" s="562" t="s">
        <v>1379</v>
      </c>
      <c r="C86" s="562" t="s">
        <v>1380</v>
      </c>
      <c r="D86" s="562" t="s">
        <v>684</v>
      </c>
      <c r="E86" s="562" t="s">
        <v>1197</v>
      </c>
      <c r="F86" s="562" t="s">
        <v>1230</v>
      </c>
      <c r="G86" s="562">
        <v>2</v>
      </c>
      <c r="H86" s="564">
        <v>42000</v>
      </c>
      <c r="I86" s="562" t="s">
        <v>687</v>
      </c>
      <c r="J86" s="562">
        <v>40</v>
      </c>
      <c r="K86" s="493"/>
      <c r="L86" s="493"/>
    </row>
    <row r="87" spans="1:12">
      <c r="A87" s="562" t="s">
        <v>1338</v>
      </c>
      <c r="B87" s="562" t="s">
        <v>1381</v>
      </c>
      <c r="C87" s="562" t="s">
        <v>1382</v>
      </c>
      <c r="D87" s="562" t="s">
        <v>684</v>
      </c>
      <c r="E87" s="562" t="s">
        <v>1200</v>
      </c>
      <c r="F87" s="562" t="s">
        <v>1230</v>
      </c>
      <c r="G87" s="562">
        <v>2</v>
      </c>
      <c r="H87" s="564">
        <v>47200</v>
      </c>
      <c r="I87" s="562" t="s">
        <v>687</v>
      </c>
      <c r="J87" s="562" t="s">
        <v>11807</v>
      </c>
      <c r="K87" s="493"/>
      <c r="L87" s="493"/>
    </row>
    <row r="88" spans="1:12">
      <c r="A88" s="562" t="s">
        <v>1338</v>
      </c>
      <c r="B88" s="562" t="s">
        <v>1383</v>
      </c>
      <c r="C88" s="562" t="s">
        <v>1384</v>
      </c>
      <c r="D88" s="562" t="s">
        <v>684</v>
      </c>
      <c r="E88" s="562" t="s">
        <v>1203</v>
      </c>
      <c r="F88" s="562" t="s">
        <v>1230</v>
      </c>
      <c r="G88" s="562">
        <v>2</v>
      </c>
      <c r="H88" s="564">
        <v>52500</v>
      </c>
      <c r="I88" s="562" t="s">
        <v>687</v>
      </c>
      <c r="J88" s="562" t="s">
        <v>11807</v>
      </c>
      <c r="K88" s="493"/>
      <c r="L88" s="493"/>
    </row>
    <row r="89" spans="1:12">
      <c r="A89" s="562" t="s">
        <v>1338</v>
      </c>
      <c r="B89" s="562" t="s">
        <v>1385</v>
      </c>
      <c r="C89" s="562" t="s">
        <v>1386</v>
      </c>
      <c r="D89" s="562" t="s">
        <v>684</v>
      </c>
      <c r="E89" s="562" t="s">
        <v>1224</v>
      </c>
      <c r="F89" s="562" t="s">
        <v>1230</v>
      </c>
      <c r="G89" s="562">
        <v>2</v>
      </c>
      <c r="H89" s="564">
        <v>83900</v>
      </c>
      <c r="I89" s="562" t="s">
        <v>687</v>
      </c>
      <c r="J89" s="562" t="s">
        <v>11807</v>
      </c>
      <c r="K89" s="493"/>
      <c r="L89" s="493"/>
    </row>
    <row r="90" spans="1:12">
      <c r="A90" s="562" t="s">
        <v>1338</v>
      </c>
      <c r="B90" s="562" t="s">
        <v>1387</v>
      </c>
      <c r="C90" s="562" t="s">
        <v>1388</v>
      </c>
      <c r="D90" s="562" t="s">
        <v>684</v>
      </c>
      <c r="E90" s="562" t="s">
        <v>1227</v>
      </c>
      <c r="F90" s="562" t="s">
        <v>1230</v>
      </c>
      <c r="G90" s="562">
        <v>2</v>
      </c>
      <c r="H90" s="564">
        <v>118000</v>
      </c>
      <c r="I90" s="562" t="s">
        <v>687</v>
      </c>
      <c r="J90" s="562" t="s">
        <v>11807</v>
      </c>
      <c r="K90" s="493"/>
      <c r="L90" s="493"/>
    </row>
    <row r="91" spans="1:12">
      <c r="A91" s="562" t="s">
        <v>1338</v>
      </c>
      <c r="B91" s="562" t="s">
        <v>1389</v>
      </c>
      <c r="C91" s="562" t="s">
        <v>1390</v>
      </c>
      <c r="D91" s="562" t="s">
        <v>684</v>
      </c>
      <c r="E91" s="562" t="s">
        <v>1206</v>
      </c>
      <c r="F91" s="562" t="s">
        <v>1212</v>
      </c>
      <c r="G91" s="562">
        <v>2</v>
      </c>
      <c r="H91" s="564">
        <v>33200</v>
      </c>
      <c r="I91" s="562" t="s">
        <v>687</v>
      </c>
      <c r="J91" s="562" t="s">
        <v>11807</v>
      </c>
      <c r="K91" s="493"/>
      <c r="L91" s="493"/>
    </row>
    <row r="92" spans="1:12">
      <c r="A92" s="562" t="s">
        <v>1338</v>
      </c>
      <c r="B92" s="562" t="s">
        <v>1391</v>
      </c>
      <c r="C92" s="562" t="s">
        <v>1392</v>
      </c>
      <c r="D92" s="562" t="s">
        <v>684</v>
      </c>
      <c r="E92" s="562" t="s">
        <v>1209</v>
      </c>
      <c r="F92" s="562" t="s">
        <v>1212</v>
      </c>
      <c r="G92" s="562">
        <v>2</v>
      </c>
      <c r="H92" s="564">
        <v>43700</v>
      </c>
      <c r="I92" s="562" t="s">
        <v>687</v>
      </c>
      <c r="J92" s="562" t="s">
        <v>11807</v>
      </c>
      <c r="K92" s="493"/>
      <c r="L92" s="493"/>
    </row>
    <row r="93" spans="1:12">
      <c r="A93" s="562" t="s">
        <v>1338</v>
      </c>
      <c r="B93" s="562" t="s">
        <v>1393</v>
      </c>
      <c r="C93" s="562" t="s">
        <v>1394</v>
      </c>
      <c r="D93" s="562" t="s">
        <v>684</v>
      </c>
      <c r="E93" s="562" t="s">
        <v>1215</v>
      </c>
      <c r="F93" s="562" t="s">
        <v>1212</v>
      </c>
      <c r="G93" s="562">
        <v>2</v>
      </c>
      <c r="H93" s="564">
        <v>52500</v>
      </c>
      <c r="I93" s="562" t="s">
        <v>687</v>
      </c>
      <c r="J93" s="562">
        <v>26</v>
      </c>
      <c r="K93" s="493"/>
      <c r="L93" s="493"/>
    </row>
    <row r="94" spans="1:12">
      <c r="A94" s="562" t="s">
        <v>1338</v>
      </c>
      <c r="B94" s="562" t="s">
        <v>1395</v>
      </c>
      <c r="C94" s="562" t="s">
        <v>1396</v>
      </c>
      <c r="D94" s="562" t="s">
        <v>684</v>
      </c>
      <c r="E94" s="562" t="s">
        <v>1197</v>
      </c>
      <c r="F94" s="562" t="s">
        <v>1212</v>
      </c>
      <c r="G94" s="562">
        <v>2</v>
      </c>
      <c r="H94" s="564">
        <v>62100</v>
      </c>
      <c r="I94" s="562" t="s">
        <v>687</v>
      </c>
      <c r="J94" s="562">
        <v>810</v>
      </c>
      <c r="K94" s="493"/>
      <c r="L94" s="493"/>
    </row>
    <row r="95" spans="1:12">
      <c r="A95" s="562" t="s">
        <v>1338</v>
      </c>
      <c r="B95" s="562" t="s">
        <v>1397</v>
      </c>
      <c r="C95" s="562" t="s">
        <v>1398</v>
      </c>
      <c r="D95" s="562" t="s">
        <v>684</v>
      </c>
      <c r="E95" s="562" t="s">
        <v>1203</v>
      </c>
      <c r="F95" s="562" t="s">
        <v>1212</v>
      </c>
      <c r="G95" s="562">
        <v>2</v>
      </c>
      <c r="H95" s="564">
        <v>78700</v>
      </c>
      <c r="I95" s="562" t="s">
        <v>687</v>
      </c>
      <c r="J95" s="562">
        <v>40</v>
      </c>
      <c r="K95" s="493"/>
      <c r="L95" s="493"/>
    </row>
    <row r="96" spans="1:12">
      <c r="A96" s="562" t="s">
        <v>1338</v>
      </c>
      <c r="B96" s="562" t="s">
        <v>1399</v>
      </c>
      <c r="C96" s="562" t="s">
        <v>1400</v>
      </c>
      <c r="D96" s="562" t="s">
        <v>684</v>
      </c>
      <c r="E96" s="562" t="s">
        <v>1224</v>
      </c>
      <c r="F96" s="562" t="s">
        <v>1212</v>
      </c>
      <c r="G96" s="562">
        <v>2</v>
      </c>
      <c r="H96" s="564">
        <v>96200</v>
      </c>
      <c r="I96" s="562" t="s">
        <v>687</v>
      </c>
      <c r="J96" s="562">
        <v>32</v>
      </c>
      <c r="K96" s="493"/>
      <c r="L96" s="493"/>
    </row>
    <row r="97" spans="1:12">
      <c r="A97" s="562" t="s">
        <v>1338</v>
      </c>
      <c r="B97" s="562" t="s">
        <v>1401</v>
      </c>
      <c r="C97" s="562" t="s">
        <v>1402</v>
      </c>
      <c r="D97" s="562" t="s">
        <v>684</v>
      </c>
      <c r="E97" s="562" t="s">
        <v>1262</v>
      </c>
      <c r="F97" s="562" t="s">
        <v>1212</v>
      </c>
      <c r="G97" s="562">
        <v>2</v>
      </c>
      <c r="H97" s="564">
        <v>117200</v>
      </c>
      <c r="I97" s="562" t="s">
        <v>687</v>
      </c>
      <c r="J97" s="562">
        <v>42</v>
      </c>
      <c r="K97" s="493"/>
      <c r="L97" s="493"/>
    </row>
    <row r="98" spans="1:12">
      <c r="A98" s="562" t="s">
        <v>1338</v>
      </c>
      <c r="B98" s="562" t="s">
        <v>1403</v>
      </c>
      <c r="C98" s="562" t="s">
        <v>1404</v>
      </c>
      <c r="D98" s="562" t="s">
        <v>684</v>
      </c>
      <c r="E98" s="562" t="s">
        <v>1227</v>
      </c>
      <c r="F98" s="562" t="s">
        <v>1212</v>
      </c>
      <c r="G98" s="562">
        <v>2</v>
      </c>
      <c r="H98" s="564">
        <v>139900</v>
      </c>
      <c r="I98" s="562" t="s">
        <v>687</v>
      </c>
      <c r="J98" s="562">
        <v>78</v>
      </c>
      <c r="K98" s="493"/>
      <c r="L98" s="493"/>
    </row>
    <row r="99" spans="1:12">
      <c r="A99" s="562" t="s">
        <v>1338</v>
      </c>
      <c r="B99" s="562" t="s">
        <v>1405</v>
      </c>
      <c r="C99" s="562" t="s">
        <v>1406</v>
      </c>
      <c r="D99" s="562" t="s">
        <v>684</v>
      </c>
      <c r="E99" s="562" t="s">
        <v>1282</v>
      </c>
      <c r="F99" s="562" t="s">
        <v>1242</v>
      </c>
      <c r="G99" s="562">
        <v>2</v>
      </c>
      <c r="H99" s="564">
        <v>409200</v>
      </c>
      <c r="I99" s="562" t="s">
        <v>687</v>
      </c>
      <c r="J99" s="562" t="s">
        <v>11807</v>
      </c>
      <c r="K99" s="493"/>
      <c r="L99" s="493"/>
    </row>
    <row r="100" spans="1:12">
      <c r="A100" s="562" t="s">
        <v>1338</v>
      </c>
      <c r="B100" s="562" t="s">
        <v>1407</v>
      </c>
      <c r="C100" s="562" t="s">
        <v>1408</v>
      </c>
      <c r="D100" s="562" t="s">
        <v>684</v>
      </c>
      <c r="E100" s="562" t="s">
        <v>1224</v>
      </c>
      <c r="F100" s="562" t="s">
        <v>1409</v>
      </c>
      <c r="G100" s="562">
        <v>2</v>
      </c>
      <c r="H100" s="564">
        <v>330500</v>
      </c>
      <c r="I100" s="562" t="s">
        <v>687</v>
      </c>
      <c r="J100" s="562">
        <v>5</v>
      </c>
      <c r="K100" s="493"/>
      <c r="L100" s="493"/>
    </row>
    <row r="101" spans="1:12">
      <c r="A101" s="562" t="s">
        <v>1338</v>
      </c>
      <c r="B101" s="562" t="s">
        <v>1410</v>
      </c>
      <c r="C101" s="562" t="s">
        <v>1411</v>
      </c>
      <c r="D101" s="562" t="s">
        <v>684</v>
      </c>
      <c r="E101" s="562" t="s">
        <v>1282</v>
      </c>
      <c r="F101" s="562" t="s">
        <v>1409</v>
      </c>
      <c r="G101" s="562">
        <v>2</v>
      </c>
      <c r="H101" s="564">
        <v>493100</v>
      </c>
      <c r="I101" s="562" t="s">
        <v>687</v>
      </c>
      <c r="J101" s="562">
        <v>20</v>
      </c>
      <c r="K101" s="493"/>
      <c r="L101" s="493"/>
    </row>
    <row r="102" spans="1:12">
      <c r="A102" s="562" t="s">
        <v>1338</v>
      </c>
      <c r="B102" s="562" t="s">
        <v>1412</v>
      </c>
      <c r="C102" s="562" t="s">
        <v>1413</v>
      </c>
      <c r="D102" s="562" t="s">
        <v>684</v>
      </c>
      <c r="E102" s="562" t="s">
        <v>1262</v>
      </c>
      <c r="F102" s="562" t="s">
        <v>1285</v>
      </c>
      <c r="G102" s="562">
        <v>2</v>
      </c>
      <c r="H102" s="564">
        <v>518400</v>
      </c>
      <c r="I102" s="562" t="s">
        <v>687</v>
      </c>
      <c r="J102" s="562">
        <v>6</v>
      </c>
      <c r="K102" s="493"/>
      <c r="L102" s="493"/>
    </row>
    <row r="103" spans="1:12">
      <c r="A103" s="562" t="s">
        <v>1338</v>
      </c>
      <c r="B103" s="562" t="s">
        <v>1414</v>
      </c>
      <c r="C103" s="562" t="s">
        <v>1415</v>
      </c>
      <c r="D103" s="562" t="s">
        <v>684</v>
      </c>
      <c r="E103" s="562" t="s">
        <v>1227</v>
      </c>
      <c r="F103" s="562" t="s">
        <v>1285</v>
      </c>
      <c r="G103" s="562">
        <v>2</v>
      </c>
      <c r="H103" s="564">
        <v>534400</v>
      </c>
      <c r="I103" s="562" t="s">
        <v>687</v>
      </c>
      <c r="J103" s="562">
        <v>50</v>
      </c>
      <c r="K103" s="493"/>
      <c r="L103" s="493"/>
    </row>
  </sheetData>
  <autoFilter ref="A2:L103" xr:uid="{00000000-0009-0000-0000-000008000000}"/>
  <mergeCells count="1">
    <mergeCell ref="A1:J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J117"/>
  <sheetViews>
    <sheetView showGridLines="0" workbookViewId="0"/>
  </sheetViews>
  <sheetFormatPr defaultColWidth="12.5703125" defaultRowHeight="15" customHeight="1"/>
  <cols>
    <col min="1" max="1" width="17.140625" customWidth="1"/>
    <col min="3" max="3" width="41.7109375" customWidth="1"/>
    <col min="4" max="7" width="7.28515625" customWidth="1"/>
    <col min="8" max="8" width="9.140625" customWidth="1"/>
    <col min="9" max="9" width="16.85546875" customWidth="1"/>
  </cols>
  <sheetData>
    <row r="1" spans="1:10" ht="15" customHeight="1">
      <c r="A1" s="858" t="s">
        <v>1416</v>
      </c>
      <c r="B1" s="669"/>
      <c r="C1" s="669"/>
      <c r="D1" s="669"/>
      <c r="E1" s="669"/>
      <c r="F1" s="669"/>
      <c r="G1" s="669"/>
      <c r="H1" s="669"/>
      <c r="I1" s="669"/>
      <c r="J1" s="670"/>
    </row>
    <row r="2" spans="1:10" ht="15" customHeight="1">
      <c r="A2" s="548" t="s">
        <v>673</v>
      </c>
      <c r="B2" s="548" t="s">
        <v>674</v>
      </c>
      <c r="C2" s="548" t="s">
        <v>675</v>
      </c>
      <c r="D2" s="550" t="s">
        <v>79</v>
      </c>
      <c r="E2" s="565" t="s">
        <v>677</v>
      </c>
      <c r="F2" s="551" t="s">
        <v>1417</v>
      </c>
      <c r="G2" s="566" t="s">
        <v>678</v>
      </c>
      <c r="H2" s="551" t="s">
        <v>1418</v>
      </c>
      <c r="I2" s="551" t="s">
        <v>679</v>
      </c>
      <c r="J2" s="551" t="s">
        <v>463</v>
      </c>
    </row>
    <row r="3" spans="1:10">
      <c r="A3" s="553" t="s">
        <v>943</v>
      </c>
      <c r="B3" s="553" t="s">
        <v>1419</v>
      </c>
      <c r="C3" s="553" t="s">
        <v>1420</v>
      </c>
      <c r="D3" s="553" t="s">
        <v>1421</v>
      </c>
      <c r="E3" s="553" t="s">
        <v>1422</v>
      </c>
      <c r="F3" s="554" t="s">
        <v>1423</v>
      </c>
      <c r="G3" s="553">
        <v>22</v>
      </c>
      <c r="H3" s="553"/>
      <c r="I3" s="555">
        <v>1933700</v>
      </c>
      <c r="J3" s="553" t="s">
        <v>1424</v>
      </c>
    </row>
    <row r="4" spans="1:10">
      <c r="A4" s="553" t="s">
        <v>943</v>
      </c>
      <c r="B4" s="553" t="s">
        <v>1425</v>
      </c>
      <c r="C4" s="553" t="s">
        <v>1426</v>
      </c>
      <c r="D4" s="553" t="s">
        <v>1421</v>
      </c>
      <c r="E4" s="553" t="s">
        <v>1422</v>
      </c>
      <c r="F4" s="554" t="s">
        <v>1423</v>
      </c>
      <c r="G4" s="553">
        <v>22</v>
      </c>
      <c r="H4" s="553" t="s">
        <v>1427</v>
      </c>
      <c r="I4" s="555">
        <v>2857700</v>
      </c>
      <c r="J4" s="553" t="s">
        <v>1424</v>
      </c>
    </row>
    <row r="5" spans="1:10">
      <c r="A5" s="553" t="s">
        <v>943</v>
      </c>
      <c r="B5" s="553" t="s">
        <v>1428</v>
      </c>
      <c r="C5" s="553" t="s">
        <v>1429</v>
      </c>
      <c r="D5" s="553" t="s">
        <v>1421</v>
      </c>
      <c r="E5" s="553" t="s">
        <v>1422</v>
      </c>
      <c r="F5" s="554" t="s">
        <v>1423</v>
      </c>
      <c r="G5" s="553">
        <v>22</v>
      </c>
      <c r="H5" s="553" t="s">
        <v>1430</v>
      </c>
      <c r="I5" s="555">
        <v>3174500</v>
      </c>
      <c r="J5" s="553" t="s">
        <v>1424</v>
      </c>
    </row>
    <row r="6" spans="1:10">
      <c r="A6" s="553" t="s">
        <v>943</v>
      </c>
      <c r="B6" s="553" t="s">
        <v>1431</v>
      </c>
      <c r="C6" s="553" t="s">
        <v>1432</v>
      </c>
      <c r="D6" s="553" t="s">
        <v>1421</v>
      </c>
      <c r="E6" s="553" t="s">
        <v>1422</v>
      </c>
      <c r="F6" s="554" t="s">
        <v>1423</v>
      </c>
      <c r="G6" s="553">
        <v>22</v>
      </c>
      <c r="H6" s="553" t="s">
        <v>1433</v>
      </c>
      <c r="I6" s="555">
        <v>3781700</v>
      </c>
      <c r="J6" s="553" t="s">
        <v>1424</v>
      </c>
    </row>
    <row r="7" spans="1:10">
      <c r="A7" s="553" t="s">
        <v>943</v>
      </c>
      <c r="B7" s="553" t="s">
        <v>1434</v>
      </c>
      <c r="C7" s="553" t="s">
        <v>1435</v>
      </c>
      <c r="D7" s="553" t="s">
        <v>1421</v>
      </c>
      <c r="E7" s="553" t="s">
        <v>1422</v>
      </c>
      <c r="F7" s="554" t="s">
        <v>1423</v>
      </c>
      <c r="G7" s="553">
        <v>22</v>
      </c>
      <c r="H7" s="553" t="s">
        <v>1436</v>
      </c>
      <c r="I7" s="555">
        <v>4098500</v>
      </c>
      <c r="J7" s="553" t="s">
        <v>1424</v>
      </c>
    </row>
    <row r="8" spans="1:10">
      <c r="A8" s="553" t="s">
        <v>943</v>
      </c>
      <c r="B8" s="553" t="s">
        <v>1437</v>
      </c>
      <c r="C8" s="553" t="s">
        <v>1438</v>
      </c>
      <c r="D8" s="553" t="s">
        <v>1421</v>
      </c>
      <c r="E8" s="553" t="s">
        <v>1439</v>
      </c>
      <c r="F8" s="554" t="s">
        <v>1423</v>
      </c>
      <c r="G8" s="553">
        <v>15</v>
      </c>
      <c r="H8" s="553"/>
      <c r="I8" s="555">
        <v>2111900</v>
      </c>
      <c r="J8" s="553" t="s">
        <v>1440</v>
      </c>
    </row>
    <row r="9" spans="1:10">
      <c r="A9" s="553" t="s">
        <v>943</v>
      </c>
      <c r="B9" s="553" t="s">
        <v>1441</v>
      </c>
      <c r="C9" s="553" t="s">
        <v>1442</v>
      </c>
      <c r="D9" s="553" t="s">
        <v>1421</v>
      </c>
      <c r="E9" s="553" t="s">
        <v>1439</v>
      </c>
      <c r="F9" s="554" t="s">
        <v>1423</v>
      </c>
      <c r="G9" s="553">
        <v>15</v>
      </c>
      <c r="H9" s="553" t="s">
        <v>1427</v>
      </c>
      <c r="I9" s="555">
        <v>2741900</v>
      </c>
      <c r="J9" s="553" t="s">
        <v>1440</v>
      </c>
    </row>
    <row r="10" spans="1:10">
      <c r="A10" s="553" t="s">
        <v>943</v>
      </c>
      <c r="B10" s="553" t="s">
        <v>1443</v>
      </c>
      <c r="C10" s="553" t="s">
        <v>1444</v>
      </c>
      <c r="D10" s="553" t="s">
        <v>1421</v>
      </c>
      <c r="E10" s="553" t="s">
        <v>1439</v>
      </c>
      <c r="F10" s="554" t="s">
        <v>1423</v>
      </c>
      <c r="G10" s="553">
        <v>15</v>
      </c>
      <c r="H10" s="553" t="s">
        <v>1430</v>
      </c>
      <c r="I10" s="555">
        <v>2957900</v>
      </c>
      <c r="J10" s="553" t="s">
        <v>1440</v>
      </c>
    </row>
    <row r="11" spans="1:10">
      <c r="A11" s="553" t="s">
        <v>943</v>
      </c>
      <c r="B11" s="553" t="s">
        <v>1445</v>
      </c>
      <c r="C11" s="553" t="s">
        <v>1446</v>
      </c>
      <c r="D11" s="553" t="s">
        <v>1421</v>
      </c>
      <c r="E11" s="553" t="s">
        <v>1439</v>
      </c>
      <c r="F11" s="554" t="s">
        <v>1423</v>
      </c>
      <c r="G11" s="553">
        <v>15</v>
      </c>
      <c r="H11" s="553" t="s">
        <v>1433</v>
      </c>
      <c r="I11" s="555">
        <v>3371900</v>
      </c>
      <c r="J11" s="553" t="s">
        <v>1440</v>
      </c>
    </row>
    <row r="12" spans="1:10">
      <c r="A12" s="553" t="s">
        <v>943</v>
      </c>
      <c r="B12" s="553" t="s">
        <v>1447</v>
      </c>
      <c r="C12" s="553" t="s">
        <v>1448</v>
      </c>
      <c r="D12" s="553" t="s">
        <v>1421</v>
      </c>
      <c r="E12" s="553" t="s">
        <v>1439</v>
      </c>
      <c r="F12" s="554" t="s">
        <v>1423</v>
      </c>
      <c r="G12" s="553">
        <v>15</v>
      </c>
      <c r="H12" s="553" t="s">
        <v>1436</v>
      </c>
      <c r="I12" s="555">
        <v>3587900</v>
      </c>
      <c r="J12" s="553" t="s">
        <v>1440</v>
      </c>
    </row>
    <row r="13" spans="1:10">
      <c r="A13" s="553" t="s">
        <v>943</v>
      </c>
      <c r="B13" s="553" t="s">
        <v>1449</v>
      </c>
      <c r="C13" s="553" t="s">
        <v>1450</v>
      </c>
      <c r="D13" s="553" t="s">
        <v>1421</v>
      </c>
      <c r="E13" s="553" t="s">
        <v>1451</v>
      </c>
      <c r="F13" s="554" t="s">
        <v>1423</v>
      </c>
      <c r="G13" s="553">
        <v>11</v>
      </c>
      <c r="H13" s="553"/>
      <c r="I13" s="555">
        <v>1876100</v>
      </c>
      <c r="J13" s="553" t="s">
        <v>1452</v>
      </c>
    </row>
    <row r="14" spans="1:10">
      <c r="A14" s="553" t="s">
        <v>943</v>
      </c>
      <c r="B14" s="553" t="s">
        <v>1453</v>
      </c>
      <c r="C14" s="553" t="s">
        <v>1454</v>
      </c>
      <c r="D14" s="553" t="s">
        <v>1421</v>
      </c>
      <c r="E14" s="553" t="s">
        <v>1451</v>
      </c>
      <c r="F14" s="554" t="s">
        <v>1423</v>
      </c>
      <c r="G14" s="553">
        <v>11</v>
      </c>
      <c r="H14" s="553" t="s">
        <v>1427</v>
      </c>
      <c r="I14" s="555">
        <v>2338100</v>
      </c>
      <c r="J14" s="553" t="s">
        <v>1452</v>
      </c>
    </row>
    <row r="15" spans="1:10">
      <c r="A15" s="553" t="s">
        <v>943</v>
      </c>
      <c r="B15" s="553" t="s">
        <v>1455</v>
      </c>
      <c r="C15" s="553" t="s">
        <v>1456</v>
      </c>
      <c r="D15" s="553" t="s">
        <v>1421</v>
      </c>
      <c r="E15" s="553" t="s">
        <v>1451</v>
      </c>
      <c r="F15" s="554" t="s">
        <v>1423</v>
      </c>
      <c r="G15" s="553">
        <v>11</v>
      </c>
      <c r="H15" s="553" t="s">
        <v>1430</v>
      </c>
      <c r="I15" s="555">
        <v>2496500</v>
      </c>
      <c r="J15" s="553" t="s">
        <v>1452</v>
      </c>
    </row>
    <row r="16" spans="1:10">
      <c r="A16" s="553" t="s">
        <v>943</v>
      </c>
      <c r="B16" s="553" t="s">
        <v>1457</v>
      </c>
      <c r="C16" s="553" t="s">
        <v>1458</v>
      </c>
      <c r="D16" s="553" t="s">
        <v>1421</v>
      </c>
      <c r="E16" s="553" t="s">
        <v>1451</v>
      </c>
      <c r="F16" s="554" t="s">
        <v>1423</v>
      </c>
      <c r="G16" s="553">
        <v>11</v>
      </c>
      <c r="H16" s="553" t="s">
        <v>1433</v>
      </c>
      <c r="I16" s="555">
        <v>2800100</v>
      </c>
      <c r="J16" s="553" t="s">
        <v>1452</v>
      </c>
    </row>
    <row r="17" spans="1:10">
      <c r="A17" s="553" t="s">
        <v>943</v>
      </c>
      <c r="B17" s="553" t="s">
        <v>1459</v>
      </c>
      <c r="C17" s="553" t="s">
        <v>1460</v>
      </c>
      <c r="D17" s="553" t="s">
        <v>1421</v>
      </c>
      <c r="E17" s="553" t="s">
        <v>1451</v>
      </c>
      <c r="F17" s="554" t="s">
        <v>1423</v>
      </c>
      <c r="G17" s="553">
        <v>11</v>
      </c>
      <c r="H17" s="553" t="s">
        <v>1436</v>
      </c>
      <c r="I17" s="555">
        <v>2958500</v>
      </c>
      <c r="J17" s="553" t="s">
        <v>1452</v>
      </c>
    </row>
    <row r="18" spans="1:10">
      <c r="A18" s="553" t="s">
        <v>943</v>
      </c>
      <c r="B18" s="553" t="s">
        <v>1461</v>
      </c>
      <c r="C18" s="553" t="s">
        <v>1462</v>
      </c>
      <c r="D18" s="553" t="s">
        <v>1421</v>
      </c>
      <c r="E18" s="553" t="s">
        <v>1463</v>
      </c>
      <c r="F18" s="554" t="s">
        <v>1423</v>
      </c>
      <c r="G18" s="553">
        <v>10</v>
      </c>
      <c r="H18" s="553"/>
      <c r="I18" s="555">
        <v>2245200</v>
      </c>
      <c r="J18" s="553" t="s">
        <v>1464</v>
      </c>
    </row>
    <row r="19" spans="1:10">
      <c r="A19" s="553" t="s">
        <v>943</v>
      </c>
      <c r="B19" s="553" t="s">
        <v>1465</v>
      </c>
      <c r="C19" s="553" t="s">
        <v>1466</v>
      </c>
      <c r="D19" s="553" t="s">
        <v>1421</v>
      </c>
      <c r="E19" s="553" t="s">
        <v>1463</v>
      </c>
      <c r="F19" s="554" t="s">
        <v>1423</v>
      </c>
      <c r="G19" s="553">
        <v>10</v>
      </c>
      <c r="H19" s="553" t="s">
        <v>1427</v>
      </c>
      <c r="I19" s="555">
        <v>2665200</v>
      </c>
      <c r="J19" s="553" t="s">
        <v>1464</v>
      </c>
    </row>
    <row r="20" spans="1:10">
      <c r="A20" s="553" t="s">
        <v>943</v>
      </c>
      <c r="B20" s="553" t="s">
        <v>1467</v>
      </c>
      <c r="C20" s="553" t="s">
        <v>1468</v>
      </c>
      <c r="D20" s="553" t="s">
        <v>1421</v>
      </c>
      <c r="E20" s="553" t="s">
        <v>1463</v>
      </c>
      <c r="F20" s="554" t="s">
        <v>1423</v>
      </c>
      <c r="G20" s="553">
        <v>10</v>
      </c>
      <c r="H20" s="553" t="s">
        <v>1430</v>
      </c>
      <c r="I20" s="555">
        <v>2809200</v>
      </c>
      <c r="J20" s="553" t="s">
        <v>1464</v>
      </c>
    </row>
    <row r="21" spans="1:10">
      <c r="A21" s="553" t="s">
        <v>943</v>
      </c>
      <c r="B21" s="553" t="s">
        <v>1469</v>
      </c>
      <c r="C21" s="553" t="s">
        <v>1470</v>
      </c>
      <c r="D21" s="553" t="s">
        <v>1421</v>
      </c>
      <c r="E21" s="553" t="s">
        <v>1463</v>
      </c>
      <c r="F21" s="554" t="s">
        <v>1423</v>
      </c>
      <c r="G21" s="553">
        <v>10</v>
      </c>
      <c r="H21" s="553" t="s">
        <v>1433</v>
      </c>
      <c r="I21" s="555">
        <v>3085200</v>
      </c>
      <c r="J21" s="553" t="s">
        <v>1464</v>
      </c>
    </row>
    <row r="22" spans="1:10">
      <c r="A22" s="553" t="s">
        <v>943</v>
      </c>
      <c r="B22" s="553" t="s">
        <v>1471</v>
      </c>
      <c r="C22" s="553" t="s">
        <v>1472</v>
      </c>
      <c r="D22" s="553" t="s">
        <v>1421</v>
      </c>
      <c r="E22" s="553" t="s">
        <v>1463</v>
      </c>
      <c r="F22" s="554" t="s">
        <v>1423</v>
      </c>
      <c r="G22" s="553">
        <v>10</v>
      </c>
      <c r="H22" s="553" t="s">
        <v>1436</v>
      </c>
      <c r="I22" s="555">
        <v>3229200</v>
      </c>
      <c r="J22" s="553" t="s">
        <v>1464</v>
      </c>
    </row>
    <row r="23" spans="1:10">
      <c r="A23" s="553" t="s">
        <v>943</v>
      </c>
      <c r="B23" s="553" t="s">
        <v>1473</v>
      </c>
      <c r="C23" s="553" t="s">
        <v>1474</v>
      </c>
      <c r="D23" s="553" t="s">
        <v>1421</v>
      </c>
      <c r="E23" s="553" t="s">
        <v>1475</v>
      </c>
      <c r="F23" s="554" t="s">
        <v>1423</v>
      </c>
      <c r="G23" s="553">
        <v>7</v>
      </c>
      <c r="H23" s="553"/>
      <c r="I23" s="555">
        <v>1638700</v>
      </c>
      <c r="J23" s="553" t="s">
        <v>1476</v>
      </c>
    </row>
    <row r="24" spans="1:10" ht="12.75">
      <c r="A24" s="553" t="s">
        <v>943</v>
      </c>
      <c r="B24" s="553" t="s">
        <v>1477</v>
      </c>
      <c r="C24" s="553" t="s">
        <v>1478</v>
      </c>
      <c r="D24" s="553" t="s">
        <v>1421</v>
      </c>
      <c r="E24" s="553" t="s">
        <v>1475</v>
      </c>
      <c r="F24" s="554" t="s">
        <v>1423</v>
      </c>
      <c r="G24" s="553">
        <v>7</v>
      </c>
      <c r="H24" s="553" t="s">
        <v>1427</v>
      </c>
      <c r="I24" s="555">
        <v>1932700</v>
      </c>
      <c r="J24" s="553" t="s">
        <v>1476</v>
      </c>
    </row>
    <row r="25" spans="1:10" ht="12.75">
      <c r="A25" s="553" t="s">
        <v>943</v>
      </c>
      <c r="B25" s="553" t="s">
        <v>1479</v>
      </c>
      <c r="C25" s="553" t="s">
        <v>1480</v>
      </c>
      <c r="D25" s="553" t="s">
        <v>1421</v>
      </c>
      <c r="E25" s="553" t="s">
        <v>1475</v>
      </c>
      <c r="F25" s="554" t="s">
        <v>1423</v>
      </c>
      <c r="G25" s="553">
        <v>7</v>
      </c>
      <c r="H25" s="553" t="s">
        <v>1430</v>
      </c>
      <c r="I25" s="555">
        <v>2033500</v>
      </c>
      <c r="J25" s="553" t="s">
        <v>1476</v>
      </c>
    </row>
    <row r="26" spans="1:10" ht="12.75">
      <c r="A26" s="553" t="s">
        <v>943</v>
      </c>
      <c r="B26" s="553" t="s">
        <v>1481</v>
      </c>
      <c r="C26" s="553" t="s">
        <v>1482</v>
      </c>
      <c r="D26" s="553" t="s">
        <v>1421</v>
      </c>
      <c r="E26" s="553" t="s">
        <v>1475</v>
      </c>
      <c r="F26" s="554" t="s">
        <v>1423</v>
      </c>
      <c r="G26" s="553">
        <v>7</v>
      </c>
      <c r="H26" s="553" t="s">
        <v>1433</v>
      </c>
      <c r="I26" s="555">
        <v>2226700</v>
      </c>
      <c r="J26" s="553" t="s">
        <v>1476</v>
      </c>
    </row>
    <row r="27" spans="1:10" ht="12.75">
      <c r="A27" s="553" t="s">
        <v>943</v>
      </c>
      <c r="B27" s="553" t="s">
        <v>1483</v>
      </c>
      <c r="C27" s="553" t="s">
        <v>1484</v>
      </c>
      <c r="D27" s="553" t="s">
        <v>1421</v>
      </c>
      <c r="E27" s="553" t="s">
        <v>1475</v>
      </c>
      <c r="F27" s="554" t="s">
        <v>1423</v>
      </c>
      <c r="G27" s="553">
        <v>7</v>
      </c>
      <c r="H27" s="553" t="s">
        <v>1436</v>
      </c>
      <c r="I27" s="555">
        <v>2327500</v>
      </c>
      <c r="J27" s="553" t="s">
        <v>1476</v>
      </c>
    </row>
    <row r="28" spans="1:10" ht="12.75">
      <c r="A28" s="553" t="s">
        <v>943</v>
      </c>
      <c r="B28" s="553" t="s">
        <v>1485</v>
      </c>
      <c r="C28" s="553" t="s">
        <v>1486</v>
      </c>
      <c r="D28" s="553" t="s">
        <v>1421</v>
      </c>
      <c r="E28" s="553" t="s">
        <v>1487</v>
      </c>
      <c r="F28" s="554" t="s">
        <v>1423</v>
      </c>
      <c r="G28" s="553">
        <v>5</v>
      </c>
      <c r="H28" s="553"/>
      <c r="I28" s="555">
        <v>1529700</v>
      </c>
      <c r="J28" s="553" t="s">
        <v>1488</v>
      </c>
    </row>
    <row r="29" spans="1:10" ht="12.75">
      <c r="A29" s="553" t="s">
        <v>943</v>
      </c>
      <c r="B29" s="553" t="s">
        <v>1489</v>
      </c>
      <c r="C29" s="553" t="s">
        <v>1490</v>
      </c>
      <c r="D29" s="553" t="s">
        <v>1421</v>
      </c>
      <c r="E29" s="553" t="s">
        <v>1487</v>
      </c>
      <c r="F29" s="554" t="s">
        <v>1423</v>
      </c>
      <c r="G29" s="553">
        <v>5</v>
      </c>
      <c r="H29" s="553" t="s">
        <v>1427</v>
      </c>
      <c r="I29" s="555">
        <v>1739700</v>
      </c>
      <c r="J29" s="553" t="s">
        <v>1488</v>
      </c>
    </row>
    <row r="30" spans="1:10" ht="12.75">
      <c r="A30" s="553" t="s">
        <v>943</v>
      </c>
      <c r="B30" s="553" t="s">
        <v>1491</v>
      </c>
      <c r="C30" s="553" t="s">
        <v>1492</v>
      </c>
      <c r="D30" s="553" t="s">
        <v>1421</v>
      </c>
      <c r="E30" s="553" t="s">
        <v>1487</v>
      </c>
      <c r="F30" s="554" t="s">
        <v>1423</v>
      </c>
      <c r="G30" s="553">
        <v>5</v>
      </c>
      <c r="H30" s="553" t="s">
        <v>1430</v>
      </c>
      <c r="I30" s="555">
        <v>1811700</v>
      </c>
      <c r="J30" s="553" t="s">
        <v>1488</v>
      </c>
    </row>
    <row r="31" spans="1:10" ht="12.75">
      <c r="A31" s="553" t="s">
        <v>943</v>
      </c>
      <c r="B31" s="553" t="s">
        <v>1493</v>
      </c>
      <c r="C31" s="553" t="s">
        <v>1494</v>
      </c>
      <c r="D31" s="553" t="s">
        <v>1421</v>
      </c>
      <c r="E31" s="553" t="s">
        <v>1487</v>
      </c>
      <c r="F31" s="554" t="s">
        <v>1423</v>
      </c>
      <c r="G31" s="553">
        <v>5</v>
      </c>
      <c r="H31" s="553" t="s">
        <v>1433</v>
      </c>
      <c r="I31" s="555">
        <v>1949700</v>
      </c>
      <c r="J31" s="553" t="s">
        <v>1488</v>
      </c>
    </row>
    <row r="32" spans="1:10" ht="12.75">
      <c r="A32" s="553" t="s">
        <v>943</v>
      </c>
      <c r="B32" s="553" t="s">
        <v>1495</v>
      </c>
      <c r="C32" s="553" t="s">
        <v>1496</v>
      </c>
      <c r="D32" s="553" t="s">
        <v>1421</v>
      </c>
      <c r="E32" s="553" t="s">
        <v>1487</v>
      </c>
      <c r="F32" s="554" t="s">
        <v>1423</v>
      </c>
      <c r="G32" s="553">
        <v>5</v>
      </c>
      <c r="H32" s="553" t="s">
        <v>1436</v>
      </c>
      <c r="I32" s="555">
        <v>2021700</v>
      </c>
      <c r="J32" s="553" t="s">
        <v>1488</v>
      </c>
    </row>
    <row r="33" spans="1:10" ht="12.75">
      <c r="A33" s="553" t="s">
        <v>943</v>
      </c>
      <c r="B33" s="553" t="s">
        <v>1497</v>
      </c>
      <c r="C33" s="553" t="s">
        <v>1498</v>
      </c>
      <c r="D33" s="553" t="s">
        <v>1421</v>
      </c>
      <c r="E33" s="553" t="s">
        <v>1499</v>
      </c>
      <c r="F33" s="554" t="s">
        <v>1423</v>
      </c>
      <c r="G33" s="553">
        <v>4</v>
      </c>
      <c r="H33" s="553"/>
      <c r="I33" s="555">
        <v>1810600</v>
      </c>
      <c r="J33" s="553" t="s">
        <v>1500</v>
      </c>
    </row>
    <row r="34" spans="1:10" ht="12.75">
      <c r="A34" s="553" t="s">
        <v>943</v>
      </c>
      <c r="B34" s="553" t="s">
        <v>1501</v>
      </c>
      <c r="C34" s="553" t="s">
        <v>1502</v>
      </c>
      <c r="D34" s="553" t="s">
        <v>1421</v>
      </c>
      <c r="E34" s="553" t="s">
        <v>1499</v>
      </c>
      <c r="F34" s="554" t="s">
        <v>1423</v>
      </c>
      <c r="G34" s="553">
        <v>4</v>
      </c>
      <c r="H34" s="553" t="s">
        <v>1427</v>
      </c>
      <c r="I34" s="555">
        <v>1978600</v>
      </c>
      <c r="J34" s="553" t="s">
        <v>1500</v>
      </c>
    </row>
    <row r="35" spans="1:10" ht="12.75">
      <c r="A35" s="553" t="s">
        <v>943</v>
      </c>
      <c r="B35" s="553" t="s">
        <v>1503</v>
      </c>
      <c r="C35" s="553" t="s">
        <v>1504</v>
      </c>
      <c r="D35" s="553" t="s">
        <v>1421</v>
      </c>
      <c r="E35" s="553" t="s">
        <v>1499</v>
      </c>
      <c r="F35" s="554" t="s">
        <v>1423</v>
      </c>
      <c r="G35" s="553">
        <v>4</v>
      </c>
      <c r="H35" s="553" t="s">
        <v>1430</v>
      </c>
      <c r="I35" s="555">
        <v>2036200</v>
      </c>
      <c r="J35" s="553" t="s">
        <v>1500</v>
      </c>
    </row>
    <row r="36" spans="1:10" ht="12.75">
      <c r="A36" s="553" t="s">
        <v>943</v>
      </c>
      <c r="B36" s="553" t="s">
        <v>1505</v>
      </c>
      <c r="C36" s="553" t="s">
        <v>1506</v>
      </c>
      <c r="D36" s="553" t="s">
        <v>1421</v>
      </c>
      <c r="E36" s="553" t="s">
        <v>1499</v>
      </c>
      <c r="F36" s="554" t="s">
        <v>1423</v>
      </c>
      <c r="G36" s="553">
        <v>4</v>
      </c>
      <c r="H36" s="553" t="s">
        <v>1433</v>
      </c>
      <c r="I36" s="555">
        <v>2146600</v>
      </c>
      <c r="J36" s="553" t="s">
        <v>1500</v>
      </c>
    </row>
    <row r="37" spans="1:10" ht="12.75">
      <c r="A37" s="553" t="s">
        <v>943</v>
      </c>
      <c r="B37" s="553" t="s">
        <v>1507</v>
      </c>
      <c r="C37" s="553" t="s">
        <v>1508</v>
      </c>
      <c r="D37" s="553" t="s">
        <v>1421</v>
      </c>
      <c r="E37" s="553" t="s">
        <v>1499</v>
      </c>
      <c r="F37" s="554" t="s">
        <v>1423</v>
      </c>
      <c r="G37" s="553">
        <v>4</v>
      </c>
      <c r="H37" s="553" t="s">
        <v>1436</v>
      </c>
      <c r="I37" s="555">
        <v>2204200</v>
      </c>
      <c r="J37" s="553" t="s">
        <v>1500</v>
      </c>
    </row>
    <row r="38" spans="1:10" ht="12.75">
      <c r="A38" s="553" t="s">
        <v>943</v>
      </c>
      <c r="B38" s="553" t="s">
        <v>1509</v>
      </c>
      <c r="C38" s="553" t="s">
        <v>1510</v>
      </c>
      <c r="D38" s="553" t="s">
        <v>1421</v>
      </c>
      <c r="E38" s="553" t="s">
        <v>1511</v>
      </c>
      <c r="F38" s="554" t="s">
        <v>1423</v>
      </c>
      <c r="G38" s="553">
        <v>3</v>
      </c>
      <c r="H38" s="553"/>
      <c r="I38" s="555">
        <v>1583700</v>
      </c>
      <c r="J38" s="553" t="s">
        <v>1512</v>
      </c>
    </row>
    <row r="39" spans="1:10" ht="12.75">
      <c r="A39" s="553" t="s">
        <v>943</v>
      </c>
      <c r="B39" s="553" t="s">
        <v>1513</v>
      </c>
      <c r="C39" s="553" t="s">
        <v>1514</v>
      </c>
      <c r="D39" s="553" t="s">
        <v>1421</v>
      </c>
      <c r="E39" s="553" t="s">
        <v>1511</v>
      </c>
      <c r="F39" s="554" t="s">
        <v>1423</v>
      </c>
      <c r="G39" s="553">
        <v>3</v>
      </c>
      <c r="H39" s="553" t="s">
        <v>1427</v>
      </c>
      <c r="I39" s="555">
        <v>1709700</v>
      </c>
      <c r="J39" s="553" t="s">
        <v>1512</v>
      </c>
    </row>
    <row r="40" spans="1:10" ht="12.75">
      <c r="A40" s="553" t="s">
        <v>943</v>
      </c>
      <c r="B40" s="553" t="s">
        <v>1515</v>
      </c>
      <c r="C40" s="553" t="s">
        <v>1516</v>
      </c>
      <c r="D40" s="553" t="s">
        <v>1421</v>
      </c>
      <c r="E40" s="553" t="s">
        <v>1511</v>
      </c>
      <c r="F40" s="554" t="s">
        <v>1423</v>
      </c>
      <c r="G40" s="553">
        <v>3</v>
      </c>
      <c r="H40" s="553" t="s">
        <v>1430</v>
      </c>
      <c r="I40" s="555">
        <v>1752900</v>
      </c>
      <c r="J40" s="553" t="s">
        <v>1512</v>
      </c>
    </row>
    <row r="41" spans="1:10" ht="12.75">
      <c r="A41" s="553" t="s">
        <v>943</v>
      </c>
      <c r="B41" s="553" t="s">
        <v>1517</v>
      </c>
      <c r="C41" s="553" t="s">
        <v>1518</v>
      </c>
      <c r="D41" s="553" t="s">
        <v>1421</v>
      </c>
      <c r="E41" s="553" t="s">
        <v>1511</v>
      </c>
      <c r="F41" s="554" t="s">
        <v>1423</v>
      </c>
      <c r="G41" s="553">
        <v>3</v>
      </c>
      <c r="H41" s="553" t="s">
        <v>1433</v>
      </c>
      <c r="I41" s="555">
        <v>1835700</v>
      </c>
      <c r="J41" s="553" t="s">
        <v>1512</v>
      </c>
    </row>
    <row r="42" spans="1:10" ht="12.75">
      <c r="A42" s="553" t="s">
        <v>943</v>
      </c>
      <c r="B42" s="553" t="s">
        <v>1519</v>
      </c>
      <c r="C42" s="553" t="s">
        <v>1520</v>
      </c>
      <c r="D42" s="553" t="s">
        <v>1421</v>
      </c>
      <c r="E42" s="553" t="s">
        <v>1511</v>
      </c>
      <c r="F42" s="554" t="s">
        <v>1423</v>
      </c>
      <c r="G42" s="553">
        <v>3</v>
      </c>
      <c r="H42" s="553" t="s">
        <v>1436</v>
      </c>
      <c r="I42" s="555">
        <v>1878900</v>
      </c>
      <c r="J42" s="553" t="s">
        <v>1512</v>
      </c>
    </row>
    <row r="43" spans="1:10" ht="12.75">
      <c r="A43" s="553" t="s">
        <v>943</v>
      </c>
      <c r="B43" s="553" t="s">
        <v>1521</v>
      </c>
      <c r="C43" s="553" t="s">
        <v>1522</v>
      </c>
      <c r="D43" s="553" t="s">
        <v>1421</v>
      </c>
      <c r="E43" s="553" t="s">
        <v>1523</v>
      </c>
      <c r="F43" s="554" t="s">
        <v>1423</v>
      </c>
      <c r="G43" s="553">
        <v>2</v>
      </c>
      <c r="H43" s="553"/>
      <c r="I43" s="555">
        <v>1295100</v>
      </c>
      <c r="J43" s="553" t="s">
        <v>1524</v>
      </c>
    </row>
    <row r="44" spans="1:10" ht="12.75">
      <c r="A44" s="553" t="s">
        <v>943</v>
      </c>
      <c r="B44" s="553" t="s">
        <v>1525</v>
      </c>
      <c r="C44" s="553" t="s">
        <v>1526</v>
      </c>
      <c r="D44" s="553" t="s">
        <v>1421</v>
      </c>
      <c r="E44" s="553" t="s">
        <v>1523</v>
      </c>
      <c r="F44" s="554" t="s">
        <v>1423</v>
      </c>
      <c r="G44" s="553">
        <v>2</v>
      </c>
      <c r="H44" s="553" t="s">
        <v>1427</v>
      </c>
      <c r="I44" s="555">
        <v>1379100</v>
      </c>
      <c r="J44" s="553" t="s">
        <v>1524</v>
      </c>
    </row>
    <row r="45" spans="1:10" ht="12.75">
      <c r="A45" s="553" t="s">
        <v>943</v>
      </c>
      <c r="B45" s="553" t="s">
        <v>1527</v>
      </c>
      <c r="C45" s="553" t="s">
        <v>1528</v>
      </c>
      <c r="D45" s="553" t="s">
        <v>1421</v>
      </c>
      <c r="E45" s="553" t="s">
        <v>1523</v>
      </c>
      <c r="F45" s="554" t="s">
        <v>1423</v>
      </c>
      <c r="G45" s="553">
        <v>2</v>
      </c>
      <c r="H45" s="553" t="s">
        <v>1430</v>
      </c>
      <c r="I45" s="555">
        <v>1407900</v>
      </c>
      <c r="J45" s="553" t="s">
        <v>1524</v>
      </c>
    </row>
    <row r="46" spans="1:10" ht="12.75">
      <c r="A46" s="553" t="s">
        <v>943</v>
      </c>
      <c r="B46" s="553" t="s">
        <v>1529</v>
      </c>
      <c r="C46" s="553" t="s">
        <v>1530</v>
      </c>
      <c r="D46" s="553" t="s">
        <v>1421</v>
      </c>
      <c r="E46" s="553" t="s">
        <v>1523</v>
      </c>
      <c r="F46" s="554" t="s">
        <v>1423</v>
      </c>
      <c r="G46" s="553">
        <v>2</v>
      </c>
      <c r="H46" s="553" t="s">
        <v>1433</v>
      </c>
      <c r="I46" s="555">
        <v>1463100</v>
      </c>
      <c r="J46" s="553" t="s">
        <v>1524</v>
      </c>
    </row>
    <row r="47" spans="1:10" ht="12.75">
      <c r="A47" s="553" t="s">
        <v>943</v>
      </c>
      <c r="B47" s="553" t="s">
        <v>1531</v>
      </c>
      <c r="C47" s="553" t="s">
        <v>1532</v>
      </c>
      <c r="D47" s="553" t="s">
        <v>1421</v>
      </c>
      <c r="E47" s="553" t="s">
        <v>1523</v>
      </c>
      <c r="F47" s="554" t="s">
        <v>1423</v>
      </c>
      <c r="G47" s="553">
        <v>2</v>
      </c>
      <c r="H47" s="553" t="s">
        <v>1436</v>
      </c>
      <c r="I47" s="555">
        <v>1491900</v>
      </c>
      <c r="J47" s="553" t="s">
        <v>1524</v>
      </c>
    </row>
    <row r="48" spans="1:10" ht="12.75">
      <c r="A48" s="553" t="s">
        <v>1533</v>
      </c>
      <c r="B48" s="553" t="s">
        <v>1534</v>
      </c>
      <c r="C48" s="553" t="s">
        <v>1535</v>
      </c>
      <c r="D48" s="553" t="s">
        <v>1421</v>
      </c>
      <c r="E48" s="553" t="s">
        <v>1422</v>
      </c>
      <c r="F48" s="554" t="s">
        <v>1423</v>
      </c>
      <c r="G48" s="553">
        <v>22</v>
      </c>
      <c r="H48" s="553"/>
      <c r="I48" s="555">
        <v>1758200</v>
      </c>
      <c r="J48" s="553" t="s">
        <v>1424</v>
      </c>
    </row>
    <row r="49" spans="1:10" ht="12.75">
      <c r="A49" s="553" t="s">
        <v>1533</v>
      </c>
      <c r="B49" s="553" t="s">
        <v>1536</v>
      </c>
      <c r="C49" s="553" t="s">
        <v>1537</v>
      </c>
      <c r="D49" s="553" t="s">
        <v>1421</v>
      </c>
      <c r="E49" s="553" t="s">
        <v>1422</v>
      </c>
      <c r="F49" s="554" t="s">
        <v>1423</v>
      </c>
      <c r="G49" s="553">
        <v>22</v>
      </c>
      <c r="H49" s="553" t="s">
        <v>1427</v>
      </c>
      <c r="I49" s="555">
        <v>2550200</v>
      </c>
      <c r="J49" s="553" t="s">
        <v>1424</v>
      </c>
    </row>
    <row r="50" spans="1:10" ht="12.75">
      <c r="A50" s="553" t="s">
        <v>1533</v>
      </c>
      <c r="B50" s="553" t="s">
        <v>1538</v>
      </c>
      <c r="C50" s="553" t="s">
        <v>1539</v>
      </c>
      <c r="D50" s="553" t="s">
        <v>1421</v>
      </c>
      <c r="E50" s="553" t="s">
        <v>1422</v>
      </c>
      <c r="F50" s="554" t="s">
        <v>1423</v>
      </c>
      <c r="G50" s="553">
        <v>22</v>
      </c>
      <c r="H50" s="553" t="s">
        <v>1430</v>
      </c>
      <c r="I50" s="555">
        <v>2814200</v>
      </c>
      <c r="J50" s="553" t="s">
        <v>1424</v>
      </c>
    </row>
    <row r="51" spans="1:10" ht="12.75">
      <c r="A51" s="553" t="s">
        <v>1533</v>
      </c>
      <c r="B51" s="553" t="s">
        <v>1540</v>
      </c>
      <c r="C51" s="553" t="s">
        <v>1541</v>
      </c>
      <c r="D51" s="553" t="s">
        <v>1421</v>
      </c>
      <c r="E51" s="553" t="s">
        <v>1422</v>
      </c>
      <c r="F51" s="554" t="s">
        <v>1423</v>
      </c>
      <c r="G51" s="553">
        <v>22</v>
      </c>
      <c r="H51" s="553" t="s">
        <v>1433</v>
      </c>
      <c r="I51" s="555">
        <v>3342200</v>
      </c>
      <c r="J51" s="553" t="s">
        <v>1424</v>
      </c>
    </row>
    <row r="52" spans="1:10" ht="12.75">
      <c r="A52" s="553" t="s">
        <v>1533</v>
      </c>
      <c r="B52" s="553" t="s">
        <v>1542</v>
      </c>
      <c r="C52" s="553" t="s">
        <v>1543</v>
      </c>
      <c r="D52" s="553" t="s">
        <v>1421</v>
      </c>
      <c r="E52" s="553" t="s">
        <v>1422</v>
      </c>
      <c r="F52" s="554" t="s">
        <v>1423</v>
      </c>
      <c r="G52" s="553">
        <v>22</v>
      </c>
      <c r="H52" s="553" t="s">
        <v>1436</v>
      </c>
      <c r="I52" s="555">
        <v>3606200</v>
      </c>
      <c r="J52" s="553" t="s">
        <v>1424</v>
      </c>
    </row>
    <row r="53" spans="1:10" ht="12.75">
      <c r="A53" s="553" t="s">
        <v>1533</v>
      </c>
      <c r="B53" s="553" t="s">
        <v>1544</v>
      </c>
      <c r="C53" s="553" t="s">
        <v>1545</v>
      </c>
      <c r="D53" s="553" t="s">
        <v>1421</v>
      </c>
      <c r="E53" s="553" t="s">
        <v>1439</v>
      </c>
      <c r="F53" s="554" t="s">
        <v>1423</v>
      </c>
      <c r="G53" s="553">
        <v>15</v>
      </c>
      <c r="H53" s="553"/>
      <c r="I53" s="555">
        <v>1918800</v>
      </c>
      <c r="J53" s="553" t="s">
        <v>1440</v>
      </c>
    </row>
    <row r="54" spans="1:10" ht="12.75">
      <c r="A54" s="553" t="s">
        <v>1533</v>
      </c>
      <c r="B54" s="553" t="s">
        <v>1546</v>
      </c>
      <c r="C54" s="553" t="s">
        <v>1547</v>
      </c>
      <c r="D54" s="553" t="s">
        <v>1421</v>
      </c>
      <c r="E54" s="553" t="s">
        <v>1439</v>
      </c>
      <c r="F54" s="554" t="s">
        <v>1423</v>
      </c>
      <c r="G54" s="553">
        <v>15</v>
      </c>
      <c r="H54" s="553" t="s">
        <v>1427</v>
      </c>
      <c r="I54" s="555">
        <v>2458800</v>
      </c>
      <c r="J54" s="553" t="s">
        <v>1440</v>
      </c>
    </row>
    <row r="55" spans="1:10" ht="12.75">
      <c r="A55" s="553" t="s">
        <v>1533</v>
      </c>
      <c r="B55" s="553" t="s">
        <v>1548</v>
      </c>
      <c r="C55" s="553" t="s">
        <v>1549</v>
      </c>
      <c r="D55" s="553" t="s">
        <v>1421</v>
      </c>
      <c r="E55" s="553" t="s">
        <v>1439</v>
      </c>
      <c r="F55" s="554" t="s">
        <v>1423</v>
      </c>
      <c r="G55" s="553">
        <v>15</v>
      </c>
      <c r="H55" s="553" t="s">
        <v>1430</v>
      </c>
      <c r="I55" s="555">
        <v>2638800</v>
      </c>
      <c r="J55" s="553" t="s">
        <v>1440</v>
      </c>
    </row>
    <row r="56" spans="1:10" ht="12.75">
      <c r="A56" s="553" t="s">
        <v>1533</v>
      </c>
      <c r="B56" s="553" t="s">
        <v>1550</v>
      </c>
      <c r="C56" s="553" t="s">
        <v>1551</v>
      </c>
      <c r="D56" s="553" t="s">
        <v>1421</v>
      </c>
      <c r="E56" s="553" t="s">
        <v>1439</v>
      </c>
      <c r="F56" s="554" t="s">
        <v>1423</v>
      </c>
      <c r="G56" s="553">
        <v>15</v>
      </c>
      <c r="H56" s="553" t="s">
        <v>1433</v>
      </c>
      <c r="I56" s="555">
        <v>2998800</v>
      </c>
      <c r="J56" s="553" t="s">
        <v>1440</v>
      </c>
    </row>
    <row r="57" spans="1:10" ht="12.75">
      <c r="A57" s="553" t="s">
        <v>1533</v>
      </c>
      <c r="B57" s="553" t="s">
        <v>1552</v>
      </c>
      <c r="C57" s="553" t="s">
        <v>1553</v>
      </c>
      <c r="D57" s="553" t="s">
        <v>1421</v>
      </c>
      <c r="E57" s="553" t="s">
        <v>1439</v>
      </c>
      <c r="F57" s="554" t="s">
        <v>1423</v>
      </c>
      <c r="G57" s="553">
        <v>15</v>
      </c>
      <c r="H57" s="553" t="s">
        <v>1436</v>
      </c>
      <c r="I57" s="555">
        <v>3178800</v>
      </c>
      <c r="J57" s="553" t="s">
        <v>1440</v>
      </c>
    </row>
    <row r="58" spans="1:10" ht="12.75">
      <c r="A58" s="553" t="s">
        <v>1533</v>
      </c>
      <c r="B58" s="553" t="s">
        <v>1554</v>
      </c>
      <c r="C58" s="553" t="s">
        <v>1555</v>
      </c>
      <c r="D58" s="553" t="s">
        <v>1421</v>
      </c>
      <c r="E58" s="553" t="s">
        <v>1451</v>
      </c>
      <c r="F58" s="554" t="s">
        <v>1423</v>
      </c>
      <c r="G58" s="553">
        <v>11</v>
      </c>
      <c r="H58" s="553"/>
      <c r="I58" s="555">
        <v>1705400</v>
      </c>
      <c r="J58" s="553" t="s">
        <v>1452</v>
      </c>
    </row>
    <row r="59" spans="1:10" ht="12.75">
      <c r="A59" s="553" t="s">
        <v>1533</v>
      </c>
      <c r="B59" s="553" t="s">
        <v>1556</v>
      </c>
      <c r="C59" s="553" t="s">
        <v>1557</v>
      </c>
      <c r="D59" s="553" t="s">
        <v>1421</v>
      </c>
      <c r="E59" s="553" t="s">
        <v>1451</v>
      </c>
      <c r="F59" s="554" t="s">
        <v>1423</v>
      </c>
      <c r="G59" s="553">
        <v>11</v>
      </c>
      <c r="H59" s="553" t="s">
        <v>1427</v>
      </c>
      <c r="I59" s="555">
        <v>2101400</v>
      </c>
      <c r="J59" s="553" t="s">
        <v>1452</v>
      </c>
    </row>
    <row r="60" spans="1:10" ht="12.75">
      <c r="A60" s="553" t="s">
        <v>1533</v>
      </c>
      <c r="B60" s="553" t="s">
        <v>1558</v>
      </c>
      <c r="C60" s="553" t="s">
        <v>1559</v>
      </c>
      <c r="D60" s="553" t="s">
        <v>1421</v>
      </c>
      <c r="E60" s="553" t="s">
        <v>1451</v>
      </c>
      <c r="F60" s="554" t="s">
        <v>1423</v>
      </c>
      <c r="G60" s="553">
        <v>11</v>
      </c>
      <c r="H60" s="553" t="s">
        <v>1430</v>
      </c>
      <c r="I60" s="555">
        <v>2233400</v>
      </c>
      <c r="J60" s="553" t="s">
        <v>1452</v>
      </c>
    </row>
    <row r="61" spans="1:10" ht="12.75">
      <c r="A61" s="553" t="s">
        <v>1533</v>
      </c>
      <c r="B61" s="553" t="s">
        <v>1560</v>
      </c>
      <c r="C61" s="553" t="s">
        <v>1561</v>
      </c>
      <c r="D61" s="553" t="s">
        <v>1421</v>
      </c>
      <c r="E61" s="553" t="s">
        <v>1451</v>
      </c>
      <c r="F61" s="554" t="s">
        <v>1423</v>
      </c>
      <c r="G61" s="553">
        <v>11</v>
      </c>
      <c r="H61" s="553" t="s">
        <v>1433</v>
      </c>
      <c r="I61" s="555">
        <v>2497400</v>
      </c>
      <c r="J61" s="553" t="s">
        <v>1452</v>
      </c>
    </row>
    <row r="62" spans="1:10" ht="12.75">
      <c r="A62" s="553" t="s">
        <v>1533</v>
      </c>
      <c r="B62" s="553" t="s">
        <v>1562</v>
      </c>
      <c r="C62" s="553" t="s">
        <v>1563</v>
      </c>
      <c r="D62" s="553" t="s">
        <v>1421</v>
      </c>
      <c r="E62" s="553" t="s">
        <v>1451</v>
      </c>
      <c r="F62" s="554" t="s">
        <v>1423</v>
      </c>
      <c r="G62" s="553">
        <v>11</v>
      </c>
      <c r="H62" s="553" t="s">
        <v>1436</v>
      </c>
      <c r="I62" s="555">
        <v>2629400</v>
      </c>
      <c r="J62" s="553" t="s">
        <v>1452</v>
      </c>
    </row>
    <row r="63" spans="1:10" ht="12.75">
      <c r="A63" s="553" t="s">
        <v>1533</v>
      </c>
      <c r="B63" s="553" t="s">
        <v>1564</v>
      </c>
      <c r="C63" s="553" t="s">
        <v>1565</v>
      </c>
      <c r="D63" s="553" t="s">
        <v>1421</v>
      </c>
      <c r="E63" s="553" t="s">
        <v>1463</v>
      </c>
      <c r="F63" s="554" t="s">
        <v>1423</v>
      </c>
      <c r="G63" s="553">
        <v>10</v>
      </c>
      <c r="H63" s="553"/>
      <c r="I63" s="555">
        <v>2038800</v>
      </c>
      <c r="J63" s="553" t="s">
        <v>1464</v>
      </c>
    </row>
    <row r="64" spans="1:10" ht="12.75">
      <c r="A64" s="553" t="s">
        <v>1533</v>
      </c>
      <c r="B64" s="553" t="s">
        <v>1566</v>
      </c>
      <c r="C64" s="553" t="s">
        <v>1567</v>
      </c>
      <c r="D64" s="553" t="s">
        <v>1421</v>
      </c>
      <c r="E64" s="553" t="s">
        <v>1463</v>
      </c>
      <c r="F64" s="554" t="s">
        <v>1423</v>
      </c>
      <c r="G64" s="553">
        <v>10</v>
      </c>
      <c r="H64" s="553" t="s">
        <v>1427</v>
      </c>
      <c r="I64" s="555">
        <v>2398800</v>
      </c>
      <c r="J64" s="553" t="s">
        <v>1464</v>
      </c>
    </row>
    <row r="65" spans="1:10" ht="12.75">
      <c r="A65" s="553" t="s">
        <v>1533</v>
      </c>
      <c r="B65" s="553" t="s">
        <v>1568</v>
      </c>
      <c r="C65" s="553" t="s">
        <v>1569</v>
      </c>
      <c r="D65" s="553" t="s">
        <v>1421</v>
      </c>
      <c r="E65" s="553" t="s">
        <v>1463</v>
      </c>
      <c r="F65" s="554" t="s">
        <v>1423</v>
      </c>
      <c r="G65" s="553">
        <v>10</v>
      </c>
      <c r="H65" s="553" t="s">
        <v>1430</v>
      </c>
      <c r="I65" s="555">
        <v>2518800</v>
      </c>
      <c r="J65" s="553" t="s">
        <v>1464</v>
      </c>
    </row>
    <row r="66" spans="1:10" ht="12.75">
      <c r="A66" s="553" t="s">
        <v>1533</v>
      </c>
      <c r="B66" s="553" t="s">
        <v>1570</v>
      </c>
      <c r="C66" s="553" t="s">
        <v>1571</v>
      </c>
      <c r="D66" s="553" t="s">
        <v>1421</v>
      </c>
      <c r="E66" s="553" t="s">
        <v>1463</v>
      </c>
      <c r="F66" s="554" t="s">
        <v>1423</v>
      </c>
      <c r="G66" s="553">
        <v>10</v>
      </c>
      <c r="H66" s="553" t="s">
        <v>1433</v>
      </c>
      <c r="I66" s="555">
        <v>2758800</v>
      </c>
      <c r="J66" s="553" t="s">
        <v>1464</v>
      </c>
    </row>
    <row r="67" spans="1:10" ht="12.75">
      <c r="A67" s="553" t="s">
        <v>1533</v>
      </c>
      <c r="B67" s="553" t="s">
        <v>1572</v>
      </c>
      <c r="C67" s="553" t="s">
        <v>1573</v>
      </c>
      <c r="D67" s="553" t="s">
        <v>1421</v>
      </c>
      <c r="E67" s="553" t="s">
        <v>1463</v>
      </c>
      <c r="F67" s="554" t="s">
        <v>1423</v>
      </c>
      <c r="G67" s="553">
        <v>10</v>
      </c>
      <c r="H67" s="553" t="s">
        <v>1436</v>
      </c>
      <c r="I67" s="555">
        <v>2878800</v>
      </c>
      <c r="J67" s="553" t="s">
        <v>1464</v>
      </c>
    </row>
    <row r="68" spans="1:10" ht="12.75">
      <c r="A68" s="553" t="s">
        <v>1533</v>
      </c>
      <c r="B68" s="553" t="s">
        <v>1574</v>
      </c>
      <c r="C68" s="553" t="s">
        <v>1575</v>
      </c>
      <c r="D68" s="553" t="s">
        <v>1421</v>
      </c>
      <c r="E68" s="553" t="s">
        <v>1475</v>
      </c>
      <c r="F68" s="554" t="s">
        <v>1423</v>
      </c>
      <c r="G68" s="553">
        <v>7</v>
      </c>
      <c r="H68" s="553"/>
      <c r="I68" s="555">
        <v>1493500</v>
      </c>
      <c r="J68" s="553" t="s">
        <v>1476</v>
      </c>
    </row>
    <row r="69" spans="1:10" ht="12.75">
      <c r="A69" s="553" t="s">
        <v>1533</v>
      </c>
      <c r="B69" s="553" t="s">
        <v>1576</v>
      </c>
      <c r="C69" s="553" t="s">
        <v>1577</v>
      </c>
      <c r="D69" s="553" t="s">
        <v>1421</v>
      </c>
      <c r="E69" s="553" t="s">
        <v>1475</v>
      </c>
      <c r="F69" s="554" t="s">
        <v>1423</v>
      </c>
      <c r="G69" s="553">
        <v>7</v>
      </c>
      <c r="H69" s="553" t="s">
        <v>1427</v>
      </c>
      <c r="I69" s="555">
        <v>1745500</v>
      </c>
      <c r="J69" s="553" t="s">
        <v>1476</v>
      </c>
    </row>
    <row r="70" spans="1:10" ht="12.75">
      <c r="A70" s="553" t="s">
        <v>1533</v>
      </c>
      <c r="B70" s="553" t="s">
        <v>1578</v>
      </c>
      <c r="C70" s="553" t="s">
        <v>1579</v>
      </c>
      <c r="D70" s="553" t="s">
        <v>1421</v>
      </c>
      <c r="E70" s="553" t="s">
        <v>1475</v>
      </c>
      <c r="F70" s="554" t="s">
        <v>1423</v>
      </c>
      <c r="G70" s="553">
        <v>7</v>
      </c>
      <c r="H70" s="553" t="s">
        <v>1430</v>
      </c>
      <c r="I70" s="555">
        <v>1829500</v>
      </c>
      <c r="J70" s="553" t="s">
        <v>1476</v>
      </c>
    </row>
    <row r="71" spans="1:10" ht="12.75">
      <c r="A71" s="553" t="s">
        <v>1533</v>
      </c>
      <c r="B71" s="553" t="s">
        <v>1580</v>
      </c>
      <c r="C71" s="553" t="s">
        <v>1581</v>
      </c>
      <c r="D71" s="553" t="s">
        <v>1421</v>
      </c>
      <c r="E71" s="553" t="s">
        <v>1475</v>
      </c>
      <c r="F71" s="554" t="s">
        <v>1423</v>
      </c>
      <c r="G71" s="553">
        <v>7</v>
      </c>
      <c r="H71" s="553" t="s">
        <v>1433</v>
      </c>
      <c r="I71" s="555">
        <v>1997500</v>
      </c>
      <c r="J71" s="553" t="s">
        <v>1476</v>
      </c>
    </row>
    <row r="72" spans="1:10" ht="12.75">
      <c r="A72" s="553" t="s">
        <v>1533</v>
      </c>
      <c r="B72" s="553" t="s">
        <v>1582</v>
      </c>
      <c r="C72" s="553" t="s">
        <v>1583</v>
      </c>
      <c r="D72" s="553" t="s">
        <v>1421</v>
      </c>
      <c r="E72" s="553" t="s">
        <v>1475</v>
      </c>
      <c r="F72" s="554" t="s">
        <v>1423</v>
      </c>
      <c r="G72" s="553">
        <v>7</v>
      </c>
      <c r="H72" s="553" t="s">
        <v>1436</v>
      </c>
      <c r="I72" s="555">
        <v>2081500</v>
      </c>
      <c r="J72" s="553" t="s">
        <v>1476</v>
      </c>
    </row>
    <row r="73" spans="1:10" ht="12.75">
      <c r="A73" s="553" t="s">
        <v>1533</v>
      </c>
      <c r="B73" s="553" t="s">
        <v>1584</v>
      </c>
      <c r="C73" s="553" t="s">
        <v>1585</v>
      </c>
      <c r="D73" s="553" t="s">
        <v>1421</v>
      </c>
      <c r="E73" s="553" t="s">
        <v>1487</v>
      </c>
      <c r="F73" s="554" t="s">
        <v>1423</v>
      </c>
      <c r="G73" s="553">
        <v>5</v>
      </c>
      <c r="H73" s="553"/>
      <c r="I73" s="555">
        <v>1394400</v>
      </c>
      <c r="J73" s="553" t="s">
        <v>1488</v>
      </c>
    </row>
    <row r="74" spans="1:10" ht="12.75">
      <c r="A74" s="553" t="s">
        <v>1533</v>
      </c>
      <c r="B74" s="553" t="s">
        <v>1586</v>
      </c>
      <c r="C74" s="553" t="s">
        <v>1587</v>
      </c>
      <c r="D74" s="553" t="s">
        <v>1421</v>
      </c>
      <c r="E74" s="553" t="s">
        <v>1487</v>
      </c>
      <c r="F74" s="554" t="s">
        <v>1423</v>
      </c>
      <c r="G74" s="553">
        <v>5</v>
      </c>
      <c r="H74" s="553" t="s">
        <v>1427</v>
      </c>
      <c r="I74" s="555">
        <v>1574400</v>
      </c>
      <c r="J74" s="553" t="s">
        <v>1488</v>
      </c>
    </row>
    <row r="75" spans="1:10" ht="12.75">
      <c r="A75" s="553" t="s">
        <v>1533</v>
      </c>
      <c r="B75" s="553" t="s">
        <v>1588</v>
      </c>
      <c r="C75" s="553" t="s">
        <v>1589</v>
      </c>
      <c r="D75" s="553" t="s">
        <v>1421</v>
      </c>
      <c r="E75" s="553" t="s">
        <v>1487</v>
      </c>
      <c r="F75" s="554" t="s">
        <v>1423</v>
      </c>
      <c r="G75" s="553">
        <v>5</v>
      </c>
      <c r="H75" s="553" t="s">
        <v>1430</v>
      </c>
      <c r="I75" s="555">
        <v>1634400</v>
      </c>
      <c r="J75" s="553" t="s">
        <v>1488</v>
      </c>
    </row>
    <row r="76" spans="1:10" ht="12.75">
      <c r="A76" s="553" t="s">
        <v>1533</v>
      </c>
      <c r="B76" s="553" t="s">
        <v>1590</v>
      </c>
      <c r="C76" s="553" t="s">
        <v>1591</v>
      </c>
      <c r="D76" s="553" t="s">
        <v>1421</v>
      </c>
      <c r="E76" s="553" t="s">
        <v>1487</v>
      </c>
      <c r="F76" s="554" t="s">
        <v>1423</v>
      </c>
      <c r="G76" s="553">
        <v>5</v>
      </c>
      <c r="H76" s="553" t="s">
        <v>1433</v>
      </c>
      <c r="I76" s="555">
        <v>1754400</v>
      </c>
      <c r="J76" s="553" t="s">
        <v>1488</v>
      </c>
    </row>
    <row r="77" spans="1:10" ht="12.75">
      <c r="A77" s="553" t="s">
        <v>1533</v>
      </c>
      <c r="B77" s="553" t="s">
        <v>1592</v>
      </c>
      <c r="C77" s="553" t="s">
        <v>1593</v>
      </c>
      <c r="D77" s="553" t="s">
        <v>1421</v>
      </c>
      <c r="E77" s="553" t="s">
        <v>1487</v>
      </c>
      <c r="F77" s="554" t="s">
        <v>1423</v>
      </c>
      <c r="G77" s="553">
        <v>5</v>
      </c>
      <c r="H77" s="553" t="s">
        <v>1436</v>
      </c>
      <c r="I77" s="555">
        <v>1814400</v>
      </c>
      <c r="J77" s="553" t="s">
        <v>1488</v>
      </c>
    </row>
    <row r="78" spans="1:10" ht="12.75">
      <c r="A78" s="553" t="s">
        <v>1533</v>
      </c>
      <c r="B78" s="553" t="s">
        <v>1594</v>
      </c>
      <c r="C78" s="553" t="s">
        <v>1595</v>
      </c>
      <c r="D78" s="553" t="s">
        <v>1421</v>
      </c>
      <c r="E78" s="553" t="s">
        <v>1499</v>
      </c>
      <c r="F78" s="554" t="s">
        <v>1423</v>
      </c>
      <c r="G78" s="553">
        <v>4</v>
      </c>
      <c r="H78" s="553"/>
      <c r="I78" s="555">
        <v>1647400</v>
      </c>
      <c r="J78" s="553" t="s">
        <v>1500</v>
      </c>
    </row>
    <row r="79" spans="1:10" ht="12.75">
      <c r="A79" s="553" t="s">
        <v>1533</v>
      </c>
      <c r="B79" s="553" t="s">
        <v>1596</v>
      </c>
      <c r="C79" s="553" t="s">
        <v>1597</v>
      </c>
      <c r="D79" s="553" t="s">
        <v>1421</v>
      </c>
      <c r="E79" s="553" t="s">
        <v>1499</v>
      </c>
      <c r="F79" s="554" t="s">
        <v>1423</v>
      </c>
      <c r="G79" s="553">
        <v>4</v>
      </c>
      <c r="H79" s="553" t="s">
        <v>1427</v>
      </c>
      <c r="I79" s="555">
        <v>1791400</v>
      </c>
      <c r="J79" s="553" t="s">
        <v>1500</v>
      </c>
    </row>
    <row r="80" spans="1:10" ht="12.75">
      <c r="A80" s="553" t="s">
        <v>1533</v>
      </c>
      <c r="B80" s="553" t="s">
        <v>1598</v>
      </c>
      <c r="C80" s="553" t="s">
        <v>1599</v>
      </c>
      <c r="D80" s="553" t="s">
        <v>1421</v>
      </c>
      <c r="E80" s="553" t="s">
        <v>1499</v>
      </c>
      <c r="F80" s="554" t="s">
        <v>1423</v>
      </c>
      <c r="G80" s="553">
        <v>4</v>
      </c>
      <c r="H80" s="553" t="s">
        <v>1430</v>
      </c>
      <c r="I80" s="555">
        <v>1839400</v>
      </c>
      <c r="J80" s="553" t="s">
        <v>1500</v>
      </c>
    </row>
    <row r="81" spans="1:10" ht="12.75">
      <c r="A81" s="553" t="s">
        <v>1533</v>
      </c>
      <c r="B81" s="553" t="s">
        <v>1600</v>
      </c>
      <c r="C81" s="553" t="s">
        <v>1601</v>
      </c>
      <c r="D81" s="553" t="s">
        <v>1421</v>
      </c>
      <c r="E81" s="553" t="s">
        <v>1499</v>
      </c>
      <c r="F81" s="554" t="s">
        <v>1423</v>
      </c>
      <c r="G81" s="553">
        <v>4</v>
      </c>
      <c r="H81" s="553" t="s">
        <v>1433</v>
      </c>
      <c r="I81" s="555">
        <v>1935400</v>
      </c>
      <c r="J81" s="553" t="s">
        <v>1500</v>
      </c>
    </row>
    <row r="82" spans="1:10" ht="12.75">
      <c r="A82" s="553" t="s">
        <v>1533</v>
      </c>
      <c r="B82" s="553" t="s">
        <v>1602</v>
      </c>
      <c r="C82" s="553" t="s">
        <v>1603</v>
      </c>
      <c r="D82" s="553" t="s">
        <v>1421</v>
      </c>
      <c r="E82" s="553" t="s">
        <v>1499</v>
      </c>
      <c r="F82" s="554" t="s">
        <v>1423</v>
      </c>
      <c r="G82" s="553">
        <v>4</v>
      </c>
      <c r="H82" s="553" t="s">
        <v>1436</v>
      </c>
      <c r="I82" s="555">
        <v>1983400</v>
      </c>
      <c r="J82" s="553" t="s">
        <v>1500</v>
      </c>
    </row>
    <row r="83" spans="1:10" ht="12.75">
      <c r="A83" s="553" t="s">
        <v>1533</v>
      </c>
      <c r="B83" s="553" t="s">
        <v>1604</v>
      </c>
      <c r="C83" s="553" t="s">
        <v>1605</v>
      </c>
      <c r="D83" s="553" t="s">
        <v>1421</v>
      </c>
      <c r="E83" s="553" t="s">
        <v>1511</v>
      </c>
      <c r="F83" s="554" t="s">
        <v>1423</v>
      </c>
      <c r="G83" s="553">
        <v>3</v>
      </c>
      <c r="H83" s="553"/>
      <c r="I83" s="555">
        <v>1442500</v>
      </c>
      <c r="J83" s="553" t="s">
        <v>1512</v>
      </c>
    </row>
    <row r="84" spans="1:10" ht="12.75">
      <c r="A84" s="553" t="s">
        <v>1533</v>
      </c>
      <c r="B84" s="553" t="s">
        <v>1606</v>
      </c>
      <c r="C84" s="553" t="s">
        <v>1607</v>
      </c>
      <c r="D84" s="553" t="s">
        <v>1421</v>
      </c>
      <c r="E84" s="553" t="s">
        <v>1511</v>
      </c>
      <c r="F84" s="554" t="s">
        <v>1423</v>
      </c>
      <c r="G84" s="553">
        <v>3</v>
      </c>
      <c r="H84" s="553" t="s">
        <v>1427</v>
      </c>
      <c r="I84" s="555">
        <v>1550500</v>
      </c>
      <c r="J84" s="553" t="s">
        <v>1512</v>
      </c>
    </row>
    <row r="85" spans="1:10" ht="12.75">
      <c r="A85" s="553" t="s">
        <v>1533</v>
      </c>
      <c r="B85" s="553" t="s">
        <v>1608</v>
      </c>
      <c r="C85" s="553" t="s">
        <v>1609</v>
      </c>
      <c r="D85" s="553" t="s">
        <v>1421</v>
      </c>
      <c r="E85" s="553" t="s">
        <v>1511</v>
      </c>
      <c r="F85" s="554" t="s">
        <v>1423</v>
      </c>
      <c r="G85" s="553">
        <v>3</v>
      </c>
      <c r="H85" s="553" t="s">
        <v>1430</v>
      </c>
      <c r="I85" s="555">
        <v>1586500</v>
      </c>
      <c r="J85" s="553" t="s">
        <v>1512</v>
      </c>
    </row>
    <row r="86" spans="1:10" ht="12.75">
      <c r="A86" s="553" t="s">
        <v>1533</v>
      </c>
      <c r="B86" s="553" t="s">
        <v>1610</v>
      </c>
      <c r="C86" s="553" t="s">
        <v>1611</v>
      </c>
      <c r="D86" s="553" t="s">
        <v>1421</v>
      </c>
      <c r="E86" s="553" t="s">
        <v>1511</v>
      </c>
      <c r="F86" s="554" t="s">
        <v>1423</v>
      </c>
      <c r="G86" s="553">
        <v>3</v>
      </c>
      <c r="H86" s="553" t="s">
        <v>1433</v>
      </c>
      <c r="I86" s="555">
        <v>1658500</v>
      </c>
      <c r="J86" s="553" t="s">
        <v>1512</v>
      </c>
    </row>
    <row r="87" spans="1:10" ht="12.75">
      <c r="A87" s="553" t="s">
        <v>1533</v>
      </c>
      <c r="B87" s="553" t="s">
        <v>1612</v>
      </c>
      <c r="C87" s="553" t="s">
        <v>1613</v>
      </c>
      <c r="D87" s="553" t="s">
        <v>1421</v>
      </c>
      <c r="E87" s="553" t="s">
        <v>1511</v>
      </c>
      <c r="F87" s="554" t="s">
        <v>1423</v>
      </c>
      <c r="G87" s="553">
        <v>3</v>
      </c>
      <c r="H87" s="553" t="s">
        <v>1436</v>
      </c>
      <c r="I87" s="555">
        <v>1694500</v>
      </c>
      <c r="J87" s="553" t="s">
        <v>1512</v>
      </c>
    </row>
    <row r="88" spans="1:10" ht="12.75">
      <c r="A88" s="553" t="s">
        <v>1533</v>
      </c>
      <c r="B88" s="553" t="s">
        <v>1614</v>
      </c>
      <c r="C88" s="553" t="s">
        <v>1615</v>
      </c>
      <c r="D88" s="553" t="s">
        <v>1421</v>
      </c>
      <c r="E88" s="553" t="s">
        <v>1523</v>
      </c>
      <c r="F88" s="554" t="s">
        <v>1423</v>
      </c>
      <c r="G88" s="553">
        <v>2</v>
      </c>
      <c r="H88" s="553"/>
      <c r="I88" s="555">
        <v>1182700</v>
      </c>
      <c r="J88" s="553" t="s">
        <v>1524</v>
      </c>
    </row>
    <row r="89" spans="1:10" ht="12.75">
      <c r="A89" s="553" t="s">
        <v>1533</v>
      </c>
      <c r="B89" s="553" t="s">
        <v>1616</v>
      </c>
      <c r="C89" s="553" t="s">
        <v>1617</v>
      </c>
      <c r="D89" s="553" t="s">
        <v>1421</v>
      </c>
      <c r="E89" s="553" t="s">
        <v>1523</v>
      </c>
      <c r="F89" s="554" t="s">
        <v>1423</v>
      </c>
      <c r="G89" s="553">
        <v>2</v>
      </c>
      <c r="H89" s="553" t="s">
        <v>1427</v>
      </c>
      <c r="I89" s="555">
        <v>1254700</v>
      </c>
      <c r="J89" s="553" t="s">
        <v>1524</v>
      </c>
    </row>
    <row r="90" spans="1:10" ht="12.75">
      <c r="A90" s="553" t="s">
        <v>1533</v>
      </c>
      <c r="B90" s="553" t="s">
        <v>1618</v>
      </c>
      <c r="C90" s="553" t="s">
        <v>1619</v>
      </c>
      <c r="D90" s="553" t="s">
        <v>1421</v>
      </c>
      <c r="E90" s="553" t="s">
        <v>1523</v>
      </c>
      <c r="F90" s="554" t="s">
        <v>1423</v>
      </c>
      <c r="G90" s="553">
        <v>2</v>
      </c>
      <c r="H90" s="553" t="s">
        <v>1430</v>
      </c>
      <c r="I90" s="555">
        <v>1278700</v>
      </c>
      <c r="J90" s="553" t="s">
        <v>1524</v>
      </c>
    </row>
    <row r="91" spans="1:10" ht="12.75">
      <c r="A91" s="553" t="s">
        <v>1533</v>
      </c>
      <c r="B91" s="553" t="s">
        <v>1620</v>
      </c>
      <c r="C91" s="553" t="s">
        <v>1621</v>
      </c>
      <c r="D91" s="553" t="s">
        <v>1421</v>
      </c>
      <c r="E91" s="553" t="s">
        <v>1523</v>
      </c>
      <c r="F91" s="554" t="s">
        <v>1423</v>
      </c>
      <c r="G91" s="553">
        <v>2</v>
      </c>
      <c r="H91" s="553" t="s">
        <v>1433</v>
      </c>
      <c r="I91" s="555">
        <v>1326700</v>
      </c>
      <c r="J91" s="553" t="s">
        <v>1524</v>
      </c>
    </row>
    <row r="92" spans="1:10" ht="12.75">
      <c r="A92" s="553" t="s">
        <v>1533</v>
      </c>
      <c r="B92" s="553" t="s">
        <v>1622</v>
      </c>
      <c r="C92" s="553" t="s">
        <v>1623</v>
      </c>
      <c r="D92" s="553" t="s">
        <v>1421</v>
      </c>
      <c r="E92" s="553" t="s">
        <v>1523</v>
      </c>
      <c r="F92" s="554" t="s">
        <v>1423</v>
      </c>
      <c r="G92" s="553">
        <v>2</v>
      </c>
      <c r="H92" s="553" t="s">
        <v>1436</v>
      </c>
      <c r="I92" s="555">
        <v>1350700</v>
      </c>
      <c r="J92" s="553" t="s">
        <v>1524</v>
      </c>
    </row>
    <row r="93" spans="1:10" ht="12.75">
      <c r="A93" s="553" t="s">
        <v>1624</v>
      </c>
      <c r="B93" s="553" t="s">
        <v>1625</v>
      </c>
      <c r="C93" s="553" t="s">
        <v>1626</v>
      </c>
      <c r="D93" s="553" t="s">
        <v>1421</v>
      </c>
      <c r="E93" s="553" t="s">
        <v>1439</v>
      </c>
      <c r="F93" s="554" t="s">
        <v>1423</v>
      </c>
      <c r="G93" s="553">
        <v>15</v>
      </c>
      <c r="H93" s="553"/>
      <c r="I93" s="555">
        <v>1743800</v>
      </c>
      <c r="J93" s="553" t="s">
        <v>1440</v>
      </c>
    </row>
    <row r="94" spans="1:10" ht="12.75">
      <c r="A94" s="553" t="s">
        <v>1624</v>
      </c>
      <c r="B94" s="553" t="s">
        <v>1627</v>
      </c>
      <c r="C94" s="553" t="s">
        <v>1628</v>
      </c>
      <c r="D94" s="553" t="s">
        <v>1421</v>
      </c>
      <c r="E94" s="553" t="s">
        <v>1439</v>
      </c>
      <c r="F94" s="554" t="s">
        <v>1423</v>
      </c>
      <c r="G94" s="553">
        <v>15</v>
      </c>
      <c r="H94" s="553" t="s">
        <v>1427</v>
      </c>
      <c r="I94" s="555">
        <v>2283800</v>
      </c>
      <c r="J94" s="553" t="s">
        <v>1440</v>
      </c>
    </row>
    <row r="95" spans="1:10" ht="12.75">
      <c r="A95" s="553" t="s">
        <v>1624</v>
      </c>
      <c r="B95" s="553" t="s">
        <v>1629</v>
      </c>
      <c r="C95" s="553" t="s">
        <v>1630</v>
      </c>
      <c r="D95" s="553" t="s">
        <v>1421</v>
      </c>
      <c r="E95" s="553" t="s">
        <v>1439</v>
      </c>
      <c r="F95" s="554" t="s">
        <v>1423</v>
      </c>
      <c r="G95" s="553">
        <v>15</v>
      </c>
      <c r="H95" s="553" t="s">
        <v>1430</v>
      </c>
      <c r="I95" s="555">
        <v>2463800</v>
      </c>
      <c r="J95" s="553" t="s">
        <v>1440</v>
      </c>
    </row>
    <row r="96" spans="1:10" ht="12.75">
      <c r="A96" s="553" t="s">
        <v>1624</v>
      </c>
      <c r="B96" s="553" t="s">
        <v>1631</v>
      </c>
      <c r="C96" s="553" t="s">
        <v>1632</v>
      </c>
      <c r="D96" s="553" t="s">
        <v>1421</v>
      </c>
      <c r="E96" s="553" t="s">
        <v>1439</v>
      </c>
      <c r="F96" s="554" t="s">
        <v>1423</v>
      </c>
      <c r="G96" s="553">
        <v>15</v>
      </c>
      <c r="H96" s="553" t="s">
        <v>1433</v>
      </c>
      <c r="I96" s="555">
        <v>2823800</v>
      </c>
      <c r="J96" s="553" t="s">
        <v>1440</v>
      </c>
    </row>
    <row r="97" spans="1:10" ht="12.75">
      <c r="A97" s="553" t="s">
        <v>1624</v>
      </c>
      <c r="B97" s="553" t="s">
        <v>1633</v>
      </c>
      <c r="C97" s="553" t="s">
        <v>1634</v>
      </c>
      <c r="D97" s="553" t="s">
        <v>1421</v>
      </c>
      <c r="E97" s="553" t="s">
        <v>1439</v>
      </c>
      <c r="F97" s="554" t="s">
        <v>1423</v>
      </c>
      <c r="G97" s="553">
        <v>15</v>
      </c>
      <c r="H97" s="553" t="s">
        <v>1436</v>
      </c>
      <c r="I97" s="555">
        <v>3003800</v>
      </c>
      <c r="J97" s="553" t="s">
        <v>1440</v>
      </c>
    </row>
    <row r="98" spans="1:10" ht="12.75">
      <c r="A98" s="553" t="s">
        <v>1624</v>
      </c>
      <c r="B98" s="553" t="s">
        <v>1635</v>
      </c>
      <c r="C98" s="553" t="s">
        <v>1636</v>
      </c>
      <c r="D98" s="553" t="s">
        <v>1421</v>
      </c>
      <c r="E98" s="553" t="s">
        <v>1451</v>
      </c>
      <c r="F98" s="554" t="s">
        <v>1423</v>
      </c>
      <c r="G98" s="553">
        <v>11</v>
      </c>
      <c r="H98" s="553"/>
      <c r="I98" s="555">
        <v>1552300</v>
      </c>
      <c r="J98" s="553" t="s">
        <v>1452</v>
      </c>
    </row>
    <row r="99" spans="1:10" ht="12.75">
      <c r="A99" s="553" t="s">
        <v>1624</v>
      </c>
      <c r="B99" s="553" t="s">
        <v>1637</v>
      </c>
      <c r="C99" s="553" t="s">
        <v>1638</v>
      </c>
      <c r="D99" s="553" t="s">
        <v>1421</v>
      </c>
      <c r="E99" s="553" t="s">
        <v>1451</v>
      </c>
      <c r="F99" s="554" t="s">
        <v>1423</v>
      </c>
      <c r="G99" s="553">
        <v>11</v>
      </c>
      <c r="H99" s="553" t="s">
        <v>1427</v>
      </c>
      <c r="I99" s="555">
        <v>1948300</v>
      </c>
      <c r="J99" s="553" t="s">
        <v>1452</v>
      </c>
    </row>
    <row r="100" spans="1:10" ht="12.75">
      <c r="A100" s="553" t="s">
        <v>1624</v>
      </c>
      <c r="B100" s="553" t="s">
        <v>1639</v>
      </c>
      <c r="C100" s="553" t="s">
        <v>1640</v>
      </c>
      <c r="D100" s="553" t="s">
        <v>1421</v>
      </c>
      <c r="E100" s="553" t="s">
        <v>1451</v>
      </c>
      <c r="F100" s="554" t="s">
        <v>1423</v>
      </c>
      <c r="G100" s="553">
        <v>11</v>
      </c>
      <c r="H100" s="553" t="s">
        <v>1430</v>
      </c>
      <c r="I100" s="555">
        <v>2080300</v>
      </c>
      <c r="J100" s="553" t="s">
        <v>1452</v>
      </c>
    </row>
    <row r="101" spans="1:10" ht="12.75">
      <c r="A101" s="553" t="s">
        <v>1624</v>
      </c>
      <c r="B101" s="553" t="s">
        <v>1641</v>
      </c>
      <c r="C101" s="553" t="s">
        <v>1642</v>
      </c>
      <c r="D101" s="553" t="s">
        <v>1421</v>
      </c>
      <c r="E101" s="553" t="s">
        <v>1451</v>
      </c>
      <c r="F101" s="554" t="s">
        <v>1423</v>
      </c>
      <c r="G101" s="553">
        <v>11</v>
      </c>
      <c r="H101" s="553" t="s">
        <v>1433</v>
      </c>
      <c r="I101" s="555">
        <v>2344300</v>
      </c>
      <c r="J101" s="553" t="s">
        <v>1452</v>
      </c>
    </row>
    <row r="102" spans="1:10" ht="12.75">
      <c r="A102" s="553" t="s">
        <v>1624</v>
      </c>
      <c r="B102" s="553" t="s">
        <v>1643</v>
      </c>
      <c r="C102" s="553" t="s">
        <v>1644</v>
      </c>
      <c r="D102" s="553" t="s">
        <v>1421</v>
      </c>
      <c r="E102" s="553" t="s">
        <v>1451</v>
      </c>
      <c r="F102" s="554" t="s">
        <v>1423</v>
      </c>
      <c r="G102" s="553">
        <v>11</v>
      </c>
      <c r="H102" s="553" t="s">
        <v>1436</v>
      </c>
      <c r="I102" s="555">
        <v>2476300</v>
      </c>
      <c r="J102" s="553" t="s">
        <v>1452</v>
      </c>
    </row>
    <row r="103" spans="1:10" ht="12.75">
      <c r="A103" s="553" t="s">
        <v>1624</v>
      </c>
      <c r="B103" s="553" t="s">
        <v>1645</v>
      </c>
      <c r="C103" s="553" t="s">
        <v>1646</v>
      </c>
      <c r="D103" s="553" t="s">
        <v>1421</v>
      </c>
      <c r="E103" s="553" t="s">
        <v>1463</v>
      </c>
      <c r="F103" s="554" t="s">
        <v>1423</v>
      </c>
      <c r="G103" s="553">
        <v>10</v>
      </c>
      <c r="H103" s="553"/>
      <c r="I103" s="555">
        <v>1822400</v>
      </c>
      <c r="J103" s="553" t="s">
        <v>1464</v>
      </c>
    </row>
    <row r="104" spans="1:10" ht="12.75">
      <c r="A104" s="553" t="s">
        <v>1624</v>
      </c>
      <c r="B104" s="553" t="s">
        <v>1647</v>
      </c>
      <c r="C104" s="553" t="s">
        <v>1648</v>
      </c>
      <c r="D104" s="553" t="s">
        <v>1421</v>
      </c>
      <c r="E104" s="553" t="s">
        <v>1463</v>
      </c>
      <c r="F104" s="554" t="s">
        <v>1423</v>
      </c>
      <c r="G104" s="553">
        <v>10</v>
      </c>
      <c r="H104" s="553" t="s">
        <v>1427</v>
      </c>
      <c r="I104" s="555">
        <v>2182400</v>
      </c>
      <c r="J104" s="553" t="s">
        <v>1464</v>
      </c>
    </row>
    <row r="105" spans="1:10" ht="12.75">
      <c r="A105" s="553" t="s">
        <v>1624</v>
      </c>
      <c r="B105" s="553" t="s">
        <v>1649</v>
      </c>
      <c r="C105" s="553" t="s">
        <v>1650</v>
      </c>
      <c r="D105" s="553" t="s">
        <v>1421</v>
      </c>
      <c r="E105" s="553" t="s">
        <v>1463</v>
      </c>
      <c r="F105" s="554" t="s">
        <v>1423</v>
      </c>
      <c r="G105" s="553">
        <v>10</v>
      </c>
      <c r="H105" s="553" t="s">
        <v>1430</v>
      </c>
      <c r="I105" s="555">
        <v>2302400</v>
      </c>
      <c r="J105" s="553" t="s">
        <v>1464</v>
      </c>
    </row>
    <row r="106" spans="1:10" ht="12.75">
      <c r="A106" s="553" t="s">
        <v>1624</v>
      </c>
      <c r="B106" s="553" t="s">
        <v>1651</v>
      </c>
      <c r="C106" s="553" t="s">
        <v>1652</v>
      </c>
      <c r="D106" s="553" t="s">
        <v>1421</v>
      </c>
      <c r="E106" s="553" t="s">
        <v>1463</v>
      </c>
      <c r="F106" s="554" t="s">
        <v>1423</v>
      </c>
      <c r="G106" s="553">
        <v>10</v>
      </c>
      <c r="H106" s="553" t="s">
        <v>1433</v>
      </c>
      <c r="I106" s="555">
        <v>2542400</v>
      </c>
      <c r="J106" s="553" t="s">
        <v>1464</v>
      </c>
    </row>
    <row r="107" spans="1:10" ht="12.75">
      <c r="A107" s="553" t="s">
        <v>1624</v>
      </c>
      <c r="B107" s="553" t="s">
        <v>1653</v>
      </c>
      <c r="C107" s="553" t="s">
        <v>1654</v>
      </c>
      <c r="D107" s="553" t="s">
        <v>1421</v>
      </c>
      <c r="E107" s="553" t="s">
        <v>1463</v>
      </c>
      <c r="F107" s="554" t="s">
        <v>1423</v>
      </c>
      <c r="G107" s="553">
        <v>10</v>
      </c>
      <c r="H107" s="553" t="s">
        <v>1436</v>
      </c>
      <c r="I107" s="555">
        <v>2662400</v>
      </c>
      <c r="J107" s="553" t="s">
        <v>1464</v>
      </c>
    </row>
    <row r="108" spans="1:10" ht="12.75">
      <c r="A108" s="553" t="s">
        <v>1624</v>
      </c>
      <c r="B108" s="553" t="s">
        <v>1655</v>
      </c>
      <c r="C108" s="553" t="s">
        <v>1656</v>
      </c>
      <c r="D108" s="553" t="s">
        <v>1421</v>
      </c>
      <c r="E108" s="553" t="s">
        <v>1475</v>
      </c>
      <c r="F108" s="554" t="s">
        <v>1423</v>
      </c>
      <c r="G108" s="553">
        <v>7</v>
      </c>
      <c r="H108" s="553"/>
      <c r="I108" s="555">
        <v>1362000</v>
      </c>
      <c r="J108" s="553" t="s">
        <v>1476</v>
      </c>
    </row>
    <row r="109" spans="1:10" ht="12.75">
      <c r="A109" s="553" t="s">
        <v>1624</v>
      </c>
      <c r="B109" s="553" t="s">
        <v>1657</v>
      </c>
      <c r="C109" s="553" t="s">
        <v>1658</v>
      </c>
      <c r="D109" s="553" t="s">
        <v>1421</v>
      </c>
      <c r="E109" s="553" t="s">
        <v>1475</v>
      </c>
      <c r="F109" s="554" t="s">
        <v>1423</v>
      </c>
      <c r="G109" s="553">
        <v>7</v>
      </c>
      <c r="H109" s="553" t="s">
        <v>1427</v>
      </c>
      <c r="I109" s="555">
        <v>1614000</v>
      </c>
      <c r="J109" s="553" t="s">
        <v>1476</v>
      </c>
    </row>
    <row r="110" spans="1:10" ht="12.75">
      <c r="A110" s="553" t="s">
        <v>1624</v>
      </c>
      <c r="B110" s="553" t="s">
        <v>1659</v>
      </c>
      <c r="C110" s="553" t="s">
        <v>1660</v>
      </c>
      <c r="D110" s="553" t="s">
        <v>1421</v>
      </c>
      <c r="E110" s="553" t="s">
        <v>1475</v>
      </c>
      <c r="F110" s="554" t="s">
        <v>1423</v>
      </c>
      <c r="G110" s="553">
        <v>7</v>
      </c>
      <c r="H110" s="553" t="s">
        <v>1430</v>
      </c>
      <c r="I110" s="555">
        <v>1698000</v>
      </c>
      <c r="J110" s="553" t="s">
        <v>1476</v>
      </c>
    </row>
    <row r="111" spans="1:10" ht="12.75">
      <c r="A111" s="553" t="s">
        <v>1624</v>
      </c>
      <c r="B111" s="553" t="s">
        <v>1661</v>
      </c>
      <c r="C111" s="553" t="s">
        <v>1662</v>
      </c>
      <c r="D111" s="553" t="s">
        <v>1421</v>
      </c>
      <c r="E111" s="553" t="s">
        <v>1475</v>
      </c>
      <c r="F111" s="554" t="s">
        <v>1423</v>
      </c>
      <c r="G111" s="553">
        <v>7</v>
      </c>
      <c r="H111" s="553" t="s">
        <v>1433</v>
      </c>
      <c r="I111" s="555">
        <v>1866000</v>
      </c>
      <c r="J111" s="553" t="s">
        <v>1476</v>
      </c>
    </row>
    <row r="112" spans="1:10" ht="12.75">
      <c r="A112" s="553" t="s">
        <v>1624</v>
      </c>
      <c r="B112" s="553" t="s">
        <v>1663</v>
      </c>
      <c r="C112" s="553" t="s">
        <v>1664</v>
      </c>
      <c r="D112" s="553" t="s">
        <v>1421</v>
      </c>
      <c r="E112" s="553" t="s">
        <v>1475</v>
      </c>
      <c r="F112" s="554" t="s">
        <v>1423</v>
      </c>
      <c r="G112" s="553">
        <v>7</v>
      </c>
      <c r="H112" s="553" t="s">
        <v>1436</v>
      </c>
      <c r="I112" s="555">
        <v>1950000</v>
      </c>
      <c r="J112" s="553" t="s">
        <v>1476</v>
      </c>
    </row>
    <row r="113" spans="1:10" ht="12.75">
      <c r="A113" s="553" t="s">
        <v>1624</v>
      </c>
      <c r="B113" s="553" t="s">
        <v>1665</v>
      </c>
      <c r="C113" s="553" t="s">
        <v>1666</v>
      </c>
      <c r="D113" s="553" t="s">
        <v>1421</v>
      </c>
      <c r="E113" s="553" t="s">
        <v>1487</v>
      </c>
      <c r="F113" s="554" t="s">
        <v>1423</v>
      </c>
      <c r="G113" s="553">
        <v>5</v>
      </c>
      <c r="H113" s="553"/>
      <c r="I113" s="555">
        <v>1243900</v>
      </c>
      <c r="J113" s="553" t="s">
        <v>1488</v>
      </c>
    </row>
    <row r="114" spans="1:10" ht="12.75">
      <c r="A114" s="553" t="s">
        <v>1624</v>
      </c>
      <c r="B114" s="553" t="s">
        <v>1667</v>
      </c>
      <c r="C114" s="553" t="s">
        <v>1668</v>
      </c>
      <c r="D114" s="553" t="s">
        <v>1421</v>
      </c>
      <c r="E114" s="553" t="s">
        <v>1487</v>
      </c>
      <c r="F114" s="554" t="s">
        <v>1423</v>
      </c>
      <c r="G114" s="553">
        <v>5</v>
      </c>
      <c r="H114" s="553" t="s">
        <v>1427</v>
      </c>
      <c r="I114" s="555">
        <v>1423900</v>
      </c>
      <c r="J114" s="553" t="s">
        <v>1488</v>
      </c>
    </row>
    <row r="115" spans="1:10" ht="12.75">
      <c r="A115" s="553" t="s">
        <v>1624</v>
      </c>
      <c r="B115" s="553" t="s">
        <v>1669</v>
      </c>
      <c r="C115" s="553" t="s">
        <v>1670</v>
      </c>
      <c r="D115" s="553" t="s">
        <v>1421</v>
      </c>
      <c r="E115" s="553" t="s">
        <v>1487</v>
      </c>
      <c r="F115" s="554" t="s">
        <v>1423</v>
      </c>
      <c r="G115" s="553">
        <v>5</v>
      </c>
      <c r="H115" s="553" t="s">
        <v>1430</v>
      </c>
      <c r="I115" s="555">
        <v>1483900</v>
      </c>
      <c r="J115" s="553" t="s">
        <v>1488</v>
      </c>
    </row>
    <row r="116" spans="1:10" ht="12.75">
      <c r="A116" s="553" t="s">
        <v>1624</v>
      </c>
      <c r="B116" s="553" t="s">
        <v>1671</v>
      </c>
      <c r="C116" s="553" t="s">
        <v>1672</v>
      </c>
      <c r="D116" s="553" t="s">
        <v>1421</v>
      </c>
      <c r="E116" s="553" t="s">
        <v>1487</v>
      </c>
      <c r="F116" s="554" t="s">
        <v>1423</v>
      </c>
      <c r="G116" s="553">
        <v>5</v>
      </c>
      <c r="H116" s="553" t="s">
        <v>1433</v>
      </c>
      <c r="I116" s="555">
        <v>1603900</v>
      </c>
      <c r="J116" s="553" t="s">
        <v>1488</v>
      </c>
    </row>
    <row r="117" spans="1:10" ht="12.75">
      <c r="A117" s="553" t="s">
        <v>1624</v>
      </c>
      <c r="B117" s="553" t="s">
        <v>1673</v>
      </c>
      <c r="C117" s="553" t="s">
        <v>1674</v>
      </c>
      <c r="D117" s="553" t="s">
        <v>1421</v>
      </c>
      <c r="E117" s="553" t="s">
        <v>1487</v>
      </c>
      <c r="F117" s="554" t="s">
        <v>1423</v>
      </c>
      <c r="G117" s="553">
        <v>5</v>
      </c>
      <c r="H117" s="553" t="s">
        <v>1436</v>
      </c>
      <c r="I117" s="555">
        <v>1663900</v>
      </c>
      <c r="J117" s="553" t="s">
        <v>1488</v>
      </c>
    </row>
  </sheetData>
  <mergeCells count="1">
    <mergeCell ref="A1:J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R2000"/>
  <sheetViews>
    <sheetView showGridLines="0" topLeftCell="B1" workbookViewId="0">
      <pane ySplit="6" topLeftCell="A7" activePane="bottomLeft" state="frozen"/>
      <selection pane="bottomLeft" activeCell="C9" sqref="C9"/>
    </sheetView>
  </sheetViews>
  <sheetFormatPr defaultColWidth="12.5703125" defaultRowHeight="15" customHeight="1"/>
  <cols>
    <col min="1" max="1" width="19.28515625" customWidth="1"/>
    <col min="2" max="2" width="12.42578125" customWidth="1"/>
    <col min="3" max="3" width="17.140625" customWidth="1"/>
    <col min="4" max="4" width="31.28515625" customWidth="1"/>
    <col min="5" max="5" width="7.42578125" customWidth="1"/>
    <col min="6" max="6" width="6.7109375" customWidth="1"/>
    <col min="7" max="7" width="11.28515625" customWidth="1"/>
    <col min="8" max="9" width="6.5703125" customWidth="1"/>
    <col min="10" max="10" width="7.7109375" customWidth="1"/>
    <col min="11" max="11" width="7.140625" customWidth="1"/>
    <col min="12" max="12" width="7.28515625" customWidth="1"/>
    <col min="13" max="14" width="9.85546875" customWidth="1"/>
    <col min="15" max="15" width="8.140625" customWidth="1"/>
    <col min="16" max="16" width="9.85546875" customWidth="1"/>
  </cols>
  <sheetData>
    <row r="1" spans="1:18" ht="15" customHeight="1">
      <c r="A1" s="567"/>
      <c r="B1" s="568" t="s">
        <v>1675</v>
      </c>
      <c r="C1" s="569" t="s">
        <v>1676</v>
      </c>
      <c r="D1" s="570"/>
      <c r="E1" s="571"/>
      <c r="F1" s="571"/>
      <c r="G1" s="571"/>
      <c r="H1" s="571"/>
      <c r="I1" s="571"/>
      <c r="J1" s="571"/>
      <c r="K1" s="571"/>
      <c r="L1" s="571"/>
      <c r="M1" s="571"/>
      <c r="N1" s="571"/>
      <c r="O1" s="571"/>
      <c r="P1" s="571"/>
    </row>
    <row r="2" spans="1:18" ht="15" customHeight="1">
      <c r="A2" s="567"/>
      <c r="B2" s="572" t="s">
        <v>1677</v>
      </c>
      <c r="C2" s="573">
        <v>1.01</v>
      </c>
      <c r="D2" s="574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t="s">
        <v>11808</v>
      </c>
      <c r="R2" t="s">
        <v>11809</v>
      </c>
    </row>
    <row r="3" spans="1:18" ht="15" customHeight="1">
      <c r="A3" s="567"/>
      <c r="B3" s="572" t="s">
        <v>1678</v>
      </c>
      <c r="C3" s="573">
        <v>1.03</v>
      </c>
      <c r="D3" s="574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R3" t="s">
        <v>11810</v>
      </c>
    </row>
    <row r="4" spans="1:18" ht="15" customHeight="1">
      <c r="A4" s="567"/>
      <c r="B4" s="572" t="s">
        <v>1679</v>
      </c>
      <c r="C4" s="573">
        <v>1.2</v>
      </c>
      <c r="D4" s="574"/>
      <c r="E4" s="571"/>
      <c r="F4" s="571"/>
      <c r="G4" s="571"/>
      <c r="H4" s="571"/>
      <c r="I4" s="884"/>
      <c r="J4" s="884"/>
      <c r="K4" s="884"/>
      <c r="L4" s="571"/>
      <c r="M4" s="571"/>
      <c r="N4" s="571"/>
      <c r="O4" s="571"/>
      <c r="P4" s="571"/>
      <c r="Q4">
        <v>253</v>
      </c>
    </row>
    <row r="5" spans="1:18" ht="15" customHeight="1">
      <c r="A5" s="567"/>
      <c r="B5" s="575" t="s">
        <v>1680</v>
      </c>
      <c r="C5" s="576">
        <v>1.3</v>
      </c>
      <c r="D5" s="574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>
        <f>+Q4/1.1</f>
        <v>229.99999999999997</v>
      </c>
    </row>
    <row r="6" spans="1:18">
      <c r="A6" s="577" t="str">
        <f ca="1">IFERROR(__xludf.DUMMYFUNCTION("QUERY(IMPORTRANGE(""https://docs.google.com/spreadsheets/d/12X9RfcBQaZViz0UF6GibkKFsitfHJonvH11_FEZbsdU"",""ĐỒNG!A2:Z""),""Select Col1,Col2,Col3,Col4,Col5,Col6,Col7,Col8,Col9,Col11,Col12,Col13,Col14,Col15,Col16"")"),"  Nhãn hiệu  ")</f>
        <v xml:space="preserve">  Nhãn hiệu  </v>
      </c>
      <c r="B6" s="578" t="str">
        <f ca="1">IFERROR(__xludf.DUMMYFUNCTION("""COMPUTED_VALUE"""),"Nhóm HH")</f>
        <v>Nhóm HH</v>
      </c>
      <c r="C6" s="578" t="str">
        <f ca="1">IFERROR(__xludf.DUMMYFUNCTION("""COMPUTED_VALUE"""),"Mã")</f>
        <v>Mã</v>
      </c>
      <c r="D6" s="578" t="str">
        <f ca="1">IFERROR(__xludf.DUMMYFUNCTION("""COMPUTED_VALUE"""),"Tên")</f>
        <v>Tên</v>
      </c>
      <c r="E6" s="579" t="str">
        <f ca="1">IFERROR(__xludf.DUMMYFUNCTION("""COMPUTED_VALUE"""),"  VAT  ")</f>
        <v xml:space="preserve">  VAT  </v>
      </c>
      <c r="F6" s="579" t="str">
        <f ca="1">IFERROR(__xludf.DUMMYFUNCTION("""COMPUTED_VALUE"""),"  ĐVT  ")</f>
        <v xml:space="preserve">  ĐVT  </v>
      </c>
      <c r="G6" s="580" t="str">
        <f ca="1">IFERROR(__xludf.DUMMYFUNCTION("""COMPUTED_VALUE"""),"  Quy cách  ")</f>
        <v xml:space="preserve">  Quy cách  </v>
      </c>
      <c r="H6" s="579" t="str">
        <f ca="1">IFERROR(__xludf.DUMMYFUNCTION("""COMPUTED_VALUE"""),"  Đóng gói  ")</f>
        <v xml:space="preserve">  Đóng gói  </v>
      </c>
      <c r="I6" s="579" t="str">
        <f ca="1">IFERROR(__xludf.DUMMYFUNCTION("""COMPUTED_VALUE"""),"  Kg  ")</f>
        <v xml:space="preserve">  Kg  </v>
      </c>
      <c r="J6" s="579" t="str">
        <f ca="1">IFERROR(__xludf.DUMMYFUNCTION("""COMPUTED_VALUE"""),"  ĐK  ")</f>
        <v xml:space="preserve">  ĐK  </v>
      </c>
      <c r="K6" s="579" t="str">
        <f ca="1">IFERROR(__xludf.DUMMYFUNCTION("""COMPUTED_VALUE"""),"  Dày  ")</f>
        <v xml:space="preserve">  Dày  </v>
      </c>
      <c r="L6" s="579" t="str">
        <f ca="1">IFERROR(__xludf.DUMMYFUNCTION("""COMPUTED_VALUE"""),"  Dài  ")</f>
        <v xml:space="preserve">  Dài  </v>
      </c>
      <c r="M6" s="579" t="str">
        <f ca="1">IFERROR(__xludf.DUMMYFUNCTION("""COMPUTED_VALUE"""),"  Đặc thù  ")</f>
        <v xml:space="preserve">  Đặc thù  </v>
      </c>
      <c r="N6" s="579" t="str">
        <f ca="1">IFERROR(__xludf.DUMMYFUNCTION("""COMPUTED_VALUE""")," Dị DA ")</f>
        <v xml:space="preserve"> Dị DA </v>
      </c>
      <c r="O6" s="579" t="str">
        <f ca="1">IFERROR(__xludf.DUMMYFUNCTION("""COMPUTED_VALUE""")," Hệ số ")</f>
        <v xml:space="preserve"> Hệ số </v>
      </c>
      <c r="P6" s="579"/>
      <c r="Q6" t="s">
        <v>11811</v>
      </c>
    </row>
    <row r="7" spans="1:18">
      <c r="A7" s="581" t="str">
        <f ca="1">IFERROR(__xludf.DUMMYFUNCTION("""COMPUTED_VALUE"""),"Toàn Phát - Việt Nam")</f>
        <v>Toàn Phát - Việt Nam</v>
      </c>
      <c r="B7" s="581" t="str">
        <f ca="1">IFERROR(__xludf.DUMMYFUNCTION("""COMPUTED_VALUE"""),"ĐTPCUONIB")</f>
        <v>ĐTPCUONIB</v>
      </c>
      <c r="C7" s="581" t="str">
        <f ca="1">IFERROR(__xludf.DUMMYFUNCTION("""COMPUTED_VALUE"""),"DOC0476050")</f>
        <v>DOC0476050</v>
      </c>
      <c r="D7" s="582" t="str">
        <f ca="1">IFERROR(__xludf.DUMMYFUNCTION("""COMPUTED_VALUE"""),"Đồng ống PC 04.76x0.50")</f>
        <v>Đồng ống PC 04.76x0.50</v>
      </c>
      <c r="E7" s="583">
        <f ca="1">IFERROR(__xludf.DUMMYFUNCTION("""COMPUTED_VALUE"""),0.1)</f>
        <v>0.1</v>
      </c>
      <c r="F7" s="584" t="str">
        <f ca="1">IFERROR(__xludf.DUMMYFUNCTION("""COMPUTED_VALUE"""),"Cuộn")</f>
        <v>Cuộn</v>
      </c>
      <c r="G7" s="584" t="str">
        <f ca="1">IFERROR(__xludf.DUMMYFUNCTION("""COMPUTED_VALUE"""),"Cuộn 15m")</f>
        <v>Cuộn 15m</v>
      </c>
      <c r="H7" s="582" t="str">
        <f ca="1">IFERROR(__xludf.DUMMYFUNCTION("""COMPUTED_VALUE"""),"15")</f>
        <v>15</v>
      </c>
      <c r="I7" s="585">
        <f ca="1">IFERROR(__xludf.DUMMYFUNCTION("""COMPUTED_VALUE"""),0.925910999999999)</f>
        <v>0.92591099999999904</v>
      </c>
      <c r="J7" s="586" t="str">
        <f ca="1">IFERROR(__xludf.DUMMYFUNCTION("""COMPUTED_VALUE""")," 04.76 ")</f>
        <v xml:space="preserve"> 04.76 </v>
      </c>
      <c r="K7" s="584" t="str">
        <f ca="1">IFERROR(__xludf.DUMMYFUNCTION("""COMPUTED_VALUE"""),"0.50")</f>
        <v>0.50</v>
      </c>
      <c r="L7" s="584">
        <f ca="1">IFERROR(__xludf.DUMMYFUNCTION("""COMPUTED_VALUE"""),15)</f>
        <v>15</v>
      </c>
      <c r="M7" s="584"/>
      <c r="N7" s="584" t="str">
        <f ca="1">IFERROR(__xludf.DUMMYFUNCTION("""COMPUTED_VALUE"""),"Ít bán")</f>
        <v>Ít bán</v>
      </c>
      <c r="O7" s="583">
        <f ca="1">IFERROR(__xludf.DUMMYFUNCTION("""COMPUTED_VALUE"""),1)</f>
        <v>1</v>
      </c>
      <c r="P7" s="584"/>
      <c r="Q7" s="885">
        <f ca="1">+$Q$5*I7</f>
        <v>212.95952999999975</v>
      </c>
    </row>
    <row r="8" spans="1:18">
      <c r="A8" s="587" t="str">
        <f ca="1">IFERROR(__xludf.DUMMYFUNCTION("""COMPUTED_VALUE"""),"Toàn Phát - Việt Nam")</f>
        <v>Toàn Phát - Việt Nam</v>
      </c>
      <c r="B8" s="587" t="str">
        <f ca="1">IFERROR(__xludf.DUMMYFUNCTION("""COMPUTED_VALUE"""),"ĐTPCUONIB")</f>
        <v>ĐTPCUONIB</v>
      </c>
      <c r="C8" s="587" t="str">
        <f ca="1">IFERROR(__xludf.DUMMYFUNCTION("""COMPUTED_VALUE"""),"DOC0476051")</f>
        <v>DOC0476051</v>
      </c>
      <c r="D8" s="588" t="str">
        <f ca="1">IFERROR(__xludf.DUMMYFUNCTION("""COMPUTED_VALUE"""),"Đồng ống PC 04.76x0.51")</f>
        <v>Đồng ống PC 04.76x0.51</v>
      </c>
      <c r="E8" s="589">
        <f ca="1">IFERROR(__xludf.DUMMYFUNCTION("""COMPUTED_VALUE"""),0.1)</f>
        <v>0.1</v>
      </c>
      <c r="F8" s="590" t="str">
        <f ca="1">IFERROR(__xludf.DUMMYFUNCTION("""COMPUTED_VALUE"""),"Cuộn")</f>
        <v>Cuộn</v>
      </c>
      <c r="G8" s="590" t="str">
        <f ca="1">IFERROR(__xludf.DUMMYFUNCTION("""COMPUTED_VALUE"""),"Cuộn 15m")</f>
        <v>Cuộn 15m</v>
      </c>
      <c r="H8" s="588" t="str">
        <f ca="1">IFERROR(__xludf.DUMMYFUNCTION("""COMPUTED_VALUE"""),"15")</f>
        <v>15</v>
      </c>
      <c r="I8" s="591">
        <f ca="1">IFERROR(__xludf.DUMMYFUNCTION("""COMPUTED_VALUE"""),0.94221225)</f>
        <v>0.94221224999999997</v>
      </c>
      <c r="J8" s="592" t="str">
        <f ca="1">IFERROR(__xludf.DUMMYFUNCTION("""COMPUTED_VALUE""")," 04.76 ")</f>
        <v xml:space="preserve"> 04.76 </v>
      </c>
      <c r="K8" s="590" t="str">
        <f ca="1">IFERROR(__xludf.DUMMYFUNCTION("""COMPUTED_VALUE"""),"0.51")</f>
        <v>0.51</v>
      </c>
      <c r="L8" s="590">
        <f ca="1">IFERROR(__xludf.DUMMYFUNCTION("""COMPUTED_VALUE"""),15)</f>
        <v>15</v>
      </c>
      <c r="M8" s="590"/>
      <c r="N8" s="590" t="str">
        <f ca="1">IFERROR(__xludf.DUMMYFUNCTION("""COMPUTED_VALUE"""),"Ít bán")</f>
        <v>Ít bán</v>
      </c>
      <c r="O8" s="589">
        <f ca="1">IFERROR(__xludf.DUMMYFUNCTION("""COMPUTED_VALUE"""),1)</f>
        <v>1</v>
      </c>
      <c r="P8" s="590"/>
      <c r="Q8" s="885">
        <f ca="1">+$Q$5*I8</f>
        <v>216.70881749999998</v>
      </c>
    </row>
    <row r="9" spans="1:18">
      <c r="A9" s="581" t="str">
        <f ca="1">IFERROR(__xludf.DUMMYFUNCTION("""COMPUTED_VALUE"""),"Toàn Phát - Việt Nam")</f>
        <v>Toàn Phát - Việt Nam</v>
      </c>
      <c r="B9" s="581" t="str">
        <f ca="1">IFERROR(__xludf.DUMMYFUNCTION("""COMPUTED_VALUE"""),"ĐTPCUONDI")</f>
        <v>ĐTPCUONDI</v>
      </c>
      <c r="C9" s="581" t="str">
        <f ca="1">IFERROR(__xludf.DUMMYFUNCTION("""COMPUTED_VALUE"""),"DOC0476065")</f>
        <v>DOC0476065</v>
      </c>
      <c r="D9" s="582" t="str">
        <f ca="1">IFERROR(__xludf.DUMMYFUNCTION("""COMPUTED_VALUE"""),"Đồng ống PC 04.76x0.65")</f>
        <v>Đồng ống PC 04.76x0.65</v>
      </c>
      <c r="E9" s="583">
        <f ca="1">IFERROR(__xludf.DUMMYFUNCTION("""COMPUTED_VALUE"""),0.1)</f>
        <v>0.1</v>
      </c>
      <c r="F9" s="584" t="str">
        <f ca="1">IFERROR(__xludf.DUMMYFUNCTION("""COMPUTED_VALUE"""),"Cuộn")</f>
        <v>Cuộn</v>
      </c>
      <c r="G9" s="584" t="str">
        <f ca="1">IFERROR(__xludf.DUMMYFUNCTION("""COMPUTED_VALUE"""),"Cuộn 15m")</f>
        <v>Cuộn 15m</v>
      </c>
      <c r="H9" s="582" t="str">
        <f ca="1">IFERROR(__xludf.DUMMYFUNCTION("""COMPUTED_VALUE"""),"15")</f>
        <v>15</v>
      </c>
      <c r="I9" s="585">
        <f ca="1">IFERROR(__xludf.DUMMYFUNCTION("""COMPUTED_VALUE"""),1.16130104999999)</f>
        <v>1.1613010499999901</v>
      </c>
      <c r="J9" s="586" t="str">
        <f ca="1">IFERROR(__xludf.DUMMYFUNCTION("""COMPUTED_VALUE""")," 04.76 ")</f>
        <v xml:space="preserve"> 04.76 </v>
      </c>
      <c r="K9" s="584" t="str">
        <f ca="1">IFERROR(__xludf.DUMMYFUNCTION("""COMPUTED_VALUE"""),"0.65")</f>
        <v>0.65</v>
      </c>
      <c r="L9" s="584">
        <f ca="1">IFERROR(__xludf.DUMMYFUNCTION("""COMPUTED_VALUE"""),15)</f>
        <v>15</v>
      </c>
      <c r="M9" s="584"/>
      <c r="N9" s="584" t="str">
        <f ca="1">IFERROR(__xludf.DUMMYFUNCTION("""COMPUTED_VALUE"""),"Dị_D&lt;54")</f>
        <v>Dị_D&lt;54</v>
      </c>
      <c r="O9" s="583"/>
      <c r="P9" s="584"/>
    </row>
    <row r="10" spans="1:18">
      <c r="A10" s="587" t="str">
        <f ca="1">IFERROR(__xludf.DUMMYFUNCTION("""COMPUTED_VALUE"""),"Toàn Phát - Việt Nam")</f>
        <v>Toàn Phát - Việt Nam</v>
      </c>
      <c r="B10" s="587" t="str">
        <f ca="1">IFERROR(__xludf.DUMMYFUNCTION("""COMPUTED_VALUE"""),"ĐTPCUONDI")</f>
        <v>ĐTPCUONDI</v>
      </c>
      <c r="C10" s="587" t="str">
        <f ca="1">IFERROR(__xludf.DUMMYFUNCTION("""COMPUTED_VALUE"""),"DOC0476070")</f>
        <v>DOC0476070</v>
      </c>
      <c r="D10" s="588" t="str">
        <f ca="1">IFERROR(__xludf.DUMMYFUNCTION("""COMPUTED_VALUE"""),"Đồng ống PC 04.76x0.70")</f>
        <v>Đồng ống PC 04.76x0.70</v>
      </c>
      <c r="E10" s="589">
        <f ca="1">IFERROR(__xludf.DUMMYFUNCTION("""COMPUTED_VALUE"""),0.1)</f>
        <v>0.1</v>
      </c>
      <c r="F10" s="590" t="str">
        <f ca="1">IFERROR(__xludf.DUMMYFUNCTION("""COMPUTED_VALUE"""),"Cuộn")</f>
        <v>Cuộn</v>
      </c>
      <c r="G10" s="590" t="str">
        <f ca="1">IFERROR(__xludf.DUMMYFUNCTION("""COMPUTED_VALUE"""),"Cuộn 15m")</f>
        <v>Cuộn 15m</v>
      </c>
      <c r="H10" s="588" t="str">
        <f ca="1">IFERROR(__xludf.DUMMYFUNCTION("""COMPUTED_VALUE"""),"15")</f>
        <v>15</v>
      </c>
      <c r="I10" s="591">
        <f ca="1">IFERROR(__xludf.DUMMYFUNCTION("""COMPUTED_VALUE"""),1.23541739999999)</f>
        <v>1.23541739999999</v>
      </c>
      <c r="J10" s="592" t="str">
        <f ca="1">IFERROR(__xludf.DUMMYFUNCTION("""COMPUTED_VALUE""")," 04.76 ")</f>
        <v xml:space="preserve"> 04.76 </v>
      </c>
      <c r="K10" s="590" t="str">
        <f ca="1">IFERROR(__xludf.DUMMYFUNCTION("""COMPUTED_VALUE"""),"0.70")</f>
        <v>0.70</v>
      </c>
      <c r="L10" s="590">
        <f ca="1">IFERROR(__xludf.DUMMYFUNCTION("""COMPUTED_VALUE"""),15)</f>
        <v>15</v>
      </c>
      <c r="M10" s="590"/>
      <c r="N10" s="590" t="str">
        <f ca="1">IFERROR(__xludf.DUMMYFUNCTION("""COMPUTED_VALUE"""),"Dị_D&lt;54")</f>
        <v>Dị_D&lt;54</v>
      </c>
      <c r="O10" s="589"/>
      <c r="P10" s="590"/>
    </row>
    <row r="11" spans="1:18">
      <c r="A11" s="581" t="str">
        <f ca="1">IFERROR(__xludf.DUMMYFUNCTION("""COMPUTED_VALUE"""),"Toàn Phát - Việt Nam")</f>
        <v>Toàn Phát - Việt Nam</v>
      </c>
      <c r="B11" s="581" t="str">
        <f ca="1">IFERROR(__xludf.DUMMYFUNCTION("""COMPUTED_VALUE"""),"ĐTPCUONDI")</f>
        <v>ĐTPCUONDI</v>
      </c>
      <c r="C11" s="581" t="str">
        <f ca="1">IFERROR(__xludf.DUMMYFUNCTION("""COMPUTED_VALUE"""),"DOC0476071")</f>
        <v>DOC0476071</v>
      </c>
      <c r="D11" s="582" t="str">
        <f ca="1">IFERROR(__xludf.DUMMYFUNCTION("""COMPUTED_VALUE"""),"Đồng ống PC 04.76x0.71")</f>
        <v>Đồng ống PC 04.76x0.71</v>
      </c>
      <c r="E11" s="583">
        <f ca="1">IFERROR(__xludf.DUMMYFUNCTION("""COMPUTED_VALUE"""),0.1)</f>
        <v>0.1</v>
      </c>
      <c r="F11" s="584" t="str">
        <f ca="1">IFERROR(__xludf.DUMMYFUNCTION("""COMPUTED_VALUE"""),"Cuộn")</f>
        <v>Cuộn</v>
      </c>
      <c r="G11" s="584" t="str">
        <f ca="1">IFERROR(__xludf.DUMMYFUNCTION("""COMPUTED_VALUE"""),"Cuộn 15m")</f>
        <v>Cuộn 15m</v>
      </c>
      <c r="H11" s="582" t="str">
        <f ca="1">IFERROR(__xludf.DUMMYFUNCTION("""COMPUTED_VALUE"""),"15")</f>
        <v>15</v>
      </c>
      <c r="I11" s="585">
        <f ca="1">IFERROR(__xludf.DUMMYFUNCTION("""COMPUTED_VALUE"""),1.24997984999999)</f>
        <v>1.2499798499999899</v>
      </c>
      <c r="J11" s="586" t="str">
        <f ca="1">IFERROR(__xludf.DUMMYFUNCTION("""COMPUTED_VALUE""")," 04.76 ")</f>
        <v xml:space="preserve"> 04.76 </v>
      </c>
      <c r="K11" s="584" t="str">
        <f ca="1">IFERROR(__xludf.DUMMYFUNCTION("""COMPUTED_VALUE"""),"0.71")</f>
        <v>0.71</v>
      </c>
      <c r="L11" s="584">
        <f ca="1">IFERROR(__xludf.DUMMYFUNCTION("""COMPUTED_VALUE"""),15)</f>
        <v>15</v>
      </c>
      <c r="M11" s="584"/>
      <c r="N11" s="584" t="str">
        <f ca="1">IFERROR(__xludf.DUMMYFUNCTION("""COMPUTED_VALUE"""),"Dị_D&lt;54")</f>
        <v>Dị_D&lt;54</v>
      </c>
      <c r="O11" s="583"/>
      <c r="P11" s="584"/>
    </row>
    <row r="12" spans="1:18">
      <c r="A12" s="587" t="str">
        <f ca="1">IFERROR(__xludf.DUMMYFUNCTION("""COMPUTED_VALUE"""),"Toàn Phát - Việt Nam")</f>
        <v>Toàn Phát - Việt Nam</v>
      </c>
      <c r="B12" s="587" t="str">
        <f ca="1">IFERROR(__xludf.DUMMYFUNCTION("""COMPUTED_VALUE"""),"ĐTPCUONDI")</f>
        <v>ĐTPCUONDI</v>
      </c>
      <c r="C12" s="587" t="str">
        <f ca="1">IFERROR(__xludf.DUMMYFUNCTION("""COMPUTED_VALUE"""),"DOC0476080")</f>
        <v>DOC0476080</v>
      </c>
      <c r="D12" s="588" t="str">
        <f ca="1">IFERROR(__xludf.DUMMYFUNCTION("""COMPUTED_VALUE"""),"Đồng ống PC 04.76x0.80")</f>
        <v>Đồng ống PC 04.76x0.80</v>
      </c>
      <c r="E12" s="589">
        <f ca="1">IFERROR(__xludf.DUMMYFUNCTION("""COMPUTED_VALUE"""),0.1)</f>
        <v>0.1</v>
      </c>
      <c r="F12" s="590" t="str">
        <f ca="1">IFERROR(__xludf.DUMMYFUNCTION("""COMPUTED_VALUE"""),"Cuộn")</f>
        <v>Cuộn</v>
      </c>
      <c r="G12" s="590" t="str">
        <f ca="1">IFERROR(__xludf.DUMMYFUNCTION("""COMPUTED_VALUE"""),"Cuộn 15m")</f>
        <v>Cuộn 15m</v>
      </c>
      <c r="H12" s="588" t="str">
        <f ca="1">IFERROR(__xludf.DUMMYFUNCTION("""COMPUTED_VALUE"""),"15")</f>
        <v>15</v>
      </c>
      <c r="I12" s="591">
        <f ca="1">IFERROR(__xludf.DUMMYFUNCTION("""COMPUTED_VALUE"""),1.3771296)</f>
        <v>1.3771296</v>
      </c>
      <c r="J12" s="592" t="str">
        <f ca="1">IFERROR(__xludf.DUMMYFUNCTION("""COMPUTED_VALUE""")," 04.76 ")</f>
        <v xml:space="preserve"> 04.76 </v>
      </c>
      <c r="K12" s="590" t="str">
        <f ca="1">IFERROR(__xludf.DUMMYFUNCTION("""COMPUTED_VALUE"""),"0.80")</f>
        <v>0.80</v>
      </c>
      <c r="L12" s="590">
        <f ca="1">IFERROR(__xludf.DUMMYFUNCTION("""COMPUTED_VALUE"""),15)</f>
        <v>15</v>
      </c>
      <c r="M12" s="590"/>
      <c r="N12" s="590" t="str">
        <f ca="1">IFERROR(__xludf.DUMMYFUNCTION("""COMPUTED_VALUE"""),"Dị_D&lt;54")</f>
        <v>Dị_D&lt;54</v>
      </c>
      <c r="O12" s="589"/>
      <c r="P12" s="590"/>
    </row>
    <row r="13" spans="1:18">
      <c r="A13" s="581" t="str">
        <f ca="1">IFERROR(__xludf.DUMMYFUNCTION("""COMPUTED_VALUE"""),"Toàn Phát - Việt Nam")</f>
        <v>Toàn Phát - Việt Nam</v>
      </c>
      <c r="B13" s="581" t="str">
        <f ca="1">IFERROR(__xludf.DUMMYFUNCTION("""COMPUTED_VALUE"""),"ĐTPCUONDI")</f>
        <v>ĐTPCUONDI</v>
      </c>
      <c r="C13" s="581" t="str">
        <f ca="1">IFERROR(__xludf.DUMMYFUNCTION("""COMPUTED_VALUE"""),"DOC0500100")</f>
        <v>DOC0500100</v>
      </c>
      <c r="D13" s="582" t="str">
        <f ca="1">IFERROR(__xludf.DUMMYFUNCTION("""COMPUTED_VALUE"""),"Đồng ống PC 05.00x1.00")</f>
        <v>Đồng ống PC 05.00x1.00</v>
      </c>
      <c r="E13" s="583">
        <f ca="1">IFERROR(__xludf.DUMMYFUNCTION("""COMPUTED_VALUE"""),0.1)</f>
        <v>0.1</v>
      </c>
      <c r="F13" s="584" t="str">
        <f ca="1">IFERROR(__xludf.DUMMYFUNCTION("""COMPUTED_VALUE"""),"Cuộn")</f>
        <v>Cuộn</v>
      </c>
      <c r="G13" s="584" t="str">
        <f ca="1">IFERROR(__xludf.DUMMYFUNCTION("""COMPUTED_VALUE"""),"Cuộn 15m")</f>
        <v>Cuộn 15m</v>
      </c>
      <c r="H13" s="582"/>
      <c r="I13" s="585">
        <f ca="1">IFERROR(__xludf.DUMMYFUNCTION("""COMPUTED_VALUE"""),1.7388)</f>
        <v>1.7387999999999999</v>
      </c>
      <c r="J13" s="586" t="str">
        <f ca="1">IFERROR(__xludf.DUMMYFUNCTION("""COMPUTED_VALUE""")," 05.00 ")</f>
        <v xml:space="preserve"> 05.00 </v>
      </c>
      <c r="K13" s="584" t="str">
        <f ca="1">IFERROR(__xludf.DUMMYFUNCTION("""COMPUTED_VALUE"""),"1.00")</f>
        <v>1.00</v>
      </c>
      <c r="L13" s="584">
        <f ca="1">IFERROR(__xludf.DUMMYFUNCTION("""COMPUTED_VALUE"""),15)</f>
        <v>15</v>
      </c>
      <c r="M13" s="584"/>
      <c r="N13" s="584" t="str">
        <f ca="1">IFERROR(__xludf.DUMMYFUNCTION("""COMPUTED_VALUE"""),"Dị_D&lt;54")</f>
        <v>Dị_D&lt;54</v>
      </c>
      <c r="O13" s="583"/>
      <c r="P13" s="584"/>
    </row>
    <row r="14" spans="1:18">
      <c r="A14" s="587" t="str">
        <f ca="1">IFERROR(__xludf.DUMMYFUNCTION("""COMPUTED_VALUE"""),"Toàn Phát - Việt Nam")</f>
        <v>Toàn Phát - Việt Nam</v>
      </c>
      <c r="B14" s="587" t="str">
        <f ca="1">IFERROR(__xludf.DUMMYFUNCTION("""COMPUTED_VALUE"""),"ĐTPCUONDI")</f>
        <v>ĐTPCUONDI</v>
      </c>
      <c r="C14" s="587" t="str">
        <f ca="1">IFERROR(__xludf.DUMMYFUNCTION("""COMPUTED_VALUE"""),"DOC0550061")</f>
        <v>DOC0550061</v>
      </c>
      <c r="D14" s="588" t="str">
        <f ca="1">IFERROR(__xludf.DUMMYFUNCTION("""COMPUTED_VALUE"""),"Đồng ống PC 05.50x0.61")</f>
        <v>Đồng ống PC 05.50x0.61</v>
      </c>
      <c r="E14" s="589">
        <f ca="1">IFERROR(__xludf.DUMMYFUNCTION("""COMPUTED_VALUE"""),0.1)</f>
        <v>0.1</v>
      </c>
      <c r="F14" s="590" t="str">
        <f ca="1">IFERROR(__xludf.DUMMYFUNCTION("""COMPUTED_VALUE"""),"Cuộn")</f>
        <v>Cuộn</v>
      </c>
      <c r="G14" s="590" t="str">
        <f ca="1">IFERROR(__xludf.DUMMYFUNCTION("""COMPUTED_VALUE"""),"Cuộn 15m")</f>
        <v>Cuộn 15m</v>
      </c>
      <c r="H14" s="588"/>
      <c r="I14" s="591">
        <f ca="1">IFERROR(__xludf.DUMMYFUNCTION("""COMPUTED_VALUE"""),1.29666662999999)</f>
        <v>1.2966666299999901</v>
      </c>
      <c r="J14" s="592" t="str">
        <f ca="1">IFERROR(__xludf.DUMMYFUNCTION("""COMPUTED_VALUE""")," 05.50 ")</f>
        <v xml:space="preserve"> 05.50 </v>
      </c>
      <c r="K14" s="590" t="str">
        <f ca="1">IFERROR(__xludf.DUMMYFUNCTION("""COMPUTED_VALUE"""),"0.61")</f>
        <v>0.61</v>
      </c>
      <c r="L14" s="590">
        <f ca="1">IFERROR(__xludf.DUMMYFUNCTION("""COMPUTED_VALUE"""),15)</f>
        <v>15</v>
      </c>
      <c r="M14" s="590"/>
      <c r="N14" s="590" t="str">
        <f ca="1">IFERROR(__xludf.DUMMYFUNCTION("""COMPUTED_VALUE"""),"Dị_D&lt;54")</f>
        <v>Dị_D&lt;54</v>
      </c>
      <c r="O14" s="589"/>
      <c r="P14" s="590"/>
    </row>
    <row r="15" spans="1:18">
      <c r="A15" s="581" t="str">
        <f ca="1">IFERROR(__xludf.DUMMYFUNCTION("""COMPUTED_VALUE"""),"Toàn Phát - Việt Nam")</f>
        <v>Toàn Phát - Việt Nam</v>
      </c>
      <c r="B15" s="581" t="str">
        <f ca="1">IFERROR(__xludf.DUMMYFUNCTION("""COMPUTED_VALUE"""),"ĐTPCUONDI")</f>
        <v>ĐTPCUONDI</v>
      </c>
      <c r="C15" s="581" t="str">
        <f ca="1">IFERROR(__xludf.DUMMYFUNCTION("""COMPUTED_VALUE"""),"DOC055005")</f>
        <v>DOC055005</v>
      </c>
      <c r="D15" s="582" t="str">
        <f ca="1">IFERROR(__xludf.DUMMYFUNCTION("""COMPUTED_VALUE"""),"Đồng ống PC 05.50x0.5")</f>
        <v>Đồng ống PC 05.50x0.5</v>
      </c>
      <c r="E15" s="583">
        <f ca="1">IFERROR(__xludf.DUMMYFUNCTION("""COMPUTED_VALUE"""),0.1)</f>
        <v>0.1</v>
      </c>
      <c r="F15" s="584" t="str">
        <f ca="1">IFERROR(__xludf.DUMMYFUNCTION("""COMPUTED_VALUE"""),"Cuộn")</f>
        <v>Cuộn</v>
      </c>
      <c r="G15" s="584" t="str">
        <f ca="1">IFERROR(__xludf.DUMMYFUNCTION("""COMPUTED_VALUE"""),"Cuộn 15m")</f>
        <v>Cuộn 15m</v>
      </c>
      <c r="H15" s="582"/>
      <c r="I15" s="585">
        <f ca="1">IFERROR(__xludf.DUMMYFUNCTION("""COMPUTED_VALUE"""),1.08674999999999)</f>
        <v>1.0867499999999899</v>
      </c>
      <c r="J15" s="586" t="str">
        <f ca="1">IFERROR(__xludf.DUMMYFUNCTION("""COMPUTED_VALUE""")," 05.50 ")</f>
        <v xml:space="preserve"> 05.50 </v>
      </c>
      <c r="K15" s="584" t="str">
        <f ca="1">IFERROR(__xludf.DUMMYFUNCTION("""COMPUTED_VALUE"""),"0.50")</f>
        <v>0.50</v>
      </c>
      <c r="L15" s="584">
        <f ca="1">IFERROR(__xludf.DUMMYFUNCTION("""COMPUTED_VALUE"""),15)</f>
        <v>15</v>
      </c>
      <c r="M15" s="584"/>
      <c r="N15" s="584" t="str">
        <f ca="1">IFERROR(__xludf.DUMMYFUNCTION("""COMPUTED_VALUE"""),"Dị_D&lt;54")</f>
        <v>Dị_D&lt;54</v>
      </c>
      <c r="O15" s="583"/>
      <c r="P15" s="584"/>
    </row>
    <row r="16" spans="1:18">
      <c r="A16" s="587" t="str">
        <f ca="1">IFERROR(__xludf.DUMMYFUNCTION("""COMPUTED_VALUE"""),"Toàn Phát - Việt Nam")</f>
        <v>Toàn Phát - Việt Nam</v>
      </c>
      <c r="B16" s="587" t="str">
        <f ca="1">IFERROR(__xludf.DUMMYFUNCTION("""COMPUTED_VALUE"""),"ĐTPCUONDI")</f>
        <v>ĐTPCUONDI</v>
      </c>
      <c r="C16" s="587" t="str">
        <f ca="1">IFERROR(__xludf.DUMMYFUNCTION("""COMPUTED_VALUE"""),"DOC0600035")</f>
        <v>DOC0600035</v>
      </c>
      <c r="D16" s="588" t="str">
        <f ca="1">IFERROR(__xludf.DUMMYFUNCTION("""COMPUTED_VALUE"""),"Đồng ống PC 06.00x0.35")</f>
        <v>Đồng ống PC 06.00x0.35</v>
      </c>
      <c r="E16" s="589">
        <f ca="1">IFERROR(__xludf.DUMMYFUNCTION("""COMPUTED_VALUE"""),0.1)</f>
        <v>0.1</v>
      </c>
      <c r="F16" s="590" t="str">
        <f ca="1">IFERROR(__xludf.DUMMYFUNCTION("""COMPUTED_VALUE"""),"Cuộn")</f>
        <v>Cuộn</v>
      </c>
      <c r="G16" s="590" t="str">
        <f ca="1">IFERROR(__xludf.DUMMYFUNCTION("""COMPUTED_VALUE"""),"Cuộn 15m")</f>
        <v>Cuộn 15m</v>
      </c>
      <c r="H16" s="588" t="str">
        <f ca="1">IFERROR(__xludf.DUMMYFUNCTION("""COMPUTED_VALUE"""),"12")</f>
        <v>12</v>
      </c>
      <c r="I16" s="591">
        <f ca="1">IFERROR(__xludf.DUMMYFUNCTION("""COMPUTED_VALUE"""),0.85961925)</f>
        <v>0.85961924999999995</v>
      </c>
      <c r="J16" s="592" t="str">
        <f ca="1">IFERROR(__xludf.DUMMYFUNCTION("""COMPUTED_VALUE""")," 06.00 ")</f>
        <v xml:space="preserve"> 06.00 </v>
      </c>
      <c r="K16" s="590" t="str">
        <f ca="1">IFERROR(__xludf.DUMMYFUNCTION("""COMPUTED_VALUE"""),"0.35")</f>
        <v>0.35</v>
      </c>
      <c r="L16" s="590">
        <f ca="1">IFERROR(__xludf.DUMMYFUNCTION("""COMPUTED_VALUE"""),15)</f>
        <v>15</v>
      </c>
      <c r="M16" s="590"/>
      <c r="N16" s="590" t="str">
        <f ca="1">IFERROR(__xludf.DUMMYFUNCTION("""COMPUTED_VALUE"""),"Dị_D&lt;54")</f>
        <v>Dị_D&lt;54</v>
      </c>
      <c r="O16" s="589"/>
      <c r="P16" s="590"/>
    </row>
    <row r="17" spans="1:17">
      <c r="A17" s="581" t="str">
        <f ca="1">IFERROR(__xludf.DUMMYFUNCTION("""COMPUTED_VALUE"""),"Toàn Phát - Việt Nam")</f>
        <v>Toàn Phát - Việt Nam</v>
      </c>
      <c r="B17" s="581" t="str">
        <f ca="1">IFERROR(__xludf.DUMMYFUNCTION("""COMPUTED_VALUE"""),"ĐTPCUONDI")</f>
        <v>ĐTPCUONDI</v>
      </c>
      <c r="C17" s="581" t="str">
        <f ca="1">IFERROR(__xludf.DUMMYFUNCTION("""COMPUTED_VALUE"""),"DOC0600051")</f>
        <v>DOC0600051</v>
      </c>
      <c r="D17" s="582" t="str">
        <f ca="1">IFERROR(__xludf.DUMMYFUNCTION("""COMPUTED_VALUE"""),"Đồng ống PC 06.00x0.51")</f>
        <v>Đồng ống PC 06.00x0.51</v>
      </c>
      <c r="E17" s="583">
        <f ca="1">IFERROR(__xludf.DUMMYFUNCTION("""COMPUTED_VALUE"""),0.1)</f>
        <v>0.1</v>
      </c>
      <c r="F17" s="584" t="str">
        <f ca="1">IFERROR(__xludf.DUMMYFUNCTION("""COMPUTED_VALUE"""),"Cuộn")</f>
        <v>Cuộn</v>
      </c>
      <c r="G17" s="584" t="str">
        <f ca="1">IFERROR(__xludf.DUMMYFUNCTION("""COMPUTED_VALUE"""),"Cuộn 15m")</f>
        <v>Cuộn 15m</v>
      </c>
      <c r="H17" s="582" t="str">
        <f ca="1">IFERROR(__xludf.DUMMYFUNCTION("""COMPUTED_VALUE"""),"12")</f>
        <v>12</v>
      </c>
      <c r="I17" s="585">
        <f ca="1">IFERROR(__xludf.DUMMYFUNCTION("""COMPUTED_VALUE"""),1.21711653)</f>
        <v>1.21711653</v>
      </c>
      <c r="J17" s="586" t="str">
        <f ca="1">IFERROR(__xludf.DUMMYFUNCTION("""COMPUTED_VALUE""")," 06.00 ")</f>
        <v xml:space="preserve"> 06.00 </v>
      </c>
      <c r="K17" s="584" t="str">
        <f ca="1">IFERROR(__xludf.DUMMYFUNCTION("""COMPUTED_VALUE"""),"0.51")</f>
        <v>0.51</v>
      </c>
      <c r="L17" s="584">
        <f ca="1">IFERROR(__xludf.DUMMYFUNCTION("""COMPUTED_VALUE"""),15)</f>
        <v>15</v>
      </c>
      <c r="M17" s="584"/>
      <c r="N17" s="584" t="str">
        <f ca="1">IFERROR(__xludf.DUMMYFUNCTION("""COMPUTED_VALUE"""),"Dị_D&lt;54")</f>
        <v>Dị_D&lt;54</v>
      </c>
      <c r="O17" s="583"/>
      <c r="P17" s="584"/>
    </row>
    <row r="18" spans="1:17">
      <c r="A18" s="587" t="str">
        <f ca="1">IFERROR(__xludf.DUMMYFUNCTION("""COMPUTED_VALUE"""),"Toàn Phát - Việt Nam")</f>
        <v>Toàn Phát - Việt Nam</v>
      </c>
      <c r="B18" s="587" t="str">
        <f ca="1">IFERROR(__xludf.DUMMYFUNCTION("""COMPUTED_VALUE"""),"ĐTPCUONDI")</f>
        <v>ĐTPCUONDI</v>
      </c>
      <c r="C18" s="587" t="str">
        <f ca="1">IFERROR(__xludf.DUMMYFUNCTION("""COMPUTED_VALUE"""),"DOC0600100")</f>
        <v>DOC0600100</v>
      </c>
      <c r="D18" s="588" t="str">
        <f ca="1">IFERROR(__xludf.DUMMYFUNCTION("""COMPUTED_VALUE"""),"Đồng ống PC 06.00x1.00")</f>
        <v>Đồng ống PC 06.00x1.00</v>
      </c>
      <c r="E18" s="589">
        <f ca="1">IFERROR(__xludf.DUMMYFUNCTION("""COMPUTED_VALUE"""),0.1)</f>
        <v>0.1</v>
      </c>
      <c r="F18" s="590" t="str">
        <f ca="1">IFERROR(__xludf.DUMMYFUNCTION("""COMPUTED_VALUE"""),"Cuộn")</f>
        <v>Cuộn</v>
      </c>
      <c r="G18" s="590" t="str">
        <f ca="1">IFERROR(__xludf.DUMMYFUNCTION("""COMPUTED_VALUE"""),"Cuộn 15m")</f>
        <v>Cuộn 15m</v>
      </c>
      <c r="H18" s="588" t="str">
        <f ca="1">IFERROR(__xludf.DUMMYFUNCTION("""COMPUTED_VALUE"""),"12")</f>
        <v>12</v>
      </c>
      <c r="I18" s="591">
        <f ca="1">IFERROR(__xludf.DUMMYFUNCTION("""COMPUTED_VALUE"""),2.17349999999999)</f>
        <v>2.17349999999999</v>
      </c>
      <c r="J18" s="592" t="str">
        <f ca="1">IFERROR(__xludf.DUMMYFUNCTION("""COMPUTED_VALUE""")," 06.00 ")</f>
        <v xml:space="preserve"> 06.00 </v>
      </c>
      <c r="K18" s="590" t="str">
        <f ca="1">IFERROR(__xludf.DUMMYFUNCTION("""COMPUTED_VALUE"""),"1.00")</f>
        <v>1.00</v>
      </c>
      <c r="L18" s="590">
        <f ca="1">IFERROR(__xludf.DUMMYFUNCTION("""COMPUTED_VALUE"""),15)</f>
        <v>15</v>
      </c>
      <c r="M18" s="590"/>
      <c r="N18" s="590" t="str">
        <f ca="1">IFERROR(__xludf.DUMMYFUNCTION("""COMPUTED_VALUE"""),"Dị_D&lt;54")</f>
        <v>Dị_D&lt;54</v>
      </c>
      <c r="O18" s="589"/>
      <c r="P18" s="590"/>
    </row>
    <row r="19" spans="1:17">
      <c r="A19" s="581" t="str">
        <f ca="1">IFERROR(__xludf.DUMMYFUNCTION("""COMPUTED_VALUE"""),"Toàn Phát - Việt Nam")</f>
        <v>Toàn Phát - Việt Nam</v>
      </c>
      <c r="B19" s="581" t="str">
        <f ca="1">IFERROR(__xludf.DUMMYFUNCTION("""COMPUTED_VALUE"""),"ĐTPCUONDI")</f>
        <v>ĐTPCUONDI</v>
      </c>
      <c r="C19" s="581" t="str">
        <f ca="1">IFERROR(__xludf.DUMMYFUNCTION("""COMPUTED_VALUE"""),"DOC0635063")</f>
        <v>DOC0635063</v>
      </c>
      <c r="D19" s="582" t="str">
        <f ca="1">IFERROR(__xludf.DUMMYFUNCTION("""COMPUTED_VALUE"""),"Đồng ống PC 06.35x0.63")</f>
        <v>Đồng ống PC 06.35x0.63</v>
      </c>
      <c r="E19" s="583">
        <f ca="1">IFERROR(__xludf.DUMMYFUNCTION("""COMPUTED_VALUE"""),0.1)</f>
        <v>0.1</v>
      </c>
      <c r="F19" s="584" t="str">
        <f ca="1">IFERROR(__xludf.DUMMYFUNCTION("""COMPUTED_VALUE"""),"Cuộn")</f>
        <v>Cuộn</v>
      </c>
      <c r="G19" s="584" t="str">
        <f ca="1">IFERROR(__xludf.DUMMYFUNCTION("""COMPUTED_VALUE"""),"Cuộn 15m")</f>
        <v>Cuộn 15m</v>
      </c>
      <c r="H19" s="582" t="str">
        <f ca="1">IFERROR(__xludf.DUMMYFUNCTION("""COMPUTED_VALUE"""),"12")</f>
        <v>12</v>
      </c>
      <c r="I19" s="585">
        <f ca="1">IFERROR(__xludf.DUMMYFUNCTION("""COMPUTED_VALUE"""),1.56648492)</f>
        <v>1.5664849199999999</v>
      </c>
      <c r="J19" s="586" t="str">
        <f ca="1">IFERROR(__xludf.DUMMYFUNCTION("""COMPUTED_VALUE""")," 06.35 ")</f>
        <v xml:space="preserve"> 06.35 </v>
      </c>
      <c r="K19" s="584" t="str">
        <f ca="1">IFERROR(__xludf.DUMMYFUNCTION("""COMPUTED_VALUE"""),"0.63")</f>
        <v>0.63</v>
      </c>
      <c r="L19" s="584">
        <f ca="1">IFERROR(__xludf.DUMMYFUNCTION("""COMPUTED_VALUE"""),15)</f>
        <v>15</v>
      </c>
      <c r="M19" s="584"/>
      <c r="N19" s="584" t="str">
        <f ca="1">IFERROR(__xludf.DUMMYFUNCTION("""COMPUTED_VALUE"""),"Dị_D&lt;54")</f>
        <v>Dị_D&lt;54</v>
      </c>
      <c r="O19" s="583"/>
      <c r="P19" s="584"/>
    </row>
    <row r="20" spans="1:17">
      <c r="A20" s="587" t="str">
        <f ca="1">IFERROR(__xludf.DUMMYFUNCTION("""COMPUTED_VALUE"""),"Toàn Phát - Việt Nam")</f>
        <v>Toàn Phát - Việt Nam</v>
      </c>
      <c r="B20" s="587" t="str">
        <f ca="1">IFERROR(__xludf.DUMMYFUNCTION("""COMPUTED_VALUE"""),"ĐTPCUONDI")</f>
        <v>ĐTPCUONDI</v>
      </c>
      <c r="C20" s="587" t="str">
        <f ca="1">IFERROR(__xludf.DUMMYFUNCTION("""COMPUTED_VALUE"""),"DOC0635089")</f>
        <v>DOC0635089</v>
      </c>
      <c r="D20" s="588" t="str">
        <f ca="1">IFERROR(__xludf.DUMMYFUNCTION("""COMPUTED_VALUE"""),"Đồng ống PC 06.35x0.89")</f>
        <v>Đồng ống PC 06.35x0.89</v>
      </c>
      <c r="E20" s="589">
        <f ca="1">IFERROR(__xludf.DUMMYFUNCTION("""COMPUTED_VALUE"""),0.1)</f>
        <v>0.1</v>
      </c>
      <c r="F20" s="590" t="str">
        <f ca="1">IFERROR(__xludf.DUMMYFUNCTION("""COMPUTED_VALUE"""),"Cuộn")</f>
        <v>Cuộn</v>
      </c>
      <c r="G20" s="590" t="str">
        <f ca="1">IFERROR(__xludf.DUMMYFUNCTION("""COMPUTED_VALUE"""),"Cuộn 15m")</f>
        <v>Cuộn 15m</v>
      </c>
      <c r="H20" s="588" t="str">
        <f ca="1">IFERROR(__xludf.DUMMYFUNCTION("""COMPUTED_VALUE"""),"12")</f>
        <v>12</v>
      </c>
      <c r="I20" s="591">
        <f ca="1">IFERROR(__xludf.DUMMYFUNCTION("""COMPUTED_VALUE"""),2.11238117999999)</f>
        <v>2.1123811799999901</v>
      </c>
      <c r="J20" s="592" t="str">
        <f ca="1">IFERROR(__xludf.DUMMYFUNCTION("""COMPUTED_VALUE""")," 06.35 ")</f>
        <v xml:space="preserve"> 06.35 </v>
      </c>
      <c r="K20" s="590" t="str">
        <f ca="1">IFERROR(__xludf.DUMMYFUNCTION("""COMPUTED_VALUE"""),"0.89")</f>
        <v>0.89</v>
      </c>
      <c r="L20" s="590">
        <f ca="1">IFERROR(__xludf.DUMMYFUNCTION("""COMPUTED_VALUE"""),15)</f>
        <v>15</v>
      </c>
      <c r="M20" s="590"/>
      <c r="N20" s="590" t="str">
        <f ca="1">IFERROR(__xludf.DUMMYFUNCTION("""COMPUTED_VALUE"""),"Dị_D&lt;54")</f>
        <v>Dị_D&lt;54</v>
      </c>
      <c r="O20" s="589"/>
      <c r="P20" s="590"/>
    </row>
    <row r="21" spans="1:17">
      <c r="A21" s="581" t="str">
        <f ca="1">IFERROR(__xludf.DUMMYFUNCTION("""COMPUTED_VALUE"""),"Toàn Phát - Việt Nam")</f>
        <v>Toàn Phát - Việt Nam</v>
      </c>
      <c r="B21" s="581" t="str">
        <f ca="1">IFERROR(__xludf.DUMMYFUNCTION("""COMPUTED_VALUE"""),"ĐTPCUONDI")</f>
        <v>ĐTPCUONDI</v>
      </c>
      <c r="C21" s="581" t="str">
        <f ca="1">IFERROR(__xludf.DUMMYFUNCTION("""COMPUTED_VALUE"""),"DOC0635091")</f>
        <v>DOC0635091</v>
      </c>
      <c r="D21" s="582" t="str">
        <f ca="1">IFERROR(__xludf.DUMMYFUNCTION("""COMPUTED_VALUE"""),"Đồng ống PC 06.35x0.91")</f>
        <v>Đồng ống PC 06.35x0.91</v>
      </c>
      <c r="E21" s="583">
        <f ca="1">IFERROR(__xludf.DUMMYFUNCTION("""COMPUTED_VALUE"""),0.1)</f>
        <v>0.1</v>
      </c>
      <c r="F21" s="584" t="str">
        <f ca="1">IFERROR(__xludf.DUMMYFUNCTION("""COMPUTED_VALUE"""),"Cuộn")</f>
        <v>Cuộn</v>
      </c>
      <c r="G21" s="584" t="str">
        <f ca="1">IFERROR(__xludf.DUMMYFUNCTION("""COMPUTED_VALUE"""),"Cuộn 15m")</f>
        <v>Cuộn 15m</v>
      </c>
      <c r="H21" s="582" t="str">
        <f ca="1">IFERROR(__xludf.DUMMYFUNCTION("""COMPUTED_VALUE"""),"12")</f>
        <v>12</v>
      </c>
      <c r="I21" s="585">
        <f ca="1">IFERROR(__xludf.DUMMYFUNCTION("""COMPUTED_VALUE"""),2.15193888)</f>
        <v>2.1519388799999999</v>
      </c>
      <c r="J21" s="586" t="str">
        <f ca="1">IFERROR(__xludf.DUMMYFUNCTION("""COMPUTED_VALUE""")," 06.35 ")</f>
        <v xml:space="preserve"> 06.35 </v>
      </c>
      <c r="K21" s="584" t="str">
        <f ca="1">IFERROR(__xludf.DUMMYFUNCTION("""COMPUTED_VALUE"""),"0.91")</f>
        <v>0.91</v>
      </c>
      <c r="L21" s="584">
        <f ca="1">IFERROR(__xludf.DUMMYFUNCTION("""COMPUTED_VALUE"""),15)</f>
        <v>15</v>
      </c>
      <c r="M21" s="584"/>
      <c r="N21" s="584" t="str">
        <f ca="1">IFERROR(__xludf.DUMMYFUNCTION("""COMPUTED_VALUE"""),"Dị_D&lt;54")</f>
        <v>Dị_D&lt;54</v>
      </c>
      <c r="O21" s="583"/>
      <c r="P21" s="584"/>
    </row>
    <row r="22" spans="1:17">
      <c r="A22" s="587" t="str">
        <f ca="1">IFERROR(__xludf.DUMMYFUNCTION("""COMPUTED_VALUE"""),"Toàn Phát - Việt Nam")</f>
        <v>Toàn Phát - Việt Nam</v>
      </c>
      <c r="B22" s="587" t="str">
        <f ca="1">IFERROR(__xludf.DUMMYFUNCTION("""COMPUTED_VALUE"""),"ĐTPCUONDI")</f>
        <v>ĐTPCUONDI</v>
      </c>
      <c r="C22" s="587" t="str">
        <f ca="1">IFERROR(__xludf.DUMMYFUNCTION("""COMPUTED_VALUE"""),"DOC0635040")</f>
        <v>DOC0635040</v>
      </c>
      <c r="D22" s="588" t="str">
        <f ca="1">IFERROR(__xludf.DUMMYFUNCTION("""COMPUTED_VALUE"""),"Đồng ống PC 06.35x0.40")</f>
        <v>Đồng ống PC 06.35x0.40</v>
      </c>
      <c r="E22" s="589">
        <f ca="1">IFERROR(__xludf.DUMMYFUNCTION("""COMPUTED_VALUE"""),0.1)</f>
        <v>0.1</v>
      </c>
      <c r="F22" s="590" t="str">
        <f ca="1">IFERROR(__xludf.DUMMYFUNCTION("""COMPUTED_VALUE"""),"Cuộn")</f>
        <v>Cuộn</v>
      </c>
      <c r="G22" s="590" t="str">
        <f ca="1">IFERROR(__xludf.DUMMYFUNCTION("""COMPUTED_VALUE"""),"Cuộn 15m")</f>
        <v>Cuộn 15m</v>
      </c>
      <c r="H22" s="588" t="str">
        <f ca="1">IFERROR(__xludf.DUMMYFUNCTION("""COMPUTED_VALUE"""),"12")</f>
        <v>12</v>
      </c>
      <c r="I22" s="591">
        <f ca="1">IFERROR(__xludf.DUMMYFUNCTION("""COMPUTED_VALUE"""),1.034586)</f>
        <v>1.034586</v>
      </c>
      <c r="J22" s="592" t="str">
        <f ca="1">IFERROR(__xludf.DUMMYFUNCTION("""COMPUTED_VALUE""")," 06.35 ")</f>
        <v xml:space="preserve"> 06.35 </v>
      </c>
      <c r="K22" s="590" t="str">
        <f ca="1">IFERROR(__xludf.DUMMYFUNCTION("""COMPUTED_VALUE"""),"0.40")</f>
        <v>0.40</v>
      </c>
      <c r="L22" s="590">
        <f ca="1">IFERROR(__xludf.DUMMYFUNCTION("""COMPUTED_VALUE"""),15)</f>
        <v>15</v>
      </c>
      <c r="M22" s="590"/>
      <c r="N22" s="590" t="str">
        <f ca="1">IFERROR(__xludf.DUMMYFUNCTION("""COMPUTED_VALUE"""),"Dị_D&lt;54")</f>
        <v>Dị_D&lt;54</v>
      </c>
      <c r="O22" s="589"/>
      <c r="P22" s="590"/>
    </row>
    <row r="23" spans="1:17">
      <c r="A23" s="581" t="str">
        <f ca="1">IFERROR(__xludf.DUMMYFUNCTION("""COMPUTED_VALUE"""),"Toàn Phát - Việt Nam")</f>
        <v>Toàn Phát - Việt Nam</v>
      </c>
      <c r="B23" s="581" t="str">
        <f ca="1">IFERROR(__xludf.DUMMYFUNCTION("""COMPUTED_VALUE"""),"ĐTPCUONDI")</f>
        <v>ĐTPCUONDI</v>
      </c>
      <c r="C23" s="581" t="str">
        <f ca="1">IFERROR(__xludf.DUMMYFUNCTION("""COMPUTED_VALUE"""),"DOC0635048")</f>
        <v>DOC0635048</v>
      </c>
      <c r="D23" s="582" t="str">
        <f ca="1">IFERROR(__xludf.DUMMYFUNCTION("""COMPUTED_VALUE"""),"Đồng ống PC 06.35x0.48")</f>
        <v>Đồng ống PC 06.35x0.48</v>
      </c>
      <c r="E23" s="583">
        <f ca="1">IFERROR(__xludf.DUMMYFUNCTION("""COMPUTED_VALUE"""),0.1)</f>
        <v>0.1</v>
      </c>
      <c r="F23" s="584" t="str">
        <f ca="1">IFERROR(__xludf.DUMMYFUNCTION("""COMPUTED_VALUE"""),"Cuộn")</f>
        <v>Cuộn</v>
      </c>
      <c r="G23" s="584" t="str">
        <f ca="1">IFERROR(__xludf.DUMMYFUNCTION("""COMPUTED_VALUE"""),"Cuộn 15m")</f>
        <v>Cuộn 15m</v>
      </c>
      <c r="H23" s="582" t="str">
        <f ca="1">IFERROR(__xludf.DUMMYFUNCTION("""COMPUTED_VALUE"""),"12")</f>
        <v>12</v>
      </c>
      <c r="I23" s="585">
        <f ca="1">IFERROR(__xludf.DUMMYFUNCTION("""COMPUTED_VALUE"""),1.22481071999999)</f>
        <v>1.22481071999999</v>
      </c>
      <c r="J23" s="586" t="str">
        <f ca="1">IFERROR(__xludf.DUMMYFUNCTION("""COMPUTED_VALUE""")," 06.35 ")</f>
        <v xml:space="preserve"> 06.35 </v>
      </c>
      <c r="K23" s="584" t="str">
        <f ca="1">IFERROR(__xludf.DUMMYFUNCTION("""COMPUTED_VALUE"""),"0.48")</f>
        <v>0.48</v>
      </c>
      <c r="L23" s="584">
        <f ca="1">IFERROR(__xludf.DUMMYFUNCTION("""COMPUTED_VALUE"""),15)</f>
        <v>15</v>
      </c>
      <c r="M23" s="584"/>
      <c r="N23" s="584" t="str">
        <f ca="1">IFERROR(__xludf.DUMMYFUNCTION("""COMPUTED_VALUE"""),"Dị_D&lt;54")</f>
        <v>Dị_D&lt;54</v>
      </c>
      <c r="O23" s="583"/>
      <c r="P23" s="584"/>
    </row>
    <row r="24" spans="1:17">
      <c r="A24" s="587" t="str">
        <f ca="1">IFERROR(__xludf.DUMMYFUNCTION("""COMPUTED_VALUE"""),"Toàn Phát - Việt Nam")</f>
        <v>Toàn Phát - Việt Nam</v>
      </c>
      <c r="B24" s="587" t="str">
        <f ca="1">IFERROR(__xludf.DUMMYFUNCTION("""COMPUTED_VALUE"""),"ĐTPCUONDI")</f>
        <v>ĐTPCUONDI</v>
      </c>
      <c r="C24" s="587" t="str">
        <f ca="1">IFERROR(__xludf.DUMMYFUNCTION("""COMPUTED_VALUE"""),"DOC0635050")</f>
        <v>DOC0635050</v>
      </c>
      <c r="D24" s="588" t="str">
        <f ca="1">IFERROR(__xludf.DUMMYFUNCTION("""COMPUTED_VALUE"""),"Đồng ống PC 06.35x0.50")</f>
        <v>Đồng ống PC 06.35x0.50</v>
      </c>
      <c r="E24" s="589">
        <f ca="1">IFERROR(__xludf.DUMMYFUNCTION("""COMPUTED_VALUE"""),0.1)</f>
        <v>0.1</v>
      </c>
      <c r="F24" s="590" t="str">
        <f ca="1">IFERROR(__xludf.DUMMYFUNCTION("""COMPUTED_VALUE"""),"Cuộn")</f>
        <v>Cuộn</v>
      </c>
      <c r="G24" s="590" t="str">
        <f ca="1">IFERROR(__xludf.DUMMYFUNCTION("""COMPUTED_VALUE"""),"Cuộn 15m")</f>
        <v>Cuộn 15m</v>
      </c>
      <c r="H24" s="588" t="str">
        <f ca="1">IFERROR(__xludf.DUMMYFUNCTION("""COMPUTED_VALUE"""),"12")</f>
        <v>12</v>
      </c>
      <c r="I24" s="591">
        <f ca="1">IFERROR(__xludf.DUMMYFUNCTION("""COMPUTED_VALUE"""),1.27149749999999)</f>
        <v>1.27149749999999</v>
      </c>
      <c r="J24" s="592" t="str">
        <f ca="1">IFERROR(__xludf.DUMMYFUNCTION("""COMPUTED_VALUE""")," 06.35 ")</f>
        <v xml:space="preserve"> 06.35 </v>
      </c>
      <c r="K24" s="590" t="str">
        <f ca="1">IFERROR(__xludf.DUMMYFUNCTION("""COMPUTED_VALUE"""),"0.50")</f>
        <v>0.50</v>
      </c>
      <c r="L24" s="590">
        <f ca="1">IFERROR(__xludf.DUMMYFUNCTION("""COMPUTED_VALUE"""),15)</f>
        <v>15</v>
      </c>
      <c r="M24" s="590"/>
      <c r="N24" s="590" t="str">
        <f ca="1">IFERROR(__xludf.DUMMYFUNCTION("""COMPUTED_VALUE"""),"Dị_D&lt;54")</f>
        <v>Dị_D&lt;54</v>
      </c>
      <c r="O24" s="589"/>
      <c r="P24" s="590"/>
    </row>
    <row r="25" spans="1:17">
      <c r="A25" s="581" t="str">
        <f ca="1">IFERROR(__xludf.DUMMYFUNCTION("""COMPUTED_VALUE"""),"Toàn Phát - Việt Nam")</f>
        <v>Toàn Phát - Việt Nam</v>
      </c>
      <c r="B25" s="581" t="str">
        <f ca="1">IFERROR(__xludf.DUMMYFUNCTION("""COMPUTED_VALUE"""),"ĐTPCUONIB")</f>
        <v>ĐTPCUONIB</v>
      </c>
      <c r="C25" s="581" t="str">
        <f ca="1">IFERROR(__xludf.DUMMYFUNCTION("""COMPUTED_VALUE"""),"DOC0635051")</f>
        <v>DOC0635051</v>
      </c>
      <c r="D25" s="582" t="str">
        <f ca="1">IFERROR(__xludf.DUMMYFUNCTION("""COMPUTED_VALUE"""),"Đồng ống PC 06.35x0.51")</f>
        <v>Đồng ống PC 06.35x0.51</v>
      </c>
      <c r="E25" s="583">
        <f ca="1">IFERROR(__xludf.DUMMYFUNCTION("""COMPUTED_VALUE"""),0.1)</f>
        <v>0.1</v>
      </c>
      <c r="F25" s="584" t="str">
        <f ca="1">IFERROR(__xludf.DUMMYFUNCTION("""COMPUTED_VALUE"""),"Cuộn")</f>
        <v>Cuộn</v>
      </c>
      <c r="G25" s="584" t="str">
        <f ca="1">IFERROR(__xludf.DUMMYFUNCTION("""COMPUTED_VALUE"""),"Cuộn 15m")</f>
        <v>Cuộn 15m</v>
      </c>
      <c r="H25" s="582" t="str">
        <f ca="1">IFERROR(__xludf.DUMMYFUNCTION("""COMPUTED_VALUE"""),"12")</f>
        <v>12</v>
      </c>
      <c r="I25" s="585">
        <f ca="1">IFERROR(__xludf.DUMMYFUNCTION("""COMPUTED_VALUE"""),1.29471048)</f>
        <v>1.29471048</v>
      </c>
      <c r="J25" s="586" t="str">
        <f ca="1">IFERROR(__xludf.DUMMYFUNCTION("""COMPUTED_VALUE""")," 06.35 ")</f>
        <v xml:space="preserve"> 06.35 </v>
      </c>
      <c r="K25" s="584" t="str">
        <f ca="1">IFERROR(__xludf.DUMMYFUNCTION("""COMPUTED_VALUE"""),"0.51")</f>
        <v>0.51</v>
      </c>
      <c r="L25" s="584">
        <f ca="1">IFERROR(__xludf.DUMMYFUNCTION("""COMPUTED_VALUE"""),15)</f>
        <v>15</v>
      </c>
      <c r="M25" s="584"/>
      <c r="N25" s="584" t="str">
        <f ca="1">IFERROR(__xludf.DUMMYFUNCTION("""COMPUTED_VALUE"""),"Ít bán")</f>
        <v>Ít bán</v>
      </c>
      <c r="O25" s="583">
        <f ca="1">IFERROR(__xludf.DUMMYFUNCTION("""COMPUTED_VALUE"""),1)</f>
        <v>1</v>
      </c>
      <c r="P25" s="584"/>
      <c r="Q25" s="885">
        <f ca="1">+$Q$5*I25</f>
        <v>297.78341039999998</v>
      </c>
    </row>
    <row r="26" spans="1:17">
      <c r="A26" s="587" t="str">
        <f ca="1">IFERROR(__xludf.DUMMYFUNCTION("""COMPUTED_VALUE"""),"Toàn Phát - Việt Nam")</f>
        <v>Toàn Phát - Việt Nam</v>
      </c>
      <c r="B26" s="587" t="str">
        <f ca="1">IFERROR(__xludf.DUMMYFUNCTION("""COMPUTED_VALUE"""),"ĐTPCUONDI")</f>
        <v>ĐTPCUONDI</v>
      </c>
      <c r="C26" s="587" t="str">
        <f ca="1">IFERROR(__xludf.DUMMYFUNCTION("""COMPUTED_VALUE"""),"DOC0635055")</f>
        <v>DOC0635055</v>
      </c>
      <c r="D26" s="588" t="str">
        <f ca="1">IFERROR(__xludf.DUMMYFUNCTION("""COMPUTED_VALUE"""),"Đồng ống PC 06.35x0.55")</f>
        <v>Đồng ống PC 06.35x0.55</v>
      </c>
      <c r="E26" s="589">
        <f ca="1">IFERROR(__xludf.DUMMYFUNCTION("""COMPUTED_VALUE"""),0.1)</f>
        <v>0.1</v>
      </c>
      <c r="F26" s="590" t="str">
        <f ca="1">IFERROR(__xludf.DUMMYFUNCTION("""COMPUTED_VALUE"""),"Cuộn")</f>
        <v>Cuộn</v>
      </c>
      <c r="G26" s="590" t="str">
        <f ca="1">IFERROR(__xludf.DUMMYFUNCTION("""COMPUTED_VALUE"""),"Cuộn 15m")</f>
        <v>Cuộn 15m</v>
      </c>
      <c r="H26" s="588" t="str">
        <f ca="1">IFERROR(__xludf.DUMMYFUNCTION("""COMPUTED_VALUE"""),"12")</f>
        <v>12</v>
      </c>
      <c r="I26" s="591">
        <f ca="1">IFERROR(__xludf.DUMMYFUNCTION("""COMPUTED_VALUE"""),1.38669299999999)</f>
        <v>1.38669299999999</v>
      </c>
      <c r="J26" s="592" t="str">
        <f ca="1">IFERROR(__xludf.DUMMYFUNCTION("""COMPUTED_VALUE""")," 06.35 ")</f>
        <v xml:space="preserve"> 06.35 </v>
      </c>
      <c r="K26" s="590" t="str">
        <f ca="1">IFERROR(__xludf.DUMMYFUNCTION("""COMPUTED_VALUE"""),"0.55")</f>
        <v>0.55</v>
      </c>
      <c r="L26" s="590">
        <f ca="1">IFERROR(__xludf.DUMMYFUNCTION("""COMPUTED_VALUE"""),15)</f>
        <v>15</v>
      </c>
      <c r="M26" s="590"/>
      <c r="N26" s="590" t="str">
        <f ca="1">IFERROR(__xludf.DUMMYFUNCTION("""COMPUTED_VALUE"""),"Dị_D&lt;54")</f>
        <v>Dị_D&lt;54</v>
      </c>
      <c r="O26" s="589"/>
      <c r="P26" s="590"/>
    </row>
    <row r="27" spans="1:17">
      <c r="A27" s="581" t="str">
        <f ca="1">IFERROR(__xludf.DUMMYFUNCTION("""COMPUTED_VALUE"""),"Toàn Phát - Việt Nam")</f>
        <v>Toàn Phát - Việt Nam</v>
      </c>
      <c r="B27" s="581" t="str">
        <f ca="1">IFERROR(__xludf.DUMMYFUNCTION("""COMPUTED_VALUE"""),"ĐTPCUONDI")</f>
        <v>ĐTPCUONDI</v>
      </c>
      <c r="C27" s="581" t="str">
        <f ca="1">IFERROR(__xludf.DUMMYFUNCTION("""COMPUTED_VALUE"""),"DOC0635056")</f>
        <v>DOC0635056</v>
      </c>
      <c r="D27" s="582" t="str">
        <f ca="1">IFERROR(__xludf.DUMMYFUNCTION("""COMPUTED_VALUE"""),"Đồng ống PC 06.35x0.56")</f>
        <v>Đồng ống PC 06.35x0.56</v>
      </c>
      <c r="E27" s="583">
        <f ca="1">IFERROR(__xludf.DUMMYFUNCTION("""COMPUTED_VALUE"""),0.1)</f>
        <v>0.1</v>
      </c>
      <c r="F27" s="584" t="str">
        <f ca="1">IFERROR(__xludf.DUMMYFUNCTION("""COMPUTED_VALUE"""),"Cuộn")</f>
        <v>Cuộn</v>
      </c>
      <c r="G27" s="584" t="str">
        <f ca="1">IFERROR(__xludf.DUMMYFUNCTION("""COMPUTED_VALUE"""),"Cuộn 15m")</f>
        <v>Cuộn 15m</v>
      </c>
      <c r="H27" s="582" t="str">
        <f ca="1">IFERROR(__xludf.DUMMYFUNCTION("""COMPUTED_VALUE"""),"12")</f>
        <v>12</v>
      </c>
      <c r="I27" s="585">
        <f ca="1">IFERROR(__xludf.DUMMYFUNCTION("""COMPUTED_VALUE"""),1.40947127999999)</f>
        <v>1.40947127999999</v>
      </c>
      <c r="J27" s="586" t="str">
        <f ca="1">IFERROR(__xludf.DUMMYFUNCTION("""COMPUTED_VALUE""")," 06.35 ")</f>
        <v xml:space="preserve"> 06.35 </v>
      </c>
      <c r="K27" s="584" t="str">
        <f ca="1">IFERROR(__xludf.DUMMYFUNCTION("""COMPUTED_VALUE"""),"0.56")</f>
        <v>0.56</v>
      </c>
      <c r="L27" s="584">
        <f ca="1">IFERROR(__xludf.DUMMYFUNCTION("""COMPUTED_VALUE"""),15)</f>
        <v>15</v>
      </c>
      <c r="M27" s="584"/>
      <c r="N27" s="584" t="str">
        <f ca="1">IFERROR(__xludf.DUMMYFUNCTION("""COMPUTED_VALUE"""),"Dị_D&lt;54")</f>
        <v>Dị_D&lt;54</v>
      </c>
      <c r="O27" s="583">
        <f ca="1">IFERROR(__xludf.DUMMYFUNCTION("""COMPUTED_VALUE"""),1)</f>
        <v>1</v>
      </c>
      <c r="P27" s="584"/>
    </row>
    <row r="28" spans="1:17">
      <c r="A28" s="587" t="str">
        <f ca="1">IFERROR(__xludf.DUMMYFUNCTION("""COMPUTED_VALUE"""),"Toàn Phát - Việt Nam")</f>
        <v>Toàn Phát - Việt Nam</v>
      </c>
      <c r="B28" s="587" t="str">
        <f ca="1">IFERROR(__xludf.DUMMYFUNCTION("""COMPUTED_VALUE"""),"ĐTPCUONDI")</f>
        <v>ĐTPCUONDI</v>
      </c>
      <c r="C28" s="587" t="str">
        <f ca="1">IFERROR(__xludf.DUMMYFUNCTION("""COMPUTED_VALUE"""),"DOC0635060")</f>
        <v>DOC0635060</v>
      </c>
      <c r="D28" s="588" t="str">
        <f ca="1">IFERROR(__xludf.DUMMYFUNCTION("""COMPUTED_VALUE"""),"Đồng ống PC 06.35x0.60")</f>
        <v>Đồng ống PC 06.35x0.60</v>
      </c>
      <c r="E28" s="589">
        <f ca="1">IFERROR(__xludf.DUMMYFUNCTION("""COMPUTED_VALUE"""),0.1)</f>
        <v>0.1</v>
      </c>
      <c r="F28" s="590" t="str">
        <f ca="1">IFERROR(__xludf.DUMMYFUNCTION("""COMPUTED_VALUE"""),"Cuộn")</f>
        <v>Cuộn</v>
      </c>
      <c r="G28" s="590" t="str">
        <f ca="1">IFERROR(__xludf.DUMMYFUNCTION("""COMPUTED_VALUE"""),"Cuộn 15m")</f>
        <v>Cuộn 15m</v>
      </c>
      <c r="H28" s="588" t="str">
        <f ca="1">IFERROR(__xludf.DUMMYFUNCTION("""COMPUTED_VALUE"""),"12")</f>
        <v>12</v>
      </c>
      <c r="I28" s="591">
        <f ca="1">IFERROR(__xludf.DUMMYFUNCTION("""COMPUTED_VALUE"""),1.49971499999999)</f>
        <v>1.4997149999999899</v>
      </c>
      <c r="J28" s="592" t="str">
        <f ca="1">IFERROR(__xludf.DUMMYFUNCTION("""COMPUTED_VALUE""")," 06.35 ")</f>
        <v xml:space="preserve"> 06.35 </v>
      </c>
      <c r="K28" s="590" t="str">
        <f ca="1">IFERROR(__xludf.DUMMYFUNCTION("""COMPUTED_VALUE"""),"0.60")</f>
        <v>0.60</v>
      </c>
      <c r="L28" s="590">
        <f ca="1">IFERROR(__xludf.DUMMYFUNCTION("""COMPUTED_VALUE"""),15)</f>
        <v>15</v>
      </c>
      <c r="M28" s="590"/>
      <c r="N28" s="590" t="str">
        <f ca="1">IFERROR(__xludf.DUMMYFUNCTION("""COMPUTED_VALUE"""),"Dị_D&lt;54")</f>
        <v>Dị_D&lt;54</v>
      </c>
      <c r="O28" s="589"/>
      <c r="P28" s="590"/>
    </row>
    <row r="29" spans="1:17">
      <c r="A29" s="581" t="str">
        <f ca="1">IFERROR(__xludf.DUMMYFUNCTION("""COMPUTED_VALUE"""),"Toàn Phát - Việt Nam")</f>
        <v>Toàn Phát - Việt Nam</v>
      </c>
      <c r="B29" s="581" t="str">
        <f ca="1">IFERROR(__xludf.DUMMYFUNCTION("""COMPUTED_VALUE"""),"ĐTPCUONDD")</f>
        <v>ĐTPCUONDD</v>
      </c>
      <c r="C29" s="581" t="str">
        <f ca="1">IFERROR(__xludf.DUMMYFUNCTION("""COMPUTED_VALUE"""),"DOC0635061")</f>
        <v>DOC0635061</v>
      </c>
      <c r="D29" s="582" t="str">
        <f ca="1">IFERROR(__xludf.DUMMYFUNCTION("""COMPUTED_VALUE"""),"Đồng ống PC 06.35x0.61")</f>
        <v>Đồng ống PC 06.35x0.61</v>
      </c>
      <c r="E29" s="583">
        <f ca="1">IFERROR(__xludf.DUMMYFUNCTION("""COMPUTED_VALUE"""),0.1)</f>
        <v>0.1</v>
      </c>
      <c r="F29" s="584" t="str">
        <f ca="1">IFERROR(__xludf.DUMMYFUNCTION("""COMPUTED_VALUE"""),"Cuộn")</f>
        <v>Cuộn</v>
      </c>
      <c r="G29" s="584" t="str">
        <f ca="1">IFERROR(__xludf.DUMMYFUNCTION("""COMPUTED_VALUE"""),"Cuộn 15m")</f>
        <v>Cuộn 15m</v>
      </c>
      <c r="H29" s="582" t="str">
        <f ca="1">IFERROR(__xludf.DUMMYFUNCTION("""COMPUTED_VALUE"""),"12")</f>
        <v>12</v>
      </c>
      <c r="I29" s="585">
        <f ca="1">IFERROR(__xludf.DUMMYFUNCTION("""COMPUTED_VALUE"""),1.52205857999999)</f>
        <v>1.5220585799999899</v>
      </c>
      <c r="J29" s="586" t="str">
        <f ca="1">IFERROR(__xludf.DUMMYFUNCTION("""COMPUTED_VALUE""")," 06.35 ")</f>
        <v xml:space="preserve"> 06.35 </v>
      </c>
      <c r="K29" s="584" t="str">
        <f ca="1">IFERROR(__xludf.DUMMYFUNCTION("""COMPUTED_VALUE"""),"0.61")</f>
        <v>0.61</v>
      </c>
      <c r="L29" s="584">
        <f ca="1">IFERROR(__xludf.DUMMYFUNCTION("""COMPUTED_VALUE"""),15)</f>
        <v>15</v>
      </c>
      <c r="M29" s="584"/>
      <c r="N29" s="584" t="str">
        <f ca="1">IFERROR(__xludf.DUMMYFUNCTION("""COMPUTED_VALUE"""),"Không")</f>
        <v>Không</v>
      </c>
      <c r="O29" s="583"/>
      <c r="P29" s="584"/>
      <c r="Q29" s="885">
        <f ca="1">+$Q$5*I29</f>
        <v>350.07347339999762</v>
      </c>
    </row>
    <row r="30" spans="1:17">
      <c r="A30" s="587" t="str">
        <f ca="1">IFERROR(__xludf.DUMMYFUNCTION("""COMPUTED_VALUE"""),"Toàn Phát - Việt Nam")</f>
        <v>Toàn Phát - Việt Nam</v>
      </c>
      <c r="B30" s="587" t="str">
        <f ca="1">IFERROR(__xludf.DUMMYFUNCTION("""COMPUTED_VALUE"""),"ĐTPCUONDI")</f>
        <v>ĐTPCUONDI</v>
      </c>
      <c r="C30" s="587" t="str">
        <f ca="1">IFERROR(__xludf.DUMMYFUNCTION("""COMPUTED_VALUE"""),"DOC063506150")</f>
        <v>DOC063506150</v>
      </c>
      <c r="D30" s="588" t="str">
        <f ca="1">IFERROR(__xludf.DUMMYFUNCTION("""COMPUTED_VALUE"""),"Đồng ống PC 06.35x0.61x50")</f>
        <v>Đồng ống PC 06.35x0.61x50</v>
      </c>
      <c r="E30" s="589">
        <f ca="1">IFERROR(__xludf.DUMMYFUNCTION("""COMPUTED_VALUE"""),0.1)</f>
        <v>0.1</v>
      </c>
      <c r="F30" s="590" t="str">
        <f ca="1">IFERROR(__xludf.DUMMYFUNCTION("""COMPUTED_VALUE"""),"Cuộn")</f>
        <v>Cuộn</v>
      </c>
      <c r="G30" s="590" t="str">
        <f ca="1">IFERROR(__xludf.DUMMYFUNCTION("""COMPUTED_VALUE"""),"Cuộn 50m")</f>
        <v>Cuộn 50m</v>
      </c>
      <c r="H30" s="588" t="str">
        <f ca="1">IFERROR(__xludf.DUMMYFUNCTION("""COMPUTED_VALUE"""),"12")</f>
        <v>12</v>
      </c>
      <c r="I30" s="591">
        <f ca="1">IFERROR(__xludf.DUMMYFUNCTION("""COMPUTED_VALUE"""),5.07352859999999)</f>
        <v>5.0735285999999897</v>
      </c>
      <c r="J30" s="592" t="str">
        <f ca="1">IFERROR(__xludf.DUMMYFUNCTION("""COMPUTED_VALUE""")," 06.35 ")</f>
        <v xml:space="preserve"> 06.35 </v>
      </c>
      <c r="K30" s="590" t="str">
        <f ca="1">IFERROR(__xludf.DUMMYFUNCTION("""COMPUTED_VALUE"""),"0.61")</f>
        <v>0.61</v>
      </c>
      <c r="L30" s="590">
        <f ca="1">IFERROR(__xludf.DUMMYFUNCTION("""COMPUTED_VALUE"""),50)</f>
        <v>50</v>
      </c>
      <c r="M30" s="590"/>
      <c r="N30" s="590" t="str">
        <f ca="1">IFERROR(__xludf.DUMMYFUNCTION("""COMPUTED_VALUE"""),"Dị_D&lt;54")</f>
        <v>Dị_D&lt;54</v>
      </c>
      <c r="O30" s="589"/>
      <c r="P30" s="590"/>
    </row>
    <row r="31" spans="1:17" ht="15.75">
      <c r="A31" s="581" t="str">
        <f ca="1">IFERROR(__xludf.DUMMYFUNCTION("""COMPUTED_VALUE"""),"Toàn Phát - Việt Nam")</f>
        <v>Toàn Phát - Việt Nam</v>
      </c>
      <c r="B31" s="581" t="str">
        <f ca="1">IFERROR(__xludf.DUMMYFUNCTION("""COMPUTED_VALUE"""),"ĐTPCUONDI")</f>
        <v>ĐTPCUONDI</v>
      </c>
      <c r="C31" s="581" t="str">
        <f ca="1">IFERROR(__xludf.DUMMYFUNCTION("""COMPUTED_VALUE"""),"DOC0635065")</f>
        <v>DOC0635065</v>
      </c>
      <c r="D31" s="582" t="str">
        <f ca="1">IFERROR(__xludf.DUMMYFUNCTION("""COMPUTED_VALUE"""),"Đồng ống PC 06.35x0.65")</f>
        <v>Đồng ống PC 06.35x0.65</v>
      </c>
      <c r="E31" s="583">
        <f ca="1">IFERROR(__xludf.DUMMYFUNCTION("""COMPUTED_VALUE"""),0.1)</f>
        <v>0.1</v>
      </c>
      <c r="F31" s="584" t="str">
        <f ca="1">IFERROR(__xludf.DUMMYFUNCTION("""COMPUTED_VALUE"""),"Cuộn")</f>
        <v>Cuộn</v>
      </c>
      <c r="G31" s="584" t="str">
        <f ca="1">IFERROR(__xludf.DUMMYFUNCTION("""COMPUTED_VALUE"""),"Cuộn 15m")</f>
        <v>Cuộn 15m</v>
      </c>
      <c r="H31" s="582" t="str">
        <f ca="1">IFERROR(__xludf.DUMMYFUNCTION("""COMPUTED_VALUE"""),"12")</f>
        <v>12</v>
      </c>
      <c r="I31" s="585">
        <f ca="1">IFERROR(__xludf.DUMMYFUNCTION("""COMPUTED_VALUE"""),1.61056349999999)</f>
        <v>1.61056349999999</v>
      </c>
      <c r="J31" s="586" t="str">
        <f ca="1">IFERROR(__xludf.DUMMYFUNCTION("""COMPUTED_VALUE""")," 06.35 ")</f>
        <v xml:space="preserve"> 06.35 </v>
      </c>
      <c r="K31" s="584" t="str">
        <f ca="1">IFERROR(__xludf.DUMMYFUNCTION("""COMPUTED_VALUE"""),"0.65")</f>
        <v>0.65</v>
      </c>
      <c r="L31" s="584">
        <f ca="1">IFERROR(__xludf.DUMMYFUNCTION("""COMPUTED_VALUE"""),15)</f>
        <v>15</v>
      </c>
      <c r="M31" s="584"/>
      <c r="N31" s="584" t="str">
        <f ca="1">IFERROR(__xludf.DUMMYFUNCTION("""COMPUTED_VALUE"""),"Dị_D&lt;54")</f>
        <v>Dị_D&lt;54</v>
      </c>
      <c r="O31" s="583"/>
      <c r="P31" s="584"/>
    </row>
    <row r="32" spans="1:17" ht="15.75">
      <c r="A32" s="587" t="str">
        <f ca="1">IFERROR(__xludf.DUMMYFUNCTION("""COMPUTED_VALUE"""),"Toàn Phát - Việt Nam")</f>
        <v>Toàn Phát - Việt Nam</v>
      </c>
      <c r="B32" s="587" t="str">
        <f ca="1">IFERROR(__xludf.DUMMYFUNCTION("""COMPUTED_VALUE"""),"ĐTPCUONDI")</f>
        <v>ĐTPCUONDI</v>
      </c>
      <c r="C32" s="587" t="str">
        <f ca="1">IFERROR(__xludf.DUMMYFUNCTION("""COMPUTED_VALUE"""),"DOC0635065(KI)")</f>
        <v>DOC0635065(KI)</v>
      </c>
      <c r="D32" s="588" t="str">
        <f ca="1">IFERROR(__xludf.DUMMYFUNCTION("""COMPUTED_VALUE"""),"Đồng ống PC 06.35x0.65 không in")</f>
        <v>Đồng ống PC 06.35x0.65 không in</v>
      </c>
      <c r="E32" s="589">
        <f ca="1">IFERROR(__xludf.DUMMYFUNCTION("""COMPUTED_VALUE"""),0.1)</f>
        <v>0.1</v>
      </c>
      <c r="F32" s="590" t="str">
        <f ca="1">IFERROR(__xludf.DUMMYFUNCTION("""COMPUTED_VALUE"""),"Cuộn")</f>
        <v>Cuộn</v>
      </c>
      <c r="G32" s="590" t="str">
        <f ca="1">IFERROR(__xludf.DUMMYFUNCTION("""COMPUTED_VALUE"""),"Cuộn 15m")</f>
        <v>Cuộn 15m</v>
      </c>
      <c r="H32" s="588" t="str">
        <f ca="1">IFERROR(__xludf.DUMMYFUNCTION("""COMPUTED_VALUE"""),"12")</f>
        <v>12</v>
      </c>
      <c r="I32" s="591">
        <f ca="1">IFERROR(__xludf.DUMMYFUNCTION("""COMPUTED_VALUE"""),1.61056349999999)</f>
        <v>1.61056349999999</v>
      </c>
      <c r="J32" s="592" t="str">
        <f ca="1">IFERROR(__xludf.DUMMYFUNCTION("""COMPUTED_VALUE""")," 06.35 ")</f>
        <v xml:space="preserve"> 06.35 </v>
      </c>
      <c r="K32" s="590" t="str">
        <f ca="1">IFERROR(__xludf.DUMMYFUNCTION("""COMPUTED_VALUE"""),"0.65")</f>
        <v>0.65</v>
      </c>
      <c r="L32" s="590">
        <f ca="1">IFERROR(__xludf.DUMMYFUNCTION("""COMPUTED_VALUE"""),15)</f>
        <v>15</v>
      </c>
      <c r="M32" s="590" t="str">
        <f ca="1">IFERROR(__xludf.DUMMYFUNCTION("""COMPUTED_VALUE"""),"KI")</f>
        <v>KI</v>
      </c>
      <c r="N32" s="590" t="str">
        <f ca="1">IFERROR(__xludf.DUMMYFUNCTION("""COMPUTED_VALUE"""),"Dị_D&lt;54")</f>
        <v>Dị_D&lt;54</v>
      </c>
      <c r="O32" s="589"/>
      <c r="P32" s="590"/>
    </row>
    <row r="33" spans="1:17" ht="15.75">
      <c r="A33" s="581" t="str">
        <f ca="1">IFERROR(__xludf.DUMMYFUNCTION("""COMPUTED_VALUE"""),"Toàn Phát - Việt Nam")</f>
        <v>Toàn Phát - Việt Nam</v>
      </c>
      <c r="B33" s="581" t="str">
        <f ca="1">IFERROR(__xludf.DUMMYFUNCTION("""COMPUTED_VALUE"""),"ĐTPCUONDI")</f>
        <v>ĐTPCUONDI</v>
      </c>
      <c r="C33" s="581" t="str">
        <f ca="1">IFERROR(__xludf.DUMMYFUNCTION("""COMPUTED_VALUE"""),"DOC0635066")</f>
        <v>DOC0635066</v>
      </c>
      <c r="D33" s="582" t="str">
        <f ca="1">IFERROR(__xludf.DUMMYFUNCTION("""COMPUTED_VALUE"""),"Đồng ống PC 06.35x0.66")</f>
        <v>Đồng ống PC 06.35x0.66</v>
      </c>
      <c r="E33" s="583">
        <f ca="1">IFERROR(__xludf.DUMMYFUNCTION("""COMPUTED_VALUE"""),0.1)</f>
        <v>0.1</v>
      </c>
      <c r="F33" s="584" t="str">
        <f ca="1">IFERROR(__xludf.DUMMYFUNCTION("""COMPUTED_VALUE"""),"Cuộn")</f>
        <v>Cuộn</v>
      </c>
      <c r="G33" s="584" t="str">
        <f ca="1">IFERROR(__xludf.DUMMYFUNCTION("""COMPUTED_VALUE"""),"Cuộn 15m")</f>
        <v>Cuộn 15m</v>
      </c>
      <c r="H33" s="582" t="str">
        <f ca="1">IFERROR(__xludf.DUMMYFUNCTION("""COMPUTED_VALUE"""),"12")</f>
        <v>12</v>
      </c>
      <c r="I33" s="585">
        <f ca="1">IFERROR(__xludf.DUMMYFUNCTION("""COMPUTED_VALUE"""),1.63247238)</f>
        <v>1.6324723800000001</v>
      </c>
      <c r="J33" s="586" t="str">
        <f ca="1">IFERROR(__xludf.DUMMYFUNCTION("""COMPUTED_VALUE""")," 06.35 ")</f>
        <v xml:space="preserve"> 06.35 </v>
      </c>
      <c r="K33" s="584" t="str">
        <f ca="1">IFERROR(__xludf.DUMMYFUNCTION("""COMPUTED_VALUE"""),"0.66")</f>
        <v>0.66</v>
      </c>
      <c r="L33" s="584">
        <f ca="1">IFERROR(__xludf.DUMMYFUNCTION("""COMPUTED_VALUE"""),15)</f>
        <v>15</v>
      </c>
      <c r="M33" s="584"/>
      <c r="N33" s="584" t="str">
        <f ca="1">IFERROR(__xludf.DUMMYFUNCTION("""COMPUTED_VALUE"""),"Dị_D&lt;54")</f>
        <v>Dị_D&lt;54</v>
      </c>
      <c r="O33" s="583">
        <f ca="1">IFERROR(__xludf.DUMMYFUNCTION("""COMPUTED_VALUE"""),1)</f>
        <v>1</v>
      </c>
      <c r="P33" s="584"/>
    </row>
    <row r="34" spans="1:17" ht="15.75">
      <c r="A34" s="587" t="str">
        <f ca="1">IFERROR(__xludf.DUMMYFUNCTION("""COMPUTED_VALUE"""),"Toàn Phát - Việt Nam")</f>
        <v>Toàn Phát - Việt Nam</v>
      </c>
      <c r="B34" s="587" t="str">
        <f ca="1">IFERROR(__xludf.DUMMYFUNCTION("""COMPUTED_VALUE"""),"ĐTPCUONDI")</f>
        <v>ĐTPCUONDI</v>
      </c>
      <c r="C34" s="587" t="str">
        <f ca="1">IFERROR(__xludf.DUMMYFUNCTION("""COMPUTED_VALUE"""),"DOC0635070")</f>
        <v>DOC0635070</v>
      </c>
      <c r="D34" s="588" t="str">
        <f ca="1">IFERROR(__xludf.DUMMYFUNCTION("""COMPUTED_VALUE"""),"Đồng ống PC 06.35x0.70")</f>
        <v>Đồng ống PC 06.35x0.70</v>
      </c>
      <c r="E34" s="589">
        <f ca="1">IFERROR(__xludf.DUMMYFUNCTION("""COMPUTED_VALUE"""),0.1)</f>
        <v>0.1</v>
      </c>
      <c r="F34" s="590" t="str">
        <f ca="1">IFERROR(__xludf.DUMMYFUNCTION("""COMPUTED_VALUE"""),"Cuộn")</f>
        <v>Cuộn</v>
      </c>
      <c r="G34" s="590" t="str">
        <f ca="1">IFERROR(__xludf.DUMMYFUNCTION("""COMPUTED_VALUE"""),"Cuộn 15m")</f>
        <v>Cuộn 15m</v>
      </c>
      <c r="H34" s="588" t="str">
        <f ca="1">IFERROR(__xludf.DUMMYFUNCTION("""COMPUTED_VALUE"""),"12")</f>
        <v>12</v>
      </c>
      <c r="I34" s="591">
        <f ca="1">IFERROR(__xludf.DUMMYFUNCTION("""COMPUTED_VALUE"""),1.71923849999999)</f>
        <v>1.7192384999999899</v>
      </c>
      <c r="J34" s="592" t="str">
        <f ca="1">IFERROR(__xludf.DUMMYFUNCTION("""COMPUTED_VALUE""")," 06.35 ")</f>
        <v xml:space="preserve"> 06.35 </v>
      </c>
      <c r="K34" s="590" t="str">
        <f ca="1">IFERROR(__xludf.DUMMYFUNCTION("""COMPUTED_VALUE"""),"0.70")</f>
        <v>0.70</v>
      </c>
      <c r="L34" s="590">
        <f ca="1">IFERROR(__xludf.DUMMYFUNCTION("""COMPUTED_VALUE"""),15)</f>
        <v>15</v>
      </c>
      <c r="M34" s="590"/>
      <c r="N34" s="590" t="str">
        <f ca="1">IFERROR(__xludf.DUMMYFUNCTION("""COMPUTED_VALUE"""),"Dị_D&lt;54")</f>
        <v>Dị_D&lt;54</v>
      </c>
      <c r="O34" s="589"/>
      <c r="P34" s="590"/>
    </row>
    <row r="35" spans="1:17" ht="15.75">
      <c r="A35" s="581" t="str">
        <f ca="1">IFERROR(__xludf.DUMMYFUNCTION("""COMPUTED_VALUE"""),"Toàn Phát - Việt Nam")</f>
        <v>Toàn Phát - Việt Nam</v>
      </c>
      <c r="B35" s="581" t="str">
        <f ca="1">IFERROR(__xludf.DUMMYFUNCTION("""COMPUTED_VALUE"""),"ĐTPCUONDI")</f>
        <v>ĐTPCUONDI</v>
      </c>
      <c r="C35" s="581" t="str">
        <f ca="1">IFERROR(__xludf.DUMMYFUNCTION("""COMPUTED_VALUE"""),"DOC063507030")</f>
        <v>DOC063507030</v>
      </c>
      <c r="D35" s="582" t="str">
        <f ca="1">IFERROR(__xludf.DUMMYFUNCTION("""COMPUTED_VALUE"""),"Đồng ống PC 06.35x0.70x30m")</f>
        <v>Đồng ống PC 06.35x0.70x30m</v>
      </c>
      <c r="E35" s="583">
        <f ca="1">IFERROR(__xludf.DUMMYFUNCTION("""COMPUTED_VALUE"""),0.1)</f>
        <v>0.1</v>
      </c>
      <c r="F35" s="584" t="str">
        <f ca="1">IFERROR(__xludf.DUMMYFUNCTION("""COMPUTED_VALUE"""),"Cuộn")</f>
        <v>Cuộn</v>
      </c>
      <c r="G35" s="584" t="str">
        <f ca="1">IFERROR(__xludf.DUMMYFUNCTION("""COMPUTED_VALUE"""),"Cuộn 30m")</f>
        <v>Cuộn 30m</v>
      </c>
      <c r="H35" s="582" t="str">
        <f ca="1">IFERROR(__xludf.DUMMYFUNCTION("""COMPUTED_VALUE"""),"12")</f>
        <v>12</v>
      </c>
      <c r="I35" s="585">
        <f ca="1">IFERROR(__xludf.DUMMYFUNCTION("""COMPUTED_VALUE"""),3.43847699999999)</f>
        <v>3.43847699999999</v>
      </c>
      <c r="J35" s="586" t="str">
        <f ca="1">IFERROR(__xludf.DUMMYFUNCTION("""COMPUTED_VALUE""")," 06.35 ")</f>
        <v xml:space="preserve"> 06.35 </v>
      </c>
      <c r="K35" s="584" t="str">
        <f ca="1">IFERROR(__xludf.DUMMYFUNCTION("""COMPUTED_VALUE"""),"0.70")</f>
        <v>0.70</v>
      </c>
      <c r="L35" s="584">
        <f ca="1">IFERROR(__xludf.DUMMYFUNCTION("""COMPUTED_VALUE"""),30)</f>
        <v>30</v>
      </c>
      <c r="M35" s="584"/>
      <c r="N35" s="584" t="str">
        <f ca="1">IFERROR(__xludf.DUMMYFUNCTION("""COMPUTED_VALUE"""),"Dị_D&lt;54")</f>
        <v>Dị_D&lt;54</v>
      </c>
      <c r="O35" s="583"/>
      <c r="P35" s="584"/>
    </row>
    <row r="36" spans="1:17" ht="15.75">
      <c r="A36" s="587" t="str">
        <f ca="1">IFERROR(__xludf.DUMMYFUNCTION("""COMPUTED_VALUE"""),"Toàn Phát - Việt Nam")</f>
        <v>Toàn Phát - Việt Nam</v>
      </c>
      <c r="B36" s="587" t="str">
        <f ca="1">IFERROR(__xludf.DUMMYFUNCTION("""COMPUTED_VALUE"""),"ĐTPCUONDD")</f>
        <v>ĐTPCUONDD</v>
      </c>
      <c r="C36" s="587" t="str">
        <f ca="1">IFERROR(__xludf.DUMMYFUNCTION("""COMPUTED_VALUE"""),"DOC0635071")</f>
        <v>DOC0635071</v>
      </c>
      <c r="D36" s="588" t="str">
        <f ca="1">IFERROR(__xludf.DUMMYFUNCTION("""COMPUTED_VALUE"""),"Đồng ống PC 06.35x0.71")</f>
        <v>Đồng ống PC 06.35x0.71</v>
      </c>
      <c r="E36" s="589">
        <f ca="1">IFERROR(__xludf.DUMMYFUNCTION("""COMPUTED_VALUE"""),0.1)</f>
        <v>0.1</v>
      </c>
      <c r="F36" s="590" t="str">
        <f ca="1">IFERROR(__xludf.DUMMYFUNCTION("""COMPUTED_VALUE"""),"Cuộn")</f>
        <v>Cuộn</v>
      </c>
      <c r="G36" s="590" t="str">
        <f ca="1">IFERROR(__xludf.DUMMYFUNCTION("""COMPUTED_VALUE"""),"Cuộn 15m")</f>
        <v>Cuộn 15m</v>
      </c>
      <c r="H36" s="588" t="str">
        <f ca="1">IFERROR(__xludf.DUMMYFUNCTION("""COMPUTED_VALUE"""),"12")</f>
        <v>12</v>
      </c>
      <c r="I36" s="591">
        <f ca="1">IFERROR(__xludf.DUMMYFUNCTION("""COMPUTED_VALUE"""),1.74071267999999)</f>
        <v>1.7407126799999899</v>
      </c>
      <c r="J36" s="592" t="str">
        <f ca="1">IFERROR(__xludf.DUMMYFUNCTION("""COMPUTED_VALUE""")," 06.35 ")</f>
        <v xml:space="preserve"> 06.35 </v>
      </c>
      <c r="K36" s="590" t="str">
        <f ca="1">IFERROR(__xludf.DUMMYFUNCTION("""COMPUTED_VALUE"""),"0.71")</f>
        <v>0.71</v>
      </c>
      <c r="L36" s="590">
        <f ca="1">IFERROR(__xludf.DUMMYFUNCTION("""COMPUTED_VALUE"""),15)</f>
        <v>15</v>
      </c>
      <c r="M36" s="590"/>
      <c r="N36" s="590" t="str">
        <f ca="1">IFERROR(__xludf.DUMMYFUNCTION("""COMPUTED_VALUE"""),"Không")</f>
        <v>Không</v>
      </c>
      <c r="O36" s="589"/>
      <c r="P36" s="590"/>
      <c r="Q36" s="885">
        <f ca="1">+$Q$5*I36</f>
        <v>400.36391639999761</v>
      </c>
    </row>
    <row r="37" spans="1:17" ht="15.75">
      <c r="A37" s="581" t="str">
        <f ca="1">IFERROR(__xludf.DUMMYFUNCTION("""COMPUTED_VALUE"""),"Toàn Phát - Việt Nam")</f>
        <v>Toàn Phát - Việt Nam</v>
      </c>
      <c r="B37" s="581" t="str">
        <f ca="1">IFERROR(__xludf.DUMMYFUNCTION("""COMPUTED_VALUE"""),"ĐTPCUONDI")</f>
        <v>ĐTPCUONDI</v>
      </c>
      <c r="C37" s="581" t="str">
        <f ca="1">IFERROR(__xludf.DUMMYFUNCTION("""COMPUTED_VALUE"""),"DOC063507150")</f>
        <v>DOC063507150</v>
      </c>
      <c r="D37" s="582" t="str">
        <f ca="1">IFERROR(__xludf.DUMMYFUNCTION("""COMPUTED_VALUE"""),"Đồng ống PC 06.35x0.71x50")</f>
        <v>Đồng ống PC 06.35x0.71x50</v>
      </c>
      <c r="E37" s="583">
        <f ca="1">IFERROR(__xludf.DUMMYFUNCTION("""COMPUTED_VALUE"""),0.1)</f>
        <v>0.1</v>
      </c>
      <c r="F37" s="584" t="str">
        <f ca="1">IFERROR(__xludf.DUMMYFUNCTION("""COMPUTED_VALUE"""),"Cuộn")</f>
        <v>Cuộn</v>
      </c>
      <c r="G37" s="584" t="str">
        <f ca="1">IFERROR(__xludf.DUMMYFUNCTION("""COMPUTED_VALUE"""),"Cuộn 50m")</f>
        <v>Cuộn 50m</v>
      </c>
      <c r="H37" s="582" t="str">
        <f ca="1">IFERROR(__xludf.DUMMYFUNCTION("""COMPUTED_VALUE"""),"12")</f>
        <v>12</v>
      </c>
      <c r="I37" s="585">
        <f ca="1">IFERROR(__xludf.DUMMYFUNCTION("""COMPUTED_VALUE"""),5.80237559999999)</f>
        <v>5.8023755999999898</v>
      </c>
      <c r="J37" s="586" t="str">
        <f ca="1">IFERROR(__xludf.DUMMYFUNCTION("""COMPUTED_VALUE""")," 06.35 ")</f>
        <v xml:space="preserve"> 06.35 </v>
      </c>
      <c r="K37" s="584" t="str">
        <f ca="1">IFERROR(__xludf.DUMMYFUNCTION("""COMPUTED_VALUE"""),"0.71")</f>
        <v>0.71</v>
      </c>
      <c r="L37" s="584">
        <f ca="1">IFERROR(__xludf.DUMMYFUNCTION("""COMPUTED_VALUE"""),50)</f>
        <v>50</v>
      </c>
      <c r="M37" s="584"/>
      <c r="N37" s="584" t="str">
        <f ca="1">IFERROR(__xludf.DUMMYFUNCTION("""COMPUTED_VALUE"""),"Dị_D&lt;54")</f>
        <v>Dị_D&lt;54</v>
      </c>
      <c r="O37" s="583">
        <f ca="1">IFERROR(__xludf.DUMMYFUNCTION("""COMPUTED_VALUE"""),1)</f>
        <v>1</v>
      </c>
      <c r="P37" s="584"/>
    </row>
    <row r="38" spans="1:17" ht="15.75">
      <c r="A38" s="587" t="str">
        <f ca="1">IFERROR(__xludf.DUMMYFUNCTION("""COMPUTED_VALUE"""),"Toàn Phát - Việt Nam")</f>
        <v>Toàn Phát - Việt Nam</v>
      </c>
      <c r="B38" s="587" t="str">
        <f ca="1">IFERROR(__xludf.DUMMYFUNCTION("""COMPUTED_VALUE"""),"ĐTPCUONDI")</f>
        <v>ĐTPCUONDI</v>
      </c>
      <c r="C38" s="587" t="str">
        <f ca="1">IFERROR(__xludf.DUMMYFUNCTION("""COMPUTED_VALUE"""),"DOC0635076")</f>
        <v>DOC0635076</v>
      </c>
      <c r="D38" s="588" t="str">
        <f ca="1">IFERROR(__xludf.DUMMYFUNCTION("""COMPUTED_VALUE"""),"Đồng ống PC 06.35x0.76")</f>
        <v>Đồng ống PC 06.35x0.76</v>
      </c>
      <c r="E38" s="589">
        <f ca="1">IFERROR(__xludf.DUMMYFUNCTION("""COMPUTED_VALUE"""),0.1)</f>
        <v>0.1</v>
      </c>
      <c r="F38" s="590" t="str">
        <f ca="1">IFERROR(__xludf.DUMMYFUNCTION("""COMPUTED_VALUE"""),"Cuộn")</f>
        <v>Cuộn</v>
      </c>
      <c r="G38" s="590" t="str">
        <f ca="1">IFERROR(__xludf.DUMMYFUNCTION("""COMPUTED_VALUE"""),"Cuộn 15m")</f>
        <v>Cuộn 15m</v>
      </c>
      <c r="H38" s="588" t="str">
        <f ca="1">IFERROR(__xludf.DUMMYFUNCTION("""COMPUTED_VALUE"""),"12")</f>
        <v>12</v>
      </c>
      <c r="I38" s="591">
        <f ca="1">IFERROR(__xludf.DUMMYFUNCTION("""COMPUTED_VALUE"""),1.84677948)</f>
        <v>1.8467794799999999</v>
      </c>
      <c r="J38" s="592" t="str">
        <f ca="1">IFERROR(__xludf.DUMMYFUNCTION("""COMPUTED_VALUE""")," 06.35 ")</f>
        <v xml:space="preserve"> 06.35 </v>
      </c>
      <c r="K38" s="590" t="str">
        <f ca="1">IFERROR(__xludf.DUMMYFUNCTION("""COMPUTED_VALUE"""),"0.76")</f>
        <v>0.76</v>
      </c>
      <c r="L38" s="590">
        <f ca="1">IFERROR(__xludf.DUMMYFUNCTION("""COMPUTED_VALUE"""),15)</f>
        <v>15</v>
      </c>
      <c r="M38" s="590"/>
      <c r="N38" s="590" t="str">
        <f ca="1">IFERROR(__xludf.DUMMYFUNCTION("""COMPUTED_VALUE"""),"Dị_D&lt;54")</f>
        <v>Dị_D&lt;54</v>
      </c>
      <c r="O38" s="589"/>
      <c r="P38" s="590"/>
    </row>
    <row r="39" spans="1:17" ht="15.75">
      <c r="A39" s="581" t="str">
        <f ca="1">IFERROR(__xludf.DUMMYFUNCTION("""COMPUTED_VALUE"""),"Toàn Phát - Việt Nam")</f>
        <v>Toàn Phát - Việt Nam</v>
      </c>
      <c r="B39" s="581" t="str">
        <f ca="1">IFERROR(__xludf.DUMMYFUNCTION("""COMPUTED_VALUE"""),"ĐTPCUONDI")</f>
        <v>ĐTPCUONDI</v>
      </c>
      <c r="C39" s="581" t="str">
        <f ca="1">IFERROR(__xludf.DUMMYFUNCTION("""COMPUTED_VALUE"""),"DOC0635080")</f>
        <v>DOC0635080</v>
      </c>
      <c r="D39" s="582" t="str">
        <f ca="1">IFERROR(__xludf.DUMMYFUNCTION("""COMPUTED_VALUE"""),"Đồng ống PC 06.35x0.80")</f>
        <v>Đồng ống PC 06.35x0.80</v>
      </c>
      <c r="E39" s="583">
        <f ca="1">IFERROR(__xludf.DUMMYFUNCTION("""COMPUTED_VALUE"""),0.1)</f>
        <v>0.1</v>
      </c>
      <c r="F39" s="584" t="str">
        <f ca="1">IFERROR(__xludf.DUMMYFUNCTION("""COMPUTED_VALUE"""),"Cuộn")</f>
        <v>Cuộn</v>
      </c>
      <c r="G39" s="584" t="str">
        <f ca="1">IFERROR(__xludf.DUMMYFUNCTION("""COMPUTED_VALUE"""),"Cuộn 15m")</f>
        <v>Cuộn 15m</v>
      </c>
      <c r="H39" s="582" t="str">
        <f ca="1">IFERROR(__xludf.DUMMYFUNCTION("""COMPUTED_VALUE"""),"12")</f>
        <v>12</v>
      </c>
      <c r="I39" s="585">
        <f ca="1">IFERROR(__xludf.DUMMYFUNCTION("""COMPUTED_VALUE"""),1.930068)</f>
        <v>1.9300679999999999</v>
      </c>
      <c r="J39" s="586" t="str">
        <f ca="1">IFERROR(__xludf.DUMMYFUNCTION("""COMPUTED_VALUE""")," 06.35 ")</f>
        <v xml:space="preserve"> 06.35 </v>
      </c>
      <c r="K39" s="584" t="str">
        <f ca="1">IFERROR(__xludf.DUMMYFUNCTION("""COMPUTED_VALUE"""),"0.80")</f>
        <v>0.80</v>
      </c>
      <c r="L39" s="584">
        <f ca="1">IFERROR(__xludf.DUMMYFUNCTION("""COMPUTED_VALUE"""),15)</f>
        <v>15</v>
      </c>
      <c r="M39" s="584"/>
      <c r="N39" s="584" t="str">
        <f ca="1">IFERROR(__xludf.DUMMYFUNCTION("""COMPUTED_VALUE"""),"Dị_D&lt;54")</f>
        <v>Dị_D&lt;54</v>
      </c>
      <c r="O39" s="583"/>
      <c r="P39" s="584"/>
    </row>
    <row r="40" spans="1:17" ht="15.75">
      <c r="A40" s="587" t="str">
        <f ca="1">IFERROR(__xludf.DUMMYFUNCTION("""COMPUTED_VALUE"""),"Toàn Phát - Việt Nam")</f>
        <v>Toàn Phát - Việt Nam</v>
      </c>
      <c r="B40" s="587" t="str">
        <f ca="1">IFERROR(__xludf.DUMMYFUNCTION("""COMPUTED_VALUE"""),"ĐTPCUONDI")</f>
        <v>ĐTPCUONDI</v>
      </c>
      <c r="C40" s="587" t="str">
        <f ca="1">IFERROR(__xludf.DUMMYFUNCTION("""COMPUTED_VALUE"""),"DOC063508030")</f>
        <v>DOC063508030</v>
      </c>
      <c r="D40" s="588" t="str">
        <f ca="1">IFERROR(__xludf.DUMMYFUNCTION("""COMPUTED_VALUE"""),"Đồng ống cuộn 6.35x0.80x30")</f>
        <v>Đồng ống cuộn 6.35x0.80x30</v>
      </c>
      <c r="E40" s="589">
        <f ca="1">IFERROR(__xludf.DUMMYFUNCTION("""COMPUTED_VALUE"""),0.1)</f>
        <v>0.1</v>
      </c>
      <c r="F40" s="590" t="str">
        <f ca="1">IFERROR(__xludf.DUMMYFUNCTION("""COMPUTED_VALUE"""),"Cuộn")</f>
        <v>Cuộn</v>
      </c>
      <c r="G40" s="590" t="str">
        <f ca="1">IFERROR(__xludf.DUMMYFUNCTION("""COMPUTED_VALUE"""),"Cuộn 30m")</f>
        <v>Cuộn 30m</v>
      </c>
      <c r="H40" s="588" t="str">
        <f ca="1">IFERROR(__xludf.DUMMYFUNCTION("""COMPUTED_VALUE"""),"12")</f>
        <v>12</v>
      </c>
      <c r="I40" s="591">
        <f ca="1">IFERROR(__xludf.DUMMYFUNCTION("""COMPUTED_VALUE"""),3.860136)</f>
        <v>3.8601359999999998</v>
      </c>
      <c r="J40" s="592" t="str">
        <f ca="1">IFERROR(__xludf.DUMMYFUNCTION("""COMPUTED_VALUE""")," 06.35 ")</f>
        <v xml:space="preserve"> 06.35 </v>
      </c>
      <c r="K40" s="590" t="str">
        <f ca="1">IFERROR(__xludf.DUMMYFUNCTION("""COMPUTED_VALUE"""),"0.80")</f>
        <v>0.80</v>
      </c>
      <c r="L40" s="590">
        <f ca="1">IFERROR(__xludf.DUMMYFUNCTION("""COMPUTED_VALUE"""),30)</f>
        <v>30</v>
      </c>
      <c r="M40" s="590"/>
      <c r="N40" s="590" t="str">
        <f ca="1">IFERROR(__xludf.DUMMYFUNCTION("""COMPUTED_VALUE"""),"Dị_D&lt;54")</f>
        <v>Dị_D&lt;54</v>
      </c>
      <c r="O40" s="589"/>
      <c r="P40" s="590"/>
    </row>
    <row r="41" spans="1:17" ht="15.75">
      <c r="A41" s="581" t="str">
        <f ca="1">IFERROR(__xludf.DUMMYFUNCTION("""COMPUTED_VALUE"""),"Toàn Phát - Việt Nam")</f>
        <v>Toàn Phát - Việt Nam</v>
      </c>
      <c r="B41" s="581" t="str">
        <f ca="1">IFERROR(__xludf.DUMMYFUNCTION("""COMPUTED_VALUE"""),"ĐTPCUONCT")</f>
        <v>ĐTPCUONCT</v>
      </c>
      <c r="C41" s="581" t="str">
        <f ca="1">IFERROR(__xludf.DUMMYFUNCTION("""COMPUTED_VALUE"""),"DOC0635081")</f>
        <v>DOC0635081</v>
      </c>
      <c r="D41" s="582" t="str">
        <f ca="1">IFERROR(__xludf.DUMMYFUNCTION("""COMPUTED_VALUE"""),"Đồng ống PC 06.35x0.81")</f>
        <v>Đồng ống PC 06.35x0.81</v>
      </c>
      <c r="E41" s="583">
        <f ca="1">IFERROR(__xludf.DUMMYFUNCTION("""COMPUTED_VALUE"""),0.1)</f>
        <v>0.1</v>
      </c>
      <c r="F41" s="584" t="str">
        <f ca="1">IFERROR(__xludf.DUMMYFUNCTION("""COMPUTED_VALUE"""),"Cuộn")</f>
        <v>Cuộn</v>
      </c>
      <c r="G41" s="584" t="str">
        <f ca="1">IFERROR(__xludf.DUMMYFUNCTION("""COMPUTED_VALUE"""),"Cuộn 15m")</f>
        <v>Cuộn 15m</v>
      </c>
      <c r="H41" s="582" t="str">
        <f ca="1">IFERROR(__xludf.DUMMYFUNCTION("""COMPUTED_VALUE"""),"12")</f>
        <v>12</v>
      </c>
      <c r="I41" s="585">
        <f ca="1">IFERROR(__xludf.DUMMYFUNCTION("""COMPUTED_VALUE"""),1.95067277999999)</f>
        <v>1.9506727799999899</v>
      </c>
      <c r="J41" s="586" t="str">
        <f ca="1">IFERROR(__xludf.DUMMYFUNCTION("""COMPUTED_VALUE""")," 06.35 ")</f>
        <v xml:space="preserve"> 06.35 </v>
      </c>
      <c r="K41" s="584" t="str">
        <f ca="1">IFERROR(__xludf.DUMMYFUNCTION("""COMPUTED_VALUE"""),"0.81")</f>
        <v>0.81</v>
      </c>
      <c r="L41" s="584">
        <f ca="1">IFERROR(__xludf.DUMMYFUNCTION("""COMPUTED_VALUE"""),15)</f>
        <v>15</v>
      </c>
      <c r="M41" s="584"/>
      <c r="N41" s="584" t="str">
        <f ca="1">IFERROR(__xludf.DUMMYFUNCTION("""COMPUTED_VALUE"""),"Không")</f>
        <v>Không</v>
      </c>
      <c r="O41" s="583"/>
      <c r="P41" s="584"/>
      <c r="Q41" s="885">
        <f ca="1">+$Q$5*I41</f>
        <v>448.6547393999976</v>
      </c>
    </row>
    <row r="42" spans="1:17" ht="15.75">
      <c r="A42" s="587" t="str">
        <f ca="1">IFERROR(__xludf.DUMMYFUNCTION("""COMPUTED_VALUE"""),"Toàn Phát - Việt Nam")</f>
        <v>Toàn Phát - Việt Nam</v>
      </c>
      <c r="B42" s="587" t="str">
        <f ca="1">IFERROR(__xludf.DUMMYFUNCTION("""COMPUTED_VALUE"""),"ĐTPCUONDI")</f>
        <v>ĐTPCUONDI</v>
      </c>
      <c r="C42" s="587" t="str">
        <f ca="1">IFERROR(__xludf.DUMMYFUNCTION("""COMPUTED_VALUE"""),"DOC063508145")</f>
        <v>DOC063508145</v>
      </c>
      <c r="D42" s="588" t="str">
        <f ca="1">IFERROR(__xludf.DUMMYFUNCTION("""COMPUTED_VALUE"""),"Đồng ống cuộn 6.35x0.81x45")</f>
        <v>Đồng ống cuộn 6.35x0.81x45</v>
      </c>
      <c r="E42" s="589">
        <f ca="1">IFERROR(__xludf.DUMMYFUNCTION("""COMPUTED_VALUE"""),0.1)</f>
        <v>0.1</v>
      </c>
      <c r="F42" s="590" t="str">
        <f ca="1">IFERROR(__xludf.DUMMYFUNCTION("""COMPUTED_VALUE"""),"Cuộn")</f>
        <v>Cuộn</v>
      </c>
      <c r="G42" s="590" t="str">
        <f ca="1">IFERROR(__xludf.DUMMYFUNCTION("""COMPUTED_VALUE"""),"Cuộn 45m")</f>
        <v>Cuộn 45m</v>
      </c>
      <c r="H42" s="588" t="str">
        <f ca="1">IFERROR(__xludf.DUMMYFUNCTION("""COMPUTED_VALUE"""),"12")</f>
        <v>12</v>
      </c>
      <c r="I42" s="591">
        <f ca="1">IFERROR(__xludf.DUMMYFUNCTION("""COMPUTED_VALUE"""),5.85201833999999)</f>
        <v>5.8520183399999901</v>
      </c>
      <c r="J42" s="592" t="str">
        <f ca="1">IFERROR(__xludf.DUMMYFUNCTION("""COMPUTED_VALUE""")," 06.35 ")</f>
        <v xml:space="preserve"> 06.35 </v>
      </c>
      <c r="K42" s="590" t="str">
        <f ca="1">IFERROR(__xludf.DUMMYFUNCTION("""COMPUTED_VALUE"""),"0.81")</f>
        <v>0.81</v>
      </c>
      <c r="L42" s="590">
        <f ca="1">IFERROR(__xludf.DUMMYFUNCTION("""COMPUTED_VALUE"""),45)</f>
        <v>45</v>
      </c>
      <c r="M42" s="590"/>
      <c r="N42" s="590" t="str">
        <f ca="1">IFERROR(__xludf.DUMMYFUNCTION("""COMPUTED_VALUE"""),"Dị_D&lt;54")</f>
        <v>Dị_D&lt;54</v>
      </c>
      <c r="O42" s="589"/>
      <c r="P42" s="590"/>
    </row>
    <row r="43" spans="1:17" ht="15.75">
      <c r="A43" s="581" t="str">
        <f ca="1">IFERROR(__xludf.DUMMYFUNCTION("""COMPUTED_VALUE"""),"Toàn Phát - Việt Nam")</f>
        <v>Toàn Phát - Việt Nam</v>
      </c>
      <c r="B43" s="581" t="str">
        <f ca="1">IFERROR(__xludf.DUMMYFUNCTION("""COMPUTED_VALUE"""),"ĐTPCUONDI")</f>
        <v>ĐTPCUONDI</v>
      </c>
      <c r="C43" s="581" t="str">
        <f ca="1">IFERROR(__xludf.DUMMYFUNCTION("""COMPUTED_VALUE"""),"DOC063508150")</f>
        <v>DOC063508150</v>
      </c>
      <c r="D43" s="582" t="str">
        <f ca="1">IFERROR(__xludf.DUMMYFUNCTION("""COMPUTED_VALUE"""),"Đồng ống PC 06.35x0.81x50")</f>
        <v>Đồng ống PC 06.35x0.81x50</v>
      </c>
      <c r="E43" s="583">
        <f ca="1">IFERROR(__xludf.DUMMYFUNCTION("""COMPUTED_VALUE"""),0.1)</f>
        <v>0.1</v>
      </c>
      <c r="F43" s="584" t="str">
        <f ca="1">IFERROR(__xludf.DUMMYFUNCTION("""COMPUTED_VALUE"""),"Cuộn")</f>
        <v>Cuộn</v>
      </c>
      <c r="G43" s="584" t="str">
        <f ca="1">IFERROR(__xludf.DUMMYFUNCTION("""COMPUTED_VALUE"""),"Cuộn 50m")</f>
        <v>Cuộn 50m</v>
      </c>
      <c r="H43" s="582" t="str">
        <f ca="1">IFERROR(__xludf.DUMMYFUNCTION("""COMPUTED_VALUE"""),"12")</f>
        <v>12</v>
      </c>
      <c r="I43" s="585">
        <f ca="1">IFERROR(__xludf.DUMMYFUNCTION("""COMPUTED_VALUE"""),6.50224259999999)</f>
        <v>6.50224259999999</v>
      </c>
      <c r="J43" s="586" t="str">
        <f ca="1">IFERROR(__xludf.DUMMYFUNCTION("""COMPUTED_VALUE""")," 06.35 ")</f>
        <v xml:space="preserve"> 06.35 </v>
      </c>
      <c r="K43" s="584" t="str">
        <f ca="1">IFERROR(__xludf.DUMMYFUNCTION("""COMPUTED_VALUE"""),"0.81")</f>
        <v>0.81</v>
      </c>
      <c r="L43" s="584">
        <f ca="1">IFERROR(__xludf.DUMMYFUNCTION("""COMPUTED_VALUE"""),50)</f>
        <v>50</v>
      </c>
      <c r="M43" s="584"/>
      <c r="N43" s="584" t="str">
        <f ca="1">IFERROR(__xludf.DUMMYFUNCTION("""COMPUTED_VALUE"""),"Dị_D&lt;54")</f>
        <v>Dị_D&lt;54</v>
      </c>
      <c r="O43" s="583">
        <f ca="1">IFERROR(__xludf.DUMMYFUNCTION("""COMPUTED_VALUE"""),1)</f>
        <v>1</v>
      </c>
      <c r="P43" s="584"/>
    </row>
    <row r="44" spans="1:17" ht="15.75">
      <c r="A44" s="587" t="str">
        <f ca="1">IFERROR(__xludf.DUMMYFUNCTION("""COMPUTED_VALUE"""),"Toàn Phát - Việt Nam")</f>
        <v>Toàn Phát - Việt Nam</v>
      </c>
      <c r="B44" s="587" t="str">
        <f ca="1">IFERROR(__xludf.DUMMYFUNCTION("""COMPUTED_VALUE"""),"ĐTPCUONDI")</f>
        <v>ĐTPCUONDI</v>
      </c>
      <c r="C44" s="587" t="str">
        <f ca="1">IFERROR(__xludf.DUMMYFUNCTION("""COMPUTED_VALUE"""),"DOC0635090")</f>
        <v>DOC0635090</v>
      </c>
      <c r="D44" s="588" t="str">
        <f ca="1">IFERROR(__xludf.DUMMYFUNCTION("""COMPUTED_VALUE"""),"Đồng ống PC 06.35x0.90")</f>
        <v>Đồng ống PC 06.35x0.90</v>
      </c>
      <c r="E44" s="589">
        <f ca="1">IFERROR(__xludf.DUMMYFUNCTION("""COMPUTED_VALUE"""),0.1)</f>
        <v>0.1</v>
      </c>
      <c r="F44" s="590" t="str">
        <f ca="1">IFERROR(__xludf.DUMMYFUNCTION("""COMPUTED_VALUE"""),"Cuộn")</f>
        <v>Cuộn</v>
      </c>
      <c r="G44" s="590" t="str">
        <f ca="1">IFERROR(__xludf.DUMMYFUNCTION("""COMPUTED_VALUE"""),"Cuộn 15m")</f>
        <v>Cuộn 15m</v>
      </c>
      <c r="H44" s="588" t="str">
        <f ca="1">IFERROR(__xludf.DUMMYFUNCTION("""COMPUTED_VALUE"""),"12")</f>
        <v>12</v>
      </c>
      <c r="I44" s="591">
        <f ca="1">IFERROR(__xludf.DUMMYFUNCTION("""COMPUTED_VALUE"""),2.13220349999999)</f>
        <v>2.1322034999999899</v>
      </c>
      <c r="J44" s="592" t="str">
        <f ca="1">IFERROR(__xludf.DUMMYFUNCTION("""COMPUTED_VALUE""")," 06.35 ")</f>
        <v xml:space="preserve"> 06.35 </v>
      </c>
      <c r="K44" s="590" t="str">
        <f ca="1">IFERROR(__xludf.DUMMYFUNCTION("""COMPUTED_VALUE"""),"0.90")</f>
        <v>0.90</v>
      </c>
      <c r="L44" s="590">
        <f ca="1">IFERROR(__xludf.DUMMYFUNCTION("""COMPUTED_VALUE"""),15)</f>
        <v>15</v>
      </c>
      <c r="M44" s="590"/>
      <c r="N44" s="590" t="str">
        <f ca="1">IFERROR(__xludf.DUMMYFUNCTION("""COMPUTED_VALUE"""),"Dị_D&lt;54")</f>
        <v>Dị_D&lt;54</v>
      </c>
      <c r="O44" s="589"/>
      <c r="P44" s="590"/>
    </row>
    <row r="45" spans="1:17" ht="15.75">
      <c r="A45" s="581" t="str">
        <f ca="1">IFERROR(__xludf.DUMMYFUNCTION("""COMPUTED_VALUE"""),"Toàn Phát - Việt Nam")</f>
        <v>Toàn Phát - Việt Nam</v>
      </c>
      <c r="B45" s="581" t="str">
        <f ca="1">IFERROR(__xludf.DUMMYFUNCTION("""COMPUTED_VALUE"""),"ĐTPCUONDI")</f>
        <v>ĐTPCUONDI</v>
      </c>
      <c r="C45" s="581" t="str">
        <f ca="1">IFERROR(__xludf.DUMMYFUNCTION("""COMPUTED_VALUE"""),"DOC0635095")</f>
        <v>DOC0635095</v>
      </c>
      <c r="D45" s="582" t="str">
        <f ca="1">IFERROR(__xludf.DUMMYFUNCTION("""COMPUTED_VALUE"""),"Đồng ống PC 06.35x0.95")</f>
        <v>Đồng ống PC 06.35x0.95</v>
      </c>
      <c r="E45" s="583">
        <f ca="1">IFERROR(__xludf.DUMMYFUNCTION("""COMPUTED_VALUE"""),0.1)</f>
        <v>0.1</v>
      </c>
      <c r="F45" s="584" t="str">
        <f ca="1">IFERROR(__xludf.DUMMYFUNCTION("""COMPUTED_VALUE"""),"Cuộn")</f>
        <v>Cuộn</v>
      </c>
      <c r="G45" s="584" t="str">
        <f ca="1">IFERROR(__xludf.DUMMYFUNCTION("""COMPUTED_VALUE"""),"Cuộn 15m")</f>
        <v>Cuộn 15m</v>
      </c>
      <c r="H45" s="582" t="str">
        <f ca="1">IFERROR(__xludf.DUMMYFUNCTION("""COMPUTED_VALUE"""),"12")</f>
        <v>12</v>
      </c>
      <c r="I45" s="585">
        <f ca="1">IFERROR(__xludf.DUMMYFUNCTION("""COMPUTED_VALUE"""),2.23001099999999)</f>
        <v>2.23001099999999</v>
      </c>
      <c r="J45" s="586" t="str">
        <f ca="1">IFERROR(__xludf.DUMMYFUNCTION("""COMPUTED_VALUE""")," 06.35 ")</f>
        <v xml:space="preserve"> 06.35 </v>
      </c>
      <c r="K45" s="584" t="str">
        <f ca="1">IFERROR(__xludf.DUMMYFUNCTION("""COMPUTED_VALUE"""),"0.95")</f>
        <v>0.95</v>
      </c>
      <c r="L45" s="584">
        <f ca="1">IFERROR(__xludf.DUMMYFUNCTION("""COMPUTED_VALUE"""),15)</f>
        <v>15</v>
      </c>
      <c r="M45" s="584"/>
      <c r="N45" s="584" t="str">
        <f ca="1">IFERROR(__xludf.DUMMYFUNCTION("""COMPUTED_VALUE"""),"Dị_D&lt;54")</f>
        <v>Dị_D&lt;54</v>
      </c>
      <c r="O45" s="583"/>
      <c r="P45" s="584"/>
    </row>
    <row r="46" spans="1:17" ht="15.75">
      <c r="A46" s="587" t="str">
        <f ca="1">IFERROR(__xludf.DUMMYFUNCTION("""COMPUTED_VALUE"""),"Toàn Phát - Việt Nam")</f>
        <v>Toàn Phát - Việt Nam</v>
      </c>
      <c r="B46" s="587" t="str">
        <f ca="1">IFERROR(__xludf.DUMMYFUNCTION("""COMPUTED_VALUE"""),"ĐTPCUONDI")</f>
        <v>ĐTPCUONDI</v>
      </c>
      <c r="C46" s="587" t="str">
        <f ca="1">IFERROR(__xludf.DUMMYFUNCTION("""COMPUTED_VALUE"""),"DOC0635097")</f>
        <v>DOC0635097</v>
      </c>
      <c r="D46" s="588" t="str">
        <f ca="1">IFERROR(__xludf.DUMMYFUNCTION("""COMPUTED_VALUE"""),"Đồng ống PC 06.35x0.97")</f>
        <v>Đồng ống PC 06.35x0.97</v>
      </c>
      <c r="E46" s="589">
        <f ca="1">IFERROR(__xludf.DUMMYFUNCTION("""COMPUTED_VALUE"""),0.1)</f>
        <v>0.1</v>
      </c>
      <c r="F46" s="590" t="str">
        <f ca="1">IFERROR(__xludf.DUMMYFUNCTION("""COMPUTED_VALUE"""),"Cuộn")</f>
        <v>Cuộn</v>
      </c>
      <c r="G46" s="590" t="str">
        <f ca="1">IFERROR(__xludf.DUMMYFUNCTION("""COMPUTED_VALUE"""),"Cuộn 15m")</f>
        <v>Cuộn 15m</v>
      </c>
      <c r="H46" s="588" t="str">
        <f ca="1">IFERROR(__xludf.DUMMYFUNCTION("""COMPUTED_VALUE"""),"12")</f>
        <v>12</v>
      </c>
      <c r="I46" s="591">
        <f ca="1">IFERROR(__xludf.DUMMYFUNCTION("""COMPUTED_VALUE"""),2.26852542)</f>
        <v>2.26852542</v>
      </c>
      <c r="J46" s="592" t="str">
        <f ca="1">IFERROR(__xludf.DUMMYFUNCTION("""COMPUTED_VALUE""")," 06.35 ")</f>
        <v xml:space="preserve"> 06.35 </v>
      </c>
      <c r="K46" s="590" t="str">
        <f ca="1">IFERROR(__xludf.DUMMYFUNCTION("""COMPUTED_VALUE"""),"0.97")</f>
        <v>0.97</v>
      </c>
      <c r="L46" s="590">
        <f ca="1">IFERROR(__xludf.DUMMYFUNCTION("""COMPUTED_VALUE"""),15)</f>
        <v>15</v>
      </c>
      <c r="M46" s="590"/>
      <c r="N46" s="590" t="str">
        <f ca="1">IFERROR(__xludf.DUMMYFUNCTION("""COMPUTED_VALUE"""),"Dị_D&lt;54")</f>
        <v>Dị_D&lt;54</v>
      </c>
      <c r="O46" s="589"/>
      <c r="P46" s="590"/>
    </row>
    <row r="47" spans="1:17" ht="15.75">
      <c r="A47" s="581" t="str">
        <f ca="1">IFERROR(__xludf.DUMMYFUNCTION("""COMPUTED_VALUE"""),"Toàn Phát - Việt Nam")</f>
        <v>Toàn Phát - Việt Nam</v>
      </c>
      <c r="B47" s="581" t="str">
        <f ca="1">IFERROR(__xludf.DUMMYFUNCTION("""COMPUTED_VALUE"""),"ĐTPCUONDI")</f>
        <v>ĐTPCUONDI</v>
      </c>
      <c r="C47" s="581" t="str">
        <f ca="1">IFERROR(__xludf.DUMMYFUNCTION("""COMPUTED_VALUE"""),"DOC0635100")</f>
        <v>DOC0635100</v>
      </c>
      <c r="D47" s="582" t="str">
        <f ca="1">IFERROR(__xludf.DUMMYFUNCTION("""COMPUTED_VALUE"""),"Đồng ống PC 06.35x1.00")</f>
        <v>Đồng ống PC 06.35x1.00</v>
      </c>
      <c r="E47" s="583">
        <f ca="1">IFERROR(__xludf.DUMMYFUNCTION("""COMPUTED_VALUE"""),0.1)</f>
        <v>0.1</v>
      </c>
      <c r="F47" s="584" t="str">
        <f ca="1">IFERROR(__xludf.DUMMYFUNCTION("""COMPUTED_VALUE"""),"Cuộn")</f>
        <v>Cuộn</v>
      </c>
      <c r="G47" s="584" t="str">
        <f ca="1">IFERROR(__xludf.DUMMYFUNCTION("""COMPUTED_VALUE"""),"Cuộn 15m")</f>
        <v>Cuộn 15m</v>
      </c>
      <c r="H47" s="582" t="str">
        <f ca="1">IFERROR(__xludf.DUMMYFUNCTION("""COMPUTED_VALUE"""),"12")</f>
        <v>12</v>
      </c>
      <c r="I47" s="585">
        <f ca="1">IFERROR(__xludf.DUMMYFUNCTION("""COMPUTED_VALUE"""),2.32564499999999)</f>
        <v>2.32564499999999</v>
      </c>
      <c r="J47" s="586" t="str">
        <f ca="1">IFERROR(__xludf.DUMMYFUNCTION("""COMPUTED_VALUE""")," 06.35 ")</f>
        <v xml:space="preserve"> 06.35 </v>
      </c>
      <c r="K47" s="584" t="str">
        <f ca="1">IFERROR(__xludf.DUMMYFUNCTION("""COMPUTED_VALUE"""),"1.00")</f>
        <v>1.00</v>
      </c>
      <c r="L47" s="584">
        <f ca="1">IFERROR(__xludf.DUMMYFUNCTION("""COMPUTED_VALUE"""),15)</f>
        <v>15</v>
      </c>
      <c r="M47" s="584"/>
      <c r="N47" s="584" t="str">
        <f ca="1">IFERROR(__xludf.DUMMYFUNCTION("""COMPUTED_VALUE"""),"Dị_D&lt;54")</f>
        <v>Dị_D&lt;54</v>
      </c>
      <c r="O47" s="583"/>
      <c r="P47" s="584"/>
    </row>
    <row r="48" spans="1:17" ht="15.75">
      <c r="A48" s="587" t="str">
        <f ca="1">IFERROR(__xludf.DUMMYFUNCTION("""COMPUTED_VALUE"""),"Toàn Phát - Việt Nam")</f>
        <v>Toàn Phát - Việt Nam</v>
      </c>
      <c r="B48" s="587" t="str">
        <f ca="1">IFERROR(__xludf.DUMMYFUNCTION("""COMPUTED_VALUE"""),"ĐTPCUONIB")</f>
        <v>ĐTPCUONIB</v>
      </c>
      <c r="C48" s="587" t="str">
        <f ca="1">IFERROR(__xludf.DUMMYFUNCTION("""COMPUTED_VALUE"""),"DOC0794051")</f>
        <v>DOC0794051</v>
      </c>
      <c r="D48" s="588" t="str">
        <f ca="1">IFERROR(__xludf.DUMMYFUNCTION("""COMPUTED_VALUE"""),"Đồng ống PC 07.94x0.51")</f>
        <v>Đồng ống PC 07.94x0.51</v>
      </c>
      <c r="E48" s="589">
        <f ca="1">IFERROR(__xludf.DUMMYFUNCTION("""COMPUTED_VALUE"""),0.1)</f>
        <v>0.1</v>
      </c>
      <c r="F48" s="590" t="str">
        <f ca="1">IFERROR(__xludf.DUMMYFUNCTION("""COMPUTED_VALUE"""),"Cuộn")</f>
        <v>Cuộn</v>
      </c>
      <c r="G48" s="590" t="str">
        <f ca="1">IFERROR(__xludf.DUMMYFUNCTION("""COMPUTED_VALUE"""),"Cuộn 15m")</f>
        <v>Cuộn 15m</v>
      </c>
      <c r="H48" s="588" t="str">
        <f ca="1">IFERROR(__xludf.DUMMYFUNCTION("""COMPUTED_VALUE"""),"10")</f>
        <v>10</v>
      </c>
      <c r="I48" s="591">
        <f ca="1">IFERROR(__xludf.DUMMYFUNCTION("""COMPUTED_VALUE"""),1.64720871)</f>
        <v>1.6472087099999999</v>
      </c>
      <c r="J48" s="592" t="str">
        <f ca="1">IFERROR(__xludf.DUMMYFUNCTION("""COMPUTED_VALUE""")," 07.94 ")</f>
        <v xml:space="preserve"> 07.94 </v>
      </c>
      <c r="K48" s="590" t="str">
        <f ca="1">IFERROR(__xludf.DUMMYFUNCTION("""COMPUTED_VALUE"""),"0.51")</f>
        <v>0.51</v>
      </c>
      <c r="L48" s="590">
        <f ca="1">IFERROR(__xludf.DUMMYFUNCTION("""COMPUTED_VALUE"""),15)</f>
        <v>15</v>
      </c>
      <c r="M48" s="590"/>
      <c r="N48" s="590" t="str">
        <f ca="1">IFERROR(__xludf.DUMMYFUNCTION("""COMPUTED_VALUE"""),"Dị_D&lt;54")</f>
        <v>Dị_D&lt;54</v>
      </c>
      <c r="O48" s="589">
        <f ca="1">IFERROR(__xludf.DUMMYFUNCTION("""COMPUTED_VALUE"""),1)</f>
        <v>1</v>
      </c>
      <c r="P48" s="590"/>
    </row>
    <row r="49" spans="1:16" ht="15.75">
      <c r="A49" s="581" t="str">
        <f ca="1">IFERROR(__xludf.DUMMYFUNCTION("""COMPUTED_VALUE"""),"Toàn Phát - Việt Nam")</f>
        <v>Toàn Phát - Việt Nam</v>
      </c>
      <c r="B49" s="581" t="str">
        <f ca="1">IFERROR(__xludf.DUMMYFUNCTION("""COMPUTED_VALUE"""),"ĐTPCUONDI")</f>
        <v>ĐTPCUONDI</v>
      </c>
      <c r="C49" s="581" t="str">
        <f ca="1">IFERROR(__xludf.DUMMYFUNCTION("""COMPUTED_VALUE"""),"DOC0794055")</f>
        <v>DOC0794055</v>
      </c>
      <c r="D49" s="582" t="str">
        <f ca="1">IFERROR(__xludf.DUMMYFUNCTION("""COMPUTED_VALUE"""),"Đồng ống PC 07.94x0.55")</f>
        <v>Đồng ống PC 07.94x0.55</v>
      </c>
      <c r="E49" s="583">
        <f ca="1">IFERROR(__xludf.DUMMYFUNCTION("""COMPUTED_VALUE"""),0.1)</f>
        <v>0.1</v>
      </c>
      <c r="F49" s="584" t="str">
        <f ca="1">IFERROR(__xludf.DUMMYFUNCTION("""COMPUTED_VALUE"""),"Cuộn")</f>
        <v>Cuộn</v>
      </c>
      <c r="G49" s="584" t="str">
        <f ca="1">IFERROR(__xludf.DUMMYFUNCTION("""COMPUTED_VALUE"""),"Cuộn 15m")</f>
        <v>Cuộn 15m</v>
      </c>
      <c r="H49" s="582" t="str">
        <f ca="1">IFERROR(__xludf.DUMMYFUNCTION("""COMPUTED_VALUE"""),"10")</f>
        <v>10</v>
      </c>
      <c r="I49" s="585">
        <f ca="1">IFERROR(__xludf.DUMMYFUNCTION("""COMPUTED_VALUE"""),1.76683815)</f>
        <v>1.7668381500000001</v>
      </c>
      <c r="J49" s="586" t="str">
        <f ca="1">IFERROR(__xludf.DUMMYFUNCTION("""COMPUTED_VALUE""")," 07.94 ")</f>
        <v xml:space="preserve"> 07.94 </v>
      </c>
      <c r="K49" s="584" t="str">
        <f ca="1">IFERROR(__xludf.DUMMYFUNCTION("""COMPUTED_VALUE"""),"0.55")</f>
        <v>0.55</v>
      </c>
      <c r="L49" s="584">
        <f ca="1">IFERROR(__xludf.DUMMYFUNCTION("""COMPUTED_VALUE"""),15)</f>
        <v>15</v>
      </c>
      <c r="M49" s="584"/>
      <c r="N49" s="584" t="str">
        <f ca="1">IFERROR(__xludf.DUMMYFUNCTION("""COMPUTED_VALUE"""),"Dị_D&lt;54")</f>
        <v>Dị_D&lt;54</v>
      </c>
      <c r="O49" s="583"/>
      <c r="P49" s="584"/>
    </row>
    <row r="50" spans="1:16" ht="15.75">
      <c r="A50" s="587" t="str">
        <f ca="1">IFERROR(__xludf.DUMMYFUNCTION("""COMPUTED_VALUE"""),"Toàn Phát - Việt Nam")</f>
        <v>Toàn Phát - Việt Nam</v>
      </c>
      <c r="B50" s="587" t="str">
        <f ca="1">IFERROR(__xludf.DUMMYFUNCTION("""COMPUTED_VALUE"""),"ĐTPCUONDI")</f>
        <v>ĐTPCUONDI</v>
      </c>
      <c r="C50" s="587" t="str">
        <f ca="1">IFERROR(__xludf.DUMMYFUNCTION("""COMPUTED_VALUE"""),"DOC0794060")</f>
        <v>DOC0794060</v>
      </c>
      <c r="D50" s="588" t="str">
        <f ca="1">IFERROR(__xludf.DUMMYFUNCTION("""COMPUTED_VALUE"""),"Đồng ống PC 07.94x0.60")</f>
        <v>Đồng ống PC 07.94x0.60</v>
      </c>
      <c r="E50" s="589">
        <f ca="1">IFERROR(__xludf.DUMMYFUNCTION("""COMPUTED_VALUE"""),0.1)</f>
        <v>0.1</v>
      </c>
      <c r="F50" s="590" t="str">
        <f ca="1">IFERROR(__xludf.DUMMYFUNCTION("""COMPUTED_VALUE"""),"Cuộn")</f>
        <v>Cuộn</v>
      </c>
      <c r="G50" s="590" t="str">
        <f ca="1">IFERROR(__xludf.DUMMYFUNCTION("""COMPUTED_VALUE"""),"Cuộn 15m")</f>
        <v>Cuộn 15m</v>
      </c>
      <c r="H50" s="588" t="str">
        <f ca="1">IFERROR(__xludf.DUMMYFUNCTION("""COMPUTED_VALUE"""),"10")</f>
        <v>10</v>
      </c>
      <c r="I50" s="591">
        <f ca="1">IFERROR(__xludf.DUMMYFUNCTION("""COMPUTED_VALUE"""),1.91441879999999)</f>
        <v>1.91441879999999</v>
      </c>
      <c r="J50" s="592" t="str">
        <f ca="1">IFERROR(__xludf.DUMMYFUNCTION("""COMPUTED_VALUE""")," 07.94 ")</f>
        <v xml:space="preserve"> 07.94 </v>
      </c>
      <c r="K50" s="590" t="str">
        <f ca="1">IFERROR(__xludf.DUMMYFUNCTION("""COMPUTED_VALUE"""),"0.60")</f>
        <v>0.60</v>
      </c>
      <c r="L50" s="590">
        <f ca="1">IFERROR(__xludf.DUMMYFUNCTION("""COMPUTED_VALUE"""),15)</f>
        <v>15</v>
      </c>
      <c r="M50" s="590"/>
      <c r="N50" s="590" t="str">
        <f ca="1">IFERROR(__xludf.DUMMYFUNCTION("""COMPUTED_VALUE"""),"Dị_D&lt;54")</f>
        <v>Dị_D&lt;54</v>
      </c>
      <c r="O50" s="589"/>
      <c r="P50" s="590"/>
    </row>
    <row r="51" spans="1:16" ht="15.75">
      <c r="A51" s="581" t="str">
        <f ca="1">IFERROR(__xludf.DUMMYFUNCTION("""COMPUTED_VALUE"""),"Toàn Phát - Việt Nam")</f>
        <v>Toàn Phát - Việt Nam</v>
      </c>
      <c r="B51" s="581" t="str">
        <f ca="1">IFERROR(__xludf.DUMMYFUNCTION("""COMPUTED_VALUE"""),"ĐTPCUONDI")</f>
        <v>ĐTPCUONDI</v>
      </c>
      <c r="C51" s="581" t="str">
        <f ca="1">IFERROR(__xludf.DUMMYFUNCTION("""COMPUTED_VALUE"""),"DOC0794061")</f>
        <v>DOC0794061</v>
      </c>
      <c r="D51" s="582" t="str">
        <f ca="1">IFERROR(__xludf.DUMMYFUNCTION("""COMPUTED_VALUE"""),"Đồng ống PC 07.94x0.61")</f>
        <v>Đồng ống PC 07.94x0.61</v>
      </c>
      <c r="E51" s="583">
        <f ca="1">IFERROR(__xludf.DUMMYFUNCTION("""COMPUTED_VALUE"""),0.1)</f>
        <v>0.1</v>
      </c>
      <c r="F51" s="584" t="str">
        <f ca="1">IFERROR(__xludf.DUMMYFUNCTION("""COMPUTED_VALUE"""),"Cuộn")</f>
        <v>Cuộn</v>
      </c>
      <c r="G51" s="584" t="str">
        <f ca="1">IFERROR(__xludf.DUMMYFUNCTION("""COMPUTED_VALUE"""),"Cuộn 15m")</f>
        <v>Cuộn 15m</v>
      </c>
      <c r="H51" s="582" t="str">
        <f ca="1">IFERROR(__xludf.DUMMYFUNCTION("""COMPUTED_VALUE"""),"10")</f>
        <v>10</v>
      </c>
      <c r="I51" s="585">
        <f ca="1">IFERROR(__xludf.DUMMYFUNCTION("""COMPUTED_VALUE"""),1.94367411)</f>
        <v>1.9436741099999999</v>
      </c>
      <c r="J51" s="586" t="str">
        <f ca="1">IFERROR(__xludf.DUMMYFUNCTION("""COMPUTED_VALUE""")," 07.94 ")</f>
        <v xml:space="preserve"> 07.94 </v>
      </c>
      <c r="K51" s="584" t="str">
        <f ca="1">IFERROR(__xludf.DUMMYFUNCTION("""COMPUTED_VALUE"""),"0.61")</f>
        <v>0.61</v>
      </c>
      <c r="L51" s="584">
        <f ca="1">IFERROR(__xludf.DUMMYFUNCTION("""COMPUTED_VALUE"""),15)</f>
        <v>15</v>
      </c>
      <c r="M51" s="584"/>
      <c r="N51" s="584" t="str">
        <f ca="1">IFERROR(__xludf.DUMMYFUNCTION("""COMPUTED_VALUE"""),"Dị_D&lt;54")</f>
        <v>Dị_D&lt;54</v>
      </c>
      <c r="O51" s="583">
        <f ca="1">IFERROR(__xludf.DUMMYFUNCTION("""COMPUTED_VALUE"""),1)</f>
        <v>1</v>
      </c>
      <c r="P51" s="584"/>
    </row>
    <row r="52" spans="1:16" ht="15.75">
      <c r="A52" s="587" t="str">
        <f ca="1">IFERROR(__xludf.DUMMYFUNCTION("""COMPUTED_VALUE"""),"Toàn Phát - Việt Nam")</f>
        <v>Toàn Phát - Việt Nam</v>
      </c>
      <c r="B52" s="587" t="str">
        <f ca="1">IFERROR(__xludf.DUMMYFUNCTION("""COMPUTED_VALUE"""),"ĐTPCUONDI")</f>
        <v>ĐTPCUONDI</v>
      </c>
      <c r="C52" s="587" t="str">
        <f ca="1">IFERROR(__xludf.DUMMYFUNCTION("""COMPUTED_VALUE"""),"DOC0794065")</f>
        <v>DOC0794065</v>
      </c>
      <c r="D52" s="588" t="str">
        <f ca="1">IFERROR(__xludf.DUMMYFUNCTION("""COMPUTED_VALUE"""),"Đồng ống PC 07.94x0.65")</f>
        <v>Đồng ống PC 07.94x0.65</v>
      </c>
      <c r="E52" s="589">
        <f ca="1">IFERROR(__xludf.DUMMYFUNCTION("""COMPUTED_VALUE"""),0.1)</f>
        <v>0.1</v>
      </c>
      <c r="F52" s="590" t="str">
        <f ca="1">IFERROR(__xludf.DUMMYFUNCTION("""COMPUTED_VALUE"""),"Cuộn")</f>
        <v>Cuộn</v>
      </c>
      <c r="G52" s="590" t="str">
        <f ca="1">IFERROR(__xludf.DUMMYFUNCTION("""COMPUTED_VALUE"""),"Cuộn 15m")</f>
        <v>Cuộn 15m</v>
      </c>
      <c r="H52" s="588" t="str">
        <f ca="1">IFERROR(__xludf.DUMMYFUNCTION("""COMPUTED_VALUE"""),"10")</f>
        <v>10</v>
      </c>
      <c r="I52" s="591">
        <f ca="1">IFERROR(__xludf.DUMMYFUNCTION("""COMPUTED_VALUE"""),2.05982595)</f>
        <v>2.05982595</v>
      </c>
      <c r="J52" s="592" t="str">
        <f ca="1">IFERROR(__xludf.DUMMYFUNCTION("""COMPUTED_VALUE""")," 07.94 ")</f>
        <v xml:space="preserve"> 07.94 </v>
      </c>
      <c r="K52" s="590" t="str">
        <f ca="1">IFERROR(__xludf.DUMMYFUNCTION("""COMPUTED_VALUE"""),"0.65")</f>
        <v>0.65</v>
      </c>
      <c r="L52" s="590">
        <f ca="1">IFERROR(__xludf.DUMMYFUNCTION("""COMPUTED_VALUE"""),15)</f>
        <v>15</v>
      </c>
      <c r="M52" s="590"/>
      <c r="N52" s="590" t="str">
        <f ca="1">IFERROR(__xludf.DUMMYFUNCTION("""COMPUTED_VALUE"""),"Dị_D&lt;54")</f>
        <v>Dị_D&lt;54</v>
      </c>
      <c r="O52" s="589"/>
      <c r="P52" s="590"/>
    </row>
    <row r="53" spans="1:16" ht="15.75">
      <c r="A53" s="581" t="str">
        <f ca="1">IFERROR(__xludf.DUMMYFUNCTION("""COMPUTED_VALUE"""),"Toàn Phát - Việt Nam")</f>
        <v>Toàn Phát - Việt Nam</v>
      </c>
      <c r="B53" s="581" t="str">
        <f ca="1">IFERROR(__xludf.DUMMYFUNCTION("""COMPUTED_VALUE"""),"ĐTPCUONDI")</f>
        <v>ĐTPCUONDI</v>
      </c>
      <c r="C53" s="581" t="str">
        <f ca="1">IFERROR(__xludf.DUMMYFUNCTION("""COMPUTED_VALUE"""),"DOC0794070")</f>
        <v>DOC0794070</v>
      </c>
      <c r="D53" s="582" t="str">
        <f ca="1">IFERROR(__xludf.DUMMYFUNCTION("""COMPUTED_VALUE"""),"Đồng ống PC 07.94x0.70")</f>
        <v>Đồng ống PC 07.94x0.70</v>
      </c>
      <c r="E53" s="583">
        <f ca="1">IFERROR(__xludf.DUMMYFUNCTION("""COMPUTED_VALUE"""),0.1)</f>
        <v>0.1</v>
      </c>
      <c r="F53" s="584" t="str">
        <f ca="1">IFERROR(__xludf.DUMMYFUNCTION("""COMPUTED_VALUE"""),"Cuộn")</f>
        <v>Cuộn</v>
      </c>
      <c r="G53" s="584" t="str">
        <f ca="1">IFERROR(__xludf.DUMMYFUNCTION("""COMPUTED_VALUE"""),"Cuộn 15m")</f>
        <v>Cuộn 15m</v>
      </c>
      <c r="H53" s="582" t="str">
        <f ca="1">IFERROR(__xludf.DUMMYFUNCTION("""COMPUTED_VALUE"""),"10")</f>
        <v>10</v>
      </c>
      <c r="I53" s="585">
        <f ca="1">IFERROR(__xludf.DUMMYFUNCTION("""COMPUTED_VALUE"""),2.2030596)</f>
        <v>2.2030596</v>
      </c>
      <c r="J53" s="586" t="str">
        <f ca="1">IFERROR(__xludf.DUMMYFUNCTION("""COMPUTED_VALUE""")," 07.94 ")</f>
        <v xml:space="preserve"> 07.94 </v>
      </c>
      <c r="K53" s="584" t="str">
        <f ca="1">IFERROR(__xludf.DUMMYFUNCTION("""COMPUTED_VALUE"""),"0.70")</f>
        <v>0.70</v>
      </c>
      <c r="L53" s="584">
        <f ca="1">IFERROR(__xludf.DUMMYFUNCTION("""COMPUTED_VALUE"""),15)</f>
        <v>15</v>
      </c>
      <c r="M53" s="584"/>
      <c r="N53" s="584" t="str">
        <f ca="1">IFERROR(__xludf.DUMMYFUNCTION("""COMPUTED_VALUE"""),"Dị_D&lt;54")</f>
        <v>Dị_D&lt;54</v>
      </c>
      <c r="O53" s="583"/>
      <c r="P53" s="584"/>
    </row>
    <row r="54" spans="1:16" ht="15.75">
      <c r="A54" s="587" t="str">
        <f ca="1">IFERROR(__xludf.DUMMYFUNCTION("""COMPUTED_VALUE"""),"Toàn Phát - Việt Nam")</f>
        <v>Toàn Phát - Việt Nam</v>
      </c>
      <c r="B54" s="587" t="str">
        <f ca="1">IFERROR(__xludf.DUMMYFUNCTION("""COMPUTED_VALUE"""),"ĐTPCUONDI")</f>
        <v>ĐTPCUONDI</v>
      </c>
      <c r="C54" s="587" t="str">
        <f ca="1">IFERROR(__xludf.DUMMYFUNCTION("""COMPUTED_VALUE"""),"DOC0794071")</f>
        <v>DOC0794071</v>
      </c>
      <c r="D54" s="588" t="str">
        <f ca="1">IFERROR(__xludf.DUMMYFUNCTION("""COMPUTED_VALUE"""),"Đồng ống PC 07.94x0.71")</f>
        <v>Đồng ống PC 07.94x0.71</v>
      </c>
      <c r="E54" s="589">
        <f ca="1">IFERROR(__xludf.DUMMYFUNCTION("""COMPUTED_VALUE"""),0.1)</f>
        <v>0.1</v>
      </c>
      <c r="F54" s="590" t="str">
        <f ca="1">IFERROR(__xludf.DUMMYFUNCTION("""COMPUTED_VALUE"""),"Cuộn")</f>
        <v>Cuộn</v>
      </c>
      <c r="G54" s="590" t="str">
        <f ca="1">IFERROR(__xludf.DUMMYFUNCTION("""COMPUTED_VALUE"""),"Cuộn 15m")</f>
        <v>Cuộn 15m</v>
      </c>
      <c r="H54" s="588" t="str">
        <f ca="1">IFERROR(__xludf.DUMMYFUNCTION("""COMPUTED_VALUE"""),"10")</f>
        <v>10</v>
      </c>
      <c r="I54" s="591">
        <f ca="1">IFERROR(__xludf.DUMMYFUNCTION("""COMPUTED_VALUE"""),2.23144551)</f>
        <v>2.2314455099999999</v>
      </c>
      <c r="J54" s="592" t="str">
        <f ca="1">IFERROR(__xludf.DUMMYFUNCTION("""COMPUTED_VALUE""")," 07.94 ")</f>
        <v xml:space="preserve"> 07.94 </v>
      </c>
      <c r="K54" s="590" t="str">
        <f ca="1">IFERROR(__xludf.DUMMYFUNCTION("""COMPUTED_VALUE"""),"0.71")</f>
        <v>0.71</v>
      </c>
      <c r="L54" s="590">
        <f ca="1">IFERROR(__xludf.DUMMYFUNCTION("""COMPUTED_VALUE"""),15)</f>
        <v>15</v>
      </c>
      <c r="M54" s="590"/>
      <c r="N54" s="590" t="str">
        <f ca="1">IFERROR(__xludf.DUMMYFUNCTION("""COMPUTED_VALUE"""),"Dị_D&lt;54")</f>
        <v>Dị_D&lt;54</v>
      </c>
      <c r="O54" s="589"/>
      <c r="P54" s="590"/>
    </row>
    <row r="55" spans="1:16" ht="15.75">
      <c r="A55" s="581" t="str">
        <f ca="1">IFERROR(__xludf.DUMMYFUNCTION("""COMPUTED_VALUE"""),"Toàn Phát - Việt Nam")</f>
        <v>Toàn Phát - Việt Nam</v>
      </c>
      <c r="B55" s="581" t="str">
        <f ca="1">IFERROR(__xludf.DUMMYFUNCTION("""COMPUTED_VALUE"""),"ĐTPCUONDI")</f>
        <v>ĐTPCUONDI</v>
      </c>
      <c r="C55" s="581" t="str">
        <f ca="1">IFERROR(__xludf.DUMMYFUNCTION("""COMPUTED_VALUE"""),"DOC0794080")</f>
        <v>DOC0794080</v>
      </c>
      <c r="D55" s="582" t="str">
        <f ca="1">IFERROR(__xludf.DUMMYFUNCTION("""COMPUTED_VALUE"""),"Đồng ống PC 07.94x0.80")</f>
        <v>Đồng ống PC 07.94x0.80</v>
      </c>
      <c r="E55" s="583">
        <f ca="1">IFERROR(__xludf.DUMMYFUNCTION("""COMPUTED_VALUE"""),0.1)</f>
        <v>0.1</v>
      </c>
      <c r="F55" s="584" t="str">
        <f ca="1">IFERROR(__xludf.DUMMYFUNCTION("""COMPUTED_VALUE"""),"Cuộn")</f>
        <v>Cuộn</v>
      </c>
      <c r="G55" s="584" t="str">
        <f ca="1">IFERROR(__xludf.DUMMYFUNCTION("""COMPUTED_VALUE"""),"Cuộn 15m")</f>
        <v>Cuộn 15m</v>
      </c>
      <c r="H55" s="582" t="str">
        <f ca="1">IFERROR(__xludf.DUMMYFUNCTION("""COMPUTED_VALUE"""),"10")</f>
        <v>10</v>
      </c>
      <c r="I55" s="585">
        <f ca="1">IFERROR(__xludf.DUMMYFUNCTION("""COMPUTED_VALUE"""),2.4830064)</f>
        <v>2.4830063999999998</v>
      </c>
      <c r="J55" s="586" t="str">
        <f ca="1">IFERROR(__xludf.DUMMYFUNCTION("""COMPUTED_VALUE""")," 07.94 ")</f>
        <v xml:space="preserve"> 07.94 </v>
      </c>
      <c r="K55" s="584" t="str">
        <f ca="1">IFERROR(__xludf.DUMMYFUNCTION("""COMPUTED_VALUE"""),"0.80")</f>
        <v>0.80</v>
      </c>
      <c r="L55" s="584">
        <f ca="1">IFERROR(__xludf.DUMMYFUNCTION("""COMPUTED_VALUE"""),15)</f>
        <v>15</v>
      </c>
      <c r="M55" s="584"/>
      <c r="N55" s="584" t="str">
        <f ca="1">IFERROR(__xludf.DUMMYFUNCTION("""COMPUTED_VALUE"""),"Dị_D&lt;54")</f>
        <v>Dị_D&lt;54</v>
      </c>
      <c r="O55" s="583"/>
      <c r="P55" s="584"/>
    </row>
    <row r="56" spans="1:16" ht="15.75">
      <c r="A56" s="587" t="str">
        <f ca="1">IFERROR(__xludf.DUMMYFUNCTION("""COMPUTED_VALUE"""),"Toàn Phát - Việt Nam")</f>
        <v>Toàn Phát - Việt Nam</v>
      </c>
      <c r="B56" s="587" t="str">
        <f ca="1">IFERROR(__xludf.DUMMYFUNCTION("""COMPUTED_VALUE"""),"ĐTPCUONDI")</f>
        <v>ĐTPCUONDI</v>
      </c>
      <c r="C56" s="587" t="str">
        <f ca="1">IFERROR(__xludf.DUMMYFUNCTION("""COMPUTED_VALUE"""),"DOC0794095")</f>
        <v>DOC0794095</v>
      </c>
      <c r="D56" s="588" t="str">
        <f ca="1">IFERROR(__xludf.DUMMYFUNCTION("""COMPUTED_VALUE"""),"Đồng ống PC 07.94x0.95")</f>
        <v>Đồng ống PC 07.94x0.95</v>
      </c>
      <c r="E56" s="589">
        <f ca="1">IFERROR(__xludf.DUMMYFUNCTION("""COMPUTED_VALUE"""),0.1)</f>
        <v>0.1</v>
      </c>
      <c r="F56" s="590" t="str">
        <f ca="1">IFERROR(__xludf.DUMMYFUNCTION("""COMPUTED_VALUE"""),"Cuộn")</f>
        <v>Cuộn</v>
      </c>
      <c r="G56" s="590" t="str">
        <f ca="1">IFERROR(__xludf.DUMMYFUNCTION("""COMPUTED_VALUE"""),"Cuộn 15m")</f>
        <v>Cuộn 15m</v>
      </c>
      <c r="H56" s="588" t="str">
        <f ca="1">IFERROR(__xludf.DUMMYFUNCTION("""COMPUTED_VALUE"""),"10")</f>
        <v>10</v>
      </c>
      <c r="I56" s="591">
        <f ca="1">IFERROR(__xludf.DUMMYFUNCTION("""COMPUTED_VALUE"""),2.88662535)</f>
        <v>2.8866253500000001</v>
      </c>
      <c r="J56" s="592" t="str">
        <f ca="1">IFERROR(__xludf.DUMMYFUNCTION("""COMPUTED_VALUE""")," 07.94 ")</f>
        <v xml:space="preserve"> 07.94 </v>
      </c>
      <c r="K56" s="590" t="str">
        <f ca="1">IFERROR(__xludf.DUMMYFUNCTION("""COMPUTED_VALUE"""),"0.95")</f>
        <v>0.95</v>
      </c>
      <c r="L56" s="590">
        <f ca="1">IFERROR(__xludf.DUMMYFUNCTION("""COMPUTED_VALUE"""),15)</f>
        <v>15</v>
      </c>
      <c r="M56" s="590"/>
      <c r="N56" s="590" t="str">
        <f ca="1">IFERROR(__xludf.DUMMYFUNCTION("""COMPUTED_VALUE"""),"Dị_D&lt;54")</f>
        <v>Dị_D&lt;54</v>
      </c>
      <c r="O56" s="589"/>
      <c r="P56" s="590"/>
    </row>
    <row r="57" spans="1:16" ht="15.75">
      <c r="A57" s="581" t="str">
        <f ca="1">IFERROR(__xludf.DUMMYFUNCTION("""COMPUTED_VALUE"""),"Toàn Phát - Việt Nam")</f>
        <v>Toàn Phát - Việt Nam</v>
      </c>
      <c r="B57" s="581" t="str">
        <f ca="1">IFERROR(__xludf.DUMMYFUNCTION("""COMPUTED_VALUE"""),"ĐTPCUONDI")</f>
        <v>ĐTPCUONDI</v>
      </c>
      <c r="C57" s="581" t="str">
        <f ca="1">IFERROR(__xludf.DUMMYFUNCTION("""COMPUTED_VALUE"""),"DOC0794100")</f>
        <v>DOC0794100</v>
      </c>
      <c r="D57" s="582" t="str">
        <f ca="1">IFERROR(__xludf.DUMMYFUNCTION("""COMPUTED_VALUE"""),"Đồng ống PC 07.94x1.00")</f>
        <v>Đồng ống PC 07.94x1.00</v>
      </c>
      <c r="E57" s="583">
        <f ca="1">IFERROR(__xludf.DUMMYFUNCTION("""COMPUTED_VALUE"""),0.1)</f>
        <v>0.1</v>
      </c>
      <c r="F57" s="584" t="str">
        <f ca="1">IFERROR(__xludf.DUMMYFUNCTION("""COMPUTED_VALUE"""),"Cuộn")</f>
        <v>Cuộn</v>
      </c>
      <c r="G57" s="584" t="str">
        <f ca="1">IFERROR(__xludf.DUMMYFUNCTION("""COMPUTED_VALUE"""),"Cuộn 15m")</f>
        <v>Cuộn 15m</v>
      </c>
      <c r="H57" s="582" t="str">
        <f ca="1">IFERROR(__xludf.DUMMYFUNCTION("""COMPUTED_VALUE"""),"10")</f>
        <v>10</v>
      </c>
      <c r="I57" s="585">
        <f ca="1">IFERROR(__xludf.DUMMYFUNCTION("""COMPUTED_VALUE"""),3.016818)</f>
        <v>3.0168180000000002</v>
      </c>
      <c r="J57" s="586" t="str">
        <f ca="1">IFERROR(__xludf.DUMMYFUNCTION("""COMPUTED_VALUE""")," 07.94 ")</f>
        <v xml:space="preserve"> 07.94 </v>
      </c>
      <c r="K57" s="584" t="str">
        <f ca="1">IFERROR(__xludf.DUMMYFUNCTION("""COMPUTED_VALUE"""),"1.00")</f>
        <v>1.00</v>
      </c>
      <c r="L57" s="584">
        <f ca="1">IFERROR(__xludf.DUMMYFUNCTION("""COMPUTED_VALUE"""),15)</f>
        <v>15</v>
      </c>
      <c r="M57" s="584"/>
      <c r="N57" s="584" t="str">
        <f ca="1">IFERROR(__xludf.DUMMYFUNCTION("""COMPUTED_VALUE"""),"Dị_D&lt;54")</f>
        <v>Dị_D&lt;54</v>
      </c>
      <c r="O57" s="583"/>
      <c r="P57" s="584"/>
    </row>
    <row r="58" spans="1:16" ht="15.75">
      <c r="A58" s="587" t="str">
        <f ca="1">IFERROR(__xludf.DUMMYFUNCTION("""COMPUTED_VALUE"""),"Toàn Phát - Việt Nam")</f>
        <v>Toàn Phát - Việt Nam</v>
      </c>
      <c r="B58" s="587" t="str">
        <f ca="1">IFERROR(__xludf.DUMMYFUNCTION("""COMPUTED_VALUE"""),"ĐTPCUONDI")</f>
        <v>ĐTPCUONDI</v>
      </c>
      <c r="C58" s="587" t="str">
        <f ca="1">IFERROR(__xludf.DUMMYFUNCTION("""COMPUTED_VALUE"""),"DOC07940120")</f>
        <v>DOC07940120</v>
      </c>
      <c r="D58" s="588" t="str">
        <f ca="1">IFERROR(__xludf.DUMMYFUNCTION("""COMPUTED_VALUE"""),"Đồng ống PC 07.94x120")</f>
        <v>Đồng ống PC 07.94x120</v>
      </c>
      <c r="E58" s="589">
        <f ca="1">IFERROR(__xludf.DUMMYFUNCTION("""COMPUTED_VALUE"""),0.1)</f>
        <v>0.1</v>
      </c>
      <c r="F58" s="590" t="str">
        <f ca="1">IFERROR(__xludf.DUMMYFUNCTION("""COMPUTED_VALUE"""),"Cuộn")</f>
        <v>Cuộn</v>
      </c>
      <c r="G58" s="590" t="str">
        <f ca="1">IFERROR(__xludf.DUMMYFUNCTION("""COMPUTED_VALUE"""),"Cuộn 15m")</f>
        <v>Cuộn 15m</v>
      </c>
      <c r="H58" s="588" t="str">
        <f ca="1">IFERROR(__xludf.DUMMYFUNCTION("""COMPUTED_VALUE"""),"10")</f>
        <v>10</v>
      </c>
      <c r="I58" s="591">
        <f ca="1">IFERROR(__xludf.DUMMYFUNCTION("""COMPUTED_VALUE"""),3.51585359999999)</f>
        <v>3.51585359999999</v>
      </c>
      <c r="J58" s="592" t="str">
        <f ca="1">IFERROR(__xludf.DUMMYFUNCTION("""COMPUTED_VALUE""")," 07.94 ")</f>
        <v xml:space="preserve"> 07.94 </v>
      </c>
      <c r="K58" s="590" t="str">
        <f ca="1">IFERROR(__xludf.DUMMYFUNCTION("""COMPUTED_VALUE"""),"1.20")</f>
        <v>1.20</v>
      </c>
      <c r="L58" s="590">
        <f ca="1">IFERROR(__xludf.DUMMYFUNCTION("""COMPUTED_VALUE"""),15)</f>
        <v>15</v>
      </c>
      <c r="M58" s="590"/>
      <c r="N58" s="590" t="str">
        <f ca="1">IFERROR(__xludf.DUMMYFUNCTION("""COMPUTED_VALUE"""),"Dị_D&lt;54")</f>
        <v>Dị_D&lt;54</v>
      </c>
      <c r="O58" s="589"/>
      <c r="P58" s="590"/>
    </row>
    <row r="59" spans="1:16" ht="15.75">
      <c r="A59" s="581" t="str">
        <f ca="1">IFERROR(__xludf.DUMMYFUNCTION("""COMPUTED_VALUE"""),"Toàn Phát - Việt Nam")</f>
        <v>Toàn Phát - Việt Nam</v>
      </c>
      <c r="B59" s="581" t="str">
        <f ca="1">IFERROR(__xludf.DUMMYFUNCTION("""COMPUTED_VALUE"""),"ĐTPCUONDI")</f>
        <v>ĐTPCUONDI</v>
      </c>
      <c r="C59" s="581" t="str">
        <f ca="1">IFERROR(__xludf.DUMMYFUNCTION("""COMPUTED_VALUE"""),"DOC0794120")</f>
        <v>DOC0794120</v>
      </c>
      <c r="D59" s="582" t="str">
        <f ca="1">IFERROR(__xludf.DUMMYFUNCTION("""COMPUTED_VALUE"""),"Đồng ống PC 07.94x1.20")</f>
        <v>Đồng ống PC 07.94x1.20</v>
      </c>
      <c r="E59" s="583">
        <f ca="1">IFERROR(__xludf.DUMMYFUNCTION("""COMPUTED_VALUE"""),0.1)</f>
        <v>0.1</v>
      </c>
      <c r="F59" s="584" t="str">
        <f ca="1">IFERROR(__xludf.DUMMYFUNCTION("""COMPUTED_VALUE"""),"Cuộn")</f>
        <v>Cuộn</v>
      </c>
      <c r="G59" s="584" t="str">
        <f ca="1">IFERROR(__xludf.DUMMYFUNCTION("""COMPUTED_VALUE"""),"Cuộn 15m")</f>
        <v>Cuộn 15m</v>
      </c>
      <c r="H59" s="582" t="str">
        <f ca="1">IFERROR(__xludf.DUMMYFUNCTION("""COMPUTED_VALUE"""),"10")</f>
        <v>10</v>
      </c>
      <c r="I59" s="585">
        <f ca="1">IFERROR(__xludf.DUMMYFUNCTION("""COMPUTED_VALUE"""),3.51585359999999)</f>
        <v>3.51585359999999</v>
      </c>
      <c r="J59" s="586" t="str">
        <f ca="1">IFERROR(__xludf.DUMMYFUNCTION("""COMPUTED_VALUE""")," 07.94 ")</f>
        <v xml:space="preserve"> 07.94 </v>
      </c>
      <c r="K59" s="584" t="str">
        <f ca="1">IFERROR(__xludf.DUMMYFUNCTION("""COMPUTED_VALUE"""),"1.20")</f>
        <v>1.20</v>
      </c>
      <c r="L59" s="584">
        <f ca="1">IFERROR(__xludf.DUMMYFUNCTION("""COMPUTED_VALUE"""),15)</f>
        <v>15</v>
      </c>
      <c r="M59" s="584"/>
      <c r="N59" s="584" t="str">
        <f ca="1">IFERROR(__xludf.DUMMYFUNCTION("""COMPUTED_VALUE"""),"Dị_D&lt;54")</f>
        <v>Dị_D&lt;54</v>
      </c>
      <c r="O59" s="583"/>
      <c r="P59" s="584"/>
    </row>
    <row r="60" spans="1:16" ht="15.75">
      <c r="A60" s="587" t="str">
        <f ca="1">IFERROR(__xludf.DUMMYFUNCTION("""COMPUTED_VALUE"""),"Toàn Phát - Việt Nam")</f>
        <v>Toàn Phát - Việt Nam</v>
      </c>
      <c r="B60" s="587" t="str">
        <f ca="1">IFERROR(__xludf.DUMMYFUNCTION("""COMPUTED_VALUE"""),"ĐTPCUONDI")</f>
        <v>ĐTPCUONDI</v>
      </c>
      <c r="C60" s="587" t="str">
        <f ca="1">IFERROR(__xludf.DUMMYFUNCTION("""COMPUTED_VALUE"""),"DOC0800081")</f>
        <v>DOC0800081</v>
      </c>
      <c r="D60" s="588" t="str">
        <f ca="1">IFERROR(__xludf.DUMMYFUNCTION("""COMPUTED_VALUE"""),"Đồng ống PC 08.00x0.81")</f>
        <v>Đồng ống PC 08.00x0.81</v>
      </c>
      <c r="E60" s="589">
        <f ca="1">IFERROR(__xludf.DUMMYFUNCTION("""COMPUTED_VALUE"""),0.1)</f>
        <v>0.1</v>
      </c>
      <c r="F60" s="590" t="str">
        <f ca="1">IFERROR(__xludf.DUMMYFUNCTION("""COMPUTED_VALUE"""),"Cuộn")</f>
        <v>Cuộn</v>
      </c>
      <c r="G60" s="590" t="str">
        <f ca="1">IFERROR(__xludf.DUMMYFUNCTION("""COMPUTED_VALUE"""),"Cuộn 15m")</f>
        <v>Cuộn 15m</v>
      </c>
      <c r="H60" s="588"/>
      <c r="I60" s="591">
        <f ca="1">IFERROR(__xludf.DUMMYFUNCTION("""COMPUTED_VALUE"""),2.53164933)</f>
        <v>2.53164933</v>
      </c>
      <c r="J60" s="592" t="str">
        <f ca="1">IFERROR(__xludf.DUMMYFUNCTION("""COMPUTED_VALUE""")," 08.00 ")</f>
        <v xml:space="preserve"> 08.00 </v>
      </c>
      <c r="K60" s="590" t="str">
        <f ca="1">IFERROR(__xludf.DUMMYFUNCTION("""COMPUTED_VALUE"""),"0.81")</f>
        <v>0.81</v>
      </c>
      <c r="L60" s="590">
        <f ca="1">IFERROR(__xludf.DUMMYFUNCTION("""COMPUTED_VALUE"""),15)</f>
        <v>15</v>
      </c>
      <c r="M60" s="590"/>
      <c r="N60" s="590" t="str">
        <f ca="1">IFERROR(__xludf.DUMMYFUNCTION("""COMPUTED_VALUE"""),"Dị_D&lt;54")</f>
        <v>Dị_D&lt;54</v>
      </c>
      <c r="O60" s="589"/>
      <c r="P60" s="590"/>
    </row>
    <row r="61" spans="1:16" ht="15.75">
      <c r="A61" s="581" t="str">
        <f ca="1">IFERROR(__xludf.DUMMYFUNCTION("""COMPUTED_VALUE"""),"Toàn Phát - Việt Nam")</f>
        <v>Toàn Phát - Việt Nam</v>
      </c>
      <c r="B61" s="581" t="str">
        <f ca="1">IFERROR(__xludf.DUMMYFUNCTION("""COMPUTED_VALUE"""),"ĐTPCUONDI")</f>
        <v>ĐTPCUONDI</v>
      </c>
      <c r="C61" s="581" t="str">
        <f ca="1">IFERROR(__xludf.DUMMYFUNCTION("""COMPUTED_VALUE"""),"DOC0800100")</f>
        <v>DOC0800100</v>
      </c>
      <c r="D61" s="582" t="str">
        <f ca="1">IFERROR(__xludf.DUMMYFUNCTION("""COMPUTED_VALUE"""),"Đồng ống PC 08.00x1.00")</f>
        <v>Đồng ống PC 08.00x1.00</v>
      </c>
      <c r="E61" s="583">
        <f ca="1">IFERROR(__xludf.DUMMYFUNCTION("""COMPUTED_VALUE"""),0.1)</f>
        <v>0.1</v>
      </c>
      <c r="F61" s="584" t="str">
        <f ca="1">IFERROR(__xludf.DUMMYFUNCTION("""COMPUTED_VALUE"""),"Cuộn")</f>
        <v>Cuộn</v>
      </c>
      <c r="G61" s="584" t="str">
        <f ca="1">IFERROR(__xludf.DUMMYFUNCTION("""COMPUTED_VALUE"""),"Cuộn 15m")</f>
        <v>Cuộn 15m</v>
      </c>
      <c r="H61" s="582"/>
      <c r="I61" s="585">
        <f ca="1">IFERROR(__xludf.DUMMYFUNCTION("""COMPUTED_VALUE"""),3.04289999999999)</f>
        <v>3.0428999999999902</v>
      </c>
      <c r="J61" s="586" t="str">
        <f ca="1">IFERROR(__xludf.DUMMYFUNCTION("""COMPUTED_VALUE""")," 08.00 ")</f>
        <v xml:space="preserve"> 08.00 </v>
      </c>
      <c r="K61" s="584" t="str">
        <f ca="1">IFERROR(__xludf.DUMMYFUNCTION("""COMPUTED_VALUE"""),"1.00")</f>
        <v>1.00</v>
      </c>
      <c r="L61" s="584">
        <f ca="1">IFERROR(__xludf.DUMMYFUNCTION("""COMPUTED_VALUE"""),15)</f>
        <v>15</v>
      </c>
      <c r="M61" s="584"/>
      <c r="N61" s="584" t="str">
        <f ca="1">IFERROR(__xludf.DUMMYFUNCTION("""COMPUTED_VALUE"""),"Dị_D&lt;54")</f>
        <v>Dị_D&lt;54</v>
      </c>
      <c r="O61" s="583"/>
      <c r="P61" s="584"/>
    </row>
    <row r="62" spans="1:16" ht="15.75">
      <c r="A62" s="587" t="str">
        <f ca="1">IFERROR(__xludf.DUMMYFUNCTION("""COMPUTED_VALUE"""),"Toàn Phát - Việt Nam")</f>
        <v>Toàn Phát - Việt Nam</v>
      </c>
      <c r="B62" s="587" t="str">
        <f ca="1">IFERROR(__xludf.DUMMYFUNCTION("""COMPUTED_VALUE"""),"ĐTPCUONDI")</f>
        <v>ĐTPCUONDI</v>
      </c>
      <c r="C62" s="587" t="str">
        <f ca="1">IFERROR(__xludf.DUMMYFUNCTION("""COMPUTED_VALUE"""),"DOC0900090")</f>
        <v>DOC0900090</v>
      </c>
      <c r="D62" s="588" t="str">
        <f ca="1">IFERROR(__xludf.DUMMYFUNCTION("""COMPUTED_VALUE"""),"Đồng ống PC 09.00x0.90")</f>
        <v>Đồng ống PC 09.00x0.90</v>
      </c>
      <c r="E62" s="589">
        <f ca="1">IFERROR(__xludf.DUMMYFUNCTION("""COMPUTED_VALUE"""),0.1)</f>
        <v>0.1</v>
      </c>
      <c r="F62" s="590" t="str">
        <f ca="1">IFERROR(__xludf.DUMMYFUNCTION("""COMPUTED_VALUE"""),"Cuộn")</f>
        <v>Cuộn</v>
      </c>
      <c r="G62" s="590" t="str">
        <f ca="1">IFERROR(__xludf.DUMMYFUNCTION("""COMPUTED_VALUE"""),"Cuộn 15m")</f>
        <v>Cuộn 15m</v>
      </c>
      <c r="H62" s="588"/>
      <c r="I62" s="591">
        <f ca="1">IFERROR(__xludf.DUMMYFUNCTION("""COMPUTED_VALUE"""),3.16896299999999)</f>
        <v>3.16896299999999</v>
      </c>
      <c r="J62" s="592" t="str">
        <f ca="1">IFERROR(__xludf.DUMMYFUNCTION("""COMPUTED_VALUE""")," 09.00 ")</f>
        <v xml:space="preserve"> 09.00 </v>
      </c>
      <c r="K62" s="590" t="str">
        <f ca="1">IFERROR(__xludf.DUMMYFUNCTION("""COMPUTED_VALUE"""),"0.90")</f>
        <v>0.90</v>
      </c>
      <c r="L62" s="590">
        <f ca="1">IFERROR(__xludf.DUMMYFUNCTION("""COMPUTED_VALUE"""),15)</f>
        <v>15</v>
      </c>
      <c r="M62" s="590"/>
      <c r="N62" s="590" t="str">
        <f ca="1">IFERROR(__xludf.DUMMYFUNCTION("""COMPUTED_VALUE"""),"Dị_D&lt;54")</f>
        <v>Dị_D&lt;54</v>
      </c>
      <c r="O62" s="589"/>
      <c r="P62" s="590"/>
    </row>
    <row r="63" spans="1:16" ht="15.75">
      <c r="A63" s="581" t="str">
        <f ca="1">IFERROR(__xludf.DUMMYFUNCTION("""COMPUTED_VALUE"""),"Toàn Phát - Việt Nam")</f>
        <v>Toàn Phát - Việt Nam</v>
      </c>
      <c r="B63" s="581" t="str">
        <f ca="1">IFERROR(__xludf.DUMMYFUNCTION("""COMPUTED_VALUE"""),"ĐTPCUONDI")</f>
        <v>ĐTPCUONDI</v>
      </c>
      <c r="C63" s="581" t="str">
        <f ca="1">IFERROR(__xludf.DUMMYFUNCTION("""COMPUTED_VALUE"""),"DOC0952089")</f>
        <v>DOC0952089</v>
      </c>
      <c r="D63" s="582" t="str">
        <f ca="1">IFERROR(__xludf.DUMMYFUNCTION("""COMPUTED_VALUE"""),"Đồng ống PC 09.52x0.89")</f>
        <v>Đồng ống PC 09.52x0.89</v>
      </c>
      <c r="E63" s="583">
        <f ca="1">IFERROR(__xludf.DUMMYFUNCTION("""COMPUTED_VALUE"""),0.1)</f>
        <v>0.1</v>
      </c>
      <c r="F63" s="584" t="str">
        <f ca="1">IFERROR(__xludf.DUMMYFUNCTION("""COMPUTED_VALUE"""),"Cuộn")</f>
        <v>Cuộn</v>
      </c>
      <c r="G63" s="584" t="str">
        <f ca="1">IFERROR(__xludf.DUMMYFUNCTION("""COMPUTED_VALUE"""),"Cuộn 15m")</f>
        <v>Cuộn 15m</v>
      </c>
      <c r="H63" s="582" t="str">
        <f ca="1">IFERROR(__xludf.DUMMYFUNCTION("""COMPUTED_VALUE"""),"9")</f>
        <v>9</v>
      </c>
      <c r="I63" s="585">
        <f ca="1">IFERROR(__xludf.DUMMYFUNCTION("""COMPUTED_VALUE"""),3.33880028999999)</f>
        <v>3.3388002899999898</v>
      </c>
      <c r="J63" s="586" t="str">
        <f ca="1">IFERROR(__xludf.DUMMYFUNCTION("""COMPUTED_VALUE""")," 09.52 ")</f>
        <v xml:space="preserve"> 09.52 </v>
      </c>
      <c r="K63" s="584" t="str">
        <f ca="1">IFERROR(__xludf.DUMMYFUNCTION("""COMPUTED_VALUE"""),"0.89")</f>
        <v>0.89</v>
      </c>
      <c r="L63" s="584">
        <f ca="1">IFERROR(__xludf.DUMMYFUNCTION("""COMPUTED_VALUE"""),15)</f>
        <v>15</v>
      </c>
      <c r="M63" s="584"/>
      <c r="N63" s="584" t="str">
        <f ca="1">IFERROR(__xludf.DUMMYFUNCTION("""COMPUTED_VALUE"""),"Dị_D&lt;54")</f>
        <v>Dị_D&lt;54</v>
      </c>
      <c r="O63" s="583"/>
      <c r="P63" s="584"/>
    </row>
    <row r="64" spans="1:16" ht="15.75">
      <c r="A64" s="587" t="str">
        <f ca="1">IFERROR(__xludf.DUMMYFUNCTION("""COMPUTED_VALUE"""),"Toàn Phát - Việt Nam")</f>
        <v>Toàn Phát - Việt Nam</v>
      </c>
      <c r="B64" s="587" t="str">
        <f ca="1">IFERROR(__xludf.DUMMYFUNCTION("""COMPUTED_VALUE"""),"ĐTPCUONDI")</f>
        <v>ĐTPCUONDI</v>
      </c>
      <c r="C64" s="587" t="str">
        <f ca="1">IFERROR(__xludf.DUMMYFUNCTION("""COMPUTED_VALUE"""),"DOC0952050")</f>
        <v>DOC0952050</v>
      </c>
      <c r="D64" s="588" t="str">
        <f ca="1">IFERROR(__xludf.DUMMYFUNCTION("""COMPUTED_VALUE"""),"Đồng ống PC 09.52x0.50")</f>
        <v>Đồng ống PC 09.52x0.50</v>
      </c>
      <c r="E64" s="589">
        <f ca="1">IFERROR(__xludf.DUMMYFUNCTION("""COMPUTED_VALUE"""),0.1)</f>
        <v>0.1</v>
      </c>
      <c r="F64" s="590" t="str">
        <f ca="1">IFERROR(__xludf.DUMMYFUNCTION("""COMPUTED_VALUE"""),"Cuộn")</f>
        <v>Cuộn</v>
      </c>
      <c r="G64" s="590" t="str">
        <f ca="1">IFERROR(__xludf.DUMMYFUNCTION("""COMPUTED_VALUE"""),"Cuộn 15m")</f>
        <v>Cuộn 15m</v>
      </c>
      <c r="H64" s="588" t="str">
        <f ca="1">IFERROR(__xludf.DUMMYFUNCTION("""COMPUTED_VALUE"""),"9")</f>
        <v>9</v>
      </c>
      <c r="I64" s="591">
        <f ca="1">IFERROR(__xludf.DUMMYFUNCTION("""COMPUTED_VALUE"""),1.960497)</f>
        <v>1.9604969999999999</v>
      </c>
      <c r="J64" s="592" t="str">
        <f ca="1">IFERROR(__xludf.DUMMYFUNCTION("""COMPUTED_VALUE""")," 09.52 ")</f>
        <v xml:space="preserve"> 09.52 </v>
      </c>
      <c r="K64" s="590" t="str">
        <f ca="1">IFERROR(__xludf.DUMMYFUNCTION("""COMPUTED_VALUE"""),"0.50")</f>
        <v>0.50</v>
      </c>
      <c r="L64" s="590">
        <f ca="1">IFERROR(__xludf.DUMMYFUNCTION("""COMPUTED_VALUE"""),15)</f>
        <v>15</v>
      </c>
      <c r="M64" s="590"/>
      <c r="N64" s="590" t="str">
        <f ca="1">IFERROR(__xludf.DUMMYFUNCTION("""COMPUTED_VALUE"""),"Dị_D&lt;54")</f>
        <v>Dị_D&lt;54</v>
      </c>
      <c r="O64" s="589"/>
      <c r="P64" s="590"/>
    </row>
    <row r="65" spans="1:17" ht="15.75">
      <c r="A65" s="581" t="str">
        <f ca="1">IFERROR(__xludf.DUMMYFUNCTION("""COMPUTED_VALUE"""),"Toàn Phát - Việt Nam")</f>
        <v>Toàn Phát - Việt Nam</v>
      </c>
      <c r="B65" s="581" t="str">
        <f ca="1">IFERROR(__xludf.DUMMYFUNCTION("""COMPUTED_VALUE"""),"ĐTPCUONDI")</f>
        <v>ĐTPCUONDI</v>
      </c>
      <c r="C65" s="581" t="str">
        <f ca="1">IFERROR(__xludf.DUMMYFUNCTION("""COMPUTED_VALUE"""),"DOC0952051")</f>
        <v>DOC0952051</v>
      </c>
      <c r="D65" s="582" t="str">
        <f ca="1">IFERROR(__xludf.DUMMYFUNCTION("""COMPUTED_VALUE"""),"Đồng ống PC 09.52x0.51")</f>
        <v>Đồng ống PC 09.52x0.51</v>
      </c>
      <c r="E65" s="583">
        <f ca="1">IFERROR(__xludf.DUMMYFUNCTION("""COMPUTED_VALUE"""),0.1)</f>
        <v>0.1</v>
      </c>
      <c r="F65" s="584" t="str">
        <f ca="1">IFERROR(__xludf.DUMMYFUNCTION("""COMPUTED_VALUE"""),"Cuộn")</f>
        <v>Cuộn</v>
      </c>
      <c r="G65" s="584" t="str">
        <f ca="1">IFERROR(__xludf.DUMMYFUNCTION("""COMPUTED_VALUE"""),"Cuộn 15m")</f>
        <v>Cuộn 15m</v>
      </c>
      <c r="H65" s="582" t="str">
        <f ca="1">IFERROR(__xludf.DUMMYFUNCTION("""COMPUTED_VALUE"""),"9")</f>
        <v>9</v>
      </c>
      <c r="I65" s="585">
        <f ca="1">IFERROR(__xludf.DUMMYFUNCTION("""COMPUTED_VALUE"""),1.99748997)</f>
        <v>1.9974899699999999</v>
      </c>
      <c r="J65" s="586" t="str">
        <f ca="1">IFERROR(__xludf.DUMMYFUNCTION("""COMPUTED_VALUE""")," 09.52 ")</f>
        <v xml:space="preserve"> 09.52 </v>
      </c>
      <c r="K65" s="584" t="str">
        <f ca="1">IFERROR(__xludf.DUMMYFUNCTION("""COMPUTED_VALUE"""),"0.51")</f>
        <v>0.51</v>
      </c>
      <c r="L65" s="584">
        <f ca="1">IFERROR(__xludf.DUMMYFUNCTION("""COMPUTED_VALUE"""),15)</f>
        <v>15</v>
      </c>
      <c r="M65" s="584"/>
      <c r="N65" s="584" t="str">
        <f ca="1">IFERROR(__xludf.DUMMYFUNCTION("""COMPUTED_VALUE"""),"Dị_D&lt;54")</f>
        <v>Dị_D&lt;54</v>
      </c>
      <c r="O65" s="583"/>
      <c r="P65" s="584"/>
    </row>
    <row r="66" spans="1:17" ht="15.75">
      <c r="A66" s="587" t="str">
        <f ca="1">IFERROR(__xludf.DUMMYFUNCTION("""COMPUTED_VALUE"""),"Toàn Phát - Việt Nam")</f>
        <v>Toàn Phát - Việt Nam</v>
      </c>
      <c r="B66" s="587" t="str">
        <f ca="1">IFERROR(__xludf.DUMMYFUNCTION("""COMPUTED_VALUE"""),"ĐTPCUONDI")</f>
        <v>ĐTPCUONDI</v>
      </c>
      <c r="C66" s="587" t="str">
        <f ca="1">IFERROR(__xludf.DUMMYFUNCTION("""COMPUTED_VALUE"""),"DOC0952055")</f>
        <v>DOC0952055</v>
      </c>
      <c r="D66" s="588" t="str">
        <f ca="1">IFERROR(__xludf.DUMMYFUNCTION("""COMPUTED_VALUE"""),"Đồng ống PC 09.52x0.55")</f>
        <v>Đồng ống PC 09.52x0.55</v>
      </c>
      <c r="E66" s="589">
        <f ca="1">IFERROR(__xludf.DUMMYFUNCTION("""COMPUTED_VALUE"""),0.1)</f>
        <v>0.1</v>
      </c>
      <c r="F66" s="590" t="str">
        <f ca="1">IFERROR(__xludf.DUMMYFUNCTION("""COMPUTED_VALUE"""),"Cuộn")</f>
        <v>Cuộn</v>
      </c>
      <c r="G66" s="590" t="str">
        <f ca="1">IFERROR(__xludf.DUMMYFUNCTION("""COMPUTED_VALUE"""),"Cuộn 15m")</f>
        <v>Cuộn 15m</v>
      </c>
      <c r="H66" s="588" t="str">
        <f ca="1">IFERROR(__xludf.DUMMYFUNCTION("""COMPUTED_VALUE"""),"9")</f>
        <v>9</v>
      </c>
      <c r="I66" s="591">
        <f ca="1">IFERROR(__xludf.DUMMYFUNCTION("""COMPUTED_VALUE"""),2.14459244999999)</f>
        <v>2.14459244999999</v>
      </c>
      <c r="J66" s="592" t="str">
        <f ca="1">IFERROR(__xludf.DUMMYFUNCTION("""COMPUTED_VALUE""")," 09.52 ")</f>
        <v xml:space="preserve"> 09.52 </v>
      </c>
      <c r="K66" s="590" t="str">
        <f ca="1">IFERROR(__xludf.DUMMYFUNCTION("""COMPUTED_VALUE"""),"0.55")</f>
        <v>0.55</v>
      </c>
      <c r="L66" s="590">
        <f ca="1">IFERROR(__xludf.DUMMYFUNCTION("""COMPUTED_VALUE"""),15)</f>
        <v>15</v>
      </c>
      <c r="M66" s="590"/>
      <c r="N66" s="590" t="str">
        <f ca="1">IFERROR(__xludf.DUMMYFUNCTION("""COMPUTED_VALUE"""),"Dị_D&lt;54")</f>
        <v>Dị_D&lt;54</v>
      </c>
      <c r="O66" s="589">
        <f ca="1">IFERROR(__xludf.DUMMYFUNCTION("""COMPUTED_VALUE"""),1)</f>
        <v>1</v>
      </c>
      <c r="P66" s="590"/>
    </row>
    <row r="67" spans="1:17" ht="15.75">
      <c r="A67" s="581" t="str">
        <f ca="1">IFERROR(__xludf.DUMMYFUNCTION("""COMPUTED_VALUE"""),"Toàn Phát - Việt Nam")</f>
        <v>Toàn Phát - Việt Nam</v>
      </c>
      <c r="B67" s="581" t="str">
        <f ca="1">IFERROR(__xludf.DUMMYFUNCTION("""COMPUTED_VALUE"""),"ĐTPCUONDI")</f>
        <v>ĐTPCUONDI</v>
      </c>
      <c r="C67" s="581" t="str">
        <f ca="1">IFERROR(__xludf.DUMMYFUNCTION("""COMPUTED_VALUE"""),"DOC0952058")</f>
        <v>DOC0952058</v>
      </c>
      <c r="D67" s="582" t="str">
        <f ca="1">IFERROR(__xludf.DUMMYFUNCTION("""COMPUTED_VALUE"""),"Đồng ống PC 09.52x0.58")</f>
        <v>Đồng ống PC 09.52x0.58</v>
      </c>
      <c r="E67" s="583">
        <f ca="1">IFERROR(__xludf.DUMMYFUNCTION("""COMPUTED_VALUE"""),0.1)</f>
        <v>0.1</v>
      </c>
      <c r="F67" s="584" t="str">
        <f ca="1">IFERROR(__xludf.DUMMYFUNCTION("""COMPUTED_VALUE"""),"Cuộn")</f>
        <v>Cuộn</v>
      </c>
      <c r="G67" s="584" t="str">
        <f ca="1">IFERROR(__xludf.DUMMYFUNCTION("""COMPUTED_VALUE"""),"Cuộn 15m")</f>
        <v>Cuộn 15m</v>
      </c>
      <c r="H67" s="582" t="str">
        <f ca="1">IFERROR(__xludf.DUMMYFUNCTION("""COMPUTED_VALUE"""),"9")</f>
        <v>9</v>
      </c>
      <c r="I67" s="585">
        <f ca="1">IFERROR(__xludf.DUMMYFUNCTION("""COMPUTED_VALUE"""),2.25400643999999)</f>
        <v>2.2540064399999902</v>
      </c>
      <c r="J67" s="586" t="str">
        <f ca="1">IFERROR(__xludf.DUMMYFUNCTION("""COMPUTED_VALUE""")," 09.52 ")</f>
        <v xml:space="preserve"> 09.52 </v>
      </c>
      <c r="K67" s="584" t="str">
        <f ca="1">IFERROR(__xludf.DUMMYFUNCTION("""COMPUTED_VALUE"""),"0.58")</f>
        <v>0.58</v>
      </c>
      <c r="L67" s="584">
        <f ca="1">IFERROR(__xludf.DUMMYFUNCTION("""COMPUTED_VALUE"""),15)</f>
        <v>15</v>
      </c>
      <c r="M67" s="584"/>
      <c r="N67" s="584" t="str">
        <f ca="1">IFERROR(__xludf.DUMMYFUNCTION("""COMPUTED_VALUE"""),"Dị_D&lt;54")</f>
        <v>Dị_D&lt;54</v>
      </c>
      <c r="O67" s="583"/>
      <c r="P67" s="584"/>
    </row>
    <row r="68" spans="1:17" ht="15.75">
      <c r="A68" s="587" t="str">
        <f ca="1">IFERROR(__xludf.DUMMYFUNCTION("""COMPUTED_VALUE"""),"Toàn Phát - Việt Nam")</f>
        <v>Toàn Phát - Việt Nam</v>
      </c>
      <c r="B68" s="587" t="str">
        <f ca="1">IFERROR(__xludf.DUMMYFUNCTION("""COMPUTED_VALUE"""),"ĐTPCUONDI")</f>
        <v>ĐTPCUONDI</v>
      </c>
      <c r="C68" s="587" t="str">
        <f ca="1">IFERROR(__xludf.DUMMYFUNCTION("""COMPUTED_VALUE"""),"DOC0952060")</f>
        <v>DOC0952060</v>
      </c>
      <c r="D68" s="588" t="str">
        <f ca="1">IFERROR(__xludf.DUMMYFUNCTION("""COMPUTED_VALUE"""),"Đồng ống PC 09.52x0.60")</f>
        <v>Đồng ống PC 09.52x0.60</v>
      </c>
      <c r="E68" s="589">
        <f ca="1">IFERROR(__xludf.DUMMYFUNCTION("""COMPUTED_VALUE"""),0.1)</f>
        <v>0.1</v>
      </c>
      <c r="F68" s="590" t="str">
        <f ca="1">IFERROR(__xludf.DUMMYFUNCTION("""COMPUTED_VALUE"""),"Cuộn")</f>
        <v>Cuộn</v>
      </c>
      <c r="G68" s="590" t="str">
        <f ca="1">IFERROR(__xludf.DUMMYFUNCTION("""COMPUTED_VALUE"""),"Cuộn 15m")</f>
        <v>Cuộn 15m</v>
      </c>
      <c r="H68" s="588" t="str">
        <f ca="1">IFERROR(__xludf.DUMMYFUNCTION("""COMPUTED_VALUE"""),"9")</f>
        <v>9</v>
      </c>
      <c r="I68" s="591">
        <f ca="1">IFERROR(__xludf.DUMMYFUNCTION("""COMPUTED_VALUE"""),2.32651439999999)</f>
        <v>2.32651439999999</v>
      </c>
      <c r="J68" s="592" t="str">
        <f ca="1">IFERROR(__xludf.DUMMYFUNCTION("""COMPUTED_VALUE""")," 09.52 ")</f>
        <v xml:space="preserve"> 09.52 </v>
      </c>
      <c r="K68" s="590" t="str">
        <f ca="1">IFERROR(__xludf.DUMMYFUNCTION("""COMPUTED_VALUE"""),"0.60")</f>
        <v>0.60</v>
      </c>
      <c r="L68" s="590">
        <f ca="1">IFERROR(__xludf.DUMMYFUNCTION("""COMPUTED_VALUE"""),15)</f>
        <v>15</v>
      </c>
      <c r="M68" s="590"/>
      <c r="N68" s="590" t="str">
        <f ca="1">IFERROR(__xludf.DUMMYFUNCTION("""COMPUTED_VALUE"""),"Dị_D&lt;54")</f>
        <v>Dị_D&lt;54</v>
      </c>
      <c r="O68" s="589"/>
      <c r="P68" s="590"/>
    </row>
    <row r="69" spans="1:17" ht="15.75">
      <c r="A69" s="581" t="str">
        <f ca="1">IFERROR(__xludf.DUMMYFUNCTION("""COMPUTED_VALUE"""),"Toàn Phát - Việt Nam")</f>
        <v>Toàn Phát - Việt Nam</v>
      </c>
      <c r="B69" s="581" t="str">
        <f ca="1">IFERROR(__xludf.DUMMYFUNCTION("""COMPUTED_VALUE"""),"ĐTPCUONDD")</f>
        <v>ĐTPCUONDD</v>
      </c>
      <c r="C69" s="581" t="str">
        <f ca="1">IFERROR(__xludf.DUMMYFUNCTION("""COMPUTED_VALUE"""),"DOC0952061")</f>
        <v>DOC0952061</v>
      </c>
      <c r="D69" s="582" t="str">
        <f ca="1">IFERROR(__xludf.DUMMYFUNCTION("""COMPUTED_VALUE"""),"Đồng ống PC 09.52x0.61")</f>
        <v>Đồng ống PC 09.52x0.61</v>
      </c>
      <c r="E69" s="583">
        <f ca="1">IFERROR(__xludf.DUMMYFUNCTION("""COMPUTED_VALUE"""),0.1)</f>
        <v>0.1</v>
      </c>
      <c r="F69" s="584" t="str">
        <f ca="1">IFERROR(__xludf.DUMMYFUNCTION("""COMPUTED_VALUE"""),"Cuộn")</f>
        <v>Cuộn</v>
      </c>
      <c r="G69" s="584" t="str">
        <f ca="1">IFERROR(__xludf.DUMMYFUNCTION("""COMPUTED_VALUE"""),"Cuộn 15m")</f>
        <v>Cuộn 15m</v>
      </c>
      <c r="H69" s="582" t="str">
        <f ca="1">IFERROR(__xludf.DUMMYFUNCTION("""COMPUTED_VALUE"""),"9")</f>
        <v>9</v>
      </c>
      <c r="I69" s="585">
        <f ca="1">IFERROR(__xludf.DUMMYFUNCTION("""COMPUTED_VALUE"""),2.36263797)</f>
        <v>2.3626379700000002</v>
      </c>
      <c r="J69" s="586" t="str">
        <f ca="1">IFERROR(__xludf.DUMMYFUNCTION("""COMPUTED_VALUE""")," 09.52 ")</f>
        <v xml:space="preserve"> 09.52 </v>
      </c>
      <c r="K69" s="584" t="str">
        <f ca="1">IFERROR(__xludf.DUMMYFUNCTION("""COMPUTED_VALUE"""),"0.61")</f>
        <v>0.61</v>
      </c>
      <c r="L69" s="584">
        <f ca="1">IFERROR(__xludf.DUMMYFUNCTION("""COMPUTED_VALUE"""),15)</f>
        <v>15</v>
      </c>
      <c r="M69" s="584"/>
      <c r="N69" s="584" t="str">
        <f ca="1">IFERROR(__xludf.DUMMYFUNCTION("""COMPUTED_VALUE"""),"Không")</f>
        <v>Không</v>
      </c>
      <c r="O69" s="583"/>
      <c r="P69" s="584"/>
      <c r="Q69" s="885">
        <f ca="1">+$Q$5*I69</f>
        <v>543.4067331</v>
      </c>
    </row>
    <row r="70" spans="1:17" ht="15.75">
      <c r="A70" s="587" t="str">
        <f ca="1">IFERROR(__xludf.DUMMYFUNCTION("""COMPUTED_VALUE"""),"Toàn Phát - Việt Nam")</f>
        <v>Toàn Phát - Việt Nam</v>
      </c>
      <c r="B70" s="587" t="str">
        <f ca="1">IFERROR(__xludf.DUMMYFUNCTION("""COMPUTED_VALUE"""),"ĐTPCUONDI")</f>
        <v>ĐTPCUONDI</v>
      </c>
      <c r="C70" s="587" t="str">
        <f ca="1">IFERROR(__xludf.DUMMYFUNCTION("""COMPUTED_VALUE"""),"DOC0952061(KI)")</f>
        <v>DOC0952061(KI)</v>
      </c>
      <c r="D70" s="588" t="str">
        <f ca="1">IFERROR(__xludf.DUMMYFUNCTION("""COMPUTED_VALUE"""),"Đồng ống PC 09.52x0.61 không in")</f>
        <v>Đồng ống PC 09.52x0.61 không in</v>
      </c>
      <c r="E70" s="589">
        <f ca="1">IFERROR(__xludf.DUMMYFUNCTION("""COMPUTED_VALUE"""),0.1)</f>
        <v>0.1</v>
      </c>
      <c r="F70" s="590" t="str">
        <f ca="1">IFERROR(__xludf.DUMMYFUNCTION("""COMPUTED_VALUE"""),"Cuộn")</f>
        <v>Cuộn</v>
      </c>
      <c r="G70" s="590" t="str">
        <f ca="1">IFERROR(__xludf.DUMMYFUNCTION("""COMPUTED_VALUE"""),"Cuộn 15m")</f>
        <v>Cuộn 15m</v>
      </c>
      <c r="H70" s="588" t="str">
        <f ca="1">IFERROR(__xludf.DUMMYFUNCTION("""COMPUTED_VALUE"""),"9")</f>
        <v>9</v>
      </c>
      <c r="I70" s="591">
        <f ca="1">IFERROR(__xludf.DUMMYFUNCTION("""COMPUTED_VALUE"""),2.36263797)</f>
        <v>2.3626379700000002</v>
      </c>
      <c r="J70" s="592" t="str">
        <f ca="1">IFERROR(__xludf.DUMMYFUNCTION("""COMPUTED_VALUE""")," 09.52 ")</f>
        <v xml:space="preserve"> 09.52 </v>
      </c>
      <c r="K70" s="590" t="str">
        <f ca="1">IFERROR(__xludf.DUMMYFUNCTION("""COMPUTED_VALUE"""),"0.61")</f>
        <v>0.61</v>
      </c>
      <c r="L70" s="590">
        <f ca="1">IFERROR(__xludf.DUMMYFUNCTION("""COMPUTED_VALUE"""),15)</f>
        <v>15</v>
      </c>
      <c r="M70" s="590" t="str">
        <f ca="1">IFERROR(__xludf.DUMMYFUNCTION("""COMPUTED_VALUE"""),"KI")</f>
        <v>KI</v>
      </c>
      <c r="N70" s="590" t="str">
        <f ca="1">IFERROR(__xludf.DUMMYFUNCTION("""COMPUTED_VALUE"""),"Dị_D&lt;54")</f>
        <v>Dị_D&lt;54</v>
      </c>
      <c r="O70" s="589">
        <f ca="1">IFERROR(__xludf.DUMMYFUNCTION("""COMPUTED_VALUE"""),1)</f>
        <v>1</v>
      </c>
      <c r="P70" s="590"/>
    </row>
    <row r="71" spans="1:17" ht="15.75">
      <c r="A71" s="581" t="str">
        <f ca="1">IFERROR(__xludf.DUMMYFUNCTION("""COMPUTED_VALUE"""),"Toàn Phát - Việt Nam")</f>
        <v>Toàn Phát - Việt Nam</v>
      </c>
      <c r="B71" s="581" t="str">
        <f ca="1">IFERROR(__xludf.DUMMYFUNCTION("""COMPUTED_VALUE"""),"ĐTPCUONDI")</f>
        <v>ĐTPCUONDI</v>
      </c>
      <c r="C71" s="581" t="str">
        <f ca="1">IFERROR(__xludf.DUMMYFUNCTION("""COMPUTED_VALUE"""),"DOC095206150")</f>
        <v>DOC095206150</v>
      </c>
      <c r="D71" s="582" t="str">
        <f ca="1">IFERROR(__xludf.DUMMYFUNCTION("""COMPUTED_VALUE"""),"Đồng ống PC 09.52x0.61x50")</f>
        <v>Đồng ống PC 09.52x0.61x50</v>
      </c>
      <c r="E71" s="583">
        <f ca="1">IFERROR(__xludf.DUMMYFUNCTION("""COMPUTED_VALUE"""),0.1)</f>
        <v>0.1</v>
      </c>
      <c r="F71" s="584" t="str">
        <f ca="1">IFERROR(__xludf.DUMMYFUNCTION("""COMPUTED_VALUE"""),"Cuộn")</f>
        <v>Cuộn</v>
      </c>
      <c r="G71" s="584" t="str">
        <f ca="1">IFERROR(__xludf.DUMMYFUNCTION("""COMPUTED_VALUE"""),"Cuộn 50m")</f>
        <v>Cuộn 50m</v>
      </c>
      <c r="H71" s="582" t="str">
        <f ca="1">IFERROR(__xludf.DUMMYFUNCTION("""COMPUTED_VALUE"""),"9")</f>
        <v>9</v>
      </c>
      <c r="I71" s="585">
        <f ca="1">IFERROR(__xludf.DUMMYFUNCTION("""COMPUTED_VALUE"""),7.87545989999999)</f>
        <v>7.8754598999999903</v>
      </c>
      <c r="J71" s="586" t="str">
        <f ca="1">IFERROR(__xludf.DUMMYFUNCTION("""COMPUTED_VALUE""")," 09.52 ")</f>
        <v xml:space="preserve"> 09.52 </v>
      </c>
      <c r="K71" s="584" t="str">
        <f ca="1">IFERROR(__xludf.DUMMYFUNCTION("""COMPUTED_VALUE"""),"0.61")</f>
        <v>0.61</v>
      </c>
      <c r="L71" s="584">
        <f ca="1">IFERROR(__xludf.DUMMYFUNCTION("""COMPUTED_VALUE"""),50)</f>
        <v>50</v>
      </c>
      <c r="M71" s="584"/>
      <c r="N71" s="584" t="str">
        <f ca="1">IFERROR(__xludf.DUMMYFUNCTION("""COMPUTED_VALUE"""),"Dị_D&lt;54")</f>
        <v>Dị_D&lt;54</v>
      </c>
      <c r="O71" s="583"/>
      <c r="P71" s="584"/>
    </row>
    <row r="72" spans="1:17" ht="15.75">
      <c r="A72" s="587" t="str">
        <f ca="1">IFERROR(__xludf.DUMMYFUNCTION("""COMPUTED_VALUE"""),"Toàn Phát - Việt Nam")</f>
        <v>Toàn Phát - Việt Nam</v>
      </c>
      <c r="B72" s="587" t="str">
        <f ca="1">IFERROR(__xludf.DUMMYFUNCTION("""COMPUTED_VALUE"""),"ĐTPCUONDI")</f>
        <v>ĐTPCUONDI</v>
      </c>
      <c r="C72" s="587" t="str">
        <f ca="1">IFERROR(__xludf.DUMMYFUNCTION("""COMPUTED_VALUE"""),"DOC0952065")</f>
        <v>DOC0952065</v>
      </c>
      <c r="D72" s="588" t="str">
        <f ca="1">IFERROR(__xludf.DUMMYFUNCTION("""COMPUTED_VALUE"""),"Đồng ống PC 09.52x0.65")</f>
        <v>Đồng ống PC 09.52x0.65</v>
      </c>
      <c r="E72" s="589">
        <f ca="1">IFERROR(__xludf.DUMMYFUNCTION("""COMPUTED_VALUE"""),0.1)</f>
        <v>0.1</v>
      </c>
      <c r="F72" s="590" t="str">
        <f ca="1">IFERROR(__xludf.DUMMYFUNCTION("""COMPUTED_VALUE"""),"Cuộn")</f>
        <v>Cuộn</v>
      </c>
      <c r="G72" s="590" t="str">
        <f ca="1">IFERROR(__xludf.DUMMYFUNCTION("""COMPUTED_VALUE"""),"Cuộn 15m")</f>
        <v>Cuộn 15m</v>
      </c>
      <c r="H72" s="588" t="str">
        <f ca="1">IFERROR(__xludf.DUMMYFUNCTION("""COMPUTED_VALUE"""),"9")</f>
        <v>9</v>
      </c>
      <c r="I72" s="591">
        <f ca="1">IFERROR(__xludf.DUMMYFUNCTION("""COMPUTED_VALUE"""),2.50626284999999)</f>
        <v>2.5062628499999899</v>
      </c>
      <c r="J72" s="592" t="str">
        <f ca="1">IFERROR(__xludf.DUMMYFUNCTION("""COMPUTED_VALUE""")," 09.52 ")</f>
        <v xml:space="preserve"> 09.52 </v>
      </c>
      <c r="K72" s="590" t="str">
        <f ca="1">IFERROR(__xludf.DUMMYFUNCTION("""COMPUTED_VALUE"""),"0.65")</f>
        <v>0.65</v>
      </c>
      <c r="L72" s="590">
        <f ca="1">IFERROR(__xludf.DUMMYFUNCTION("""COMPUTED_VALUE"""),15)</f>
        <v>15</v>
      </c>
      <c r="M72" s="590"/>
      <c r="N72" s="590" t="str">
        <f ca="1">IFERROR(__xludf.DUMMYFUNCTION("""COMPUTED_VALUE"""),"Dị_D&lt;54")</f>
        <v>Dị_D&lt;54</v>
      </c>
      <c r="O72" s="589"/>
      <c r="P72" s="590"/>
    </row>
    <row r="73" spans="1:17" ht="15.75">
      <c r="A73" s="581" t="str">
        <f ca="1">IFERROR(__xludf.DUMMYFUNCTION("""COMPUTED_VALUE"""),"Toàn Phát - Việt Nam")</f>
        <v>Toàn Phát - Việt Nam</v>
      </c>
      <c r="B73" s="581" t="str">
        <f ca="1">IFERROR(__xludf.DUMMYFUNCTION("""COMPUTED_VALUE"""),"ĐTPCUONDI")</f>
        <v>ĐTPCUONDI</v>
      </c>
      <c r="C73" s="581" t="str">
        <f ca="1">IFERROR(__xludf.DUMMYFUNCTION("""COMPUTED_VALUE"""),"DOC0952065(KI)")</f>
        <v>DOC0952065(KI)</v>
      </c>
      <c r="D73" s="582" t="str">
        <f ca="1">IFERROR(__xludf.DUMMYFUNCTION("""COMPUTED_VALUE"""),"Đồng ống PC 09.52x0.65 không in")</f>
        <v>Đồng ống PC 09.52x0.65 không in</v>
      </c>
      <c r="E73" s="583">
        <f ca="1">IFERROR(__xludf.DUMMYFUNCTION("""COMPUTED_VALUE"""),0.1)</f>
        <v>0.1</v>
      </c>
      <c r="F73" s="584" t="str">
        <f ca="1">IFERROR(__xludf.DUMMYFUNCTION("""COMPUTED_VALUE"""),"Cuộn")</f>
        <v>Cuộn</v>
      </c>
      <c r="G73" s="584" t="str">
        <f ca="1">IFERROR(__xludf.DUMMYFUNCTION("""COMPUTED_VALUE"""),"Cuộn 15m")</f>
        <v>Cuộn 15m</v>
      </c>
      <c r="H73" s="582" t="str">
        <f ca="1">IFERROR(__xludf.DUMMYFUNCTION("""COMPUTED_VALUE"""),"9")</f>
        <v>9</v>
      </c>
      <c r="I73" s="585">
        <f ca="1">IFERROR(__xludf.DUMMYFUNCTION("""COMPUTED_VALUE"""),2.50626284999999)</f>
        <v>2.5062628499999899</v>
      </c>
      <c r="J73" s="586" t="str">
        <f ca="1">IFERROR(__xludf.DUMMYFUNCTION("""COMPUTED_VALUE""")," 09.52 ")</f>
        <v xml:space="preserve"> 09.52 </v>
      </c>
      <c r="K73" s="584" t="str">
        <f ca="1">IFERROR(__xludf.DUMMYFUNCTION("""COMPUTED_VALUE"""),"0.65")</f>
        <v>0.65</v>
      </c>
      <c r="L73" s="584">
        <f ca="1">IFERROR(__xludf.DUMMYFUNCTION("""COMPUTED_VALUE"""),15)</f>
        <v>15</v>
      </c>
      <c r="M73" s="584" t="str">
        <f ca="1">IFERROR(__xludf.DUMMYFUNCTION("""COMPUTED_VALUE"""),"KI")</f>
        <v>KI</v>
      </c>
      <c r="N73" s="584" t="str">
        <f ca="1">IFERROR(__xludf.DUMMYFUNCTION("""COMPUTED_VALUE"""),"Dị_D&lt;54")</f>
        <v>Dị_D&lt;54</v>
      </c>
      <c r="O73" s="583"/>
      <c r="P73" s="584"/>
    </row>
    <row r="74" spans="1:17" ht="15.75">
      <c r="A74" s="587" t="str">
        <f ca="1">IFERROR(__xludf.DUMMYFUNCTION("""COMPUTED_VALUE"""),"Toàn Phát - Việt Nam")</f>
        <v>Toàn Phát - Việt Nam</v>
      </c>
      <c r="B74" s="587" t="str">
        <f ca="1">IFERROR(__xludf.DUMMYFUNCTION("""COMPUTED_VALUE"""),"ĐTPCUONDI")</f>
        <v>ĐTPCUONDI</v>
      </c>
      <c r="C74" s="587" t="str">
        <f ca="1">IFERROR(__xludf.DUMMYFUNCTION("""COMPUTED_VALUE"""),"DOC0952066")</f>
        <v>DOC0952066</v>
      </c>
      <c r="D74" s="588" t="str">
        <f ca="1">IFERROR(__xludf.DUMMYFUNCTION("""COMPUTED_VALUE"""),"Đồng ống PC 09.52x0.66")</f>
        <v>Đồng ống PC 09.52x0.66</v>
      </c>
      <c r="E74" s="589">
        <f ca="1">IFERROR(__xludf.DUMMYFUNCTION("""COMPUTED_VALUE"""),0.1)</f>
        <v>0.1</v>
      </c>
      <c r="F74" s="590" t="str">
        <f ca="1">IFERROR(__xludf.DUMMYFUNCTION("""COMPUTED_VALUE"""),"Cuộn")</f>
        <v>Cuộn</v>
      </c>
      <c r="G74" s="590" t="str">
        <f ca="1">IFERROR(__xludf.DUMMYFUNCTION("""COMPUTED_VALUE"""),"Cuộn 15m")</f>
        <v>Cuộn 15m</v>
      </c>
      <c r="H74" s="588" t="str">
        <f ca="1">IFERROR(__xludf.DUMMYFUNCTION("""COMPUTED_VALUE"""),"9")</f>
        <v>9</v>
      </c>
      <c r="I74" s="591">
        <f ca="1">IFERROR(__xludf.DUMMYFUNCTION("""COMPUTED_VALUE"""),2.54195172)</f>
        <v>2.5419517200000001</v>
      </c>
      <c r="J74" s="592" t="str">
        <f ca="1">IFERROR(__xludf.DUMMYFUNCTION("""COMPUTED_VALUE""")," 09.52 ")</f>
        <v xml:space="preserve"> 09.52 </v>
      </c>
      <c r="K74" s="590" t="str">
        <f ca="1">IFERROR(__xludf.DUMMYFUNCTION("""COMPUTED_VALUE"""),"0.66")</f>
        <v>0.66</v>
      </c>
      <c r="L74" s="590">
        <f ca="1">IFERROR(__xludf.DUMMYFUNCTION("""COMPUTED_VALUE"""),15)</f>
        <v>15</v>
      </c>
      <c r="M74" s="590"/>
      <c r="N74" s="590" t="str">
        <f ca="1">IFERROR(__xludf.DUMMYFUNCTION("""COMPUTED_VALUE"""),"Dị_D&lt;54")</f>
        <v>Dị_D&lt;54</v>
      </c>
      <c r="O74" s="589"/>
      <c r="P74" s="590"/>
    </row>
    <row r="75" spans="1:17" ht="15.75">
      <c r="A75" s="581" t="str">
        <f ca="1">IFERROR(__xludf.DUMMYFUNCTION("""COMPUTED_VALUE"""),"Toàn Phát - Việt Nam")</f>
        <v>Toàn Phát - Việt Nam</v>
      </c>
      <c r="B75" s="581" t="str">
        <f ca="1">IFERROR(__xludf.DUMMYFUNCTION("""COMPUTED_VALUE"""),"ĐTPCUONDI")</f>
        <v>ĐTPCUONDI</v>
      </c>
      <c r="C75" s="581" t="str">
        <f ca="1">IFERROR(__xludf.DUMMYFUNCTION("""COMPUTED_VALUE"""),"DOC0952070")</f>
        <v>DOC0952070</v>
      </c>
      <c r="D75" s="582" t="str">
        <f ca="1">IFERROR(__xludf.DUMMYFUNCTION("""COMPUTED_VALUE"""),"Đồng ống PC 09.52x0.70")</f>
        <v>Đồng ống PC 09.52x0.70</v>
      </c>
      <c r="E75" s="583">
        <f ca="1">IFERROR(__xludf.DUMMYFUNCTION("""COMPUTED_VALUE"""),0.1)</f>
        <v>0.1</v>
      </c>
      <c r="F75" s="584" t="str">
        <f ca="1">IFERROR(__xludf.DUMMYFUNCTION("""COMPUTED_VALUE"""),"Cuộn")</f>
        <v>Cuộn</v>
      </c>
      <c r="G75" s="584" t="str">
        <f ca="1">IFERROR(__xludf.DUMMYFUNCTION("""COMPUTED_VALUE"""),"Cuộn 15m")</f>
        <v>Cuộn 15m</v>
      </c>
      <c r="H75" s="582" t="str">
        <f ca="1">IFERROR(__xludf.DUMMYFUNCTION("""COMPUTED_VALUE"""),"9")</f>
        <v>9</v>
      </c>
      <c r="I75" s="585">
        <f ca="1">IFERROR(__xludf.DUMMYFUNCTION("""COMPUTED_VALUE"""),2.6838378)</f>
        <v>2.6838378000000001</v>
      </c>
      <c r="J75" s="586" t="str">
        <f ca="1">IFERROR(__xludf.DUMMYFUNCTION("""COMPUTED_VALUE""")," 09.52 ")</f>
        <v xml:space="preserve"> 09.52 </v>
      </c>
      <c r="K75" s="584" t="str">
        <f ca="1">IFERROR(__xludf.DUMMYFUNCTION("""COMPUTED_VALUE"""),"0.70")</f>
        <v>0.70</v>
      </c>
      <c r="L75" s="584">
        <f ca="1">IFERROR(__xludf.DUMMYFUNCTION("""COMPUTED_VALUE"""),15)</f>
        <v>15</v>
      </c>
      <c r="M75" s="584"/>
      <c r="N75" s="584" t="str">
        <f ca="1">IFERROR(__xludf.DUMMYFUNCTION("""COMPUTED_VALUE"""),"Dị_D&lt;54")</f>
        <v>Dị_D&lt;54</v>
      </c>
      <c r="O75" s="583"/>
      <c r="P75" s="584"/>
    </row>
    <row r="76" spans="1:17" ht="15.75">
      <c r="A76" s="587" t="str">
        <f ca="1">IFERROR(__xludf.DUMMYFUNCTION("""COMPUTED_VALUE"""),"Toàn Phát - Việt Nam")</f>
        <v>Toàn Phát - Việt Nam</v>
      </c>
      <c r="B76" s="587" t="str">
        <f ca="1">IFERROR(__xludf.DUMMYFUNCTION("""COMPUTED_VALUE"""),"ĐTPCUONDD")</f>
        <v>ĐTPCUONDD</v>
      </c>
      <c r="C76" s="587" t="str">
        <f ca="1">IFERROR(__xludf.DUMMYFUNCTION("""COMPUTED_VALUE"""),"DOC0952071")</f>
        <v>DOC0952071</v>
      </c>
      <c r="D76" s="588" t="str">
        <f ca="1">IFERROR(__xludf.DUMMYFUNCTION("""COMPUTED_VALUE"""),"Đồng ống PC 09.52x0.71")</f>
        <v>Đồng ống PC 09.52x0.71</v>
      </c>
      <c r="E76" s="589">
        <f ca="1">IFERROR(__xludf.DUMMYFUNCTION("""COMPUTED_VALUE"""),0.1)</f>
        <v>0.1</v>
      </c>
      <c r="F76" s="590" t="str">
        <f ca="1">IFERROR(__xludf.DUMMYFUNCTION("""COMPUTED_VALUE"""),"Cuộn")</f>
        <v>Cuộn</v>
      </c>
      <c r="G76" s="590" t="str">
        <f ca="1">IFERROR(__xludf.DUMMYFUNCTION("""COMPUTED_VALUE"""),"Cuộn 15m")</f>
        <v>Cuộn 15m</v>
      </c>
      <c r="H76" s="588" t="str">
        <f ca="1">IFERROR(__xludf.DUMMYFUNCTION("""COMPUTED_VALUE"""),"9")</f>
        <v>9</v>
      </c>
      <c r="I76" s="591">
        <f ca="1">IFERROR(__xludf.DUMMYFUNCTION("""COMPUTED_VALUE"""),2.71909196999999)</f>
        <v>2.7190919699999898</v>
      </c>
      <c r="J76" s="592" t="str">
        <f ca="1">IFERROR(__xludf.DUMMYFUNCTION("""COMPUTED_VALUE""")," 09.52 ")</f>
        <v xml:space="preserve"> 09.52 </v>
      </c>
      <c r="K76" s="590" t="str">
        <f ca="1">IFERROR(__xludf.DUMMYFUNCTION("""COMPUTED_VALUE"""),"0.71")</f>
        <v>0.71</v>
      </c>
      <c r="L76" s="590">
        <f ca="1">IFERROR(__xludf.DUMMYFUNCTION("""COMPUTED_VALUE"""),15)</f>
        <v>15</v>
      </c>
      <c r="M76" s="590"/>
      <c r="N76" s="590" t="str">
        <f ca="1">IFERROR(__xludf.DUMMYFUNCTION("""COMPUTED_VALUE"""),"Không")</f>
        <v>Không</v>
      </c>
      <c r="O76" s="589"/>
      <c r="P76" s="590"/>
      <c r="Q76" s="885">
        <f ca="1">+$Q$5*I76</f>
        <v>625.39115309999761</v>
      </c>
    </row>
    <row r="77" spans="1:17" ht="15.75">
      <c r="A77" s="581" t="str">
        <f ca="1">IFERROR(__xludf.DUMMYFUNCTION("""COMPUTED_VALUE"""),"Toàn Phát - Việt Nam")</f>
        <v>Toàn Phát - Việt Nam</v>
      </c>
      <c r="B77" s="581" t="str">
        <f ca="1">IFERROR(__xludf.DUMMYFUNCTION("""COMPUTED_VALUE"""),"ĐTPCUONDI")</f>
        <v>ĐTPCUONDI</v>
      </c>
      <c r="C77" s="581" t="str">
        <f ca="1">IFERROR(__xludf.DUMMYFUNCTION("""COMPUTED_VALUE"""),"DOC0952071(KI)")</f>
        <v>DOC0952071(KI)</v>
      </c>
      <c r="D77" s="582" t="str">
        <f ca="1">IFERROR(__xludf.DUMMYFUNCTION("""COMPUTED_VALUE"""),"Đồng ống PC 09.52x0.71 không in")</f>
        <v>Đồng ống PC 09.52x0.71 không in</v>
      </c>
      <c r="E77" s="583">
        <f ca="1">IFERROR(__xludf.DUMMYFUNCTION("""COMPUTED_VALUE"""),0.1)</f>
        <v>0.1</v>
      </c>
      <c r="F77" s="584" t="str">
        <f ca="1">IFERROR(__xludf.DUMMYFUNCTION("""COMPUTED_VALUE"""),"Cuộn")</f>
        <v>Cuộn</v>
      </c>
      <c r="G77" s="584" t="str">
        <f ca="1">IFERROR(__xludf.DUMMYFUNCTION("""COMPUTED_VALUE"""),"Cuộn 15m")</f>
        <v>Cuộn 15m</v>
      </c>
      <c r="H77" s="582" t="str">
        <f ca="1">IFERROR(__xludf.DUMMYFUNCTION("""COMPUTED_VALUE"""),"9")</f>
        <v>9</v>
      </c>
      <c r="I77" s="585">
        <f ca="1">IFERROR(__xludf.DUMMYFUNCTION("""COMPUTED_VALUE"""),2.71909196999999)</f>
        <v>2.7190919699999898</v>
      </c>
      <c r="J77" s="586" t="str">
        <f ca="1">IFERROR(__xludf.DUMMYFUNCTION("""COMPUTED_VALUE""")," 09.52 ")</f>
        <v xml:space="preserve"> 09.52 </v>
      </c>
      <c r="K77" s="584" t="str">
        <f ca="1">IFERROR(__xludf.DUMMYFUNCTION("""COMPUTED_VALUE"""),"0.71")</f>
        <v>0.71</v>
      </c>
      <c r="L77" s="584">
        <f ca="1">IFERROR(__xludf.DUMMYFUNCTION("""COMPUTED_VALUE"""),15)</f>
        <v>15</v>
      </c>
      <c r="M77" s="584" t="str">
        <f ca="1">IFERROR(__xludf.DUMMYFUNCTION("""COMPUTED_VALUE"""),"KI")</f>
        <v>KI</v>
      </c>
      <c r="N77" s="584" t="str">
        <f ca="1">IFERROR(__xludf.DUMMYFUNCTION("""COMPUTED_VALUE"""),"Dị_D&lt;54")</f>
        <v>Dị_D&lt;54</v>
      </c>
      <c r="O77" s="583">
        <f ca="1">IFERROR(__xludf.DUMMYFUNCTION("""COMPUTED_VALUE"""),1)</f>
        <v>1</v>
      </c>
      <c r="P77" s="584"/>
    </row>
    <row r="78" spans="1:17" ht="15.75">
      <c r="A78" s="587" t="str">
        <f ca="1">IFERROR(__xludf.DUMMYFUNCTION("""COMPUTED_VALUE"""),"Toàn Phát - Việt Nam")</f>
        <v>Toàn Phát - Việt Nam</v>
      </c>
      <c r="B78" s="587" t="str">
        <f ca="1">IFERROR(__xludf.DUMMYFUNCTION("""COMPUTED_VALUE"""),"ĐTPCUONDI")</f>
        <v>ĐTPCUONDI</v>
      </c>
      <c r="C78" s="587" t="str">
        <f ca="1">IFERROR(__xludf.DUMMYFUNCTION("""COMPUTED_VALUE"""),"DOC095207150")</f>
        <v>DOC095207150</v>
      </c>
      <c r="D78" s="588" t="str">
        <f ca="1">IFERROR(__xludf.DUMMYFUNCTION("""COMPUTED_VALUE"""),"Đồng ống PC 09.52x0.71x50")</f>
        <v>Đồng ống PC 09.52x0.71x50</v>
      </c>
      <c r="E78" s="589">
        <f ca="1">IFERROR(__xludf.DUMMYFUNCTION("""COMPUTED_VALUE"""),0.1)</f>
        <v>0.1</v>
      </c>
      <c r="F78" s="590" t="str">
        <f ca="1">IFERROR(__xludf.DUMMYFUNCTION("""COMPUTED_VALUE"""),"Cuộn")</f>
        <v>Cuộn</v>
      </c>
      <c r="G78" s="590" t="str">
        <f ca="1">IFERROR(__xludf.DUMMYFUNCTION("""COMPUTED_VALUE"""),"Cuộn 50m")</f>
        <v>Cuộn 50m</v>
      </c>
      <c r="H78" s="588" t="str">
        <f ca="1">IFERROR(__xludf.DUMMYFUNCTION("""COMPUTED_VALUE"""),"9")</f>
        <v>9</v>
      </c>
      <c r="I78" s="591">
        <f ca="1">IFERROR(__xludf.DUMMYFUNCTION("""COMPUTED_VALUE"""),9.06363989999999)</f>
        <v>9.0636398999999894</v>
      </c>
      <c r="J78" s="592" t="str">
        <f ca="1">IFERROR(__xludf.DUMMYFUNCTION("""COMPUTED_VALUE""")," 09.52 ")</f>
        <v xml:space="preserve"> 09.52 </v>
      </c>
      <c r="K78" s="590" t="str">
        <f ca="1">IFERROR(__xludf.DUMMYFUNCTION("""COMPUTED_VALUE"""),"0.71")</f>
        <v>0.71</v>
      </c>
      <c r="L78" s="590">
        <f ca="1">IFERROR(__xludf.DUMMYFUNCTION("""COMPUTED_VALUE"""),50)</f>
        <v>50</v>
      </c>
      <c r="M78" s="590"/>
      <c r="N78" s="590" t="str">
        <f ca="1">IFERROR(__xludf.DUMMYFUNCTION("""COMPUTED_VALUE"""),"Dị_D&lt;54")</f>
        <v>Dị_D&lt;54</v>
      </c>
      <c r="O78" s="589"/>
      <c r="P78" s="590"/>
    </row>
    <row r="79" spans="1:17" ht="15.75">
      <c r="A79" s="581" t="str">
        <f ca="1">IFERROR(__xludf.DUMMYFUNCTION("""COMPUTED_VALUE"""),"Toàn Phát - Việt Nam")</f>
        <v>Toàn Phát - Việt Nam</v>
      </c>
      <c r="B79" s="581" t="str">
        <f ca="1">IFERROR(__xludf.DUMMYFUNCTION("""COMPUTED_VALUE"""),"ĐTPCUONDI")</f>
        <v>ĐTPCUONDI</v>
      </c>
      <c r="C79" s="581" t="str">
        <f ca="1">IFERROR(__xludf.DUMMYFUNCTION("""COMPUTED_VALUE"""),"DOC0952075")</f>
        <v>DOC0952075</v>
      </c>
      <c r="D79" s="582" t="str">
        <f ca="1">IFERROR(__xludf.DUMMYFUNCTION("""COMPUTED_VALUE"""),"Đồng ống PC 09.52x0.75")</f>
        <v>Đồng ống PC 09.52x0.75</v>
      </c>
      <c r="E79" s="583">
        <f ca="1">IFERROR(__xludf.DUMMYFUNCTION("""COMPUTED_VALUE"""),0.1)</f>
        <v>0.1</v>
      </c>
      <c r="F79" s="584" t="str">
        <f ca="1">IFERROR(__xludf.DUMMYFUNCTION("""COMPUTED_VALUE"""),"Cuộn")</f>
        <v>Cuộn</v>
      </c>
      <c r="G79" s="584" t="str">
        <f ca="1">IFERROR(__xludf.DUMMYFUNCTION("""COMPUTED_VALUE"""),"Cuộn 15m")</f>
        <v>Cuộn 15m</v>
      </c>
      <c r="H79" s="582" t="str">
        <f ca="1">IFERROR(__xludf.DUMMYFUNCTION("""COMPUTED_VALUE"""),"9")</f>
        <v>9</v>
      </c>
      <c r="I79" s="585">
        <f ca="1">IFERROR(__xludf.DUMMYFUNCTION("""COMPUTED_VALUE"""),2.85923925)</f>
        <v>2.8592392499999999</v>
      </c>
      <c r="J79" s="586" t="str">
        <f ca="1">IFERROR(__xludf.DUMMYFUNCTION("""COMPUTED_VALUE""")," 09.52 ")</f>
        <v xml:space="preserve"> 09.52 </v>
      </c>
      <c r="K79" s="584" t="str">
        <f ca="1">IFERROR(__xludf.DUMMYFUNCTION("""COMPUTED_VALUE"""),"0.75")</f>
        <v>0.75</v>
      </c>
      <c r="L79" s="584">
        <f ca="1">IFERROR(__xludf.DUMMYFUNCTION("""COMPUTED_VALUE"""),15)</f>
        <v>15</v>
      </c>
      <c r="M79" s="584"/>
      <c r="N79" s="584" t="str">
        <f ca="1">IFERROR(__xludf.DUMMYFUNCTION("""COMPUTED_VALUE"""),"Dị_D&lt;54")</f>
        <v>Dị_D&lt;54</v>
      </c>
      <c r="O79" s="583"/>
      <c r="P79" s="584"/>
    </row>
    <row r="80" spans="1:17" ht="15.75">
      <c r="A80" s="587" t="str">
        <f ca="1">IFERROR(__xludf.DUMMYFUNCTION("""COMPUTED_VALUE"""),"Toàn Phát - Việt Nam")</f>
        <v>Toàn Phát - Việt Nam</v>
      </c>
      <c r="B80" s="587" t="str">
        <f ca="1">IFERROR(__xludf.DUMMYFUNCTION("""COMPUTED_VALUE"""),"ĐTPCUONDI")</f>
        <v>ĐTPCUONDI</v>
      </c>
      <c r="C80" s="587" t="str">
        <f ca="1">IFERROR(__xludf.DUMMYFUNCTION("""COMPUTED_VALUE"""),"DOC0952080")</f>
        <v>DOC0952080</v>
      </c>
      <c r="D80" s="588" t="str">
        <f ca="1">IFERROR(__xludf.DUMMYFUNCTION("""COMPUTED_VALUE"""),"Đồng ống PC 09.52x0.80")</f>
        <v>Đồng ống PC 09.52x0.80</v>
      </c>
      <c r="E80" s="589">
        <f ca="1">IFERROR(__xludf.DUMMYFUNCTION("""COMPUTED_VALUE"""),0.1)</f>
        <v>0.1</v>
      </c>
      <c r="F80" s="590" t="str">
        <f ca="1">IFERROR(__xludf.DUMMYFUNCTION("""COMPUTED_VALUE"""),"Cuộn")</f>
        <v>Cuộn</v>
      </c>
      <c r="G80" s="590" t="str">
        <f ca="1">IFERROR(__xludf.DUMMYFUNCTION("""COMPUTED_VALUE"""),"Cuộn 15m")</f>
        <v>Cuộn 15m</v>
      </c>
      <c r="H80" s="588" t="str">
        <f ca="1">IFERROR(__xludf.DUMMYFUNCTION("""COMPUTED_VALUE"""),"9")</f>
        <v>9</v>
      </c>
      <c r="I80" s="591">
        <f ca="1">IFERROR(__xludf.DUMMYFUNCTION("""COMPUTED_VALUE"""),3.03246719999999)</f>
        <v>3.0324671999999899</v>
      </c>
      <c r="J80" s="592" t="str">
        <f ca="1">IFERROR(__xludf.DUMMYFUNCTION("""COMPUTED_VALUE""")," 09.52 ")</f>
        <v xml:space="preserve"> 09.52 </v>
      </c>
      <c r="K80" s="590" t="str">
        <f ca="1">IFERROR(__xludf.DUMMYFUNCTION("""COMPUTED_VALUE"""),"0.80")</f>
        <v>0.80</v>
      </c>
      <c r="L80" s="590">
        <f ca="1">IFERROR(__xludf.DUMMYFUNCTION("""COMPUTED_VALUE"""),15)</f>
        <v>15</v>
      </c>
      <c r="M80" s="590"/>
      <c r="N80" s="590" t="str">
        <f ca="1">IFERROR(__xludf.DUMMYFUNCTION("""COMPUTED_VALUE"""),"Dị_D&lt;54")</f>
        <v>Dị_D&lt;54</v>
      </c>
      <c r="O80" s="589"/>
      <c r="P80" s="590"/>
    </row>
    <row r="81" spans="1:17" ht="15.75">
      <c r="A81" s="581" t="str">
        <f ca="1">IFERROR(__xludf.DUMMYFUNCTION("""COMPUTED_VALUE"""),"Toàn Phát - Việt Nam")</f>
        <v>Toàn Phát - Việt Nam</v>
      </c>
      <c r="B81" s="581" t="str">
        <f ca="1">IFERROR(__xludf.DUMMYFUNCTION("""COMPUTED_VALUE"""),"ĐTPCUONDI")</f>
        <v>ĐTPCUONDI</v>
      </c>
      <c r="C81" s="581" t="str">
        <f ca="1">IFERROR(__xludf.DUMMYFUNCTION("""COMPUTED_VALUE"""),"DOC095208030")</f>
        <v>DOC095208030</v>
      </c>
      <c r="D81" s="582" t="str">
        <f ca="1">IFERROR(__xludf.DUMMYFUNCTION("""COMPUTED_VALUE"""),"Đồng ống PC 09.52x0.80x30")</f>
        <v>Đồng ống PC 09.52x0.80x30</v>
      </c>
      <c r="E81" s="583">
        <f ca="1">IFERROR(__xludf.DUMMYFUNCTION("""COMPUTED_VALUE"""),0.1)</f>
        <v>0.1</v>
      </c>
      <c r="F81" s="584" t="str">
        <f ca="1">IFERROR(__xludf.DUMMYFUNCTION("""COMPUTED_VALUE"""),"Cuộn")</f>
        <v>Cuộn</v>
      </c>
      <c r="G81" s="584" t="str">
        <f ca="1">IFERROR(__xludf.DUMMYFUNCTION("""COMPUTED_VALUE"""),"Cuộn 30m")</f>
        <v>Cuộn 30m</v>
      </c>
      <c r="H81" s="582" t="str">
        <f ca="1">IFERROR(__xludf.DUMMYFUNCTION("""COMPUTED_VALUE"""),"9")</f>
        <v>9</v>
      </c>
      <c r="I81" s="585">
        <f ca="1">IFERROR(__xludf.DUMMYFUNCTION("""COMPUTED_VALUE"""),6.06493439999999)</f>
        <v>6.0649343999999896</v>
      </c>
      <c r="J81" s="586" t="str">
        <f ca="1">IFERROR(__xludf.DUMMYFUNCTION("""COMPUTED_VALUE""")," 09.52 ")</f>
        <v xml:space="preserve"> 09.52 </v>
      </c>
      <c r="K81" s="584" t="str">
        <f ca="1">IFERROR(__xludf.DUMMYFUNCTION("""COMPUTED_VALUE"""),"0.80")</f>
        <v>0.80</v>
      </c>
      <c r="L81" s="584">
        <f ca="1">IFERROR(__xludf.DUMMYFUNCTION("""COMPUTED_VALUE"""),30)</f>
        <v>30</v>
      </c>
      <c r="M81" s="584"/>
      <c r="N81" s="584" t="str">
        <f ca="1">IFERROR(__xludf.DUMMYFUNCTION("""COMPUTED_VALUE"""),"Dị_D&lt;54")</f>
        <v>Dị_D&lt;54</v>
      </c>
      <c r="O81" s="583"/>
      <c r="P81" s="584"/>
    </row>
    <row r="82" spans="1:17" ht="15.75">
      <c r="A82" s="587" t="str">
        <f ca="1">IFERROR(__xludf.DUMMYFUNCTION("""COMPUTED_VALUE"""),"Toàn Phát - Việt Nam")</f>
        <v>Toàn Phát - Việt Nam</v>
      </c>
      <c r="B82" s="587" t="str">
        <f ca="1">IFERROR(__xludf.DUMMYFUNCTION("""COMPUTED_VALUE"""),"ĐTPCUONCT")</f>
        <v>ĐTPCUONCT</v>
      </c>
      <c r="C82" s="587" t="str">
        <f ca="1">IFERROR(__xludf.DUMMYFUNCTION("""COMPUTED_VALUE"""),"DOC0952081")</f>
        <v>DOC0952081</v>
      </c>
      <c r="D82" s="588" t="str">
        <f ca="1">IFERROR(__xludf.DUMMYFUNCTION("""COMPUTED_VALUE"""),"Đồng ống PC 09.52x0.81")</f>
        <v>Đồng ống PC 09.52x0.81</v>
      </c>
      <c r="E82" s="589">
        <f ca="1">IFERROR(__xludf.DUMMYFUNCTION("""COMPUTED_VALUE"""),0.1)</f>
        <v>0.1</v>
      </c>
      <c r="F82" s="590" t="str">
        <f ca="1">IFERROR(__xludf.DUMMYFUNCTION("""COMPUTED_VALUE"""),"Cuộn")</f>
        <v>Cuộn</v>
      </c>
      <c r="G82" s="590" t="str">
        <f ca="1">IFERROR(__xludf.DUMMYFUNCTION("""COMPUTED_VALUE"""),"Cuộn 15m")</f>
        <v>Cuộn 15m</v>
      </c>
      <c r="H82" s="588" t="str">
        <f ca="1">IFERROR(__xludf.DUMMYFUNCTION("""COMPUTED_VALUE"""),"9")</f>
        <v>9</v>
      </c>
      <c r="I82" s="591">
        <f ca="1">IFERROR(__xludf.DUMMYFUNCTION("""COMPUTED_VALUE"""),3.06685196999999)</f>
        <v>3.0668519699999899</v>
      </c>
      <c r="J82" s="592" t="str">
        <f ca="1">IFERROR(__xludf.DUMMYFUNCTION("""COMPUTED_VALUE""")," 09.52 ")</f>
        <v xml:space="preserve"> 09.52 </v>
      </c>
      <c r="K82" s="590" t="str">
        <f ca="1">IFERROR(__xludf.DUMMYFUNCTION("""COMPUTED_VALUE"""),"0.81")</f>
        <v>0.81</v>
      </c>
      <c r="L82" s="590">
        <f ca="1">IFERROR(__xludf.DUMMYFUNCTION("""COMPUTED_VALUE"""),15)</f>
        <v>15</v>
      </c>
      <c r="M82" s="590"/>
      <c r="N82" s="590" t="str">
        <f ca="1">IFERROR(__xludf.DUMMYFUNCTION("""COMPUTED_VALUE"""),"Không")</f>
        <v>Không</v>
      </c>
      <c r="O82" s="589"/>
      <c r="P82" s="590"/>
      <c r="Q82" s="885">
        <f ca="1">+$Q$5*I82</f>
        <v>705.37595309999756</v>
      </c>
    </row>
    <row r="83" spans="1:17" ht="15.75">
      <c r="A83" s="581" t="str">
        <f ca="1">IFERROR(__xludf.DUMMYFUNCTION("""COMPUTED_VALUE"""),"Toàn Phát - Việt Nam")</f>
        <v>Toàn Phát - Việt Nam</v>
      </c>
      <c r="B83" s="581" t="str">
        <f ca="1">IFERROR(__xludf.DUMMYFUNCTION("""COMPUTED_VALUE"""),"ĐTPCUONDI")</f>
        <v>ĐTPCUONDI</v>
      </c>
      <c r="C83" s="581" t="str">
        <f ca="1">IFERROR(__xludf.DUMMYFUNCTION("""COMPUTED_VALUE"""),"DOC095208145")</f>
        <v>DOC095208145</v>
      </c>
      <c r="D83" s="582" t="str">
        <f ca="1">IFERROR(__xludf.DUMMYFUNCTION("""COMPUTED_VALUE"""),"Đồng ống PC 09.52x0.81x45")</f>
        <v>Đồng ống PC 09.52x0.81x45</v>
      </c>
      <c r="E83" s="583">
        <f ca="1">IFERROR(__xludf.DUMMYFUNCTION("""COMPUTED_VALUE"""),0.1)</f>
        <v>0.1</v>
      </c>
      <c r="F83" s="584" t="str">
        <f ca="1">IFERROR(__xludf.DUMMYFUNCTION("""COMPUTED_VALUE"""),"Cuộn")</f>
        <v>Cuộn</v>
      </c>
      <c r="G83" s="584" t="str">
        <f ca="1">IFERROR(__xludf.DUMMYFUNCTION("""COMPUTED_VALUE"""),"Cuộn 45m")</f>
        <v>Cuộn 45m</v>
      </c>
      <c r="H83" s="582" t="str">
        <f ca="1">IFERROR(__xludf.DUMMYFUNCTION("""COMPUTED_VALUE"""),"9")</f>
        <v>9</v>
      </c>
      <c r="I83" s="585">
        <f ca="1">IFERROR(__xludf.DUMMYFUNCTION("""COMPUTED_VALUE"""),9.20055591)</f>
        <v>9.2005559100000003</v>
      </c>
      <c r="J83" s="586" t="str">
        <f ca="1">IFERROR(__xludf.DUMMYFUNCTION("""COMPUTED_VALUE""")," 09.52 ")</f>
        <v xml:space="preserve"> 09.52 </v>
      </c>
      <c r="K83" s="584" t="str">
        <f ca="1">IFERROR(__xludf.DUMMYFUNCTION("""COMPUTED_VALUE"""),"0.81")</f>
        <v>0.81</v>
      </c>
      <c r="L83" s="584">
        <f ca="1">IFERROR(__xludf.DUMMYFUNCTION("""COMPUTED_VALUE"""),45)</f>
        <v>45</v>
      </c>
      <c r="M83" s="584"/>
      <c r="N83" s="584" t="str">
        <f ca="1">IFERROR(__xludf.DUMMYFUNCTION("""COMPUTED_VALUE"""),"Dị_D&lt;54")</f>
        <v>Dị_D&lt;54</v>
      </c>
      <c r="O83" s="583"/>
      <c r="P83" s="584"/>
    </row>
    <row r="84" spans="1:17" ht="15.75">
      <c r="A84" s="587" t="str">
        <f ca="1">IFERROR(__xludf.DUMMYFUNCTION("""COMPUTED_VALUE"""),"Toàn Phát - Việt Nam")</f>
        <v>Toàn Phát - Việt Nam</v>
      </c>
      <c r="B84" s="587" t="str">
        <f ca="1">IFERROR(__xludf.DUMMYFUNCTION("""COMPUTED_VALUE"""),"ĐTPCUONDI")</f>
        <v>ĐTPCUONDI</v>
      </c>
      <c r="C84" s="587" t="str">
        <f ca="1">IFERROR(__xludf.DUMMYFUNCTION("""COMPUTED_VALUE"""),"DOC095208150")</f>
        <v>DOC095208150</v>
      </c>
      <c r="D84" s="588" t="str">
        <f ca="1">IFERROR(__xludf.DUMMYFUNCTION("""COMPUTED_VALUE"""),"Đồng ống PC 09.52x0.81x50")</f>
        <v>Đồng ống PC 09.52x0.81x50</v>
      </c>
      <c r="E84" s="589">
        <f ca="1">IFERROR(__xludf.DUMMYFUNCTION("""COMPUTED_VALUE"""),0.1)</f>
        <v>0.1</v>
      </c>
      <c r="F84" s="590" t="str">
        <f ca="1">IFERROR(__xludf.DUMMYFUNCTION("""COMPUTED_VALUE"""),"Cuộn")</f>
        <v>Cuộn</v>
      </c>
      <c r="G84" s="590" t="str">
        <f ca="1">IFERROR(__xludf.DUMMYFUNCTION("""COMPUTED_VALUE"""),"Cuộn 50m")</f>
        <v>Cuộn 50m</v>
      </c>
      <c r="H84" s="588" t="str">
        <f ca="1">IFERROR(__xludf.DUMMYFUNCTION("""COMPUTED_VALUE"""),"9")</f>
        <v>9</v>
      </c>
      <c r="I84" s="591">
        <f ca="1">IFERROR(__xludf.DUMMYFUNCTION("""COMPUTED_VALUE"""),10.2228398999999)</f>
        <v>10.222839899999901</v>
      </c>
      <c r="J84" s="592" t="str">
        <f ca="1">IFERROR(__xludf.DUMMYFUNCTION("""COMPUTED_VALUE""")," 09.52 ")</f>
        <v xml:space="preserve"> 09.52 </v>
      </c>
      <c r="K84" s="590" t="str">
        <f ca="1">IFERROR(__xludf.DUMMYFUNCTION("""COMPUTED_VALUE"""),"0.81")</f>
        <v>0.81</v>
      </c>
      <c r="L84" s="590">
        <f ca="1">IFERROR(__xludf.DUMMYFUNCTION("""COMPUTED_VALUE"""),50)</f>
        <v>50</v>
      </c>
      <c r="M84" s="590"/>
      <c r="N84" s="590" t="str">
        <f ca="1">IFERROR(__xludf.DUMMYFUNCTION("""COMPUTED_VALUE"""),"Dị_D&lt;54")</f>
        <v>Dị_D&lt;54</v>
      </c>
      <c r="O84" s="589">
        <f ca="1">IFERROR(__xludf.DUMMYFUNCTION("""COMPUTED_VALUE"""),1)</f>
        <v>1</v>
      </c>
      <c r="P84" s="590"/>
    </row>
    <row r="85" spans="1:17" ht="15.75">
      <c r="A85" s="581" t="str">
        <f ca="1">IFERROR(__xludf.DUMMYFUNCTION("""COMPUTED_VALUE"""),"Toàn Phát - Việt Nam")</f>
        <v>Toàn Phát - Việt Nam</v>
      </c>
      <c r="B85" s="581" t="str">
        <f ca="1">IFERROR(__xludf.DUMMYFUNCTION("""COMPUTED_VALUE"""),"ĐTPCUONDI")</f>
        <v>ĐTPCUONDI</v>
      </c>
      <c r="C85" s="581" t="str">
        <f ca="1">IFERROR(__xludf.DUMMYFUNCTION("""COMPUTED_VALUE"""),"DOC0952090")</f>
        <v>DOC0952090</v>
      </c>
      <c r="D85" s="582" t="str">
        <f ca="1">IFERROR(__xludf.DUMMYFUNCTION("""COMPUTED_VALUE"""),"Đồng ống PC 09.52x0.90")</f>
        <v>Đồng ống PC 09.52x0.90</v>
      </c>
      <c r="E85" s="583">
        <f ca="1">IFERROR(__xludf.DUMMYFUNCTION("""COMPUTED_VALUE"""),0.1)</f>
        <v>0.1</v>
      </c>
      <c r="F85" s="584" t="str">
        <f ca="1">IFERROR(__xludf.DUMMYFUNCTION("""COMPUTED_VALUE"""),"Cuộn")</f>
        <v>Cuộn</v>
      </c>
      <c r="G85" s="584" t="str">
        <f ca="1">IFERROR(__xludf.DUMMYFUNCTION("""COMPUTED_VALUE"""),"Cuộn 15m")</f>
        <v>Cuộn 15m</v>
      </c>
      <c r="H85" s="582" t="str">
        <f ca="1">IFERROR(__xludf.DUMMYFUNCTION("""COMPUTED_VALUE"""),"9")</f>
        <v>9</v>
      </c>
      <c r="I85" s="585">
        <f ca="1">IFERROR(__xludf.DUMMYFUNCTION("""COMPUTED_VALUE"""),3.37240259999999)</f>
        <v>3.3724025999999898</v>
      </c>
      <c r="J85" s="586" t="str">
        <f ca="1">IFERROR(__xludf.DUMMYFUNCTION("""COMPUTED_VALUE""")," 09.52 ")</f>
        <v xml:space="preserve"> 09.52 </v>
      </c>
      <c r="K85" s="584" t="str">
        <f ca="1">IFERROR(__xludf.DUMMYFUNCTION("""COMPUTED_VALUE"""),"0.90")</f>
        <v>0.90</v>
      </c>
      <c r="L85" s="584">
        <f ca="1">IFERROR(__xludf.DUMMYFUNCTION("""COMPUTED_VALUE"""),15)</f>
        <v>15</v>
      </c>
      <c r="M85" s="584"/>
      <c r="N85" s="584" t="str">
        <f ca="1">IFERROR(__xludf.DUMMYFUNCTION("""COMPUTED_VALUE"""),"Dị_D&lt;54")</f>
        <v>Dị_D&lt;54</v>
      </c>
      <c r="O85" s="583"/>
      <c r="P85" s="584"/>
    </row>
    <row r="86" spans="1:17" ht="15.75">
      <c r="A86" s="587" t="str">
        <f ca="1">IFERROR(__xludf.DUMMYFUNCTION("""COMPUTED_VALUE"""),"Toàn Phát - Việt Nam")</f>
        <v>Toàn Phát - Việt Nam</v>
      </c>
      <c r="B86" s="587" t="str">
        <f ca="1">IFERROR(__xludf.DUMMYFUNCTION("""COMPUTED_VALUE"""),"ĐTPCUONDI")</f>
        <v>ĐTPCUONDI</v>
      </c>
      <c r="C86" s="587" t="str">
        <f ca="1">IFERROR(__xludf.DUMMYFUNCTION("""COMPUTED_VALUE"""),"DOC0952095")</f>
        <v>DOC0952095</v>
      </c>
      <c r="D86" s="588" t="str">
        <f ca="1">IFERROR(__xludf.DUMMYFUNCTION("""COMPUTED_VALUE"""),"Đồng ống PC 9.52x0.95")</f>
        <v>Đồng ống PC 9.52x0.95</v>
      </c>
      <c r="E86" s="589">
        <f ca="1">IFERROR(__xludf.DUMMYFUNCTION("""COMPUTED_VALUE"""),0.1)</f>
        <v>0.1</v>
      </c>
      <c r="F86" s="590" t="str">
        <f ca="1">IFERROR(__xludf.DUMMYFUNCTION("""COMPUTED_VALUE"""),"Cuộn")</f>
        <v>Cuộn</v>
      </c>
      <c r="G86" s="590" t="str">
        <f ca="1">IFERROR(__xludf.DUMMYFUNCTION("""COMPUTED_VALUE"""),"Cuộn 15m")</f>
        <v>Cuộn 15m</v>
      </c>
      <c r="H86" s="588" t="str">
        <f ca="1">IFERROR(__xludf.DUMMYFUNCTION("""COMPUTED_VALUE"""),"9")</f>
        <v>9</v>
      </c>
      <c r="I86" s="591">
        <f ca="1">IFERROR(__xludf.DUMMYFUNCTION("""COMPUTED_VALUE"""),3.53911005)</f>
        <v>3.5391100500000001</v>
      </c>
      <c r="J86" s="592" t="str">
        <f ca="1">IFERROR(__xludf.DUMMYFUNCTION("""COMPUTED_VALUE""")," 09.52 ")</f>
        <v xml:space="preserve"> 09.52 </v>
      </c>
      <c r="K86" s="590" t="str">
        <f ca="1">IFERROR(__xludf.DUMMYFUNCTION("""COMPUTED_VALUE"""),"0.95")</f>
        <v>0.95</v>
      </c>
      <c r="L86" s="590">
        <f ca="1">IFERROR(__xludf.DUMMYFUNCTION("""COMPUTED_VALUE"""),15)</f>
        <v>15</v>
      </c>
      <c r="M86" s="590"/>
      <c r="N86" s="590" t="str">
        <f ca="1">IFERROR(__xludf.DUMMYFUNCTION("""COMPUTED_VALUE"""),"Dị_D&lt;54")</f>
        <v>Dị_D&lt;54</v>
      </c>
      <c r="O86" s="589"/>
      <c r="P86" s="590"/>
    </row>
    <row r="87" spans="1:17" ht="15.75">
      <c r="A87" s="581" t="str">
        <f ca="1">IFERROR(__xludf.DUMMYFUNCTION("""COMPUTED_VALUE"""),"Toàn Phát - Việt Nam")</f>
        <v>Toàn Phát - Việt Nam</v>
      </c>
      <c r="B87" s="581" t="str">
        <f ca="1">IFERROR(__xludf.DUMMYFUNCTION("""COMPUTED_VALUE"""),"ĐTPCUONDI")</f>
        <v>ĐTPCUONDI</v>
      </c>
      <c r="C87" s="581" t="str">
        <f ca="1">IFERROR(__xludf.DUMMYFUNCTION("""COMPUTED_VALUE"""),"DOC0952100")</f>
        <v>DOC0952100</v>
      </c>
      <c r="D87" s="582" t="str">
        <f ca="1">IFERROR(__xludf.DUMMYFUNCTION("""COMPUTED_VALUE"""),"Đồng ống PC 09.52x1.00")</f>
        <v>Đồng ống PC 09.52x1.00</v>
      </c>
      <c r="E87" s="583">
        <f ca="1">IFERROR(__xludf.DUMMYFUNCTION("""COMPUTED_VALUE"""),0.1)</f>
        <v>0.1</v>
      </c>
      <c r="F87" s="584" t="str">
        <f ca="1">IFERROR(__xludf.DUMMYFUNCTION("""COMPUTED_VALUE"""),"Cuộn")</f>
        <v>Cuộn</v>
      </c>
      <c r="G87" s="584" t="str">
        <f ca="1">IFERROR(__xludf.DUMMYFUNCTION("""COMPUTED_VALUE"""),"Cuộn 15m")</f>
        <v>Cuộn 15m</v>
      </c>
      <c r="H87" s="582" t="str">
        <f ca="1">IFERROR(__xludf.DUMMYFUNCTION("""COMPUTED_VALUE"""),"9")</f>
        <v>9</v>
      </c>
      <c r="I87" s="585">
        <f ca="1">IFERROR(__xludf.DUMMYFUNCTION("""COMPUTED_VALUE"""),3.70364399999999)</f>
        <v>3.7036439999999899</v>
      </c>
      <c r="J87" s="586" t="str">
        <f ca="1">IFERROR(__xludf.DUMMYFUNCTION("""COMPUTED_VALUE""")," 09.52 ")</f>
        <v xml:space="preserve"> 09.52 </v>
      </c>
      <c r="K87" s="584" t="str">
        <f ca="1">IFERROR(__xludf.DUMMYFUNCTION("""COMPUTED_VALUE"""),"1.00")</f>
        <v>1.00</v>
      </c>
      <c r="L87" s="584">
        <f ca="1">IFERROR(__xludf.DUMMYFUNCTION("""COMPUTED_VALUE"""),15)</f>
        <v>15</v>
      </c>
      <c r="M87" s="584"/>
      <c r="N87" s="584" t="str">
        <f ca="1">IFERROR(__xludf.DUMMYFUNCTION("""COMPUTED_VALUE"""),"Dị_D&lt;54")</f>
        <v>Dị_D&lt;54</v>
      </c>
      <c r="O87" s="583"/>
      <c r="P87" s="584"/>
    </row>
    <row r="88" spans="1:17" ht="15.75">
      <c r="A88" s="587" t="str">
        <f ca="1">IFERROR(__xludf.DUMMYFUNCTION("""COMPUTED_VALUE"""),"Toàn Phát - Việt Nam")</f>
        <v>Toàn Phát - Việt Nam</v>
      </c>
      <c r="B88" s="587" t="str">
        <f ca="1">IFERROR(__xludf.DUMMYFUNCTION("""COMPUTED_VALUE"""),"ĐTPCUONDI")</f>
        <v>ĐTPCUONDI</v>
      </c>
      <c r="C88" s="587" t="str">
        <f ca="1">IFERROR(__xludf.DUMMYFUNCTION("""COMPUTED_VALUE"""),"DOC0952150")</f>
        <v>DOC0952150</v>
      </c>
      <c r="D88" s="588" t="str">
        <f ca="1">IFERROR(__xludf.DUMMYFUNCTION("""COMPUTED_VALUE"""),"Đồng ống PC 09.52x1.50")</f>
        <v>Đồng ống PC 09.52x1.50</v>
      </c>
      <c r="E88" s="589">
        <f ca="1">IFERROR(__xludf.DUMMYFUNCTION("""COMPUTED_VALUE"""),0.1)</f>
        <v>0.1</v>
      </c>
      <c r="F88" s="590" t="str">
        <f ca="1">IFERROR(__xludf.DUMMYFUNCTION("""COMPUTED_VALUE"""),"Cuộn")</f>
        <v>Cuộn</v>
      </c>
      <c r="G88" s="590" t="str">
        <f ca="1">IFERROR(__xludf.DUMMYFUNCTION("""COMPUTED_VALUE"""),"Cuộn 15m")</f>
        <v>Cuộn 15m</v>
      </c>
      <c r="H88" s="588" t="str">
        <f ca="1">IFERROR(__xludf.DUMMYFUNCTION("""COMPUTED_VALUE"""),"9")</f>
        <v>9</v>
      </c>
      <c r="I88" s="591">
        <f ca="1">IFERROR(__xludf.DUMMYFUNCTION("""COMPUTED_VALUE"""),5.229441)</f>
        <v>5.2294409999999996</v>
      </c>
      <c r="J88" s="592" t="str">
        <f ca="1">IFERROR(__xludf.DUMMYFUNCTION("""COMPUTED_VALUE""")," 09.52 ")</f>
        <v xml:space="preserve"> 09.52 </v>
      </c>
      <c r="K88" s="590" t="str">
        <f ca="1">IFERROR(__xludf.DUMMYFUNCTION("""COMPUTED_VALUE"""),"1.50")</f>
        <v>1.50</v>
      </c>
      <c r="L88" s="590">
        <f ca="1">IFERROR(__xludf.DUMMYFUNCTION("""COMPUTED_VALUE"""),15)</f>
        <v>15</v>
      </c>
      <c r="M88" s="590"/>
      <c r="N88" s="590" t="str">
        <f ca="1">IFERROR(__xludf.DUMMYFUNCTION("""COMPUTED_VALUE"""),"Dị_D&lt;54")</f>
        <v>Dị_D&lt;54</v>
      </c>
      <c r="O88" s="589"/>
      <c r="P88" s="590"/>
    </row>
    <row r="89" spans="1:17" ht="15.75">
      <c r="A89" s="581" t="str">
        <f ca="1">IFERROR(__xludf.DUMMYFUNCTION("""COMPUTED_VALUE"""),"Toàn Phát - Việt Nam")</f>
        <v>Toàn Phát - Việt Nam</v>
      </c>
      <c r="B89" s="581" t="str">
        <f ca="1">IFERROR(__xludf.DUMMYFUNCTION("""COMPUTED_VALUE"""),"ĐTPCUONDI")</f>
        <v>ĐTPCUONDI</v>
      </c>
      <c r="C89" s="581" t="str">
        <f ca="1">IFERROR(__xludf.DUMMYFUNCTION("""COMPUTED_VALUE"""),"DOC1000100")</f>
        <v>DOC1000100</v>
      </c>
      <c r="D89" s="582" t="str">
        <f ca="1">IFERROR(__xludf.DUMMYFUNCTION("""COMPUTED_VALUE"""),"Đồng ống PC 10.00x1.00")</f>
        <v>Đồng ống PC 10.00x1.00</v>
      </c>
      <c r="E89" s="583">
        <f ca="1">IFERROR(__xludf.DUMMYFUNCTION("""COMPUTED_VALUE"""),0.1)</f>
        <v>0.1</v>
      </c>
      <c r="F89" s="584" t="str">
        <f ca="1">IFERROR(__xludf.DUMMYFUNCTION("""COMPUTED_VALUE"""),"Cuộn")</f>
        <v>Cuộn</v>
      </c>
      <c r="G89" s="584" t="str">
        <f ca="1">IFERROR(__xludf.DUMMYFUNCTION("""COMPUTED_VALUE"""),"Cuộn 15m")</f>
        <v>Cuộn 15m</v>
      </c>
      <c r="H89" s="582"/>
      <c r="I89" s="585">
        <f ca="1">IFERROR(__xludf.DUMMYFUNCTION("""COMPUTED_VALUE"""),3.9123)</f>
        <v>3.9123000000000001</v>
      </c>
      <c r="J89" s="586" t="str">
        <f ca="1">IFERROR(__xludf.DUMMYFUNCTION("""COMPUTED_VALUE""")," 10.00 ")</f>
        <v xml:space="preserve"> 10.00 </v>
      </c>
      <c r="K89" s="584" t="str">
        <f ca="1">IFERROR(__xludf.DUMMYFUNCTION("""COMPUTED_VALUE"""),"1.00")</f>
        <v>1.00</v>
      </c>
      <c r="L89" s="584">
        <f ca="1">IFERROR(__xludf.DUMMYFUNCTION("""COMPUTED_VALUE"""),15)</f>
        <v>15</v>
      </c>
      <c r="M89" s="584"/>
      <c r="N89" s="584" t="str">
        <f ca="1">IFERROR(__xludf.DUMMYFUNCTION("""COMPUTED_VALUE"""),"Dị_D&lt;54")</f>
        <v>Dị_D&lt;54</v>
      </c>
      <c r="O89" s="583"/>
      <c r="P89" s="584"/>
    </row>
    <row r="90" spans="1:17" ht="15.75">
      <c r="A90" s="587" t="str">
        <f ca="1">IFERROR(__xludf.DUMMYFUNCTION("""COMPUTED_VALUE"""),"Toàn Phát - Việt Nam")</f>
        <v>Toàn Phát - Việt Nam</v>
      </c>
      <c r="B90" s="587" t="str">
        <f ca="1">IFERROR(__xludf.DUMMYFUNCTION("""COMPUTED_VALUE"""),"ĐTPCUONDI")</f>
        <v>ĐTPCUONDI</v>
      </c>
      <c r="C90" s="587" t="str">
        <f ca="1">IFERROR(__xludf.DUMMYFUNCTION("""COMPUTED_VALUE"""),"DOC1000150")</f>
        <v>DOC1000150</v>
      </c>
      <c r="D90" s="588" t="str">
        <f ca="1">IFERROR(__xludf.DUMMYFUNCTION("""COMPUTED_VALUE"""),"Đồng ống PC 10.00x1.50")</f>
        <v>Đồng ống PC 10.00x1.50</v>
      </c>
      <c r="E90" s="589">
        <f ca="1">IFERROR(__xludf.DUMMYFUNCTION("""COMPUTED_VALUE"""),0.1)</f>
        <v>0.1</v>
      </c>
      <c r="F90" s="590" t="str">
        <f ca="1">IFERROR(__xludf.DUMMYFUNCTION("""COMPUTED_VALUE"""),"Cuộn")</f>
        <v>Cuộn</v>
      </c>
      <c r="G90" s="590" t="str">
        <f ca="1">IFERROR(__xludf.DUMMYFUNCTION("""COMPUTED_VALUE"""),"Cuộn 15m")</f>
        <v>Cuộn 15m</v>
      </c>
      <c r="H90" s="588"/>
      <c r="I90" s="591">
        <f ca="1">IFERROR(__xludf.DUMMYFUNCTION("""COMPUTED_VALUE"""),5.54242499999999)</f>
        <v>5.5424249999999899</v>
      </c>
      <c r="J90" s="592" t="str">
        <f ca="1">IFERROR(__xludf.DUMMYFUNCTION("""COMPUTED_VALUE""")," 10.00 ")</f>
        <v xml:space="preserve"> 10.00 </v>
      </c>
      <c r="K90" s="590" t="str">
        <f ca="1">IFERROR(__xludf.DUMMYFUNCTION("""COMPUTED_VALUE"""),"1.50")</f>
        <v>1.50</v>
      </c>
      <c r="L90" s="590">
        <f ca="1">IFERROR(__xludf.DUMMYFUNCTION("""COMPUTED_VALUE"""),15)</f>
        <v>15</v>
      </c>
      <c r="M90" s="590"/>
      <c r="N90" s="590" t="str">
        <f ca="1">IFERROR(__xludf.DUMMYFUNCTION("""COMPUTED_VALUE"""),"Dị_D&lt;54")</f>
        <v>Dị_D&lt;54</v>
      </c>
      <c r="O90" s="589"/>
      <c r="P90" s="590"/>
    </row>
    <row r="91" spans="1:17" ht="15.75">
      <c r="A91" s="581" t="str">
        <f ca="1">IFERROR(__xludf.DUMMYFUNCTION("""COMPUTED_VALUE"""),"Toàn Phát - Việt Nam")</f>
        <v>Toàn Phát - Việt Nam</v>
      </c>
      <c r="B91" s="581" t="str">
        <f ca="1">IFERROR(__xludf.DUMMYFUNCTION("""COMPUTED_VALUE"""),"ĐTPCUONDI")</f>
        <v>ĐTPCUONDI</v>
      </c>
      <c r="C91" s="581" t="str">
        <f ca="1">IFERROR(__xludf.DUMMYFUNCTION("""COMPUTED_VALUE"""),"DOC1200060")</f>
        <v>DOC1200060</v>
      </c>
      <c r="D91" s="582" t="str">
        <f ca="1">IFERROR(__xludf.DUMMYFUNCTION("""COMPUTED_VALUE"""),"Đồng ống PC 12.00x0.60")</f>
        <v>Đồng ống PC 12.00x0.60</v>
      </c>
      <c r="E91" s="583">
        <f ca="1">IFERROR(__xludf.DUMMYFUNCTION("""COMPUTED_VALUE"""),0.1)</f>
        <v>0.1</v>
      </c>
      <c r="F91" s="584" t="str">
        <f ca="1">IFERROR(__xludf.DUMMYFUNCTION("""COMPUTED_VALUE"""),"Cuộn")</f>
        <v>Cuộn</v>
      </c>
      <c r="G91" s="584" t="str">
        <f ca="1">IFERROR(__xludf.DUMMYFUNCTION("""COMPUTED_VALUE"""),"Cuộn 15m")</f>
        <v>Cuộn 15m</v>
      </c>
      <c r="H91" s="582"/>
      <c r="I91" s="585">
        <f ca="1">IFERROR(__xludf.DUMMYFUNCTION("""COMPUTED_VALUE"""),2.97334799999999)</f>
        <v>2.9733479999999899</v>
      </c>
      <c r="J91" s="586" t="str">
        <f ca="1">IFERROR(__xludf.DUMMYFUNCTION("""COMPUTED_VALUE""")," 12.00 ")</f>
        <v xml:space="preserve"> 12.00 </v>
      </c>
      <c r="K91" s="584" t="str">
        <f ca="1">IFERROR(__xludf.DUMMYFUNCTION("""COMPUTED_VALUE"""),"0.60")</f>
        <v>0.60</v>
      </c>
      <c r="L91" s="584">
        <f ca="1">IFERROR(__xludf.DUMMYFUNCTION("""COMPUTED_VALUE"""),15)</f>
        <v>15</v>
      </c>
      <c r="M91" s="584"/>
      <c r="N91" s="584" t="str">
        <f ca="1">IFERROR(__xludf.DUMMYFUNCTION("""COMPUTED_VALUE"""),"Dị_D&lt;54")</f>
        <v>Dị_D&lt;54</v>
      </c>
      <c r="O91" s="583"/>
      <c r="P91" s="584"/>
    </row>
    <row r="92" spans="1:17" ht="15.75">
      <c r="A92" s="587" t="str">
        <f ca="1">IFERROR(__xludf.DUMMYFUNCTION("""COMPUTED_VALUE"""),"Toàn Phát - Việt Nam")</f>
        <v>Toàn Phát - Việt Nam</v>
      </c>
      <c r="B92" s="587" t="str">
        <f ca="1">IFERROR(__xludf.DUMMYFUNCTION("""COMPUTED_VALUE"""),"ĐTPCUONDI")</f>
        <v>ĐTPCUONDI</v>
      </c>
      <c r="C92" s="587" t="str">
        <f ca="1">IFERROR(__xludf.DUMMYFUNCTION("""COMPUTED_VALUE"""),"DOC1200070")</f>
        <v>DOC1200070</v>
      </c>
      <c r="D92" s="588" t="str">
        <f ca="1">IFERROR(__xludf.DUMMYFUNCTION("""COMPUTED_VALUE"""),"Đồng ống PC 12.00x0.70")</f>
        <v>Đồng ống PC 12.00x0.70</v>
      </c>
      <c r="E92" s="589">
        <f ca="1">IFERROR(__xludf.DUMMYFUNCTION("""COMPUTED_VALUE"""),0.1)</f>
        <v>0.1</v>
      </c>
      <c r="F92" s="590" t="str">
        <f ca="1">IFERROR(__xludf.DUMMYFUNCTION("""COMPUTED_VALUE"""),"Cuộn")</f>
        <v>Cuộn</v>
      </c>
      <c r="G92" s="590" t="str">
        <f ca="1">IFERROR(__xludf.DUMMYFUNCTION("""COMPUTED_VALUE"""),"Cuộn 15m")</f>
        <v>Cuộn 15m</v>
      </c>
      <c r="H92" s="588"/>
      <c r="I92" s="591">
        <f ca="1">IFERROR(__xludf.DUMMYFUNCTION("""COMPUTED_VALUE"""),3.438477)</f>
        <v>3.4384769999999998</v>
      </c>
      <c r="J92" s="592" t="str">
        <f ca="1">IFERROR(__xludf.DUMMYFUNCTION("""COMPUTED_VALUE""")," 12.00 ")</f>
        <v xml:space="preserve"> 12.00 </v>
      </c>
      <c r="K92" s="590" t="str">
        <f ca="1">IFERROR(__xludf.DUMMYFUNCTION("""COMPUTED_VALUE"""),"0.70")</f>
        <v>0.70</v>
      </c>
      <c r="L92" s="590">
        <f ca="1">IFERROR(__xludf.DUMMYFUNCTION("""COMPUTED_VALUE"""),15)</f>
        <v>15</v>
      </c>
      <c r="M92" s="590"/>
      <c r="N92" s="590" t="str">
        <f ca="1">IFERROR(__xludf.DUMMYFUNCTION("""COMPUTED_VALUE"""),"Dị_D&lt;54")</f>
        <v>Dị_D&lt;54</v>
      </c>
      <c r="O92" s="589"/>
      <c r="P92" s="590"/>
    </row>
    <row r="93" spans="1:17" ht="15.75">
      <c r="A93" s="581" t="str">
        <f ca="1">IFERROR(__xludf.DUMMYFUNCTION("""COMPUTED_VALUE"""),"Toàn Phát - Việt Nam")</f>
        <v>Toàn Phát - Việt Nam</v>
      </c>
      <c r="B93" s="581" t="str">
        <f ca="1">IFERROR(__xludf.DUMMYFUNCTION("""COMPUTED_VALUE"""),"ĐTPCUONDI")</f>
        <v>ĐTPCUONDI</v>
      </c>
      <c r="C93" s="581" t="str">
        <f ca="1">IFERROR(__xludf.DUMMYFUNCTION("""COMPUTED_VALUE"""),"DOC1200080")</f>
        <v>DOC1200080</v>
      </c>
      <c r="D93" s="582" t="str">
        <f ca="1">IFERROR(__xludf.DUMMYFUNCTION("""COMPUTED_VALUE"""),"Đồng ống PC 12.00x0.80")</f>
        <v>Đồng ống PC 12.00x0.80</v>
      </c>
      <c r="E93" s="583">
        <f ca="1">IFERROR(__xludf.DUMMYFUNCTION("""COMPUTED_VALUE"""),0.1)</f>
        <v>0.1</v>
      </c>
      <c r="F93" s="584" t="str">
        <f ca="1">IFERROR(__xludf.DUMMYFUNCTION("""COMPUTED_VALUE"""),"Cuộn")</f>
        <v>Cuộn</v>
      </c>
      <c r="G93" s="584" t="str">
        <f ca="1">IFERROR(__xludf.DUMMYFUNCTION("""COMPUTED_VALUE"""),"Cuộn 15m")</f>
        <v>Cuộn 15m</v>
      </c>
      <c r="H93" s="582"/>
      <c r="I93" s="585">
        <f ca="1">IFERROR(__xludf.DUMMYFUNCTION("""COMPUTED_VALUE"""),3.89491199999999)</f>
        <v>3.8949119999999899</v>
      </c>
      <c r="J93" s="586" t="str">
        <f ca="1">IFERROR(__xludf.DUMMYFUNCTION("""COMPUTED_VALUE""")," 12.00 ")</f>
        <v xml:space="preserve"> 12.00 </v>
      </c>
      <c r="K93" s="584" t="str">
        <f ca="1">IFERROR(__xludf.DUMMYFUNCTION("""COMPUTED_VALUE"""),"0.80")</f>
        <v>0.80</v>
      </c>
      <c r="L93" s="584">
        <f ca="1">IFERROR(__xludf.DUMMYFUNCTION("""COMPUTED_VALUE"""),15)</f>
        <v>15</v>
      </c>
      <c r="M93" s="584"/>
      <c r="N93" s="584" t="str">
        <f ca="1">IFERROR(__xludf.DUMMYFUNCTION("""COMPUTED_VALUE"""),"Dị_D&lt;54")</f>
        <v>Dị_D&lt;54</v>
      </c>
      <c r="O93" s="583"/>
      <c r="P93" s="584"/>
    </row>
    <row r="94" spans="1:17" ht="15.75">
      <c r="A94" s="587" t="str">
        <f ca="1">IFERROR(__xludf.DUMMYFUNCTION("""COMPUTED_VALUE"""),"Toàn Phát - Việt Nam")</f>
        <v>Toàn Phát - Việt Nam</v>
      </c>
      <c r="B94" s="587" t="str">
        <f ca="1">IFERROR(__xludf.DUMMYFUNCTION("""COMPUTED_VALUE"""),"ĐTPCUONDI")</f>
        <v>ĐTPCUONDI</v>
      </c>
      <c r="C94" s="587" t="str">
        <f ca="1">IFERROR(__xludf.DUMMYFUNCTION("""COMPUTED_VALUE"""),"DOC1200095")</f>
        <v>DOC1200095</v>
      </c>
      <c r="D94" s="588" t="str">
        <f ca="1">IFERROR(__xludf.DUMMYFUNCTION("""COMPUTED_VALUE"""),"Đồng ống PC 12.00x0.95")</f>
        <v>Đồng ống PC 12.00x0.95</v>
      </c>
      <c r="E94" s="589">
        <f ca="1">IFERROR(__xludf.DUMMYFUNCTION("""COMPUTED_VALUE"""),0.1)</f>
        <v>0.1</v>
      </c>
      <c r="F94" s="590" t="str">
        <f ca="1">IFERROR(__xludf.DUMMYFUNCTION("""COMPUTED_VALUE"""),"Cuộn")</f>
        <v>Cuộn</v>
      </c>
      <c r="G94" s="590" t="str">
        <f ca="1">IFERROR(__xludf.DUMMYFUNCTION("""COMPUTED_VALUE"""),"Cuộn 15m")</f>
        <v>Cuộn 15m</v>
      </c>
      <c r="H94" s="588"/>
      <c r="I94" s="591">
        <f ca="1">IFERROR(__xludf.DUMMYFUNCTION("""COMPUTED_VALUE"""),4.56326325)</f>
        <v>4.5632632500000003</v>
      </c>
      <c r="J94" s="592" t="str">
        <f ca="1">IFERROR(__xludf.DUMMYFUNCTION("""COMPUTED_VALUE""")," 12.00 ")</f>
        <v xml:space="preserve"> 12.00 </v>
      </c>
      <c r="K94" s="590" t="str">
        <f ca="1">IFERROR(__xludf.DUMMYFUNCTION("""COMPUTED_VALUE"""),"0.95")</f>
        <v>0.95</v>
      </c>
      <c r="L94" s="590">
        <f ca="1">IFERROR(__xludf.DUMMYFUNCTION("""COMPUTED_VALUE"""),15)</f>
        <v>15</v>
      </c>
      <c r="M94" s="590"/>
      <c r="N94" s="590" t="str">
        <f ca="1">IFERROR(__xludf.DUMMYFUNCTION("""COMPUTED_VALUE"""),"Dị_D&lt;54")</f>
        <v>Dị_D&lt;54</v>
      </c>
      <c r="O94" s="589"/>
      <c r="P94" s="590"/>
    </row>
    <row r="95" spans="1:17" ht="15.75">
      <c r="A95" s="581" t="str">
        <f ca="1">IFERROR(__xludf.DUMMYFUNCTION("""COMPUTED_VALUE"""),"Toàn Phát - Việt Nam")</f>
        <v>Toàn Phát - Việt Nam</v>
      </c>
      <c r="B95" s="581" t="str">
        <f ca="1">IFERROR(__xludf.DUMMYFUNCTION("""COMPUTED_VALUE"""),"ĐTPCUONDI")</f>
        <v>ĐTPCUONDI</v>
      </c>
      <c r="C95" s="581" t="str">
        <f ca="1">IFERROR(__xludf.DUMMYFUNCTION("""COMPUTED_VALUE"""),"DOC1200100")</f>
        <v>DOC1200100</v>
      </c>
      <c r="D95" s="582" t="str">
        <f ca="1">IFERROR(__xludf.DUMMYFUNCTION("""COMPUTED_VALUE"""),"Đồng ống PC 12.00x1.00")</f>
        <v>Đồng ống PC 12.00x1.00</v>
      </c>
      <c r="E95" s="583">
        <f ca="1">IFERROR(__xludf.DUMMYFUNCTION("""COMPUTED_VALUE"""),0.1)</f>
        <v>0.1</v>
      </c>
      <c r="F95" s="584" t="str">
        <f ca="1">IFERROR(__xludf.DUMMYFUNCTION("""COMPUTED_VALUE"""),"Cuộn")</f>
        <v>Cuộn</v>
      </c>
      <c r="G95" s="584" t="str">
        <f ca="1">IFERROR(__xludf.DUMMYFUNCTION("""COMPUTED_VALUE"""),"Cuộn 15m")</f>
        <v>Cuộn 15m</v>
      </c>
      <c r="H95" s="582"/>
      <c r="I95" s="585">
        <f ca="1">IFERROR(__xludf.DUMMYFUNCTION("""COMPUTED_VALUE"""),4.7817)</f>
        <v>4.7816999999999998</v>
      </c>
      <c r="J95" s="586" t="str">
        <f ca="1">IFERROR(__xludf.DUMMYFUNCTION("""COMPUTED_VALUE""")," 12.00 ")</f>
        <v xml:space="preserve"> 12.00 </v>
      </c>
      <c r="K95" s="584" t="str">
        <f ca="1">IFERROR(__xludf.DUMMYFUNCTION("""COMPUTED_VALUE"""),"1.00")</f>
        <v>1.00</v>
      </c>
      <c r="L95" s="584">
        <f ca="1">IFERROR(__xludf.DUMMYFUNCTION("""COMPUTED_VALUE"""),15)</f>
        <v>15</v>
      </c>
      <c r="M95" s="584"/>
      <c r="N95" s="584" t="str">
        <f ca="1">IFERROR(__xludf.DUMMYFUNCTION("""COMPUTED_VALUE"""),"Dị_D&lt;54")</f>
        <v>Dị_D&lt;54</v>
      </c>
      <c r="O95" s="583"/>
      <c r="P95" s="584"/>
    </row>
    <row r="96" spans="1:17" ht="15.75">
      <c r="A96" s="587" t="str">
        <f ca="1">IFERROR(__xludf.DUMMYFUNCTION("""COMPUTED_VALUE"""),"Toàn Phát - Việt Nam")</f>
        <v>Toàn Phát - Việt Nam</v>
      </c>
      <c r="B96" s="587" t="str">
        <f ca="1">IFERROR(__xludf.DUMMYFUNCTION("""COMPUTED_VALUE"""),"ĐTPCUONDI")</f>
        <v>ĐTPCUONDI</v>
      </c>
      <c r="C96" s="587" t="str">
        <f ca="1">IFERROR(__xludf.DUMMYFUNCTION("""COMPUTED_VALUE"""),"DOC1200120")</f>
        <v>DOC1200120</v>
      </c>
      <c r="D96" s="588" t="str">
        <f ca="1">IFERROR(__xludf.DUMMYFUNCTION("""COMPUTED_VALUE"""),"Đồng ống PC 12.00x1.20")</f>
        <v>Đồng ống PC 12.00x1.20</v>
      </c>
      <c r="E96" s="589">
        <f ca="1">IFERROR(__xludf.DUMMYFUNCTION("""COMPUTED_VALUE"""),0.1)</f>
        <v>0.1</v>
      </c>
      <c r="F96" s="590" t="str">
        <f ca="1">IFERROR(__xludf.DUMMYFUNCTION("""COMPUTED_VALUE"""),"Cuộn")</f>
        <v>Cuộn</v>
      </c>
      <c r="G96" s="590" t="str">
        <f ca="1">IFERROR(__xludf.DUMMYFUNCTION("""COMPUTED_VALUE"""),"Cuộn 15m")</f>
        <v>Cuộn 15m</v>
      </c>
      <c r="H96" s="588"/>
      <c r="I96" s="591">
        <f ca="1">IFERROR(__xludf.DUMMYFUNCTION("""COMPUTED_VALUE"""),5.633712)</f>
        <v>5.6337120000000001</v>
      </c>
      <c r="J96" s="592" t="str">
        <f ca="1">IFERROR(__xludf.DUMMYFUNCTION("""COMPUTED_VALUE""")," 12.00 ")</f>
        <v xml:space="preserve"> 12.00 </v>
      </c>
      <c r="K96" s="590" t="str">
        <f ca="1">IFERROR(__xludf.DUMMYFUNCTION("""COMPUTED_VALUE"""),"1.20")</f>
        <v>1.20</v>
      </c>
      <c r="L96" s="590">
        <f ca="1">IFERROR(__xludf.DUMMYFUNCTION("""COMPUTED_VALUE"""),15)</f>
        <v>15</v>
      </c>
      <c r="M96" s="590"/>
      <c r="N96" s="590" t="str">
        <f ca="1">IFERROR(__xludf.DUMMYFUNCTION("""COMPUTED_VALUE"""),"Dị_D&lt;54")</f>
        <v>Dị_D&lt;54</v>
      </c>
      <c r="O96" s="589"/>
      <c r="P96" s="590"/>
    </row>
    <row r="97" spans="1:17" ht="15.75">
      <c r="A97" s="581" t="str">
        <f ca="1">IFERROR(__xludf.DUMMYFUNCTION("""COMPUTED_VALUE"""),"Toàn Phát - Việt Nam")</f>
        <v>Toàn Phát - Việt Nam</v>
      </c>
      <c r="B97" s="581" t="str">
        <f ca="1">IFERROR(__xludf.DUMMYFUNCTION("""COMPUTED_VALUE"""),"ĐTPCUONDI")</f>
        <v>ĐTPCUONDI</v>
      </c>
      <c r="C97" s="581" t="str">
        <f ca="1">IFERROR(__xludf.DUMMYFUNCTION("""COMPUTED_VALUE"""),"DOC1200200")</f>
        <v>DOC1200200</v>
      </c>
      <c r="D97" s="582" t="str">
        <f ca="1">IFERROR(__xludf.DUMMYFUNCTION("""COMPUTED_VALUE"""),"Đồng ống cuộn 12.00x2.00x15m")</f>
        <v>Đồng ống cuộn 12.00x2.00x15m</v>
      </c>
      <c r="E97" s="583">
        <f ca="1">IFERROR(__xludf.DUMMYFUNCTION("""COMPUTED_VALUE"""),0.1)</f>
        <v>0.1</v>
      </c>
      <c r="F97" s="584" t="str">
        <f ca="1">IFERROR(__xludf.DUMMYFUNCTION("""COMPUTED_VALUE"""),"Cuộn")</f>
        <v>Cuộn</v>
      </c>
      <c r="G97" s="584" t="str">
        <f ca="1">IFERROR(__xludf.DUMMYFUNCTION("""COMPUTED_VALUE"""),"Cuộn 15m")</f>
        <v>Cuộn 15m</v>
      </c>
      <c r="H97" s="582"/>
      <c r="I97" s="585">
        <f ca="1">IFERROR(__xludf.DUMMYFUNCTION("""COMPUTED_VALUE"""),8.69399999999999)</f>
        <v>8.6939999999999902</v>
      </c>
      <c r="J97" s="586" t="str">
        <f ca="1">IFERROR(__xludf.DUMMYFUNCTION("""COMPUTED_VALUE""")," 12.00 ")</f>
        <v xml:space="preserve"> 12.00 </v>
      </c>
      <c r="K97" s="584" t="str">
        <f ca="1">IFERROR(__xludf.DUMMYFUNCTION("""COMPUTED_VALUE"""),"2.00")</f>
        <v>2.00</v>
      </c>
      <c r="L97" s="584">
        <f ca="1">IFERROR(__xludf.DUMMYFUNCTION("""COMPUTED_VALUE"""),15)</f>
        <v>15</v>
      </c>
      <c r="M97" s="584"/>
      <c r="N97" s="584" t="str">
        <f ca="1">IFERROR(__xludf.DUMMYFUNCTION("""COMPUTED_VALUE"""),"Dị_D&lt;54")</f>
        <v>Dị_D&lt;54</v>
      </c>
      <c r="O97" s="583"/>
      <c r="P97" s="584"/>
    </row>
    <row r="98" spans="1:17" ht="15.75">
      <c r="A98" s="587" t="str">
        <f ca="1">IFERROR(__xludf.DUMMYFUNCTION("""COMPUTED_VALUE"""),"Toàn Phát - Việt Nam")</f>
        <v>Toàn Phát - Việt Nam</v>
      </c>
      <c r="B98" s="587" t="str">
        <f ca="1">IFERROR(__xludf.DUMMYFUNCTION("""COMPUTED_VALUE"""),"ĐTPCUONDI")</f>
        <v>ĐTPCUONDI</v>
      </c>
      <c r="C98" s="587" t="str">
        <f ca="1">IFERROR(__xludf.DUMMYFUNCTION("""COMPUTED_VALUE"""),"DOC1270050")</f>
        <v>DOC1270050</v>
      </c>
      <c r="D98" s="588" t="str">
        <f ca="1">IFERROR(__xludf.DUMMYFUNCTION("""COMPUTED_VALUE"""),"Đồng ống PC 12.70x0.50")</f>
        <v>Đồng ống PC 12.70x0.50</v>
      </c>
      <c r="E98" s="589">
        <f ca="1">IFERROR(__xludf.DUMMYFUNCTION("""COMPUTED_VALUE"""),0.1)</f>
        <v>0.1</v>
      </c>
      <c r="F98" s="590" t="str">
        <f ca="1">IFERROR(__xludf.DUMMYFUNCTION("""COMPUTED_VALUE"""),"Cuộn")</f>
        <v>Cuộn</v>
      </c>
      <c r="G98" s="590" t="str">
        <f ca="1">IFERROR(__xludf.DUMMYFUNCTION("""COMPUTED_VALUE"""),"Cuộn 15m")</f>
        <v>Cuộn 15m</v>
      </c>
      <c r="H98" s="588" t="str">
        <f ca="1">IFERROR(__xludf.DUMMYFUNCTION("""COMPUTED_VALUE"""),"7")</f>
        <v>7</v>
      </c>
      <c r="I98" s="591">
        <f ca="1">IFERROR(__xludf.DUMMYFUNCTION("""COMPUTED_VALUE"""),2.65167)</f>
        <v>2.6516700000000002</v>
      </c>
      <c r="J98" s="592" t="str">
        <f ca="1">IFERROR(__xludf.DUMMYFUNCTION("""COMPUTED_VALUE""")," 12.70 ")</f>
        <v xml:space="preserve"> 12.70 </v>
      </c>
      <c r="K98" s="590" t="str">
        <f ca="1">IFERROR(__xludf.DUMMYFUNCTION("""COMPUTED_VALUE"""),"0.50")</f>
        <v>0.50</v>
      </c>
      <c r="L98" s="590">
        <f ca="1">IFERROR(__xludf.DUMMYFUNCTION("""COMPUTED_VALUE"""),15)</f>
        <v>15</v>
      </c>
      <c r="M98" s="590"/>
      <c r="N98" s="590" t="str">
        <f ca="1">IFERROR(__xludf.DUMMYFUNCTION("""COMPUTED_VALUE"""),"Dị_D&lt;54")</f>
        <v>Dị_D&lt;54</v>
      </c>
      <c r="O98" s="589"/>
      <c r="P98" s="590"/>
    </row>
    <row r="99" spans="1:17" ht="15.75">
      <c r="A99" s="581" t="str">
        <f ca="1">IFERROR(__xludf.DUMMYFUNCTION("""COMPUTED_VALUE"""),"Toàn Phát - Việt Nam")</f>
        <v>Toàn Phát - Việt Nam</v>
      </c>
      <c r="B99" s="581" t="str">
        <f ca="1">IFERROR(__xludf.DUMMYFUNCTION("""COMPUTED_VALUE"""),"ĐTPCUONDI")</f>
        <v>ĐTPCUONDI</v>
      </c>
      <c r="C99" s="581" t="str">
        <f ca="1">IFERROR(__xludf.DUMMYFUNCTION("""COMPUTED_VALUE"""),"DOC1270055")</f>
        <v>DOC1270055</v>
      </c>
      <c r="D99" s="582" t="str">
        <f ca="1">IFERROR(__xludf.DUMMYFUNCTION("""COMPUTED_VALUE"""),"Đồng ống PC 12.70x0.55")</f>
        <v>Đồng ống PC 12.70x0.55</v>
      </c>
      <c r="E99" s="583">
        <f ca="1">IFERROR(__xludf.DUMMYFUNCTION("""COMPUTED_VALUE"""),0.1)</f>
        <v>0.1</v>
      </c>
      <c r="F99" s="584" t="str">
        <f ca="1">IFERROR(__xludf.DUMMYFUNCTION("""COMPUTED_VALUE"""),"Cuộn")</f>
        <v>Cuộn</v>
      </c>
      <c r="G99" s="584" t="str">
        <f ca="1">IFERROR(__xludf.DUMMYFUNCTION("""COMPUTED_VALUE"""),"Cuộn 15m")</f>
        <v>Cuộn 15m</v>
      </c>
      <c r="H99" s="582" t="str">
        <f ca="1">IFERROR(__xludf.DUMMYFUNCTION("""COMPUTED_VALUE"""),"7")</f>
        <v>7</v>
      </c>
      <c r="I99" s="585">
        <f ca="1">IFERROR(__xludf.DUMMYFUNCTION("""COMPUTED_VALUE"""),2.90488274999999)</f>
        <v>2.9048827499999899</v>
      </c>
      <c r="J99" s="586" t="str">
        <f ca="1">IFERROR(__xludf.DUMMYFUNCTION("""COMPUTED_VALUE""")," 12.70 ")</f>
        <v xml:space="preserve"> 12.70 </v>
      </c>
      <c r="K99" s="584" t="str">
        <f ca="1">IFERROR(__xludf.DUMMYFUNCTION("""COMPUTED_VALUE"""),"0.55")</f>
        <v>0.55</v>
      </c>
      <c r="L99" s="584">
        <f ca="1">IFERROR(__xludf.DUMMYFUNCTION("""COMPUTED_VALUE"""),15)</f>
        <v>15</v>
      </c>
      <c r="M99" s="584"/>
      <c r="N99" s="584" t="str">
        <f ca="1">IFERROR(__xludf.DUMMYFUNCTION("""COMPUTED_VALUE"""),"Dị_D&lt;54")</f>
        <v>Dị_D&lt;54</v>
      </c>
      <c r="O99" s="583"/>
      <c r="P99" s="584"/>
    </row>
    <row r="100" spans="1:17" ht="15.75">
      <c r="A100" s="587" t="str">
        <f ca="1">IFERROR(__xludf.DUMMYFUNCTION("""COMPUTED_VALUE"""),"Toàn Phát - Việt Nam")</f>
        <v>Toàn Phát - Việt Nam</v>
      </c>
      <c r="B100" s="587" t="str">
        <f ca="1">IFERROR(__xludf.DUMMYFUNCTION("""COMPUTED_VALUE"""),"ĐTPCUONDI")</f>
        <v>ĐTPCUONDI</v>
      </c>
      <c r="C100" s="587" t="str">
        <f ca="1">IFERROR(__xludf.DUMMYFUNCTION("""COMPUTED_VALUE"""),"DOC1270058")</f>
        <v>DOC1270058</v>
      </c>
      <c r="D100" s="588" t="str">
        <f ca="1">IFERROR(__xludf.DUMMYFUNCTION("""COMPUTED_VALUE"""),"Đồng ống PC 12.70x0.58")</f>
        <v>Đồng ống PC 12.70x0.58</v>
      </c>
      <c r="E100" s="589">
        <f ca="1">IFERROR(__xludf.DUMMYFUNCTION("""COMPUTED_VALUE"""),0.1)</f>
        <v>0.1</v>
      </c>
      <c r="F100" s="590" t="str">
        <f ca="1">IFERROR(__xludf.DUMMYFUNCTION("""COMPUTED_VALUE"""),"Cuộn")</f>
        <v>Cuộn</v>
      </c>
      <c r="G100" s="590" t="str">
        <f ca="1">IFERROR(__xludf.DUMMYFUNCTION("""COMPUTED_VALUE"""),"Cuộn 15m")</f>
        <v>Cuộn 15m</v>
      </c>
      <c r="H100" s="588" t="str">
        <f ca="1">IFERROR(__xludf.DUMMYFUNCTION("""COMPUTED_VALUE"""),"7")</f>
        <v>7</v>
      </c>
      <c r="I100" s="591">
        <f ca="1">IFERROR(__xludf.DUMMYFUNCTION("""COMPUTED_VALUE"""),3.05576711999999)</f>
        <v>3.0557671199999898</v>
      </c>
      <c r="J100" s="592" t="str">
        <f ca="1">IFERROR(__xludf.DUMMYFUNCTION("""COMPUTED_VALUE""")," 12.70 ")</f>
        <v xml:space="preserve"> 12.70 </v>
      </c>
      <c r="K100" s="590" t="str">
        <f ca="1">IFERROR(__xludf.DUMMYFUNCTION("""COMPUTED_VALUE"""),"0.58")</f>
        <v>0.58</v>
      </c>
      <c r="L100" s="590">
        <f ca="1">IFERROR(__xludf.DUMMYFUNCTION("""COMPUTED_VALUE"""),15)</f>
        <v>15</v>
      </c>
      <c r="M100" s="590"/>
      <c r="N100" s="590" t="str">
        <f ca="1">IFERROR(__xludf.DUMMYFUNCTION("""COMPUTED_VALUE"""),"Dị_D&lt;54")</f>
        <v>Dị_D&lt;54</v>
      </c>
      <c r="O100" s="589"/>
      <c r="P100" s="590"/>
    </row>
    <row r="101" spans="1:17" ht="15.75">
      <c r="A101" s="581" t="str">
        <f ca="1">IFERROR(__xludf.DUMMYFUNCTION("""COMPUTED_VALUE"""),"Toàn Phát - Việt Nam")</f>
        <v>Toàn Phát - Việt Nam</v>
      </c>
      <c r="B101" s="581" t="str">
        <f ca="1">IFERROR(__xludf.DUMMYFUNCTION("""COMPUTED_VALUE"""),"ĐTPCUONDI")</f>
        <v>ĐTPCUONDI</v>
      </c>
      <c r="C101" s="581" t="str">
        <f ca="1">IFERROR(__xludf.DUMMYFUNCTION("""COMPUTED_VALUE"""),"DOC1270060")</f>
        <v>DOC1270060</v>
      </c>
      <c r="D101" s="582" t="str">
        <f ca="1">IFERROR(__xludf.DUMMYFUNCTION("""COMPUTED_VALUE"""),"Đồng ống PC 12.70x0.60")</f>
        <v>Đồng ống PC 12.70x0.60</v>
      </c>
      <c r="E101" s="583">
        <f ca="1">IFERROR(__xludf.DUMMYFUNCTION("""COMPUTED_VALUE"""),0.1)</f>
        <v>0.1</v>
      </c>
      <c r="F101" s="584" t="str">
        <f ca="1">IFERROR(__xludf.DUMMYFUNCTION("""COMPUTED_VALUE"""),"Cuộn")</f>
        <v>Cuộn</v>
      </c>
      <c r="G101" s="584" t="str">
        <f ca="1">IFERROR(__xludf.DUMMYFUNCTION("""COMPUTED_VALUE"""),"Cuộn 15m")</f>
        <v>Cuộn 15m</v>
      </c>
      <c r="H101" s="582" t="str">
        <f ca="1">IFERROR(__xludf.DUMMYFUNCTION("""COMPUTED_VALUE"""),"7")</f>
        <v>7</v>
      </c>
      <c r="I101" s="585">
        <f ca="1">IFERROR(__xludf.DUMMYFUNCTION("""COMPUTED_VALUE"""),3.15592199999999)</f>
        <v>3.1559219999999901</v>
      </c>
      <c r="J101" s="586" t="str">
        <f ca="1">IFERROR(__xludf.DUMMYFUNCTION("""COMPUTED_VALUE""")," 12.70 ")</f>
        <v xml:space="preserve"> 12.70 </v>
      </c>
      <c r="K101" s="584" t="str">
        <f ca="1">IFERROR(__xludf.DUMMYFUNCTION("""COMPUTED_VALUE"""),"0.60")</f>
        <v>0.60</v>
      </c>
      <c r="L101" s="584">
        <f ca="1">IFERROR(__xludf.DUMMYFUNCTION("""COMPUTED_VALUE"""),15)</f>
        <v>15</v>
      </c>
      <c r="M101" s="584"/>
      <c r="N101" s="584" t="str">
        <f ca="1">IFERROR(__xludf.DUMMYFUNCTION("""COMPUTED_VALUE"""),"Dị_D&lt;54")</f>
        <v>Dị_D&lt;54</v>
      </c>
      <c r="O101" s="583"/>
      <c r="P101" s="584"/>
    </row>
    <row r="102" spans="1:17" ht="15.75">
      <c r="A102" s="587" t="str">
        <f ca="1">IFERROR(__xludf.DUMMYFUNCTION("""COMPUTED_VALUE"""),"Toàn Phát - Việt Nam")</f>
        <v>Toàn Phát - Việt Nam</v>
      </c>
      <c r="B102" s="587" t="str">
        <f ca="1">IFERROR(__xludf.DUMMYFUNCTION("""COMPUTED_VALUE"""),"ĐTPCUONDD")</f>
        <v>ĐTPCUONDD</v>
      </c>
      <c r="C102" s="587" t="str">
        <f ca="1">IFERROR(__xludf.DUMMYFUNCTION("""COMPUTED_VALUE"""),"DOC1270061")</f>
        <v>DOC1270061</v>
      </c>
      <c r="D102" s="588" t="str">
        <f ca="1">IFERROR(__xludf.DUMMYFUNCTION("""COMPUTED_VALUE"""),"Đồng ống PC 12.70x0.61")</f>
        <v>Đồng ống PC 12.70x0.61</v>
      </c>
      <c r="E102" s="589">
        <f ca="1">IFERROR(__xludf.DUMMYFUNCTION("""COMPUTED_VALUE"""),0.1)</f>
        <v>0.1</v>
      </c>
      <c r="F102" s="590" t="str">
        <f ca="1">IFERROR(__xludf.DUMMYFUNCTION("""COMPUTED_VALUE"""),"Cuộn")</f>
        <v>Cuộn</v>
      </c>
      <c r="G102" s="590" t="str">
        <f ca="1">IFERROR(__xludf.DUMMYFUNCTION("""COMPUTED_VALUE"""),"Cuộn 15m")</f>
        <v>Cuộn 15m</v>
      </c>
      <c r="H102" s="588" t="str">
        <f ca="1">IFERROR(__xludf.DUMMYFUNCTION("""COMPUTED_VALUE"""),"7")</f>
        <v>7</v>
      </c>
      <c r="I102" s="591">
        <f ca="1">IFERROR(__xludf.DUMMYFUNCTION("""COMPUTED_VALUE"""),3.20586902999999)</f>
        <v>3.2058690299999899</v>
      </c>
      <c r="J102" s="592" t="str">
        <f ca="1">IFERROR(__xludf.DUMMYFUNCTION("""COMPUTED_VALUE""")," 12.70 ")</f>
        <v xml:space="preserve"> 12.70 </v>
      </c>
      <c r="K102" s="590" t="str">
        <f ca="1">IFERROR(__xludf.DUMMYFUNCTION("""COMPUTED_VALUE"""),"0.61")</f>
        <v>0.61</v>
      </c>
      <c r="L102" s="590">
        <f ca="1">IFERROR(__xludf.DUMMYFUNCTION("""COMPUTED_VALUE"""),15)</f>
        <v>15</v>
      </c>
      <c r="M102" s="590"/>
      <c r="N102" s="590" t="str">
        <f ca="1">IFERROR(__xludf.DUMMYFUNCTION("""COMPUTED_VALUE"""),"Không")</f>
        <v>Không</v>
      </c>
      <c r="O102" s="589"/>
      <c r="P102" s="590"/>
      <c r="Q102" s="885">
        <f ca="1">+$Q$5*I102</f>
        <v>737.34987689999764</v>
      </c>
    </row>
    <row r="103" spans="1:17" ht="15.75">
      <c r="A103" s="581" t="str">
        <f ca="1">IFERROR(__xludf.DUMMYFUNCTION("""COMPUTED_VALUE"""),"Toàn Phát - Việt Nam")</f>
        <v>Toàn Phát - Việt Nam</v>
      </c>
      <c r="B103" s="581" t="str">
        <f ca="1">IFERROR(__xludf.DUMMYFUNCTION("""COMPUTED_VALUE"""),"ĐTPCUONDI")</f>
        <v>ĐTPCUONDI</v>
      </c>
      <c r="C103" s="581" t="str">
        <f ca="1">IFERROR(__xludf.DUMMYFUNCTION("""COMPUTED_VALUE"""),"DOC1270065")</f>
        <v>DOC1270065</v>
      </c>
      <c r="D103" s="582" t="str">
        <f ca="1">IFERROR(__xludf.DUMMYFUNCTION("""COMPUTED_VALUE"""),"Đồng ống PC 12.70x0.65")</f>
        <v>Đồng ống PC 12.70x0.65</v>
      </c>
      <c r="E103" s="583">
        <f ca="1">IFERROR(__xludf.DUMMYFUNCTION("""COMPUTED_VALUE"""),0.1)</f>
        <v>0.1</v>
      </c>
      <c r="F103" s="584" t="str">
        <f ca="1">IFERROR(__xludf.DUMMYFUNCTION("""COMPUTED_VALUE"""),"Cuộn")</f>
        <v>Cuộn</v>
      </c>
      <c r="G103" s="584" t="str">
        <f ca="1">IFERROR(__xludf.DUMMYFUNCTION("""COMPUTED_VALUE"""),"Cuộn 15m")</f>
        <v>Cuộn 15m</v>
      </c>
      <c r="H103" s="582" t="str">
        <f ca="1">IFERROR(__xludf.DUMMYFUNCTION("""COMPUTED_VALUE"""),"7")</f>
        <v>7</v>
      </c>
      <c r="I103" s="585">
        <f ca="1">IFERROR(__xludf.DUMMYFUNCTION("""COMPUTED_VALUE"""),3.40478774999999)</f>
        <v>3.4047877499999899</v>
      </c>
      <c r="J103" s="586" t="str">
        <f ca="1">IFERROR(__xludf.DUMMYFUNCTION("""COMPUTED_VALUE""")," 12.70 ")</f>
        <v xml:space="preserve"> 12.70 </v>
      </c>
      <c r="K103" s="584" t="str">
        <f ca="1">IFERROR(__xludf.DUMMYFUNCTION("""COMPUTED_VALUE"""),"0.65")</f>
        <v>0.65</v>
      </c>
      <c r="L103" s="584">
        <f ca="1">IFERROR(__xludf.DUMMYFUNCTION("""COMPUTED_VALUE"""),15)</f>
        <v>15</v>
      </c>
      <c r="M103" s="584"/>
      <c r="N103" s="584" t="str">
        <f ca="1">IFERROR(__xludf.DUMMYFUNCTION("""COMPUTED_VALUE"""),"Dị_D&lt;54")</f>
        <v>Dị_D&lt;54</v>
      </c>
      <c r="O103" s="583"/>
      <c r="P103" s="584"/>
    </row>
    <row r="104" spans="1:17" ht="15.75">
      <c r="A104" s="587" t="str">
        <f ca="1">IFERROR(__xludf.DUMMYFUNCTION("""COMPUTED_VALUE"""),"Toàn Phát - Việt Nam")</f>
        <v>Toàn Phát - Việt Nam</v>
      </c>
      <c r="B104" s="587" t="str">
        <f ca="1">IFERROR(__xludf.DUMMYFUNCTION("""COMPUTED_VALUE"""),"ĐTPCUONDI")</f>
        <v>ĐTPCUONDI</v>
      </c>
      <c r="C104" s="587" t="str">
        <f ca="1">IFERROR(__xludf.DUMMYFUNCTION("""COMPUTED_VALUE"""),"DOC1270066")</f>
        <v>DOC1270066</v>
      </c>
      <c r="D104" s="588" t="str">
        <f ca="1">IFERROR(__xludf.DUMMYFUNCTION("""COMPUTED_VALUE"""),"Đồng ống PC 12.70x0.66")</f>
        <v>Đồng ống PC 12.70x0.66</v>
      </c>
      <c r="E104" s="589">
        <f ca="1">IFERROR(__xludf.DUMMYFUNCTION("""COMPUTED_VALUE"""),0.1)</f>
        <v>0.1</v>
      </c>
      <c r="F104" s="590" t="str">
        <f ca="1">IFERROR(__xludf.DUMMYFUNCTION("""COMPUTED_VALUE"""),"Cuộn")</f>
        <v>Cuộn</v>
      </c>
      <c r="G104" s="590" t="str">
        <f ca="1">IFERROR(__xludf.DUMMYFUNCTION("""COMPUTED_VALUE"""),"Cuộn 15m")</f>
        <v>Cuộn 15m</v>
      </c>
      <c r="H104" s="588" t="str">
        <f ca="1">IFERROR(__xludf.DUMMYFUNCTION("""COMPUTED_VALUE"""),"7")</f>
        <v>7</v>
      </c>
      <c r="I104" s="591">
        <f ca="1">IFERROR(__xludf.DUMMYFUNCTION("""COMPUTED_VALUE"""),3.45430008)</f>
        <v>3.4543000799999999</v>
      </c>
      <c r="J104" s="592" t="str">
        <f ca="1">IFERROR(__xludf.DUMMYFUNCTION("""COMPUTED_VALUE""")," 12.70 ")</f>
        <v xml:space="preserve"> 12.70 </v>
      </c>
      <c r="K104" s="590" t="str">
        <f ca="1">IFERROR(__xludf.DUMMYFUNCTION("""COMPUTED_VALUE"""),"0.66")</f>
        <v>0.66</v>
      </c>
      <c r="L104" s="590">
        <f ca="1">IFERROR(__xludf.DUMMYFUNCTION("""COMPUTED_VALUE"""),15)</f>
        <v>15</v>
      </c>
      <c r="M104" s="590"/>
      <c r="N104" s="590" t="str">
        <f ca="1">IFERROR(__xludf.DUMMYFUNCTION("""COMPUTED_VALUE"""),"Dị_D&lt;54")</f>
        <v>Dị_D&lt;54</v>
      </c>
      <c r="O104" s="589"/>
      <c r="P104" s="590"/>
    </row>
    <row r="105" spans="1:17" ht="15.75">
      <c r="A105" s="581" t="str">
        <f ca="1">IFERROR(__xludf.DUMMYFUNCTION("""COMPUTED_VALUE"""),"Toàn Phát - Việt Nam")</f>
        <v>Toàn Phát - Việt Nam</v>
      </c>
      <c r="B105" s="581" t="str">
        <f ca="1">IFERROR(__xludf.DUMMYFUNCTION("""COMPUTED_VALUE"""),"ĐTPCUONDI")</f>
        <v>ĐTPCUONDI</v>
      </c>
      <c r="C105" s="581" t="str">
        <f ca="1">IFERROR(__xludf.DUMMYFUNCTION("""COMPUTED_VALUE"""),"DOC1270070")</f>
        <v>DOC1270070</v>
      </c>
      <c r="D105" s="582" t="str">
        <f ca="1">IFERROR(__xludf.DUMMYFUNCTION("""COMPUTED_VALUE"""),"Đồng ống PC 12.70x0.70")</f>
        <v>Đồng ống PC 12.70x0.70</v>
      </c>
      <c r="E105" s="583">
        <f ca="1">IFERROR(__xludf.DUMMYFUNCTION("""COMPUTED_VALUE"""),0.1)</f>
        <v>0.1</v>
      </c>
      <c r="F105" s="584" t="str">
        <f ca="1">IFERROR(__xludf.DUMMYFUNCTION("""COMPUTED_VALUE"""),"Cuộn")</f>
        <v>Cuộn</v>
      </c>
      <c r="G105" s="584" t="str">
        <f ca="1">IFERROR(__xludf.DUMMYFUNCTION("""COMPUTED_VALUE"""),"Cuộn 15m")</f>
        <v>Cuộn 15m</v>
      </c>
      <c r="H105" s="582" t="str">
        <f ca="1">IFERROR(__xludf.DUMMYFUNCTION("""COMPUTED_VALUE"""),"7")</f>
        <v>7</v>
      </c>
      <c r="I105" s="585">
        <f ca="1">IFERROR(__xludf.DUMMYFUNCTION("""COMPUTED_VALUE"""),3.65147999999999)</f>
        <v>3.6514799999999901</v>
      </c>
      <c r="J105" s="586" t="str">
        <f ca="1">IFERROR(__xludf.DUMMYFUNCTION("""COMPUTED_VALUE""")," 12.70 ")</f>
        <v xml:space="preserve"> 12.70 </v>
      </c>
      <c r="K105" s="584" t="str">
        <f ca="1">IFERROR(__xludf.DUMMYFUNCTION("""COMPUTED_VALUE"""),"0.70")</f>
        <v>0.70</v>
      </c>
      <c r="L105" s="584">
        <f ca="1">IFERROR(__xludf.DUMMYFUNCTION("""COMPUTED_VALUE"""),15)</f>
        <v>15</v>
      </c>
      <c r="M105" s="584"/>
      <c r="N105" s="584" t="str">
        <f ca="1">IFERROR(__xludf.DUMMYFUNCTION("""COMPUTED_VALUE"""),"Dị_D&lt;54")</f>
        <v>Dị_D&lt;54</v>
      </c>
      <c r="O105" s="583"/>
      <c r="P105" s="584"/>
    </row>
    <row r="106" spans="1:17" ht="15.75">
      <c r="A106" s="587" t="str">
        <f ca="1">IFERROR(__xludf.DUMMYFUNCTION("""COMPUTED_VALUE"""),"Toàn Phát - Việt Nam")</f>
        <v>Toàn Phát - Việt Nam</v>
      </c>
      <c r="B106" s="587" t="str">
        <f ca="1">IFERROR(__xludf.DUMMYFUNCTION("""COMPUTED_VALUE"""),"ĐTPCUONDD")</f>
        <v>ĐTPCUONDD</v>
      </c>
      <c r="C106" s="587" t="str">
        <f ca="1">IFERROR(__xludf.DUMMYFUNCTION("""COMPUTED_VALUE"""),"DOC1270071")</f>
        <v>DOC1270071</v>
      </c>
      <c r="D106" s="588" t="str">
        <f ca="1">IFERROR(__xludf.DUMMYFUNCTION("""COMPUTED_VALUE"""),"Đồng ống PC 12.70x0.71")</f>
        <v>Đồng ống PC 12.70x0.71</v>
      </c>
      <c r="E106" s="589">
        <f ca="1">IFERROR(__xludf.DUMMYFUNCTION("""COMPUTED_VALUE"""),0.1)</f>
        <v>0.1</v>
      </c>
      <c r="F106" s="590" t="str">
        <f ca="1">IFERROR(__xludf.DUMMYFUNCTION("""COMPUTED_VALUE"""),"Cuộn")</f>
        <v>Cuộn</v>
      </c>
      <c r="G106" s="590" t="str">
        <f ca="1">IFERROR(__xludf.DUMMYFUNCTION("""COMPUTED_VALUE"""),"Cuộn 15m")</f>
        <v>Cuộn 15m</v>
      </c>
      <c r="H106" s="588" t="str">
        <f ca="1">IFERROR(__xludf.DUMMYFUNCTION("""COMPUTED_VALUE"""),"7")</f>
        <v>7</v>
      </c>
      <c r="I106" s="591">
        <f ca="1">IFERROR(__xludf.DUMMYFUNCTION("""COMPUTED_VALUE"""),3.70055762999999)</f>
        <v>3.7005576299999898</v>
      </c>
      <c r="J106" s="592" t="str">
        <f ca="1">IFERROR(__xludf.DUMMYFUNCTION("""COMPUTED_VALUE""")," 12.70 ")</f>
        <v xml:space="preserve"> 12.70 </v>
      </c>
      <c r="K106" s="590" t="str">
        <f ca="1">IFERROR(__xludf.DUMMYFUNCTION("""COMPUTED_VALUE"""),"0.71")</f>
        <v>0.71</v>
      </c>
      <c r="L106" s="590">
        <f ca="1">IFERROR(__xludf.DUMMYFUNCTION("""COMPUTED_VALUE"""),15)</f>
        <v>15</v>
      </c>
      <c r="M106" s="590"/>
      <c r="N106" s="590" t="str">
        <f ca="1">IFERROR(__xludf.DUMMYFUNCTION("""COMPUTED_VALUE"""),"Không")</f>
        <v>Không</v>
      </c>
      <c r="O106" s="589"/>
      <c r="P106" s="590"/>
      <c r="Q106" s="885">
        <f ca="1">+$Q$5*I106</f>
        <v>851.1282548999975</v>
      </c>
    </row>
    <row r="107" spans="1:17" ht="15.75">
      <c r="A107" s="581" t="str">
        <f ca="1">IFERROR(__xludf.DUMMYFUNCTION("""COMPUTED_VALUE"""),"Toàn Phát - Việt Nam")</f>
        <v>Toàn Phát - Việt Nam</v>
      </c>
      <c r="B107" s="581" t="str">
        <f ca="1">IFERROR(__xludf.DUMMYFUNCTION("""COMPUTED_VALUE"""),"ĐTPCUONDI")</f>
        <v>ĐTPCUONDI</v>
      </c>
      <c r="C107" s="581" t="str">
        <f ca="1">IFERROR(__xludf.DUMMYFUNCTION("""COMPUTED_VALUE"""),"DOC1270071(KI)")</f>
        <v>DOC1270071(KI)</v>
      </c>
      <c r="D107" s="582" t="str">
        <f ca="1">IFERROR(__xludf.DUMMYFUNCTION("""COMPUTED_VALUE"""),"Đồng ống PC 12.70x0.71 không in")</f>
        <v>Đồng ống PC 12.70x0.71 không in</v>
      </c>
      <c r="E107" s="583">
        <f ca="1">IFERROR(__xludf.DUMMYFUNCTION("""COMPUTED_VALUE"""),0.1)</f>
        <v>0.1</v>
      </c>
      <c r="F107" s="584" t="str">
        <f ca="1">IFERROR(__xludf.DUMMYFUNCTION("""COMPUTED_VALUE"""),"Cuộn")</f>
        <v>Cuộn</v>
      </c>
      <c r="G107" s="584" t="str">
        <f ca="1">IFERROR(__xludf.DUMMYFUNCTION("""COMPUTED_VALUE"""),"Cuộn 15m")</f>
        <v>Cuộn 15m</v>
      </c>
      <c r="H107" s="582" t="str">
        <f ca="1">IFERROR(__xludf.DUMMYFUNCTION("""COMPUTED_VALUE"""),"7")</f>
        <v>7</v>
      </c>
      <c r="I107" s="585">
        <f ca="1">IFERROR(__xludf.DUMMYFUNCTION("""COMPUTED_VALUE"""),3.70055762999999)</f>
        <v>3.7005576299999898</v>
      </c>
      <c r="J107" s="586" t="str">
        <f ca="1">IFERROR(__xludf.DUMMYFUNCTION("""COMPUTED_VALUE""")," 12.70 ")</f>
        <v xml:space="preserve"> 12.70 </v>
      </c>
      <c r="K107" s="584" t="str">
        <f ca="1">IFERROR(__xludf.DUMMYFUNCTION("""COMPUTED_VALUE"""),"0.71")</f>
        <v>0.71</v>
      </c>
      <c r="L107" s="584">
        <f ca="1">IFERROR(__xludf.DUMMYFUNCTION("""COMPUTED_VALUE"""),15)</f>
        <v>15</v>
      </c>
      <c r="M107" s="584" t="str">
        <f ca="1">IFERROR(__xludf.DUMMYFUNCTION("""COMPUTED_VALUE"""),"KI")</f>
        <v>KI</v>
      </c>
      <c r="N107" s="584" t="str">
        <f ca="1">IFERROR(__xludf.DUMMYFUNCTION("""COMPUTED_VALUE"""),"Dị_D&lt;54")</f>
        <v>Dị_D&lt;54</v>
      </c>
      <c r="O107" s="583">
        <f ca="1">IFERROR(__xludf.DUMMYFUNCTION("""COMPUTED_VALUE"""),1)</f>
        <v>1</v>
      </c>
      <c r="P107" s="584"/>
    </row>
    <row r="108" spans="1:17" ht="15.75">
      <c r="A108" s="587" t="str">
        <f ca="1">IFERROR(__xludf.DUMMYFUNCTION("""COMPUTED_VALUE"""),"Toàn Phát - Việt Nam")</f>
        <v>Toàn Phát - Việt Nam</v>
      </c>
      <c r="B108" s="587" t="str">
        <f ca="1">IFERROR(__xludf.DUMMYFUNCTION("""COMPUTED_VALUE"""),"ĐTPCUONDI")</f>
        <v>ĐTPCUONDI</v>
      </c>
      <c r="C108" s="587" t="str">
        <f ca="1">IFERROR(__xludf.DUMMYFUNCTION("""COMPUTED_VALUE"""),"DOC127007150")</f>
        <v>DOC127007150</v>
      </c>
      <c r="D108" s="588" t="str">
        <f ca="1">IFERROR(__xludf.DUMMYFUNCTION("""COMPUTED_VALUE"""),"Đồng ống PC 12.70x0.71x50")</f>
        <v>Đồng ống PC 12.70x0.71x50</v>
      </c>
      <c r="E108" s="589">
        <f ca="1">IFERROR(__xludf.DUMMYFUNCTION("""COMPUTED_VALUE"""),0.1)</f>
        <v>0.1</v>
      </c>
      <c r="F108" s="590" t="str">
        <f ca="1">IFERROR(__xludf.DUMMYFUNCTION("""COMPUTED_VALUE"""),"Cuộn")</f>
        <v>Cuộn</v>
      </c>
      <c r="G108" s="590" t="str">
        <f ca="1">IFERROR(__xludf.DUMMYFUNCTION("""COMPUTED_VALUE"""),"Cuộn 50m")</f>
        <v>Cuộn 50m</v>
      </c>
      <c r="H108" s="588" t="str">
        <f ca="1">IFERROR(__xludf.DUMMYFUNCTION("""COMPUTED_VALUE"""),"7")</f>
        <v>7</v>
      </c>
      <c r="I108" s="591">
        <f ca="1">IFERROR(__xludf.DUMMYFUNCTION("""COMPUTED_VALUE"""),12.3351920999999)</f>
        <v>12.335192099999899</v>
      </c>
      <c r="J108" s="592" t="str">
        <f ca="1">IFERROR(__xludf.DUMMYFUNCTION("""COMPUTED_VALUE""")," 12.70 ")</f>
        <v xml:space="preserve"> 12.70 </v>
      </c>
      <c r="K108" s="590" t="str">
        <f ca="1">IFERROR(__xludf.DUMMYFUNCTION("""COMPUTED_VALUE"""),"0.71")</f>
        <v>0.71</v>
      </c>
      <c r="L108" s="590">
        <f ca="1">IFERROR(__xludf.DUMMYFUNCTION("""COMPUTED_VALUE"""),50)</f>
        <v>50</v>
      </c>
      <c r="M108" s="590"/>
      <c r="N108" s="590" t="str">
        <f ca="1">IFERROR(__xludf.DUMMYFUNCTION("""COMPUTED_VALUE"""),"Dị_D&lt;54")</f>
        <v>Dị_D&lt;54</v>
      </c>
      <c r="O108" s="589"/>
      <c r="P108" s="590"/>
    </row>
    <row r="109" spans="1:17" ht="15.75">
      <c r="A109" s="581" t="str">
        <f ca="1">IFERROR(__xludf.DUMMYFUNCTION("""COMPUTED_VALUE"""),"Toàn Phát - Việt Nam")</f>
        <v>Toàn Phát - Việt Nam</v>
      </c>
      <c r="B109" s="581" t="str">
        <f ca="1">IFERROR(__xludf.DUMMYFUNCTION("""COMPUTED_VALUE"""),"ĐTPCUONDI")</f>
        <v>ĐTPCUONDI</v>
      </c>
      <c r="C109" s="581" t="str">
        <f ca="1">IFERROR(__xludf.DUMMYFUNCTION("""COMPUTED_VALUE"""),"DOC1270075")</f>
        <v>DOC1270075</v>
      </c>
      <c r="D109" s="582" t="str">
        <f ca="1">IFERROR(__xludf.DUMMYFUNCTION("""COMPUTED_VALUE"""),"Đồng ống PC 12.70x0.75")</f>
        <v>Đồng ống PC 12.70x0.75</v>
      </c>
      <c r="E109" s="583">
        <f ca="1">IFERROR(__xludf.DUMMYFUNCTION("""COMPUTED_VALUE"""),0.1)</f>
        <v>0.1</v>
      </c>
      <c r="F109" s="584" t="str">
        <f ca="1">IFERROR(__xludf.DUMMYFUNCTION("""COMPUTED_VALUE"""),"Cuộn")</f>
        <v>Cuộn</v>
      </c>
      <c r="G109" s="584" t="str">
        <f ca="1">IFERROR(__xludf.DUMMYFUNCTION("""COMPUTED_VALUE"""),"Cuộn 15m")</f>
        <v>Cuộn 15m</v>
      </c>
      <c r="H109" s="582" t="str">
        <f ca="1">IFERROR(__xludf.DUMMYFUNCTION("""COMPUTED_VALUE"""),"7")</f>
        <v>7</v>
      </c>
      <c r="I109" s="585">
        <f ca="1">IFERROR(__xludf.DUMMYFUNCTION("""COMPUTED_VALUE"""),3.89599874999999)</f>
        <v>3.8959987499999902</v>
      </c>
      <c r="J109" s="586" t="str">
        <f ca="1">IFERROR(__xludf.DUMMYFUNCTION("""COMPUTED_VALUE""")," 12.70 ")</f>
        <v xml:space="preserve"> 12.70 </v>
      </c>
      <c r="K109" s="584" t="str">
        <f ca="1">IFERROR(__xludf.DUMMYFUNCTION("""COMPUTED_VALUE"""),"0.75")</f>
        <v>0.75</v>
      </c>
      <c r="L109" s="584">
        <f ca="1">IFERROR(__xludf.DUMMYFUNCTION("""COMPUTED_VALUE"""),15)</f>
        <v>15</v>
      </c>
      <c r="M109" s="584"/>
      <c r="N109" s="584" t="str">
        <f ca="1">IFERROR(__xludf.DUMMYFUNCTION("""COMPUTED_VALUE"""),"Dị_D&lt;54")</f>
        <v>Dị_D&lt;54</v>
      </c>
      <c r="O109" s="583"/>
      <c r="P109" s="584"/>
    </row>
    <row r="110" spans="1:17" ht="15.75">
      <c r="A110" s="587" t="str">
        <f ca="1">IFERROR(__xludf.DUMMYFUNCTION("""COMPUTED_VALUE"""),"Toàn Phát - Việt Nam")</f>
        <v>Toàn Phát - Việt Nam</v>
      </c>
      <c r="B110" s="587" t="str">
        <f ca="1">IFERROR(__xludf.DUMMYFUNCTION("""COMPUTED_VALUE"""),"ĐTPCUONDI")</f>
        <v>ĐTPCUONDI</v>
      </c>
      <c r="C110" s="587" t="str">
        <f ca="1">IFERROR(__xludf.DUMMYFUNCTION("""COMPUTED_VALUE"""),"DOC1270080")</f>
        <v>DOC1270080</v>
      </c>
      <c r="D110" s="588" t="str">
        <f ca="1">IFERROR(__xludf.DUMMYFUNCTION("""COMPUTED_VALUE"""),"Đồng ống PC 12.70x0.80")</f>
        <v>Đồng ống PC 12.70x0.80</v>
      </c>
      <c r="E110" s="589">
        <f ca="1">IFERROR(__xludf.DUMMYFUNCTION("""COMPUTED_VALUE"""),0.1)</f>
        <v>0.1</v>
      </c>
      <c r="F110" s="590" t="str">
        <f ca="1">IFERROR(__xludf.DUMMYFUNCTION("""COMPUTED_VALUE"""),"Cuộn")</f>
        <v>Cuộn</v>
      </c>
      <c r="G110" s="590" t="str">
        <f ca="1">IFERROR(__xludf.DUMMYFUNCTION("""COMPUTED_VALUE"""),"Cuộn 15m")</f>
        <v>Cuộn 15m</v>
      </c>
      <c r="H110" s="588" t="str">
        <f ca="1">IFERROR(__xludf.DUMMYFUNCTION("""COMPUTED_VALUE"""),"7")</f>
        <v>7</v>
      </c>
      <c r="I110" s="591">
        <f ca="1">IFERROR(__xludf.DUMMYFUNCTION("""COMPUTED_VALUE"""),4.138344)</f>
        <v>4.138344</v>
      </c>
      <c r="J110" s="592" t="str">
        <f ca="1">IFERROR(__xludf.DUMMYFUNCTION("""COMPUTED_VALUE""")," 12.70 ")</f>
        <v xml:space="preserve"> 12.70 </v>
      </c>
      <c r="K110" s="590" t="str">
        <f ca="1">IFERROR(__xludf.DUMMYFUNCTION("""COMPUTED_VALUE"""),"0.80")</f>
        <v>0.80</v>
      </c>
      <c r="L110" s="590">
        <f ca="1">IFERROR(__xludf.DUMMYFUNCTION("""COMPUTED_VALUE"""),15)</f>
        <v>15</v>
      </c>
      <c r="M110" s="590"/>
      <c r="N110" s="590" t="str">
        <f ca="1">IFERROR(__xludf.DUMMYFUNCTION("""COMPUTED_VALUE"""),"Dị_D&lt;54")</f>
        <v>Dị_D&lt;54</v>
      </c>
      <c r="O110" s="589"/>
      <c r="P110" s="590"/>
    </row>
    <row r="111" spans="1:17" ht="15.75">
      <c r="A111" s="581" t="str">
        <f ca="1">IFERROR(__xludf.DUMMYFUNCTION("""COMPUTED_VALUE"""),"Toàn Phát - Việt Nam")</f>
        <v>Toàn Phát - Việt Nam</v>
      </c>
      <c r="B111" s="581" t="str">
        <f ca="1">IFERROR(__xludf.DUMMYFUNCTION("""COMPUTED_VALUE"""),"ĐTPCUONCT")</f>
        <v>ĐTPCUONCT</v>
      </c>
      <c r="C111" s="581" t="str">
        <f ca="1">IFERROR(__xludf.DUMMYFUNCTION("""COMPUTED_VALUE"""),"DOC1270081")</f>
        <v>DOC1270081</v>
      </c>
      <c r="D111" s="582" t="str">
        <f ca="1">IFERROR(__xludf.DUMMYFUNCTION("""COMPUTED_VALUE"""),"Đồng ống PC 12.70x0.81")</f>
        <v>Đồng ống PC 12.70x0.81</v>
      </c>
      <c r="E111" s="583">
        <f ca="1">IFERROR(__xludf.DUMMYFUNCTION("""COMPUTED_VALUE"""),0.1)</f>
        <v>0.1</v>
      </c>
      <c r="F111" s="584" t="str">
        <f ca="1">IFERROR(__xludf.DUMMYFUNCTION("""COMPUTED_VALUE"""),"Cuộn")</f>
        <v>Cuộn</v>
      </c>
      <c r="G111" s="584" t="str">
        <f ca="1">IFERROR(__xludf.DUMMYFUNCTION("""COMPUTED_VALUE"""),"Cuộn 15m")</f>
        <v>Cuộn 15m</v>
      </c>
      <c r="H111" s="582" t="str">
        <f ca="1">IFERROR(__xludf.DUMMYFUNCTION("""COMPUTED_VALUE"""),"7")</f>
        <v>7</v>
      </c>
      <c r="I111" s="585">
        <f ca="1">IFERROR(__xludf.DUMMYFUNCTION("""COMPUTED_VALUE"""),4.18655222999999)</f>
        <v>4.1865522299999904</v>
      </c>
      <c r="J111" s="586" t="str">
        <f ca="1">IFERROR(__xludf.DUMMYFUNCTION("""COMPUTED_VALUE""")," 12.70 ")</f>
        <v xml:space="preserve"> 12.70 </v>
      </c>
      <c r="K111" s="584" t="str">
        <f ca="1">IFERROR(__xludf.DUMMYFUNCTION("""COMPUTED_VALUE"""),"0.81")</f>
        <v>0.81</v>
      </c>
      <c r="L111" s="584">
        <f ca="1">IFERROR(__xludf.DUMMYFUNCTION("""COMPUTED_VALUE"""),15)</f>
        <v>15</v>
      </c>
      <c r="M111" s="584"/>
      <c r="N111" s="584" t="str">
        <f ca="1">IFERROR(__xludf.DUMMYFUNCTION("""COMPUTED_VALUE"""),"Không")</f>
        <v>Không</v>
      </c>
      <c r="O111" s="583"/>
      <c r="P111" s="584"/>
      <c r="Q111" s="885">
        <f ca="1">+$Q$5*I111</f>
        <v>962.90701289999765</v>
      </c>
    </row>
    <row r="112" spans="1:17" ht="15.75">
      <c r="A112" s="587" t="str">
        <f ca="1">IFERROR(__xludf.DUMMYFUNCTION("""COMPUTED_VALUE"""),"Toàn Phát - Việt Nam")</f>
        <v>Toàn Phát - Việt Nam</v>
      </c>
      <c r="B112" s="587" t="str">
        <f ca="1">IFERROR(__xludf.DUMMYFUNCTION("""COMPUTED_VALUE"""),"ĐTPCUONDI")</f>
        <v>ĐTPCUONDI</v>
      </c>
      <c r="C112" s="587" t="str">
        <f ca="1">IFERROR(__xludf.DUMMYFUNCTION("""COMPUTED_VALUE"""),"DOC127008150")</f>
        <v>DOC127008150</v>
      </c>
      <c r="D112" s="588" t="str">
        <f ca="1">IFERROR(__xludf.DUMMYFUNCTION("""COMPUTED_VALUE"""),"Đồng ống PC 12.70x0.81x50")</f>
        <v>Đồng ống PC 12.70x0.81x50</v>
      </c>
      <c r="E112" s="589">
        <f ca="1">IFERROR(__xludf.DUMMYFUNCTION("""COMPUTED_VALUE"""),0.1)</f>
        <v>0.1</v>
      </c>
      <c r="F112" s="590" t="str">
        <f ca="1">IFERROR(__xludf.DUMMYFUNCTION("""COMPUTED_VALUE"""),"Cuộn")</f>
        <v>Cuộn</v>
      </c>
      <c r="G112" s="590" t="str">
        <f ca="1">IFERROR(__xludf.DUMMYFUNCTION("""COMPUTED_VALUE"""),"Cuộn 50m")</f>
        <v>Cuộn 50m</v>
      </c>
      <c r="H112" s="588" t="str">
        <f ca="1">IFERROR(__xludf.DUMMYFUNCTION("""COMPUTED_VALUE"""),"7")</f>
        <v>7</v>
      </c>
      <c r="I112" s="591">
        <f ca="1">IFERROR(__xludf.DUMMYFUNCTION("""COMPUTED_VALUE"""),13.9551740999999)</f>
        <v>13.955174099999899</v>
      </c>
      <c r="J112" s="592" t="str">
        <f ca="1">IFERROR(__xludf.DUMMYFUNCTION("""COMPUTED_VALUE""")," 12.70 ")</f>
        <v xml:space="preserve"> 12.70 </v>
      </c>
      <c r="K112" s="590" t="str">
        <f ca="1">IFERROR(__xludf.DUMMYFUNCTION("""COMPUTED_VALUE"""),"0.81")</f>
        <v>0.81</v>
      </c>
      <c r="L112" s="590">
        <f ca="1">IFERROR(__xludf.DUMMYFUNCTION("""COMPUTED_VALUE"""),50)</f>
        <v>50</v>
      </c>
      <c r="M112" s="590"/>
      <c r="N112" s="590" t="str">
        <f ca="1">IFERROR(__xludf.DUMMYFUNCTION("""COMPUTED_VALUE"""),"Dị_D&lt;54")</f>
        <v>Dị_D&lt;54</v>
      </c>
      <c r="O112" s="589"/>
      <c r="P112" s="590"/>
    </row>
    <row r="113" spans="1:16" ht="15.75">
      <c r="A113" s="581" t="str">
        <f ca="1">IFERROR(__xludf.DUMMYFUNCTION("""COMPUTED_VALUE"""),"Toàn Phát - Việt Nam")</f>
        <v>Toàn Phát - Việt Nam</v>
      </c>
      <c r="B113" s="581" t="str">
        <f ca="1">IFERROR(__xludf.DUMMYFUNCTION("""COMPUTED_VALUE"""),"ĐTPCUONDI")</f>
        <v>ĐTPCUONDI</v>
      </c>
      <c r="C113" s="581" t="str">
        <f ca="1">IFERROR(__xludf.DUMMYFUNCTION("""COMPUTED_VALUE"""),"DOC12708030")</f>
        <v>DOC12708030</v>
      </c>
      <c r="D113" s="582" t="str">
        <f ca="1">IFERROR(__xludf.DUMMYFUNCTION("""COMPUTED_VALUE"""),"Đồng ống PC 12.7x0.80x30")</f>
        <v>Đồng ống PC 12.7x0.80x30</v>
      </c>
      <c r="E113" s="583">
        <f ca="1">IFERROR(__xludf.DUMMYFUNCTION("""COMPUTED_VALUE"""),0.1)</f>
        <v>0.1</v>
      </c>
      <c r="F113" s="584" t="str">
        <f ca="1">IFERROR(__xludf.DUMMYFUNCTION("""COMPUTED_VALUE"""),"Cuộn")</f>
        <v>Cuộn</v>
      </c>
      <c r="G113" s="584" t="str">
        <f ca="1">IFERROR(__xludf.DUMMYFUNCTION("""COMPUTED_VALUE"""),"Cuộn 30m")</f>
        <v>Cuộn 30m</v>
      </c>
      <c r="H113" s="582" t="str">
        <f ca="1">IFERROR(__xludf.DUMMYFUNCTION("""COMPUTED_VALUE"""),"7")</f>
        <v>7</v>
      </c>
      <c r="I113" s="585">
        <f ca="1">IFERROR(__xludf.DUMMYFUNCTION("""COMPUTED_VALUE"""),8.37310445999999)</f>
        <v>8.3731044599999898</v>
      </c>
      <c r="J113" s="586" t="str">
        <f ca="1">IFERROR(__xludf.DUMMYFUNCTION("""COMPUTED_VALUE""")," 12.70 ")</f>
        <v xml:space="preserve"> 12.70 </v>
      </c>
      <c r="K113" s="584" t="str">
        <f ca="1">IFERROR(__xludf.DUMMYFUNCTION("""COMPUTED_VALUE"""),"0.81")</f>
        <v>0.81</v>
      </c>
      <c r="L113" s="584">
        <f ca="1">IFERROR(__xludf.DUMMYFUNCTION("""COMPUTED_VALUE"""),30)</f>
        <v>30</v>
      </c>
      <c r="M113" s="584"/>
      <c r="N113" s="584" t="str">
        <f ca="1">IFERROR(__xludf.DUMMYFUNCTION("""COMPUTED_VALUE"""),"Dị_D&lt;54")</f>
        <v>Dị_D&lt;54</v>
      </c>
      <c r="O113" s="583"/>
      <c r="P113" s="584"/>
    </row>
    <row r="114" spans="1:16" ht="15.75">
      <c r="A114" s="587" t="str">
        <f ca="1">IFERROR(__xludf.DUMMYFUNCTION("""COMPUTED_VALUE"""),"Toàn Phát - Việt Nam")</f>
        <v>Toàn Phát - Việt Nam</v>
      </c>
      <c r="B114" s="587" t="str">
        <f ca="1">IFERROR(__xludf.DUMMYFUNCTION("""COMPUTED_VALUE"""),"ĐTPCUONDI")</f>
        <v>ĐTPCUONDI</v>
      </c>
      <c r="C114" s="587" t="str">
        <f ca="1">IFERROR(__xludf.DUMMYFUNCTION("""COMPUTED_VALUE"""),"DOC12708145")</f>
        <v>DOC12708145</v>
      </c>
      <c r="D114" s="588" t="str">
        <f ca="1">IFERROR(__xludf.DUMMYFUNCTION("""COMPUTED_VALUE"""),"Đồng ống PC 12.7x0.81x45")</f>
        <v>Đồng ống PC 12.7x0.81x45</v>
      </c>
      <c r="E114" s="589">
        <f ca="1">IFERROR(__xludf.DUMMYFUNCTION("""COMPUTED_VALUE"""),0.1)</f>
        <v>0.1</v>
      </c>
      <c r="F114" s="590" t="str">
        <f ca="1">IFERROR(__xludf.DUMMYFUNCTION("""COMPUTED_VALUE"""),"Cuộn")</f>
        <v>Cuộn</v>
      </c>
      <c r="G114" s="590" t="str">
        <f ca="1">IFERROR(__xludf.DUMMYFUNCTION("""COMPUTED_VALUE"""),"Cuộn 45m")</f>
        <v>Cuộn 45m</v>
      </c>
      <c r="H114" s="588" t="str">
        <f ca="1">IFERROR(__xludf.DUMMYFUNCTION("""COMPUTED_VALUE"""),"7")</f>
        <v>7</v>
      </c>
      <c r="I114" s="591">
        <f ca="1">IFERROR(__xludf.DUMMYFUNCTION("""COMPUTED_VALUE"""),12.5596566899999)</f>
        <v>12.559656689999899</v>
      </c>
      <c r="J114" s="592" t="str">
        <f ca="1">IFERROR(__xludf.DUMMYFUNCTION("""COMPUTED_VALUE""")," 12.70 ")</f>
        <v xml:space="preserve"> 12.70 </v>
      </c>
      <c r="K114" s="590" t="str">
        <f ca="1">IFERROR(__xludf.DUMMYFUNCTION("""COMPUTED_VALUE"""),"0.81")</f>
        <v>0.81</v>
      </c>
      <c r="L114" s="590">
        <f ca="1">IFERROR(__xludf.DUMMYFUNCTION("""COMPUTED_VALUE"""),45)</f>
        <v>45</v>
      </c>
      <c r="M114" s="590"/>
      <c r="N114" s="590" t="str">
        <f ca="1">IFERROR(__xludf.DUMMYFUNCTION("""COMPUTED_VALUE"""),"Dị_D&lt;54")</f>
        <v>Dị_D&lt;54</v>
      </c>
      <c r="O114" s="589"/>
      <c r="P114" s="590"/>
    </row>
    <row r="115" spans="1:16" ht="15.75">
      <c r="A115" s="581" t="str">
        <f ca="1">IFERROR(__xludf.DUMMYFUNCTION("""COMPUTED_VALUE"""),"Toàn Phát - Việt Nam")</f>
        <v>Toàn Phát - Việt Nam</v>
      </c>
      <c r="B115" s="581" t="str">
        <f ca="1">IFERROR(__xludf.DUMMYFUNCTION("""COMPUTED_VALUE"""),"ĐTPCUONDI")</f>
        <v>ĐTPCUONDI</v>
      </c>
      <c r="C115" s="581" t="str">
        <f ca="1">IFERROR(__xludf.DUMMYFUNCTION("""COMPUTED_VALUE"""),"DOC12708150")</f>
        <v>DOC12708150</v>
      </c>
      <c r="D115" s="582" t="str">
        <f ca="1">IFERROR(__xludf.DUMMYFUNCTION("""COMPUTED_VALUE"""),"Đồng ống PC 12.70x0.81x50m")</f>
        <v>Đồng ống PC 12.70x0.81x50m</v>
      </c>
      <c r="E115" s="583">
        <f ca="1">IFERROR(__xludf.DUMMYFUNCTION("""COMPUTED_VALUE"""),0.1)</f>
        <v>0.1</v>
      </c>
      <c r="F115" s="584" t="str">
        <f ca="1">IFERROR(__xludf.DUMMYFUNCTION("""COMPUTED_VALUE"""),"Cuộn")</f>
        <v>Cuộn</v>
      </c>
      <c r="G115" s="584" t="str">
        <f ca="1">IFERROR(__xludf.DUMMYFUNCTION("""COMPUTED_VALUE"""),"Cuộn 50m")</f>
        <v>Cuộn 50m</v>
      </c>
      <c r="H115" s="582" t="str">
        <f ca="1">IFERROR(__xludf.DUMMYFUNCTION("""COMPUTED_VALUE"""),"7")</f>
        <v>7</v>
      </c>
      <c r="I115" s="585">
        <f ca="1">IFERROR(__xludf.DUMMYFUNCTION("""COMPUTED_VALUE"""),13.9551740999999)</f>
        <v>13.955174099999899</v>
      </c>
      <c r="J115" s="586" t="str">
        <f ca="1">IFERROR(__xludf.DUMMYFUNCTION("""COMPUTED_VALUE""")," 12.70 ")</f>
        <v xml:space="preserve"> 12.70 </v>
      </c>
      <c r="K115" s="584" t="str">
        <f ca="1">IFERROR(__xludf.DUMMYFUNCTION("""COMPUTED_VALUE"""),"0.81")</f>
        <v>0.81</v>
      </c>
      <c r="L115" s="584">
        <f ca="1">IFERROR(__xludf.DUMMYFUNCTION("""COMPUTED_VALUE"""),50)</f>
        <v>50</v>
      </c>
      <c r="M115" s="584"/>
      <c r="N115" s="584" t="str">
        <f ca="1">IFERROR(__xludf.DUMMYFUNCTION("""COMPUTED_VALUE"""),"Dị_D&lt;54")</f>
        <v>Dị_D&lt;54</v>
      </c>
      <c r="O115" s="583">
        <f ca="1">IFERROR(__xludf.DUMMYFUNCTION("""COMPUTED_VALUE"""),1)</f>
        <v>1</v>
      </c>
      <c r="P115" s="584"/>
    </row>
    <row r="116" spans="1:16" ht="15.75">
      <c r="A116" s="587" t="str">
        <f ca="1">IFERROR(__xludf.DUMMYFUNCTION("""COMPUTED_VALUE"""),"Toàn Phát - Việt Nam")</f>
        <v>Toàn Phát - Việt Nam</v>
      </c>
      <c r="B116" s="587" t="str">
        <f ca="1">IFERROR(__xludf.DUMMYFUNCTION("""COMPUTED_VALUE"""),"ĐTPCUONDI")</f>
        <v>ĐTPCUONDI</v>
      </c>
      <c r="C116" s="587" t="str">
        <f ca="1">IFERROR(__xludf.DUMMYFUNCTION("""COMPUTED_VALUE"""),"DOC1270089")</f>
        <v>DOC1270089</v>
      </c>
      <c r="D116" s="588" t="str">
        <f ca="1">IFERROR(__xludf.DUMMYFUNCTION("""COMPUTED_VALUE"""),"Đồng ống cuộn 12.70x0.89")</f>
        <v>Đồng ống cuộn 12.70x0.89</v>
      </c>
      <c r="E116" s="589">
        <f ca="1">IFERROR(__xludf.DUMMYFUNCTION("""COMPUTED_VALUE"""),0.1)</f>
        <v>0.1</v>
      </c>
      <c r="F116" s="590" t="str">
        <f ca="1">IFERROR(__xludf.DUMMYFUNCTION("""COMPUTED_VALUE"""),"Cuộn")</f>
        <v>Cuộn</v>
      </c>
      <c r="G116" s="590" t="str">
        <f ca="1">IFERROR(__xludf.DUMMYFUNCTION("""COMPUTED_VALUE"""),"Cuộn 15m")</f>
        <v>Cuộn 15m</v>
      </c>
      <c r="H116" s="588" t="str">
        <f ca="1">IFERROR(__xludf.DUMMYFUNCTION("""COMPUTED_VALUE"""),"7")</f>
        <v>7</v>
      </c>
      <c r="I116" s="591">
        <f ca="1">IFERROR(__xludf.DUMMYFUNCTION("""COMPUTED_VALUE"""),4.56908822999999)</f>
        <v>4.5690882299999904</v>
      </c>
      <c r="J116" s="592" t="str">
        <f ca="1">IFERROR(__xludf.DUMMYFUNCTION("""COMPUTED_VALUE""")," 12.70 ")</f>
        <v xml:space="preserve"> 12.70 </v>
      </c>
      <c r="K116" s="590" t="str">
        <f ca="1">IFERROR(__xludf.DUMMYFUNCTION("""COMPUTED_VALUE"""),"0.89")</f>
        <v>0.89</v>
      </c>
      <c r="L116" s="590">
        <f ca="1">IFERROR(__xludf.DUMMYFUNCTION("""COMPUTED_VALUE"""),15)</f>
        <v>15</v>
      </c>
      <c r="M116" s="590"/>
      <c r="N116" s="590" t="str">
        <f ca="1">IFERROR(__xludf.DUMMYFUNCTION("""COMPUTED_VALUE"""),"Dị_D&lt;54")</f>
        <v>Dị_D&lt;54</v>
      </c>
      <c r="O116" s="589"/>
      <c r="P116" s="590"/>
    </row>
    <row r="117" spans="1:16" ht="15.75">
      <c r="A117" s="581" t="str">
        <f ca="1">IFERROR(__xludf.DUMMYFUNCTION("""COMPUTED_VALUE"""),"Toàn Phát - Việt Nam")</f>
        <v>Toàn Phát - Việt Nam</v>
      </c>
      <c r="B117" s="581" t="str">
        <f ca="1">IFERROR(__xludf.DUMMYFUNCTION("""COMPUTED_VALUE"""),"ĐTPCUONDI")</f>
        <v>ĐTPCUONDI</v>
      </c>
      <c r="C117" s="581" t="str">
        <f ca="1">IFERROR(__xludf.DUMMYFUNCTION("""COMPUTED_VALUE"""),"DOC1270090")</f>
        <v>DOC1270090</v>
      </c>
      <c r="D117" s="582" t="str">
        <f ca="1">IFERROR(__xludf.DUMMYFUNCTION("""COMPUTED_VALUE"""),"Đồng ống PC 12.70x0.90")</f>
        <v>Đồng ống PC 12.70x0.90</v>
      </c>
      <c r="E117" s="583">
        <f ca="1">IFERROR(__xludf.DUMMYFUNCTION("""COMPUTED_VALUE"""),0.1)</f>
        <v>0.1</v>
      </c>
      <c r="F117" s="584" t="str">
        <f ca="1">IFERROR(__xludf.DUMMYFUNCTION("""COMPUTED_VALUE"""),"Cuộn")</f>
        <v>Cuộn</v>
      </c>
      <c r="G117" s="584" t="str">
        <f ca="1">IFERROR(__xludf.DUMMYFUNCTION("""COMPUTED_VALUE"""),"Cuộn 15m")</f>
        <v>Cuộn 15m</v>
      </c>
      <c r="H117" s="582" t="str">
        <f ca="1">IFERROR(__xludf.DUMMYFUNCTION("""COMPUTED_VALUE"""),"7")</f>
        <v>7</v>
      </c>
      <c r="I117" s="585">
        <f ca="1">IFERROR(__xludf.DUMMYFUNCTION("""COMPUTED_VALUE"""),4.61651399999999)</f>
        <v>4.6165139999999898</v>
      </c>
      <c r="J117" s="586" t="str">
        <f ca="1">IFERROR(__xludf.DUMMYFUNCTION("""COMPUTED_VALUE""")," 12.70 ")</f>
        <v xml:space="preserve"> 12.70 </v>
      </c>
      <c r="K117" s="584" t="str">
        <f ca="1">IFERROR(__xludf.DUMMYFUNCTION("""COMPUTED_VALUE"""),"0.90")</f>
        <v>0.90</v>
      </c>
      <c r="L117" s="584">
        <f ca="1">IFERROR(__xludf.DUMMYFUNCTION("""COMPUTED_VALUE"""),15)</f>
        <v>15</v>
      </c>
      <c r="M117" s="584"/>
      <c r="N117" s="584" t="str">
        <f ca="1">IFERROR(__xludf.DUMMYFUNCTION("""COMPUTED_VALUE"""),"Dị_D&lt;54")</f>
        <v>Dị_D&lt;54</v>
      </c>
      <c r="O117" s="583"/>
      <c r="P117" s="584"/>
    </row>
    <row r="118" spans="1:16" ht="15.75">
      <c r="A118" s="587" t="str">
        <f ca="1">IFERROR(__xludf.DUMMYFUNCTION("""COMPUTED_VALUE"""),"Toàn Phát - Việt Nam")</f>
        <v>Toàn Phát - Việt Nam</v>
      </c>
      <c r="B118" s="587" t="str">
        <f ca="1">IFERROR(__xludf.DUMMYFUNCTION("""COMPUTED_VALUE"""),"ĐTPCUONDI")</f>
        <v>ĐTPCUONDI</v>
      </c>
      <c r="C118" s="587" t="str">
        <f ca="1">IFERROR(__xludf.DUMMYFUNCTION("""COMPUTED_VALUE"""),"DOC1270091")</f>
        <v>DOC1270091</v>
      </c>
      <c r="D118" s="588" t="str">
        <f ca="1">IFERROR(__xludf.DUMMYFUNCTION("""COMPUTED_VALUE"""),"Đồng ống PC 12.70x0.91")</f>
        <v>Đồng ống PC 12.70x0.91</v>
      </c>
      <c r="E118" s="589">
        <f ca="1">IFERROR(__xludf.DUMMYFUNCTION("""COMPUTED_VALUE"""),0.1)</f>
        <v>0.1</v>
      </c>
      <c r="F118" s="590" t="str">
        <f ca="1">IFERROR(__xludf.DUMMYFUNCTION("""COMPUTED_VALUE"""),"Cuộn")</f>
        <v>Cuộn</v>
      </c>
      <c r="G118" s="590" t="str">
        <f ca="1">IFERROR(__xludf.DUMMYFUNCTION("""COMPUTED_VALUE"""),"Cuộn 15m")</f>
        <v>Cuộn 15m</v>
      </c>
      <c r="H118" s="588" t="str">
        <f ca="1">IFERROR(__xludf.DUMMYFUNCTION("""COMPUTED_VALUE"""),"7")</f>
        <v>7</v>
      </c>
      <c r="I118" s="591">
        <f ca="1">IFERROR(__xludf.DUMMYFUNCTION("""COMPUTED_VALUE"""),4.66385283)</f>
        <v>4.6638528299999997</v>
      </c>
      <c r="J118" s="592" t="str">
        <f ca="1">IFERROR(__xludf.DUMMYFUNCTION("""COMPUTED_VALUE""")," 12.70 ")</f>
        <v xml:space="preserve"> 12.70 </v>
      </c>
      <c r="K118" s="590" t="str">
        <f ca="1">IFERROR(__xludf.DUMMYFUNCTION("""COMPUTED_VALUE"""),"0.91")</f>
        <v>0.91</v>
      </c>
      <c r="L118" s="590">
        <f ca="1">IFERROR(__xludf.DUMMYFUNCTION("""COMPUTED_VALUE"""),15)</f>
        <v>15</v>
      </c>
      <c r="M118" s="590"/>
      <c r="N118" s="590" t="str">
        <f ca="1">IFERROR(__xludf.DUMMYFUNCTION("""COMPUTED_VALUE"""),"Dị_D&lt;54")</f>
        <v>Dị_D&lt;54</v>
      </c>
      <c r="O118" s="589"/>
      <c r="P118" s="590"/>
    </row>
    <row r="119" spans="1:16" ht="15.75">
      <c r="A119" s="581" t="str">
        <f ca="1">IFERROR(__xludf.DUMMYFUNCTION("""COMPUTED_VALUE"""),"Toàn Phát - Việt Nam")</f>
        <v>Toàn Phát - Việt Nam</v>
      </c>
      <c r="B119" s="581" t="str">
        <f ca="1">IFERROR(__xludf.DUMMYFUNCTION("""COMPUTED_VALUE"""),"ĐTPCUONDI")</f>
        <v>ĐTPCUONDI</v>
      </c>
      <c r="C119" s="581" t="str">
        <f ca="1">IFERROR(__xludf.DUMMYFUNCTION("""COMPUTED_VALUE"""),"DOC127009150")</f>
        <v>DOC127009150</v>
      </c>
      <c r="D119" s="582" t="str">
        <f ca="1">IFERROR(__xludf.DUMMYFUNCTION("""COMPUTED_VALUE"""),"Đồng ống PC 12.70x0.91x50")</f>
        <v>Đồng ống PC 12.70x0.91x50</v>
      </c>
      <c r="E119" s="583">
        <f ca="1">IFERROR(__xludf.DUMMYFUNCTION("""COMPUTED_VALUE"""),0.1)</f>
        <v>0.1</v>
      </c>
      <c r="F119" s="584" t="str">
        <f ca="1">IFERROR(__xludf.DUMMYFUNCTION("""COMPUTED_VALUE"""),"Cuộn")</f>
        <v>Cuộn</v>
      </c>
      <c r="G119" s="584" t="str">
        <f ca="1">IFERROR(__xludf.DUMMYFUNCTION("""COMPUTED_VALUE"""),"Cuộn 50m")</f>
        <v>Cuộn 50m</v>
      </c>
      <c r="H119" s="582" t="str">
        <f ca="1">IFERROR(__xludf.DUMMYFUNCTION("""COMPUTED_VALUE"""),"7")</f>
        <v>7</v>
      </c>
      <c r="I119" s="585">
        <f ca="1">IFERROR(__xludf.DUMMYFUNCTION("""COMPUTED_VALUE"""),15.5461760999999)</f>
        <v>15.546176099999901</v>
      </c>
      <c r="J119" s="586" t="str">
        <f ca="1">IFERROR(__xludf.DUMMYFUNCTION("""COMPUTED_VALUE""")," 12.70 ")</f>
        <v xml:space="preserve"> 12.70 </v>
      </c>
      <c r="K119" s="584" t="str">
        <f ca="1">IFERROR(__xludf.DUMMYFUNCTION("""COMPUTED_VALUE"""),"0.91")</f>
        <v>0.91</v>
      </c>
      <c r="L119" s="584">
        <f ca="1">IFERROR(__xludf.DUMMYFUNCTION("""COMPUTED_VALUE"""),50)</f>
        <v>50</v>
      </c>
      <c r="M119" s="584"/>
      <c r="N119" s="584" t="str">
        <f ca="1">IFERROR(__xludf.DUMMYFUNCTION("""COMPUTED_VALUE"""),"Dị_D&lt;54")</f>
        <v>Dị_D&lt;54</v>
      </c>
      <c r="O119" s="583"/>
      <c r="P119" s="584"/>
    </row>
    <row r="120" spans="1:16" ht="15.75">
      <c r="A120" s="587" t="str">
        <f ca="1">IFERROR(__xludf.DUMMYFUNCTION("""COMPUTED_VALUE"""),"Toàn Phát - Việt Nam")</f>
        <v>Toàn Phát - Việt Nam</v>
      </c>
      <c r="B120" s="587" t="str">
        <f ca="1">IFERROR(__xludf.DUMMYFUNCTION("""COMPUTED_VALUE"""),"ĐTPCUONDI")</f>
        <v>ĐTPCUONDI</v>
      </c>
      <c r="C120" s="587" t="str">
        <f ca="1">IFERROR(__xludf.DUMMYFUNCTION("""COMPUTED_VALUE"""),"DOC1270095")</f>
        <v>DOC1270095</v>
      </c>
      <c r="D120" s="588" t="str">
        <f ca="1">IFERROR(__xludf.DUMMYFUNCTION("""COMPUTED_VALUE"""),"Đồng ống PC 12.70x0.95")</f>
        <v>Đồng ống PC 12.70x0.95</v>
      </c>
      <c r="E120" s="589">
        <f ca="1">IFERROR(__xludf.DUMMYFUNCTION("""COMPUTED_VALUE"""),0.1)</f>
        <v>0.1</v>
      </c>
      <c r="F120" s="590" t="str">
        <f ca="1">IFERROR(__xludf.DUMMYFUNCTION("""COMPUTED_VALUE"""),"Cuộn")</f>
        <v>Cuộn</v>
      </c>
      <c r="G120" s="590" t="str">
        <f ca="1">IFERROR(__xludf.DUMMYFUNCTION("""COMPUTED_VALUE"""),"Cuộn 15m")</f>
        <v>Cuộn 15m</v>
      </c>
      <c r="H120" s="588" t="str">
        <f ca="1">IFERROR(__xludf.DUMMYFUNCTION("""COMPUTED_VALUE"""),"7")</f>
        <v>7</v>
      </c>
      <c r="I120" s="591">
        <f ca="1">IFERROR(__xludf.DUMMYFUNCTION("""COMPUTED_VALUE"""),4.85233874999999)</f>
        <v>4.8523387499999897</v>
      </c>
      <c r="J120" s="592" t="str">
        <f ca="1">IFERROR(__xludf.DUMMYFUNCTION("""COMPUTED_VALUE""")," 12.70 ")</f>
        <v xml:space="preserve"> 12.70 </v>
      </c>
      <c r="K120" s="590" t="str">
        <f ca="1">IFERROR(__xludf.DUMMYFUNCTION("""COMPUTED_VALUE"""),"0.95")</f>
        <v>0.95</v>
      </c>
      <c r="L120" s="590">
        <f ca="1">IFERROR(__xludf.DUMMYFUNCTION("""COMPUTED_VALUE"""),15)</f>
        <v>15</v>
      </c>
      <c r="M120" s="590"/>
      <c r="N120" s="590" t="str">
        <f ca="1">IFERROR(__xludf.DUMMYFUNCTION("""COMPUTED_VALUE"""),"Dị_D&lt;54")</f>
        <v>Dị_D&lt;54</v>
      </c>
      <c r="O120" s="589"/>
      <c r="P120" s="590"/>
    </row>
    <row r="121" spans="1:16" ht="15.75">
      <c r="A121" s="581" t="str">
        <f ca="1">IFERROR(__xludf.DUMMYFUNCTION("""COMPUTED_VALUE"""),"Toàn Phát - Việt Nam")</f>
        <v>Toàn Phát - Việt Nam</v>
      </c>
      <c r="B121" s="581" t="str">
        <f ca="1">IFERROR(__xludf.DUMMYFUNCTION("""COMPUTED_VALUE"""),"ĐTPCUONDI")</f>
        <v>ĐTPCUONDI</v>
      </c>
      <c r="C121" s="581" t="str">
        <f ca="1">IFERROR(__xludf.DUMMYFUNCTION("""COMPUTED_VALUE"""),"DOC1270100")</f>
        <v>DOC1270100</v>
      </c>
      <c r="D121" s="582" t="str">
        <f ca="1">IFERROR(__xludf.DUMMYFUNCTION("""COMPUTED_VALUE"""),"Đồng ống PC 12.70x1.00")</f>
        <v>Đồng ống PC 12.70x1.00</v>
      </c>
      <c r="E121" s="583">
        <f ca="1">IFERROR(__xludf.DUMMYFUNCTION("""COMPUTED_VALUE"""),0.1)</f>
        <v>0.1</v>
      </c>
      <c r="F121" s="584" t="str">
        <f ca="1">IFERROR(__xludf.DUMMYFUNCTION("""COMPUTED_VALUE"""),"Cuộn")</f>
        <v>Cuộn</v>
      </c>
      <c r="G121" s="584" t="str">
        <f ca="1">IFERROR(__xludf.DUMMYFUNCTION("""COMPUTED_VALUE"""),"Cuộn 15m")</f>
        <v>Cuộn 15m</v>
      </c>
      <c r="H121" s="582" t="str">
        <f ca="1">IFERROR(__xludf.DUMMYFUNCTION("""COMPUTED_VALUE"""),"7")</f>
        <v>7</v>
      </c>
      <c r="I121" s="585">
        <f ca="1">IFERROR(__xludf.DUMMYFUNCTION("""COMPUTED_VALUE"""),5.08598999999999)</f>
        <v>5.08598999999999</v>
      </c>
      <c r="J121" s="586" t="str">
        <f ca="1">IFERROR(__xludf.DUMMYFUNCTION("""COMPUTED_VALUE""")," 12.70 ")</f>
        <v xml:space="preserve"> 12.70 </v>
      </c>
      <c r="K121" s="584" t="str">
        <f ca="1">IFERROR(__xludf.DUMMYFUNCTION("""COMPUTED_VALUE"""),"1.00")</f>
        <v>1.00</v>
      </c>
      <c r="L121" s="584">
        <f ca="1">IFERROR(__xludf.DUMMYFUNCTION("""COMPUTED_VALUE"""),15)</f>
        <v>15</v>
      </c>
      <c r="M121" s="584"/>
      <c r="N121" s="584" t="str">
        <f ca="1">IFERROR(__xludf.DUMMYFUNCTION("""COMPUTED_VALUE"""),"Dị_D&lt;54")</f>
        <v>Dị_D&lt;54</v>
      </c>
      <c r="O121" s="583"/>
      <c r="P121" s="584"/>
    </row>
    <row r="122" spans="1:16" ht="15.75">
      <c r="A122" s="587" t="str">
        <f ca="1">IFERROR(__xludf.DUMMYFUNCTION("""COMPUTED_VALUE"""),"Toàn Phát - Việt Nam")</f>
        <v>Toàn Phát - Việt Nam</v>
      </c>
      <c r="B122" s="587" t="str">
        <f ca="1">IFERROR(__xludf.DUMMYFUNCTION("""COMPUTED_VALUE"""),"ĐTPCUONDI")</f>
        <v>ĐTPCUONDI</v>
      </c>
      <c r="C122" s="587" t="str">
        <f ca="1">IFERROR(__xludf.DUMMYFUNCTION("""COMPUTED_VALUE"""),"DOC1270107")</f>
        <v>DOC1270107</v>
      </c>
      <c r="D122" s="588" t="str">
        <f ca="1">IFERROR(__xludf.DUMMYFUNCTION("""COMPUTED_VALUE"""),"Đồng ống PC 12.70x1.07")</f>
        <v>Đồng ống PC 12.70x1.07</v>
      </c>
      <c r="E122" s="589">
        <f ca="1">IFERROR(__xludf.DUMMYFUNCTION("""COMPUTED_VALUE"""),0.1)</f>
        <v>0.1</v>
      </c>
      <c r="F122" s="590" t="str">
        <f ca="1">IFERROR(__xludf.DUMMYFUNCTION("""COMPUTED_VALUE"""),"Cuộn")</f>
        <v>Cuộn</v>
      </c>
      <c r="G122" s="590" t="str">
        <f ca="1">IFERROR(__xludf.DUMMYFUNCTION("""COMPUTED_VALUE"""),"Cuộn 15m")</f>
        <v>Cuộn 15m</v>
      </c>
      <c r="H122" s="588" t="str">
        <f ca="1">IFERROR(__xludf.DUMMYFUNCTION("""COMPUTED_VALUE"""),"7")</f>
        <v>7</v>
      </c>
      <c r="I122" s="591">
        <f ca="1">IFERROR(__xludf.DUMMYFUNCTION("""COMPUTED_VALUE"""),5.40945027)</f>
        <v>5.4094502699999998</v>
      </c>
      <c r="J122" s="592" t="str">
        <f ca="1">IFERROR(__xludf.DUMMYFUNCTION("""COMPUTED_VALUE""")," 12.70 ")</f>
        <v xml:space="preserve"> 12.70 </v>
      </c>
      <c r="K122" s="590" t="str">
        <f ca="1">IFERROR(__xludf.DUMMYFUNCTION("""COMPUTED_VALUE"""),"1.07")</f>
        <v>1.07</v>
      </c>
      <c r="L122" s="590">
        <f ca="1">IFERROR(__xludf.DUMMYFUNCTION("""COMPUTED_VALUE"""),15)</f>
        <v>15</v>
      </c>
      <c r="M122" s="590"/>
      <c r="N122" s="590" t="str">
        <f ca="1">IFERROR(__xludf.DUMMYFUNCTION("""COMPUTED_VALUE"""),"Dị_D&lt;54")</f>
        <v>Dị_D&lt;54</v>
      </c>
      <c r="O122" s="589"/>
      <c r="P122" s="590"/>
    </row>
    <row r="123" spans="1:16" ht="15.75">
      <c r="A123" s="581" t="str">
        <f ca="1">IFERROR(__xludf.DUMMYFUNCTION("""COMPUTED_VALUE"""),"Toàn Phát - Việt Nam")</f>
        <v>Toàn Phát - Việt Nam</v>
      </c>
      <c r="B123" s="581" t="str">
        <f ca="1">IFERROR(__xludf.DUMMYFUNCTION("""COMPUTED_VALUE"""),"ĐTPCUONDI")</f>
        <v>ĐTPCUONDI</v>
      </c>
      <c r="C123" s="581" t="str">
        <f ca="1">IFERROR(__xludf.DUMMYFUNCTION("""COMPUTED_VALUE"""),"DOC1400080")</f>
        <v>DOC1400080</v>
      </c>
      <c r="D123" s="582" t="str">
        <f ca="1">IFERROR(__xludf.DUMMYFUNCTION("""COMPUTED_VALUE"""),"Đồng ống PC 14.00x0.80")</f>
        <v>Đồng ống PC 14.00x0.80</v>
      </c>
      <c r="E123" s="583">
        <f ca="1">IFERROR(__xludf.DUMMYFUNCTION("""COMPUTED_VALUE"""),0.1)</f>
        <v>0.1</v>
      </c>
      <c r="F123" s="584" t="str">
        <f ca="1">IFERROR(__xludf.DUMMYFUNCTION("""COMPUTED_VALUE"""),"Cuộn")</f>
        <v>Cuộn</v>
      </c>
      <c r="G123" s="584" t="str">
        <f ca="1">IFERROR(__xludf.DUMMYFUNCTION("""COMPUTED_VALUE"""),"Cuộn 15m")</f>
        <v>Cuộn 15m</v>
      </c>
      <c r="H123" s="582"/>
      <c r="I123" s="585">
        <f ca="1">IFERROR(__xludf.DUMMYFUNCTION("""COMPUTED_VALUE"""),4.590432)</f>
        <v>4.5904319999999998</v>
      </c>
      <c r="J123" s="586" t="str">
        <f ca="1">IFERROR(__xludf.DUMMYFUNCTION("""COMPUTED_VALUE""")," 14.00 ")</f>
        <v xml:space="preserve"> 14.00 </v>
      </c>
      <c r="K123" s="584" t="str">
        <f ca="1">IFERROR(__xludf.DUMMYFUNCTION("""COMPUTED_VALUE"""),"0.80")</f>
        <v>0.80</v>
      </c>
      <c r="L123" s="584">
        <f ca="1">IFERROR(__xludf.DUMMYFUNCTION("""COMPUTED_VALUE"""),15)</f>
        <v>15</v>
      </c>
      <c r="M123" s="584"/>
      <c r="N123" s="584" t="str">
        <f ca="1">IFERROR(__xludf.DUMMYFUNCTION("""COMPUTED_VALUE"""),"Dị_D&lt;54")</f>
        <v>Dị_D&lt;54</v>
      </c>
      <c r="O123" s="583"/>
      <c r="P123" s="584"/>
    </row>
    <row r="124" spans="1:16" ht="15.75">
      <c r="A124" s="587" t="str">
        <f ca="1">IFERROR(__xludf.DUMMYFUNCTION("""COMPUTED_VALUE"""),"Toàn Phát - Việt Nam")</f>
        <v>Toàn Phát - Việt Nam</v>
      </c>
      <c r="B124" s="587" t="str">
        <f ca="1">IFERROR(__xludf.DUMMYFUNCTION("""COMPUTED_VALUE"""),"ĐTPCUONDI")</f>
        <v>ĐTPCUONDI</v>
      </c>
      <c r="C124" s="587" t="str">
        <f ca="1">IFERROR(__xludf.DUMMYFUNCTION("""COMPUTED_VALUE"""),"DOC1400095")</f>
        <v>DOC1400095</v>
      </c>
      <c r="D124" s="588" t="str">
        <f ca="1">IFERROR(__xludf.DUMMYFUNCTION("""COMPUTED_VALUE"""),"Đồng ống PC 14.000x0.95")</f>
        <v>Đồng ống PC 14.000x0.95</v>
      </c>
      <c r="E124" s="589">
        <f ca="1">IFERROR(__xludf.DUMMYFUNCTION("""COMPUTED_VALUE"""),0.1)</f>
        <v>0.1</v>
      </c>
      <c r="F124" s="590" t="str">
        <f ca="1">IFERROR(__xludf.DUMMYFUNCTION("""COMPUTED_VALUE"""),"Cuộn")</f>
        <v>Cuộn</v>
      </c>
      <c r="G124" s="590" t="str">
        <f ca="1">IFERROR(__xludf.DUMMYFUNCTION("""COMPUTED_VALUE"""),"Cuộn 15m")</f>
        <v>Cuộn 15m</v>
      </c>
      <c r="H124" s="588"/>
      <c r="I124" s="591">
        <f ca="1">IFERROR(__xludf.DUMMYFUNCTION("""COMPUTED_VALUE"""),5.38919325)</f>
        <v>5.3891932499999999</v>
      </c>
      <c r="J124" s="592" t="str">
        <f ca="1">IFERROR(__xludf.DUMMYFUNCTION("""COMPUTED_VALUE""")," 14.00 ")</f>
        <v xml:space="preserve"> 14.00 </v>
      </c>
      <c r="K124" s="590" t="str">
        <f ca="1">IFERROR(__xludf.DUMMYFUNCTION("""COMPUTED_VALUE"""),"0.95")</f>
        <v>0.95</v>
      </c>
      <c r="L124" s="590">
        <f ca="1">IFERROR(__xludf.DUMMYFUNCTION("""COMPUTED_VALUE"""),15)</f>
        <v>15</v>
      </c>
      <c r="M124" s="590"/>
      <c r="N124" s="590" t="str">
        <f ca="1">IFERROR(__xludf.DUMMYFUNCTION("""COMPUTED_VALUE"""),"Dị_D&lt;54")</f>
        <v>Dị_D&lt;54</v>
      </c>
      <c r="O124" s="589"/>
      <c r="P124" s="590"/>
    </row>
    <row r="125" spans="1:16" ht="15.75">
      <c r="A125" s="581" t="str">
        <f ca="1">IFERROR(__xludf.DUMMYFUNCTION("""COMPUTED_VALUE"""),"Toàn Phát - Việt Nam")</f>
        <v>Toàn Phát - Việt Nam</v>
      </c>
      <c r="B125" s="581" t="str">
        <f ca="1">IFERROR(__xludf.DUMMYFUNCTION("""COMPUTED_VALUE"""),"ĐTPCUONDI")</f>
        <v>ĐTPCUONDI</v>
      </c>
      <c r="C125" s="581" t="str">
        <f ca="1">IFERROR(__xludf.DUMMYFUNCTION("""COMPUTED_VALUE"""),"DOC140010015")</f>
        <v>DOC140010015</v>
      </c>
      <c r="D125" s="582" t="str">
        <f ca="1">IFERROR(__xludf.DUMMYFUNCTION("""COMPUTED_VALUE"""),"Đồng ống PC 14.00x1.00")</f>
        <v>Đồng ống PC 14.00x1.00</v>
      </c>
      <c r="E125" s="583">
        <f ca="1">IFERROR(__xludf.DUMMYFUNCTION("""COMPUTED_VALUE"""),0.1)</f>
        <v>0.1</v>
      </c>
      <c r="F125" s="584" t="str">
        <f ca="1">IFERROR(__xludf.DUMMYFUNCTION("""COMPUTED_VALUE"""),"Cuộn")</f>
        <v>Cuộn</v>
      </c>
      <c r="G125" s="584" t="str">
        <f ca="1">IFERROR(__xludf.DUMMYFUNCTION("""COMPUTED_VALUE"""),"Cuộn 15m")</f>
        <v>Cuộn 15m</v>
      </c>
      <c r="H125" s="582"/>
      <c r="I125" s="585">
        <f ca="1">IFERROR(__xludf.DUMMYFUNCTION("""COMPUTED_VALUE"""),5.6511)</f>
        <v>5.6510999999999996</v>
      </c>
      <c r="J125" s="586" t="str">
        <f ca="1">IFERROR(__xludf.DUMMYFUNCTION("""COMPUTED_VALUE""")," 14.00 ")</f>
        <v xml:space="preserve"> 14.00 </v>
      </c>
      <c r="K125" s="584" t="str">
        <f ca="1">IFERROR(__xludf.DUMMYFUNCTION("""COMPUTED_VALUE"""),"1.00")</f>
        <v>1.00</v>
      </c>
      <c r="L125" s="584">
        <f ca="1">IFERROR(__xludf.DUMMYFUNCTION("""COMPUTED_VALUE"""),15)</f>
        <v>15</v>
      </c>
      <c r="M125" s="584"/>
      <c r="N125" s="584" t="str">
        <f ca="1">IFERROR(__xludf.DUMMYFUNCTION("""COMPUTED_VALUE"""),"Dị_D&lt;54")</f>
        <v>Dị_D&lt;54</v>
      </c>
      <c r="O125" s="583"/>
      <c r="P125" s="584"/>
    </row>
    <row r="126" spans="1:16" ht="15.75">
      <c r="A126" s="587" t="str">
        <f ca="1">IFERROR(__xludf.DUMMYFUNCTION("""COMPUTED_VALUE"""),"Toàn Phát - Việt Nam")</f>
        <v>Toàn Phát - Việt Nam</v>
      </c>
      <c r="B126" s="587" t="str">
        <f ca="1">IFERROR(__xludf.DUMMYFUNCTION("""COMPUTED_VALUE"""),"ĐTPCUONDI")</f>
        <v>ĐTPCUONDI</v>
      </c>
      <c r="C126" s="587" t="str">
        <f ca="1">IFERROR(__xludf.DUMMYFUNCTION("""COMPUTED_VALUE"""),"DOC1588050")</f>
        <v>DOC1588050</v>
      </c>
      <c r="D126" s="588" t="str">
        <f ca="1">IFERROR(__xludf.DUMMYFUNCTION("""COMPUTED_VALUE"""),"Đồng ống PC 15.88x0.50")</f>
        <v>Đồng ống PC 15.88x0.50</v>
      </c>
      <c r="E126" s="589">
        <f ca="1">IFERROR(__xludf.DUMMYFUNCTION("""COMPUTED_VALUE"""),0.1)</f>
        <v>0.1</v>
      </c>
      <c r="F126" s="590" t="str">
        <f ca="1">IFERROR(__xludf.DUMMYFUNCTION("""COMPUTED_VALUE"""),"Cuộn")</f>
        <v>Cuộn</v>
      </c>
      <c r="G126" s="590" t="str">
        <f ca="1">IFERROR(__xludf.DUMMYFUNCTION("""COMPUTED_VALUE"""),"Cuộn 15m")</f>
        <v>Cuộn 15m</v>
      </c>
      <c r="H126" s="588" t="str">
        <f ca="1">IFERROR(__xludf.DUMMYFUNCTION("""COMPUTED_VALUE"""),"5")</f>
        <v>5</v>
      </c>
      <c r="I126" s="591">
        <f ca="1">IFERROR(__xludf.DUMMYFUNCTION("""COMPUTED_VALUE"""),3.342843)</f>
        <v>3.3428429999999998</v>
      </c>
      <c r="J126" s="592" t="str">
        <f ca="1">IFERROR(__xludf.DUMMYFUNCTION("""COMPUTED_VALUE""")," 15.88 ")</f>
        <v xml:space="preserve"> 15.88 </v>
      </c>
      <c r="K126" s="590" t="str">
        <f ca="1">IFERROR(__xludf.DUMMYFUNCTION("""COMPUTED_VALUE"""),"0.50")</f>
        <v>0.50</v>
      </c>
      <c r="L126" s="590">
        <f ca="1">IFERROR(__xludf.DUMMYFUNCTION("""COMPUTED_VALUE"""),15)</f>
        <v>15</v>
      </c>
      <c r="M126" s="590"/>
      <c r="N126" s="590" t="str">
        <f ca="1">IFERROR(__xludf.DUMMYFUNCTION("""COMPUTED_VALUE"""),"Dị_D&lt;54")</f>
        <v>Dị_D&lt;54</v>
      </c>
      <c r="O126" s="589"/>
      <c r="P126" s="590"/>
    </row>
    <row r="127" spans="1:16" ht="15.75">
      <c r="A127" s="581" t="str">
        <f ca="1">IFERROR(__xludf.DUMMYFUNCTION("""COMPUTED_VALUE"""),"Toàn Phát - Việt Nam")</f>
        <v>Toàn Phát - Việt Nam</v>
      </c>
      <c r="B127" s="581" t="str">
        <f ca="1">IFERROR(__xludf.DUMMYFUNCTION("""COMPUTED_VALUE"""),"ĐTPCUONDI")</f>
        <v>ĐTPCUONDI</v>
      </c>
      <c r="C127" s="581" t="str">
        <f ca="1">IFERROR(__xludf.DUMMYFUNCTION("""COMPUTED_VALUE"""),"DOC1588055")</f>
        <v>DOC1588055</v>
      </c>
      <c r="D127" s="582" t="str">
        <f ca="1">IFERROR(__xludf.DUMMYFUNCTION("""COMPUTED_VALUE"""),"Đồng ống PC 15.88x0.55")</f>
        <v>Đồng ống PC 15.88x0.55</v>
      </c>
      <c r="E127" s="583">
        <f ca="1">IFERROR(__xludf.DUMMYFUNCTION("""COMPUTED_VALUE"""),0.1)</f>
        <v>0.1</v>
      </c>
      <c r="F127" s="584" t="str">
        <f ca="1">IFERROR(__xludf.DUMMYFUNCTION("""COMPUTED_VALUE"""),"Cuộn")</f>
        <v>Cuộn</v>
      </c>
      <c r="G127" s="584" t="str">
        <f ca="1">IFERROR(__xludf.DUMMYFUNCTION("""COMPUTED_VALUE"""),"Cuộn 15m")</f>
        <v>Cuộn 15m</v>
      </c>
      <c r="H127" s="582" t="str">
        <f ca="1">IFERROR(__xludf.DUMMYFUNCTION("""COMPUTED_VALUE"""),"5")</f>
        <v>5</v>
      </c>
      <c r="I127" s="585">
        <f ca="1">IFERROR(__xludf.DUMMYFUNCTION("""COMPUTED_VALUE"""),3.66517305)</f>
        <v>3.6651730499999999</v>
      </c>
      <c r="J127" s="586" t="str">
        <f ca="1">IFERROR(__xludf.DUMMYFUNCTION("""COMPUTED_VALUE""")," 15.88 ")</f>
        <v xml:space="preserve"> 15.88 </v>
      </c>
      <c r="K127" s="584" t="str">
        <f ca="1">IFERROR(__xludf.DUMMYFUNCTION("""COMPUTED_VALUE"""),"0.55")</f>
        <v>0.55</v>
      </c>
      <c r="L127" s="584">
        <f ca="1">IFERROR(__xludf.DUMMYFUNCTION("""COMPUTED_VALUE"""),15)</f>
        <v>15</v>
      </c>
      <c r="M127" s="584"/>
      <c r="N127" s="584" t="str">
        <f ca="1">IFERROR(__xludf.DUMMYFUNCTION("""COMPUTED_VALUE"""),"Dị_D&lt;54")</f>
        <v>Dị_D&lt;54</v>
      </c>
      <c r="O127" s="583"/>
      <c r="P127" s="584"/>
    </row>
    <row r="128" spans="1:16" ht="15.75">
      <c r="A128" s="587" t="str">
        <f ca="1">IFERROR(__xludf.DUMMYFUNCTION("""COMPUTED_VALUE"""),"Toàn Phát - Việt Nam")</f>
        <v>Toàn Phát - Việt Nam</v>
      </c>
      <c r="B128" s="587" t="str">
        <f ca="1">IFERROR(__xludf.DUMMYFUNCTION("""COMPUTED_VALUE"""),"ĐTPCUONDI")</f>
        <v>ĐTPCUONDI</v>
      </c>
      <c r="C128" s="587" t="str">
        <f ca="1">IFERROR(__xludf.DUMMYFUNCTION("""COMPUTED_VALUE"""),"DOC1588060")</f>
        <v>DOC1588060</v>
      </c>
      <c r="D128" s="588" t="str">
        <f ca="1">IFERROR(__xludf.DUMMYFUNCTION("""COMPUTED_VALUE"""),"Đồng ống PC 15.88x0.60")</f>
        <v>Đồng ống PC 15.88x0.60</v>
      </c>
      <c r="E128" s="589">
        <f ca="1">IFERROR(__xludf.DUMMYFUNCTION("""COMPUTED_VALUE"""),0.1)</f>
        <v>0.1</v>
      </c>
      <c r="F128" s="590" t="str">
        <f ca="1">IFERROR(__xludf.DUMMYFUNCTION("""COMPUTED_VALUE"""),"Cuộn")</f>
        <v>Cuộn</v>
      </c>
      <c r="G128" s="590" t="str">
        <f ca="1">IFERROR(__xludf.DUMMYFUNCTION("""COMPUTED_VALUE"""),"Cuộn 15m")</f>
        <v>Cuộn 15m</v>
      </c>
      <c r="H128" s="588" t="str">
        <f ca="1">IFERROR(__xludf.DUMMYFUNCTION("""COMPUTED_VALUE"""),"5")</f>
        <v>5</v>
      </c>
      <c r="I128" s="591">
        <f ca="1">IFERROR(__xludf.DUMMYFUNCTION("""COMPUTED_VALUE"""),3.9853296)</f>
        <v>3.9853296</v>
      </c>
      <c r="J128" s="592" t="str">
        <f ca="1">IFERROR(__xludf.DUMMYFUNCTION("""COMPUTED_VALUE""")," 15.88 ")</f>
        <v xml:space="preserve"> 15.88 </v>
      </c>
      <c r="K128" s="590" t="str">
        <f ca="1">IFERROR(__xludf.DUMMYFUNCTION("""COMPUTED_VALUE"""),"0.60")</f>
        <v>0.60</v>
      </c>
      <c r="L128" s="590">
        <f ca="1">IFERROR(__xludf.DUMMYFUNCTION("""COMPUTED_VALUE"""),15)</f>
        <v>15</v>
      </c>
      <c r="M128" s="590"/>
      <c r="N128" s="590" t="str">
        <f ca="1">IFERROR(__xludf.DUMMYFUNCTION("""COMPUTED_VALUE"""),"Dị_D&lt;54")</f>
        <v>Dị_D&lt;54</v>
      </c>
      <c r="O128" s="589"/>
      <c r="P128" s="590"/>
    </row>
    <row r="129" spans="1:17" ht="15.75">
      <c r="A129" s="581" t="str">
        <f ca="1">IFERROR(__xludf.DUMMYFUNCTION("""COMPUTED_VALUE"""),"Toàn Phát - Việt Nam")</f>
        <v>Toàn Phát - Việt Nam</v>
      </c>
      <c r="B129" s="581" t="str">
        <f ca="1">IFERROR(__xludf.DUMMYFUNCTION("""COMPUTED_VALUE"""),"ĐTPCUONIB")</f>
        <v>ĐTPCUONIB</v>
      </c>
      <c r="C129" s="581" t="str">
        <f ca="1">IFERROR(__xludf.DUMMYFUNCTION("""COMPUTED_VALUE"""),"DOC1588061")</f>
        <v>DOC1588061</v>
      </c>
      <c r="D129" s="582" t="str">
        <f ca="1">IFERROR(__xludf.DUMMYFUNCTION("""COMPUTED_VALUE"""),"Đồng ống PC 15.88x0.61")</f>
        <v>Đồng ống PC 15.88x0.61</v>
      </c>
      <c r="E129" s="583">
        <f ca="1">IFERROR(__xludf.DUMMYFUNCTION("""COMPUTED_VALUE"""),0.1)</f>
        <v>0.1</v>
      </c>
      <c r="F129" s="584" t="str">
        <f ca="1">IFERROR(__xludf.DUMMYFUNCTION("""COMPUTED_VALUE"""),"Cuộn")</f>
        <v>Cuộn</v>
      </c>
      <c r="G129" s="584" t="str">
        <f ca="1">IFERROR(__xludf.DUMMYFUNCTION("""COMPUTED_VALUE"""),"Cuộn 15m")</f>
        <v>Cuộn 15m</v>
      </c>
      <c r="H129" s="582" t="str">
        <f ca="1">IFERROR(__xludf.DUMMYFUNCTION("""COMPUTED_VALUE"""),"5")</f>
        <v>5</v>
      </c>
      <c r="I129" s="585">
        <f ca="1">IFERROR(__xludf.DUMMYFUNCTION("""COMPUTED_VALUE"""),4.04910009)</f>
        <v>4.0491000899999996</v>
      </c>
      <c r="J129" s="586" t="str">
        <f ca="1">IFERROR(__xludf.DUMMYFUNCTION("""COMPUTED_VALUE""")," 15.88 ")</f>
        <v xml:space="preserve"> 15.88 </v>
      </c>
      <c r="K129" s="584" t="str">
        <f ca="1">IFERROR(__xludf.DUMMYFUNCTION("""COMPUTED_VALUE"""),"0.61")</f>
        <v>0.61</v>
      </c>
      <c r="L129" s="584">
        <f ca="1">IFERROR(__xludf.DUMMYFUNCTION("""COMPUTED_VALUE"""),15)</f>
        <v>15</v>
      </c>
      <c r="M129" s="584"/>
      <c r="N129" s="584" t="str">
        <f ca="1">IFERROR(__xludf.DUMMYFUNCTION("""COMPUTED_VALUE"""),"Ít bán")</f>
        <v>Ít bán</v>
      </c>
      <c r="O129" s="583">
        <f ca="1">IFERROR(__xludf.DUMMYFUNCTION("""COMPUTED_VALUE"""),1)</f>
        <v>1</v>
      </c>
      <c r="P129" s="584"/>
      <c r="Q129" s="885">
        <f ca="1">+$Q$5*I129</f>
        <v>931.29302069999983</v>
      </c>
    </row>
    <row r="130" spans="1:17" ht="15.75">
      <c r="A130" s="587" t="str">
        <f ca="1">IFERROR(__xludf.DUMMYFUNCTION("""COMPUTED_VALUE"""),"Toàn Phát - Việt Nam")</f>
        <v>Toàn Phát - Việt Nam</v>
      </c>
      <c r="B130" s="587" t="str">
        <f ca="1">IFERROR(__xludf.DUMMYFUNCTION("""COMPUTED_VALUE"""),"ĐTPCUONDI")</f>
        <v>ĐTPCUONDI</v>
      </c>
      <c r="C130" s="587" t="str">
        <f ca="1">IFERROR(__xludf.DUMMYFUNCTION("""COMPUTED_VALUE"""),"DOC1588065")</f>
        <v>DOC1588065</v>
      </c>
      <c r="D130" s="588" t="str">
        <f ca="1">IFERROR(__xludf.DUMMYFUNCTION("""COMPUTED_VALUE"""),"Đồng ống PC 15.88x0.65")</f>
        <v>Đồng ống PC 15.88x0.65</v>
      </c>
      <c r="E130" s="589">
        <f ca="1">IFERROR(__xludf.DUMMYFUNCTION("""COMPUTED_VALUE"""),0.1)</f>
        <v>0.1</v>
      </c>
      <c r="F130" s="590" t="str">
        <f ca="1">IFERROR(__xludf.DUMMYFUNCTION("""COMPUTED_VALUE"""),"Cuộn")</f>
        <v>Cuộn</v>
      </c>
      <c r="G130" s="590" t="str">
        <f ca="1">IFERROR(__xludf.DUMMYFUNCTION("""COMPUTED_VALUE"""),"Cuộn 15m")</f>
        <v>Cuộn 15m</v>
      </c>
      <c r="H130" s="588" t="str">
        <f ca="1">IFERROR(__xludf.DUMMYFUNCTION("""COMPUTED_VALUE"""),"5")</f>
        <v>5</v>
      </c>
      <c r="I130" s="591">
        <f ca="1">IFERROR(__xludf.DUMMYFUNCTION("""COMPUTED_VALUE"""),4.30331264999999)</f>
        <v>4.3033126499999899</v>
      </c>
      <c r="J130" s="592" t="str">
        <f ca="1">IFERROR(__xludf.DUMMYFUNCTION("""COMPUTED_VALUE""")," 15.88 ")</f>
        <v xml:space="preserve"> 15.88 </v>
      </c>
      <c r="K130" s="590" t="str">
        <f ca="1">IFERROR(__xludf.DUMMYFUNCTION("""COMPUTED_VALUE"""),"0.65")</f>
        <v>0.65</v>
      </c>
      <c r="L130" s="590">
        <f ca="1">IFERROR(__xludf.DUMMYFUNCTION("""COMPUTED_VALUE"""),15)</f>
        <v>15</v>
      </c>
      <c r="M130" s="590"/>
      <c r="N130" s="590" t="str">
        <f ca="1">IFERROR(__xludf.DUMMYFUNCTION("""COMPUTED_VALUE"""),"Dị_D&lt;54")</f>
        <v>Dị_D&lt;54</v>
      </c>
      <c r="O130" s="589"/>
      <c r="P130" s="590"/>
    </row>
    <row r="131" spans="1:17" ht="15.75">
      <c r="A131" s="581" t="str">
        <f ca="1">IFERROR(__xludf.DUMMYFUNCTION("""COMPUTED_VALUE"""),"Toàn Phát - Việt Nam")</f>
        <v>Toàn Phát - Việt Nam</v>
      </c>
      <c r="B131" s="581" t="str">
        <f ca="1">IFERROR(__xludf.DUMMYFUNCTION("""COMPUTED_VALUE"""),"ĐTPCUONDI")</f>
        <v>ĐTPCUONDI</v>
      </c>
      <c r="C131" s="581" t="str">
        <f ca="1">IFERROR(__xludf.DUMMYFUNCTION("""COMPUTED_VALUE"""),"DOC1588070")</f>
        <v>DOC1588070</v>
      </c>
      <c r="D131" s="582" t="str">
        <f ca="1">IFERROR(__xludf.DUMMYFUNCTION("""COMPUTED_VALUE"""),"Đồng ống PC 15.88x0.70")</f>
        <v>Đồng ống PC 15.88x0.70</v>
      </c>
      <c r="E131" s="583">
        <f ca="1">IFERROR(__xludf.DUMMYFUNCTION("""COMPUTED_VALUE"""),0.1)</f>
        <v>0.1</v>
      </c>
      <c r="F131" s="584" t="str">
        <f ca="1">IFERROR(__xludf.DUMMYFUNCTION("""COMPUTED_VALUE"""),"Cuộn")</f>
        <v>Cuộn</v>
      </c>
      <c r="G131" s="584" t="str">
        <f ca="1">IFERROR(__xludf.DUMMYFUNCTION("""COMPUTED_VALUE"""),"Cuộn 15m")</f>
        <v>Cuộn 15m</v>
      </c>
      <c r="H131" s="582" t="str">
        <f ca="1">IFERROR(__xludf.DUMMYFUNCTION("""COMPUTED_VALUE"""),"5")</f>
        <v>5</v>
      </c>
      <c r="I131" s="585">
        <f ca="1">IFERROR(__xludf.DUMMYFUNCTION("""COMPUTED_VALUE"""),4.6191222)</f>
        <v>4.6191221999999996</v>
      </c>
      <c r="J131" s="586" t="str">
        <f ca="1">IFERROR(__xludf.DUMMYFUNCTION("""COMPUTED_VALUE""")," 15.88 ")</f>
        <v xml:space="preserve"> 15.88 </v>
      </c>
      <c r="K131" s="584" t="str">
        <f ca="1">IFERROR(__xludf.DUMMYFUNCTION("""COMPUTED_VALUE"""),"0.70")</f>
        <v>0.70</v>
      </c>
      <c r="L131" s="584">
        <f ca="1">IFERROR(__xludf.DUMMYFUNCTION("""COMPUTED_VALUE"""),15)</f>
        <v>15</v>
      </c>
      <c r="M131" s="584"/>
      <c r="N131" s="584" t="str">
        <f ca="1">IFERROR(__xludf.DUMMYFUNCTION("""COMPUTED_VALUE"""),"Dị_D&lt;54")</f>
        <v>Dị_D&lt;54</v>
      </c>
      <c r="O131" s="583"/>
      <c r="P131" s="584"/>
    </row>
    <row r="132" spans="1:17" ht="15.75">
      <c r="A132" s="587" t="str">
        <f ca="1">IFERROR(__xludf.DUMMYFUNCTION("""COMPUTED_VALUE"""),"Toàn Phát - Việt Nam")</f>
        <v>Toàn Phát - Việt Nam</v>
      </c>
      <c r="B132" s="587" t="str">
        <f ca="1">IFERROR(__xludf.DUMMYFUNCTION("""COMPUTED_VALUE"""),"ĐTPCUONDD")</f>
        <v>ĐTPCUONDD</v>
      </c>
      <c r="C132" s="587" t="str">
        <f ca="1">IFERROR(__xludf.DUMMYFUNCTION("""COMPUTED_VALUE"""),"DOC1588071")</f>
        <v>DOC1588071</v>
      </c>
      <c r="D132" s="588" t="str">
        <f ca="1">IFERROR(__xludf.DUMMYFUNCTION("""COMPUTED_VALUE"""),"Đồng ống PC 15.88x0.71")</f>
        <v>Đồng ống PC 15.88x0.71</v>
      </c>
      <c r="E132" s="589">
        <f ca="1">IFERROR(__xludf.DUMMYFUNCTION("""COMPUTED_VALUE"""),0.1)</f>
        <v>0.1</v>
      </c>
      <c r="F132" s="590" t="str">
        <f ca="1">IFERROR(__xludf.DUMMYFUNCTION("""COMPUTED_VALUE"""),"Cuộn")</f>
        <v>Cuộn</v>
      </c>
      <c r="G132" s="590" t="str">
        <f ca="1">IFERROR(__xludf.DUMMYFUNCTION("""COMPUTED_VALUE"""),"Cuộn 15m")</f>
        <v>Cuộn 15m</v>
      </c>
      <c r="H132" s="588" t="str">
        <f ca="1">IFERROR(__xludf.DUMMYFUNCTION("""COMPUTED_VALUE"""),"5")</f>
        <v>5</v>
      </c>
      <c r="I132" s="591">
        <f ca="1">IFERROR(__xludf.DUMMYFUNCTION("""COMPUTED_VALUE"""),4.68202329)</f>
        <v>4.6820232900000001</v>
      </c>
      <c r="J132" s="592" t="str">
        <f ca="1">IFERROR(__xludf.DUMMYFUNCTION("""COMPUTED_VALUE""")," 15.88 ")</f>
        <v xml:space="preserve"> 15.88 </v>
      </c>
      <c r="K132" s="590" t="str">
        <f ca="1">IFERROR(__xludf.DUMMYFUNCTION("""COMPUTED_VALUE"""),"0.71")</f>
        <v>0.71</v>
      </c>
      <c r="L132" s="590">
        <f ca="1">IFERROR(__xludf.DUMMYFUNCTION("""COMPUTED_VALUE"""),15)</f>
        <v>15</v>
      </c>
      <c r="M132" s="590"/>
      <c r="N132" s="590" t="str">
        <f ca="1">IFERROR(__xludf.DUMMYFUNCTION("""COMPUTED_VALUE"""),"Không")</f>
        <v>Không</v>
      </c>
      <c r="O132" s="589"/>
      <c r="P132" s="590"/>
      <c r="Q132" s="885">
        <f ca="1">+$Q$5*I132</f>
        <v>1076.8653566999999</v>
      </c>
    </row>
    <row r="133" spans="1:17" ht="15.75">
      <c r="A133" s="581" t="str">
        <f ca="1">IFERROR(__xludf.DUMMYFUNCTION("""COMPUTED_VALUE"""),"Toàn Phát - Việt Nam")</f>
        <v>Toàn Phát - Việt Nam</v>
      </c>
      <c r="B133" s="581" t="str">
        <f ca="1">IFERROR(__xludf.DUMMYFUNCTION("""COMPUTED_VALUE"""),"ĐTPCUONDI")</f>
        <v>ĐTPCUONDI</v>
      </c>
      <c r="C133" s="581" t="str">
        <f ca="1">IFERROR(__xludf.DUMMYFUNCTION("""COMPUTED_VALUE"""),"DOC158807150")</f>
        <v>DOC158807150</v>
      </c>
      <c r="D133" s="582" t="str">
        <f ca="1">IFERROR(__xludf.DUMMYFUNCTION("""COMPUTED_VALUE"""),"Đồng ống PC 15.88x0.71x50")</f>
        <v>Đồng ống PC 15.88x0.71x50</v>
      </c>
      <c r="E133" s="583">
        <f ca="1">IFERROR(__xludf.DUMMYFUNCTION("""COMPUTED_VALUE"""),0.1)</f>
        <v>0.1</v>
      </c>
      <c r="F133" s="584" t="str">
        <f ca="1">IFERROR(__xludf.DUMMYFUNCTION("""COMPUTED_VALUE"""),"Cuộn")</f>
        <v>Cuộn</v>
      </c>
      <c r="G133" s="584" t="str">
        <f ca="1">IFERROR(__xludf.DUMMYFUNCTION("""COMPUTED_VALUE"""),"Cuộn 50m")</f>
        <v>Cuộn 50m</v>
      </c>
      <c r="H133" s="582" t="str">
        <f ca="1">IFERROR(__xludf.DUMMYFUNCTION("""COMPUTED_VALUE"""),"5")</f>
        <v>5</v>
      </c>
      <c r="I133" s="585">
        <f ca="1">IFERROR(__xludf.DUMMYFUNCTION("""COMPUTED_VALUE"""),15.6067443)</f>
        <v>15.606744300000001</v>
      </c>
      <c r="J133" s="586" t="str">
        <f ca="1">IFERROR(__xludf.DUMMYFUNCTION("""COMPUTED_VALUE""")," 15.88 ")</f>
        <v xml:space="preserve"> 15.88 </v>
      </c>
      <c r="K133" s="584" t="str">
        <f ca="1">IFERROR(__xludf.DUMMYFUNCTION("""COMPUTED_VALUE"""),"0.71")</f>
        <v>0.71</v>
      </c>
      <c r="L133" s="584">
        <f ca="1">IFERROR(__xludf.DUMMYFUNCTION("""COMPUTED_VALUE"""),50)</f>
        <v>50</v>
      </c>
      <c r="M133" s="584"/>
      <c r="N133" s="584" t="str">
        <f ca="1">IFERROR(__xludf.DUMMYFUNCTION("""COMPUTED_VALUE"""),"Dị_D&lt;54")</f>
        <v>Dị_D&lt;54</v>
      </c>
      <c r="O133" s="583"/>
      <c r="P133" s="584"/>
    </row>
    <row r="134" spans="1:17" ht="15.75">
      <c r="A134" s="587" t="str">
        <f ca="1">IFERROR(__xludf.DUMMYFUNCTION("""COMPUTED_VALUE"""),"Toàn Phát - Việt Nam")</f>
        <v>Toàn Phát - Việt Nam</v>
      </c>
      <c r="B134" s="587" t="str">
        <f ca="1">IFERROR(__xludf.DUMMYFUNCTION("""COMPUTED_VALUE"""),"ĐTPCUONDI")</f>
        <v>ĐTPCUONDI</v>
      </c>
      <c r="C134" s="587" t="str">
        <f ca="1">IFERROR(__xludf.DUMMYFUNCTION("""COMPUTED_VALUE"""),"DOC1588072")</f>
        <v>DOC1588072</v>
      </c>
      <c r="D134" s="588" t="str">
        <f ca="1">IFERROR(__xludf.DUMMYFUNCTION("""COMPUTED_VALUE"""),"Đồng ống PC 15.88x0.72")</f>
        <v>Đồng ống PC 15.88x0.72</v>
      </c>
      <c r="E134" s="589">
        <f ca="1">IFERROR(__xludf.DUMMYFUNCTION("""COMPUTED_VALUE"""),0.1)</f>
        <v>0.1</v>
      </c>
      <c r="F134" s="590" t="str">
        <f ca="1">IFERROR(__xludf.DUMMYFUNCTION("""COMPUTED_VALUE"""),"Cuộn")</f>
        <v>Cuộn</v>
      </c>
      <c r="G134" s="590" t="str">
        <f ca="1">IFERROR(__xludf.DUMMYFUNCTION("""COMPUTED_VALUE"""),"Cuộn 15m")</f>
        <v>Cuộn 15m</v>
      </c>
      <c r="H134" s="588" t="str">
        <f ca="1">IFERROR(__xludf.DUMMYFUNCTION("""COMPUTED_VALUE"""),"5")</f>
        <v>5</v>
      </c>
      <c r="I134" s="591">
        <f ca="1">IFERROR(__xludf.DUMMYFUNCTION("""COMPUTED_VALUE"""),4.74483743999999)</f>
        <v>4.7448374399999897</v>
      </c>
      <c r="J134" s="592" t="str">
        <f ca="1">IFERROR(__xludf.DUMMYFUNCTION("""COMPUTED_VALUE""")," 15.88 ")</f>
        <v xml:space="preserve"> 15.88 </v>
      </c>
      <c r="K134" s="590" t="str">
        <f ca="1">IFERROR(__xludf.DUMMYFUNCTION("""COMPUTED_VALUE"""),"0.72")</f>
        <v>0.72</v>
      </c>
      <c r="L134" s="590">
        <f ca="1">IFERROR(__xludf.DUMMYFUNCTION("""COMPUTED_VALUE"""),15)</f>
        <v>15</v>
      </c>
      <c r="M134" s="590"/>
      <c r="N134" s="590" t="str">
        <f ca="1">IFERROR(__xludf.DUMMYFUNCTION("""COMPUTED_VALUE"""),"Dị_D&lt;54")</f>
        <v>Dị_D&lt;54</v>
      </c>
      <c r="O134" s="589"/>
      <c r="P134" s="590"/>
    </row>
    <row r="135" spans="1:17" ht="15.75">
      <c r="A135" s="581" t="str">
        <f ca="1">IFERROR(__xludf.DUMMYFUNCTION("""COMPUTED_VALUE"""),"Toàn Phát - Việt Nam")</f>
        <v>Toàn Phát - Việt Nam</v>
      </c>
      <c r="B135" s="581" t="str">
        <f ca="1">IFERROR(__xludf.DUMMYFUNCTION("""COMPUTED_VALUE"""),"ĐTPCUONDI")</f>
        <v>ĐTPCUONDI</v>
      </c>
      <c r="C135" s="581" t="str">
        <f ca="1">IFERROR(__xludf.DUMMYFUNCTION("""COMPUTED_VALUE"""),"DOC1588075")</f>
        <v>DOC1588075</v>
      </c>
      <c r="D135" s="582" t="str">
        <f ca="1">IFERROR(__xludf.DUMMYFUNCTION("""COMPUTED_VALUE"""),"Đồng ống PC 15.88x0.75")</f>
        <v>Đồng ống PC 15.88x0.75</v>
      </c>
      <c r="E135" s="583">
        <f ca="1">IFERROR(__xludf.DUMMYFUNCTION("""COMPUTED_VALUE"""),0.1)</f>
        <v>0.1</v>
      </c>
      <c r="F135" s="584" t="str">
        <f ca="1">IFERROR(__xludf.DUMMYFUNCTION("""COMPUTED_VALUE"""),"Cuộn")</f>
        <v>Cuộn</v>
      </c>
      <c r="G135" s="584" t="str">
        <f ca="1">IFERROR(__xludf.DUMMYFUNCTION("""COMPUTED_VALUE"""),"Cuộn 15m")</f>
        <v>Cuộn 15m</v>
      </c>
      <c r="H135" s="582" t="str">
        <f ca="1">IFERROR(__xludf.DUMMYFUNCTION("""COMPUTED_VALUE"""),"5")</f>
        <v>5</v>
      </c>
      <c r="I135" s="585">
        <f ca="1">IFERROR(__xludf.DUMMYFUNCTION("""COMPUTED_VALUE"""),4.93275825)</f>
        <v>4.93275825</v>
      </c>
      <c r="J135" s="586" t="str">
        <f ca="1">IFERROR(__xludf.DUMMYFUNCTION("""COMPUTED_VALUE""")," 15.88 ")</f>
        <v xml:space="preserve"> 15.88 </v>
      </c>
      <c r="K135" s="584" t="str">
        <f ca="1">IFERROR(__xludf.DUMMYFUNCTION("""COMPUTED_VALUE"""),"0.75")</f>
        <v>0.75</v>
      </c>
      <c r="L135" s="584">
        <f ca="1">IFERROR(__xludf.DUMMYFUNCTION("""COMPUTED_VALUE"""),15)</f>
        <v>15</v>
      </c>
      <c r="M135" s="584"/>
      <c r="N135" s="584" t="str">
        <f ca="1">IFERROR(__xludf.DUMMYFUNCTION("""COMPUTED_VALUE"""),"Dị_D&lt;54")</f>
        <v>Dị_D&lt;54</v>
      </c>
      <c r="O135" s="583"/>
      <c r="P135" s="584"/>
    </row>
    <row r="136" spans="1:17" ht="15.75">
      <c r="A136" s="587" t="str">
        <f ca="1">IFERROR(__xludf.DUMMYFUNCTION("""COMPUTED_VALUE"""),"Toàn Phát - Việt Nam")</f>
        <v>Toàn Phát - Việt Nam</v>
      </c>
      <c r="B136" s="587" t="str">
        <f ca="1">IFERROR(__xludf.DUMMYFUNCTION("""COMPUTED_VALUE"""),"ĐTPCUONDI")</f>
        <v>ĐTPCUONDI</v>
      </c>
      <c r="C136" s="587" t="str">
        <f ca="1">IFERROR(__xludf.DUMMYFUNCTION("""COMPUTED_VALUE"""),"DOC1588080")</f>
        <v>DOC1588080</v>
      </c>
      <c r="D136" s="588" t="str">
        <f ca="1">IFERROR(__xludf.DUMMYFUNCTION("""COMPUTED_VALUE"""),"Đồng ống PC 15.88x0.80")</f>
        <v>Đồng ống PC 15.88x0.80</v>
      </c>
      <c r="E136" s="589">
        <f ca="1">IFERROR(__xludf.DUMMYFUNCTION("""COMPUTED_VALUE"""),0.1)</f>
        <v>0.1</v>
      </c>
      <c r="F136" s="590" t="str">
        <f ca="1">IFERROR(__xludf.DUMMYFUNCTION("""COMPUTED_VALUE"""),"Cuộn")</f>
        <v>Cuộn</v>
      </c>
      <c r="G136" s="590" t="str">
        <f ca="1">IFERROR(__xludf.DUMMYFUNCTION("""COMPUTED_VALUE"""),"Cuộn 15m")</f>
        <v>Cuộn 15m</v>
      </c>
      <c r="H136" s="588" t="str">
        <f ca="1">IFERROR(__xludf.DUMMYFUNCTION("""COMPUTED_VALUE"""),"5")</f>
        <v>5</v>
      </c>
      <c r="I136" s="591">
        <f ca="1">IFERROR(__xludf.DUMMYFUNCTION("""COMPUTED_VALUE"""),5.24422079999999)</f>
        <v>5.2442207999999901</v>
      </c>
      <c r="J136" s="592" t="str">
        <f ca="1">IFERROR(__xludf.DUMMYFUNCTION("""COMPUTED_VALUE""")," 15.88 ")</f>
        <v xml:space="preserve"> 15.88 </v>
      </c>
      <c r="K136" s="590" t="str">
        <f ca="1">IFERROR(__xludf.DUMMYFUNCTION("""COMPUTED_VALUE"""),"0.80")</f>
        <v>0.80</v>
      </c>
      <c r="L136" s="590">
        <f ca="1">IFERROR(__xludf.DUMMYFUNCTION("""COMPUTED_VALUE"""),15)</f>
        <v>15</v>
      </c>
      <c r="M136" s="590"/>
      <c r="N136" s="590" t="str">
        <f ca="1">IFERROR(__xludf.DUMMYFUNCTION("""COMPUTED_VALUE"""),"Dị_D&lt;54")</f>
        <v>Dị_D&lt;54</v>
      </c>
      <c r="O136" s="589"/>
      <c r="P136" s="590"/>
    </row>
    <row r="137" spans="1:17" ht="15.75">
      <c r="A137" s="581" t="str">
        <f ca="1">IFERROR(__xludf.DUMMYFUNCTION("""COMPUTED_VALUE"""),"Toàn Phát - Việt Nam")</f>
        <v>Toàn Phát - Việt Nam</v>
      </c>
      <c r="B137" s="581" t="str">
        <f ca="1">IFERROR(__xludf.DUMMYFUNCTION("""COMPUTED_VALUE"""),"ĐTPCUONDI")</f>
        <v>ĐTPCUONDI</v>
      </c>
      <c r="C137" s="581" t="str">
        <f ca="1">IFERROR(__xludf.DUMMYFUNCTION("""COMPUTED_VALUE"""),"DOC158808030")</f>
        <v>DOC158808030</v>
      </c>
      <c r="D137" s="582" t="str">
        <f ca="1">IFERROR(__xludf.DUMMYFUNCTION("""COMPUTED_VALUE"""),"Đồng ống PC 15.88x0.80x30")</f>
        <v>Đồng ống PC 15.88x0.80x30</v>
      </c>
      <c r="E137" s="583">
        <f ca="1">IFERROR(__xludf.DUMMYFUNCTION("""COMPUTED_VALUE"""),0.1)</f>
        <v>0.1</v>
      </c>
      <c r="F137" s="584" t="str">
        <f ca="1">IFERROR(__xludf.DUMMYFUNCTION("""COMPUTED_VALUE"""),"Cuộn")</f>
        <v>Cuộn</v>
      </c>
      <c r="G137" s="584" t="str">
        <f ca="1">IFERROR(__xludf.DUMMYFUNCTION("""COMPUTED_VALUE"""),"Cuộn 30m")</f>
        <v>Cuộn 30m</v>
      </c>
      <c r="H137" s="582" t="str">
        <f ca="1">IFERROR(__xludf.DUMMYFUNCTION("""COMPUTED_VALUE"""),"5")</f>
        <v>5</v>
      </c>
      <c r="I137" s="585">
        <f ca="1">IFERROR(__xludf.DUMMYFUNCTION("""COMPUTED_VALUE"""),10.4884415999999)</f>
        <v>10.4884415999999</v>
      </c>
      <c r="J137" s="586" t="str">
        <f ca="1">IFERROR(__xludf.DUMMYFUNCTION("""COMPUTED_VALUE""")," 15.88 ")</f>
        <v xml:space="preserve"> 15.88 </v>
      </c>
      <c r="K137" s="584" t="str">
        <f ca="1">IFERROR(__xludf.DUMMYFUNCTION("""COMPUTED_VALUE"""),"0.80")</f>
        <v>0.80</v>
      </c>
      <c r="L137" s="584">
        <f ca="1">IFERROR(__xludf.DUMMYFUNCTION("""COMPUTED_VALUE"""),30)</f>
        <v>30</v>
      </c>
      <c r="M137" s="584"/>
      <c r="N137" s="584" t="str">
        <f ca="1">IFERROR(__xludf.DUMMYFUNCTION("""COMPUTED_VALUE"""),"Dị_D&lt;54")</f>
        <v>Dị_D&lt;54</v>
      </c>
      <c r="O137" s="583"/>
      <c r="P137" s="584"/>
    </row>
    <row r="138" spans="1:17" ht="15.75">
      <c r="A138" s="587" t="str">
        <f ca="1">IFERROR(__xludf.DUMMYFUNCTION("""COMPUTED_VALUE"""),"Toàn Phát - Việt Nam")</f>
        <v>Toàn Phát - Việt Nam</v>
      </c>
      <c r="B138" s="587" t="str">
        <f ca="1">IFERROR(__xludf.DUMMYFUNCTION("""COMPUTED_VALUE"""),"ĐTPCUONCT")</f>
        <v>ĐTPCUONCT</v>
      </c>
      <c r="C138" s="587" t="str">
        <f ca="1">IFERROR(__xludf.DUMMYFUNCTION("""COMPUTED_VALUE"""),"DOC1588081")</f>
        <v>DOC1588081</v>
      </c>
      <c r="D138" s="588" t="str">
        <f ca="1">IFERROR(__xludf.DUMMYFUNCTION("""COMPUTED_VALUE"""),"Đồng ống PC 15.88x0.81")</f>
        <v>Đồng ống PC 15.88x0.81</v>
      </c>
      <c r="E138" s="589">
        <f ca="1">IFERROR(__xludf.DUMMYFUNCTION("""COMPUTED_VALUE"""),0.1)</f>
        <v>0.1</v>
      </c>
      <c r="F138" s="590" t="str">
        <f ca="1">IFERROR(__xludf.DUMMYFUNCTION("""COMPUTED_VALUE"""),"Cuộn")</f>
        <v>Cuộn</v>
      </c>
      <c r="G138" s="590" t="str">
        <f ca="1">IFERROR(__xludf.DUMMYFUNCTION("""COMPUTED_VALUE"""),"Cuộn 15m")</f>
        <v>Cuộn 15m</v>
      </c>
      <c r="H138" s="588" t="str">
        <f ca="1">IFERROR(__xludf.DUMMYFUNCTION("""COMPUTED_VALUE"""),"5")</f>
        <v>5</v>
      </c>
      <c r="I138" s="591">
        <f ca="1">IFERROR(__xludf.DUMMYFUNCTION("""COMPUTED_VALUE"""),5.30625249)</f>
        <v>5.3062524900000003</v>
      </c>
      <c r="J138" s="592" t="str">
        <f ca="1">IFERROR(__xludf.DUMMYFUNCTION("""COMPUTED_VALUE""")," 15.88 ")</f>
        <v xml:space="preserve"> 15.88 </v>
      </c>
      <c r="K138" s="590" t="str">
        <f ca="1">IFERROR(__xludf.DUMMYFUNCTION("""COMPUTED_VALUE"""),"0.81")</f>
        <v>0.81</v>
      </c>
      <c r="L138" s="590">
        <f ca="1">IFERROR(__xludf.DUMMYFUNCTION("""COMPUTED_VALUE"""),15)</f>
        <v>15</v>
      </c>
      <c r="M138" s="590"/>
      <c r="N138" s="590" t="str">
        <f ca="1">IFERROR(__xludf.DUMMYFUNCTION("""COMPUTED_VALUE"""),"Không")</f>
        <v>Không</v>
      </c>
      <c r="O138" s="589"/>
      <c r="P138" s="590"/>
      <c r="Q138" s="885">
        <f ca="1">+$Q$5*I138</f>
        <v>1220.4380727</v>
      </c>
    </row>
    <row r="139" spans="1:17" ht="15.75">
      <c r="A139" s="581" t="str">
        <f ca="1">IFERROR(__xludf.DUMMYFUNCTION("""COMPUTED_VALUE"""),"Toàn Phát - Việt Nam")</f>
        <v>Toàn Phát - Việt Nam</v>
      </c>
      <c r="B139" s="581" t="str">
        <f ca="1">IFERROR(__xludf.DUMMYFUNCTION("""COMPUTED_VALUE"""),"ĐTPCUONDI")</f>
        <v>ĐTPCUONDI</v>
      </c>
      <c r="C139" s="581" t="str">
        <f ca="1">IFERROR(__xludf.DUMMYFUNCTION("""COMPUTED_VALUE"""),"DOC158808150")</f>
        <v>DOC158808150</v>
      </c>
      <c r="D139" s="582" t="str">
        <f ca="1">IFERROR(__xludf.DUMMYFUNCTION("""COMPUTED_VALUE"""),"Đồng ống PC 15.88x0.81x50")</f>
        <v>Đồng ống PC 15.88x0.81x50</v>
      </c>
      <c r="E139" s="583">
        <f ca="1">IFERROR(__xludf.DUMMYFUNCTION("""COMPUTED_VALUE"""),0.1)</f>
        <v>0.1</v>
      </c>
      <c r="F139" s="584" t="str">
        <f ca="1">IFERROR(__xludf.DUMMYFUNCTION("""COMPUTED_VALUE"""),"Cuộn")</f>
        <v>Cuộn</v>
      </c>
      <c r="G139" s="584" t="str">
        <f ca="1">IFERROR(__xludf.DUMMYFUNCTION("""COMPUTED_VALUE"""),"Cuộn 50m")</f>
        <v>Cuộn 50m</v>
      </c>
      <c r="H139" s="582" t="str">
        <f ca="1">IFERROR(__xludf.DUMMYFUNCTION("""COMPUTED_VALUE"""),"5")</f>
        <v>5</v>
      </c>
      <c r="I139" s="585">
        <f ca="1">IFERROR(__xludf.DUMMYFUNCTION("""COMPUTED_VALUE"""),17.6875083)</f>
        <v>17.687508300000001</v>
      </c>
      <c r="J139" s="586" t="str">
        <f ca="1">IFERROR(__xludf.DUMMYFUNCTION("""COMPUTED_VALUE""")," 15.88 ")</f>
        <v xml:space="preserve"> 15.88 </v>
      </c>
      <c r="K139" s="584" t="str">
        <f ca="1">IFERROR(__xludf.DUMMYFUNCTION("""COMPUTED_VALUE"""),"0.81")</f>
        <v>0.81</v>
      </c>
      <c r="L139" s="584">
        <f ca="1">IFERROR(__xludf.DUMMYFUNCTION("""COMPUTED_VALUE"""),50)</f>
        <v>50</v>
      </c>
      <c r="M139" s="584"/>
      <c r="N139" s="584" t="str">
        <f ca="1">IFERROR(__xludf.DUMMYFUNCTION("""COMPUTED_VALUE"""),"Dị_D&lt;54")</f>
        <v>Dị_D&lt;54</v>
      </c>
      <c r="O139" s="583"/>
      <c r="P139" s="584"/>
    </row>
    <row r="140" spans="1:17" ht="15.75">
      <c r="A140" s="587" t="str">
        <f ca="1">IFERROR(__xludf.DUMMYFUNCTION("""COMPUTED_VALUE"""),"Toàn Phát - Việt Nam")</f>
        <v>Toàn Phát - Việt Nam</v>
      </c>
      <c r="B140" s="587" t="str">
        <f ca="1">IFERROR(__xludf.DUMMYFUNCTION("""COMPUTED_VALUE"""),"ĐTPCUONDI")</f>
        <v>ĐTPCUONDI</v>
      </c>
      <c r="C140" s="587" t="str">
        <f ca="1">IFERROR(__xludf.DUMMYFUNCTION("""COMPUTED_VALUE"""),"DOC1588085")</f>
        <v>DOC1588085</v>
      </c>
      <c r="D140" s="588" t="str">
        <f ca="1">IFERROR(__xludf.DUMMYFUNCTION("""COMPUTED_VALUE"""),"Đồng ống PC15.88x0.85")</f>
        <v>Đồng ống PC15.88x0.85</v>
      </c>
      <c r="E140" s="589">
        <f ca="1">IFERROR(__xludf.DUMMYFUNCTION("""COMPUTED_VALUE"""),0.1)</f>
        <v>0.1</v>
      </c>
      <c r="F140" s="590" t="str">
        <f ca="1">IFERROR(__xludf.DUMMYFUNCTION("""COMPUTED_VALUE"""),"Cuộn")</f>
        <v>Cuộn</v>
      </c>
      <c r="G140" s="590" t="str">
        <f ca="1">IFERROR(__xludf.DUMMYFUNCTION("""COMPUTED_VALUE"""),"Cuộn 15m")</f>
        <v>Cuộn 15m</v>
      </c>
      <c r="H140" s="588" t="str">
        <f ca="1">IFERROR(__xludf.DUMMYFUNCTION("""COMPUTED_VALUE"""),"5")</f>
        <v>5</v>
      </c>
      <c r="I140" s="591">
        <f ca="1">IFERROR(__xludf.DUMMYFUNCTION("""COMPUTED_VALUE"""),5.55350985)</f>
        <v>5.5535098500000002</v>
      </c>
      <c r="J140" s="592" t="str">
        <f ca="1">IFERROR(__xludf.DUMMYFUNCTION("""COMPUTED_VALUE""")," 15.88 ")</f>
        <v xml:space="preserve"> 15.88 </v>
      </c>
      <c r="K140" s="590" t="str">
        <f ca="1">IFERROR(__xludf.DUMMYFUNCTION("""COMPUTED_VALUE"""),"0.85")</f>
        <v>0.85</v>
      </c>
      <c r="L140" s="590">
        <f ca="1">IFERROR(__xludf.DUMMYFUNCTION("""COMPUTED_VALUE"""),15)</f>
        <v>15</v>
      </c>
      <c r="M140" s="590"/>
      <c r="N140" s="590" t="str">
        <f ca="1">IFERROR(__xludf.DUMMYFUNCTION("""COMPUTED_VALUE"""),"Dị_D&lt;54")</f>
        <v>Dị_D&lt;54</v>
      </c>
      <c r="O140" s="589"/>
      <c r="P140" s="590"/>
    </row>
    <row r="141" spans="1:17" ht="15.75">
      <c r="A141" s="581" t="str">
        <f ca="1">IFERROR(__xludf.DUMMYFUNCTION("""COMPUTED_VALUE"""),"Toàn Phát - Việt Nam")</f>
        <v>Toàn Phát - Việt Nam</v>
      </c>
      <c r="B141" s="581" t="str">
        <f ca="1">IFERROR(__xludf.DUMMYFUNCTION("""COMPUTED_VALUE"""),"ĐTPCUONDI")</f>
        <v>ĐTPCUONDI</v>
      </c>
      <c r="C141" s="581" t="str">
        <f ca="1">IFERROR(__xludf.DUMMYFUNCTION("""COMPUTED_VALUE"""),"DOC1588089")</f>
        <v>DOC1588089</v>
      </c>
      <c r="D141" s="582" t="str">
        <f ca="1">IFERROR(__xludf.DUMMYFUNCTION("""COMPUTED_VALUE"""),"Đồng ống PC 15.88x0.89")</f>
        <v>Đồng ống PC 15.88x0.89</v>
      </c>
      <c r="E141" s="583">
        <f ca="1">IFERROR(__xludf.DUMMYFUNCTION("""COMPUTED_VALUE"""),0.1)</f>
        <v>0.1</v>
      </c>
      <c r="F141" s="584" t="str">
        <f ca="1">IFERROR(__xludf.DUMMYFUNCTION("""COMPUTED_VALUE"""),"Cuộn")</f>
        <v>Cuộn</v>
      </c>
      <c r="G141" s="584" t="str">
        <f ca="1">IFERROR(__xludf.DUMMYFUNCTION("""COMPUTED_VALUE"""),"Cuộn 15m")</f>
        <v>Cuộn 15m</v>
      </c>
      <c r="H141" s="582" t="str">
        <f ca="1">IFERROR(__xludf.DUMMYFUNCTION("""COMPUTED_VALUE"""),"5")</f>
        <v>5</v>
      </c>
      <c r="I141" s="585">
        <f ca="1">IFERROR(__xludf.DUMMYFUNCTION("""COMPUTED_VALUE"""),5.79937616999999)</f>
        <v>5.7993761699999897</v>
      </c>
      <c r="J141" s="586" t="str">
        <f ca="1">IFERROR(__xludf.DUMMYFUNCTION("""COMPUTED_VALUE""")," 15.88 ")</f>
        <v xml:space="preserve"> 15.88 </v>
      </c>
      <c r="K141" s="584" t="str">
        <f ca="1">IFERROR(__xludf.DUMMYFUNCTION("""COMPUTED_VALUE"""),"0.89")</f>
        <v>0.89</v>
      </c>
      <c r="L141" s="584">
        <f ca="1">IFERROR(__xludf.DUMMYFUNCTION("""COMPUTED_VALUE"""),15)</f>
        <v>15</v>
      </c>
      <c r="M141" s="584"/>
      <c r="N141" s="584" t="str">
        <f ca="1">IFERROR(__xludf.DUMMYFUNCTION("""COMPUTED_VALUE"""),"Dị_D&lt;54")</f>
        <v>Dị_D&lt;54</v>
      </c>
      <c r="O141" s="583"/>
      <c r="P141" s="584"/>
    </row>
    <row r="142" spans="1:17" ht="15.75">
      <c r="A142" s="587" t="str">
        <f ca="1">IFERROR(__xludf.DUMMYFUNCTION("""COMPUTED_VALUE"""),"Toàn Phát - Việt Nam")</f>
        <v>Toàn Phát - Việt Nam</v>
      </c>
      <c r="B142" s="587" t="str">
        <f ca="1">IFERROR(__xludf.DUMMYFUNCTION("""COMPUTED_VALUE"""),"ĐTPCUONDI")</f>
        <v>ĐTPCUONDI</v>
      </c>
      <c r="C142" s="587" t="str">
        <f ca="1">IFERROR(__xludf.DUMMYFUNCTION("""COMPUTED_VALUE"""),"DOC158809")</f>
        <v>DOC158809</v>
      </c>
      <c r="D142" s="588" t="str">
        <f ca="1">IFERROR(__xludf.DUMMYFUNCTION("""COMPUTED_VALUE"""),"Đồng ống PC15.88x0.90")</f>
        <v>Đồng ống PC15.88x0.90</v>
      </c>
      <c r="E142" s="589">
        <f ca="1">IFERROR(__xludf.DUMMYFUNCTION("""COMPUTED_VALUE"""),0.1)</f>
        <v>0.1</v>
      </c>
      <c r="F142" s="590" t="str">
        <f ca="1">IFERROR(__xludf.DUMMYFUNCTION("""COMPUTED_VALUE"""),"Cuộn")</f>
        <v>Cuộn</v>
      </c>
      <c r="G142" s="590" t="str">
        <f ca="1">IFERROR(__xludf.DUMMYFUNCTION("""COMPUTED_VALUE"""),"Cuộn 15m")</f>
        <v>Cuộn 15m</v>
      </c>
      <c r="H142" s="588" t="str">
        <f ca="1">IFERROR(__xludf.DUMMYFUNCTION("""COMPUTED_VALUE"""),"5")</f>
        <v>5</v>
      </c>
      <c r="I142" s="591">
        <f ca="1">IFERROR(__xludf.DUMMYFUNCTION("""COMPUTED_VALUE"""),5.8606254)</f>
        <v>5.8606254</v>
      </c>
      <c r="J142" s="592" t="str">
        <f ca="1">IFERROR(__xludf.DUMMYFUNCTION("""COMPUTED_VALUE""")," 15.88 ")</f>
        <v xml:space="preserve"> 15.88 </v>
      </c>
      <c r="K142" s="590" t="str">
        <f ca="1">IFERROR(__xludf.DUMMYFUNCTION("""COMPUTED_VALUE"""),"0.90")</f>
        <v>0.90</v>
      </c>
      <c r="L142" s="590">
        <f ca="1">IFERROR(__xludf.DUMMYFUNCTION("""COMPUTED_VALUE"""),15)</f>
        <v>15</v>
      </c>
      <c r="M142" s="590"/>
      <c r="N142" s="590" t="str">
        <f ca="1">IFERROR(__xludf.DUMMYFUNCTION("""COMPUTED_VALUE"""),"Dị_D&lt;54")</f>
        <v>Dị_D&lt;54</v>
      </c>
      <c r="O142" s="589"/>
      <c r="P142" s="590"/>
    </row>
    <row r="143" spans="1:17" ht="15.75">
      <c r="A143" s="581" t="str">
        <f ca="1">IFERROR(__xludf.DUMMYFUNCTION("""COMPUTED_VALUE"""),"Toàn Phát - Việt Nam")</f>
        <v>Toàn Phát - Việt Nam</v>
      </c>
      <c r="B143" s="581" t="str">
        <f ca="1">IFERROR(__xludf.DUMMYFUNCTION("""COMPUTED_VALUE"""),"ĐTPCUONDI")</f>
        <v>ĐTPCUONDI</v>
      </c>
      <c r="C143" s="581" t="str">
        <f ca="1">IFERROR(__xludf.DUMMYFUNCTION("""COMPUTED_VALUE"""),"DOC1588091")</f>
        <v>DOC1588091</v>
      </c>
      <c r="D143" s="582" t="str">
        <f ca="1">IFERROR(__xludf.DUMMYFUNCTION("""COMPUTED_VALUE"""),"Đồng ống PC 15.88x0.91")</f>
        <v>Đồng ống PC 15.88x0.91</v>
      </c>
      <c r="E143" s="583">
        <f ca="1">IFERROR(__xludf.DUMMYFUNCTION("""COMPUTED_VALUE"""),0.1)</f>
        <v>0.1</v>
      </c>
      <c r="F143" s="584" t="str">
        <f ca="1">IFERROR(__xludf.DUMMYFUNCTION("""COMPUTED_VALUE"""),"Cuộn")</f>
        <v>Cuộn</v>
      </c>
      <c r="G143" s="584" t="str">
        <f ca="1">IFERROR(__xludf.DUMMYFUNCTION("""COMPUTED_VALUE"""),"Cuộn 15m")</f>
        <v>Cuộn 15m</v>
      </c>
      <c r="H143" s="582" t="str">
        <f ca="1">IFERROR(__xludf.DUMMYFUNCTION("""COMPUTED_VALUE"""),"5")</f>
        <v>5</v>
      </c>
      <c r="I143" s="585">
        <f ca="1">IFERROR(__xludf.DUMMYFUNCTION("""COMPUTED_VALUE"""),5.92178769)</f>
        <v>5.9217876900000004</v>
      </c>
      <c r="J143" s="586" t="str">
        <f ca="1">IFERROR(__xludf.DUMMYFUNCTION("""COMPUTED_VALUE""")," 15.88 ")</f>
        <v xml:space="preserve"> 15.88 </v>
      </c>
      <c r="K143" s="584" t="str">
        <f ca="1">IFERROR(__xludf.DUMMYFUNCTION("""COMPUTED_VALUE"""),"0.91")</f>
        <v>0.91</v>
      </c>
      <c r="L143" s="584">
        <f ca="1">IFERROR(__xludf.DUMMYFUNCTION("""COMPUTED_VALUE"""),15)</f>
        <v>15</v>
      </c>
      <c r="M143" s="584"/>
      <c r="N143" s="584" t="str">
        <f ca="1">IFERROR(__xludf.DUMMYFUNCTION("""COMPUTED_VALUE"""),"Dị_D&lt;54")</f>
        <v>Dị_D&lt;54</v>
      </c>
      <c r="O143" s="583">
        <f ca="1">IFERROR(__xludf.DUMMYFUNCTION("""COMPUTED_VALUE"""),1)</f>
        <v>1</v>
      </c>
      <c r="P143" s="584"/>
    </row>
    <row r="144" spans="1:17" ht="15.75">
      <c r="A144" s="587" t="str">
        <f ca="1">IFERROR(__xludf.DUMMYFUNCTION("""COMPUTED_VALUE"""),"Toàn Phát - Việt Nam")</f>
        <v>Toàn Phát - Việt Nam</v>
      </c>
      <c r="B144" s="587" t="str">
        <f ca="1">IFERROR(__xludf.DUMMYFUNCTION("""COMPUTED_VALUE"""),"ĐTPCUONDI")</f>
        <v>ĐTPCUONDI</v>
      </c>
      <c r="C144" s="587" t="str">
        <f ca="1">IFERROR(__xludf.DUMMYFUNCTION("""COMPUTED_VALUE"""),"DOC158809150")</f>
        <v>DOC158809150</v>
      </c>
      <c r="D144" s="588" t="str">
        <f ca="1">IFERROR(__xludf.DUMMYFUNCTION("""COMPUTED_VALUE"""),"Đồng ống PC 15.88x0.91x50")</f>
        <v>Đồng ống PC 15.88x0.91x50</v>
      </c>
      <c r="E144" s="589">
        <f ca="1">IFERROR(__xludf.DUMMYFUNCTION("""COMPUTED_VALUE"""),0.1)</f>
        <v>0.1</v>
      </c>
      <c r="F144" s="590" t="str">
        <f ca="1">IFERROR(__xludf.DUMMYFUNCTION("""COMPUTED_VALUE"""),"Cuộn")</f>
        <v>Cuộn</v>
      </c>
      <c r="G144" s="590" t="str">
        <f ca="1">IFERROR(__xludf.DUMMYFUNCTION("""COMPUTED_VALUE"""),"Cuộn 50m")</f>
        <v>Cuộn 50m</v>
      </c>
      <c r="H144" s="588" t="str">
        <f ca="1">IFERROR(__xludf.DUMMYFUNCTION("""COMPUTED_VALUE"""),"5")</f>
        <v>5</v>
      </c>
      <c r="I144" s="591">
        <f ca="1">IFERROR(__xludf.DUMMYFUNCTION("""COMPUTED_VALUE"""),19.7392923)</f>
        <v>19.739292299999999</v>
      </c>
      <c r="J144" s="592" t="str">
        <f ca="1">IFERROR(__xludf.DUMMYFUNCTION("""COMPUTED_VALUE""")," 15.88 ")</f>
        <v xml:space="preserve"> 15.88 </v>
      </c>
      <c r="K144" s="590" t="str">
        <f ca="1">IFERROR(__xludf.DUMMYFUNCTION("""COMPUTED_VALUE"""),"0.91")</f>
        <v>0.91</v>
      </c>
      <c r="L144" s="590">
        <f ca="1">IFERROR(__xludf.DUMMYFUNCTION("""COMPUTED_VALUE"""),50)</f>
        <v>50</v>
      </c>
      <c r="M144" s="590"/>
      <c r="N144" s="590" t="str">
        <f ca="1">IFERROR(__xludf.DUMMYFUNCTION("""COMPUTED_VALUE"""),"Dị_D&lt;54")</f>
        <v>Dị_D&lt;54</v>
      </c>
      <c r="O144" s="589"/>
      <c r="P144" s="590"/>
    </row>
    <row r="145" spans="1:17" ht="15.75">
      <c r="A145" s="581" t="str">
        <f ca="1">IFERROR(__xludf.DUMMYFUNCTION("""COMPUTED_VALUE"""),"Toàn Phát - Việt Nam")</f>
        <v>Toàn Phát - Việt Nam</v>
      </c>
      <c r="B145" s="581" t="str">
        <f ca="1">IFERROR(__xludf.DUMMYFUNCTION("""COMPUTED_VALUE"""),"ĐTPCUONDI")</f>
        <v>ĐTPCUONDI</v>
      </c>
      <c r="C145" s="581" t="str">
        <f ca="1">IFERROR(__xludf.DUMMYFUNCTION("""COMPUTED_VALUE"""),"DOC1588095")</f>
        <v>DOC1588095</v>
      </c>
      <c r="D145" s="582" t="str">
        <f ca="1">IFERROR(__xludf.DUMMYFUNCTION("""COMPUTED_VALUE"""),"Đồng ống PC 15.88x0.95")</f>
        <v>Đồng ống PC 15.88x0.95</v>
      </c>
      <c r="E145" s="583">
        <f ca="1">IFERROR(__xludf.DUMMYFUNCTION("""COMPUTED_VALUE"""),0.1)</f>
        <v>0.1</v>
      </c>
      <c r="F145" s="584" t="str">
        <f ca="1">IFERROR(__xludf.DUMMYFUNCTION("""COMPUTED_VALUE"""),"Cuộn")</f>
        <v>Cuộn</v>
      </c>
      <c r="G145" s="584" t="str">
        <f ca="1">IFERROR(__xludf.DUMMYFUNCTION("""COMPUTED_VALUE"""),"Cuộn 15m")</f>
        <v>Cuộn 15m</v>
      </c>
      <c r="H145" s="582" t="str">
        <f ca="1">IFERROR(__xludf.DUMMYFUNCTION("""COMPUTED_VALUE"""),"5")</f>
        <v>5</v>
      </c>
      <c r="I145" s="585">
        <f ca="1">IFERROR(__xludf.DUMMYFUNCTION("""COMPUTED_VALUE"""),6.16556745)</f>
        <v>6.1655674500000002</v>
      </c>
      <c r="J145" s="586" t="str">
        <f ca="1">IFERROR(__xludf.DUMMYFUNCTION("""COMPUTED_VALUE""")," 15.88 ")</f>
        <v xml:space="preserve"> 15.88 </v>
      </c>
      <c r="K145" s="584" t="str">
        <f ca="1">IFERROR(__xludf.DUMMYFUNCTION("""COMPUTED_VALUE"""),"0.95")</f>
        <v>0.95</v>
      </c>
      <c r="L145" s="584">
        <f ca="1">IFERROR(__xludf.DUMMYFUNCTION("""COMPUTED_VALUE"""),15)</f>
        <v>15</v>
      </c>
      <c r="M145" s="584"/>
      <c r="N145" s="584" t="str">
        <f ca="1">IFERROR(__xludf.DUMMYFUNCTION("""COMPUTED_VALUE"""),"Dị_D&lt;54")</f>
        <v>Dị_D&lt;54</v>
      </c>
      <c r="O145" s="583"/>
      <c r="P145" s="584"/>
    </row>
    <row r="146" spans="1:17" ht="15.75">
      <c r="A146" s="587" t="str">
        <f ca="1">IFERROR(__xludf.DUMMYFUNCTION("""COMPUTED_VALUE"""),"Toàn Phát - Việt Nam")</f>
        <v>Toàn Phát - Việt Nam</v>
      </c>
      <c r="B146" s="587" t="str">
        <f ca="1">IFERROR(__xludf.DUMMYFUNCTION("""COMPUTED_VALUE"""),"ĐTPCUONCT")</f>
        <v>ĐTPCUONCT</v>
      </c>
      <c r="C146" s="587" t="str">
        <f ca="1">IFERROR(__xludf.DUMMYFUNCTION("""COMPUTED_VALUE"""),"DOC1588100")</f>
        <v>DOC1588100</v>
      </c>
      <c r="D146" s="588" t="str">
        <f ca="1">IFERROR(__xludf.DUMMYFUNCTION("""COMPUTED_VALUE"""),"Đồng ống PC 15.88x1.00")</f>
        <v>Đồng ống PC 15.88x1.00</v>
      </c>
      <c r="E146" s="589">
        <f ca="1">IFERROR(__xludf.DUMMYFUNCTION("""COMPUTED_VALUE"""),0.1)</f>
        <v>0.1</v>
      </c>
      <c r="F146" s="590" t="str">
        <f ca="1">IFERROR(__xludf.DUMMYFUNCTION("""COMPUTED_VALUE"""),"Cuộn")</f>
        <v>Cuộn</v>
      </c>
      <c r="G146" s="590" t="str">
        <f ca="1">IFERROR(__xludf.DUMMYFUNCTION("""COMPUTED_VALUE"""),"Cuộn 15m")</f>
        <v>Cuộn 15m</v>
      </c>
      <c r="H146" s="588" t="str">
        <f ca="1">IFERROR(__xludf.DUMMYFUNCTION("""COMPUTED_VALUE"""),"5")</f>
        <v>5</v>
      </c>
      <c r="I146" s="591">
        <f ca="1">IFERROR(__xludf.DUMMYFUNCTION("""COMPUTED_VALUE"""),6.468336)</f>
        <v>6.4683359999999999</v>
      </c>
      <c r="J146" s="592" t="str">
        <f ca="1">IFERROR(__xludf.DUMMYFUNCTION("""COMPUTED_VALUE""")," 15.88 ")</f>
        <v xml:space="preserve"> 15.88 </v>
      </c>
      <c r="K146" s="590" t="str">
        <f ca="1">IFERROR(__xludf.DUMMYFUNCTION("""COMPUTED_VALUE"""),"1.00")</f>
        <v>1.00</v>
      </c>
      <c r="L146" s="590">
        <f ca="1">IFERROR(__xludf.DUMMYFUNCTION("""COMPUTED_VALUE"""),15)</f>
        <v>15</v>
      </c>
      <c r="M146" s="590"/>
      <c r="N146" s="590" t="str">
        <f ca="1">IFERROR(__xludf.DUMMYFUNCTION("""COMPUTED_VALUE"""),"Không")</f>
        <v>Không</v>
      </c>
      <c r="O146" s="589"/>
      <c r="P146" s="590"/>
      <c r="Q146" s="885">
        <f ca="1">+$Q$5*I146</f>
        <v>1487.7172799999998</v>
      </c>
    </row>
    <row r="147" spans="1:17" ht="15.75">
      <c r="A147" s="581" t="str">
        <f ca="1">IFERROR(__xludf.DUMMYFUNCTION("""COMPUTED_VALUE"""),"Toàn Phát - Việt Nam")</f>
        <v>Toàn Phát - Việt Nam</v>
      </c>
      <c r="B147" s="581" t="str">
        <f ca="1">IFERROR(__xludf.DUMMYFUNCTION("""COMPUTED_VALUE"""),"ĐTPCUONDI")</f>
        <v>ĐTPCUONDI</v>
      </c>
      <c r="C147" s="581" t="str">
        <f ca="1">IFERROR(__xludf.DUMMYFUNCTION("""COMPUTED_VALUE"""),"DOC158810030")</f>
        <v>DOC158810030</v>
      </c>
      <c r="D147" s="582" t="str">
        <f ca="1">IFERROR(__xludf.DUMMYFUNCTION("""COMPUTED_VALUE"""),"Đồng ống cuộn 15.88x1.00x30m")</f>
        <v>Đồng ống cuộn 15.88x1.00x30m</v>
      </c>
      <c r="E147" s="583">
        <f ca="1">IFERROR(__xludf.DUMMYFUNCTION("""COMPUTED_VALUE"""),0.1)</f>
        <v>0.1</v>
      </c>
      <c r="F147" s="584" t="str">
        <f ca="1">IFERROR(__xludf.DUMMYFUNCTION("""COMPUTED_VALUE"""),"Cuộn")</f>
        <v>Cuộn</v>
      </c>
      <c r="G147" s="584" t="str">
        <f ca="1">IFERROR(__xludf.DUMMYFUNCTION("""COMPUTED_VALUE"""),"Cuộn 30m")</f>
        <v>Cuộn 30m</v>
      </c>
      <c r="H147" s="582" t="str">
        <f ca="1">IFERROR(__xludf.DUMMYFUNCTION("""COMPUTED_VALUE"""),"5")</f>
        <v>5</v>
      </c>
      <c r="I147" s="585">
        <f ca="1">IFERROR(__xludf.DUMMYFUNCTION("""COMPUTED_VALUE"""),12.936672)</f>
        <v>12.936672</v>
      </c>
      <c r="J147" s="586" t="str">
        <f ca="1">IFERROR(__xludf.DUMMYFUNCTION("""COMPUTED_VALUE""")," 15.88 ")</f>
        <v xml:space="preserve"> 15.88 </v>
      </c>
      <c r="K147" s="584" t="str">
        <f ca="1">IFERROR(__xludf.DUMMYFUNCTION("""COMPUTED_VALUE"""),"1.00")</f>
        <v>1.00</v>
      </c>
      <c r="L147" s="584">
        <f ca="1">IFERROR(__xludf.DUMMYFUNCTION("""COMPUTED_VALUE"""),30)</f>
        <v>30</v>
      </c>
      <c r="M147" s="584"/>
      <c r="N147" s="584" t="str">
        <f ca="1">IFERROR(__xludf.DUMMYFUNCTION("""COMPUTED_VALUE"""),"Dị_D&lt;54")</f>
        <v>Dị_D&lt;54</v>
      </c>
      <c r="O147" s="583"/>
      <c r="P147" s="584"/>
    </row>
    <row r="148" spans="1:17" ht="15.75">
      <c r="A148" s="587" t="str">
        <f ca="1">IFERROR(__xludf.DUMMYFUNCTION("""COMPUTED_VALUE"""),"Toàn Phát - Việt Nam")</f>
        <v>Toàn Phát - Việt Nam</v>
      </c>
      <c r="B148" s="587" t="str">
        <f ca="1">IFERROR(__xludf.DUMMYFUNCTION("""COMPUTED_VALUE"""),"ĐTPCUONDI")</f>
        <v>ĐTPCUONDI</v>
      </c>
      <c r="C148" s="587" t="str">
        <f ca="1">IFERROR(__xludf.DUMMYFUNCTION("""COMPUTED_VALUE"""),"DOC158810045")</f>
        <v>DOC158810045</v>
      </c>
      <c r="D148" s="588" t="str">
        <f ca="1">IFERROR(__xludf.DUMMYFUNCTION("""COMPUTED_VALUE"""),"Đồng ống PC 15.88x1.00x45")</f>
        <v>Đồng ống PC 15.88x1.00x45</v>
      </c>
      <c r="E148" s="589">
        <f ca="1">IFERROR(__xludf.DUMMYFUNCTION("""COMPUTED_VALUE"""),0.1)</f>
        <v>0.1</v>
      </c>
      <c r="F148" s="590" t="str">
        <f ca="1">IFERROR(__xludf.DUMMYFUNCTION("""COMPUTED_VALUE"""),"Cuộn")</f>
        <v>Cuộn</v>
      </c>
      <c r="G148" s="590" t="str">
        <f ca="1">IFERROR(__xludf.DUMMYFUNCTION("""COMPUTED_VALUE"""),"Cuộn 45m")</f>
        <v>Cuộn 45m</v>
      </c>
      <c r="H148" s="588" t="str">
        <f ca="1">IFERROR(__xludf.DUMMYFUNCTION("""COMPUTED_VALUE"""),"5")</f>
        <v>5</v>
      </c>
      <c r="I148" s="591">
        <f ca="1">IFERROR(__xludf.DUMMYFUNCTION("""COMPUTED_VALUE"""),19.405008)</f>
        <v>19.405007999999999</v>
      </c>
      <c r="J148" s="592" t="str">
        <f ca="1">IFERROR(__xludf.DUMMYFUNCTION("""COMPUTED_VALUE""")," 15.88 ")</f>
        <v xml:space="preserve"> 15.88 </v>
      </c>
      <c r="K148" s="590" t="str">
        <f ca="1">IFERROR(__xludf.DUMMYFUNCTION("""COMPUTED_VALUE"""),"1.00")</f>
        <v>1.00</v>
      </c>
      <c r="L148" s="590">
        <f ca="1">IFERROR(__xludf.DUMMYFUNCTION("""COMPUTED_VALUE"""),45)</f>
        <v>45</v>
      </c>
      <c r="M148" s="590"/>
      <c r="N148" s="590" t="str">
        <f ca="1">IFERROR(__xludf.DUMMYFUNCTION("""COMPUTED_VALUE"""),"Dị_D&lt;54")</f>
        <v>Dị_D&lt;54</v>
      </c>
      <c r="O148" s="589"/>
      <c r="P148" s="590"/>
    </row>
    <row r="149" spans="1:17" ht="15.75">
      <c r="A149" s="581" t="str">
        <f ca="1">IFERROR(__xludf.DUMMYFUNCTION("""COMPUTED_VALUE"""),"Toàn Phát - Việt Nam")</f>
        <v>Toàn Phát - Việt Nam</v>
      </c>
      <c r="B149" s="581" t="str">
        <f ca="1">IFERROR(__xludf.DUMMYFUNCTION("""COMPUTED_VALUE"""),"ĐTPCUONDI")</f>
        <v>ĐTPCUONDI</v>
      </c>
      <c r="C149" s="581" t="str">
        <f ca="1">IFERROR(__xludf.DUMMYFUNCTION("""COMPUTED_VALUE"""),"DOC158810050")</f>
        <v>DOC158810050</v>
      </c>
      <c r="D149" s="582" t="str">
        <f ca="1">IFERROR(__xludf.DUMMYFUNCTION("""COMPUTED_VALUE"""),"Đồng ống cuộn 15.88x1.00x50")</f>
        <v>Đồng ống cuộn 15.88x1.00x50</v>
      </c>
      <c r="E149" s="583">
        <f ca="1">IFERROR(__xludf.DUMMYFUNCTION("""COMPUTED_VALUE"""),0.1)</f>
        <v>0.1</v>
      </c>
      <c r="F149" s="584" t="str">
        <f ca="1">IFERROR(__xludf.DUMMYFUNCTION("""COMPUTED_VALUE"""),"Cuộn")</f>
        <v>Cuộn</v>
      </c>
      <c r="G149" s="584" t="str">
        <f ca="1">IFERROR(__xludf.DUMMYFUNCTION("""COMPUTED_VALUE"""),"Cuộn 50m")</f>
        <v>Cuộn 50m</v>
      </c>
      <c r="H149" s="582" t="str">
        <f ca="1">IFERROR(__xludf.DUMMYFUNCTION("""COMPUTED_VALUE"""),"5")</f>
        <v>5</v>
      </c>
      <c r="I149" s="585">
        <f ca="1">IFERROR(__xludf.DUMMYFUNCTION("""COMPUTED_VALUE"""),21.56112)</f>
        <v>21.561119999999999</v>
      </c>
      <c r="J149" s="586" t="str">
        <f ca="1">IFERROR(__xludf.DUMMYFUNCTION("""COMPUTED_VALUE""")," 15.88 ")</f>
        <v xml:space="preserve"> 15.88 </v>
      </c>
      <c r="K149" s="584" t="str">
        <f ca="1">IFERROR(__xludf.DUMMYFUNCTION("""COMPUTED_VALUE"""),"1.00")</f>
        <v>1.00</v>
      </c>
      <c r="L149" s="584">
        <f ca="1">IFERROR(__xludf.DUMMYFUNCTION("""COMPUTED_VALUE"""),50)</f>
        <v>50</v>
      </c>
      <c r="M149" s="584"/>
      <c r="N149" s="584" t="str">
        <f ca="1">IFERROR(__xludf.DUMMYFUNCTION("""COMPUTED_VALUE"""),"Dị_D&lt;54")</f>
        <v>Dị_D&lt;54</v>
      </c>
      <c r="O149" s="583"/>
      <c r="P149" s="584"/>
    </row>
    <row r="150" spans="1:17" ht="15.75">
      <c r="A150" s="587" t="str">
        <f ca="1">IFERROR(__xludf.DUMMYFUNCTION("""COMPUTED_VALUE"""),"Toàn Phát - Việt Nam")</f>
        <v>Toàn Phát - Việt Nam</v>
      </c>
      <c r="B150" s="587" t="str">
        <f ca="1">IFERROR(__xludf.DUMMYFUNCTION("""COMPUTED_VALUE"""),"ĐTPCUONDI")</f>
        <v>ĐTPCUONDI</v>
      </c>
      <c r="C150" s="587" t="str">
        <f ca="1">IFERROR(__xludf.DUMMYFUNCTION("""COMPUTED_VALUE"""),"DOC1588102")</f>
        <v>DOC1588102</v>
      </c>
      <c r="D150" s="588" t="str">
        <f ca="1">IFERROR(__xludf.DUMMYFUNCTION("""COMPUTED_VALUE"""),"Đồng ống PC 15.88x1.02")</f>
        <v>Đồng ống PC 15.88x1.02</v>
      </c>
      <c r="E150" s="589">
        <f ca="1">IFERROR(__xludf.DUMMYFUNCTION("""COMPUTED_VALUE"""),0.1)</f>
        <v>0.1</v>
      </c>
      <c r="F150" s="590" t="str">
        <f ca="1">IFERROR(__xludf.DUMMYFUNCTION("""COMPUTED_VALUE"""),"Cuộn")</f>
        <v>Cuộn</v>
      </c>
      <c r="G150" s="590" t="str">
        <f ca="1">IFERROR(__xludf.DUMMYFUNCTION("""COMPUTED_VALUE"""),"Cuộn 15m")</f>
        <v>Cuộn 15m</v>
      </c>
      <c r="H150" s="588" t="str">
        <f ca="1">IFERROR(__xludf.DUMMYFUNCTION("""COMPUTED_VALUE"""),"5")</f>
        <v>5</v>
      </c>
      <c r="I150" s="591">
        <f ca="1">IFERROR(__xludf.DUMMYFUNCTION("""COMPUTED_VALUE"""),6.58883484)</f>
        <v>6.5888348399999996</v>
      </c>
      <c r="J150" s="592" t="str">
        <f ca="1">IFERROR(__xludf.DUMMYFUNCTION("""COMPUTED_VALUE""")," 15.88 ")</f>
        <v xml:space="preserve"> 15.88 </v>
      </c>
      <c r="K150" s="590" t="str">
        <f ca="1">IFERROR(__xludf.DUMMYFUNCTION("""COMPUTED_VALUE"""),"1.02")</f>
        <v>1.02</v>
      </c>
      <c r="L150" s="590">
        <f ca="1">IFERROR(__xludf.DUMMYFUNCTION("""COMPUTED_VALUE"""),15)</f>
        <v>15</v>
      </c>
      <c r="M150" s="590"/>
      <c r="N150" s="590" t="str">
        <f ca="1">IFERROR(__xludf.DUMMYFUNCTION("""COMPUTED_VALUE"""),"Dị_D&lt;54")</f>
        <v>Dị_D&lt;54</v>
      </c>
      <c r="O150" s="589"/>
      <c r="P150" s="590"/>
    </row>
    <row r="151" spans="1:17" ht="15.75">
      <c r="A151" s="581" t="str">
        <f ca="1">IFERROR(__xludf.DUMMYFUNCTION("""COMPUTED_VALUE"""),"Toàn Phát - Việt Nam")</f>
        <v>Toàn Phát - Việt Nam</v>
      </c>
      <c r="B151" s="581" t="str">
        <f ca="1">IFERROR(__xludf.DUMMYFUNCTION("""COMPUTED_VALUE"""),"ĐTPCUONDI")</f>
        <v>ĐTPCUONDI</v>
      </c>
      <c r="C151" s="581" t="str">
        <f ca="1">IFERROR(__xludf.DUMMYFUNCTION("""COMPUTED_VALUE"""),"DOC158810250")</f>
        <v>DOC158810250</v>
      </c>
      <c r="D151" s="582" t="str">
        <f ca="1">IFERROR(__xludf.DUMMYFUNCTION("""COMPUTED_VALUE"""),"Đồng ống PC 15.88x1.02x50")</f>
        <v>Đồng ống PC 15.88x1.02x50</v>
      </c>
      <c r="E151" s="583">
        <f ca="1">IFERROR(__xludf.DUMMYFUNCTION("""COMPUTED_VALUE"""),0.1)</f>
        <v>0.1</v>
      </c>
      <c r="F151" s="584" t="str">
        <f ca="1">IFERROR(__xludf.DUMMYFUNCTION("""COMPUTED_VALUE"""),"Cuộn")</f>
        <v>Cuộn</v>
      </c>
      <c r="G151" s="584" t="str">
        <f ca="1">IFERROR(__xludf.DUMMYFUNCTION("""COMPUTED_VALUE"""),"Cuộn 50m")</f>
        <v>Cuộn 50m</v>
      </c>
      <c r="H151" s="582" t="str">
        <f ca="1">IFERROR(__xludf.DUMMYFUNCTION("""COMPUTED_VALUE"""),"5")</f>
        <v>5</v>
      </c>
      <c r="I151" s="585">
        <f ca="1">IFERROR(__xludf.DUMMYFUNCTION("""COMPUTED_VALUE"""),21.9627828)</f>
        <v>21.962782799999999</v>
      </c>
      <c r="J151" s="586" t="str">
        <f ca="1">IFERROR(__xludf.DUMMYFUNCTION("""COMPUTED_VALUE""")," 15.88 ")</f>
        <v xml:space="preserve"> 15.88 </v>
      </c>
      <c r="K151" s="584" t="str">
        <f ca="1">IFERROR(__xludf.DUMMYFUNCTION("""COMPUTED_VALUE"""),"1.02")</f>
        <v>1.02</v>
      </c>
      <c r="L151" s="584">
        <f ca="1">IFERROR(__xludf.DUMMYFUNCTION("""COMPUTED_VALUE"""),50)</f>
        <v>50</v>
      </c>
      <c r="M151" s="584"/>
      <c r="N151" s="584" t="str">
        <f ca="1">IFERROR(__xludf.DUMMYFUNCTION("""COMPUTED_VALUE"""),"Dị_D&lt;54")</f>
        <v>Dị_D&lt;54</v>
      </c>
      <c r="O151" s="583"/>
      <c r="P151" s="584"/>
    </row>
    <row r="152" spans="1:17" ht="15.75">
      <c r="A152" s="587" t="str">
        <f ca="1">IFERROR(__xludf.DUMMYFUNCTION("""COMPUTED_VALUE"""),"Toàn Phát - Việt Nam")</f>
        <v>Toàn Phát - Việt Nam</v>
      </c>
      <c r="B152" s="587" t="str">
        <f ca="1">IFERROR(__xludf.DUMMYFUNCTION("""COMPUTED_VALUE"""),"ĐTPCUONDI")</f>
        <v>ĐTPCUONDI</v>
      </c>
      <c r="C152" s="587" t="str">
        <f ca="1">IFERROR(__xludf.DUMMYFUNCTION("""COMPUTED_VALUE"""),"DOC1588107")</f>
        <v>DOC1588107</v>
      </c>
      <c r="D152" s="588" t="str">
        <f ca="1">IFERROR(__xludf.DUMMYFUNCTION("""COMPUTED_VALUE"""),"Đồng ống PC 15.88x1.07")</f>
        <v>Đồng ống PC 15.88x1.07</v>
      </c>
      <c r="E152" s="589">
        <f ca="1">IFERROR(__xludf.DUMMYFUNCTION("""COMPUTED_VALUE"""),0.1)</f>
        <v>0.1</v>
      </c>
      <c r="F152" s="590" t="str">
        <f ca="1">IFERROR(__xludf.DUMMYFUNCTION("""COMPUTED_VALUE"""),"Cuộn")</f>
        <v>Cuộn</v>
      </c>
      <c r="G152" s="590" t="str">
        <f ca="1">IFERROR(__xludf.DUMMYFUNCTION("""COMPUTED_VALUE"""),"Cuộn 15m")</f>
        <v>Cuộn 15m</v>
      </c>
      <c r="H152" s="588" t="str">
        <f ca="1">IFERROR(__xludf.DUMMYFUNCTION("""COMPUTED_VALUE"""),"5")</f>
        <v>5</v>
      </c>
      <c r="I152" s="591">
        <f ca="1">IFERROR(__xludf.DUMMYFUNCTION("""COMPUTED_VALUE"""),6.88856049)</f>
        <v>6.8885604899999997</v>
      </c>
      <c r="J152" s="592" t="str">
        <f ca="1">IFERROR(__xludf.DUMMYFUNCTION("""COMPUTED_VALUE""")," 15.88 ")</f>
        <v xml:space="preserve"> 15.88 </v>
      </c>
      <c r="K152" s="590" t="str">
        <f ca="1">IFERROR(__xludf.DUMMYFUNCTION("""COMPUTED_VALUE"""),"1.07")</f>
        <v>1.07</v>
      </c>
      <c r="L152" s="590">
        <f ca="1">IFERROR(__xludf.DUMMYFUNCTION("""COMPUTED_VALUE"""),15)</f>
        <v>15</v>
      </c>
      <c r="M152" s="590"/>
      <c r="N152" s="590" t="str">
        <f ca="1">IFERROR(__xludf.DUMMYFUNCTION("""COMPUTED_VALUE"""),"Dị_D&lt;54")</f>
        <v>Dị_D&lt;54</v>
      </c>
      <c r="O152" s="589"/>
      <c r="P152" s="590"/>
    </row>
    <row r="153" spans="1:17" ht="15.75">
      <c r="A153" s="581" t="str">
        <f ca="1">IFERROR(__xludf.DUMMYFUNCTION("""COMPUTED_VALUE"""),"Toàn Phát - Việt Nam")</f>
        <v>Toàn Phát - Việt Nam</v>
      </c>
      <c r="B153" s="581" t="str">
        <f ca="1">IFERROR(__xludf.DUMMYFUNCTION("""COMPUTED_VALUE"""),"ĐTPCUONDI")</f>
        <v>ĐTPCUONDI</v>
      </c>
      <c r="C153" s="581" t="str">
        <f ca="1">IFERROR(__xludf.DUMMYFUNCTION("""COMPUTED_VALUE"""),"DOC1588110")</f>
        <v>DOC1588110</v>
      </c>
      <c r="D153" s="582" t="str">
        <f ca="1">IFERROR(__xludf.DUMMYFUNCTION("""COMPUTED_VALUE"""),"Đồng ống PC 15.88x1.10")</f>
        <v>Đồng ống PC 15.88x1.10</v>
      </c>
      <c r="E153" s="583">
        <f ca="1">IFERROR(__xludf.DUMMYFUNCTION("""COMPUTED_VALUE"""),0.1)</f>
        <v>0.1</v>
      </c>
      <c r="F153" s="584" t="str">
        <f ca="1">IFERROR(__xludf.DUMMYFUNCTION("""COMPUTED_VALUE"""),"Cuộn")</f>
        <v>Cuộn</v>
      </c>
      <c r="G153" s="584" t="str">
        <f ca="1">IFERROR(__xludf.DUMMYFUNCTION("""COMPUTED_VALUE"""),"Cuộn 15m")</f>
        <v>Cuộn 15m</v>
      </c>
      <c r="H153" s="582" t="str">
        <f ca="1">IFERROR(__xludf.DUMMYFUNCTION("""COMPUTED_VALUE"""),"5")</f>
        <v>5</v>
      </c>
      <c r="I153" s="585">
        <f ca="1">IFERROR(__xludf.DUMMYFUNCTION("""COMPUTED_VALUE"""),7.0673526)</f>
        <v>7.0673526000000004</v>
      </c>
      <c r="J153" s="586" t="str">
        <f ca="1">IFERROR(__xludf.DUMMYFUNCTION("""COMPUTED_VALUE""")," 15.88 ")</f>
        <v xml:space="preserve"> 15.88 </v>
      </c>
      <c r="K153" s="584" t="str">
        <f ca="1">IFERROR(__xludf.DUMMYFUNCTION("""COMPUTED_VALUE"""),"1.10")</f>
        <v>1.10</v>
      </c>
      <c r="L153" s="584">
        <f ca="1">IFERROR(__xludf.DUMMYFUNCTION("""COMPUTED_VALUE"""),15)</f>
        <v>15</v>
      </c>
      <c r="M153" s="584"/>
      <c r="N153" s="584" t="str">
        <f ca="1">IFERROR(__xludf.DUMMYFUNCTION("""COMPUTED_VALUE"""),"Dị_D&lt;54")</f>
        <v>Dị_D&lt;54</v>
      </c>
      <c r="O153" s="583"/>
      <c r="P153" s="584"/>
    </row>
    <row r="154" spans="1:17" ht="15.75">
      <c r="A154" s="587" t="str">
        <f ca="1">IFERROR(__xludf.DUMMYFUNCTION("""COMPUTED_VALUE"""),"Toàn Phát - Việt Nam")</f>
        <v>Toàn Phát - Việt Nam</v>
      </c>
      <c r="B154" s="587" t="str">
        <f ca="1">IFERROR(__xludf.DUMMYFUNCTION("""COMPUTED_VALUE"""),"ĐTPCUONDI")</f>
        <v>ĐTPCUONDI</v>
      </c>
      <c r="C154" s="587" t="str">
        <f ca="1">IFERROR(__xludf.DUMMYFUNCTION("""COMPUTED_VALUE"""),"DOC1588120")</f>
        <v>DOC1588120</v>
      </c>
      <c r="D154" s="588" t="str">
        <f ca="1">IFERROR(__xludf.DUMMYFUNCTION("""COMPUTED_VALUE"""),"Đồng ống PC 15.88x1.20")</f>
        <v>Đồng ống PC 15.88x1.20</v>
      </c>
      <c r="E154" s="589">
        <f ca="1">IFERROR(__xludf.DUMMYFUNCTION("""COMPUTED_VALUE"""),0.1)</f>
        <v>0.1</v>
      </c>
      <c r="F154" s="590" t="str">
        <f ca="1">IFERROR(__xludf.DUMMYFUNCTION("""COMPUTED_VALUE"""),"Cuộn")</f>
        <v>Cuộn</v>
      </c>
      <c r="G154" s="590" t="str">
        <f ca="1">IFERROR(__xludf.DUMMYFUNCTION("""COMPUTED_VALUE"""),"Cuộn 15m")</f>
        <v>Cuộn 15m</v>
      </c>
      <c r="H154" s="588" t="str">
        <f ca="1">IFERROR(__xludf.DUMMYFUNCTION("""COMPUTED_VALUE"""),"5")</f>
        <v>5</v>
      </c>
      <c r="I154" s="591">
        <f ca="1">IFERROR(__xludf.DUMMYFUNCTION("""COMPUTED_VALUE"""),7.65767519999999)</f>
        <v>7.6576751999999901</v>
      </c>
      <c r="J154" s="592" t="str">
        <f ca="1">IFERROR(__xludf.DUMMYFUNCTION("""COMPUTED_VALUE""")," 15.88 ")</f>
        <v xml:space="preserve"> 15.88 </v>
      </c>
      <c r="K154" s="590" t="str">
        <f ca="1">IFERROR(__xludf.DUMMYFUNCTION("""COMPUTED_VALUE"""),"1.20")</f>
        <v>1.20</v>
      </c>
      <c r="L154" s="590">
        <f ca="1">IFERROR(__xludf.DUMMYFUNCTION("""COMPUTED_VALUE"""),15)</f>
        <v>15</v>
      </c>
      <c r="M154" s="590"/>
      <c r="N154" s="590" t="str">
        <f ca="1">IFERROR(__xludf.DUMMYFUNCTION("""COMPUTED_VALUE"""),"Dị_D&lt;54")</f>
        <v>Dị_D&lt;54</v>
      </c>
      <c r="O154" s="589"/>
      <c r="P154" s="590"/>
    </row>
    <row r="155" spans="1:17" ht="15.75">
      <c r="A155" s="581" t="str">
        <f ca="1">IFERROR(__xludf.DUMMYFUNCTION("""COMPUTED_VALUE"""),"Toàn Phát - Việt Nam")</f>
        <v>Toàn Phát - Việt Nam</v>
      </c>
      <c r="B155" s="581" t="str">
        <f ca="1">IFERROR(__xludf.DUMMYFUNCTION("""COMPUTED_VALUE"""),"ĐTPCUONDI")</f>
        <v>ĐTPCUONDI</v>
      </c>
      <c r="C155" s="581" t="str">
        <f ca="1">IFERROR(__xludf.DUMMYFUNCTION("""COMPUTED_VALUE"""),"DOC190510750")</f>
        <v>DOC190510750</v>
      </c>
      <c r="D155" s="582" t="str">
        <f ca="1">IFERROR(__xludf.DUMMYFUNCTION("""COMPUTED_VALUE"""),"Đồng ống cuộn 19.05x1.07x50")</f>
        <v>Đồng ống cuộn 19.05x1.07x50</v>
      </c>
      <c r="E155" s="583">
        <f ca="1">IFERROR(__xludf.DUMMYFUNCTION("""COMPUTED_VALUE"""),0.1)</f>
        <v>0.1</v>
      </c>
      <c r="F155" s="584" t="str">
        <f ca="1">IFERROR(__xludf.DUMMYFUNCTION("""COMPUTED_VALUE"""),"Cuộn")</f>
        <v>Cuộn</v>
      </c>
      <c r="G155" s="584" t="str">
        <f ca="1">IFERROR(__xludf.DUMMYFUNCTION("""COMPUTED_VALUE"""),"Cuộn 50m")</f>
        <v>Cuộn 50m</v>
      </c>
      <c r="H155" s="582" t="str">
        <f ca="1">IFERROR(__xludf.DUMMYFUNCTION("""COMPUTED_VALUE"""),"4")</f>
        <v>4</v>
      </c>
      <c r="I155" s="585">
        <f ca="1">IFERROR(__xludf.DUMMYFUNCTION("""COMPUTED_VALUE"""),27.8767314)</f>
        <v>27.876731400000001</v>
      </c>
      <c r="J155" s="586" t="str">
        <f ca="1">IFERROR(__xludf.DUMMYFUNCTION("""COMPUTED_VALUE""")," 19.05 ")</f>
        <v xml:space="preserve"> 19.05 </v>
      </c>
      <c r="K155" s="584" t="str">
        <f ca="1">IFERROR(__xludf.DUMMYFUNCTION("""COMPUTED_VALUE"""),"1.07")</f>
        <v>1.07</v>
      </c>
      <c r="L155" s="584">
        <f ca="1">IFERROR(__xludf.DUMMYFUNCTION("""COMPUTED_VALUE"""),50)</f>
        <v>50</v>
      </c>
      <c r="M155" s="584"/>
      <c r="N155" s="584" t="str">
        <f ca="1">IFERROR(__xludf.DUMMYFUNCTION("""COMPUTED_VALUE"""),"Dị_D&lt;54")</f>
        <v>Dị_D&lt;54</v>
      </c>
      <c r="O155" s="583"/>
      <c r="P155" s="584"/>
    </row>
    <row r="156" spans="1:17" ht="15.75">
      <c r="A156" s="587" t="str">
        <f ca="1">IFERROR(__xludf.DUMMYFUNCTION("""COMPUTED_VALUE"""),"Toàn Phát - Việt Nam")</f>
        <v>Toàn Phát - Việt Nam</v>
      </c>
      <c r="B156" s="587" t="str">
        <f ca="1">IFERROR(__xludf.DUMMYFUNCTION("""COMPUTED_VALUE"""),"ĐTPCUONDI")</f>
        <v>ĐTPCUONDI</v>
      </c>
      <c r="C156" s="587" t="str">
        <f ca="1">IFERROR(__xludf.DUMMYFUNCTION("""COMPUTED_VALUE"""),"DOC1905107")</f>
        <v>DOC1905107</v>
      </c>
      <c r="D156" s="588" t="str">
        <f ca="1">IFERROR(__xludf.DUMMYFUNCTION("""COMPUTED_VALUE"""),"Đồng ống cuộn 19.05x1.07")</f>
        <v>Đồng ống cuộn 19.05x1.07</v>
      </c>
      <c r="E156" s="589">
        <f ca="1">IFERROR(__xludf.DUMMYFUNCTION("""COMPUTED_VALUE"""),0.1)</f>
        <v>0.1</v>
      </c>
      <c r="F156" s="590" t="str">
        <f ca="1">IFERROR(__xludf.DUMMYFUNCTION("""COMPUTED_VALUE"""),"Cuộn")</f>
        <v>Cuộn</v>
      </c>
      <c r="G156" s="590" t="str">
        <f ca="1">IFERROR(__xludf.DUMMYFUNCTION("""COMPUTED_VALUE"""),"Cuộn 15m")</f>
        <v>Cuộn 15m</v>
      </c>
      <c r="H156" s="588" t="str">
        <f ca="1">IFERROR(__xludf.DUMMYFUNCTION("""COMPUTED_VALUE"""),"4")</f>
        <v>4</v>
      </c>
      <c r="I156" s="591">
        <f ca="1">IFERROR(__xludf.DUMMYFUNCTION("""COMPUTED_VALUE"""),8.36301942)</f>
        <v>8.3630194200000005</v>
      </c>
      <c r="J156" s="592" t="str">
        <f ca="1">IFERROR(__xludf.DUMMYFUNCTION("""COMPUTED_VALUE""")," 19.05 ")</f>
        <v xml:space="preserve"> 19.05 </v>
      </c>
      <c r="K156" s="590" t="str">
        <f ca="1">IFERROR(__xludf.DUMMYFUNCTION("""COMPUTED_VALUE"""),"1.07")</f>
        <v>1.07</v>
      </c>
      <c r="L156" s="590">
        <f ca="1">IFERROR(__xludf.DUMMYFUNCTION("""COMPUTED_VALUE"""),15)</f>
        <v>15</v>
      </c>
      <c r="M156" s="590"/>
      <c r="N156" s="590" t="str">
        <f ca="1">IFERROR(__xludf.DUMMYFUNCTION("""COMPUTED_VALUE"""),"Dị_D&lt;54")</f>
        <v>Dị_D&lt;54</v>
      </c>
      <c r="O156" s="589"/>
      <c r="P156" s="590"/>
    </row>
    <row r="157" spans="1:17" ht="15.75">
      <c r="A157" s="581" t="str">
        <f ca="1">IFERROR(__xludf.DUMMYFUNCTION("""COMPUTED_VALUE"""),"Toàn Phát - Việt Nam")</f>
        <v>Toàn Phát - Việt Nam</v>
      </c>
      <c r="B157" s="581" t="str">
        <f ca="1">IFERROR(__xludf.DUMMYFUNCTION("""COMPUTED_VALUE"""),"ĐTPCUONDI")</f>
        <v>ĐTPCUONDI</v>
      </c>
      <c r="C157" s="581" t="str">
        <f ca="1">IFERROR(__xludf.DUMMYFUNCTION("""COMPUTED_VALUE"""),"DOC1905060")</f>
        <v>DOC1905060</v>
      </c>
      <c r="D157" s="582" t="str">
        <f ca="1">IFERROR(__xludf.DUMMYFUNCTION("""COMPUTED_VALUE"""),"Đồng ống PC 19.05x0.60")</f>
        <v>Đồng ống PC 19.05x0.60</v>
      </c>
      <c r="E157" s="583">
        <f ca="1">IFERROR(__xludf.DUMMYFUNCTION("""COMPUTED_VALUE"""),0.1)</f>
        <v>0.1</v>
      </c>
      <c r="F157" s="584" t="str">
        <f ca="1">IFERROR(__xludf.DUMMYFUNCTION("""COMPUTED_VALUE"""),"Cuộn")</f>
        <v>Cuộn</v>
      </c>
      <c r="G157" s="584" t="str">
        <f ca="1">IFERROR(__xludf.DUMMYFUNCTION("""COMPUTED_VALUE"""),"Cuộn 15m")</f>
        <v>Cuộn 15m</v>
      </c>
      <c r="H157" s="582" t="str">
        <f ca="1">IFERROR(__xludf.DUMMYFUNCTION("""COMPUTED_VALUE"""),"4")</f>
        <v>4</v>
      </c>
      <c r="I157" s="585">
        <f ca="1">IFERROR(__xludf.DUMMYFUNCTION("""COMPUTED_VALUE"""),4.81212899999999)</f>
        <v>4.8121289999999899</v>
      </c>
      <c r="J157" s="586" t="str">
        <f ca="1">IFERROR(__xludf.DUMMYFUNCTION("""COMPUTED_VALUE""")," 19.05 ")</f>
        <v xml:space="preserve"> 19.05 </v>
      </c>
      <c r="K157" s="584" t="str">
        <f ca="1">IFERROR(__xludf.DUMMYFUNCTION("""COMPUTED_VALUE"""),"0.60")</f>
        <v>0.60</v>
      </c>
      <c r="L157" s="584">
        <f ca="1">IFERROR(__xludf.DUMMYFUNCTION("""COMPUTED_VALUE"""),15)</f>
        <v>15</v>
      </c>
      <c r="M157" s="584"/>
      <c r="N157" s="584" t="str">
        <f ca="1">IFERROR(__xludf.DUMMYFUNCTION("""COMPUTED_VALUE"""),"Dị_D&lt;54")</f>
        <v>Dị_D&lt;54</v>
      </c>
      <c r="O157" s="583"/>
      <c r="P157" s="584"/>
    </row>
    <row r="158" spans="1:17" ht="15.75">
      <c r="A158" s="587" t="str">
        <f ca="1">IFERROR(__xludf.DUMMYFUNCTION("""COMPUTED_VALUE"""),"Toàn Phát - Việt Nam")</f>
        <v>Toàn Phát - Việt Nam</v>
      </c>
      <c r="B158" s="587" t="str">
        <f ca="1">IFERROR(__xludf.DUMMYFUNCTION("""COMPUTED_VALUE"""),"ĐTPCUONDI")</f>
        <v>ĐTPCUONDI</v>
      </c>
      <c r="C158" s="587" t="str">
        <f ca="1">IFERROR(__xludf.DUMMYFUNCTION("""COMPUTED_VALUE"""),"DOC1905061")</f>
        <v>DOC1905061</v>
      </c>
      <c r="D158" s="588" t="str">
        <f ca="1">IFERROR(__xludf.DUMMYFUNCTION("""COMPUTED_VALUE"""),"Đồng ống PC 19.05x0.61")</f>
        <v>Đồng ống PC 19.05x0.61</v>
      </c>
      <c r="E158" s="589">
        <f ca="1">IFERROR(__xludf.DUMMYFUNCTION("""COMPUTED_VALUE"""),0.1)</f>
        <v>0.1</v>
      </c>
      <c r="F158" s="590" t="str">
        <f ca="1">IFERROR(__xludf.DUMMYFUNCTION("""COMPUTED_VALUE"""),"Cuộn")</f>
        <v>Cuộn</v>
      </c>
      <c r="G158" s="590" t="str">
        <f ca="1">IFERROR(__xludf.DUMMYFUNCTION("""COMPUTED_VALUE"""),"Cuộn 15m")</f>
        <v>Cuộn 15m</v>
      </c>
      <c r="H158" s="588" t="str">
        <f ca="1">IFERROR(__xludf.DUMMYFUNCTION("""COMPUTED_VALUE"""),"4")</f>
        <v>4</v>
      </c>
      <c r="I158" s="591">
        <f ca="1">IFERROR(__xludf.DUMMYFUNCTION("""COMPUTED_VALUE"""),4.88967948)</f>
        <v>4.8896794799999999</v>
      </c>
      <c r="J158" s="592" t="str">
        <f ca="1">IFERROR(__xludf.DUMMYFUNCTION("""COMPUTED_VALUE""")," 19.05 ")</f>
        <v xml:space="preserve"> 19.05 </v>
      </c>
      <c r="K158" s="590" t="str">
        <f ca="1">IFERROR(__xludf.DUMMYFUNCTION("""COMPUTED_VALUE"""),"0.61")</f>
        <v>0.61</v>
      </c>
      <c r="L158" s="590">
        <f ca="1">IFERROR(__xludf.DUMMYFUNCTION("""COMPUTED_VALUE"""),15)</f>
        <v>15</v>
      </c>
      <c r="M158" s="590"/>
      <c r="N158" s="590" t="str">
        <f ca="1">IFERROR(__xludf.DUMMYFUNCTION("""COMPUTED_VALUE"""),"Dị_D&lt;54")</f>
        <v>Dị_D&lt;54</v>
      </c>
      <c r="O158" s="589"/>
      <c r="P158" s="590"/>
    </row>
    <row r="159" spans="1:17" ht="15.75">
      <c r="A159" s="581" t="str">
        <f ca="1">IFERROR(__xludf.DUMMYFUNCTION("""COMPUTED_VALUE"""),"Toàn Phát - Việt Nam")</f>
        <v>Toàn Phát - Việt Nam</v>
      </c>
      <c r="B159" s="581" t="str">
        <f ca="1">IFERROR(__xludf.DUMMYFUNCTION("""COMPUTED_VALUE"""),"ĐTPCUONDI")</f>
        <v>ĐTPCUONDI</v>
      </c>
      <c r="C159" s="581" t="str">
        <f ca="1">IFERROR(__xludf.DUMMYFUNCTION("""COMPUTED_VALUE"""),"DOC1905065")</f>
        <v>DOC1905065</v>
      </c>
      <c r="D159" s="582" t="str">
        <f ca="1">IFERROR(__xludf.DUMMYFUNCTION("""COMPUTED_VALUE"""),"Đồng ống PC 19.05x0.65")</f>
        <v>Đồng ống PC 19.05x0.65</v>
      </c>
      <c r="E159" s="583">
        <f ca="1">IFERROR(__xludf.DUMMYFUNCTION("""COMPUTED_VALUE"""),0.1)</f>
        <v>0.1</v>
      </c>
      <c r="F159" s="584" t="str">
        <f ca="1">IFERROR(__xludf.DUMMYFUNCTION("""COMPUTED_VALUE"""),"Cuộn")</f>
        <v>Cuộn</v>
      </c>
      <c r="G159" s="584" t="str">
        <f ca="1">IFERROR(__xludf.DUMMYFUNCTION("""COMPUTED_VALUE"""),"Cuộn 15m")</f>
        <v>Cuộn 15m</v>
      </c>
      <c r="H159" s="582" t="str">
        <f ca="1">IFERROR(__xludf.DUMMYFUNCTION("""COMPUTED_VALUE"""),"4")</f>
        <v>4</v>
      </c>
      <c r="I159" s="585">
        <f ca="1">IFERROR(__xludf.DUMMYFUNCTION("""COMPUTED_VALUE"""),5.199012)</f>
        <v>5.1990119999999997</v>
      </c>
      <c r="J159" s="586" t="str">
        <f ca="1">IFERROR(__xludf.DUMMYFUNCTION("""COMPUTED_VALUE""")," 19.05 ")</f>
        <v xml:space="preserve"> 19.05 </v>
      </c>
      <c r="K159" s="584" t="str">
        <f ca="1">IFERROR(__xludf.DUMMYFUNCTION("""COMPUTED_VALUE"""),"0.65")</f>
        <v>0.65</v>
      </c>
      <c r="L159" s="584">
        <f ca="1">IFERROR(__xludf.DUMMYFUNCTION("""COMPUTED_VALUE"""),15)</f>
        <v>15</v>
      </c>
      <c r="M159" s="584"/>
      <c r="N159" s="584" t="str">
        <f ca="1">IFERROR(__xludf.DUMMYFUNCTION("""COMPUTED_VALUE"""),"Dị_D&lt;54")</f>
        <v>Dị_D&lt;54</v>
      </c>
      <c r="O159" s="583"/>
      <c r="P159" s="584"/>
    </row>
    <row r="160" spans="1:17" ht="15.75">
      <c r="A160" s="587" t="str">
        <f ca="1">IFERROR(__xludf.DUMMYFUNCTION("""COMPUTED_VALUE"""),"Toàn Phát - Việt Nam")</f>
        <v>Toàn Phát - Việt Nam</v>
      </c>
      <c r="B160" s="587" t="str">
        <f ca="1">IFERROR(__xludf.DUMMYFUNCTION("""COMPUTED_VALUE"""),"ĐTPCUONDI")</f>
        <v>ĐTPCUONDI</v>
      </c>
      <c r="C160" s="587" t="str">
        <f ca="1">IFERROR(__xludf.DUMMYFUNCTION("""COMPUTED_VALUE"""),"DOC1905070")</f>
        <v>DOC1905070</v>
      </c>
      <c r="D160" s="588" t="str">
        <f ca="1">IFERROR(__xludf.DUMMYFUNCTION("""COMPUTED_VALUE"""),"Đồng ống PC 19.05x0.70")</f>
        <v>Đồng ống PC 19.05x0.70</v>
      </c>
      <c r="E160" s="589">
        <f ca="1">IFERROR(__xludf.DUMMYFUNCTION("""COMPUTED_VALUE"""),0.1)</f>
        <v>0.1</v>
      </c>
      <c r="F160" s="590" t="str">
        <f ca="1">IFERROR(__xludf.DUMMYFUNCTION("""COMPUTED_VALUE"""),"Cuộn")</f>
        <v>Cuộn</v>
      </c>
      <c r="G160" s="590" t="str">
        <f ca="1">IFERROR(__xludf.DUMMYFUNCTION("""COMPUTED_VALUE"""),"Cuộn 15m")</f>
        <v>Cuộn 15m</v>
      </c>
      <c r="H160" s="588" t="str">
        <f ca="1">IFERROR(__xludf.DUMMYFUNCTION("""COMPUTED_VALUE"""),"4")</f>
        <v>4</v>
      </c>
      <c r="I160" s="591">
        <f ca="1">IFERROR(__xludf.DUMMYFUNCTION("""COMPUTED_VALUE"""),5.5837215)</f>
        <v>5.5837215000000002</v>
      </c>
      <c r="J160" s="592" t="str">
        <f ca="1">IFERROR(__xludf.DUMMYFUNCTION("""COMPUTED_VALUE""")," 19.05 ")</f>
        <v xml:space="preserve"> 19.05 </v>
      </c>
      <c r="K160" s="590" t="str">
        <f ca="1">IFERROR(__xludf.DUMMYFUNCTION("""COMPUTED_VALUE"""),"0.70")</f>
        <v>0.70</v>
      </c>
      <c r="L160" s="590">
        <f ca="1">IFERROR(__xludf.DUMMYFUNCTION("""COMPUTED_VALUE"""),15)</f>
        <v>15</v>
      </c>
      <c r="M160" s="590"/>
      <c r="N160" s="590" t="str">
        <f ca="1">IFERROR(__xludf.DUMMYFUNCTION("""COMPUTED_VALUE"""),"Dị_D&lt;54")</f>
        <v>Dị_D&lt;54</v>
      </c>
      <c r="O160" s="589"/>
      <c r="P160" s="590"/>
    </row>
    <row r="161" spans="1:17" ht="15.75">
      <c r="A161" s="581" t="str">
        <f ca="1">IFERROR(__xludf.DUMMYFUNCTION("""COMPUTED_VALUE"""),"Toàn Phát - Việt Nam")</f>
        <v>Toàn Phát - Việt Nam</v>
      </c>
      <c r="B161" s="581" t="str">
        <f ca="1">IFERROR(__xludf.DUMMYFUNCTION("""COMPUTED_VALUE"""),"ĐTPCUONDD")</f>
        <v>ĐTPCUONDD</v>
      </c>
      <c r="C161" s="581" t="str">
        <f ca="1">IFERROR(__xludf.DUMMYFUNCTION("""COMPUTED_VALUE"""),"DOC1905071")</f>
        <v>DOC1905071</v>
      </c>
      <c r="D161" s="582" t="str">
        <f ca="1">IFERROR(__xludf.DUMMYFUNCTION("""COMPUTED_VALUE"""),"Đồng ống PC 19.05x0.71")</f>
        <v>Đồng ống PC 19.05x0.71</v>
      </c>
      <c r="E161" s="583">
        <f ca="1">IFERROR(__xludf.DUMMYFUNCTION("""COMPUTED_VALUE"""),0.1)</f>
        <v>0.1</v>
      </c>
      <c r="F161" s="584" t="str">
        <f ca="1">IFERROR(__xludf.DUMMYFUNCTION("""COMPUTED_VALUE"""),"Cuộn")</f>
        <v>Cuộn</v>
      </c>
      <c r="G161" s="584" t="str">
        <f ca="1">IFERROR(__xludf.DUMMYFUNCTION("""COMPUTED_VALUE"""),"Cuộn 15m")</f>
        <v>Cuộn 15m</v>
      </c>
      <c r="H161" s="582" t="str">
        <f ca="1">IFERROR(__xludf.DUMMYFUNCTION("""COMPUTED_VALUE"""),"4")</f>
        <v>4</v>
      </c>
      <c r="I161" s="585">
        <f ca="1">IFERROR(__xludf.DUMMYFUNCTION("""COMPUTED_VALUE"""),5.66040258)</f>
        <v>5.6604025800000004</v>
      </c>
      <c r="J161" s="586" t="str">
        <f ca="1">IFERROR(__xludf.DUMMYFUNCTION("""COMPUTED_VALUE""")," 19.05 ")</f>
        <v xml:space="preserve"> 19.05 </v>
      </c>
      <c r="K161" s="584" t="str">
        <f ca="1">IFERROR(__xludf.DUMMYFUNCTION("""COMPUTED_VALUE"""),"0.71")</f>
        <v>0.71</v>
      </c>
      <c r="L161" s="584">
        <f ca="1">IFERROR(__xludf.DUMMYFUNCTION("""COMPUTED_VALUE"""),15)</f>
        <v>15</v>
      </c>
      <c r="M161" s="584"/>
      <c r="N161" s="584" t="str">
        <f ca="1">IFERROR(__xludf.DUMMYFUNCTION("""COMPUTED_VALUE"""),"Không")</f>
        <v>Không</v>
      </c>
      <c r="O161" s="583"/>
      <c r="P161" s="584"/>
      <c r="Q161" s="885">
        <f ca="1">+$Q$5*I161</f>
        <v>1301.8925933999999</v>
      </c>
    </row>
    <row r="162" spans="1:17" ht="15.75">
      <c r="A162" s="587" t="str">
        <f ca="1">IFERROR(__xludf.DUMMYFUNCTION("""COMPUTED_VALUE"""),"Toàn Phát - Việt Nam")</f>
        <v>Toàn Phát - Việt Nam</v>
      </c>
      <c r="B162" s="587" t="str">
        <f ca="1">IFERROR(__xludf.DUMMYFUNCTION("""COMPUTED_VALUE"""),"ĐTPCUONDI")</f>
        <v>ĐTPCUONDI</v>
      </c>
      <c r="C162" s="587" t="str">
        <f ca="1">IFERROR(__xludf.DUMMYFUNCTION("""COMPUTED_VALUE"""),"DOC190507150")</f>
        <v>DOC190507150</v>
      </c>
      <c r="D162" s="588" t="str">
        <f ca="1">IFERROR(__xludf.DUMMYFUNCTION("""COMPUTED_VALUE"""),"Đồng ống PC 19.05x0.71x50")</f>
        <v>Đồng ống PC 19.05x0.71x50</v>
      </c>
      <c r="E162" s="589">
        <f ca="1">IFERROR(__xludf.DUMMYFUNCTION("""COMPUTED_VALUE"""),0.1)</f>
        <v>0.1</v>
      </c>
      <c r="F162" s="590" t="str">
        <f ca="1">IFERROR(__xludf.DUMMYFUNCTION("""COMPUTED_VALUE"""),"Cuộn")</f>
        <v>Cuộn</v>
      </c>
      <c r="G162" s="590" t="str">
        <f ca="1">IFERROR(__xludf.DUMMYFUNCTION("""COMPUTED_VALUE"""),"Cuộn 50m")</f>
        <v>Cuộn 50m</v>
      </c>
      <c r="H162" s="588" t="str">
        <f ca="1">IFERROR(__xludf.DUMMYFUNCTION("""COMPUTED_VALUE"""),"4")</f>
        <v>4</v>
      </c>
      <c r="I162" s="591">
        <f ca="1">IFERROR(__xludf.DUMMYFUNCTION("""COMPUTED_VALUE"""),18.8680086)</f>
        <v>18.8680086</v>
      </c>
      <c r="J162" s="592" t="str">
        <f ca="1">IFERROR(__xludf.DUMMYFUNCTION("""COMPUTED_VALUE""")," 19.05 ")</f>
        <v xml:space="preserve"> 19.05 </v>
      </c>
      <c r="K162" s="590" t="str">
        <f ca="1">IFERROR(__xludf.DUMMYFUNCTION("""COMPUTED_VALUE"""),"0.71")</f>
        <v>0.71</v>
      </c>
      <c r="L162" s="590">
        <f ca="1">IFERROR(__xludf.DUMMYFUNCTION("""COMPUTED_VALUE"""),50)</f>
        <v>50</v>
      </c>
      <c r="M162" s="590"/>
      <c r="N162" s="590" t="str">
        <f ca="1">IFERROR(__xludf.DUMMYFUNCTION("""COMPUTED_VALUE"""),"Dị_D&lt;54")</f>
        <v>Dị_D&lt;54</v>
      </c>
      <c r="O162" s="589"/>
      <c r="P162" s="590"/>
    </row>
    <row r="163" spans="1:17" ht="15.75">
      <c r="A163" s="581" t="str">
        <f ca="1">IFERROR(__xludf.DUMMYFUNCTION("""COMPUTED_VALUE"""),"Toàn Phát - Việt Nam")</f>
        <v>Toàn Phát - Việt Nam</v>
      </c>
      <c r="B163" s="581" t="str">
        <f ca="1">IFERROR(__xludf.DUMMYFUNCTION("""COMPUTED_VALUE"""),"ĐTPCUONDI")</f>
        <v>ĐTPCUONDI</v>
      </c>
      <c r="C163" s="581" t="str">
        <f ca="1">IFERROR(__xludf.DUMMYFUNCTION("""COMPUTED_VALUE"""),"DOC1905075")</f>
        <v>DOC1905075</v>
      </c>
      <c r="D163" s="582" t="str">
        <f ca="1">IFERROR(__xludf.DUMMYFUNCTION("""COMPUTED_VALUE"""),"Đồng ống PC 19.05x0.75")</f>
        <v>Đồng ống PC 19.05x0.75</v>
      </c>
      <c r="E163" s="583">
        <f ca="1">IFERROR(__xludf.DUMMYFUNCTION("""COMPUTED_VALUE"""),0.1)</f>
        <v>0.1</v>
      </c>
      <c r="F163" s="584" t="str">
        <f ca="1">IFERROR(__xludf.DUMMYFUNCTION("""COMPUTED_VALUE"""),"Cuộn")</f>
        <v>Cuộn</v>
      </c>
      <c r="G163" s="584" t="str">
        <f ca="1">IFERROR(__xludf.DUMMYFUNCTION("""COMPUTED_VALUE"""),"Cuộn 15m")</f>
        <v>Cuộn 15m</v>
      </c>
      <c r="H163" s="582" t="str">
        <f ca="1">IFERROR(__xludf.DUMMYFUNCTION("""COMPUTED_VALUE"""),"4")</f>
        <v>4</v>
      </c>
      <c r="I163" s="585">
        <f ca="1">IFERROR(__xludf.DUMMYFUNCTION("""COMPUTED_VALUE"""),5.9662575)</f>
        <v>5.9662575000000002</v>
      </c>
      <c r="J163" s="586" t="str">
        <f ca="1">IFERROR(__xludf.DUMMYFUNCTION("""COMPUTED_VALUE""")," 19.05 ")</f>
        <v xml:space="preserve"> 19.05 </v>
      </c>
      <c r="K163" s="584" t="str">
        <f ca="1">IFERROR(__xludf.DUMMYFUNCTION("""COMPUTED_VALUE"""),"0.75")</f>
        <v>0.75</v>
      </c>
      <c r="L163" s="584">
        <f ca="1">IFERROR(__xludf.DUMMYFUNCTION("""COMPUTED_VALUE"""),15)</f>
        <v>15</v>
      </c>
      <c r="M163" s="584"/>
      <c r="N163" s="584" t="str">
        <f ca="1">IFERROR(__xludf.DUMMYFUNCTION("""COMPUTED_VALUE"""),"Dị_D&lt;54")</f>
        <v>Dị_D&lt;54</v>
      </c>
      <c r="O163" s="583"/>
      <c r="P163" s="584"/>
    </row>
    <row r="164" spans="1:17" ht="15.75">
      <c r="A164" s="587" t="str">
        <f ca="1">IFERROR(__xludf.DUMMYFUNCTION("""COMPUTED_VALUE"""),"Toàn Phát - Việt Nam")</f>
        <v>Toàn Phát - Việt Nam</v>
      </c>
      <c r="B164" s="587" t="str">
        <f ca="1">IFERROR(__xludf.DUMMYFUNCTION("""COMPUTED_VALUE"""),"ĐTPCUONDI")</f>
        <v>ĐTPCUONDI</v>
      </c>
      <c r="C164" s="587" t="str">
        <f ca="1">IFERROR(__xludf.DUMMYFUNCTION("""COMPUTED_VALUE"""),"DOC1905080")</f>
        <v>DOC1905080</v>
      </c>
      <c r="D164" s="588" t="str">
        <f ca="1">IFERROR(__xludf.DUMMYFUNCTION("""COMPUTED_VALUE"""),"Đồng ống PC 19.05x0.80")</f>
        <v>Đồng ống PC 19.05x0.80</v>
      </c>
      <c r="E164" s="589">
        <f ca="1">IFERROR(__xludf.DUMMYFUNCTION("""COMPUTED_VALUE"""),0.1)</f>
        <v>0.1</v>
      </c>
      <c r="F164" s="590" t="str">
        <f ca="1">IFERROR(__xludf.DUMMYFUNCTION("""COMPUTED_VALUE"""),"Cuộn")</f>
        <v>Cuộn</v>
      </c>
      <c r="G164" s="590" t="str">
        <f ca="1">IFERROR(__xludf.DUMMYFUNCTION("""COMPUTED_VALUE"""),"Cuộn 15m")</f>
        <v>Cuộn 15m</v>
      </c>
      <c r="H164" s="588" t="str">
        <f ca="1">IFERROR(__xludf.DUMMYFUNCTION("""COMPUTED_VALUE"""),"4")</f>
        <v>4</v>
      </c>
      <c r="I164" s="591">
        <f ca="1">IFERROR(__xludf.DUMMYFUNCTION("""COMPUTED_VALUE"""),6.34662)</f>
        <v>6.3466199999999997</v>
      </c>
      <c r="J164" s="592" t="str">
        <f ca="1">IFERROR(__xludf.DUMMYFUNCTION("""COMPUTED_VALUE""")," 19.05 ")</f>
        <v xml:space="preserve"> 19.05 </v>
      </c>
      <c r="K164" s="590" t="str">
        <f ca="1">IFERROR(__xludf.DUMMYFUNCTION("""COMPUTED_VALUE"""),"0.80")</f>
        <v>0.80</v>
      </c>
      <c r="L164" s="590">
        <f ca="1">IFERROR(__xludf.DUMMYFUNCTION("""COMPUTED_VALUE"""),15)</f>
        <v>15</v>
      </c>
      <c r="M164" s="590"/>
      <c r="N164" s="590" t="str">
        <f ca="1">IFERROR(__xludf.DUMMYFUNCTION("""COMPUTED_VALUE"""),"Dị_D&lt;54")</f>
        <v>Dị_D&lt;54</v>
      </c>
      <c r="O164" s="589"/>
      <c r="P164" s="590"/>
    </row>
    <row r="165" spans="1:17" ht="15.75">
      <c r="A165" s="581" t="str">
        <f ca="1">IFERROR(__xludf.DUMMYFUNCTION("""COMPUTED_VALUE"""),"Toàn Phát - Việt Nam")</f>
        <v>Toàn Phát - Việt Nam</v>
      </c>
      <c r="B165" s="581" t="str">
        <f ca="1">IFERROR(__xludf.DUMMYFUNCTION("""COMPUTED_VALUE"""),"ĐTPCUONCT")</f>
        <v>ĐTPCUONCT</v>
      </c>
      <c r="C165" s="581" t="str">
        <f ca="1">IFERROR(__xludf.DUMMYFUNCTION("""COMPUTED_VALUE"""),"DOC1905081")</f>
        <v>DOC1905081</v>
      </c>
      <c r="D165" s="582" t="str">
        <f ca="1">IFERROR(__xludf.DUMMYFUNCTION("""COMPUTED_VALUE"""),"Đồng ống PC 19.05x0.81")</f>
        <v>Đồng ống PC 19.05x0.81</v>
      </c>
      <c r="E165" s="583">
        <f ca="1">IFERROR(__xludf.DUMMYFUNCTION("""COMPUTED_VALUE"""),0.1)</f>
        <v>0.1</v>
      </c>
      <c r="F165" s="584" t="str">
        <f ca="1">IFERROR(__xludf.DUMMYFUNCTION("""COMPUTED_VALUE"""),"Cuộn")</f>
        <v>Cuộn</v>
      </c>
      <c r="G165" s="584" t="str">
        <f ca="1">IFERROR(__xludf.DUMMYFUNCTION("""COMPUTED_VALUE"""),"Cuộn 15m")</f>
        <v>Cuộn 15m</v>
      </c>
      <c r="H165" s="582" t="str">
        <f ca="1">IFERROR(__xludf.DUMMYFUNCTION("""COMPUTED_VALUE"""),"4")</f>
        <v>4</v>
      </c>
      <c r="I165" s="585">
        <f ca="1">IFERROR(__xludf.DUMMYFUNCTION("""COMPUTED_VALUE"""),6.42243168)</f>
        <v>6.4224316799999999</v>
      </c>
      <c r="J165" s="586" t="str">
        <f ca="1">IFERROR(__xludf.DUMMYFUNCTION("""COMPUTED_VALUE""")," 19.05 ")</f>
        <v xml:space="preserve"> 19.05 </v>
      </c>
      <c r="K165" s="584" t="str">
        <f ca="1">IFERROR(__xludf.DUMMYFUNCTION("""COMPUTED_VALUE"""),"0.81")</f>
        <v>0.81</v>
      </c>
      <c r="L165" s="584">
        <f ca="1">IFERROR(__xludf.DUMMYFUNCTION("""COMPUTED_VALUE"""),15)</f>
        <v>15</v>
      </c>
      <c r="M165" s="584"/>
      <c r="N165" s="584" t="str">
        <f ca="1">IFERROR(__xludf.DUMMYFUNCTION("""COMPUTED_VALUE"""),"Không")</f>
        <v>Không</v>
      </c>
      <c r="O165" s="583"/>
      <c r="P165" s="584"/>
      <c r="Q165" s="885">
        <f ca="1">+$Q$5*I165</f>
        <v>1477.1592863999997</v>
      </c>
    </row>
    <row r="166" spans="1:17" ht="15.75">
      <c r="A166" s="587" t="str">
        <f ca="1">IFERROR(__xludf.DUMMYFUNCTION("""COMPUTED_VALUE"""),"Toàn Phát - Việt Nam")</f>
        <v>Toàn Phát - Việt Nam</v>
      </c>
      <c r="B166" s="587" t="str">
        <f ca="1">IFERROR(__xludf.DUMMYFUNCTION("""COMPUTED_VALUE"""),"ĐTPCUONDI")</f>
        <v>ĐTPCUONDI</v>
      </c>
      <c r="C166" s="587" t="str">
        <f ca="1">IFERROR(__xludf.DUMMYFUNCTION("""COMPUTED_VALUE"""),"DOC190508150")</f>
        <v>DOC190508150</v>
      </c>
      <c r="D166" s="588" t="str">
        <f ca="1">IFERROR(__xludf.DUMMYFUNCTION("""COMPUTED_VALUE"""),"Đồng ống PC 19.05x0.81x50")</f>
        <v>Đồng ống PC 19.05x0.81x50</v>
      </c>
      <c r="E166" s="589">
        <f ca="1">IFERROR(__xludf.DUMMYFUNCTION("""COMPUTED_VALUE"""),0.1)</f>
        <v>0.1</v>
      </c>
      <c r="F166" s="590" t="str">
        <f ca="1">IFERROR(__xludf.DUMMYFUNCTION("""COMPUTED_VALUE"""),"Cuộn")</f>
        <v>Cuộn</v>
      </c>
      <c r="G166" s="590" t="str">
        <f ca="1">IFERROR(__xludf.DUMMYFUNCTION("""COMPUTED_VALUE"""),"Cuộn 50m")</f>
        <v>Cuộn 50m</v>
      </c>
      <c r="H166" s="588" t="str">
        <f ca="1">IFERROR(__xludf.DUMMYFUNCTION("""COMPUTED_VALUE"""),"4")</f>
        <v>4</v>
      </c>
      <c r="I166" s="591">
        <f ca="1">IFERROR(__xludf.DUMMYFUNCTION("""COMPUTED_VALUE"""),21.4081056)</f>
        <v>21.408105599999999</v>
      </c>
      <c r="J166" s="592" t="str">
        <f ca="1">IFERROR(__xludf.DUMMYFUNCTION("""COMPUTED_VALUE""")," 19.05 ")</f>
        <v xml:space="preserve"> 19.05 </v>
      </c>
      <c r="K166" s="590" t="str">
        <f ca="1">IFERROR(__xludf.DUMMYFUNCTION("""COMPUTED_VALUE"""),"0.81")</f>
        <v>0.81</v>
      </c>
      <c r="L166" s="590">
        <f ca="1">IFERROR(__xludf.DUMMYFUNCTION("""COMPUTED_VALUE"""),50)</f>
        <v>50</v>
      </c>
      <c r="M166" s="590"/>
      <c r="N166" s="590" t="str">
        <f ca="1">IFERROR(__xludf.DUMMYFUNCTION("""COMPUTED_VALUE"""),"Dị_D&lt;54")</f>
        <v>Dị_D&lt;54</v>
      </c>
      <c r="O166" s="589"/>
      <c r="P166" s="590"/>
    </row>
    <row r="167" spans="1:17" ht="15.75">
      <c r="A167" s="581" t="str">
        <f ca="1">IFERROR(__xludf.DUMMYFUNCTION("""COMPUTED_VALUE"""),"Toàn Phát - Việt Nam")</f>
        <v>Toàn Phát - Việt Nam</v>
      </c>
      <c r="B167" s="581" t="str">
        <f ca="1">IFERROR(__xludf.DUMMYFUNCTION("""COMPUTED_VALUE"""),"ĐTPCUONDI")</f>
        <v>ĐTPCUONDI</v>
      </c>
      <c r="C167" s="581" t="str">
        <f ca="1">IFERROR(__xludf.DUMMYFUNCTION("""COMPUTED_VALUE"""),"DOC1905085")</f>
        <v>DOC1905085</v>
      </c>
      <c r="D167" s="582" t="str">
        <f ca="1">IFERROR(__xludf.DUMMYFUNCTION("""COMPUTED_VALUE"""),"Đồng ống PC 19.05x0.85")</f>
        <v>Đồng ống PC 19.05x0.85</v>
      </c>
      <c r="E167" s="583">
        <f ca="1">IFERROR(__xludf.DUMMYFUNCTION("""COMPUTED_VALUE"""),0.1)</f>
        <v>0.1</v>
      </c>
      <c r="F167" s="584" t="str">
        <f ca="1">IFERROR(__xludf.DUMMYFUNCTION("""COMPUTED_VALUE"""),"Cuộn")</f>
        <v>Cuộn</v>
      </c>
      <c r="G167" s="584" t="str">
        <f ca="1">IFERROR(__xludf.DUMMYFUNCTION("""COMPUTED_VALUE"""),"Cuộn 15m")</f>
        <v>Cuộn 15m</v>
      </c>
      <c r="H167" s="582" t="str">
        <f ca="1">IFERROR(__xludf.DUMMYFUNCTION("""COMPUTED_VALUE"""),"4")</f>
        <v>4</v>
      </c>
      <c r="I167" s="585">
        <f ca="1">IFERROR(__xludf.DUMMYFUNCTION("""COMPUTED_VALUE"""),6.724809)</f>
        <v>6.7248089999999996</v>
      </c>
      <c r="J167" s="586" t="str">
        <f ca="1">IFERROR(__xludf.DUMMYFUNCTION("""COMPUTED_VALUE""")," 19.05 ")</f>
        <v xml:space="preserve"> 19.05 </v>
      </c>
      <c r="K167" s="584" t="str">
        <f ca="1">IFERROR(__xludf.DUMMYFUNCTION("""COMPUTED_VALUE"""),"0.85")</f>
        <v>0.85</v>
      </c>
      <c r="L167" s="584">
        <f ca="1">IFERROR(__xludf.DUMMYFUNCTION("""COMPUTED_VALUE"""),15)</f>
        <v>15</v>
      </c>
      <c r="M167" s="584"/>
      <c r="N167" s="584" t="str">
        <f ca="1">IFERROR(__xludf.DUMMYFUNCTION("""COMPUTED_VALUE"""),"Dị_D&lt;54")</f>
        <v>Dị_D&lt;54</v>
      </c>
      <c r="O167" s="583"/>
      <c r="P167" s="584"/>
    </row>
    <row r="168" spans="1:17" ht="15.75">
      <c r="A168" s="587" t="str">
        <f ca="1">IFERROR(__xludf.DUMMYFUNCTION("""COMPUTED_VALUE"""),"Toàn Phát - Việt Nam")</f>
        <v>Toàn Phát - Việt Nam</v>
      </c>
      <c r="B168" s="587" t="str">
        <f ca="1">IFERROR(__xludf.DUMMYFUNCTION("""COMPUTED_VALUE"""),"ĐTPCUONDI")</f>
        <v>ĐTPCUONDI</v>
      </c>
      <c r="C168" s="587" t="str">
        <f ca="1">IFERROR(__xludf.DUMMYFUNCTION("""COMPUTED_VALUE"""),"DOC1905089")</f>
        <v>DOC1905089</v>
      </c>
      <c r="D168" s="588" t="str">
        <f ca="1">IFERROR(__xludf.DUMMYFUNCTION("""COMPUTED_VALUE"""),"Đồng ống cuộn 19.05x0.89")</f>
        <v>Đồng ống cuộn 19.05x0.89</v>
      </c>
      <c r="E168" s="589">
        <f ca="1">IFERROR(__xludf.DUMMYFUNCTION("""COMPUTED_VALUE"""),0.1)</f>
        <v>0.1</v>
      </c>
      <c r="F168" s="590" t="str">
        <f ca="1">IFERROR(__xludf.DUMMYFUNCTION("""COMPUTED_VALUE"""),"Cuộn")</f>
        <v>Cuộn</v>
      </c>
      <c r="G168" s="590" t="str">
        <f ca="1">IFERROR(__xludf.DUMMYFUNCTION("""COMPUTED_VALUE"""),"Cuộn 15m")</f>
        <v>Cuộn 15m</v>
      </c>
      <c r="H168" s="588" t="str">
        <f ca="1">IFERROR(__xludf.DUMMYFUNCTION("""COMPUTED_VALUE"""),"4")</f>
        <v>4</v>
      </c>
      <c r="I168" s="591">
        <f ca="1">IFERROR(__xludf.DUMMYFUNCTION("""COMPUTED_VALUE"""),7.02579528)</f>
        <v>7.0257952799999996</v>
      </c>
      <c r="J168" s="592" t="str">
        <f ca="1">IFERROR(__xludf.DUMMYFUNCTION("""COMPUTED_VALUE""")," 19.05 ")</f>
        <v xml:space="preserve"> 19.05 </v>
      </c>
      <c r="K168" s="590" t="str">
        <f ca="1">IFERROR(__xludf.DUMMYFUNCTION("""COMPUTED_VALUE"""),"0.89")</f>
        <v>0.89</v>
      </c>
      <c r="L168" s="590">
        <f ca="1">IFERROR(__xludf.DUMMYFUNCTION("""COMPUTED_VALUE"""),15)</f>
        <v>15</v>
      </c>
      <c r="M168" s="590"/>
      <c r="N168" s="590" t="str">
        <f ca="1">IFERROR(__xludf.DUMMYFUNCTION("""COMPUTED_VALUE"""),"Dị_D&lt;54")</f>
        <v>Dị_D&lt;54</v>
      </c>
      <c r="O168" s="589"/>
      <c r="P168" s="590"/>
    </row>
    <row r="169" spans="1:17" ht="15.75">
      <c r="A169" s="581" t="str">
        <f ca="1">IFERROR(__xludf.DUMMYFUNCTION("""COMPUTED_VALUE"""),"Toàn Phát - Việt Nam")</f>
        <v>Toàn Phát - Việt Nam</v>
      </c>
      <c r="B169" s="581" t="str">
        <f ca="1">IFERROR(__xludf.DUMMYFUNCTION("""COMPUTED_VALUE"""),"ĐTPCUONDI")</f>
        <v>ĐTPCUONDI</v>
      </c>
      <c r="C169" s="581" t="str">
        <f ca="1">IFERROR(__xludf.DUMMYFUNCTION("""COMPUTED_VALUE"""),"DOC1905090")</f>
        <v>DOC1905090</v>
      </c>
      <c r="D169" s="582" t="str">
        <f ca="1">IFERROR(__xludf.DUMMYFUNCTION("""COMPUTED_VALUE"""),"Đồng ống PC 19.05x0.90")</f>
        <v>Đồng ống PC 19.05x0.90</v>
      </c>
      <c r="E169" s="583">
        <f ca="1">IFERROR(__xludf.DUMMYFUNCTION("""COMPUTED_VALUE"""),0.1)</f>
        <v>0.1</v>
      </c>
      <c r="F169" s="584" t="str">
        <f ca="1">IFERROR(__xludf.DUMMYFUNCTION("""COMPUTED_VALUE"""),"Cuộn")</f>
        <v>Cuộn</v>
      </c>
      <c r="G169" s="584" t="str">
        <f ca="1">IFERROR(__xludf.DUMMYFUNCTION("""COMPUTED_VALUE"""),"Cuộn 15m")</f>
        <v>Cuộn 15m</v>
      </c>
      <c r="H169" s="582" t="str">
        <f ca="1">IFERROR(__xludf.DUMMYFUNCTION("""COMPUTED_VALUE"""),"4")</f>
        <v>4</v>
      </c>
      <c r="I169" s="585">
        <f ca="1">IFERROR(__xludf.DUMMYFUNCTION("""COMPUTED_VALUE"""),7.1008245)</f>
        <v>7.1008244999999999</v>
      </c>
      <c r="J169" s="586" t="str">
        <f ca="1">IFERROR(__xludf.DUMMYFUNCTION("""COMPUTED_VALUE""")," 19.05 ")</f>
        <v xml:space="preserve"> 19.05 </v>
      </c>
      <c r="K169" s="584" t="str">
        <f ca="1">IFERROR(__xludf.DUMMYFUNCTION("""COMPUTED_VALUE"""),"0.90")</f>
        <v>0.90</v>
      </c>
      <c r="L169" s="584">
        <f ca="1">IFERROR(__xludf.DUMMYFUNCTION("""COMPUTED_VALUE"""),15)</f>
        <v>15</v>
      </c>
      <c r="M169" s="584"/>
      <c r="N169" s="584" t="str">
        <f ca="1">IFERROR(__xludf.DUMMYFUNCTION("""COMPUTED_VALUE"""),"Dị_D&lt;54")</f>
        <v>Dị_D&lt;54</v>
      </c>
      <c r="O169" s="583"/>
      <c r="P169" s="584"/>
    </row>
    <row r="170" spans="1:17" ht="15.75">
      <c r="A170" s="587" t="str">
        <f ca="1">IFERROR(__xludf.DUMMYFUNCTION("""COMPUTED_VALUE"""),"Toàn Phát - Việt Nam")</f>
        <v>Toàn Phát - Việt Nam</v>
      </c>
      <c r="B170" s="587" t="str">
        <f ca="1">IFERROR(__xludf.DUMMYFUNCTION("""COMPUTED_VALUE"""),"ĐTPCUONDI")</f>
        <v>ĐTPCUONDI</v>
      </c>
      <c r="C170" s="587" t="str">
        <f ca="1">IFERROR(__xludf.DUMMYFUNCTION("""COMPUTED_VALUE"""),"DOC1905091")</f>
        <v>DOC1905091</v>
      </c>
      <c r="D170" s="588" t="str">
        <f ca="1">IFERROR(__xludf.DUMMYFUNCTION("""COMPUTED_VALUE"""),"Đồng ống PC 19.05x0.91")</f>
        <v>Đồng ống PC 19.05x0.91</v>
      </c>
      <c r="E170" s="589">
        <f ca="1">IFERROR(__xludf.DUMMYFUNCTION("""COMPUTED_VALUE"""),0.1)</f>
        <v>0.1</v>
      </c>
      <c r="F170" s="590" t="str">
        <f ca="1">IFERROR(__xludf.DUMMYFUNCTION("""COMPUTED_VALUE"""),"Cuộn")</f>
        <v>Cuộn</v>
      </c>
      <c r="G170" s="590" t="str">
        <f ca="1">IFERROR(__xludf.DUMMYFUNCTION("""COMPUTED_VALUE"""),"Cuộn 15m")</f>
        <v>Cuộn 15m</v>
      </c>
      <c r="H170" s="588" t="str">
        <f ca="1">IFERROR(__xludf.DUMMYFUNCTION("""COMPUTED_VALUE"""),"4")</f>
        <v>4</v>
      </c>
      <c r="I170" s="591">
        <f ca="1">IFERROR(__xludf.DUMMYFUNCTION("""COMPUTED_VALUE"""),7.17576678)</f>
        <v>7.17576678</v>
      </c>
      <c r="J170" s="592" t="str">
        <f ca="1">IFERROR(__xludf.DUMMYFUNCTION("""COMPUTED_VALUE""")," 19.05 ")</f>
        <v xml:space="preserve"> 19.05 </v>
      </c>
      <c r="K170" s="590" t="str">
        <f ca="1">IFERROR(__xludf.DUMMYFUNCTION("""COMPUTED_VALUE"""),"0.91")</f>
        <v>0.91</v>
      </c>
      <c r="L170" s="590">
        <f ca="1">IFERROR(__xludf.DUMMYFUNCTION("""COMPUTED_VALUE"""),15)</f>
        <v>15</v>
      </c>
      <c r="M170" s="590"/>
      <c r="N170" s="590" t="str">
        <f ca="1">IFERROR(__xludf.DUMMYFUNCTION("""COMPUTED_VALUE"""),"Dị_D&lt;54")</f>
        <v>Dị_D&lt;54</v>
      </c>
      <c r="O170" s="589"/>
      <c r="P170" s="590"/>
    </row>
    <row r="171" spans="1:17" ht="15.75">
      <c r="A171" s="581" t="str">
        <f ca="1">IFERROR(__xludf.DUMMYFUNCTION("""COMPUTED_VALUE"""),"Toàn Phát - Việt Nam")</f>
        <v>Toàn Phát - Việt Nam</v>
      </c>
      <c r="B171" s="581" t="str">
        <f ca="1">IFERROR(__xludf.DUMMYFUNCTION("""COMPUTED_VALUE"""),"ĐTPCUONDI")</f>
        <v>ĐTPCUONDI</v>
      </c>
      <c r="C171" s="581" t="str">
        <f ca="1">IFERROR(__xludf.DUMMYFUNCTION("""COMPUTED_VALUE"""),"DOC1905095")</f>
        <v>DOC1905095</v>
      </c>
      <c r="D171" s="582" t="str">
        <f ca="1">IFERROR(__xludf.DUMMYFUNCTION("""COMPUTED_VALUE"""),"Đồng ống PC 19.05x0.95")</f>
        <v>Đồng ống PC 19.05x0.95</v>
      </c>
      <c r="E171" s="583">
        <f ca="1">IFERROR(__xludf.DUMMYFUNCTION("""COMPUTED_VALUE"""),0.1)</f>
        <v>0.1</v>
      </c>
      <c r="F171" s="584" t="str">
        <f ca="1">IFERROR(__xludf.DUMMYFUNCTION("""COMPUTED_VALUE"""),"Cuộn")</f>
        <v>Cuộn</v>
      </c>
      <c r="G171" s="584" t="str">
        <f ca="1">IFERROR(__xludf.DUMMYFUNCTION("""COMPUTED_VALUE"""),"Cuộn 15m")</f>
        <v>Cuộn 15m</v>
      </c>
      <c r="H171" s="582" t="str">
        <f ca="1">IFERROR(__xludf.DUMMYFUNCTION("""COMPUTED_VALUE"""),"4")</f>
        <v>4</v>
      </c>
      <c r="I171" s="585">
        <f ca="1">IFERROR(__xludf.DUMMYFUNCTION("""COMPUTED_VALUE"""),7.47466649999999)</f>
        <v>7.4746664999999899</v>
      </c>
      <c r="J171" s="586" t="str">
        <f ca="1">IFERROR(__xludf.DUMMYFUNCTION("""COMPUTED_VALUE""")," 19.05 ")</f>
        <v xml:space="preserve"> 19.05 </v>
      </c>
      <c r="K171" s="584" t="str">
        <f ca="1">IFERROR(__xludf.DUMMYFUNCTION("""COMPUTED_VALUE"""),"0.95")</f>
        <v>0.95</v>
      </c>
      <c r="L171" s="584">
        <f ca="1">IFERROR(__xludf.DUMMYFUNCTION("""COMPUTED_VALUE"""),15)</f>
        <v>15</v>
      </c>
      <c r="M171" s="584"/>
      <c r="N171" s="584" t="str">
        <f ca="1">IFERROR(__xludf.DUMMYFUNCTION("""COMPUTED_VALUE"""),"Dị_D&lt;54")</f>
        <v>Dị_D&lt;54</v>
      </c>
      <c r="O171" s="583"/>
      <c r="P171" s="584"/>
    </row>
    <row r="172" spans="1:17" ht="15.75">
      <c r="A172" s="587" t="str">
        <f ca="1">IFERROR(__xludf.DUMMYFUNCTION("""COMPUTED_VALUE"""),"Toàn Phát - Việt Nam")</f>
        <v>Toàn Phát - Việt Nam</v>
      </c>
      <c r="B172" s="587" t="str">
        <f ca="1">IFERROR(__xludf.DUMMYFUNCTION("""COMPUTED_VALUE"""),"ĐTPCUONCT")</f>
        <v>ĐTPCUONCT</v>
      </c>
      <c r="C172" s="587" t="str">
        <f ca="1">IFERROR(__xludf.DUMMYFUNCTION("""COMPUTED_VALUE"""),"DOC1905100")</f>
        <v>DOC1905100</v>
      </c>
      <c r="D172" s="588" t="str">
        <f ca="1">IFERROR(__xludf.DUMMYFUNCTION("""COMPUTED_VALUE"""),"Đồng ống PC 19.05x1.00")</f>
        <v>Đồng ống PC 19.05x1.00</v>
      </c>
      <c r="E172" s="589">
        <f ca="1">IFERROR(__xludf.DUMMYFUNCTION("""COMPUTED_VALUE"""),0.1)</f>
        <v>0.1</v>
      </c>
      <c r="F172" s="590" t="str">
        <f ca="1">IFERROR(__xludf.DUMMYFUNCTION("""COMPUTED_VALUE"""),"Cuộn")</f>
        <v>Cuộn</v>
      </c>
      <c r="G172" s="590" t="str">
        <f ca="1">IFERROR(__xludf.DUMMYFUNCTION("""COMPUTED_VALUE"""),"Cuộn 15m")</f>
        <v>Cuộn 15m</v>
      </c>
      <c r="H172" s="588" t="str">
        <f ca="1">IFERROR(__xludf.DUMMYFUNCTION("""COMPUTED_VALUE"""),"4")</f>
        <v>4</v>
      </c>
      <c r="I172" s="591">
        <f ca="1">IFERROR(__xludf.DUMMYFUNCTION("""COMPUTED_VALUE"""),7.846335)</f>
        <v>7.8463349999999998</v>
      </c>
      <c r="J172" s="592" t="str">
        <f ca="1">IFERROR(__xludf.DUMMYFUNCTION("""COMPUTED_VALUE""")," 19.05 ")</f>
        <v xml:space="preserve"> 19.05 </v>
      </c>
      <c r="K172" s="590" t="str">
        <f ca="1">IFERROR(__xludf.DUMMYFUNCTION("""COMPUTED_VALUE"""),"1.00")</f>
        <v>1.00</v>
      </c>
      <c r="L172" s="590">
        <f ca="1">IFERROR(__xludf.DUMMYFUNCTION("""COMPUTED_VALUE"""),15)</f>
        <v>15</v>
      </c>
      <c r="M172" s="590"/>
      <c r="N172" s="590" t="str">
        <f ca="1">IFERROR(__xludf.DUMMYFUNCTION("""COMPUTED_VALUE"""),"Không")</f>
        <v>Không</v>
      </c>
      <c r="O172" s="589"/>
      <c r="P172" s="590"/>
      <c r="Q172" s="885">
        <f ca="1">+$Q$5*I172</f>
        <v>1804.6570499999998</v>
      </c>
    </row>
    <row r="173" spans="1:17" ht="15.75">
      <c r="A173" s="581" t="str">
        <f ca="1">IFERROR(__xludf.DUMMYFUNCTION("""COMPUTED_VALUE"""),"Toàn Phát - Việt Nam")</f>
        <v>Toàn Phát - Việt Nam</v>
      </c>
      <c r="B173" s="581" t="str">
        <f ca="1">IFERROR(__xludf.DUMMYFUNCTION("""COMPUTED_VALUE"""),"ĐTPCUONDI")</f>
        <v>ĐTPCUONDI</v>
      </c>
      <c r="C173" s="581" t="str">
        <f ca="1">IFERROR(__xludf.DUMMYFUNCTION("""COMPUTED_VALUE"""),"DOC190510050")</f>
        <v>DOC190510050</v>
      </c>
      <c r="D173" s="582" t="str">
        <f ca="1">IFERROR(__xludf.DUMMYFUNCTION("""COMPUTED_VALUE"""),"Đồng ống PC 19.05x1.00x50")</f>
        <v>Đồng ống PC 19.05x1.00x50</v>
      </c>
      <c r="E173" s="583">
        <f ca="1">IFERROR(__xludf.DUMMYFUNCTION("""COMPUTED_VALUE"""),0.1)</f>
        <v>0.1</v>
      </c>
      <c r="F173" s="584" t="str">
        <f ca="1">IFERROR(__xludf.DUMMYFUNCTION("""COMPUTED_VALUE"""),"Cuộn")</f>
        <v>Cuộn</v>
      </c>
      <c r="G173" s="584" t="str">
        <f ca="1">IFERROR(__xludf.DUMMYFUNCTION("""COMPUTED_VALUE"""),"Cuộn 50m")</f>
        <v>Cuộn 50m</v>
      </c>
      <c r="H173" s="582" t="str">
        <f ca="1">IFERROR(__xludf.DUMMYFUNCTION("""COMPUTED_VALUE"""),"4")</f>
        <v>4</v>
      </c>
      <c r="I173" s="585">
        <f ca="1">IFERROR(__xludf.DUMMYFUNCTION("""COMPUTED_VALUE"""),26.15445)</f>
        <v>26.154450000000001</v>
      </c>
      <c r="J173" s="586" t="str">
        <f ca="1">IFERROR(__xludf.DUMMYFUNCTION("""COMPUTED_VALUE""")," 19.05 ")</f>
        <v xml:space="preserve"> 19.05 </v>
      </c>
      <c r="K173" s="584" t="str">
        <f ca="1">IFERROR(__xludf.DUMMYFUNCTION("""COMPUTED_VALUE"""),"1.00")</f>
        <v>1.00</v>
      </c>
      <c r="L173" s="584">
        <f ca="1">IFERROR(__xludf.DUMMYFUNCTION("""COMPUTED_VALUE"""),50)</f>
        <v>50</v>
      </c>
      <c r="M173" s="584"/>
      <c r="N173" s="584" t="str">
        <f ca="1">IFERROR(__xludf.DUMMYFUNCTION("""COMPUTED_VALUE"""),"Dị_D&lt;54")</f>
        <v>Dị_D&lt;54</v>
      </c>
      <c r="O173" s="583">
        <f ca="1">IFERROR(__xludf.DUMMYFUNCTION("""COMPUTED_VALUE"""),1)</f>
        <v>1</v>
      </c>
      <c r="P173" s="584"/>
    </row>
    <row r="174" spans="1:17" ht="15.75">
      <c r="A174" s="587" t="str">
        <f ca="1">IFERROR(__xludf.DUMMYFUNCTION("""COMPUTED_VALUE"""),"Toàn Phát - Việt Nam")</f>
        <v>Toàn Phát - Việt Nam</v>
      </c>
      <c r="B174" s="587" t="str">
        <f ca="1">IFERROR(__xludf.DUMMYFUNCTION("""COMPUTED_VALUE"""),"ĐTPCUONDI")</f>
        <v>ĐTPCUONDI</v>
      </c>
      <c r="C174" s="587" t="str">
        <f ca="1">IFERROR(__xludf.DUMMYFUNCTION("""COMPUTED_VALUE"""),"DOC1905110")</f>
        <v>DOC1905110</v>
      </c>
      <c r="D174" s="588" t="str">
        <f ca="1">IFERROR(__xludf.DUMMYFUNCTION("""COMPUTED_VALUE"""),"Đồng ống PC 19.05x1.10")</f>
        <v>Đồng ống PC 19.05x1.10</v>
      </c>
      <c r="E174" s="589">
        <f ca="1">IFERROR(__xludf.DUMMYFUNCTION("""COMPUTED_VALUE"""),0.1)</f>
        <v>0.1</v>
      </c>
      <c r="F174" s="590" t="str">
        <f ca="1">IFERROR(__xludf.DUMMYFUNCTION("""COMPUTED_VALUE"""),"Cuộn")</f>
        <v>Cuộn</v>
      </c>
      <c r="G174" s="590" t="str">
        <f ca="1">IFERROR(__xludf.DUMMYFUNCTION("""COMPUTED_VALUE"""),"Cuộn 15m")</f>
        <v>Cuộn 15m</v>
      </c>
      <c r="H174" s="588" t="str">
        <f ca="1">IFERROR(__xludf.DUMMYFUNCTION("""COMPUTED_VALUE"""),"4")</f>
        <v>4</v>
      </c>
      <c r="I174" s="591">
        <f ca="1">IFERROR(__xludf.DUMMYFUNCTION("""COMPUTED_VALUE"""),8.5831515)</f>
        <v>8.5831514999999996</v>
      </c>
      <c r="J174" s="592" t="str">
        <f ca="1">IFERROR(__xludf.DUMMYFUNCTION("""COMPUTED_VALUE""")," 19.05 ")</f>
        <v xml:space="preserve"> 19.05 </v>
      </c>
      <c r="K174" s="590" t="str">
        <f ca="1">IFERROR(__xludf.DUMMYFUNCTION("""COMPUTED_VALUE"""),"1.10")</f>
        <v>1.10</v>
      </c>
      <c r="L174" s="590">
        <f ca="1">IFERROR(__xludf.DUMMYFUNCTION("""COMPUTED_VALUE"""),15)</f>
        <v>15</v>
      </c>
      <c r="M174" s="590"/>
      <c r="N174" s="590" t="str">
        <f ca="1">IFERROR(__xludf.DUMMYFUNCTION("""COMPUTED_VALUE"""),"Dị_D&lt;54")</f>
        <v>Dị_D&lt;54</v>
      </c>
      <c r="O174" s="589">
        <f ca="1">IFERROR(__xludf.DUMMYFUNCTION("""COMPUTED_VALUE"""),1)</f>
        <v>1</v>
      </c>
      <c r="P174" s="590"/>
    </row>
    <row r="175" spans="1:17" ht="15.75">
      <c r="A175" s="581" t="str">
        <f ca="1">IFERROR(__xludf.DUMMYFUNCTION("""COMPUTED_VALUE"""),"Toàn Phát - Việt Nam")</f>
        <v>Toàn Phát - Việt Nam</v>
      </c>
      <c r="B175" s="581" t="str">
        <f ca="1">IFERROR(__xludf.DUMMYFUNCTION("""COMPUTED_VALUE"""),"ĐTPCUONDI")</f>
        <v>ĐTPCUONDI</v>
      </c>
      <c r="C175" s="581" t="str">
        <f ca="1">IFERROR(__xludf.DUMMYFUNCTION("""COMPUTED_VALUE"""),"DOC1905114")</f>
        <v>DOC1905114</v>
      </c>
      <c r="D175" s="582" t="str">
        <f ca="1">IFERROR(__xludf.DUMMYFUNCTION("""COMPUTED_VALUE"""),"Đồng ống cuộn 19.05x1.14")</f>
        <v>Đồng ống cuộn 19.05x1.14</v>
      </c>
      <c r="E175" s="583">
        <f ca="1">IFERROR(__xludf.DUMMYFUNCTION("""COMPUTED_VALUE"""),0.1)</f>
        <v>0.1</v>
      </c>
      <c r="F175" s="584" t="str">
        <f ca="1">IFERROR(__xludf.DUMMYFUNCTION("""COMPUTED_VALUE"""),"Cuộn")</f>
        <v>Cuộn</v>
      </c>
      <c r="G175" s="584" t="str">
        <f ca="1">IFERROR(__xludf.DUMMYFUNCTION("""COMPUTED_VALUE"""),"Cuộn 15m")</f>
        <v>Cuộn 15m</v>
      </c>
      <c r="H175" s="582" t="str">
        <f ca="1">IFERROR(__xludf.DUMMYFUNCTION("""COMPUTED_VALUE"""),"4")</f>
        <v>4</v>
      </c>
      <c r="I175" s="585">
        <f ca="1">IFERROR(__xludf.DUMMYFUNCTION("""COMPUTED_VALUE"""),8.87544378)</f>
        <v>8.8754437799999994</v>
      </c>
      <c r="J175" s="586" t="str">
        <f ca="1">IFERROR(__xludf.DUMMYFUNCTION("""COMPUTED_VALUE""")," 19.05 ")</f>
        <v xml:space="preserve"> 19.05 </v>
      </c>
      <c r="K175" s="584" t="str">
        <f ca="1">IFERROR(__xludf.DUMMYFUNCTION("""COMPUTED_VALUE"""),"1.14")</f>
        <v>1.14</v>
      </c>
      <c r="L175" s="584">
        <f ca="1">IFERROR(__xludf.DUMMYFUNCTION("""COMPUTED_VALUE"""),15)</f>
        <v>15</v>
      </c>
      <c r="M175" s="584"/>
      <c r="N175" s="584" t="str">
        <f ca="1">IFERROR(__xludf.DUMMYFUNCTION("""COMPUTED_VALUE"""),"Dị_D&lt;54")</f>
        <v>Dị_D&lt;54</v>
      </c>
      <c r="O175" s="583"/>
      <c r="P175" s="584"/>
    </row>
    <row r="176" spans="1:17" ht="15.75">
      <c r="A176" s="587" t="str">
        <f ca="1">IFERROR(__xludf.DUMMYFUNCTION("""COMPUTED_VALUE"""),"Toàn Phát - Việt Nam")</f>
        <v>Toàn Phát - Việt Nam</v>
      </c>
      <c r="B176" s="587" t="str">
        <f ca="1">IFERROR(__xludf.DUMMYFUNCTION("""COMPUTED_VALUE"""),"ĐTPCUONDI")</f>
        <v>ĐTPCUONDI</v>
      </c>
      <c r="C176" s="587" t="str">
        <f ca="1">IFERROR(__xludf.DUMMYFUNCTION("""COMPUTED_VALUE"""),"DOC1905115")</f>
        <v>DOC1905115</v>
      </c>
      <c r="D176" s="588" t="str">
        <f ca="1">IFERROR(__xludf.DUMMYFUNCTION("""COMPUTED_VALUE"""),"Đồng ống PC 19.05x1.15")</f>
        <v>Đồng ống PC 19.05x1.15</v>
      </c>
      <c r="E176" s="589">
        <f ca="1">IFERROR(__xludf.DUMMYFUNCTION("""COMPUTED_VALUE"""),0.1)</f>
        <v>0.1</v>
      </c>
      <c r="F176" s="590" t="str">
        <f ca="1">IFERROR(__xludf.DUMMYFUNCTION("""COMPUTED_VALUE"""),"Cuộn")</f>
        <v>Cuộn</v>
      </c>
      <c r="G176" s="590" t="str">
        <f ca="1">IFERROR(__xludf.DUMMYFUNCTION("""COMPUTED_VALUE"""),"Cuộn 15m")</f>
        <v>Cuộn 15m</v>
      </c>
      <c r="H176" s="588" t="str">
        <f ca="1">IFERROR(__xludf.DUMMYFUNCTION("""COMPUTED_VALUE"""),"4")</f>
        <v>4</v>
      </c>
      <c r="I176" s="591">
        <f ca="1">IFERROR(__xludf.DUMMYFUNCTION("""COMPUTED_VALUE"""),8.9482995)</f>
        <v>8.9482994999999992</v>
      </c>
      <c r="J176" s="592" t="str">
        <f ca="1">IFERROR(__xludf.DUMMYFUNCTION("""COMPUTED_VALUE""")," 19.05 ")</f>
        <v xml:space="preserve"> 19.05 </v>
      </c>
      <c r="K176" s="590" t="str">
        <f ca="1">IFERROR(__xludf.DUMMYFUNCTION("""COMPUTED_VALUE"""),"1.15")</f>
        <v>1.15</v>
      </c>
      <c r="L176" s="590">
        <f ca="1">IFERROR(__xludf.DUMMYFUNCTION("""COMPUTED_VALUE"""),15)</f>
        <v>15</v>
      </c>
      <c r="M176" s="590"/>
      <c r="N176" s="590" t="str">
        <f ca="1">IFERROR(__xludf.DUMMYFUNCTION("""COMPUTED_VALUE"""),"Dị_D&lt;54")</f>
        <v>Dị_D&lt;54</v>
      </c>
      <c r="O176" s="589"/>
      <c r="P176" s="590"/>
    </row>
    <row r="177" spans="1:16" ht="15.75">
      <c r="A177" s="581" t="str">
        <f ca="1">IFERROR(__xludf.DUMMYFUNCTION("""COMPUTED_VALUE"""),"Toàn Phát - Việt Nam")</f>
        <v>Toàn Phát - Việt Nam</v>
      </c>
      <c r="B177" s="581" t="str">
        <f ca="1">IFERROR(__xludf.DUMMYFUNCTION("""COMPUTED_VALUE"""),"ĐTPCUONDI")</f>
        <v>ĐTPCUONDI</v>
      </c>
      <c r="C177" s="581" t="str">
        <f ca="1">IFERROR(__xludf.DUMMYFUNCTION("""COMPUTED_VALUE"""),"DOC1905120")</f>
        <v>DOC1905120</v>
      </c>
      <c r="D177" s="582" t="str">
        <f ca="1">IFERROR(__xludf.DUMMYFUNCTION("""COMPUTED_VALUE"""),"Đồng ống PC 19.05x1.20")</f>
        <v>Đồng ống PC 19.05x1.20</v>
      </c>
      <c r="E177" s="583">
        <f ca="1">IFERROR(__xludf.DUMMYFUNCTION("""COMPUTED_VALUE"""),0.1)</f>
        <v>0.1</v>
      </c>
      <c r="F177" s="584" t="str">
        <f ca="1">IFERROR(__xludf.DUMMYFUNCTION("""COMPUTED_VALUE"""),"Cuộn")</f>
        <v>Cuộn</v>
      </c>
      <c r="G177" s="584" t="str">
        <f ca="1">IFERROR(__xludf.DUMMYFUNCTION("""COMPUTED_VALUE"""),"Cuộn 15m")</f>
        <v>Cuộn 15m</v>
      </c>
      <c r="H177" s="582" t="str">
        <f ca="1">IFERROR(__xludf.DUMMYFUNCTION("""COMPUTED_VALUE"""),"4")</f>
        <v>4</v>
      </c>
      <c r="I177" s="585">
        <f ca="1">IFERROR(__xludf.DUMMYFUNCTION("""COMPUTED_VALUE"""),9.311274)</f>
        <v>9.3112739999999992</v>
      </c>
      <c r="J177" s="586" t="str">
        <f ca="1">IFERROR(__xludf.DUMMYFUNCTION("""COMPUTED_VALUE""")," 19.05 ")</f>
        <v xml:space="preserve"> 19.05 </v>
      </c>
      <c r="K177" s="584" t="str">
        <f ca="1">IFERROR(__xludf.DUMMYFUNCTION("""COMPUTED_VALUE"""),"1.20")</f>
        <v>1.20</v>
      </c>
      <c r="L177" s="584">
        <f ca="1">IFERROR(__xludf.DUMMYFUNCTION("""COMPUTED_VALUE"""),15)</f>
        <v>15</v>
      </c>
      <c r="M177" s="584"/>
      <c r="N177" s="584" t="str">
        <f ca="1">IFERROR(__xludf.DUMMYFUNCTION("""COMPUTED_VALUE"""),"Dị_D&lt;54")</f>
        <v>Dị_D&lt;54</v>
      </c>
      <c r="O177" s="583"/>
      <c r="P177" s="584"/>
    </row>
    <row r="178" spans="1:16" ht="15.75">
      <c r="A178" s="587" t="str">
        <f ca="1">IFERROR(__xludf.DUMMYFUNCTION("""COMPUTED_VALUE"""),"Toàn Phát - Việt Nam")</f>
        <v>Toàn Phát - Việt Nam</v>
      </c>
      <c r="B178" s="587" t="str">
        <f ca="1">IFERROR(__xludf.DUMMYFUNCTION("""COMPUTED_VALUE"""),"ĐTPCUONDI")</f>
        <v>ĐTPCUONDI</v>
      </c>
      <c r="C178" s="587" t="str">
        <f ca="1">IFERROR(__xludf.DUMMYFUNCTION("""COMPUTED_VALUE"""),"DOC190512050")</f>
        <v>DOC190512050</v>
      </c>
      <c r="D178" s="588" t="str">
        <f ca="1">IFERROR(__xludf.DUMMYFUNCTION("""COMPUTED_VALUE"""),"Đồng ống PC 19.05x1.20x50")</f>
        <v>Đồng ống PC 19.05x1.20x50</v>
      </c>
      <c r="E178" s="589">
        <f ca="1">IFERROR(__xludf.DUMMYFUNCTION("""COMPUTED_VALUE"""),0.1)</f>
        <v>0.1</v>
      </c>
      <c r="F178" s="590" t="str">
        <f ca="1">IFERROR(__xludf.DUMMYFUNCTION("""COMPUTED_VALUE"""),"Cuộn")</f>
        <v>Cuộn</v>
      </c>
      <c r="G178" s="590" t="str">
        <f ca="1">IFERROR(__xludf.DUMMYFUNCTION("""COMPUTED_VALUE"""),"Cuộn 50m")</f>
        <v>Cuộn 50m</v>
      </c>
      <c r="H178" s="588" t="str">
        <f ca="1">IFERROR(__xludf.DUMMYFUNCTION("""COMPUTED_VALUE"""),"4")</f>
        <v>4</v>
      </c>
      <c r="I178" s="591">
        <f ca="1">IFERROR(__xludf.DUMMYFUNCTION("""COMPUTED_VALUE"""),31.03758)</f>
        <v>31.037579999999998</v>
      </c>
      <c r="J178" s="592" t="str">
        <f ca="1">IFERROR(__xludf.DUMMYFUNCTION("""COMPUTED_VALUE""")," 19.05 ")</f>
        <v xml:space="preserve"> 19.05 </v>
      </c>
      <c r="K178" s="590" t="str">
        <f ca="1">IFERROR(__xludf.DUMMYFUNCTION("""COMPUTED_VALUE"""),"1.20")</f>
        <v>1.20</v>
      </c>
      <c r="L178" s="590">
        <f ca="1">IFERROR(__xludf.DUMMYFUNCTION("""COMPUTED_VALUE"""),50)</f>
        <v>50</v>
      </c>
      <c r="M178" s="590"/>
      <c r="N178" s="590" t="str">
        <f ca="1">IFERROR(__xludf.DUMMYFUNCTION("""COMPUTED_VALUE"""),"Dị_D&lt;54")</f>
        <v>Dị_D&lt;54</v>
      </c>
      <c r="O178" s="589"/>
      <c r="P178" s="590"/>
    </row>
    <row r="179" spans="1:16" ht="15.75">
      <c r="A179" s="581" t="str">
        <f ca="1">IFERROR(__xludf.DUMMYFUNCTION("""COMPUTED_VALUE"""),"Toàn Phát - Việt Nam")</f>
        <v>Toàn Phát - Việt Nam</v>
      </c>
      <c r="B179" s="581" t="str">
        <f ca="1">IFERROR(__xludf.DUMMYFUNCTION("""COMPUTED_VALUE"""),"ĐTPCUONDI")</f>
        <v>ĐTPCUONDI</v>
      </c>
      <c r="C179" s="581" t="str">
        <f ca="1">IFERROR(__xludf.DUMMYFUNCTION("""COMPUTED_VALUE"""),"DOC2222080")</f>
        <v>DOC2222080</v>
      </c>
      <c r="D179" s="582" t="str">
        <f ca="1">IFERROR(__xludf.DUMMYFUNCTION("""COMPUTED_VALUE"""),"Đồng ống PC 22.22x0.80")</f>
        <v>Đồng ống PC 22.22x0.80</v>
      </c>
      <c r="E179" s="583">
        <f ca="1">IFERROR(__xludf.DUMMYFUNCTION("""COMPUTED_VALUE"""),0.1)</f>
        <v>0.1</v>
      </c>
      <c r="F179" s="584" t="str">
        <f ca="1">IFERROR(__xludf.DUMMYFUNCTION("""COMPUTED_VALUE"""),"Cuộn")</f>
        <v>Cuộn</v>
      </c>
      <c r="G179" s="584" t="str">
        <f ca="1">IFERROR(__xludf.DUMMYFUNCTION("""COMPUTED_VALUE"""),"Cuộn 15m")</f>
        <v>Cuộn 15m</v>
      </c>
      <c r="H179" s="582" t="str">
        <f ca="1">IFERROR(__xludf.DUMMYFUNCTION("""COMPUTED_VALUE"""),"20")</f>
        <v>20</v>
      </c>
      <c r="I179" s="585">
        <f ca="1">IFERROR(__xludf.DUMMYFUNCTION("""COMPUTED_VALUE"""),7.44901919999999)</f>
        <v>7.4490191999999897</v>
      </c>
      <c r="J179" s="586" t="str">
        <f ca="1">IFERROR(__xludf.DUMMYFUNCTION("""COMPUTED_VALUE""")," 22.22 ")</f>
        <v xml:space="preserve"> 22.22 </v>
      </c>
      <c r="K179" s="584" t="str">
        <f ca="1">IFERROR(__xludf.DUMMYFUNCTION("""COMPUTED_VALUE"""),"0.80")</f>
        <v>0.80</v>
      </c>
      <c r="L179" s="584">
        <f ca="1">IFERROR(__xludf.DUMMYFUNCTION("""COMPUTED_VALUE"""),15)</f>
        <v>15</v>
      </c>
      <c r="M179" s="584"/>
      <c r="N179" s="584" t="str">
        <f ca="1">IFERROR(__xludf.DUMMYFUNCTION("""COMPUTED_VALUE"""),"Dị_D&lt;54")</f>
        <v>Dị_D&lt;54</v>
      </c>
      <c r="O179" s="583"/>
      <c r="P179" s="584"/>
    </row>
    <row r="180" spans="1:16" ht="15.75">
      <c r="A180" s="587" t="str">
        <f ca="1">IFERROR(__xludf.DUMMYFUNCTION("""COMPUTED_VALUE"""),"Toàn Phát - Việt Nam")</f>
        <v>Toàn Phát - Việt Nam</v>
      </c>
      <c r="B180" s="587" t="str">
        <f ca="1">IFERROR(__xludf.DUMMYFUNCTION("""COMPUTED_VALUE"""),"ĐTPCUONDI")</f>
        <v>ĐTPCUONDI</v>
      </c>
      <c r="C180" s="587" t="str">
        <f ca="1">IFERROR(__xludf.DUMMYFUNCTION("""COMPUTED_VALUE"""),"DOC2222120")</f>
        <v>DOC2222120</v>
      </c>
      <c r="D180" s="588" t="str">
        <f ca="1">IFERROR(__xludf.DUMMYFUNCTION("""COMPUTED_VALUE"""),"Đồng ống PC 22.22x1.2")</f>
        <v>Đồng ống PC 22.22x1.2</v>
      </c>
      <c r="E180" s="589">
        <f ca="1">IFERROR(__xludf.DUMMYFUNCTION("""COMPUTED_VALUE"""),0.1)</f>
        <v>0.1</v>
      </c>
      <c r="F180" s="590" t="str">
        <f ca="1">IFERROR(__xludf.DUMMYFUNCTION("""COMPUTED_VALUE"""),"Cuộn")</f>
        <v>Cuộn</v>
      </c>
      <c r="G180" s="590" t="str">
        <f ca="1">IFERROR(__xludf.DUMMYFUNCTION("""COMPUTED_VALUE"""),"Cuộn 15m")</f>
        <v>Cuộn 15m</v>
      </c>
      <c r="H180" s="588" t="str">
        <f ca="1">IFERROR(__xludf.DUMMYFUNCTION("""COMPUTED_VALUE"""),"20")</f>
        <v>20</v>
      </c>
      <c r="I180" s="591">
        <f ca="1">IFERROR(__xludf.DUMMYFUNCTION("""COMPUTED_VALUE"""),10.9648727999999)</f>
        <v>10.964872799999901</v>
      </c>
      <c r="J180" s="592" t="str">
        <f ca="1">IFERROR(__xludf.DUMMYFUNCTION("""COMPUTED_VALUE""")," 22.22 ")</f>
        <v xml:space="preserve"> 22.22 </v>
      </c>
      <c r="K180" s="590" t="str">
        <f ca="1">IFERROR(__xludf.DUMMYFUNCTION("""COMPUTED_VALUE"""),"1.20")</f>
        <v>1.20</v>
      </c>
      <c r="L180" s="590">
        <f ca="1">IFERROR(__xludf.DUMMYFUNCTION("""COMPUTED_VALUE"""),15)</f>
        <v>15</v>
      </c>
      <c r="M180" s="590"/>
      <c r="N180" s="590" t="str">
        <f ca="1">IFERROR(__xludf.DUMMYFUNCTION("""COMPUTED_VALUE"""),"Dị_D&lt;54")</f>
        <v>Dị_D&lt;54</v>
      </c>
      <c r="O180" s="589"/>
      <c r="P180" s="590"/>
    </row>
    <row r="181" spans="1:16" ht="15.75">
      <c r="A181" s="581" t="str">
        <f ca="1">IFERROR(__xludf.DUMMYFUNCTION("""COMPUTED_VALUE"""),"Toàn Phát - Việt Nam")</f>
        <v>Toàn Phát - Việt Nam</v>
      </c>
      <c r="B181" s="581" t="str">
        <f ca="1">IFERROR(__xludf.DUMMYFUNCTION("""COMPUTED_VALUE"""),"ĐTPCUONDI")</f>
        <v>ĐTPCUONDI</v>
      </c>
      <c r="C181" s="581" t="str">
        <f ca="1">IFERROR(__xludf.DUMMYFUNCTION("""COMPUTED_VALUE"""),"DOC250010")</f>
        <v>DOC250010</v>
      </c>
      <c r="D181" s="582" t="str">
        <f ca="1">IFERROR(__xludf.DUMMYFUNCTION("""COMPUTED_VALUE"""),"Đồng ống cuộn 25.00x1.0")</f>
        <v>Đồng ống cuộn 25.00x1.0</v>
      </c>
      <c r="E181" s="583">
        <f ca="1">IFERROR(__xludf.DUMMYFUNCTION("""COMPUTED_VALUE"""),0.1)</f>
        <v>0.1</v>
      </c>
      <c r="F181" s="584" t="str">
        <f ca="1">IFERROR(__xludf.DUMMYFUNCTION("""COMPUTED_VALUE"""),"Cuộn")</f>
        <v>Cuộn</v>
      </c>
      <c r="G181" s="584" t="str">
        <f ca="1">IFERROR(__xludf.DUMMYFUNCTION("""COMPUTED_VALUE"""),"Cuộn 15m")</f>
        <v>Cuộn 15m</v>
      </c>
      <c r="H181" s="582"/>
      <c r="I181" s="585">
        <f ca="1">IFERROR(__xludf.DUMMYFUNCTION("""COMPUTED_VALUE"""),10.4327999999999)</f>
        <v>10.432799999999901</v>
      </c>
      <c r="J181" s="586" t="str">
        <f ca="1">IFERROR(__xludf.DUMMYFUNCTION("""COMPUTED_VALUE""")," 25.00 ")</f>
        <v xml:space="preserve"> 25.00 </v>
      </c>
      <c r="K181" s="584" t="str">
        <f ca="1">IFERROR(__xludf.DUMMYFUNCTION("""COMPUTED_VALUE"""),"1.00")</f>
        <v>1.00</v>
      </c>
      <c r="L181" s="584">
        <f ca="1">IFERROR(__xludf.DUMMYFUNCTION("""COMPUTED_VALUE"""),15)</f>
        <v>15</v>
      </c>
      <c r="M181" s="584"/>
      <c r="N181" s="584" t="str">
        <f ca="1">IFERROR(__xludf.DUMMYFUNCTION("""COMPUTED_VALUE"""),"Dị_D&lt;54")</f>
        <v>Dị_D&lt;54</v>
      </c>
      <c r="O181" s="583"/>
      <c r="P181" s="584"/>
    </row>
    <row r="182" spans="1:16" ht="15.75">
      <c r="A182" s="587" t="str">
        <f ca="1">IFERROR(__xludf.DUMMYFUNCTION("""COMPUTED_VALUE"""),"Toàn Phát - Việt Nam")</f>
        <v>Toàn Phát - Việt Nam</v>
      </c>
      <c r="B182" s="587" t="str">
        <f ca="1">IFERROR(__xludf.DUMMYFUNCTION("""COMPUTED_VALUE"""),"ĐTPCUONDI")</f>
        <v>ĐTPCUONDI</v>
      </c>
      <c r="C182" s="587" t="str">
        <f ca="1">IFERROR(__xludf.DUMMYFUNCTION("""COMPUTED_VALUE"""),"DOC2500150")</f>
        <v>DOC2500150</v>
      </c>
      <c r="D182" s="588" t="str">
        <f ca="1">IFERROR(__xludf.DUMMYFUNCTION("""COMPUTED_VALUE"""),"Đồng ống cuộn 25.00x1.50")</f>
        <v>Đồng ống cuộn 25.00x1.50</v>
      </c>
      <c r="E182" s="589">
        <f ca="1">IFERROR(__xludf.DUMMYFUNCTION("""COMPUTED_VALUE"""),0.1)</f>
        <v>0.1</v>
      </c>
      <c r="F182" s="590" t="str">
        <f ca="1">IFERROR(__xludf.DUMMYFUNCTION("""COMPUTED_VALUE"""),"Cuộn")</f>
        <v>Cuộn</v>
      </c>
      <c r="G182" s="590" t="str">
        <f ca="1">IFERROR(__xludf.DUMMYFUNCTION("""COMPUTED_VALUE"""),"Cuộn 15m")</f>
        <v>Cuộn 15m</v>
      </c>
      <c r="H182" s="588"/>
      <c r="I182" s="591">
        <f ca="1">IFERROR(__xludf.DUMMYFUNCTION("""COMPUTED_VALUE"""),15.3231749999999)</f>
        <v>15.3231749999999</v>
      </c>
      <c r="J182" s="592" t="str">
        <f ca="1">IFERROR(__xludf.DUMMYFUNCTION("""COMPUTED_VALUE""")," 25.00 ")</f>
        <v xml:space="preserve"> 25.00 </v>
      </c>
      <c r="K182" s="590" t="str">
        <f ca="1">IFERROR(__xludf.DUMMYFUNCTION("""COMPUTED_VALUE"""),"1.50")</f>
        <v>1.50</v>
      </c>
      <c r="L182" s="590">
        <f ca="1">IFERROR(__xludf.DUMMYFUNCTION("""COMPUTED_VALUE"""),15)</f>
        <v>15</v>
      </c>
      <c r="M182" s="590"/>
      <c r="N182" s="590" t="str">
        <f ca="1">IFERROR(__xludf.DUMMYFUNCTION("""COMPUTED_VALUE"""),"Dị_D&lt;54")</f>
        <v>Dị_D&lt;54</v>
      </c>
      <c r="O182" s="589"/>
      <c r="P182" s="590"/>
    </row>
    <row r="183" spans="1:16" ht="15.75">
      <c r="A183" s="581" t="str">
        <f ca="1">IFERROR(__xludf.DUMMYFUNCTION("""COMPUTED_VALUE"""),"Toàn Phát - Việt Nam")</f>
        <v>Toàn Phát - Việt Nam</v>
      </c>
      <c r="B183" s="581" t="str">
        <f ca="1">IFERROR(__xludf.DUMMYFUNCTION("""COMPUTED_VALUE"""),"ĐTPCUONDI")</f>
        <v>ĐTPCUONDI</v>
      </c>
      <c r="C183" s="581" t="str">
        <f ca="1">IFERROR(__xludf.DUMMYFUNCTION("""COMPUTED_VALUE"""),"DOC254080")</f>
        <v>DOC254080</v>
      </c>
      <c r="D183" s="582" t="str">
        <f ca="1">IFERROR(__xludf.DUMMYFUNCTION("""COMPUTED_VALUE"""),"Đồng ống PC 25.4x0.80")</f>
        <v>Đồng ống PC 25.4x0.80</v>
      </c>
      <c r="E183" s="583">
        <f ca="1">IFERROR(__xludf.DUMMYFUNCTION("""COMPUTED_VALUE"""),0.1)</f>
        <v>0.1</v>
      </c>
      <c r="F183" s="584" t="str">
        <f ca="1">IFERROR(__xludf.DUMMYFUNCTION("""COMPUTED_VALUE"""),"Cuộn")</f>
        <v>Cuộn</v>
      </c>
      <c r="G183" s="584" t="str">
        <f ca="1">IFERROR(__xludf.DUMMYFUNCTION("""COMPUTED_VALUE"""),"Cuộn 15m")</f>
        <v>Cuộn 15m</v>
      </c>
      <c r="H183" s="582" t="str">
        <f ca="1">IFERROR(__xludf.DUMMYFUNCTION("""COMPUTED_VALUE"""),"15")</f>
        <v>15</v>
      </c>
      <c r="I183" s="585">
        <f ca="1">IFERROR(__xludf.DUMMYFUNCTION("""COMPUTED_VALUE"""),8.55489599999999)</f>
        <v>8.5548959999999905</v>
      </c>
      <c r="J183" s="586" t="str">
        <f ca="1">IFERROR(__xludf.DUMMYFUNCTION("""COMPUTED_VALUE""")," 25.40 ")</f>
        <v xml:space="preserve"> 25.40 </v>
      </c>
      <c r="K183" s="584" t="str">
        <f ca="1">IFERROR(__xludf.DUMMYFUNCTION("""COMPUTED_VALUE"""),"0.80")</f>
        <v>0.80</v>
      </c>
      <c r="L183" s="584">
        <f ca="1">IFERROR(__xludf.DUMMYFUNCTION("""COMPUTED_VALUE"""),15)</f>
        <v>15</v>
      </c>
      <c r="M183" s="584"/>
      <c r="N183" s="584" t="str">
        <f ca="1">IFERROR(__xludf.DUMMYFUNCTION("""COMPUTED_VALUE"""),"Dị_D&lt;54")</f>
        <v>Dị_D&lt;54</v>
      </c>
      <c r="O183" s="583"/>
      <c r="P183" s="584"/>
    </row>
    <row r="184" spans="1:16" ht="15.75">
      <c r="A184" s="587" t="str">
        <f ca="1">IFERROR(__xludf.DUMMYFUNCTION("""COMPUTED_VALUE"""),"Toàn Phát - Việt Nam")</f>
        <v>Toàn Phát - Việt Nam</v>
      </c>
      <c r="B184" s="587" t="str">
        <f ca="1">IFERROR(__xludf.DUMMYFUNCTION("""COMPUTED_VALUE"""),"ĐTPCUONDI")</f>
        <v>ĐTPCUONDI</v>
      </c>
      <c r="C184" s="587" t="str">
        <f ca="1">IFERROR(__xludf.DUMMYFUNCTION("""COMPUTED_VALUE"""),"DOC254081")</f>
        <v>DOC254081</v>
      </c>
      <c r="D184" s="588" t="str">
        <f ca="1">IFERROR(__xludf.DUMMYFUNCTION("""COMPUTED_VALUE"""),"Đồng ống PC 25.4x0.81")</f>
        <v>Đồng ống PC 25.4x0.81</v>
      </c>
      <c r="E184" s="589">
        <f ca="1">IFERROR(__xludf.DUMMYFUNCTION("""COMPUTED_VALUE"""),0.1)</f>
        <v>0.1</v>
      </c>
      <c r="F184" s="590" t="str">
        <f ca="1">IFERROR(__xludf.DUMMYFUNCTION("""COMPUTED_VALUE"""),"Cuộn")</f>
        <v>Cuộn</v>
      </c>
      <c r="G184" s="590" t="str">
        <f ca="1">IFERROR(__xludf.DUMMYFUNCTION("""COMPUTED_VALUE"""),"Cuộn 15m")</f>
        <v>Cuộn 15m</v>
      </c>
      <c r="H184" s="588" t="str">
        <f ca="1">IFERROR(__xludf.DUMMYFUNCTION("""COMPUTED_VALUE"""),"15")</f>
        <v>15</v>
      </c>
      <c r="I184" s="591">
        <f ca="1">IFERROR(__xludf.DUMMYFUNCTION("""COMPUTED_VALUE"""),8.65831113)</f>
        <v>8.6583111299999995</v>
      </c>
      <c r="J184" s="592" t="str">
        <f ca="1">IFERROR(__xludf.DUMMYFUNCTION("""COMPUTED_VALUE""")," 25.40 ")</f>
        <v xml:space="preserve"> 25.40 </v>
      </c>
      <c r="K184" s="590" t="str">
        <f ca="1">IFERROR(__xludf.DUMMYFUNCTION("""COMPUTED_VALUE"""),"0.81")</f>
        <v>0.81</v>
      </c>
      <c r="L184" s="590">
        <f ca="1">IFERROR(__xludf.DUMMYFUNCTION("""COMPUTED_VALUE"""),15)</f>
        <v>15</v>
      </c>
      <c r="M184" s="590"/>
      <c r="N184" s="590" t="str">
        <f ca="1">IFERROR(__xludf.DUMMYFUNCTION("""COMPUTED_VALUE"""),"Dị_D&lt;54")</f>
        <v>Dị_D&lt;54</v>
      </c>
      <c r="O184" s="589"/>
      <c r="P184" s="590"/>
    </row>
    <row r="185" spans="1:16" ht="15.75">
      <c r="A185" s="581" t="str">
        <f ca="1">IFERROR(__xludf.DUMMYFUNCTION("""COMPUTED_VALUE"""),"Toàn Phát - Việt Nam")</f>
        <v>Toàn Phát - Việt Nam</v>
      </c>
      <c r="B185" s="581" t="str">
        <f ca="1">IFERROR(__xludf.DUMMYFUNCTION("""COMPUTED_VALUE"""),"ĐTPCUONDI")</f>
        <v>ĐTPCUONDI</v>
      </c>
      <c r="C185" s="581" t="str">
        <f ca="1">IFERROR(__xludf.DUMMYFUNCTION("""COMPUTED_VALUE"""),"DOC254100")</f>
        <v>DOC254100</v>
      </c>
      <c r="D185" s="582" t="str">
        <f ca="1">IFERROR(__xludf.DUMMYFUNCTION("""COMPUTED_VALUE"""),"Đồng ống PC 25.4x1.00")</f>
        <v>Đồng ống PC 25.4x1.00</v>
      </c>
      <c r="E185" s="583">
        <f ca="1">IFERROR(__xludf.DUMMYFUNCTION("""COMPUTED_VALUE"""),0.1)</f>
        <v>0.1</v>
      </c>
      <c r="F185" s="584" t="str">
        <f ca="1">IFERROR(__xludf.DUMMYFUNCTION("""COMPUTED_VALUE"""),"Cuộn")</f>
        <v>Cuộn</v>
      </c>
      <c r="G185" s="584" t="str">
        <f ca="1">IFERROR(__xludf.DUMMYFUNCTION("""COMPUTED_VALUE"""),"Cuộn 15m")</f>
        <v>Cuộn 15m</v>
      </c>
      <c r="H185" s="582" t="str">
        <f ca="1">IFERROR(__xludf.DUMMYFUNCTION("""COMPUTED_VALUE"""),"15")</f>
        <v>15</v>
      </c>
      <c r="I185" s="585">
        <f ca="1">IFERROR(__xludf.DUMMYFUNCTION("""COMPUTED_VALUE"""),10.60668)</f>
        <v>10.606680000000001</v>
      </c>
      <c r="J185" s="586" t="str">
        <f ca="1">IFERROR(__xludf.DUMMYFUNCTION("""COMPUTED_VALUE""")," 25.40 ")</f>
        <v xml:space="preserve"> 25.40 </v>
      </c>
      <c r="K185" s="584" t="str">
        <f ca="1">IFERROR(__xludf.DUMMYFUNCTION("""COMPUTED_VALUE"""),"1.00")</f>
        <v>1.00</v>
      </c>
      <c r="L185" s="584">
        <f ca="1">IFERROR(__xludf.DUMMYFUNCTION("""COMPUTED_VALUE"""),15)</f>
        <v>15</v>
      </c>
      <c r="M185" s="584"/>
      <c r="N185" s="584" t="str">
        <f ca="1">IFERROR(__xludf.DUMMYFUNCTION("""COMPUTED_VALUE"""),"Dị_D&lt;54")</f>
        <v>Dị_D&lt;54</v>
      </c>
      <c r="O185" s="583"/>
      <c r="P185" s="584"/>
    </row>
    <row r="186" spans="1:16" ht="15.75">
      <c r="A186" s="587" t="str">
        <f ca="1">IFERROR(__xludf.DUMMYFUNCTION("""COMPUTED_VALUE"""),"Toàn Phát - Việt Nam")</f>
        <v>Toàn Phát - Việt Nam</v>
      </c>
      <c r="B186" s="587" t="str">
        <f ca="1">IFERROR(__xludf.DUMMYFUNCTION("""COMPUTED_VALUE"""),"ĐTPCUONDI")</f>
        <v>ĐTPCUONDI</v>
      </c>
      <c r="C186" s="587" t="str">
        <f ca="1">IFERROR(__xludf.DUMMYFUNCTION("""COMPUTED_VALUE"""),"DOC2600100")</f>
        <v>DOC2600100</v>
      </c>
      <c r="D186" s="588" t="str">
        <f ca="1">IFERROR(__xludf.DUMMYFUNCTION("""COMPUTED_VALUE"""),"Đồng ống PC 26.00x1.00")</f>
        <v>Đồng ống PC 26.00x1.00</v>
      </c>
      <c r="E186" s="589">
        <f ca="1">IFERROR(__xludf.DUMMYFUNCTION("""COMPUTED_VALUE"""),0.1)</f>
        <v>0.1</v>
      </c>
      <c r="F186" s="590" t="str">
        <f ca="1">IFERROR(__xludf.DUMMYFUNCTION("""COMPUTED_VALUE"""),"Cuộn")</f>
        <v>Cuộn</v>
      </c>
      <c r="G186" s="590" t="str">
        <f ca="1">IFERROR(__xludf.DUMMYFUNCTION("""COMPUTED_VALUE"""),"Cuộn 15m")</f>
        <v>Cuộn 15m</v>
      </c>
      <c r="H186" s="588"/>
      <c r="I186" s="591">
        <f ca="1">IFERROR(__xludf.DUMMYFUNCTION("""COMPUTED_VALUE"""),10.8675)</f>
        <v>10.8675</v>
      </c>
      <c r="J186" s="592" t="str">
        <f ca="1">IFERROR(__xludf.DUMMYFUNCTION("""COMPUTED_VALUE""")," 26.00 ")</f>
        <v xml:space="preserve"> 26.00 </v>
      </c>
      <c r="K186" s="590" t="str">
        <f ca="1">IFERROR(__xludf.DUMMYFUNCTION("""COMPUTED_VALUE"""),"1.00")</f>
        <v>1.00</v>
      </c>
      <c r="L186" s="590">
        <f ca="1">IFERROR(__xludf.DUMMYFUNCTION("""COMPUTED_VALUE"""),15)</f>
        <v>15</v>
      </c>
      <c r="M186" s="590"/>
      <c r="N186" s="590" t="str">
        <f ca="1">IFERROR(__xludf.DUMMYFUNCTION("""COMPUTED_VALUE"""),"Dị_D&lt;54")</f>
        <v>Dị_D&lt;54</v>
      </c>
      <c r="O186" s="589"/>
      <c r="P186" s="590"/>
    </row>
    <row r="187" spans="1:16" ht="15.75">
      <c r="A187" s="581" t="str">
        <f ca="1">IFERROR(__xludf.DUMMYFUNCTION("""COMPUTED_VALUE"""),"Toàn Phát - Việt Nam")</f>
        <v>Toàn Phát - Việt Nam</v>
      </c>
      <c r="B187" s="581" t="str">
        <f ca="1">IFERROR(__xludf.DUMMYFUNCTION("""COMPUTED_VALUE"""),"ĐTPCUONDI")</f>
        <v>ĐTPCUONDI</v>
      </c>
      <c r="C187" s="581" t="str">
        <f ca="1">IFERROR(__xludf.DUMMYFUNCTION("""COMPUTED_VALUE"""),"DOC2700091")</f>
        <v>DOC2700091</v>
      </c>
      <c r="D187" s="582" t="str">
        <f ca="1">IFERROR(__xludf.DUMMYFUNCTION("""COMPUTED_VALUE"""),"Đồng ống PC 27.00x0.91")</f>
        <v>Đồng ống PC 27.00x0.91</v>
      </c>
      <c r="E187" s="583">
        <f ca="1">IFERROR(__xludf.DUMMYFUNCTION("""COMPUTED_VALUE"""),0.1)</f>
        <v>0.1</v>
      </c>
      <c r="F187" s="584" t="str">
        <f ca="1">IFERROR(__xludf.DUMMYFUNCTION("""COMPUTED_VALUE"""),"Cuộn")</f>
        <v>Cuộn</v>
      </c>
      <c r="G187" s="584" t="str">
        <f ca="1">IFERROR(__xludf.DUMMYFUNCTION("""COMPUTED_VALUE"""),"Cuộn 15m")</f>
        <v>Cuộn 15m</v>
      </c>
      <c r="H187" s="582"/>
      <c r="I187" s="585">
        <f ca="1">IFERROR(__xludf.DUMMYFUNCTION("""COMPUTED_VALUE"""),10.3206039299999)</f>
        <v>10.3206039299999</v>
      </c>
      <c r="J187" s="586" t="str">
        <f ca="1">IFERROR(__xludf.DUMMYFUNCTION("""COMPUTED_VALUE""")," 27.00 ")</f>
        <v xml:space="preserve"> 27.00 </v>
      </c>
      <c r="K187" s="584" t="str">
        <f ca="1">IFERROR(__xludf.DUMMYFUNCTION("""COMPUTED_VALUE"""),"0.91")</f>
        <v>0.91</v>
      </c>
      <c r="L187" s="584">
        <f ca="1">IFERROR(__xludf.DUMMYFUNCTION("""COMPUTED_VALUE"""),15)</f>
        <v>15</v>
      </c>
      <c r="M187" s="584"/>
      <c r="N187" s="584" t="str">
        <f ca="1">IFERROR(__xludf.DUMMYFUNCTION("""COMPUTED_VALUE"""),"Dị_D&lt;54")</f>
        <v>Dị_D&lt;54</v>
      </c>
      <c r="O187" s="583"/>
      <c r="P187" s="584"/>
    </row>
    <row r="188" spans="1:16" ht="15.75">
      <c r="A188" s="587" t="str">
        <f ca="1">IFERROR(__xludf.DUMMYFUNCTION("""COMPUTED_VALUE"""),"Toàn Phát - Việt Nam")</f>
        <v>Toàn Phát - Việt Nam</v>
      </c>
      <c r="B188" s="587" t="str">
        <f ca="1">IFERROR(__xludf.DUMMYFUNCTION("""COMPUTED_VALUE"""),"ĐTPCUONDI")</f>
        <v>ĐTPCUONDI</v>
      </c>
      <c r="C188" s="587" t="str">
        <f ca="1">IFERROR(__xludf.DUMMYFUNCTION("""COMPUTED_VALUE"""),"DOC2700100")</f>
        <v>DOC2700100</v>
      </c>
      <c r="D188" s="588" t="str">
        <f ca="1">IFERROR(__xludf.DUMMYFUNCTION("""COMPUTED_VALUE"""),"Đồng ống PC 27.00x1.00")</f>
        <v>Đồng ống PC 27.00x1.00</v>
      </c>
      <c r="E188" s="589">
        <f ca="1">IFERROR(__xludf.DUMMYFUNCTION("""COMPUTED_VALUE"""),0.1)</f>
        <v>0.1</v>
      </c>
      <c r="F188" s="590" t="str">
        <f ca="1">IFERROR(__xludf.DUMMYFUNCTION("""COMPUTED_VALUE"""),"Cuộn")</f>
        <v>Cuộn</v>
      </c>
      <c r="G188" s="590" t="str">
        <f ca="1">IFERROR(__xludf.DUMMYFUNCTION("""COMPUTED_VALUE"""),"Cuộn 15m")</f>
        <v>Cuộn 15m</v>
      </c>
      <c r="H188" s="588"/>
      <c r="I188" s="591">
        <f ca="1">IFERROR(__xludf.DUMMYFUNCTION("""COMPUTED_VALUE"""),11.3022)</f>
        <v>11.302199999999999</v>
      </c>
      <c r="J188" s="592" t="str">
        <f ca="1">IFERROR(__xludf.DUMMYFUNCTION("""COMPUTED_VALUE""")," 27.00 ")</f>
        <v xml:space="preserve"> 27.00 </v>
      </c>
      <c r="K188" s="590" t="str">
        <f ca="1">IFERROR(__xludf.DUMMYFUNCTION("""COMPUTED_VALUE"""),"1.00")</f>
        <v>1.00</v>
      </c>
      <c r="L188" s="590">
        <f ca="1">IFERROR(__xludf.DUMMYFUNCTION("""COMPUTED_VALUE"""),15)</f>
        <v>15</v>
      </c>
      <c r="M188" s="590"/>
      <c r="N188" s="590" t="str">
        <f ca="1">IFERROR(__xludf.DUMMYFUNCTION("""COMPUTED_VALUE"""),"Dị_D&lt;54")</f>
        <v>Dị_D&lt;54</v>
      </c>
      <c r="O188" s="589"/>
      <c r="P188" s="590"/>
    </row>
    <row r="189" spans="1:16" ht="15.75">
      <c r="A189" s="581" t="str">
        <f ca="1">IFERROR(__xludf.DUMMYFUNCTION("""COMPUTED_VALUE"""),"Toàn Phát - Việt Nam")</f>
        <v>Toàn Phát - Việt Nam</v>
      </c>
      <c r="B189" s="581" t="str">
        <f ca="1">IFERROR(__xludf.DUMMYFUNCTION("""COMPUTED_VALUE"""),"ĐTPCUONDI")</f>
        <v>ĐTPCUONDI</v>
      </c>
      <c r="C189" s="581" t="str">
        <f ca="1">IFERROR(__xludf.DUMMYFUNCTION("""COMPUTED_VALUE"""),"DOC2800150")</f>
        <v>DOC2800150</v>
      </c>
      <c r="D189" s="582" t="str">
        <f ca="1">IFERROR(__xludf.DUMMYFUNCTION("""COMPUTED_VALUE"""),"Đồng ống PC 28.00x1.50")</f>
        <v>Đồng ống PC 28.00x1.50</v>
      </c>
      <c r="E189" s="583">
        <f ca="1">IFERROR(__xludf.DUMMYFUNCTION("""COMPUTED_VALUE"""),0.1)</f>
        <v>0.1</v>
      </c>
      <c r="F189" s="584" t="str">
        <f ca="1">IFERROR(__xludf.DUMMYFUNCTION("""COMPUTED_VALUE"""),"Cuộn")</f>
        <v>Cuộn</v>
      </c>
      <c r="G189" s="584" t="str">
        <f ca="1">IFERROR(__xludf.DUMMYFUNCTION("""COMPUTED_VALUE"""),"Cuộn 15m")</f>
        <v>Cuộn 15m</v>
      </c>
      <c r="H189" s="582"/>
      <c r="I189" s="585">
        <f ca="1">IFERROR(__xludf.DUMMYFUNCTION("""COMPUTED_VALUE"""),17.279325)</f>
        <v>17.279325</v>
      </c>
      <c r="J189" s="586" t="str">
        <f ca="1">IFERROR(__xludf.DUMMYFUNCTION("""COMPUTED_VALUE""")," 28.00 ")</f>
        <v xml:space="preserve"> 28.00 </v>
      </c>
      <c r="K189" s="584" t="str">
        <f ca="1">IFERROR(__xludf.DUMMYFUNCTION("""COMPUTED_VALUE"""),"1.50")</f>
        <v>1.50</v>
      </c>
      <c r="L189" s="584">
        <f ca="1">IFERROR(__xludf.DUMMYFUNCTION("""COMPUTED_VALUE"""),15)</f>
        <v>15</v>
      </c>
      <c r="M189" s="584"/>
      <c r="N189" s="584" t="str">
        <f ca="1">IFERROR(__xludf.DUMMYFUNCTION("""COMPUTED_VALUE"""),"Dị_D&lt;54")</f>
        <v>Dị_D&lt;54</v>
      </c>
      <c r="O189" s="583"/>
      <c r="P189" s="584"/>
    </row>
    <row r="190" spans="1:16" ht="15.75">
      <c r="A190" s="587" t="str">
        <f ca="1">IFERROR(__xludf.DUMMYFUNCTION("""COMPUTED_VALUE"""),"Toàn Phát - Việt Nam")</f>
        <v>Toàn Phát - Việt Nam</v>
      </c>
      <c r="B190" s="587" t="str">
        <f ca="1">IFERROR(__xludf.DUMMYFUNCTION("""COMPUTED_VALUE"""),"ĐTPCUONDI")</f>
        <v>ĐTPCUONDI</v>
      </c>
      <c r="C190" s="587" t="str">
        <f ca="1">IFERROR(__xludf.DUMMYFUNCTION("""COMPUTED_VALUE"""),"DOC2858080")</f>
        <v>DOC2858080</v>
      </c>
      <c r="D190" s="588" t="str">
        <f ca="1">IFERROR(__xludf.DUMMYFUNCTION("""COMPUTED_VALUE"""),"Đồng ống PC 28.58x0.80")</f>
        <v>Đồng ống PC 28.58x0.80</v>
      </c>
      <c r="E190" s="589">
        <f ca="1">IFERROR(__xludf.DUMMYFUNCTION("""COMPUTED_VALUE"""),0.1)</f>
        <v>0.1</v>
      </c>
      <c r="F190" s="590" t="str">
        <f ca="1">IFERROR(__xludf.DUMMYFUNCTION("""COMPUTED_VALUE"""),"Cuộn")</f>
        <v>Cuộn</v>
      </c>
      <c r="G190" s="590" t="str">
        <f ca="1">IFERROR(__xludf.DUMMYFUNCTION("""COMPUTED_VALUE"""),"Cuộn 15m")</f>
        <v>Cuộn 15m</v>
      </c>
      <c r="H190" s="588" t="str">
        <f ca="1">IFERROR(__xludf.DUMMYFUNCTION("""COMPUTED_VALUE"""),"12")</f>
        <v>12</v>
      </c>
      <c r="I190" s="591">
        <f ca="1">IFERROR(__xludf.DUMMYFUNCTION("""COMPUTED_VALUE"""),9.6607728)</f>
        <v>9.6607728000000002</v>
      </c>
      <c r="J190" s="592" t="str">
        <f ca="1">IFERROR(__xludf.DUMMYFUNCTION("""COMPUTED_VALUE""")," 28.58 ")</f>
        <v xml:space="preserve"> 28.58 </v>
      </c>
      <c r="K190" s="590" t="str">
        <f ca="1">IFERROR(__xludf.DUMMYFUNCTION("""COMPUTED_VALUE"""),"0.80")</f>
        <v>0.80</v>
      </c>
      <c r="L190" s="590">
        <f ca="1">IFERROR(__xludf.DUMMYFUNCTION("""COMPUTED_VALUE"""),15)</f>
        <v>15</v>
      </c>
      <c r="M190" s="590"/>
      <c r="N190" s="590" t="str">
        <f ca="1">IFERROR(__xludf.DUMMYFUNCTION("""COMPUTED_VALUE"""),"Dị_D&lt;54")</f>
        <v>Dị_D&lt;54</v>
      </c>
      <c r="O190" s="589"/>
      <c r="P190" s="590"/>
    </row>
    <row r="191" spans="1:16" ht="15.75">
      <c r="A191" s="581" t="str">
        <f ca="1">IFERROR(__xludf.DUMMYFUNCTION("""COMPUTED_VALUE"""),"Toàn Phát - Việt Nam")</f>
        <v>Toàn Phát - Việt Nam</v>
      </c>
      <c r="B191" s="581" t="str">
        <f ca="1">IFERROR(__xludf.DUMMYFUNCTION("""COMPUTED_VALUE"""),"ĐTPCUONDI")</f>
        <v>ĐTPCUONDI</v>
      </c>
      <c r="C191" s="581" t="str">
        <f ca="1">IFERROR(__xludf.DUMMYFUNCTION("""COMPUTED_VALUE"""),"DOC2858081")</f>
        <v>DOC2858081</v>
      </c>
      <c r="D191" s="582" t="str">
        <f ca="1">IFERROR(__xludf.DUMMYFUNCTION("""COMPUTED_VALUE"""),"Đồng ống PC 28.58x0.81")</f>
        <v>Đồng ống PC 28.58x0.81</v>
      </c>
      <c r="E191" s="583">
        <f ca="1">IFERROR(__xludf.DUMMYFUNCTION("""COMPUTED_VALUE"""),0.1)</f>
        <v>0.1</v>
      </c>
      <c r="F191" s="584" t="str">
        <f ca="1">IFERROR(__xludf.DUMMYFUNCTION("""COMPUTED_VALUE"""),"Cuộn")</f>
        <v>Cuộn</v>
      </c>
      <c r="G191" s="584" t="str">
        <f ca="1">IFERROR(__xludf.DUMMYFUNCTION("""COMPUTED_VALUE"""),"Cuộn 15m")</f>
        <v>Cuộn 15m</v>
      </c>
      <c r="H191" s="582" t="str">
        <f ca="1">IFERROR(__xludf.DUMMYFUNCTION("""COMPUTED_VALUE"""),"12")</f>
        <v>12</v>
      </c>
      <c r="I191" s="585">
        <f ca="1">IFERROR(__xludf.DUMMYFUNCTION("""COMPUTED_VALUE"""),9.77801139)</f>
        <v>9.7780113899999996</v>
      </c>
      <c r="J191" s="586" t="str">
        <f ca="1">IFERROR(__xludf.DUMMYFUNCTION("""COMPUTED_VALUE""")," 28.58 ")</f>
        <v xml:space="preserve"> 28.58 </v>
      </c>
      <c r="K191" s="584" t="str">
        <f ca="1">IFERROR(__xludf.DUMMYFUNCTION("""COMPUTED_VALUE"""),"0.81")</f>
        <v>0.81</v>
      </c>
      <c r="L191" s="584">
        <f ca="1">IFERROR(__xludf.DUMMYFUNCTION("""COMPUTED_VALUE"""),15)</f>
        <v>15</v>
      </c>
      <c r="M191" s="584"/>
      <c r="N191" s="584" t="str">
        <f ca="1">IFERROR(__xludf.DUMMYFUNCTION("""COMPUTED_VALUE"""),"Dị_D&lt;54")</f>
        <v>Dị_D&lt;54</v>
      </c>
      <c r="O191" s="583"/>
      <c r="P191" s="584"/>
    </row>
    <row r="192" spans="1:16" ht="15.75">
      <c r="A192" s="587" t="str">
        <f ca="1">IFERROR(__xludf.DUMMYFUNCTION("""COMPUTED_VALUE"""),"Toàn Phát - Việt Nam")</f>
        <v>Toàn Phát - Việt Nam</v>
      </c>
      <c r="B192" s="587" t="str">
        <f ca="1">IFERROR(__xludf.DUMMYFUNCTION("""COMPUTED_VALUE"""),"ĐTPCAYDI")</f>
        <v>ĐTPCAYDI</v>
      </c>
      <c r="C192" s="587" t="str">
        <f ca="1">IFERROR(__xludf.DUMMYFUNCTION("""COMPUTED_VALUE"""),"DOT047004030")</f>
        <v>DOT047004030</v>
      </c>
      <c r="D192" s="588" t="str">
        <f ca="1">IFERROR(__xludf.DUMMYFUNCTION("""COMPUTED_VALUE"""),"Đồng ống thẳng 04.70x0.40x3.0")</f>
        <v>Đồng ống thẳng 04.70x0.40x3.0</v>
      </c>
      <c r="E192" s="589">
        <f ca="1">IFERROR(__xludf.DUMMYFUNCTION("""COMPUTED_VALUE"""),0.1)</f>
        <v>0.1</v>
      </c>
      <c r="F192" s="590" t="str">
        <f ca="1">IFERROR(__xludf.DUMMYFUNCTION("""COMPUTED_VALUE"""),"Cây")</f>
        <v>Cây</v>
      </c>
      <c r="G192" s="590" t="str">
        <f ca="1">IFERROR(__xludf.DUMMYFUNCTION("""COMPUTED_VALUE"""),"Cây 3m")</f>
        <v>Cây 3m</v>
      </c>
      <c r="H192" s="588"/>
      <c r="I192" s="591">
        <f ca="1">IFERROR(__xludf.DUMMYFUNCTION("""COMPUTED_VALUE"""),0.1495368)</f>
        <v>0.1495368</v>
      </c>
      <c r="J192" s="592" t="str">
        <f ca="1">IFERROR(__xludf.DUMMYFUNCTION("""COMPUTED_VALUE""")," 04.70 ")</f>
        <v xml:space="preserve"> 04.70 </v>
      </c>
      <c r="K192" s="590" t="str">
        <f ca="1">IFERROR(__xludf.DUMMYFUNCTION("""COMPUTED_VALUE"""),"0.40")</f>
        <v>0.40</v>
      </c>
      <c r="L192" s="590">
        <f ca="1">IFERROR(__xludf.DUMMYFUNCTION("""COMPUTED_VALUE"""),3)</f>
        <v>3</v>
      </c>
      <c r="M192" s="590"/>
      <c r="N192" s="590" t="str">
        <f ca="1">IFERROR(__xludf.DUMMYFUNCTION("""COMPUTED_VALUE"""),"Dị_D&lt;54")</f>
        <v>Dị_D&lt;54</v>
      </c>
      <c r="O192" s="589"/>
      <c r="P192" s="590"/>
    </row>
    <row r="193" spans="1:16" ht="15.75">
      <c r="A193" s="581" t="str">
        <f ca="1">IFERROR(__xludf.DUMMYFUNCTION("""COMPUTED_VALUE"""),"Toàn Phát - Việt Nam")</f>
        <v>Toàn Phát - Việt Nam</v>
      </c>
      <c r="B193" s="581" t="str">
        <f ca="1">IFERROR(__xludf.DUMMYFUNCTION("""COMPUTED_VALUE"""),"ĐTPCAYDI")</f>
        <v>ĐTPCAYDI</v>
      </c>
      <c r="C193" s="581" t="str">
        <f ca="1">IFERROR(__xludf.DUMMYFUNCTION("""COMPUTED_VALUE"""),"DOT047004530")</f>
        <v>DOT047004530</v>
      </c>
      <c r="D193" s="582" t="str">
        <f ca="1">IFERROR(__xludf.DUMMYFUNCTION("""COMPUTED_VALUE"""),"Đồng ống thẳng 04.70x0.45x3.0")</f>
        <v>Đồng ống thẳng 04.70x0.45x3.0</v>
      </c>
      <c r="E193" s="583">
        <f ca="1">IFERROR(__xludf.DUMMYFUNCTION("""COMPUTED_VALUE"""),0.1)</f>
        <v>0.1</v>
      </c>
      <c r="F193" s="584" t="str">
        <f ca="1">IFERROR(__xludf.DUMMYFUNCTION("""COMPUTED_VALUE"""),"Cây")</f>
        <v>Cây</v>
      </c>
      <c r="G193" s="584" t="str">
        <f ca="1">IFERROR(__xludf.DUMMYFUNCTION("""COMPUTED_VALUE"""),"Cây 3m")</f>
        <v>Cây 3m</v>
      </c>
      <c r="H193" s="582"/>
      <c r="I193" s="585">
        <f ca="1">IFERROR(__xludf.DUMMYFUNCTION("""COMPUTED_VALUE"""),0.16627275)</f>
        <v>0.16627275</v>
      </c>
      <c r="J193" s="586" t="str">
        <f ca="1">IFERROR(__xludf.DUMMYFUNCTION("""COMPUTED_VALUE""")," 04.70 ")</f>
        <v xml:space="preserve"> 04.70 </v>
      </c>
      <c r="K193" s="584" t="str">
        <f ca="1">IFERROR(__xludf.DUMMYFUNCTION("""COMPUTED_VALUE"""),"0.45")</f>
        <v>0.45</v>
      </c>
      <c r="L193" s="584">
        <f ca="1">IFERROR(__xludf.DUMMYFUNCTION("""COMPUTED_VALUE"""),3)</f>
        <v>3</v>
      </c>
      <c r="M193" s="584"/>
      <c r="N193" s="584" t="str">
        <f ca="1">IFERROR(__xludf.DUMMYFUNCTION("""COMPUTED_VALUE"""),"Dị_D&lt;54")</f>
        <v>Dị_D&lt;54</v>
      </c>
      <c r="O193" s="583"/>
      <c r="P193" s="584"/>
    </row>
    <row r="194" spans="1:16" ht="15.75">
      <c r="A194" s="587" t="str">
        <f ca="1">IFERROR(__xludf.DUMMYFUNCTION("""COMPUTED_VALUE"""),"Toàn Phát - Việt Nam")</f>
        <v>Toàn Phát - Việt Nam</v>
      </c>
      <c r="B194" s="587" t="str">
        <f ca="1">IFERROR(__xludf.DUMMYFUNCTION("""COMPUTED_VALUE"""),"ĐTPCAYDI")</f>
        <v>ĐTPCAYDI</v>
      </c>
      <c r="C194" s="587" t="str">
        <f ca="1">IFERROR(__xludf.DUMMYFUNCTION("""COMPUTED_VALUE"""),"DOT04700530")</f>
        <v>DOT04700530</v>
      </c>
      <c r="D194" s="588" t="str">
        <f ca="1">IFERROR(__xludf.DUMMYFUNCTION("""COMPUTED_VALUE"""),"Đồng ống thẳng 04.70x0.5x3.0")</f>
        <v>Đồng ống thẳng 04.70x0.5x3.0</v>
      </c>
      <c r="E194" s="589">
        <f ca="1">IFERROR(__xludf.DUMMYFUNCTION("""COMPUTED_VALUE"""),0.1)</f>
        <v>0.1</v>
      </c>
      <c r="F194" s="590" t="str">
        <f ca="1">IFERROR(__xludf.DUMMYFUNCTION("""COMPUTED_VALUE"""),"Cây")</f>
        <v>Cây</v>
      </c>
      <c r="G194" s="590" t="str">
        <f ca="1">IFERROR(__xludf.DUMMYFUNCTION("""COMPUTED_VALUE"""),"Cây 3m")</f>
        <v>Cây 3m</v>
      </c>
      <c r="H194" s="588"/>
      <c r="I194" s="591">
        <f ca="1">IFERROR(__xludf.DUMMYFUNCTION("""COMPUTED_VALUE"""),0.182574)</f>
        <v>0.18257399999999999</v>
      </c>
      <c r="J194" s="592" t="str">
        <f ca="1">IFERROR(__xludf.DUMMYFUNCTION("""COMPUTED_VALUE""")," 04.70 ")</f>
        <v xml:space="preserve"> 04.70 </v>
      </c>
      <c r="K194" s="590" t="str">
        <f ca="1">IFERROR(__xludf.DUMMYFUNCTION("""COMPUTED_VALUE"""),"0.50")</f>
        <v>0.50</v>
      </c>
      <c r="L194" s="590">
        <f ca="1">IFERROR(__xludf.DUMMYFUNCTION("""COMPUTED_VALUE"""),3)</f>
        <v>3</v>
      </c>
      <c r="M194" s="590"/>
      <c r="N194" s="590" t="str">
        <f ca="1">IFERROR(__xludf.DUMMYFUNCTION("""COMPUTED_VALUE"""),"Dị_D&lt;54")</f>
        <v>Dị_D&lt;54</v>
      </c>
      <c r="O194" s="589"/>
      <c r="P194" s="590"/>
    </row>
    <row r="195" spans="1:16" ht="15.75">
      <c r="A195" s="581" t="str">
        <f ca="1">IFERROR(__xludf.DUMMYFUNCTION("""COMPUTED_VALUE"""),"Toàn Phát - Việt Nam")</f>
        <v>Toàn Phát - Việt Nam</v>
      </c>
      <c r="B195" s="581" t="str">
        <f ca="1">IFERROR(__xludf.DUMMYFUNCTION("""COMPUTED_VALUE"""),"ĐTPCAYDI")</f>
        <v>ĐTPCAYDI</v>
      </c>
      <c r="C195" s="581" t="str">
        <f ca="1">IFERROR(__xludf.DUMMYFUNCTION("""COMPUTED_VALUE"""),"DOT047605030")</f>
        <v>DOT047605030</v>
      </c>
      <c r="D195" s="582" t="str">
        <f ca="1">IFERROR(__xludf.DUMMYFUNCTION("""COMPUTED_VALUE"""),"Đồng ống thẳng 4.76x0.50x3.0")</f>
        <v>Đồng ống thẳng 4.76x0.50x3.0</v>
      </c>
      <c r="E195" s="583">
        <f ca="1">IFERROR(__xludf.DUMMYFUNCTION("""COMPUTED_VALUE"""),0.1)</f>
        <v>0.1</v>
      </c>
      <c r="F195" s="584" t="str">
        <f ca="1">IFERROR(__xludf.DUMMYFUNCTION("""COMPUTED_VALUE"""),"Cây")</f>
        <v>Cây</v>
      </c>
      <c r="G195" s="584" t="str">
        <f ca="1">IFERROR(__xludf.DUMMYFUNCTION("""COMPUTED_VALUE"""),"Cây 3m")</f>
        <v>Cây 3m</v>
      </c>
      <c r="H195" s="582" t="str">
        <f ca="1">IFERROR(__xludf.DUMMYFUNCTION("""COMPUTED_VALUE"""),"15")</f>
        <v>15</v>
      </c>
      <c r="I195" s="585">
        <f ca="1">IFERROR(__xludf.DUMMYFUNCTION("""COMPUTED_VALUE"""),0.1851822)</f>
        <v>0.18518219999999999</v>
      </c>
      <c r="J195" s="586" t="str">
        <f ca="1">IFERROR(__xludf.DUMMYFUNCTION("""COMPUTED_VALUE""")," 04.76 ")</f>
        <v xml:space="preserve"> 04.76 </v>
      </c>
      <c r="K195" s="584" t="str">
        <f ca="1">IFERROR(__xludf.DUMMYFUNCTION("""COMPUTED_VALUE"""),"0.50")</f>
        <v>0.50</v>
      </c>
      <c r="L195" s="584">
        <f ca="1">IFERROR(__xludf.DUMMYFUNCTION("""COMPUTED_VALUE"""),3)</f>
        <v>3</v>
      </c>
      <c r="M195" s="584"/>
      <c r="N195" s="584" t="str">
        <f ca="1">IFERROR(__xludf.DUMMYFUNCTION("""COMPUTED_VALUE"""),"Dị_D&lt;54")</f>
        <v>Dị_D&lt;54</v>
      </c>
      <c r="O195" s="583"/>
      <c r="P195" s="584"/>
    </row>
    <row r="196" spans="1:16" ht="15.75">
      <c r="A196" s="587" t="str">
        <f ca="1">IFERROR(__xludf.DUMMYFUNCTION("""COMPUTED_VALUE"""),"Toàn Phát - Việt Nam")</f>
        <v>Toàn Phát - Việt Nam</v>
      </c>
      <c r="B196" s="587" t="str">
        <f ca="1">IFERROR(__xludf.DUMMYFUNCTION("""COMPUTED_VALUE"""),"ĐTPCAYDI")</f>
        <v>ĐTPCAYDI</v>
      </c>
      <c r="C196" s="587" t="str">
        <f ca="1">IFERROR(__xludf.DUMMYFUNCTION("""COMPUTED_VALUE"""),"DOT050005130")</f>
        <v>DOT050005130</v>
      </c>
      <c r="D196" s="588" t="str">
        <f ca="1">IFERROR(__xludf.DUMMYFUNCTION("""COMPUTED_VALUE"""),"Đồng ống thẳng 05.00x0.51x3.0")</f>
        <v>Đồng ống thẳng 05.00x0.51x3.0</v>
      </c>
      <c r="E196" s="589">
        <f ca="1">IFERROR(__xludf.DUMMYFUNCTION("""COMPUTED_VALUE"""),0.1)</f>
        <v>0.1</v>
      </c>
      <c r="F196" s="590" t="str">
        <f ca="1">IFERROR(__xludf.DUMMYFUNCTION("""COMPUTED_VALUE"""),"Cây")</f>
        <v>Cây</v>
      </c>
      <c r="G196" s="590" t="str">
        <f ca="1">IFERROR(__xludf.DUMMYFUNCTION("""COMPUTED_VALUE"""),"Cây 3m")</f>
        <v>Cây 3m</v>
      </c>
      <c r="H196" s="588"/>
      <c r="I196" s="591">
        <f ca="1">IFERROR(__xludf.DUMMYFUNCTION("""COMPUTED_VALUE"""),0.199083906)</f>
        <v>0.199083906</v>
      </c>
      <c r="J196" s="592" t="str">
        <f ca="1">IFERROR(__xludf.DUMMYFUNCTION("""COMPUTED_VALUE""")," 05.00 ")</f>
        <v xml:space="preserve"> 05.00 </v>
      </c>
      <c r="K196" s="590" t="str">
        <f ca="1">IFERROR(__xludf.DUMMYFUNCTION("""COMPUTED_VALUE"""),"0.51")</f>
        <v>0.51</v>
      </c>
      <c r="L196" s="590">
        <f ca="1">IFERROR(__xludf.DUMMYFUNCTION("""COMPUTED_VALUE"""),3)</f>
        <v>3</v>
      </c>
      <c r="M196" s="590"/>
      <c r="N196" s="590" t="str">
        <f ca="1">IFERROR(__xludf.DUMMYFUNCTION("""COMPUTED_VALUE"""),"Dị_D&lt;54")</f>
        <v>Dị_D&lt;54</v>
      </c>
      <c r="O196" s="589"/>
      <c r="P196" s="590"/>
    </row>
    <row r="197" spans="1:16" ht="15.75">
      <c r="A197" s="581" t="str">
        <f ca="1">IFERROR(__xludf.DUMMYFUNCTION("""COMPUTED_VALUE"""),"Toàn Phát - Việt Nam")</f>
        <v>Toàn Phát - Việt Nam</v>
      </c>
      <c r="B197" s="581" t="str">
        <f ca="1">IFERROR(__xludf.DUMMYFUNCTION("""COMPUTED_VALUE"""),"ĐTPCAYDI")</f>
        <v>ĐTPCAYDI</v>
      </c>
      <c r="C197" s="581" t="str">
        <f ca="1">IFERROR(__xludf.DUMMYFUNCTION("""COMPUTED_VALUE"""),"DOT050005530")</f>
        <v>DOT050005530</v>
      </c>
      <c r="D197" s="582" t="str">
        <f ca="1">IFERROR(__xludf.DUMMYFUNCTION("""COMPUTED_VALUE"""),"Đồng ống thẳng 05.00x0.55x3.0")</f>
        <v>Đồng ống thẳng 05.00x0.55x3.0</v>
      </c>
      <c r="E197" s="583">
        <f ca="1">IFERROR(__xludf.DUMMYFUNCTION("""COMPUTED_VALUE"""),0.1)</f>
        <v>0.1</v>
      </c>
      <c r="F197" s="584" t="str">
        <f ca="1">IFERROR(__xludf.DUMMYFUNCTION("""COMPUTED_VALUE"""),"Cây")</f>
        <v>Cây</v>
      </c>
      <c r="G197" s="584" t="str">
        <f ca="1">IFERROR(__xludf.DUMMYFUNCTION("""COMPUTED_VALUE"""),"Cây 3m")</f>
        <v>Cây 3m</v>
      </c>
      <c r="H197" s="582"/>
      <c r="I197" s="585">
        <f ca="1">IFERROR(__xludf.DUMMYFUNCTION("""COMPUTED_VALUE"""),0.21278565)</f>
        <v>0.21278564999999999</v>
      </c>
      <c r="J197" s="586" t="str">
        <f ca="1">IFERROR(__xludf.DUMMYFUNCTION("""COMPUTED_VALUE""")," 05.00 ")</f>
        <v xml:space="preserve"> 05.00 </v>
      </c>
      <c r="K197" s="584" t="str">
        <f ca="1">IFERROR(__xludf.DUMMYFUNCTION("""COMPUTED_VALUE"""),"0.55")</f>
        <v>0.55</v>
      </c>
      <c r="L197" s="584">
        <f ca="1">IFERROR(__xludf.DUMMYFUNCTION("""COMPUTED_VALUE"""),3)</f>
        <v>3</v>
      </c>
      <c r="M197" s="584"/>
      <c r="N197" s="584" t="str">
        <f ca="1">IFERROR(__xludf.DUMMYFUNCTION("""COMPUTED_VALUE"""),"Dị_D&lt;54")</f>
        <v>Dị_D&lt;54</v>
      </c>
      <c r="O197" s="583"/>
      <c r="P197" s="584"/>
    </row>
    <row r="198" spans="1:16" ht="15.75">
      <c r="A198" s="587" t="str">
        <f ca="1">IFERROR(__xludf.DUMMYFUNCTION("""COMPUTED_VALUE"""),"Toàn Phát - Việt Nam")</f>
        <v>Toàn Phát - Việt Nam</v>
      </c>
      <c r="B198" s="587" t="str">
        <f ca="1">IFERROR(__xludf.DUMMYFUNCTION("""COMPUTED_VALUE"""),"ĐTPCAYDI")</f>
        <v>ĐTPCAYDI</v>
      </c>
      <c r="C198" s="587" t="str">
        <f ca="1">IFERROR(__xludf.DUMMYFUNCTION("""COMPUTED_VALUE"""),"DOT050009130")</f>
        <v>DOT050009130</v>
      </c>
      <c r="D198" s="588" t="str">
        <f ca="1">IFERROR(__xludf.DUMMYFUNCTION("""COMPUTED_VALUE"""),"Đồng ống thẳng 05.00x0.91x3.0")</f>
        <v>Đồng ống thẳng 05.00x0.91x3.0</v>
      </c>
      <c r="E198" s="589">
        <f ca="1">IFERROR(__xludf.DUMMYFUNCTION("""COMPUTED_VALUE"""),0.1)</f>
        <v>0.1</v>
      </c>
      <c r="F198" s="590" t="str">
        <f ca="1">IFERROR(__xludf.DUMMYFUNCTION("""COMPUTED_VALUE"""),"Cây")</f>
        <v>Cây</v>
      </c>
      <c r="G198" s="590" t="str">
        <f ca="1">IFERROR(__xludf.DUMMYFUNCTION("""COMPUTED_VALUE"""),"Cây 3m")</f>
        <v>Cây 3m</v>
      </c>
      <c r="H198" s="588"/>
      <c r="I198" s="591">
        <f ca="1">IFERROR(__xludf.DUMMYFUNCTION("""COMPUTED_VALUE"""),0.323581986)</f>
        <v>0.32358198599999999</v>
      </c>
      <c r="J198" s="592" t="str">
        <f ca="1">IFERROR(__xludf.DUMMYFUNCTION("""COMPUTED_VALUE""")," 05.00 ")</f>
        <v xml:space="preserve"> 05.00 </v>
      </c>
      <c r="K198" s="590" t="str">
        <f ca="1">IFERROR(__xludf.DUMMYFUNCTION("""COMPUTED_VALUE"""),"0.91")</f>
        <v>0.91</v>
      </c>
      <c r="L198" s="590">
        <f ca="1">IFERROR(__xludf.DUMMYFUNCTION("""COMPUTED_VALUE"""),3)</f>
        <v>3</v>
      </c>
      <c r="M198" s="590"/>
      <c r="N198" s="590" t="str">
        <f ca="1">IFERROR(__xludf.DUMMYFUNCTION("""COMPUTED_VALUE"""),"Dị_D&lt;54")</f>
        <v>Dị_D&lt;54</v>
      </c>
      <c r="O198" s="589"/>
      <c r="P198" s="590"/>
    </row>
    <row r="199" spans="1:16" ht="15.75">
      <c r="A199" s="581" t="str">
        <f ca="1">IFERROR(__xludf.DUMMYFUNCTION("""COMPUTED_VALUE"""),"Toàn Phát - Việt Nam")</f>
        <v>Toàn Phát - Việt Nam</v>
      </c>
      <c r="B199" s="581" t="str">
        <f ca="1">IFERROR(__xludf.DUMMYFUNCTION("""COMPUTED_VALUE"""),"ĐTPCAYDI")</f>
        <v>ĐTPCAYDI</v>
      </c>
      <c r="C199" s="581" t="str">
        <f ca="1">IFERROR(__xludf.DUMMYFUNCTION("""COMPUTED_VALUE"""),"DOT055004030")</f>
        <v>DOT055004030</v>
      </c>
      <c r="D199" s="582" t="str">
        <f ca="1">IFERROR(__xludf.DUMMYFUNCTION("""COMPUTED_VALUE"""),"Đồng ống thẳng 05.50x0.40x3.0")</f>
        <v>Đồng ống thẳng 05.50x0.40x3.0</v>
      </c>
      <c r="E199" s="583">
        <f ca="1">IFERROR(__xludf.DUMMYFUNCTION("""COMPUTED_VALUE"""),0.1)</f>
        <v>0.1</v>
      </c>
      <c r="F199" s="584" t="str">
        <f ca="1">IFERROR(__xludf.DUMMYFUNCTION("""COMPUTED_VALUE"""),"Cây")</f>
        <v>Cây</v>
      </c>
      <c r="G199" s="584" t="str">
        <f ca="1">IFERROR(__xludf.DUMMYFUNCTION("""COMPUTED_VALUE"""),"Cây 3m")</f>
        <v>Cây 3m</v>
      </c>
      <c r="H199" s="582"/>
      <c r="I199" s="585">
        <f ca="1">IFERROR(__xludf.DUMMYFUNCTION("""COMPUTED_VALUE"""),0.1773576)</f>
        <v>0.1773576</v>
      </c>
      <c r="J199" s="586" t="str">
        <f ca="1">IFERROR(__xludf.DUMMYFUNCTION("""COMPUTED_VALUE""")," 05.50 ")</f>
        <v xml:space="preserve"> 05.50 </v>
      </c>
      <c r="K199" s="584" t="str">
        <f ca="1">IFERROR(__xludf.DUMMYFUNCTION("""COMPUTED_VALUE"""),"0.40")</f>
        <v>0.40</v>
      </c>
      <c r="L199" s="584">
        <f ca="1">IFERROR(__xludf.DUMMYFUNCTION("""COMPUTED_VALUE"""),3)</f>
        <v>3</v>
      </c>
      <c r="M199" s="584"/>
      <c r="N199" s="584" t="str">
        <f ca="1">IFERROR(__xludf.DUMMYFUNCTION("""COMPUTED_VALUE"""),"Dị_D&lt;54")</f>
        <v>Dị_D&lt;54</v>
      </c>
      <c r="O199" s="583"/>
      <c r="P199" s="584"/>
    </row>
    <row r="200" spans="1:16" ht="15.75">
      <c r="A200" s="587" t="str">
        <f ca="1">IFERROR(__xludf.DUMMYFUNCTION("""COMPUTED_VALUE"""),"Toàn Phát - Việt Nam")</f>
        <v>Toàn Phát - Việt Nam</v>
      </c>
      <c r="B200" s="587" t="str">
        <f ca="1">IFERROR(__xludf.DUMMYFUNCTION("""COMPUTED_VALUE"""),"ĐTPCAYDI")</f>
        <v>ĐTPCAYDI</v>
      </c>
      <c r="C200" s="587" t="str">
        <f ca="1">IFERROR(__xludf.DUMMYFUNCTION("""COMPUTED_VALUE"""),"DOT055004530")</f>
        <v>DOT055004530</v>
      </c>
      <c r="D200" s="588" t="str">
        <f ca="1">IFERROR(__xludf.DUMMYFUNCTION("""COMPUTED_VALUE"""),"Đồng ống thẳng 05.50x0.45x3.0")</f>
        <v>Đồng ống thẳng 05.50x0.45x3.0</v>
      </c>
      <c r="E200" s="589">
        <f ca="1">IFERROR(__xludf.DUMMYFUNCTION("""COMPUTED_VALUE"""),0.1)</f>
        <v>0.1</v>
      </c>
      <c r="F200" s="590" t="str">
        <f ca="1">IFERROR(__xludf.DUMMYFUNCTION("""COMPUTED_VALUE"""),"Cây")</f>
        <v>Cây</v>
      </c>
      <c r="G200" s="590" t="str">
        <f ca="1">IFERROR(__xludf.DUMMYFUNCTION("""COMPUTED_VALUE"""),"Cây 3m")</f>
        <v>Cây 3m</v>
      </c>
      <c r="H200" s="588"/>
      <c r="I200" s="591">
        <f ca="1">IFERROR(__xludf.DUMMYFUNCTION("""COMPUTED_VALUE"""),0.19757115)</f>
        <v>0.19757115</v>
      </c>
      <c r="J200" s="592" t="str">
        <f ca="1">IFERROR(__xludf.DUMMYFUNCTION("""COMPUTED_VALUE""")," 05.50 ")</f>
        <v xml:space="preserve"> 05.50 </v>
      </c>
      <c r="K200" s="590" t="str">
        <f ca="1">IFERROR(__xludf.DUMMYFUNCTION("""COMPUTED_VALUE"""),"0.45")</f>
        <v>0.45</v>
      </c>
      <c r="L200" s="590">
        <f ca="1">IFERROR(__xludf.DUMMYFUNCTION("""COMPUTED_VALUE"""),3)</f>
        <v>3</v>
      </c>
      <c r="M200" s="590"/>
      <c r="N200" s="590" t="str">
        <f ca="1">IFERROR(__xludf.DUMMYFUNCTION("""COMPUTED_VALUE"""),"Dị_D&lt;54")</f>
        <v>Dị_D&lt;54</v>
      </c>
      <c r="O200" s="589"/>
      <c r="P200" s="590"/>
    </row>
    <row r="201" spans="1:16" ht="15.75">
      <c r="A201" s="581" t="str">
        <f ca="1">IFERROR(__xludf.DUMMYFUNCTION("""COMPUTED_VALUE"""),"Toàn Phát - Việt Nam")</f>
        <v>Toàn Phát - Việt Nam</v>
      </c>
      <c r="B201" s="581" t="str">
        <f ca="1">IFERROR(__xludf.DUMMYFUNCTION("""COMPUTED_VALUE"""),"ĐTPCAYDI")</f>
        <v>ĐTPCAYDI</v>
      </c>
      <c r="C201" s="581" t="str">
        <f ca="1">IFERROR(__xludf.DUMMYFUNCTION("""COMPUTED_VALUE"""),"DOT055005115")</f>
        <v>DOT055005115</v>
      </c>
      <c r="D201" s="582" t="str">
        <f ca="1">IFERROR(__xludf.DUMMYFUNCTION("""COMPUTED_VALUE"""),"Đồng ống thẳng 05.50x0.51x1.5")</f>
        <v>Đồng ống thẳng 05.50x0.51x1.5</v>
      </c>
      <c r="E201" s="583">
        <f ca="1">IFERROR(__xludf.DUMMYFUNCTION("""COMPUTED_VALUE"""),0.1)</f>
        <v>0.1</v>
      </c>
      <c r="F201" s="584" t="str">
        <f ca="1">IFERROR(__xludf.DUMMYFUNCTION("""COMPUTED_VALUE"""),"Cây")</f>
        <v>Cây</v>
      </c>
      <c r="G201" s="584" t="str">
        <f ca="1">IFERROR(__xludf.DUMMYFUNCTION("""COMPUTED_VALUE"""),"Cây 1.5m")</f>
        <v>Cây 1.5m</v>
      </c>
      <c r="H201" s="582"/>
      <c r="I201" s="585">
        <f ca="1">IFERROR(__xludf.DUMMYFUNCTION("""COMPUTED_VALUE"""),0.110626803)</f>
        <v>0.110626803</v>
      </c>
      <c r="J201" s="586" t="str">
        <f ca="1">IFERROR(__xludf.DUMMYFUNCTION("""COMPUTED_VALUE""")," 05.50 ")</f>
        <v xml:space="preserve"> 05.50 </v>
      </c>
      <c r="K201" s="584" t="str">
        <f ca="1">IFERROR(__xludf.DUMMYFUNCTION("""COMPUTED_VALUE"""),"0.51")</f>
        <v>0.51</v>
      </c>
      <c r="L201" s="584">
        <f ca="1">IFERROR(__xludf.DUMMYFUNCTION("""COMPUTED_VALUE"""),1.5)</f>
        <v>1.5</v>
      </c>
      <c r="M201" s="584"/>
      <c r="N201" s="584" t="str">
        <f ca="1">IFERROR(__xludf.DUMMYFUNCTION("""COMPUTED_VALUE"""),"Dị_D&lt;54")</f>
        <v>Dị_D&lt;54</v>
      </c>
      <c r="O201" s="583"/>
      <c r="P201" s="584"/>
    </row>
    <row r="202" spans="1:16" ht="15.75">
      <c r="A202" s="587" t="str">
        <f ca="1">IFERROR(__xludf.DUMMYFUNCTION("""COMPUTED_VALUE"""),"Toàn Phát - Việt Nam")</f>
        <v>Toàn Phát - Việt Nam</v>
      </c>
      <c r="B202" s="587" t="str">
        <f ca="1">IFERROR(__xludf.DUMMYFUNCTION("""COMPUTED_VALUE"""),"ĐTPCAYDI")</f>
        <v>ĐTPCAYDI</v>
      </c>
      <c r="C202" s="587" t="str">
        <f ca="1">IFERROR(__xludf.DUMMYFUNCTION("""COMPUTED_VALUE"""),"DOT055005130")</f>
        <v>DOT055005130</v>
      </c>
      <c r="D202" s="588" t="str">
        <f ca="1">IFERROR(__xludf.DUMMYFUNCTION("""COMPUTED_VALUE"""),"Đồng ống thẳng 05.50x0.51x3.0")</f>
        <v>Đồng ống thẳng 05.50x0.51x3.0</v>
      </c>
      <c r="E202" s="589">
        <f ca="1">IFERROR(__xludf.DUMMYFUNCTION("""COMPUTED_VALUE"""),0.1)</f>
        <v>0.1</v>
      </c>
      <c r="F202" s="590" t="str">
        <f ca="1">IFERROR(__xludf.DUMMYFUNCTION("""COMPUTED_VALUE"""),"Cây")</f>
        <v>Cây</v>
      </c>
      <c r="G202" s="590" t="str">
        <f ca="1">IFERROR(__xludf.DUMMYFUNCTION("""COMPUTED_VALUE"""),"Cây 3m")</f>
        <v>Cây 3m</v>
      </c>
      <c r="H202" s="588"/>
      <c r="I202" s="591">
        <f ca="1">IFERROR(__xludf.DUMMYFUNCTION("""COMPUTED_VALUE"""),0.221253606)</f>
        <v>0.22125360599999999</v>
      </c>
      <c r="J202" s="592" t="str">
        <f ca="1">IFERROR(__xludf.DUMMYFUNCTION("""COMPUTED_VALUE""")," 05.50 ")</f>
        <v xml:space="preserve"> 05.50 </v>
      </c>
      <c r="K202" s="590" t="str">
        <f ca="1">IFERROR(__xludf.DUMMYFUNCTION("""COMPUTED_VALUE"""),"0.51")</f>
        <v>0.51</v>
      </c>
      <c r="L202" s="590">
        <f ca="1">IFERROR(__xludf.DUMMYFUNCTION("""COMPUTED_VALUE"""),3)</f>
        <v>3</v>
      </c>
      <c r="M202" s="590"/>
      <c r="N202" s="590" t="str">
        <f ca="1">IFERROR(__xludf.DUMMYFUNCTION("""COMPUTED_VALUE"""),"Dị_D&lt;54")</f>
        <v>Dị_D&lt;54</v>
      </c>
      <c r="O202" s="589"/>
      <c r="P202" s="590"/>
    </row>
    <row r="203" spans="1:16" ht="15.75">
      <c r="A203" s="581" t="str">
        <f ca="1">IFERROR(__xludf.DUMMYFUNCTION("""COMPUTED_VALUE"""),"Toàn Phát - Việt Nam")</f>
        <v>Toàn Phát - Việt Nam</v>
      </c>
      <c r="B203" s="581" t="str">
        <f ca="1">IFERROR(__xludf.DUMMYFUNCTION("""COMPUTED_VALUE"""),"ĐTPCAYDI")</f>
        <v>ĐTPCAYDI</v>
      </c>
      <c r="C203" s="581" t="str">
        <f ca="1">IFERROR(__xludf.DUMMYFUNCTION("""COMPUTED_VALUE"""),"DOT055005515")</f>
        <v>DOT055005515</v>
      </c>
      <c r="D203" s="582" t="str">
        <f ca="1">IFERROR(__xludf.DUMMYFUNCTION("""COMPUTED_VALUE"""),"Đồng ống thẳng 05.50x0.55x1.5")</f>
        <v>Đồng ống thẳng 05.50x0.55x1.5</v>
      </c>
      <c r="E203" s="583">
        <f ca="1">IFERROR(__xludf.DUMMYFUNCTION("""COMPUTED_VALUE"""),0.1)</f>
        <v>0.1</v>
      </c>
      <c r="F203" s="584" t="str">
        <f ca="1">IFERROR(__xludf.DUMMYFUNCTION("""COMPUTED_VALUE"""),"Cây")</f>
        <v>Cây</v>
      </c>
      <c r="G203" s="584" t="str">
        <f ca="1">IFERROR(__xludf.DUMMYFUNCTION("""COMPUTED_VALUE"""),"Cây 1.5m")</f>
        <v>Cây 1.5m</v>
      </c>
      <c r="H203" s="582"/>
      <c r="I203" s="585">
        <f ca="1">IFERROR(__xludf.DUMMYFUNCTION("""COMPUTED_VALUE"""),0.118347075)</f>
        <v>0.118347075</v>
      </c>
      <c r="J203" s="586" t="str">
        <f ca="1">IFERROR(__xludf.DUMMYFUNCTION("""COMPUTED_VALUE""")," 05.50 ")</f>
        <v xml:space="preserve"> 05.50 </v>
      </c>
      <c r="K203" s="584" t="str">
        <f ca="1">IFERROR(__xludf.DUMMYFUNCTION("""COMPUTED_VALUE"""),"0.55")</f>
        <v>0.55</v>
      </c>
      <c r="L203" s="584">
        <f ca="1">IFERROR(__xludf.DUMMYFUNCTION("""COMPUTED_VALUE"""),1.5)</f>
        <v>1.5</v>
      </c>
      <c r="M203" s="584"/>
      <c r="N203" s="584" t="str">
        <f ca="1">IFERROR(__xludf.DUMMYFUNCTION("""COMPUTED_VALUE"""),"Dị_D&lt;54")</f>
        <v>Dị_D&lt;54</v>
      </c>
      <c r="O203" s="583"/>
      <c r="P203" s="584"/>
    </row>
    <row r="204" spans="1:16" ht="15.75">
      <c r="A204" s="587" t="str">
        <f ca="1">IFERROR(__xludf.DUMMYFUNCTION("""COMPUTED_VALUE"""),"Toàn Phát - Việt Nam")</f>
        <v>Toàn Phát - Việt Nam</v>
      </c>
      <c r="B204" s="587" t="str">
        <f ca="1">IFERROR(__xludf.DUMMYFUNCTION("""COMPUTED_VALUE"""),"ĐTPCAYDI")</f>
        <v>ĐTPCAYDI</v>
      </c>
      <c r="C204" s="587" t="str">
        <f ca="1">IFERROR(__xludf.DUMMYFUNCTION("""COMPUTED_VALUE"""),"DOT055005529")</f>
        <v>DOT055005529</v>
      </c>
      <c r="D204" s="588" t="str">
        <f ca="1">IFERROR(__xludf.DUMMYFUNCTION("""COMPUTED_VALUE"""),"Đồng ống thẳng 05.50x0.55x2.9")</f>
        <v>Đồng ống thẳng 05.50x0.55x2.9</v>
      </c>
      <c r="E204" s="589">
        <f ca="1">IFERROR(__xludf.DUMMYFUNCTION("""COMPUTED_VALUE"""),0.1)</f>
        <v>0.1</v>
      </c>
      <c r="F204" s="590" t="str">
        <f ca="1">IFERROR(__xludf.DUMMYFUNCTION("""COMPUTED_VALUE"""),"Cây")</f>
        <v>Cây</v>
      </c>
      <c r="G204" s="590" t="str">
        <f ca="1">IFERROR(__xludf.DUMMYFUNCTION("""COMPUTED_VALUE"""),"Cây 2.9m")</f>
        <v>Cây 2.9m</v>
      </c>
      <c r="H204" s="588"/>
      <c r="I204" s="591">
        <f ca="1">IFERROR(__xludf.DUMMYFUNCTION("""COMPUTED_VALUE"""),0.228804345)</f>
        <v>0.22880434499999999</v>
      </c>
      <c r="J204" s="592" t="str">
        <f ca="1">IFERROR(__xludf.DUMMYFUNCTION("""COMPUTED_VALUE""")," 05.50 ")</f>
        <v xml:space="preserve"> 05.50 </v>
      </c>
      <c r="K204" s="590" t="str">
        <f ca="1">IFERROR(__xludf.DUMMYFUNCTION("""COMPUTED_VALUE"""),"0.55")</f>
        <v>0.55</v>
      </c>
      <c r="L204" s="590">
        <f ca="1">IFERROR(__xludf.DUMMYFUNCTION("""COMPUTED_VALUE"""),2.9)</f>
        <v>2.9</v>
      </c>
      <c r="M204" s="590"/>
      <c r="N204" s="590" t="str">
        <f ca="1">IFERROR(__xludf.DUMMYFUNCTION("""COMPUTED_VALUE"""),"Dị_D&lt;54")</f>
        <v>Dị_D&lt;54</v>
      </c>
      <c r="O204" s="589"/>
      <c r="P204" s="590"/>
    </row>
    <row r="205" spans="1:16" ht="15.75">
      <c r="A205" s="581" t="str">
        <f ca="1">IFERROR(__xludf.DUMMYFUNCTION("""COMPUTED_VALUE"""),"Toàn Phát - Việt Nam")</f>
        <v>Toàn Phát - Việt Nam</v>
      </c>
      <c r="B205" s="581" t="str">
        <f ca="1">IFERROR(__xludf.DUMMYFUNCTION("""COMPUTED_VALUE"""),"ĐTPCAYDI")</f>
        <v>ĐTPCAYDI</v>
      </c>
      <c r="C205" s="581" t="str">
        <f ca="1">IFERROR(__xludf.DUMMYFUNCTION("""COMPUTED_VALUE"""),"DOT055005530")</f>
        <v>DOT055005530</v>
      </c>
      <c r="D205" s="582" t="str">
        <f ca="1">IFERROR(__xludf.DUMMYFUNCTION("""COMPUTED_VALUE"""),"Đồng ống thẳng 05.50x0.55x3.0")</f>
        <v>Đồng ống thẳng 05.50x0.55x3.0</v>
      </c>
      <c r="E205" s="583">
        <f ca="1">IFERROR(__xludf.DUMMYFUNCTION("""COMPUTED_VALUE"""),0.1)</f>
        <v>0.1</v>
      </c>
      <c r="F205" s="584" t="str">
        <f ca="1">IFERROR(__xludf.DUMMYFUNCTION("""COMPUTED_VALUE"""),"Cây")</f>
        <v>Cây</v>
      </c>
      <c r="G205" s="584" t="str">
        <f ca="1">IFERROR(__xludf.DUMMYFUNCTION("""COMPUTED_VALUE"""),"Cây 3m")</f>
        <v>Cây 3m</v>
      </c>
      <c r="H205" s="582"/>
      <c r="I205" s="585">
        <f ca="1">IFERROR(__xludf.DUMMYFUNCTION("""COMPUTED_VALUE"""),0.23669415)</f>
        <v>0.23669414999999999</v>
      </c>
      <c r="J205" s="586" t="str">
        <f ca="1">IFERROR(__xludf.DUMMYFUNCTION("""COMPUTED_VALUE""")," 05.50 ")</f>
        <v xml:space="preserve"> 05.50 </v>
      </c>
      <c r="K205" s="584" t="str">
        <f ca="1">IFERROR(__xludf.DUMMYFUNCTION("""COMPUTED_VALUE"""),"0.55")</f>
        <v>0.55</v>
      </c>
      <c r="L205" s="584">
        <f ca="1">IFERROR(__xludf.DUMMYFUNCTION("""COMPUTED_VALUE"""),3)</f>
        <v>3</v>
      </c>
      <c r="M205" s="584"/>
      <c r="N205" s="584" t="str">
        <f ca="1">IFERROR(__xludf.DUMMYFUNCTION("""COMPUTED_VALUE"""),"Dị_D&lt;54")</f>
        <v>Dị_D&lt;54</v>
      </c>
      <c r="O205" s="583"/>
      <c r="P205" s="584"/>
    </row>
    <row r="206" spans="1:16" ht="15.75">
      <c r="A206" s="587" t="str">
        <f ca="1">IFERROR(__xludf.DUMMYFUNCTION("""COMPUTED_VALUE"""),"Toàn Phát - Việt Nam")</f>
        <v>Toàn Phát - Việt Nam</v>
      </c>
      <c r="B206" s="587" t="str">
        <f ca="1">IFERROR(__xludf.DUMMYFUNCTION("""COMPUTED_VALUE"""),"ĐTPCAYDI")</f>
        <v>ĐTPCAYDI</v>
      </c>
      <c r="C206" s="587" t="str">
        <f ca="1">IFERROR(__xludf.DUMMYFUNCTION("""COMPUTED_VALUE"""),"DOT055006130")</f>
        <v>DOT055006130</v>
      </c>
      <c r="D206" s="588" t="str">
        <f ca="1">IFERROR(__xludf.DUMMYFUNCTION("""COMPUTED_VALUE"""),"Đồng ống thẳng 05.50x0.61x3.0")</f>
        <v>Đồng ống thẳng 05.50x0.61x3.0</v>
      </c>
      <c r="E206" s="589">
        <f ca="1">IFERROR(__xludf.DUMMYFUNCTION("""COMPUTED_VALUE"""),0.1)</f>
        <v>0.1</v>
      </c>
      <c r="F206" s="590" t="str">
        <f ca="1">IFERROR(__xludf.DUMMYFUNCTION("""COMPUTED_VALUE"""),"Cây")</f>
        <v>Cây</v>
      </c>
      <c r="G206" s="590" t="str">
        <f ca="1">IFERROR(__xludf.DUMMYFUNCTION("""COMPUTED_VALUE"""),"Cây 3m")</f>
        <v>Cây 3m</v>
      </c>
      <c r="H206" s="588"/>
      <c r="I206" s="591">
        <f ca="1">IFERROR(__xludf.DUMMYFUNCTION("""COMPUTED_VALUE"""),0.259333326)</f>
        <v>0.25933332599999998</v>
      </c>
      <c r="J206" s="592" t="str">
        <f ca="1">IFERROR(__xludf.DUMMYFUNCTION("""COMPUTED_VALUE""")," 05.50 ")</f>
        <v xml:space="preserve"> 05.50 </v>
      </c>
      <c r="K206" s="590" t="str">
        <f ca="1">IFERROR(__xludf.DUMMYFUNCTION("""COMPUTED_VALUE"""),"0.61")</f>
        <v>0.61</v>
      </c>
      <c r="L206" s="590">
        <f ca="1">IFERROR(__xludf.DUMMYFUNCTION("""COMPUTED_VALUE"""),3)</f>
        <v>3</v>
      </c>
      <c r="M206" s="590"/>
      <c r="N206" s="590" t="str">
        <f ca="1">IFERROR(__xludf.DUMMYFUNCTION("""COMPUTED_VALUE"""),"Dị_D&lt;54")</f>
        <v>Dị_D&lt;54</v>
      </c>
      <c r="O206" s="589"/>
      <c r="P206" s="590"/>
    </row>
    <row r="207" spans="1:16" ht="15.75">
      <c r="A207" s="581" t="str">
        <f ca="1">IFERROR(__xludf.DUMMYFUNCTION("""COMPUTED_VALUE"""),"Toàn Phát - Việt Nam")</f>
        <v>Toàn Phát - Việt Nam</v>
      </c>
      <c r="B207" s="581" t="str">
        <f ca="1">IFERROR(__xludf.DUMMYFUNCTION("""COMPUTED_VALUE"""),"ĐTPCAYDI")</f>
        <v>ĐTPCAYDI</v>
      </c>
      <c r="C207" s="581" t="str">
        <f ca="1">IFERROR(__xludf.DUMMYFUNCTION("""COMPUTED_VALUE"""),"DOT055006330")</f>
        <v>DOT055006330</v>
      </c>
      <c r="D207" s="582" t="str">
        <f ca="1">IFERROR(__xludf.DUMMYFUNCTION("""COMPUTED_VALUE"""),"Đồng ống thẳng 05.50x0.63x3.0")</f>
        <v>Đồng ống thẳng 05.50x0.63x3.0</v>
      </c>
      <c r="E207" s="583">
        <f ca="1">IFERROR(__xludf.DUMMYFUNCTION("""COMPUTED_VALUE"""),0.1)</f>
        <v>0.1</v>
      </c>
      <c r="F207" s="584" t="str">
        <f ca="1">IFERROR(__xludf.DUMMYFUNCTION("""COMPUTED_VALUE"""),"Cây")</f>
        <v>Cây</v>
      </c>
      <c r="G207" s="584" t="str">
        <f ca="1">IFERROR(__xludf.DUMMYFUNCTION("""COMPUTED_VALUE"""),"Cây 3m")</f>
        <v>Cây 3m</v>
      </c>
      <c r="H207" s="582"/>
      <c r="I207" s="585">
        <f ca="1">IFERROR(__xludf.DUMMYFUNCTION("""COMPUTED_VALUE"""),0.266740614)</f>
        <v>0.26674061399999999</v>
      </c>
      <c r="J207" s="586" t="str">
        <f ca="1">IFERROR(__xludf.DUMMYFUNCTION("""COMPUTED_VALUE""")," 05.50 ")</f>
        <v xml:space="preserve"> 05.50 </v>
      </c>
      <c r="K207" s="584" t="str">
        <f ca="1">IFERROR(__xludf.DUMMYFUNCTION("""COMPUTED_VALUE"""),"0.63")</f>
        <v>0.63</v>
      </c>
      <c r="L207" s="584">
        <f ca="1">IFERROR(__xludf.DUMMYFUNCTION("""COMPUTED_VALUE"""),3)</f>
        <v>3</v>
      </c>
      <c r="M207" s="584"/>
      <c r="N207" s="584" t="str">
        <f ca="1">IFERROR(__xludf.DUMMYFUNCTION("""COMPUTED_VALUE"""),"Dị_D&lt;54")</f>
        <v>Dị_D&lt;54</v>
      </c>
      <c r="O207" s="583"/>
      <c r="P207" s="584"/>
    </row>
    <row r="208" spans="1:16" ht="15.75">
      <c r="A208" s="587" t="str">
        <f ca="1">IFERROR(__xludf.DUMMYFUNCTION("""COMPUTED_VALUE"""),"Toàn Phát - Việt Nam")</f>
        <v>Toàn Phát - Việt Nam</v>
      </c>
      <c r="B208" s="587" t="str">
        <f ca="1">IFERROR(__xludf.DUMMYFUNCTION("""COMPUTED_VALUE"""),"ĐTPCAYDI")</f>
        <v>ĐTPCAYDI</v>
      </c>
      <c r="C208" s="587" t="str">
        <f ca="1">IFERROR(__xludf.DUMMYFUNCTION("""COMPUTED_VALUE"""),"DOT055006530")</f>
        <v>DOT055006530</v>
      </c>
      <c r="D208" s="588" t="str">
        <f ca="1">IFERROR(__xludf.DUMMYFUNCTION("""COMPUTED_VALUE"""),"Đồng ống thẳng 05.50x0.65x3.0")</f>
        <v>Đồng ống thẳng 05.50x0.65x3.0</v>
      </c>
      <c r="E208" s="589">
        <f ca="1">IFERROR(__xludf.DUMMYFUNCTION("""COMPUTED_VALUE"""),0.1)</f>
        <v>0.1</v>
      </c>
      <c r="F208" s="590" t="str">
        <f ca="1">IFERROR(__xludf.DUMMYFUNCTION("""COMPUTED_VALUE"""),"Cây")</f>
        <v>Cây</v>
      </c>
      <c r="G208" s="590" t="str">
        <f ca="1">IFERROR(__xludf.DUMMYFUNCTION("""COMPUTED_VALUE"""),"Cây 3m")</f>
        <v>Cây 3m</v>
      </c>
      <c r="H208" s="588"/>
      <c r="I208" s="591">
        <f ca="1">IFERROR(__xludf.DUMMYFUNCTION("""COMPUTED_VALUE"""),0.274078349999999)</f>
        <v>0.27407834999999903</v>
      </c>
      <c r="J208" s="592" t="str">
        <f ca="1">IFERROR(__xludf.DUMMYFUNCTION("""COMPUTED_VALUE""")," 05.50 ")</f>
        <v xml:space="preserve"> 05.50 </v>
      </c>
      <c r="K208" s="590" t="str">
        <f ca="1">IFERROR(__xludf.DUMMYFUNCTION("""COMPUTED_VALUE"""),"0.65")</f>
        <v>0.65</v>
      </c>
      <c r="L208" s="590">
        <f ca="1">IFERROR(__xludf.DUMMYFUNCTION("""COMPUTED_VALUE"""),3)</f>
        <v>3</v>
      </c>
      <c r="M208" s="590"/>
      <c r="N208" s="590" t="str">
        <f ca="1">IFERROR(__xludf.DUMMYFUNCTION("""COMPUTED_VALUE"""),"Dị_D&lt;54")</f>
        <v>Dị_D&lt;54</v>
      </c>
      <c r="O208" s="589"/>
      <c r="P208" s="590"/>
    </row>
    <row r="209" spans="1:16" ht="15.75">
      <c r="A209" s="581" t="str">
        <f ca="1">IFERROR(__xludf.DUMMYFUNCTION("""COMPUTED_VALUE"""),"Toàn Phát - Việt Nam")</f>
        <v>Toàn Phát - Việt Nam</v>
      </c>
      <c r="B209" s="581" t="str">
        <f ca="1">IFERROR(__xludf.DUMMYFUNCTION("""COMPUTED_VALUE"""),"ĐTPCAYDI")</f>
        <v>ĐTPCAYDI</v>
      </c>
      <c r="C209" s="581" t="str">
        <f ca="1">IFERROR(__xludf.DUMMYFUNCTION("""COMPUTED_VALUE"""),"DOT055007530")</f>
        <v>DOT055007530</v>
      </c>
      <c r="D209" s="582" t="str">
        <f ca="1">IFERROR(__xludf.DUMMYFUNCTION("""COMPUTED_VALUE"""),"Đồng ống thẳng 05.50x0.75x3.0")</f>
        <v>Đồng ống thẳng 05.50x0.75x3.0</v>
      </c>
      <c r="E209" s="583">
        <f ca="1">IFERROR(__xludf.DUMMYFUNCTION("""COMPUTED_VALUE"""),0.1)</f>
        <v>0.1</v>
      </c>
      <c r="F209" s="584" t="str">
        <f ca="1">IFERROR(__xludf.DUMMYFUNCTION("""COMPUTED_VALUE"""),"Cây")</f>
        <v>Cây</v>
      </c>
      <c r="G209" s="584" t="str">
        <f ca="1">IFERROR(__xludf.DUMMYFUNCTION("""COMPUTED_VALUE"""),"Cây 3m")</f>
        <v>Cây 3m</v>
      </c>
      <c r="H209" s="582"/>
      <c r="I209" s="585">
        <f ca="1">IFERROR(__xludf.DUMMYFUNCTION("""COMPUTED_VALUE"""),0.30972375)</f>
        <v>0.30972375000000002</v>
      </c>
      <c r="J209" s="586" t="str">
        <f ca="1">IFERROR(__xludf.DUMMYFUNCTION("""COMPUTED_VALUE""")," 05.50 ")</f>
        <v xml:space="preserve"> 05.50 </v>
      </c>
      <c r="K209" s="584" t="str">
        <f ca="1">IFERROR(__xludf.DUMMYFUNCTION("""COMPUTED_VALUE"""),"0.75")</f>
        <v>0.75</v>
      </c>
      <c r="L209" s="584">
        <f ca="1">IFERROR(__xludf.DUMMYFUNCTION("""COMPUTED_VALUE"""),3)</f>
        <v>3</v>
      </c>
      <c r="M209" s="584"/>
      <c r="N209" s="584" t="str">
        <f ca="1">IFERROR(__xludf.DUMMYFUNCTION("""COMPUTED_VALUE"""),"Dị_D&lt;54")</f>
        <v>Dị_D&lt;54</v>
      </c>
      <c r="O209" s="583"/>
      <c r="P209" s="584"/>
    </row>
    <row r="210" spans="1:16" ht="15.75">
      <c r="A210" s="587" t="str">
        <f ca="1">IFERROR(__xludf.DUMMYFUNCTION("""COMPUTED_VALUE"""),"Toàn Phát - Việt Nam")</f>
        <v>Toàn Phát - Việt Nam</v>
      </c>
      <c r="B210" s="587" t="str">
        <f ca="1">IFERROR(__xludf.DUMMYFUNCTION("""COMPUTED_VALUE"""),"ĐTPCAYDI")</f>
        <v>ĐTPCAYDI</v>
      </c>
      <c r="C210" s="587" t="str">
        <f ca="1">IFERROR(__xludf.DUMMYFUNCTION("""COMPUTED_VALUE"""),"DOT055008130")</f>
        <v>DOT055008130</v>
      </c>
      <c r="D210" s="588" t="str">
        <f ca="1">IFERROR(__xludf.DUMMYFUNCTION("""COMPUTED_VALUE"""),"Đồng ống thẳng 05.50x0.81x3.0")</f>
        <v>Đồng ống thẳng 05.50x0.81x3.0</v>
      </c>
      <c r="E210" s="589">
        <f ca="1">IFERROR(__xludf.DUMMYFUNCTION("""COMPUTED_VALUE"""),0.1)</f>
        <v>0.1</v>
      </c>
      <c r="F210" s="590" t="str">
        <f ca="1">IFERROR(__xludf.DUMMYFUNCTION("""COMPUTED_VALUE"""),"Cây")</f>
        <v>Cây</v>
      </c>
      <c r="G210" s="590" t="str">
        <f ca="1">IFERROR(__xludf.DUMMYFUNCTION("""COMPUTED_VALUE"""),"Cây 3m")</f>
        <v>Cây 3m</v>
      </c>
      <c r="H210" s="588"/>
      <c r="I210" s="591">
        <f ca="1">IFERROR(__xludf.DUMMYFUNCTION("""COMPUTED_VALUE"""),0.330276366)</f>
        <v>0.33027636599999999</v>
      </c>
      <c r="J210" s="592" t="str">
        <f ca="1">IFERROR(__xludf.DUMMYFUNCTION("""COMPUTED_VALUE""")," 05.50 ")</f>
        <v xml:space="preserve"> 05.50 </v>
      </c>
      <c r="K210" s="590" t="str">
        <f ca="1">IFERROR(__xludf.DUMMYFUNCTION("""COMPUTED_VALUE"""),"0.81")</f>
        <v>0.81</v>
      </c>
      <c r="L210" s="590">
        <f ca="1">IFERROR(__xludf.DUMMYFUNCTION("""COMPUTED_VALUE"""),3)</f>
        <v>3</v>
      </c>
      <c r="M210" s="590"/>
      <c r="N210" s="590" t="str">
        <f ca="1">IFERROR(__xludf.DUMMYFUNCTION("""COMPUTED_VALUE"""),"Dị_D&lt;54")</f>
        <v>Dị_D&lt;54</v>
      </c>
      <c r="O210" s="589"/>
      <c r="P210" s="590"/>
    </row>
    <row r="211" spans="1:16" ht="15.75">
      <c r="A211" s="581" t="str">
        <f ca="1">IFERROR(__xludf.DUMMYFUNCTION("""COMPUTED_VALUE"""),"Toàn Phát - Việt Nam")</f>
        <v>Toàn Phát - Việt Nam</v>
      </c>
      <c r="B211" s="581" t="str">
        <f ca="1">IFERROR(__xludf.DUMMYFUNCTION("""COMPUTED_VALUE"""),"ĐTPCAYDI")</f>
        <v>ĐTPCAYDI</v>
      </c>
      <c r="C211" s="581" t="str">
        <f ca="1">IFERROR(__xludf.DUMMYFUNCTION("""COMPUTED_VALUE"""),"DOT056006130")</f>
        <v>DOT056006130</v>
      </c>
      <c r="D211" s="582" t="str">
        <f ca="1">IFERROR(__xludf.DUMMYFUNCTION("""COMPUTED_VALUE"""),"Đồng ống thẳng 05.60x0.61x3.0")</f>
        <v>Đồng ống thẳng 05.60x0.61x3.0</v>
      </c>
      <c r="E211" s="583">
        <f ca="1">IFERROR(__xludf.DUMMYFUNCTION("""COMPUTED_VALUE"""),0.1)</f>
        <v>0.1</v>
      </c>
      <c r="F211" s="584" t="str">
        <f ca="1">IFERROR(__xludf.DUMMYFUNCTION("""COMPUTED_VALUE"""),"Cây")</f>
        <v>Cây</v>
      </c>
      <c r="G211" s="584" t="str">
        <f ca="1">IFERROR(__xludf.DUMMYFUNCTION("""COMPUTED_VALUE"""),"Cây 3m")</f>
        <v>Cây 3m</v>
      </c>
      <c r="H211" s="582"/>
      <c r="I211" s="585">
        <f ca="1">IFERROR(__xludf.DUMMYFUNCTION("""COMPUTED_VALUE"""),0.264636665999999)</f>
        <v>0.26463666599999902</v>
      </c>
      <c r="J211" s="586" t="str">
        <f ca="1">IFERROR(__xludf.DUMMYFUNCTION("""COMPUTED_VALUE""")," 05.60 ")</f>
        <v xml:space="preserve"> 05.60 </v>
      </c>
      <c r="K211" s="584" t="str">
        <f ca="1">IFERROR(__xludf.DUMMYFUNCTION("""COMPUTED_VALUE"""),"0.61")</f>
        <v>0.61</v>
      </c>
      <c r="L211" s="584">
        <f ca="1">IFERROR(__xludf.DUMMYFUNCTION("""COMPUTED_VALUE"""),3)</f>
        <v>3</v>
      </c>
      <c r="M211" s="584"/>
      <c r="N211" s="584" t="str">
        <f ca="1">IFERROR(__xludf.DUMMYFUNCTION("""COMPUTED_VALUE"""),"Dị_D&lt;54")</f>
        <v>Dị_D&lt;54</v>
      </c>
      <c r="O211" s="583"/>
      <c r="P211" s="584"/>
    </row>
    <row r="212" spans="1:16" ht="15.75">
      <c r="A212" s="587" t="str">
        <f ca="1">IFERROR(__xludf.DUMMYFUNCTION("""COMPUTED_VALUE"""),"Toàn Phát - Việt Nam")</f>
        <v>Toàn Phát - Việt Nam</v>
      </c>
      <c r="B212" s="587" t="str">
        <f ca="1">IFERROR(__xludf.DUMMYFUNCTION("""COMPUTED_VALUE"""),"ĐTPCAYDI")</f>
        <v>ĐTPCAYDI</v>
      </c>
      <c r="C212" s="587" t="str">
        <f ca="1">IFERROR(__xludf.DUMMYFUNCTION("""COMPUTED_VALUE"""),"DOT060004022")</f>
        <v>DOT060004022</v>
      </c>
      <c r="D212" s="588" t="str">
        <f ca="1">IFERROR(__xludf.DUMMYFUNCTION("""COMPUTED_VALUE"""),"Đồng ống thẳng 06.00x0.40x2.2")</f>
        <v>Đồng ống thẳng 06.00x0.40x2.2</v>
      </c>
      <c r="E212" s="589">
        <f ca="1">IFERROR(__xludf.DUMMYFUNCTION("""COMPUTED_VALUE"""),0.1)</f>
        <v>0.1</v>
      </c>
      <c r="F212" s="590" t="str">
        <f ca="1">IFERROR(__xludf.DUMMYFUNCTION("""COMPUTED_VALUE"""),"Cây")</f>
        <v>Cây</v>
      </c>
      <c r="G212" s="590" t="str">
        <f ca="1">IFERROR(__xludf.DUMMYFUNCTION("""COMPUTED_VALUE"""),"Cây 2.2m")</f>
        <v>Cây 2.2m</v>
      </c>
      <c r="H212" s="588"/>
      <c r="I212" s="591">
        <f ca="1">IFERROR(__xludf.DUMMYFUNCTION("""COMPUTED_VALUE"""),0.142813439999999)</f>
        <v>0.14281343999999899</v>
      </c>
      <c r="J212" s="592" t="str">
        <f ca="1">IFERROR(__xludf.DUMMYFUNCTION("""COMPUTED_VALUE""")," 06.00 ")</f>
        <v xml:space="preserve"> 06.00 </v>
      </c>
      <c r="K212" s="590" t="str">
        <f ca="1">IFERROR(__xludf.DUMMYFUNCTION("""COMPUTED_VALUE"""),"0.40")</f>
        <v>0.40</v>
      </c>
      <c r="L212" s="590">
        <f ca="1">IFERROR(__xludf.DUMMYFUNCTION("""COMPUTED_VALUE"""),2.2)</f>
        <v>2.2000000000000002</v>
      </c>
      <c r="M212" s="590"/>
      <c r="N212" s="590" t="str">
        <f ca="1">IFERROR(__xludf.DUMMYFUNCTION("""COMPUTED_VALUE"""),"Dị_D&lt;54")</f>
        <v>Dị_D&lt;54</v>
      </c>
      <c r="O212" s="589"/>
      <c r="P212" s="590"/>
    </row>
    <row r="213" spans="1:16" ht="15.75">
      <c r="A213" s="581" t="str">
        <f ca="1">IFERROR(__xludf.DUMMYFUNCTION("""COMPUTED_VALUE"""),"Toàn Phát - Việt Nam")</f>
        <v>Toàn Phát - Việt Nam</v>
      </c>
      <c r="B213" s="581" t="str">
        <f ca="1">IFERROR(__xludf.DUMMYFUNCTION("""COMPUTED_VALUE"""),"ĐTPCAYDI")</f>
        <v>ĐTPCAYDI</v>
      </c>
      <c r="C213" s="581" t="str">
        <f ca="1">IFERROR(__xludf.DUMMYFUNCTION("""COMPUTED_VALUE"""),"DOT060009130")</f>
        <v>DOT060009130</v>
      </c>
      <c r="D213" s="582" t="str">
        <f ca="1">IFERROR(__xludf.DUMMYFUNCTION("""COMPUTED_VALUE"""),"Đồng ống thẳng 06.00x0.91x3.0")</f>
        <v>Đồng ống thẳng 06.00x0.91x3.0</v>
      </c>
      <c r="E213" s="583">
        <f ca="1">IFERROR(__xludf.DUMMYFUNCTION("""COMPUTED_VALUE"""),0.1)</f>
        <v>0.1</v>
      </c>
      <c r="F213" s="584" t="str">
        <f ca="1">IFERROR(__xludf.DUMMYFUNCTION("""COMPUTED_VALUE"""),"Cây")</f>
        <v>Cây</v>
      </c>
      <c r="G213" s="584" t="str">
        <f ca="1">IFERROR(__xludf.DUMMYFUNCTION("""COMPUTED_VALUE"""),"Cây 3m")</f>
        <v>Cây 3m</v>
      </c>
      <c r="H213" s="582"/>
      <c r="I213" s="585">
        <f ca="1">IFERROR(__xludf.DUMMYFUNCTION("""COMPUTED_VALUE"""),0.402697386)</f>
        <v>0.40269738599999999</v>
      </c>
      <c r="J213" s="586" t="str">
        <f ca="1">IFERROR(__xludf.DUMMYFUNCTION("""COMPUTED_VALUE""")," 06.00 ")</f>
        <v xml:space="preserve"> 06.00 </v>
      </c>
      <c r="K213" s="584" t="str">
        <f ca="1">IFERROR(__xludf.DUMMYFUNCTION("""COMPUTED_VALUE"""),"0.91")</f>
        <v>0.91</v>
      </c>
      <c r="L213" s="584">
        <f ca="1">IFERROR(__xludf.DUMMYFUNCTION("""COMPUTED_VALUE"""),3)</f>
        <v>3</v>
      </c>
      <c r="M213" s="584"/>
      <c r="N213" s="584" t="str">
        <f ca="1">IFERROR(__xludf.DUMMYFUNCTION("""COMPUTED_VALUE"""),"Dị_D&lt;54")</f>
        <v>Dị_D&lt;54</v>
      </c>
      <c r="O213" s="583"/>
      <c r="P213" s="584"/>
    </row>
    <row r="214" spans="1:16" ht="15.75">
      <c r="A214" s="587" t="str">
        <f ca="1">IFERROR(__xludf.DUMMYFUNCTION("""COMPUTED_VALUE"""),"Toàn Phát - Việt Nam")</f>
        <v>Toàn Phát - Việt Nam</v>
      </c>
      <c r="B214" s="587" t="str">
        <f ca="1">IFERROR(__xludf.DUMMYFUNCTION("""COMPUTED_VALUE"""),"ĐTPCAYDI")</f>
        <v>ĐTPCAYDI</v>
      </c>
      <c r="C214" s="587" t="str">
        <f ca="1">IFERROR(__xludf.DUMMYFUNCTION("""COMPUTED_VALUE"""),"DOT060010030")</f>
        <v>DOT060010030</v>
      </c>
      <c r="D214" s="588" t="str">
        <f ca="1">IFERROR(__xludf.DUMMYFUNCTION("""COMPUTED_VALUE"""),"Đồng ống thẳng 06.00x1.00x3.0")</f>
        <v>Đồng ống thẳng 06.00x1.00x3.0</v>
      </c>
      <c r="E214" s="589">
        <f ca="1">IFERROR(__xludf.DUMMYFUNCTION("""COMPUTED_VALUE"""),0.1)</f>
        <v>0.1</v>
      </c>
      <c r="F214" s="590" t="str">
        <f ca="1">IFERROR(__xludf.DUMMYFUNCTION("""COMPUTED_VALUE"""),"Cây")</f>
        <v>Cây</v>
      </c>
      <c r="G214" s="590" t="str">
        <f ca="1">IFERROR(__xludf.DUMMYFUNCTION("""COMPUTED_VALUE"""),"Cây 3m")</f>
        <v>Cây 3m</v>
      </c>
      <c r="H214" s="588"/>
      <c r="I214" s="591">
        <f ca="1">IFERROR(__xludf.DUMMYFUNCTION("""COMPUTED_VALUE"""),0.4347)</f>
        <v>0.43469999999999998</v>
      </c>
      <c r="J214" s="592" t="str">
        <f ca="1">IFERROR(__xludf.DUMMYFUNCTION("""COMPUTED_VALUE""")," 06.00 ")</f>
        <v xml:space="preserve"> 06.00 </v>
      </c>
      <c r="K214" s="590" t="str">
        <f ca="1">IFERROR(__xludf.DUMMYFUNCTION("""COMPUTED_VALUE"""),"1.00")</f>
        <v>1.00</v>
      </c>
      <c r="L214" s="590">
        <f ca="1">IFERROR(__xludf.DUMMYFUNCTION("""COMPUTED_VALUE"""),3)</f>
        <v>3</v>
      </c>
      <c r="M214" s="590"/>
      <c r="N214" s="590" t="str">
        <f ca="1">IFERROR(__xludf.DUMMYFUNCTION("""COMPUTED_VALUE"""),"Dị_D&lt;54")</f>
        <v>Dị_D&lt;54</v>
      </c>
      <c r="O214" s="589"/>
      <c r="P214" s="590"/>
    </row>
    <row r="215" spans="1:16" ht="15.75">
      <c r="A215" s="581" t="str">
        <f ca="1">IFERROR(__xludf.DUMMYFUNCTION("""COMPUTED_VALUE"""),"Toàn Phát - Việt Nam")</f>
        <v>Toàn Phát - Việt Nam</v>
      </c>
      <c r="B215" s="581" t="str">
        <f ca="1">IFERROR(__xludf.DUMMYFUNCTION("""COMPUTED_VALUE"""),"ĐTPCAYDI")</f>
        <v>ĐTPCAYDI</v>
      </c>
      <c r="C215" s="581" t="str">
        <f ca="1">IFERROR(__xludf.DUMMYFUNCTION("""COMPUTED_VALUE"""),"DOT063505130")</f>
        <v>DOT063505130</v>
      </c>
      <c r="D215" s="582" t="str">
        <f ca="1">IFERROR(__xludf.DUMMYFUNCTION("""COMPUTED_VALUE"""),"Đồng ống thẳng 06.35x0.51x3.0")</f>
        <v>Đồng ống thẳng 06.35x0.51x3.0</v>
      </c>
      <c r="E215" s="583">
        <f ca="1">IFERROR(__xludf.DUMMYFUNCTION("""COMPUTED_VALUE"""),0.1)</f>
        <v>0.1</v>
      </c>
      <c r="F215" s="584" t="str">
        <f ca="1">IFERROR(__xludf.DUMMYFUNCTION("""COMPUTED_VALUE"""),"Cây")</f>
        <v>Cây</v>
      </c>
      <c r="G215" s="584" t="str">
        <f ca="1">IFERROR(__xludf.DUMMYFUNCTION("""COMPUTED_VALUE"""),"Cây 3m")</f>
        <v>Cây 3m</v>
      </c>
      <c r="H215" s="582" t="str">
        <f ca="1">IFERROR(__xludf.DUMMYFUNCTION("""COMPUTED_VALUE"""),"12")</f>
        <v>12</v>
      </c>
      <c r="I215" s="585">
        <f ca="1">IFERROR(__xludf.DUMMYFUNCTION("""COMPUTED_VALUE"""),0.258942096)</f>
        <v>0.25894209600000001</v>
      </c>
      <c r="J215" s="586" t="str">
        <f ca="1">IFERROR(__xludf.DUMMYFUNCTION("""COMPUTED_VALUE""")," 06.35 ")</f>
        <v xml:space="preserve"> 06.35 </v>
      </c>
      <c r="K215" s="584" t="str">
        <f ca="1">IFERROR(__xludf.DUMMYFUNCTION("""COMPUTED_VALUE"""),"0.51")</f>
        <v>0.51</v>
      </c>
      <c r="L215" s="584">
        <f ca="1">IFERROR(__xludf.DUMMYFUNCTION("""COMPUTED_VALUE"""),3)</f>
        <v>3</v>
      </c>
      <c r="M215" s="584"/>
      <c r="N215" s="584" t="str">
        <f ca="1">IFERROR(__xludf.DUMMYFUNCTION("""COMPUTED_VALUE"""),"Dị_D&lt;54")</f>
        <v>Dị_D&lt;54</v>
      </c>
      <c r="O215" s="583"/>
      <c r="P215" s="584"/>
    </row>
    <row r="216" spans="1:16" ht="15.75">
      <c r="A216" s="587" t="str">
        <f ca="1">IFERROR(__xludf.DUMMYFUNCTION("""COMPUTED_VALUE"""),"Toàn Phát - Việt Nam")</f>
        <v>Toàn Phát - Việt Nam</v>
      </c>
      <c r="B216" s="587" t="str">
        <f ca="1">IFERROR(__xludf.DUMMYFUNCTION("""COMPUTED_VALUE"""),"ĐTPCAYDI")</f>
        <v>ĐTPCAYDI</v>
      </c>
      <c r="C216" s="587" t="str">
        <f ca="1">IFERROR(__xludf.DUMMYFUNCTION("""COMPUTED_VALUE"""),"DOT063505615")</f>
        <v>DOT063505615</v>
      </c>
      <c r="D216" s="588" t="str">
        <f ca="1">IFERROR(__xludf.DUMMYFUNCTION("""COMPUTED_VALUE"""),"Đồng ống thẳng 06.35x0.56x1.5")</f>
        <v>Đồng ống thẳng 06.35x0.56x1.5</v>
      </c>
      <c r="E216" s="589">
        <f ca="1">IFERROR(__xludf.DUMMYFUNCTION("""COMPUTED_VALUE"""),0.1)</f>
        <v>0.1</v>
      </c>
      <c r="F216" s="590" t="str">
        <f ca="1">IFERROR(__xludf.DUMMYFUNCTION("""COMPUTED_VALUE"""),"Cây")</f>
        <v>Cây</v>
      </c>
      <c r="G216" s="590" t="str">
        <f ca="1">IFERROR(__xludf.DUMMYFUNCTION("""COMPUTED_VALUE"""),"Cây 1.5m")</f>
        <v>Cây 1.5m</v>
      </c>
      <c r="H216" s="588" t="str">
        <f ca="1">IFERROR(__xludf.DUMMYFUNCTION("""COMPUTED_VALUE"""),"12")</f>
        <v>12</v>
      </c>
      <c r="I216" s="591">
        <f ca="1">IFERROR(__xludf.DUMMYFUNCTION("""COMPUTED_VALUE"""),0.140947127999999)</f>
        <v>0.14094712799999901</v>
      </c>
      <c r="J216" s="592" t="str">
        <f ca="1">IFERROR(__xludf.DUMMYFUNCTION("""COMPUTED_VALUE""")," 06.35 ")</f>
        <v xml:space="preserve"> 06.35 </v>
      </c>
      <c r="K216" s="590" t="str">
        <f ca="1">IFERROR(__xludf.DUMMYFUNCTION("""COMPUTED_VALUE"""),"0.56")</f>
        <v>0.56</v>
      </c>
      <c r="L216" s="590">
        <f ca="1">IFERROR(__xludf.DUMMYFUNCTION("""COMPUTED_VALUE"""),1.5)</f>
        <v>1.5</v>
      </c>
      <c r="M216" s="590"/>
      <c r="N216" s="590" t="str">
        <f ca="1">IFERROR(__xludf.DUMMYFUNCTION("""COMPUTED_VALUE"""),"Dị_D&lt;54")</f>
        <v>Dị_D&lt;54</v>
      </c>
      <c r="O216" s="589"/>
      <c r="P216" s="590"/>
    </row>
    <row r="217" spans="1:16" ht="15.75">
      <c r="A217" s="581" t="str">
        <f ca="1">IFERROR(__xludf.DUMMYFUNCTION("""COMPUTED_VALUE"""),"Toàn Phát - Việt Nam")</f>
        <v>Toàn Phát - Việt Nam</v>
      </c>
      <c r="B217" s="581" t="str">
        <f ca="1">IFERROR(__xludf.DUMMYFUNCTION("""COMPUTED_VALUE"""),"ĐTPCAYDI")</f>
        <v>ĐTPCAYDI</v>
      </c>
      <c r="C217" s="581" t="str">
        <f ca="1">IFERROR(__xludf.DUMMYFUNCTION("""COMPUTED_VALUE"""),"DOT063505630")</f>
        <v>DOT063505630</v>
      </c>
      <c r="D217" s="582" t="str">
        <f ca="1">IFERROR(__xludf.DUMMYFUNCTION("""COMPUTED_VALUE"""),"Đồng ống thẳng 06.35x0.56x3.0")</f>
        <v>Đồng ống thẳng 06.35x0.56x3.0</v>
      </c>
      <c r="E217" s="583">
        <f ca="1">IFERROR(__xludf.DUMMYFUNCTION("""COMPUTED_VALUE"""),0.1)</f>
        <v>0.1</v>
      </c>
      <c r="F217" s="584" t="str">
        <f ca="1">IFERROR(__xludf.DUMMYFUNCTION("""COMPUTED_VALUE"""),"Cây")</f>
        <v>Cây</v>
      </c>
      <c r="G217" s="584" t="str">
        <f ca="1">IFERROR(__xludf.DUMMYFUNCTION("""COMPUTED_VALUE"""),"Cây 3m")</f>
        <v>Cây 3m</v>
      </c>
      <c r="H217" s="582" t="str">
        <f ca="1">IFERROR(__xludf.DUMMYFUNCTION("""COMPUTED_VALUE"""),"12")</f>
        <v>12</v>
      </c>
      <c r="I217" s="585">
        <f ca="1">IFERROR(__xludf.DUMMYFUNCTION("""COMPUTED_VALUE"""),0.281894255999999)</f>
        <v>0.28189425599999901</v>
      </c>
      <c r="J217" s="586" t="str">
        <f ca="1">IFERROR(__xludf.DUMMYFUNCTION("""COMPUTED_VALUE""")," 06.35 ")</f>
        <v xml:space="preserve"> 06.35 </v>
      </c>
      <c r="K217" s="584" t="str">
        <f ca="1">IFERROR(__xludf.DUMMYFUNCTION("""COMPUTED_VALUE"""),"0.56")</f>
        <v>0.56</v>
      </c>
      <c r="L217" s="584">
        <f ca="1">IFERROR(__xludf.DUMMYFUNCTION("""COMPUTED_VALUE"""),3)</f>
        <v>3</v>
      </c>
      <c r="M217" s="584"/>
      <c r="N217" s="584" t="str">
        <f ca="1">IFERROR(__xludf.DUMMYFUNCTION("""COMPUTED_VALUE"""),"Dị_D&lt;54")</f>
        <v>Dị_D&lt;54</v>
      </c>
      <c r="O217" s="583"/>
      <c r="P217" s="584"/>
    </row>
    <row r="218" spans="1:16" ht="15.75">
      <c r="A218" s="587" t="str">
        <f ca="1">IFERROR(__xludf.DUMMYFUNCTION("""COMPUTED_VALUE"""),"Toàn Phát - Việt Nam")</f>
        <v>Toàn Phát - Việt Nam</v>
      </c>
      <c r="B218" s="587" t="str">
        <f ca="1">IFERROR(__xludf.DUMMYFUNCTION("""COMPUTED_VALUE"""),"ĐTPCAYDI")</f>
        <v>ĐTPCAYDI</v>
      </c>
      <c r="C218" s="587" t="str">
        <f ca="1">IFERROR(__xludf.DUMMYFUNCTION("""COMPUTED_VALUE"""),"DOT063506130")</f>
        <v>DOT063506130</v>
      </c>
      <c r="D218" s="588" t="str">
        <f ca="1">IFERROR(__xludf.DUMMYFUNCTION("""COMPUTED_VALUE"""),"Đồng ống thẳng 06.35x0.61x3.0")</f>
        <v>Đồng ống thẳng 06.35x0.61x3.0</v>
      </c>
      <c r="E218" s="589">
        <f ca="1">IFERROR(__xludf.DUMMYFUNCTION("""COMPUTED_VALUE"""),0.1)</f>
        <v>0.1</v>
      </c>
      <c r="F218" s="590" t="str">
        <f ca="1">IFERROR(__xludf.DUMMYFUNCTION("""COMPUTED_VALUE"""),"Cây")</f>
        <v>Cây</v>
      </c>
      <c r="G218" s="590" t="str">
        <f ca="1">IFERROR(__xludf.DUMMYFUNCTION("""COMPUTED_VALUE"""),"Cây 3m")</f>
        <v>Cây 3m</v>
      </c>
      <c r="H218" s="588" t="str">
        <f ca="1">IFERROR(__xludf.DUMMYFUNCTION("""COMPUTED_VALUE"""),"12")</f>
        <v>12</v>
      </c>
      <c r="I218" s="591">
        <f ca="1">IFERROR(__xludf.DUMMYFUNCTION("""COMPUTED_VALUE"""),0.304411715999999)</f>
        <v>0.304411715999999</v>
      </c>
      <c r="J218" s="592" t="str">
        <f ca="1">IFERROR(__xludf.DUMMYFUNCTION("""COMPUTED_VALUE""")," 06.35 ")</f>
        <v xml:space="preserve"> 06.35 </v>
      </c>
      <c r="K218" s="590" t="str">
        <f ca="1">IFERROR(__xludf.DUMMYFUNCTION("""COMPUTED_VALUE"""),"0.61")</f>
        <v>0.61</v>
      </c>
      <c r="L218" s="590">
        <f ca="1">IFERROR(__xludf.DUMMYFUNCTION("""COMPUTED_VALUE"""),3)</f>
        <v>3</v>
      </c>
      <c r="M218" s="590"/>
      <c r="N218" s="590" t="str">
        <f ca="1">IFERROR(__xludf.DUMMYFUNCTION("""COMPUTED_VALUE"""),"Dị_D&lt;54")</f>
        <v>Dị_D&lt;54</v>
      </c>
      <c r="O218" s="589"/>
      <c r="P218" s="590"/>
    </row>
    <row r="219" spans="1:16" ht="15.75">
      <c r="A219" s="581" t="str">
        <f ca="1">IFERROR(__xludf.DUMMYFUNCTION("""COMPUTED_VALUE"""),"Toàn Phát - Việt Nam")</f>
        <v>Toàn Phát - Việt Nam</v>
      </c>
      <c r="B219" s="581" t="str">
        <f ca="1">IFERROR(__xludf.DUMMYFUNCTION("""COMPUTED_VALUE"""),"ĐTPCAYDI")</f>
        <v>ĐTPCAYDI</v>
      </c>
      <c r="C219" s="581" t="str">
        <f ca="1">IFERROR(__xludf.DUMMYFUNCTION("""COMPUTED_VALUE"""),"DOT063507003")</f>
        <v>DOT063507003</v>
      </c>
      <c r="D219" s="582" t="str">
        <f ca="1">IFERROR(__xludf.DUMMYFUNCTION("""COMPUTED_VALUE"""),"Đồng ống thẳng 06.35x0.70x3.0")</f>
        <v>Đồng ống thẳng 06.35x0.70x3.0</v>
      </c>
      <c r="E219" s="583">
        <f ca="1">IFERROR(__xludf.DUMMYFUNCTION("""COMPUTED_VALUE"""),0.1)</f>
        <v>0.1</v>
      </c>
      <c r="F219" s="584" t="str">
        <f ca="1">IFERROR(__xludf.DUMMYFUNCTION("""COMPUTED_VALUE"""),"Cây")</f>
        <v>Cây</v>
      </c>
      <c r="G219" s="584" t="str">
        <f ca="1">IFERROR(__xludf.DUMMYFUNCTION("""COMPUTED_VALUE"""),"Cây 3m")</f>
        <v>Cây 3m</v>
      </c>
      <c r="H219" s="582" t="str">
        <f ca="1">IFERROR(__xludf.DUMMYFUNCTION("""COMPUTED_VALUE"""),"12")</f>
        <v>12</v>
      </c>
      <c r="I219" s="585">
        <f ca="1">IFERROR(__xludf.DUMMYFUNCTION("""COMPUTED_VALUE"""),0.343847699999999)</f>
        <v>0.34384769999999898</v>
      </c>
      <c r="J219" s="586" t="str">
        <f ca="1">IFERROR(__xludf.DUMMYFUNCTION("""COMPUTED_VALUE""")," 06.35 ")</f>
        <v xml:space="preserve"> 06.35 </v>
      </c>
      <c r="K219" s="584" t="str">
        <f ca="1">IFERROR(__xludf.DUMMYFUNCTION("""COMPUTED_VALUE"""),"0.70")</f>
        <v>0.70</v>
      </c>
      <c r="L219" s="584">
        <f ca="1">IFERROR(__xludf.DUMMYFUNCTION("""COMPUTED_VALUE"""),3)</f>
        <v>3</v>
      </c>
      <c r="M219" s="584"/>
      <c r="N219" s="584" t="str">
        <f ca="1">IFERROR(__xludf.DUMMYFUNCTION("""COMPUTED_VALUE"""),"Dị_D&lt;54")</f>
        <v>Dị_D&lt;54</v>
      </c>
      <c r="O219" s="583"/>
      <c r="P219" s="584"/>
    </row>
    <row r="220" spans="1:16" ht="15.75">
      <c r="A220" s="587" t="str">
        <f ca="1">IFERROR(__xludf.DUMMYFUNCTION("""COMPUTED_VALUE"""),"Toàn Phát - Việt Nam")</f>
        <v>Toàn Phát - Việt Nam</v>
      </c>
      <c r="B220" s="587" t="str">
        <f ca="1">IFERROR(__xludf.DUMMYFUNCTION("""COMPUTED_VALUE"""),"ĐTPCAYDI")</f>
        <v>ĐTPCAYDI</v>
      </c>
      <c r="C220" s="587" t="str">
        <f ca="1">IFERROR(__xludf.DUMMYFUNCTION("""COMPUTED_VALUE"""),"DOT064005030")</f>
        <v>DOT064005030</v>
      </c>
      <c r="D220" s="588" t="str">
        <f ca="1">IFERROR(__xludf.DUMMYFUNCTION("""COMPUTED_VALUE"""),"Đồng ống thẳng 06.40x0.50x3.0")</f>
        <v>Đồng ống thẳng 06.40x0.50x3.0</v>
      </c>
      <c r="E220" s="589">
        <f ca="1">IFERROR(__xludf.DUMMYFUNCTION("""COMPUTED_VALUE"""),0.1)</f>
        <v>0.1</v>
      </c>
      <c r="F220" s="590" t="str">
        <f ca="1">IFERROR(__xludf.DUMMYFUNCTION("""COMPUTED_VALUE"""),"Cây")</f>
        <v>Cây</v>
      </c>
      <c r="G220" s="590" t="str">
        <f ca="1">IFERROR(__xludf.DUMMYFUNCTION("""COMPUTED_VALUE"""),"Cây 3m")</f>
        <v>Cây 3m</v>
      </c>
      <c r="H220" s="588"/>
      <c r="I220" s="591">
        <f ca="1">IFERROR(__xludf.DUMMYFUNCTION("""COMPUTED_VALUE"""),0.256473)</f>
        <v>0.25647300000000001</v>
      </c>
      <c r="J220" s="592" t="str">
        <f ca="1">IFERROR(__xludf.DUMMYFUNCTION("""COMPUTED_VALUE""")," 06.40 ")</f>
        <v xml:space="preserve"> 06.40 </v>
      </c>
      <c r="K220" s="590" t="str">
        <f ca="1">IFERROR(__xludf.DUMMYFUNCTION("""COMPUTED_VALUE"""),"0.50")</f>
        <v>0.50</v>
      </c>
      <c r="L220" s="590">
        <f ca="1">IFERROR(__xludf.DUMMYFUNCTION("""COMPUTED_VALUE"""),3)</f>
        <v>3</v>
      </c>
      <c r="M220" s="590"/>
      <c r="N220" s="590" t="str">
        <f ca="1">IFERROR(__xludf.DUMMYFUNCTION("""COMPUTED_VALUE"""),"Dị_D&lt;54")</f>
        <v>Dị_D&lt;54</v>
      </c>
      <c r="O220" s="589"/>
      <c r="P220" s="590"/>
    </row>
    <row r="221" spans="1:16" ht="15.75">
      <c r="A221" s="581" t="str">
        <f ca="1">IFERROR(__xludf.DUMMYFUNCTION("""COMPUTED_VALUE"""),"Toàn Phát - Việt Nam")</f>
        <v>Toàn Phát - Việt Nam</v>
      </c>
      <c r="B221" s="581" t="str">
        <f ca="1">IFERROR(__xludf.DUMMYFUNCTION("""COMPUTED_VALUE"""),"ĐTPCAYDI")</f>
        <v>ĐTPCAYDI</v>
      </c>
      <c r="C221" s="581" t="str">
        <f ca="1">IFERROR(__xludf.DUMMYFUNCTION("""COMPUTED_VALUE"""),"DOT064005530")</f>
        <v>DOT064005530</v>
      </c>
      <c r="D221" s="582" t="str">
        <f ca="1">IFERROR(__xludf.DUMMYFUNCTION("""COMPUTED_VALUE"""),"Đồng ống thẳng 06.40x0.55x3.0")</f>
        <v>Đồng ống thẳng 06.40x0.55x3.0</v>
      </c>
      <c r="E221" s="583">
        <f ca="1">IFERROR(__xludf.DUMMYFUNCTION("""COMPUTED_VALUE"""),0.1)</f>
        <v>0.1</v>
      </c>
      <c r="F221" s="584" t="str">
        <f ca="1">IFERROR(__xludf.DUMMYFUNCTION("""COMPUTED_VALUE"""),"Cây")</f>
        <v>Cây</v>
      </c>
      <c r="G221" s="584" t="str">
        <f ca="1">IFERROR(__xludf.DUMMYFUNCTION("""COMPUTED_VALUE"""),"Cây 3m")</f>
        <v>Cây 3m</v>
      </c>
      <c r="H221" s="582"/>
      <c r="I221" s="585">
        <f ca="1">IFERROR(__xludf.DUMMYFUNCTION("""COMPUTED_VALUE"""),0.27972945)</f>
        <v>0.27972944999999999</v>
      </c>
      <c r="J221" s="586" t="str">
        <f ca="1">IFERROR(__xludf.DUMMYFUNCTION("""COMPUTED_VALUE""")," 06.40 ")</f>
        <v xml:space="preserve"> 06.40 </v>
      </c>
      <c r="K221" s="584" t="str">
        <f ca="1">IFERROR(__xludf.DUMMYFUNCTION("""COMPUTED_VALUE"""),"0.55")</f>
        <v>0.55</v>
      </c>
      <c r="L221" s="584">
        <f ca="1">IFERROR(__xludf.DUMMYFUNCTION("""COMPUTED_VALUE"""),3)</f>
        <v>3</v>
      </c>
      <c r="M221" s="584"/>
      <c r="N221" s="584" t="str">
        <f ca="1">IFERROR(__xludf.DUMMYFUNCTION("""COMPUTED_VALUE"""),"Dị_D&lt;54")</f>
        <v>Dị_D&lt;54</v>
      </c>
      <c r="O221" s="583"/>
      <c r="P221" s="584"/>
    </row>
    <row r="222" spans="1:16" ht="15.75">
      <c r="A222" s="587" t="str">
        <f ca="1">IFERROR(__xludf.DUMMYFUNCTION("""COMPUTED_VALUE"""),"Toàn Phát - Việt Nam")</f>
        <v>Toàn Phát - Việt Nam</v>
      </c>
      <c r="B222" s="587" t="str">
        <f ca="1">IFERROR(__xludf.DUMMYFUNCTION("""COMPUTED_VALUE"""),"ĐTPCAYDI")</f>
        <v>ĐTPCAYDI</v>
      </c>
      <c r="C222" s="587" t="str">
        <f ca="1">IFERROR(__xludf.DUMMYFUNCTION("""COMPUTED_VALUE"""),"DOT064005630")</f>
        <v>DOT064005630</v>
      </c>
      <c r="D222" s="588" t="str">
        <f ca="1">IFERROR(__xludf.DUMMYFUNCTION("""COMPUTED_VALUE"""),"Đồng ống thẳng 06.40x0.56x3.0")</f>
        <v>Đồng ống thẳng 06.40x0.56x3.0</v>
      </c>
      <c r="E222" s="589">
        <f ca="1">IFERROR(__xludf.DUMMYFUNCTION("""COMPUTED_VALUE"""),0.1)</f>
        <v>0.1</v>
      </c>
      <c r="F222" s="590" t="str">
        <f ca="1">IFERROR(__xludf.DUMMYFUNCTION("""COMPUTED_VALUE"""),"Cây")</f>
        <v>Cây</v>
      </c>
      <c r="G222" s="590" t="str">
        <f ca="1">IFERROR(__xludf.DUMMYFUNCTION("""COMPUTED_VALUE"""),"Cây 3m")</f>
        <v>Cây 3m</v>
      </c>
      <c r="H222" s="588"/>
      <c r="I222" s="591">
        <f ca="1">IFERROR(__xludf.DUMMYFUNCTION("""COMPUTED_VALUE"""),0.284328576)</f>
        <v>0.284328576</v>
      </c>
      <c r="J222" s="592" t="str">
        <f ca="1">IFERROR(__xludf.DUMMYFUNCTION("""COMPUTED_VALUE""")," 06.40 ")</f>
        <v xml:space="preserve"> 06.40 </v>
      </c>
      <c r="K222" s="590" t="str">
        <f ca="1">IFERROR(__xludf.DUMMYFUNCTION("""COMPUTED_VALUE"""),"0.56")</f>
        <v>0.56</v>
      </c>
      <c r="L222" s="590">
        <f ca="1">IFERROR(__xludf.DUMMYFUNCTION("""COMPUTED_VALUE"""),3)</f>
        <v>3</v>
      </c>
      <c r="M222" s="590"/>
      <c r="N222" s="590" t="str">
        <f ca="1">IFERROR(__xludf.DUMMYFUNCTION("""COMPUTED_VALUE"""),"Dị_D&lt;54")</f>
        <v>Dị_D&lt;54</v>
      </c>
      <c r="O222" s="589"/>
      <c r="P222" s="590"/>
    </row>
    <row r="223" spans="1:16" ht="15.75">
      <c r="A223" s="581" t="str">
        <f ca="1">IFERROR(__xludf.DUMMYFUNCTION("""COMPUTED_VALUE"""),"Toàn Phát - Việt Nam")</f>
        <v>Toàn Phát - Việt Nam</v>
      </c>
      <c r="B223" s="581" t="str">
        <f ca="1">IFERROR(__xludf.DUMMYFUNCTION("""COMPUTED_VALUE"""),"ĐTPCAYDI")</f>
        <v>ĐTPCAYDI</v>
      </c>
      <c r="C223" s="581" t="str">
        <f ca="1">IFERROR(__xludf.DUMMYFUNCTION("""COMPUTED_VALUE"""),"DOT064006030")</f>
        <v>DOT064006030</v>
      </c>
      <c r="D223" s="582" t="str">
        <f ca="1">IFERROR(__xludf.DUMMYFUNCTION("""COMPUTED_VALUE"""),"Đồng ống thẳng 06.40x0.60x3.0")</f>
        <v>Đồng ống thẳng 06.40x0.60x3.0</v>
      </c>
      <c r="E223" s="583">
        <f ca="1">IFERROR(__xludf.DUMMYFUNCTION("""COMPUTED_VALUE"""),0.1)</f>
        <v>0.1</v>
      </c>
      <c r="F223" s="584" t="str">
        <f ca="1">IFERROR(__xludf.DUMMYFUNCTION("""COMPUTED_VALUE"""),"Cây")</f>
        <v>Cây</v>
      </c>
      <c r="G223" s="584" t="str">
        <f ca="1">IFERROR(__xludf.DUMMYFUNCTION("""COMPUTED_VALUE"""),"Cây 3m")</f>
        <v>Cây 3m</v>
      </c>
      <c r="H223" s="582"/>
      <c r="I223" s="585">
        <f ca="1">IFERROR(__xludf.DUMMYFUNCTION("""COMPUTED_VALUE"""),0.3025512)</f>
        <v>0.30255120000000002</v>
      </c>
      <c r="J223" s="586" t="str">
        <f ca="1">IFERROR(__xludf.DUMMYFUNCTION("""COMPUTED_VALUE""")," 06.40 ")</f>
        <v xml:space="preserve"> 06.40 </v>
      </c>
      <c r="K223" s="584" t="str">
        <f ca="1">IFERROR(__xludf.DUMMYFUNCTION("""COMPUTED_VALUE"""),"0.60")</f>
        <v>0.60</v>
      </c>
      <c r="L223" s="584">
        <f ca="1">IFERROR(__xludf.DUMMYFUNCTION("""COMPUTED_VALUE"""),3)</f>
        <v>3</v>
      </c>
      <c r="M223" s="584"/>
      <c r="N223" s="584" t="str">
        <f ca="1">IFERROR(__xludf.DUMMYFUNCTION("""COMPUTED_VALUE"""),"Dị_D&lt;54")</f>
        <v>Dị_D&lt;54</v>
      </c>
      <c r="O223" s="583"/>
      <c r="P223" s="584"/>
    </row>
    <row r="224" spans="1:16" ht="15.75">
      <c r="A224" s="587" t="str">
        <f ca="1">IFERROR(__xludf.DUMMYFUNCTION("""COMPUTED_VALUE"""),"Toàn Phát - Việt Nam")</f>
        <v>Toàn Phát - Việt Nam</v>
      </c>
      <c r="B224" s="587" t="str">
        <f ca="1">IFERROR(__xludf.DUMMYFUNCTION("""COMPUTED_VALUE"""),"ĐTPCAYDI")</f>
        <v>ĐTPCAYDI</v>
      </c>
      <c r="C224" s="587" t="str">
        <f ca="1">IFERROR(__xludf.DUMMYFUNCTION("""COMPUTED_VALUE"""),"DOT064006530")</f>
        <v>DOT064006530</v>
      </c>
      <c r="D224" s="588" t="str">
        <f ca="1">IFERROR(__xludf.DUMMYFUNCTION("""COMPUTED_VALUE"""),"Đồng ống thẳng 06.40x0.65x3.0")</f>
        <v>Đồng ống thẳng 06.40x0.65x3.0</v>
      </c>
      <c r="E224" s="589">
        <f ca="1">IFERROR(__xludf.DUMMYFUNCTION("""COMPUTED_VALUE"""),0.1)</f>
        <v>0.1</v>
      </c>
      <c r="F224" s="590" t="str">
        <f ca="1">IFERROR(__xludf.DUMMYFUNCTION("""COMPUTED_VALUE"""),"Cây")</f>
        <v>Cây</v>
      </c>
      <c r="G224" s="590" t="str">
        <f ca="1">IFERROR(__xludf.DUMMYFUNCTION("""COMPUTED_VALUE"""),"Cây 3m")</f>
        <v>Cây 3m</v>
      </c>
      <c r="H224" s="588"/>
      <c r="I224" s="591">
        <f ca="1">IFERROR(__xludf.DUMMYFUNCTION("""COMPUTED_VALUE"""),0.32493825)</f>
        <v>0.32493824999999998</v>
      </c>
      <c r="J224" s="592" t="str">
        <f ca="1">IFERROR(__xludf.DUMMYFUNCTION("""COMPUTED_VALUE""")," 06.40 ")</f>
        <v xml:space="preserve"> 06.40 </v>
      </c>
      <c r="K224" s="590" t="str">
        <f ca="1">IFERROR(__xludf.DUMMYFUNCTION("""COMPUTED_VALUE"""),"0.65")</f>
        <v>0.65</v>
      </c>
      <c r="L224" s="590">
        <f ca="1">IFERROR(__xludf.DUMMYFUNCTION("""COMPUTED_VALUE"""),3)</f>
        <v>3</v>
      </c>
      <c r="M224" s="590"/>
      <c r="N224" s="590" t="str">
        <f ca="1">IFERROR(__xludf.DUMMYFUNCTION("""COMPUTED_VALUE"""),"Dị_D&lt;54")</f>
        <v>Dị_D&lt;54</v>
      </c>
      <c r="O224" s="589"/>
      <c r="P224" s="590"/>
    </row>
    <row r="225" spans="1:16" ht="15.75">
      <c r="A225" s="581" t="str">
        <f ca="1">IFERROR(__xludf.DUMMYFUNCTION("""COMPUTED_VALUE"""),"Toàn Phát - Việt Nam")</f>
        <v>Toàn Phát - Việt Nam</v>
      </c>
      <c r="B225" s="581" t="str">
        <f ca="1">IFERROR(__xludf.DUMMYFUNCTION("""COMPUTED_VALUE"""),"ĐTPCAYDI")</f>
        <v>ĐTPCAYDI</v>
      </c>
      <c r="C225" s="581" t="str">
        <f ca="1">IFERROR(__xludf.DUMMYFUNCTION("""COMPUTED_VALUE"""),"DOT065005130")</f>
        <v>DOT065005130</v>
      </c>
      <c r="D225" s="582" t="str">
        <f ca="1">IFERROR(__xludf.DUMMYFUNCTION("""COMPUTED_VALUE"""),"Đồng ống thẳng 06.50x0.51x3.0")</f>
        <v>Đồng ống thẳng 06.50x0.51x3.0</v>
      </c>
      <c r="E225" s="583">
        <f ca="1">IFERROR(__xludf.DUMMYFUNCTION("""COMPUTED_VALUE"""),0.1)</f>
        <v>0.1</v>
      </c>
      <c r="F225" s="584" t="str">
        <f ca="1">IFERROR(__xludf.DUMMYFUNCTION("""COMPUTED_VALUE"""),"Cây")</f>
        <v>Cây</v>
      </c>
      <c r="G225" s="584" t="str">
        <f ca="1">IFERROR(__xludf.DUMMYFUNCTION("""COMPUTED_VALUE"""),"Cây 3m")</f>
        <v>Cây 3m</v>
      </c>
      <c r="H225" s="582"/>
      <c r="I225" s="585">
        <f ca="1">IFERROR(__xludf.DUMMYFUNCTION("""COMPUTED_VALUE"""),0.265593005999999)</f>
        <v>0.26559300599999902</v>
      </c>
      <c r="J225" s="586" t="str">
        <f ca="1">IFERROR(__xludf.DUMMYFUNCTION("""COMPUTED_VALUE""")," 06.50 ")</f>
        <v xml:space="preserve"> 06.50 </v>
      </c>
      <c r="K225" s="584" t="str">
        <f ca="1">IFERROR(__xludf.DUMMYFUNCTION("""COMPUTED_VALUE"""),"0.51")</f>
        <v>0.51</v>
      </c>
      <c r="L225" s="584">
        <f ca="1">IFERROR(__xludf.DUMMYFUNCTION("""COMPUTED_VALUE"""),3)</f>
        <v>3</v>
      </c>
      <c r="M225" s="584"/>
      <c r="N225" s="584" t="str">
        <f ca="1">IFERROR(__xludf.DUMMYFUNCTION("""COMPUTED_VALUE"""),"Dị_D&lt;54")</f>
        <v>Dị_D&lt;54</v>
      </c>
      <c r="O225" s="583"/>
      <c r="P225" s="584"/>
    </row>
    <row r="226" spans="1:16" ht="15.75">
      <c r="A226" s="587" t="str">
        <f ca="1">IFERROR(__xludf.DUMMYFUNCTION("""COMPUTED_VALUE"""),"Toàn Phát - Việt Nam")</f>
        <v>Toàn Phát - Việt Nam</v>
      </c>
      <c r="B226" s="587" t="str">
        <f ca="1">IFERROR(__xludf.DUMMYFUNCTION("""COMPUTED_VALUE"""),"ĐTPCAYDI")</f>
        <v>ĐTPCAYDI</v>
      </c>
      <c r="C226" s="587" t="str">
        <f ca="1">IFERROR(__xludf.DUMMYFUNCTION("""COMPUTED_VALUE"""),"DOT065005515")</f>
        <v>DOT065005515</v>
      </c>
      <c r="D226" s="588" t="str">
        <f ca="1">IFERROR(__xludf.DUMMYFUNCTION("""COMPUTED_VALUE"""),"Đồng ống thẳng 06.50x0.55x1.5")</f>
        <v>Đồng ống thẳng 06.50x0.55x1.5</v>
      </c>
      <c r="E226" s="589">
        <f ca="1">IFERROR(__xludf.DUMMYFUNCTION("""COMPUTED_VALUE"""),0.1)</f>
        <v>0.1</v>
      </c>
      <c r="F226" s="590" t="str">
        <f ca="1">IFERROR(__xludf.DUMMYFUNCTION("""COMPUTED_VALUE"""),"Cây")</f>
        <v>Cây</v>
      </c>
      <c r="G226" s="590" t="str">
        <f ca="1">IFERROR(__xludf.DUMMYFUNCTION("""COMPUTED_VALUE"""),"Cây 1.5m")</f>
        <v>Cây 1.5m</v>
      </c>
      <c r="H226" s="588"/>
      <c r="I226" s="591">
        <f ca="1">IFERROR(__xludf.DUMMYFUNCTION("""COMPUTED_VALUE"""),0.142255575)</f>
        <v>0.142255575</v>
      </c>
      <c r="J226" s="592" t="str">
        <f ca="1">IFERROR(__xludf.DUMMYFUNCTION("""COMPUTED_VALUE""")," 06.50 ")</f>
        <v xml:space="preserve"> 06.50 </v>
      </c>
      <c r="K226" s="590" t="str">
        <f ca="1">IFERROR(__xludf.DUMMYFUNCTION("""COMPUTED_VALUE"""),"0.55")</f>
        <v>0.55</v>
      </c>
      <c r="L226" s="590">
        <f ca="1">IFERROR(__xludf.DUMMYFUNCTION("""COMPUTED_VALUE"""),1.5)</f>
        <v>1.5</v>
      </c>
      <c r="M226" s="590"/>
      <c r="N226" s="590" t="str">
        <f ca="1">IFERROR(__xludf.DUMMYFUNCTION("""COMPUTED_VALUE"""),"Dị_D&lt;54")</f>
        <v>Dị_D&lt;54</v>
      </c>
      <c r="O226" s="589"/>
      <c r="P226" s="590"/>
    </row>
    <row r="227" spans="1:16" ht="15.75">
      <c r="A227" s="581" t="str">
        <f ca="1">IFERROR(__xludf.DUMMYFUNCTION("""COMPUTED_VALUE"""),"Toàn Phát - Việt Nam")</f>
        <v>Toàn Phát - Việt Nam</v>
      </c>
      <c r="B227" s="581" t="str">
        <f ca="1">IFERROR(__xludf.DUMMYFUNCTION("""COMPUTED_VALUE"""),"ĐTPCAYDI")</f>
        <v>ĐTPCAYDI</v>
      </c>
      <c r="C227" s="581" t="str">
        <f ca="1">IFERROR(__xludf.DUMMYFUNCTION("""COMPUTED_VALUE"""),"DOT065005530")</f>
        <v>DOT065005530</v>
      </c>
      <c r="D227" s="582" t="str">
        <f ca="1">IFERROR(__xludf.DUMMYFUNCTION("""COMPUTED_VALUE"""),"Đồng ống thẳng 06.50x0.55x3.0")</f>
        <v>Đồng ống thẳng 06.50x0.55x3.0</v>
      </c>
      <c r="E227" s="583">
        <f ca="1">IFERROR(__xludf.DUMMYFUNCTION("""COMPUTED_VALUE"""),0.1)</f>
        <v>0.1</v>
      </c>
      <c r="F227" s="584" t="str">
        <f ca="1">IFERROR(__xludf.DUMMYFUNCTION("""COMPUTED_VALUE"""),"Cây")</f>
        <v>Cây</v>
      </c>
      <c r="G227" s="584" t="str">
        <f ca="1">IFERROR(__xludf.DUMMYFUNCTION("""COMPUTED_VALUE"""),"Cây 3m")</f>
        <v>Cây 3m</v>
      </c>
      <c r="H227" s="582"/>
      <c r="I227" s="585">
        <f ca="1">IFERROR(__xludf.DUMMYFUNCTION("""COMPUTED_VALUE"""),0.28451115)</f>
        <v>0.28451114999999999</v>
      </c>
      <c r="J227" s="586" t="str">
        <f ca="1">IFERROR(__xludf.DUMMYFUNCTION("""COMPUTED_VALUE""")," 06.50 ")</f>
        <v xml:space="preserve"> 06.50 </v>
      </c>
      <c r="K227" s="584" t="str">
        <f ca="1">IFERROR(__xludf.DUMMYFUNCTION("""COMPUTED_VALUE"""),"0.55")</f>
        <v>0.55</v>
      </c>
      <c r="L227" s="584">
        <f ca="1">IFERROR(__xludf.DUMMYFUNCTION("""COMPUTED_VALUE"""),3)</f>
        <v>3</v>
      </c>
      <c r="M227" s="584"/>
      <c r="N227" s="584" t="str">
        <f ca="1">IFERROR(__xludf.DUMMYFUNCTION("""COMPUTED_VALUE"""),"Dị_D&lt;54")</f>
        <v>Dị_D&lt;54</v>
      </c>
      <c r="O227" s="583"/>
      <c r="P227" s="584"/>
    </row>
    <row r="228" spans="1:16" ht="15.75">
      <c r="A228" s="587" t="str">
        <f ca="1">IFERROR(__xludf.DUMMYFUNCTION("""COMPUTED_VALUE"""),"Toàn Phát - Việt Nam")</f>
        <v>Toàn Phát - Việt Nam</v>
      </c>
      <c r="B228" s="587" t="str">
        <f ca="1">IFERROR(__xludf.DUMMYFUNCTION("""COMPUTED_VALUE"""),"ĐTPCAYDI")</f>
        <v>ĐTPCAYDI</v>
      </c>
      <c r="C228" s="587" t="str">
        <f ca="1">IFERROR(__xludf.DUMMYFUNCTION("""COMPUTED_VALUE"""),"DOT065006029")</f>
        <v>DOT065006029</v>
      </c>
      <c r="D228" s="588" t="str">
        <f ca="1">IFERROR(__xludf.DUMMYFUNCTION("""COMPUTED_VALUE"""),"Đồng ống thẳng 06.50x0.60x2.9")</f>
        <v>Đồng ống thẳng 06.50x0.60x2.9</v>
      </c>
      <c r="E228" s="589">
        <f ca="1">IFERROR(__xludf.DUMMYFUNCTION("""COMPUTED_VALUE"""),0.1)</f>
        <v>0.1</v>
      </c>
      <c r="F228" s="590" t="str">
        <f ca="1">IFERROR(__xludf.DUMMYFUNCTION("""COMPUTED_VALUE"""),"Cây")</f>
        <v>Cây</v>
      </c>
      <c r="G228" s="590" t="str">
        <f ca="1">IFERROR(__xludf.DUMMYFUNCTION("""COMPUTED_VALUE"""),"Cây 2.9m")</f>
        <v>Cây 2.9m</v>
      </c>
      <c r="H228" s="588"/>
      <c r="I228" s="591">
        <f ca="1">IFERROR(__xludf.DUMMYFUNCTION("""COMPUTED_VALUE"""),0.297508679999999)</f>
        <v>0.29750867999999903</v>
      </c>
      <c r="J228" s="592" t="str">
        <f ca="1">IFERROR(__xludf.DUMMYFUNCTION("""COMPUTED_VALUE""")," 06.50 ")</f>
        <v xml:space="preserve"> 06.50 </v>
      </c>
      <c r="K228" s="590" t="str">
        <f ca="1">IFERROR(__xludf.DUMMYFUNCTION("""COMPUTED_VALUE"""),"0.60")</f>
        <v>0.60</v>
      </c>
      <c r="L228" s="590">
        <f ca="1">IFERROR(__xludf.DUMMYFUNCTION("""COMPUTED_VALUE"""),2.9)</f>
        <v>2.9</v>
      </c>
      <c r="M228" s="590"/>
      <c r="N228" s="590" t="str">
        <f ca="1">IFERROR(__xludf.DUMMYFUNCTION("""COMPUTED_VALUE"""),"Dị_D&lt;54")</f>
        <v>Dị_D&lt;54</v>
      </c>
      <c r="O228" s="589"/>
      <c r="P228" s="590"/>
    </row>
    <row r="229" spans="1:16" ht="15.75">
      <c r="A229" s="581" t="str">
        <f ca="1">IFERROR(__xludf.DUMMYFUNCTION("""COMPUTED_VALUE"""),"Toàn Phát - Việt Nam")</f>
        <v>Toàn Phát - Việt Nam</v>
      </c>
      <c r="B229" s="581" t="str">
        <f ca="1">IFERROR(__xludf.DUMMYFUNCTION("""COMPUTED_VALUE"""),"ĐTPCAYDI")</f>
        <v>ĐTPCAYDI</v>
      </c>
      <c r="C229" s="581" t="str">
        <f ca="1">IFERROR(__xludf.DUMMYFUNCTION("""COMPUTED_VALUE"""),"DOT065006030")</f>
        <v>DOT065006030</v>
      </c>
      <c r="D229" s="582" t="str">
        <f ca="1">IFERROR(__xludf.DUMMYFUNCTION("""COMPUTED_VALUE"""),"Đồng ống thẳng 06.50x0.60x3.0")</f>
        <v>Đồng ống thẳng 06.50x0.60x3.0</v>
      </c>
      <c r="E229" s="583">
        <f ca="1">IFERROR(__xludf.DUMMYFUNCTION("""COMPUTED_VALUE"""),0.1)</f>
        <v>0.1</v>
      </c>
      <c r="F229" s="584" t="str">
        <f ca="1">IFERROR(__xludf.DUMMYFUNCTION("""COMPUTED_VALUE"""),"Cây")</f>
        <v>Cây</v>
      </c>
      <c r="G229" s="584" t="str">
        <f ca="1">IFERROR(__xludf.DUMMYFUNCTION("""COMPUTED_VALUE"""),"Cây 3m")</f>
        <v>Cây 3m</v>
      </c>
      <c r="H229" s="582"/>
      <c r="I229" s="585">
        <f ca="1">IFERROR(__xludf.DUMMYFUNCTION("""COMPUTED_VALUE"""),0.3077676)</f>
        <v>0.30776759999999997</v>
      </c>
      <c r="J229" s="586" t="str">
        <f ca="1">IFERROR(__xludf.DUMMYFUNCTION("""COMPUTED_VALUE""")," 06.50 ")</f>
        <v xml:space="preserve"> 06.50 </v>
      </c>
      <c r="K229" s="584" t="str">
        <f ca="1">IFERROR(__xludf.DUMMYFUNCTION("""COMPUTED_VALUE"""),"0.60")</f>
        <v>0.60</v>
      </c>
      <c r="L229" s="584">
        <f ca="1">IFERROR(__xludf.DUMMYFUNCTION("""COMPUTED_VALUE"""),3)</f>
        <v>3</v>
      </c>
      <c r="M229" s="584"/>
      <c r="N229" s="584" t="str">
        <f ca="1">IFERROR(__xludf.DUMMYFUNCTION("""COMPUTED_VALUE"""),"Dị_D&lt;54")</f>
        <v>Dị_D&lt;54</v>
      </c>
      <c r="O229" s="583"/>
      <c r="P229" s="584"/>
    </row>
    <row r="230" spans="1:16" ht="15.75">
      <c r="A230" s="587" t="str">
        <f ca="1">IFERROR(__xludf.DUMMYFUNCTION("""COMPUTED_VALUE"""),"Toàn Phát - Việt Nam")</f>
        <v>Toàn Phát - Việt Nam</v>
      </c>
      <c r="B230" s="587" t="str">
        <f ca="1">IFERROR(__xludf.DUMMYFUNCTION("""COMPUTED_VALUE"""),"ĐTPCAYDI")</f>
        <v>ĐTPCAYDI</v>
      </c>
      <c r="C230" s="587" t="str">
        <f ca="1">IFERROR(__xludf.DUMMYFUNCTION("""COMPUTED_VALUE"""),"DOT065006130")</f>
        <v>DOT065006130</v>
      </c>
      <c r="D230" s="588" t="str">
        <f ca="1">IFERROR(__xludf.DUMMYFUNCTION("""COMPUTED_VALUE"""),"Đồng ống thẳng 06.50x0.61x3.0")</f>
        <v>Đồng ống thẳng 06.50x0.61x3.0</v>
      </c>
      <c r="E230" s="589">
        <f ca="1">IFERROR(__xludf.DUMMYFUNCTION("""COMPUTED_VALUE"""),0.1)</f>
        <v>0.1</v>
      </c>
      <c r="F230" s="590" t="str">
        <f ca="1">IFERROR(__xludf.DUMMYFUNCTION("""COMPUTED_VALUE"""),"Cây")</f>
        <v>Cây</v>
      </c>
      <c r="G230" s="590" t="str">
        <f ca="1">IFERROR(__xludf.DUMMYFUNCTION("""COMPUTED_VALUE"""),"Cây 3m")</f>
        <v>Cây 3m</v>
      </c>
      <c r="H230" s="588"/>
      <c r="I230" s="591">
        <f ca="1">IFERROR(__xludf.DUMMYFUNCTION("""COMPUTED_VALUE"""),0.312366726)</f>
        <v>0.31236672599999998</v>
      </c>
      <c r="J230" s="592" t="str">
        <f ca="1">IFERROR(__xludf.DUMMYFUNCTION("""COMPUTED_VALUE""")," 06.50 ")</f>
        <v xml:space="preserve"> 06.50 </v>
      </c>
      <c r="K230" s="590" t="str">
        <f ca="1">IFERROR(__xludf.DUMMYFUNCTION("""COMPUTED_VALUE"""),"0.61")</f>
        <v>0.61</v>
      </c>
      <c r="L230" s="590">
        <f ca="1">IFERROR(__xludf.DUMMYFUNCTION("""COMPUTED_VALUE"""),3)</f>
        <v>3</v>
      </c>
      <c r="M230" s="590"/>
      <c r="N230" s="590" t="str">
        <f ca="1">IFERROR(__xludf.DUMMYFUNCTION("""COMPUTED_VALUE"""),"Dị_D&lt;54")</f>
        <v>Dị_D&lt;54</v>
      </c>
      <c r="O230" s="589"/>
      <c r="P230" s="590"/>
    </row>
    <row r="231" spans="1:16" ht="15.75">
      <c r="A231" s="581" t="str">
        <f ca="1">IFERROR(__xludf.DUMMYFUNCTION("""COMPUTED_VALUE"""),"Toàn Phát - Việt Nam")</f>
        <v>Toàn Phát - Việt Nam</v>
      </c>
      <c r="B231" s="581" t="str">
        <f ca="1">IFERROR(__xludf.DUMMYFUNCTION("""COMPUTED_VALUE"""),"ĐTPCAYDI")</f>
        <v>ĐTPCAYDI</v>
      </c>
      <c r="C231" s="581" t="str">
        <f ca="1">IFERROR(__xludf.DUMMYFUNCTION("""COMPUTED_VALUE"""),"DOT065006515")</f>
        <v>DOT065006515</v>
      </c>
      <c r="D231" s="582" t="str">
        <f ca="1">IFERROR(__xludf.DUMMYFUNCTION("""COMPUTED_VALUE"""),"Đồng ống thẳng 06.50x0.65x1.5")</f>
        <v>Đồng ống thẳng 06.50x0.65x1.5</v>
      </c>
      <c r="E231" s="583">
        <f ca="1">IFERROR(__xludf.DUMMYFUNCTION("""COMPUTED_VALUE"""),0.1)</f>
        <v>0.1</v>
      </c>
      <c r="F231" s="584" t="str">
        <f ca="1">IFERROR(__xludf.DUMMYFUNCTION("""COMPUTED_VALUE"""),"Cây")</f>
        <v>Cây</v>
      </c>
      <c r="G231" s="584" t="str">
        <f ca="1">IFERROR(__xludf.DUMMYFUNCTION("""COMPUTED_VALUE"""),"Cây 1.5m")</f>
        <v>Cây 1.5m</v>
      </c>
      <c r="H231" s="582"/>
      <c r="I231" s="585">
        <f ca="1">IFERROR(__xludf.DUMMYFUNCTION("""COMPUTED_VALUE"""),0.165294674999999)</f>
        <v>0.165294674999999</v>
      </c>
      <c r="J231" s="586" t="str">
        <f ca="1">IFERROR(__xludf.DUMMYFUNCTION("""COMPUTED_VALUE""")," 06.50 ")</f>
        <v xml:space="preserve"> 06.50 </v>
      </c>
      <c r="K231" s="584" t="str">
        <f ca="1">IFERROR(__xludf.DUMMYFUNCTION("""COMPUTED_VALUE"""),"0.65")</f>
        <v>0.65</v>
      </c>
      <c r="L231" s="584">
        <f ca="1">IFERROR(__xludf.DUMMYFUNCTION("""COMPUTED_VALUE"""),1.5)</f>
        <v>1.5</v>
      </c>
      <c r="M231" s="584"/>
      <c r="N231" s="584" t="str">
        <f ca="1">IFERROR(__xludf.DUMMYFUNCTION("""COMPUTED_VALUE"""),"Dị_D&lt;54")</f>
        <v>Dị_D&lt;54</v>
      </c>
      <c r="O231" s="583"/>
      <c r="P231" s="584"/>
    </row>
    <row r="232" spans="1:16" ht="15.75">
      <c r="A232" s="587" t="str">
        <f ca="1">IFERROR(__xludf.DUMMYFUNCTION("""COMPUTED_VALUE"""),"Toàn Phát - Việt Nam")</f>
        <v>Toàn Phát - Việt Nam</v>
      </c>
      <c r="B232" s="587" t="str">
        <f ca="1">IFERROR(__xludf.DUMMYFUNCTION("""COMPUTED_VALUE"""),"ĐTPCAYDI")</f>
        <v>ĐTPCAYDI</v>
      </c>
      <c r="C232" s="587" t="str">
        <f ca="1">IFERROR(__xludf.DUMMYFUNCTION("""COMPUTED_VALUE"""),"DOT065006530")</f>
        <v>DOT065006530</v>
      </c>
      <c r="D232" s="588" t="str">
        <f ca="1">IFERROR(__xludf.DUMMYFUNCTION("""COMPUTED_VALUE"""),"Đồng ống thẳng 06.50x0.65x3.0")</f>
        <v>Đồng ống thẳng 06.50x0.65x3.0</v>
      </c>
      <c r="E232" s="589">
        <f ca="1">IFERROR(__xludf.DUMMYFUNCTION("""COMPUTED_VALUE"""),0.1)</f>
        <v>0.1</v>
      </c>
      <c r="F232" s="590" t="str">
        <f ca="1">IFERROR(__xludf.DUMMYFUNCTION("""COMPUTED_VALUE"""),"Cây")</f>
        <v>Cây</v>
      </c>
      <c r="G232" s="590" t="str">
        <f ca="1">IFERROR(__xludf.DUMMYFUNCTION("""COMPUTED_VALUE"""),"Cây 3m")</f>
        <v>Cây 3m</v>
      </c>
      <c r="H232" s="588"/>
      <c r="I232" s="591">
        <f ca="1">IFERROR(__xludf.DUMMYFUNCTION("""COMPUTED_VALUE"""),0.330589349999999)</f>
        <v>0.330589349999999</v>
      </c>
      <c r="J232" s="592" t="str">
        <f ca="1">IFERROR(__xludf.DUMMYFUNCTION("""COMPUTED_VALUE""")," 06.50 ")</f>
        <v xml:space="preserve"> 06.50 </v>
      </c>
      <c r="K232" s="590" t="str">
        <f ca="1">IFERROR(__xludf.DUMMYFUNCTION("""COMPUTED_VALUE"""),"0.65")</f>
        <v>0.65</v>
      </c>
      <c r="L232" s="590">
        <f ca="1">IFERROR(__xludf.DUMMYFUNCTION("""COMPUTED_VALUE"""),3)</f>
        <v>3</v>
      </c>
      <c r="M232" s="590"/>
      <c r="N232" s="590" t="str">
        <f ca="1">IFERROR(__xludf.DUMMYFUNCTION("""COMPUTED_VALUE"""),"Dị_D&lt;54")</f>
        <v>Dị_D&lt;54</v>
      </c>
      <c r="O232" s="589"/>
      <c r="P232" s="590"/>
    </row>
    <row r="233" spans="1:16" ht="15.75">
      <c r="A233" s="581" t="str">
        <f ca="1">IFERROR(__xludf.DUMMYFUNCTION("""COMPUTED_VALUE"""),"Toàn Phát - Việt Nam")</f>
        <v>Toàn Phát - Việt Nam</v>
      </c>
      <c r="B233" s="581" t="str">
        <f ca="1">IFERROR(__xludf.DUMMYFUNCTION("""COMPUTED_VALUE"""),"ĐTPCAYDI")</f>
        <v>ĐTPCAYDI</v>
      </c>
      <c r="C233" s="581" t="str">
        <f ca="1">IFERROR(__xludf.DUMMYFUNCTION("""COMPUTED_VALUE"""),"DOT065007030")</f>
        <v>DOT065007030</v>
      </c>
      <c r="D233" s="582" t="str">
        <f ca="1">IFERROR(__xludf.DUMMYFUNCTION("""COMPUTED_VALUE"""),"Đồng ống thẳng 06.50x0.70x3.0")</f>
        <v>Đồng ống thẳng 06.50x0.70x3.0</v>
      </c>
      <c r="E233" s="583">
        <f ca="1">IFERROR(__xludf.DUMMYFUNCTION("""COMPUTED_VALUE"""),0.1)</f>
        <v>0.1</v>
      </c>
      <c r="F233" s="584" t="str">
        <f ca="1">IFERROR(__xludf.DUMMYFUNCTION("""COMPUTED_VALUE"""),"Cây")</f>
        <v>Cây</v>
      </c>
      <c r="G233" s="584" t="str">
        <f ca="1">IFERROR(__xludf.DUMMYFUNCTION("""COMPUTED_VALUE"""),"Cây 3m")</f>
        <v>Cây 3m</v>
      </c>
      <c r="H233" s="582"/>
      <c r="I233" s="585">
        <f ca="1">IFERROR(__xludf.DUMMYFUNCTION("""COMPUTED_VALUE"""),0.352976399999999)</f>
        <v>0.35297639999999902</v>
      </c>
      <c r="J233" s="586" t="str">
        <f ca="1">IFERROR(__xludf.DUMMYFUNCTION("""COMPUTED_VALUE""")," 06.50 ")</f>
        <v xml:space="preserve"> 06.50 </v>
      </c>
      <c r="K233" s="584" t="str">
        <f ca="1">IFERROR(__xludf.DUMMYFUNCTION("""COMPUTED_VALUE"""),"0.70")</f>
        <v>0.70</v>
      </c>
      <c r="L233" s="584">
        <f ca="1">IFERROR(__xludf.DUMMYFUNCTION("""COMPUTED_VALUE"""),3)</f>
        <v>3</v>
      </c>
      <c r="M233" s="584"/>
      <c r="N233" s="584" t="str">
        <f ca="1">IFERROR(__xludf.DUMMYFUNCTION("""COMPUTED_VALUE"""),"Dị_D&lt;54")</f>
        <v>Dị_D&lt;54</v>
      </c>
      <c r="O233" s="583"/>
      <c r="P233" s="584"/>
    </row>
    <row r="234" spans="1:16" ht="15.75">
      <c r="A234" s="587" t="str">
        <f ca="1">IFERROR(__xludf.DUMMYFUNCTION("""COMPUTED_VALUE"""),"Toàn Phát - Việt Nam")</f>
        <v>Toàn Phát - Việt Nam</v>
      </c>
      <c r="B234" s="587" t="str">
        <f ca="1">IFERROR(__xludf.DUMMYFUNCTION("""COMPUTED_VALUE"""),"ĐTPCAYDI")</f>
        <v>ĐTPCAYDI</v>
      </c>
      <c r="C234" s="587" t="str">
        <f ca="1">IFERROR(__xludf.DUMMYFUNCTION("""COMPUTED_VALUE"""),"DOT067008530")</f>
        <v>DOT067008530</v>
      </c>
      <c r="D234" s="588" t="str">
        <f ca="1">IFERROR(__xludf.DUMMYFUNCTION("""COMPUTED_VALUE"""),"Đồng ống thẳng 06.70x0.85x3.0")</f>
        <v>Đồng ống thẳng 06.70x0.85x3.0</v>
      </c>
      <c r="E234" s="589">
        <f ca="1">IFERROR(__xludf.DUMMYFUNCTION("""COMPUTED_VALUE"""),0.1)</f>
        <v>0.1</v>
      </c>
      <c r="F234" s="590" t="str">
        <f ca="1">IFERROR(__xludf.DUMMYFUNCTION("""COMPUTED_VALUE"""),"Cây")</f>
        <v>Cây</v>
      </c>
      <c r="G234" s="590" t="str">
        <f ca="1">IFERROR(__xludf.DUMMYFUNCTION("""COMPUTED_VALUE"""),"Cây 3m")</f>
        <v>Cây 3m</v>
      </c>
      <c r="H234" s="588"/>
      <c r="I234" s="591">
        <f ca="1">IFERROR(__xludf.DUMMYFUNCTION("""COMPUTED_VALUE"""),0.43230915)</f>
        <v>0.43230914999999998</v>
      </c>
      <c r="J234" s="592" t="str">
        <f ca="1">IFERROR(__xludf.DUMMYFUNCTION("""COMPUTED_VALUE""")," 06.70 ")</f>
        <v xml:space="preserve"> 06.70 </v>
      </c>
      <c r="K234" s="590" t="str">
        <f ca="1">IFERROR(__xludf.DUMMYFUNCTION("""COMPUTED_VALUE"""),"0.85")</f>
        <v>0.85</v>
      </c>
      <c r="L234" s="590">
        <f ca="1">IFERROR(__xludf.DUMMYFUNCTION("""COMPUTED_VALUE"""),3)</f>
        <v>3</v>
      </c>
      <c r="M234" s="590"/>
      <c r="N234" s="590" t="str">
        <f ca="1">IFERROR(__xludf.DUMMYFUNCTION("""COMPUTED_VALUE"""),"Dị_D&lt;54")</f>
        <v>Dị_D&lt;54</v>
      </c>
      <c r="O234" s="589"/>
      <c r="P234" s="590"/>
    </row>
    <row r="235" spans="1:16" ht="15.75">
      <c r="A235" s="581" t="str">
        <f ca="1">IFERROR(__xludf.DUMMYFUNCTION("""COMPUTED_VALUE"""),"Toàn Phát - Việt Nam")</f>
        <v>Toàn Phát - Việt Nam</v>
      </c>
      <c r="B235" s="581" t="str">
        <f ca="1">IFERROR(__xludf.DUMMYFUNCTION("""COMPUTED_VALUE"""),"ĐTPCAYDI")</f>
        <v>ĐTPCAYDI</v>
      </c>
      <c r="C235" s="581" t="str">
        <f ca="1">IFERROR(__xludf.DUMMYFUNCTION("""COMPUTED_VALUE"""),"DOT70005830")</f>
        <v>DOT70005830</v>
      </c>
      <c r="D235" s="582" t="str">
        <f ca="1">IFERROR(__xludf.DUMMYFUNCTION("""COMPUTED_VALUE"""),"Đồng ống thẳng 07.00x0.58x3.0")</f>
        <v>Đồng ống thẳng 07.00x0.58x3.0</v>
      </c>
      <c r="E235" s="583">
        <f ca="1">IFERROR(__xludf.DUMMYFUNCTION("""COMPUTED_VALUE"""),0.1)</f>
        <v>0.1</v>
      </c>
      <c r="F235" s="584" t="str">
        <f ca="1">IFERROR(__xludf.DUMMYFUNCTION("""COMPUTED_VALUE"""),"Cây")</f>
        <v>Cây</v>
      </c>
      <c r="G235" s="584" t="str">
        <f ca="1">IFERROR(__xludf.DUMMYFUNCTION("""COMPUTED_VALUE"""),"Cây 3m")</f>
        <v>Cây 3m</v>
      </c>
      <c r="H235" s="582"/>
      <c r="I235" s="585">
        <f ca="1">IFERROR(__xludf.DUMMYFUNCTION("""COMPUTED_VALUE"""),0.323729783999999)</f>
        <v>0.32372978399999902</v>
      </c>
      <c r="J235" s="586" t="str">
        <f ca="1">IFERROR(__xludf.DUMMYFUNCTION("""COMPUTED_VALUE""")," 07.00 ")</f>
        <v xml:space="preserve"> 07.00 </v>
      </c>
      <c r="K235" s="584" t="str">
        <f ca="1">IFERROR(__xludf.DUMMYFUNCTION("""COMPUTED_VALUE"""),"0.58")</f>
        <v>0.58</v>
      </c>
      <c r="L235" s="584">
        <f ca="1">IFERROR(__xludf.DUMMYFUNCTION("""COMPUTED_VALUE"""),3)</f>
        <v>3</v>
      </c>
      <c r="M235" s="584"/>
      <c r="N235" s="584" t="str">
        <f ca="1">IFERROR(__xludf.DUMMYFUNCTION("""COMPUTED_VALUE"""),"Dị_D&lt;54")</f>
        <v>Dị_D&lt;54</v>
      </c>
      <c r="O235" s="583"/>
      <c r="P235" s="584"/>
    </row>
    <row r="236" spans="1:16" ht="15.75">
      <c r="A236" s="587" t="str">
        <f ca="1">IFERROR(__xludf.DUMMYFUNCTION("""COMPUTED_VALUE"""),"Toàn Phát - Việt Nam")</f>
        <v>Toàn Phát - Việt Nam</v>
      </c>
      <c r="B236" s="587" t="str">
        <f ca="1">IFERROR(__xludf.DUMMYFUNCTION("""COMPUTED_VALUE"""),"ĐTPCAYDI")</f>
        <v>ĐTPCAYDI</v>
      </c>
      <c r="C236" s="587" t="str">
        <f ca="1">IFERROR(__xludf.DUMMYFUNCTION("""COMPUTED_VALUE"""),"DOT070006130")</f>
        <v>DOT070006130</v>
      </c>
      <c r="D236" s="588" t="str">
        <f ca="1">IFERROR(__xludf.DUMMYFUNCTION("""COMPUTED_VALUE"""),"Đồng ống thẳng 07.00x0.61x3.0")</f>
        <v>Đồng ống thẳng 07.00x0.61x3.0</v>
      </c>
      <c r="E236" s="589">
        <f ca="1">IFERROR(__xludf.DUMMYFUNCTION("""COMPUTED_VALUE"""),0.1)</f>
        <v>0.1</v>
      </c>
      <c r="F236" s="590" t="str">
        <f ca="1">IFERROR(__xludf.DUMMYFUNCTION("""COMPUTED_VALUE"""),"Cây")</f>
        <v>Cây</v>
      </c>
      <c r="G236" s="590" t="str">
        <f ca="1">IFERROR(__xludf.DUMMYFUNCTION("""COMPUTED_VALUE"""),"Cây 3m")</f>
        <v>Cây 3m</v>
      </c>
      <c r="H236" s="588"/>
      <c r="I236" s="591">
        <f ca="1">IFERROR(__xludf.DUMMYFUNCTION("""COMPUTED_VALUE"""),0.338883425999999)</f>
        <v>0.33888342599999899</v>
      </c>
      <c r="J236" s="592" t="str">
        <f ca="1">IFERROR(__xludf.DUMMYFUNCTION("""COMPUTED_VALUE""")," 07.00 ")</f>
        <v xml:space="preserve"> 07.00 </v>
      </c>
      <c r="K236" s="590" t="str">
        <f ca="1">IFERROR(__xludf.DUMMYFUNCTION("""COMPUTED_VALUE"""),"0.61")</f>
        <v>0.61</v>
      </c>
      <c r="L236" s="590">
        <f ca="1">IFERROR(__xludf.DUMMYFUNCTION("""COMPUTED_VALUE"""),3)</f>
        <v>3</v>
      </c>
      <c r="M236" s="590"/>
      <c r="N236" s="590" t="str">
        <f ca="1">IFERROR(__xludf.DUMMYFUNCTION("""COMPUTED_VALUE"""),"Dị_D&lt;54")</f>
        <v>Dị_D&lt;54</v>
      </c>
      <c r="O236" s="589"/>
      <c r="P236" s="590"/>
    </row>
    <row r="237" spans="1:16" ht="15.75">
      <c r="A237" s="581" t="str">
        <f ca="1">IFERROR(__xludf.DUMMYFUNCTION("""COMPUTED_VALUE"""),"Toàn Phát - Việt Nam")</f>
        <v>Toàn Phát - Việt Nam</v>
      </c>
      <c r="B237" s="581" t="str">
        <f ca="1">IFERROR(__xludf.DUMMYFUNCTION("""COMPUTED_VALUE"""),"ĐTPCAYDI")</f>
        <v>ĐTPCAYDI</v>
      </c>
      <c r="C237" s="581" t="str">
        <f ca="1">IFERROR(__xludf.DUMMYFUNCTION("""COMPUTED_VALUE"""),"DOT70006520")</f>
        <v>DOT70006520</v>
      </c>
      <c r="D237" s="582" t="str">
        <f ca="1">IFERROR(__xludf.DUMMYFUNCTION("""COMPUTED_VALUE"""),"Đồng ống thẳng 7.00x0.65x2.0")</f>
        <v>Đồng ống thẳng 7.00x0.65x2.0</v>
      </c>
      <c r="E237" s="583">
        <f ca="1">IFERROR(__xludf.DUMMYFUNCTION("""COMPUTED_VALUE"""),0.1)</f>
        <v>0.1</v>
      </c>
      <c r="F237" s="584" t="str">
        <f ca="1">IFERROR(__xludf.DUMMYFUNCTION("""COMPUTED_VALUE"""),"Cây")</f>
        <v>Cây</v>
      </c>
      <c r="G237" s="584" t="str">
        <f ca="1">IFERROR(__xludf.DUMMYFUNCTION("""COMPUTED_VALUE"""),"Cây 2m")</f>
        <v>Cây 2m</v>
      </c>
      <c r="H237" s="582"/>
      <c r="I237" s="585">
        <f ca="1">IFERROR(__xludf.DUMMYFUNCTION("""COMPUTED_VALUE"""),0.239229899999999)</f>
        <v>0.239229899999999</v>
      </c>
      <c r="J237" s="586" t="str">
        <f ca="1">IFERROR(__xludf.DUMMYFUNCTION("""COMPUTED_VALUE""")," 07.00 ")</f>
        <v xml:space="preserve"> 07.00 </v>
      </c>
      <c r="K237" s="584" t="str">
        <f ca="1">IFERROR(__xludf.DUMMYFUNCTION("""COMPUTED_VALUE"""),"0.65")</f>
        <v>0.65</v>
      </c>
      <c r="L237" s="584">
        <f ca="1">IFERROR(__xludf.DUMMYFUNCTION("""COMPUTED_VALUE"""),2)</f>
        <v>2</v>
      </c>
      <c r="M237" s="584"/>
      <c r="N237" s="584" t="str">
        <f ca="1">IFERROR(__xludf.DUMMYFUNCTION("""COMPUTED_VALUE"""),"Dị_D&lt;54")</f>
        <v>Dị_D&lt;54</v>
      </c>
      <c r="O237" s="583"/>
      <c r="P237" s="584"/>
    </row>
    <row r="238" spans="1:16" ht="15.75">
      <c r="A238" s="587" t="str">
        <f ca="1">IFERROR(__xludf.DUMMYFUNCTION("""COMPUTED_VALUE"""),"Toàn Phát - Việt Nam")</f>
        <v>Toàn Phát - Việt Nam</v>
      </c>
      <c r="B238" s="587" t="str">
        <f ca="1">IFERROR(__xludf.DUMMYFUNCTION("""COMPUTED_VALUE"""),"ĐTPCAYDI")</f>
        <v>ĐTPCAYDI</v>
      </c>
      <c r="C238" s="587" t="str">
        <f ca="1">IFERROR(__xludf.DUMMYFUNCTION("""COMPUTED_VALUE"""),"DOT70006530")</f>
        <v>DOT70006530</v>
      </c>
      <c r="D238" s="588" t="str">
        <f ca="1">IFERROR(__xludf.DUMMYFUNCTION("""COMPUTED_VALUE"""),"Đồng ống thẳng 7.00x0.65x3.0")</f>
        <v>Đồng ống thẳng 7.00x0.65x3.0</v>
      </c>
      <c r="E238" s="589">
        <f ca="1">IFERROR(__xludf.DUMMYFUNCTION("""COMPUTED_VALUE"""),0.1)</f>
        <v>0.1</v>
      </c>
      <c r="F238" s="590" t="str">
        <f ca="1">IFERROR(__xludf.DUMMYFUNCTION("""COMPUTED_VALUE"""),"Cây")</f>
        <v>Cây</v>
      </c>
      <c r="G238" s="590" t="str">
        <f ca="1">IFERROR(__xludf.DUMMYFUNCTION("""COMPUTED_VALUE"""),"Cây 3m")</f>
        <v>Cây 3m</v>
      </c>
      <c r="H238" s="588"/>
      <c r="I238" s="591">
        <f ca="1">IFERROR(__xludf.DUMMYFUNCTION("""COMPUTED_VALUE"""),0.358844849999999)</f>
        <v>0.35884484999999899</v>
      </c>
      <c r="J238" s="592" t="str">
        <f ca="1">IFERROR(__xludf.DUMMYFUNCTION("""COMPUTED_VALUE""")," 07.00 ")</f>
        <v xml:space="preserve"> 07.00 </v>
      </c>
      <c r="K238" s="590" t="str">
        <f ca="1">IFERROR(__xludf.DUMMYFUNCTION("""COMPUTED_VALUE"""),"0.65")</f>
        <v>0.65</v>
      </c>
      <c r="L238" s="590">
        <f ca="1">IFERROR(__xludf.DUMMYFUNCTION("""COMPUTED_VALUE"""),3)</f>
        <v>3</v>
      </c>
      <c r="M238" s="590"/>
      <c r="N238" s="590" t="str">
        <f ca="1">IFERROR(__xludf.DUMMYFUNCTION("""COMPUTED_VALUE"""),"Dị_D&lt;54")</f>
        <v>Dị_D&lt;54</v>
      </c>
      <c r="O238" s="589"/>
      <c r="P238" s="590"/>
    </row>
    <row r="239" spans="1:16" ht="15.75">
      <c r="A239" s="581" t="str">
        <f ca="1">IFERROR(__xludf.DUMMYFUNCTION("""COMPUTED_VALUE"""),"Toàn Phát - Việt Nam")</f>
        <v>Toàn Phát - Việt Nam</v>
      </c>
      <c r="B239" s="581" t="str">
        <f ca="1">IFERROR(__xludf.DUMMYFUNCTION("""COMPUTED_VALUE"""),"ĐTPCAYDI")</f>
        <v>ĐTPCAYDI</v>
      </c>
      <c r="C239" s="581" t="str">
        <f ca="1">IFERROR(__xludf.DUMMYFUNCTION("""COMPUTED_VALUE"""),"DOT070007503")</f>
        <v>DOT070007503</v>
      </c>
      <c r="D239" s="582" t="str">
        <f ca="1">IFERROR(__xludf.DUMMYFUNCTION("""COMPUTED_VALUE"""),"Đồng ống thẳng 0.70x0.75x3.0")</f>
        <v>Đồng ống thẳng 0.70x0.75x3.0</v>
      </c>
      <c r="E239" s="583">
        <f ca="1">IFERROR(__xludf.DUMMYFUNCTION("""COMPUTED_VALUE"""),0.1)</f>
        <v>0.1</v>
      </c>
      <c r="F239" s="584" t="str">
        <f ca="1">IFERROR(__xludf.DUMMYFUNCTION("""COMPUTED_VALUE"""),"Cây")</f>
        <v>Cây</v>
      </c>
      <c r="G239" s="584" t="str">
        <f ca="1">IFERROR(__xludf.DUMMYFUNCTION("""COMPUTED_VALUE"""),"Cây 3m")</f>
        <v>Cây 3m</v>
      </c>
      <c r="H239" s="582"/>
      <c r="I239" s="585">
        <f ca="1">IFERROR(__xludf.DUMMYFUNCTION("""COMPUTED_VALUE"""),0.40753125)</f>
        <v>0.40753125000000001</v>
      </c>
      <c r="J239" s="586" t="str">
        <f ca="1">IFERROR(__xludf.DUMMYFUNCTION("""COMPUTED_VALUE""")," 07.00 ")</f>
        <v xml:space="preserve"> 07.00 </v>
      </c>
      <c r="K239" s="584" t="str">
        <f ca="1">IFERROR(__xludf.DUMMYFUNCTION("""COMPUTED_VALUE"""),"0.75")</f>
        <v>0.75</v>
      </c>
      <c r="L239" s="584">
        <f ca="1">IFERROR(__xludf.DUMMYFUNCTION("""COMPUTED_VALUE"""),3)</f>
        <v>3</v>
      </c>
      <c r="M239" s="584"/>
      <c r="N239" s="584" t="str">
        <f ca="1">IFERROR(__xludf.DUMMYFUNCTION("""COMPUTED_VALUE"""),"Dị_D&lt;54")</f>
        <v>Dị_D&lt;54</v>
      </c>
      <c r="O239" s="583"/>
      <c r="P239" s="584"/>
    </row>
    <row r="240" spans="1:16" ht="15.75">
      <c r="A240" s="587" t="str">
        <f ca="1">IFERROR(__xludf.DUMMYFUNCTION("""COMPUTED_VALUE"""),"Toàn Phát - Việt Nam")</f>
        <v>Toàn Phát - Việt Nam</v>
      </c>
      <c r="B240" s="587" t="str">
        <f ca="1">IFERROR(__xludf.DUMMYFUNCTION("""COMPUTED_VALUE"""),"ĐTPCAYDI")</f>
        <v>ĐTPCAYDI</v>
      </c>
      <c r="C240" s="587" t="str">
        <f ca="1">IFERROR(__xludf.DUMMYFUNCTION("""COMPUTED_VALUE"""),"DOT070008130")</f>
        <v>DOT070008130</v>
      </c>
      <c r="D240" s="588" t="str">
        <f ca="1">IFERROR(__xludf.DUMMYFUNCTION("""COMPUTED_VALUE"""),"Đồng ống thẳng 07.00x0.81x3.0")</f>
        <v>Đồng ống thẳng 07.00x0.81x3.0</v>
      </c>
      <c r="E240" s="589">
        <f ca="1">IFERROR(__xludf.DUMMYFUNCTION("""COMPUTED_VALUE"""),0.1)</f>
        <v>0.1</v>
      </c>
      <c r="F240" s="590" t="str">
        <f ca="1">IFERROR(__xludf.DUMMYFUNCTION("""COMPUTED_VALUE"""),"Cây")</f>
        <v>Cây</v>
      </c>
      <c r="G240" s="590" t="str">
        <f ca="1">IFERROR(__xludf.DUMMYFUNCTION("""COMPUTED_VALUE"""),"Cây 3m")</f>
        <v>Cây 3m</v>
      </c>
      <c r="H240" s="588"/>
      <c r="I240" s="591">
        <f ca="1">IFERROR(__xludf.DUMMYFUNCTION("""COMPUTED_VALUE"""),0.435908465999999)</f>
        <v>0.435908465999999</v>
      </c>
      <c r="J240" s="592" t="str">
        <f ca="1">IFERROR(__xludf.DUMMYFUNCTION("""COMPUTED_VALUE""")," 07.00 ")</f>
        <v xml:space="preserve"> 07.00 </v>
      </c>
      <c r="K240" s="590" t="str">
        <f ca="1">IFERROR(__xludf.DUMMYFUNCTION("""COMPUTED_VALUE"""),"0.81")</f>
        <v>0.81</v>
      </c>
      <c r="L240" s="590">
        <f ca="1">IFERROR(__xludf.DUMMYFUNCTION("""COMPUTED_VALUE"""),3)</f>
        <v>3</v>
      </c>
      <c r="M240" s="590"/>
      <c r="N240" s="590" t="str">
        <f ca="1">IFERROR(__xludf.DUMMYFUNCTION("""COMPUTED_VALUE"""),"Dị_D&lt;54")</f>
        <v>Dị_D&lt;54</v>
      </c>
      <c r="O240" s="589"/>
      <c r="P240" s="590"/>
    </row>
    <row r="241" spans="1:16" ht="15.75">
      <c r="A241" s="581" t="str">
        <f ca="1">IFERROR(__xludf.DUMMYFUNCTION("""COMPUTED_VALUE"""),"Toàn Phát - Việt Nam")</f>
        <v>Toàn Phát - Việt Nam</v>
      </c>
      <c r="B241" s="581" t="str">
        <f ca="1">IFERROR(__xludf.DUMMYFUNCTION("""COMPUTED_VALUE"""),"ĐTPCAYDI")</f>
        <v>ĐTPCAYDI</v>
      </c>
      <c r="C241" s="581" t="str">
        <f ca="1">IFERROR(__xludf.DUMMYFUNCTION("""COMPUTED_VALUE"""),"DOT075008530")</f>
        <v>DOT075008530</v>
      </c>
      <c r="D241" s="582" t="str">
        <f ca="1">IFERROR(__xludf.DUMMYFUNCTION("""COMPUTED_VALUE"""),"Đồng ống thẳng 07.05x0.85x3.0")</f>
        <v>Đồng ống thẳng 07.05x0.85x3.0</v>
      </c>
      <c r="E241" s="583">
        <f ca="1">IFERROR(__xludf.DUMMYFUNCTION("""COMPUTED_VALUE"""),0.1)</f>
        <v>0.1</v>
      </c>
      <c r="F241" s="584" t="str">
        <f ca="1">IFERROR(__xludf.DUMMYFUNCTION("""COMPUTED_VALUE"""),"Cây")</f>
        <v>Cây</v>
      </c>
      <c r="G241" s="584" t="str">
        <f ca="1">IFERROR(__xludf.DUMMYFUNCTION("""COMPUTED_VALUE"""),"Cây 3m")</f>
        <v>Cây 3m</v>
      </c>
      <c r="H241" s="582"/>
      <c r="I241" s="585">
        <f ca="1">IFERROR(__xludf.DUMMYFUNCTION("""COMPUTED_VALUE"""),0.458173799999999)</f>
        <v>0.45817379999999902</v>
      </c>
      <c r="J241" s="586" t="str">
        <f ca="1">IFERROR(__xludf.DUMMYFUNCTION("""COMPUTED_VALUE""")," 07.05 ")</f>
        <v xml:space="preserve"> 07.05 </v>
      </c>
      <c r="K241" s="584" t="str">
        <f ca="1">IFERROR(__xludf.DUMMYFUNCTION("""COMPUTED_VALUE"""),"0.85")</f>
        <v>0.85</v>
      </c>
      <c r="L241" s="584">
        <f ca="1">IFERROR(__xludf.DUMMYFUNCTION("""COMPUTED_VALUE"""),3)</f>
        <v>3</v>
      </c>
      <c r="M241" s="584"/>
      <c r="N241" s="584" t="str">
        <f ca="1">IFERROR(__xludf.DUMMYFUNCTION("""COMPUTED_VALUE"""),"Dị_D&lt;54")</f>
        <v>Dị_D&lt;54</v>
      </c>
      <c r="O241" s="583"/>
      <c r="P241" s="584"/>
    </row>
    <row r="242" spans="1:16" ht="15.75">
      <c r="A242" s="587" t="str">
        <f ca="1">IFERROR(__xludf.DUMMYFUNCTION("""COMPUTED_VALUE"""),"Toàn Phát - Việt Nam")</f>
        <v>Toàn Phát - Việt Nam</v>
      </c>
      <c r="B242" s="587" t="str">
        <f ca="1">IFERROR(__xludf.DUMMYFUNCTION("""COMPUTED_VALUE"""),"ĐTPCAYDI")</f>
        <v>ĐTPCAYDI</v>
      </c>
      <c r="C242" s="587" t="str">
        <f ca="1">IFERROR(__xludf.DUMMYFUNCTION("""COMPUTED_VALUE"""),"DOT072005830")</f>
        <v>DOT072005830</v>
      </c>
      <c r="D242" s="588" t="str">
        <f ca="1">IFERROR(__xludf.DUMMYFUNCTION("""COMPUTED_VALUE"""),"Đồng ống thẳng 07.20x0.58x3.0")</f>
        <v>Đồng ống thẳng 07.20x0.58x3.0</v>
      </c>
      <c r="E242" s="589">
        <f ca="1">IFERROR(__xludf.DUMMYFUNCTION("""COMPUTED_VALUE"""),0.1)</f>
        <v>0.1</v>
      </c>
      <c r="F242" s="590" t="str">
        <f ca="1">IFERROR(__xludf.DUMMYFUNCTION("""COMPUTED_VALUE"""),"Cây")</f>
        <v>Cây</v>
      </c>
      <c r="G242" s="590" t="str">
        <f ca="1">IFERROR(__xludf.DUMMYFUNCTION("""COMPUTED_VALUE"""),"Cây 3m")</f>
        <v>Cây 3m</v>
      </c>
      <c r="H242" s="588"/>
      <c r="I242" s="591">
        <f ca="1">IFERROR(__xludf.DUMMYFUNCTION("""COMPUTED_VALUE"""),0.333814823999999)</f>
        <v>0.33381482399999901</v>
      </c>
      <c r="J242" s="592" t="str">
        <f ca="1">IFERROR(__xludf.DUMMYFUNCTION("""COMPUTED_VALUE""")," 07.20 ")</f>
        <v xml:space="preserve"> 07.20 </v>
      </c>
      <c r="K242" s="590" t="str">
        <f ca="1">IFERROR(__xludf.DUMMYFUNCTION("""COMPUTED_VALUE"""),"0.58")</f>
        <v>0.58</v>
      </c>
      <c r="L242" s="590">
        <f ca="1">IFERROR(__xludf.DUMMYFUNCTION("""COMPUTED_VALUE"""),3)</f>
        <v>3</v>
      </c>
      <c r="M242" s="590"/>
      <c r="N242" s="590" t="str">
        <f ca="1">IFERROR(__xludf.DUMMYFUNCTION("""COMPUTED_VALUE"""),"Dị_D&lt;54")</f>
        <v>Dị_D&lt;54</v>
      </c>
      <c r="O242" s="589"/>
      <c r="P242" s="590"/>
    </row>
    <row r="243" spans="1:16" ht="15.75">
      <c r="A243" s="581" t="str">
        <f ca="1">IFERROR(__xludf.DUMMYFUNCTION("""COMPUTED_VALUE"""),"Toàn Phát - Việt Nam")</f>
        <v>Toàn Phát - Việt Nam</v>
      </c>
      <c r="B243" s="581" t="str">
        <f ca="1">IFERROR(__xludf.DUMMYFUNCTION("""COMPUTED_VALUE"""),"ĐTPCAYDI")</f>
        <v>ĐTPCAYDI</v>
      </c>
      <c r="C243" s="581" t="str">
        <f ca="1">IFERROR(__xludf.DUMMYFUNCTION("""COMPUTED_VALUE"""),"DOT072006030")</f>
        <v>DOT072006030</v>
      </c>
      <c r="D243" s="582" t="str">
        <f ca="1">IFERROR(__xludf.DUMMYFUNCTION("""COMPUTED_VALUE"""),"Đồng ống thẳng 07.20x0.60x3.0")</f>
        <v>Đồng ống thẳng 07.20x0.60x3.0</v>
      </c>
      <c r="E243" s="583">
        <f ca="1">IFERROR(__xludf.DUMMYFUNCTION("""COMPUTED_VALUE"""),0.1)</f>
        <v>0.1</v>
      </c>
      <c r="F243" s="584" t="str">
        <f ca="1">IFERROR(__xludf.DUMMYFUNCTION("""COMPUTED_VALUE"""),"Cây")</f>
        <v>Cây</v>
      </c>
      <c r="G243" s="584" t="str">
        <f ca="1">IFERROR(__xludf.DUMMYFUNCTION("""COMPUTED_VALUE"""),"Cây 3m")</f>
        <v>Cây 3m</v>
      </c>
      <c r="H243" s="582"/>
      <c r="I243" s="585">
        <f ca="1">IFERROR(__xludf.DUMMYFUNCTION("""COMPUTED_VALUE"""),0.3442824)</f>
        <v>0.34428239999999999</v>
      </c>
      <c r="J243" s="586" t="str">
        <f ca="1">IFERROR(__xludf.DUMMYFUNCTION("""COMPUTED_VALUE""")," 07.20 ")</f>
        <v xml:space="preserve"> 07.20 </v>
      </c>
      <c r="K243" s="584" t="str">
        <f ca="1">IFERROR(__xludf.DUMMYFUNCTION("""COMPUTED_VALUE"""),"0.60")</f>
        <v>0.60</v>
      </c>
      <c r="L243" s="584">
        <f ca="1">IFERROR(__xludf.DUMMYFUNCTION("""COMPUTED_VALUE"""),3)</f>
        <v>3</v>
      </c>
      <c r="M243" s="584"/>
      <c r="N243" s="584" t="str">
        <f ca="1">IFERROR(__xludf.DUMMYFUNCTION("""COMPUTED_VALUE"""),"Dị_D&lt;54")</f>
        <v>Dị_D&lt;54</v>
      </c>
      <c r="O243" s="583"/>
      <c r="P243" s="584"/>
    </row>
    <row r="244" spans="1:16" ht="15.75">
      <c r="A244" s="587" t="str">
        <f ca="1">IFERROR(__xludf.DUMMYFUNCTION("""COMPUTED_VALUE"""),"Toàn Phát - Việt Nam")</f>
        <v>Toàn Phát - Việt Nam</v>
      </c>
      <c r="B244" s="587" t="str">
        <f ca="1">IFERROR(__xludf.DUMMYFUNCTION("""COMPUTED_VALUE"""),"ĐTPCAYDI")</f>
        <v>ĐTPCAYDI</v>
      </c>
      <c r="C244" s="587" t="str">
        <f ca="1">IFERROR(__xludf.DUMMYFUNCTION("""COMPUTED_VALUE"""),"DOT072006130")</f>
        <v>DOT072006130</v>
      </c>
      <c r="D244" s="588" t="str">
        <f ca="1">IFERROR(__xludf.DUMMYFUNCTION("""COMPUTED_VALUE"""),"Đồng ống thẳng 07.20x0.61x3.0")</f>
        <v>Đồng ống thẳng 07.20x0.61x3.0</v>
      </c>
      <c r="E244" s="589">
        <f ca="1">IFERROR(__xludf.DUMMYFUNCTION("""COMPUTED_VALUE"""),0.1)</f>
        <v>0.1</v>
      </c>
      <c r="F244" s="590" t="str">
        <f ca="1">IFERROR(__xludf.DUMMYFUNCTION("""COMPUTED_VALUE"""),"Cây")</f>
        <v>Cây</v>
      </c>
      <c r="G244" s="590" t="str">
        <f ca="1">IFERROR(__xludf.DUMMYFUNCTION("""COMPUTED_VALUE"""),"Cây 3m")</f>
        <v>Cây 3m</v>
      </c>
      <c r="H244" s="588"/>
      <c r="I244" s="591">
        <f ca="1">IFERROR(__xludf.DUMMYFUNCTION("""COMPUTED_VALUE"""),0.349490105999999)</f>
        <v>0.34949010599999902</v>
      </c>
      <c r="J244" s="592" t="str">
        <f ca="1">IFERROR(__xludf.DUMMYFUNCTION("""COMPUTED_VALUE""")," 07.20 ")</f>
        <v xml:space="preserve"> 07.20 </v>
      </c>
      <c r="K244" s="590" t="str">
        <f ca="1">IFERROR(__xludf.DUMMYFUNCTION("""COMPUTED_VALUE"""),"0.61")</f>
        <v>0.61</v>
      </c>
      <c r="L244" s="590">
        <f ca="1">IFERROR(__xludf.DUMMYFUNCTION("""COMPUTED_VALUE"""),3)</f>
        <v>3</v>
      </c>
      <c r="M244" s="590"/>
      <c r="N244" s="590" t="str">
        <f ca="1">IFERROR(__xludf.DUMMYFUNCTION("""COMPUTED_VALUE"""),"Dị_D&lt;54")</f>
        <v>Dị_D&lt;54</v>
      </c>
      <c r="O244" s="589"/>
      <c r="P244" s="590"/>
    </row>
    <row r="245" spans="1:16" ht="15.75">
      <c r="A245" s="581" t="str">
        <f ca="1">IFERROR(__xludf.DUMMYFUNCTION("""COMPUTED_VALUE"""),"Toàn Phát - Việt Nam")</f>
        <v>Toàn Phát - Việt Nam</v>
      </c>
      <c r="B245" s="581" t="str">
        <f ca="1">IFERROR(__xludf.DUMMYFUNCTION("""COMPUTED_VALUE"""),"ĐTPCAYDI")</f>
        <v>ĐTPCAYDI</v>
      </c>
      <c r="C245" s="581" t="str">
        <f ca="1">IFERROR(__xludf.DUMMYFUNCTION("""COMPUTED_VALUE"""),"DOT073006130")</f>
        <v>DOT073006130</v>
      </c>
      <c r="D245" s="582" t="str">
        <f ca="1">IFERROR(__xludf.DUMMYFUNCTION("""COMPUTED_VALUE"""),"Đồng ống thẳng 07.30x0.61x3.0")</f>
        <v>Đồng ống thẳng 07.30x0.61x3.0</v>
      </c>
      <c r="E245" s="583">
        <f ca="1">IFERROR(__xludf.DUMMYFUNCTION("""COMPUTED_VALUE"""),0.1)</f>
        <v>0.1</v>
      </c>
      <c r="F245" s="584" t="str">
        <f ca="1">IFERROR(__xludf.DUMMYFUNCTION("""COMPUTED_VALUE"""),"Cây")</f>
        <v>Cây</v>
      </c>
      <c r="G245" s="584" t="str">
        <f ca="1">IFERROR(__xludf.DUMMYFUNCTION("""COMPUTED_VALUE"""),"Cây 3m")</f>
        <v>Cây 3m</v>
      </c>
      <c r="H245" s="582"/>
      <c r="I245" s="585">
        <f ca="1">IFERROR(__xludf.DUMMYFUNCTION("""COMPUTED_VALUE"""),0.354793445999999)</f>
        <v>0.35479344599999901</v>
      </c>
      <c r="J245" s="586" t="str">
        <f ca="1">IFERROR(__xludf.DUMMYFUNCTION("""COMPUTED_VALUE""")," 07.30 ")</f>
        <v xml:space="preserve"> 07.30 </v>
      </c>
      <c r="K245" s="584" t="str">
        <f ca="1">IFERROR(__xludf.DUMMYFUNCTION("""COMPUTED_VALUE"""),"0.61")</f>
        <v>0.61</v>
      </c>
      <c r="L245" s="584">
        <f ca="1">IFERROR(__xludf.DUMMYFUNCTION("""COMPUTED_VALUE"""),3)</f>
        <v>3</v>
      </c>
      <c r="M245" s="584"/>
      <c r="N245" s="584" t="str">
        <f ca="1">IFERROR(__xludf.DUMMYFUNCTION("""COMPUTED_VALUE"""),"Dị_D&lt;54")</f>
        <v>Dị_D&lt;54</v>
      </c>
      <c r="O245" s="583"/>
      <c r="P245" s="584"/>
    </row>
    <row r="246" spans="1:16" ht="15.75">
      <c r="A246" s="587" t="str">
        <f ca="1">IFERROR(__xludf.DUMMYFUNCTION("""COMPUTED_VALUE"""),"Toàn Phát - Việt Nam")</f>
        <v>Toàn Phát - Việt Nam</v>
      </c>
      <c r="B246" s="587" t="str">
        <f ca="1">IFERROR(__xludf.DUMMYFUNCTION("""COMPUTED_VALUE"""),"ĐTPCAYDI")</f>
        <v>ĐTPCAYDI</v>
      </c>
      <c r="C246" s="587" t="str">
        <f ca="1">IFERROR(__xludf.DUMMYFUNCTION("""COMPUTED_VALUE"""),"DOT073006330")</f>
        <v>DOT073006330</v>
      </c>
      <c r="D246" s="588" t="str">
        <f ca="1">IFERROR(__xludf.DUMMYFUNCTION("""COMPUTED_VALUE"""),"Đồng ống thẳng 07.30x0.63x3.0")</f>
        <v>Đồng ống thẳng 07.30x0.63x3.0</v>
      </c>
      <c r="E246" s="589">
        <f ca="1">IFERROR(__xludf.DUMMYFUNCTION("""COMPUTED_VALUE"""),0.1)</f>
        <v>0.1</v>
      </c>
      <c r="F246" s="590" t="str">
        <f ca="1">IFERROR(__xludf.DUMMYFUNCTION("""COMPUTED_VALUE"""),"Cây")</f>
        <v>Cây</v>
      </c>
      <c r="G246" s="590" t="str">
        <f ca="1">IFERROR(__xludf.DUMMYFUNCTION("""COMPUTED_VALUE"""),"Cây 3m")</f>
        <v>Cây 3m</v>
      </c>
      <c r="H246" s="588"/>
      <c r="I246" s="591">
        <f ca="1">IFERROR(__xludf.DUMMYFUNCTION("""COMPUTED_VALUE"""),0.365330573999999)</f>
        <v>0.36533057399999902</v>
      </c>
      <c r="J246" s="592" t="str">
        <f ca="1">IFERROR(__xludf.DUMMYFUNCTION("""COMPUTED_VALUE""")," 07.30 ")</f>
        <v xml:space="preserve"> 07.30 </v>
      </c>
      <c r="K246" s="590" t="str">
        <f ca="1">IFERROR(__xludf.DUMMYFUNCTION("""COMPUTED_VALUE"""),"0.63")</f>
        <v>0.63</v>
      </c>
      <c r="L246" s="590">
        <f ca="1">IFERROR(__xludf.DUMMYFUNCTION("""COMPUTED_VALUE"""),3)</f>
        <v>3</v>
      </c>
      <c r="M246" s="590"/>
      <c r="N246" s="590" t="str">
        <f ca="1">IFERROR(__xludf.DUMMYFUNCTION("""COMPUTED_VALUE"""),"Dị_D&lt;54")</f>
        <v>Dị_D&lt;54</v>
      </c>
      <c r="O246" s="589"/>
      <c r="P246" s="590"/>
    </row>
    <row r="247" spans="1:16" ht="15.75">
      <c r="A247" s="581" t="str">
        <f ca="1">IFERROR(__xludf.DUMMYFUNCTION("""COMPUTED_VALUE"""),"Toàn Phát - Việt Nam")</f>
        <v>Toàn Phát - Việt Nam</v>
      </c>
      <c r="B247" s="581" t="str">
        <f ca="1">IFERROR(__xludf.DUMMYFUNCTION("""COMPUTED_VALUE"""),"ĐTPCAYDI")</f>
        <v>ĐTPCAYDI</v>
      </c>
      <c r="C247" s="581" t="str">
        <f ca="1">IFERROR(__xludf.DUMMYFUNCTION("""COMPUTED_VALUE"""),"DOT074006630")</f>
        <v>DOT074006630</v>
      </c>
      <c r="D247" s="582" t="str">
        <f ca="1">IFERROR(__xludf.DUMMYFUNCTION("""COMPUTED_VALUE"""),"Đồng ống thẳng 07.40x0.66x3.0")</f>
        <v>Đồng ống thẳng 07.40x0.66x3.0</v>
      </c>
      <c r="E247" s="583">
        <f ca="1">IFERROR(__xludf.DUMMYFUNCTION("""COMPUTED_VALUE"""),0.1)</f>
        <v>0.1</v>
      </c>
      <c r="F247" s="584" t="str">
        <f ca="1">IFERROR(__xludf.DUMMYFUNCTION("""COMPUTED_VALUE"""),"Cây")</f>
        <v>Cây</v>
      </c>
      <c r="G247" s="584" t="str">
        <f ca="1">IFERROR(__xludf.DUMMYFUNCTION("""COMPUTED_VALUE"""),"Cây 3m")</f>
        <v>Cây 3m</v>
      </c>
      <c r="H247" s="582"/>
      <c r="I247" s="585">
        <f ca="1">IFERROR(__xludf.DUMMYFUNCTION("""COMPUTED_VALUE"""),0.386743896)</f>
        <v>0.38674389599999998</v>
      </c>
      <c r="J247" s="586" t="str">
        <f ca="1">IFERROR(__xludf.DUMMYFUNCTION("""COMPUTED_VALUE""")," 07.40 ")</f>
        <v xml:space="preserve"> 07.40 </v>
      </c>
      <c r="K247" s="584" t="str">
        <f ca="1">IFERROR(__xludf.DUMMYFUNCTION("""COMPUTED_VALUE"""),"0.66")</f>
        <v>0.66</v>
      </c>
      <c r="L247" s="584">
        <f ca="1">IFERROR(__xludf.DUMMYFUNCTION("""COMPUTED_VALUE"""),3)</f>
        <v>3</v>
      </c>
      <c r="M247" s="584"/>
      <c r="N247" s="584" t="str">
        <f ca="1">IFERROR(__xludf.DUMMYFUNCTION("""COMPUTED_VALUE"""),"Dị_D&lt;54")</f>
        <v>Dị_D&lt;54</v>
      </c>
      <c r="O247" s="583"/>
      <c r="P247" s="584"/>
    </row>
    <row r="248" spans="1:16" ht="15.75">
      <c r="A248" s="587" t="str">
        <f ca="1">IFERROR(__xludf.DUMMYFUNCTION("""COMPUTED_VALUE"""),"Toàn Phát - Việt Nam")</f>
        <v>Toàn Phát - Việt Nam</v>
      </c>
      <c r="B248" s="587" t="str">
        <f ca="1">IFERROR(__xludf.DUMMYFUNCTION("""COMPUTED_VALUE"""),"ĐTPCAYDI")</f>
        <v>ĐTPCAYDI</v>
      </c>
      <c r="C248" s="587" t="str">
        <f ca="1">IFERROR(__xludf.DUMMYFUNCTION("""COMPUTED_VALUE"""),"DOT075006030")</f>
        <v>DOT075006030</v>
      </c>
      <c r="D248" s="588" t="str">
        <f ca="1">IFERROR(__xludf.DUMMYFUNCTION("""COMPUTED_VALUE"""),"Đồng ống thẳng 07.50x0.60x3.0")</f>
        <v>Đồng ống thẳng 07.50x0.60x3.0</v>
      </c>
      <c r="E248" s="589">
        <f ca="1">IFERROR(__xludf.DUMMYFUNCTION("""COMPUTED_VALUE"""),0.1)</f>
        <v>0.1</v>
      </c>
      <c r="F248" s="590" t="str">
        <f ca="1">IFERROR(__xludf.DUMMYFUNCTION("""COMPUTED_VALUE"""),"Cây")</f>
        <v>Cây</v>
      </c>
      <c r="G248" s="590" t="str">
        <f ca="1">IFERROR(__xludf.DUMMYFUNCTION("""COMPUTED_VALUE"""),"Cây 3m")</f>
        <v>Cây 3m</v>
      </c>
      <c r="H248" s="588"/>
      <c r="I248" s="591">
        <f ca="1">IFERROR(__xludf.DUMMYFUNCTION("""COMPUTED_VALUE"""),0.359931599999999)</f>
        <v>0.35993159999999902</v>
      </c>
      <c r="J248" s="592" t="str">
        <f ca="1">IFERROR(__xludf.DUMMYFUNCTION("""COMPUTED_VALUE""")," 07.50 ")</f>
        <v xml:space="preserve"> 07.50 </v>
      </c>
      <c r="K248" s="590" t="str">
        <f ca="1">IFERROR(__xludf.DUMMYFUNCTION("""COMPUTED_VALUE"""),"0.60")</f>
        <v>0.60</v>
      </c>
      <c r="L248" s="590">
        <f ca="1">IFERROR(__xludf.DUMMYFUNCTION("""COMPUTED_VALUE"""),3)</f>
        <v>3</v>
      </c>
      <c r="M248" s="590"/>
      <c r="N248" s="590" t="str">
        <f ca="1">IFERROR(__xludf.DUMMYFUNCTION("""COMPUTED_VALUE"""),"Dị_D&lt;54")</f>
        <v>Dị_D&lt;54</v>
      </c>
      <c r="O248" s="589"/>
      <c r="P248" s="590"/>
    </row>
    <row r="249" spans="1:16" ht="15.75">
      <c r="A249" s="581" t="str">
        <f ca="1">IFERROR(__xludf.DUMMYFUNCTION("""COMPUTED_VALUE"""),"Toàn Phát - Việt Nam")</f>
        <v>Toàn Phát - Việt Nam</v>
      </c>
      <c r="B249" s="581" t="str">
        <f ca="1">IFERROR(__xludf.DUMMYFUNCTION("""COMPUTED_VALUE"""),"ĐTPCAYDI")</f>
        <v>ĐTPCAYDI</v>
      </c>
      <c r="C249" s="581" t="str">
        <f ca="1">IFERROR(__xludf.DUMMYFUNCTION("""COMPUTED_VALUE"""),"DOT07506030")</f>
        <v>DOT07506030</v>
      </c>
      <c r="D249" s="582" t="str">
        <f ca="1">IFERROR(__xludf.DUMMYFUNCTION("""COMPUTED_VALUE"""),"Đồng ống thẳng 7.5x0.60x3.0")</f>
        <v>Đồng ống thẳng 7.5x0.60x3.0</v>
      </c>
      <c r="E249" s="583">
        <f ca="1">IFERROR(__xludf.DUMMYFUNCTION("""COMPUTED_VALUE"""),0.1)</f>
        <v>0.1</v>
      </c>
      <c r="F249" s="584" t="str">
        <f ca="1">IFERROR(__xludf.DUMMYFUNCTION("""COMPUTED_VALUE"""),"Cây")</f>
        <v>Cây</v>
      </c>
      <c r="G249" s="584" t="str">
        <f ca="1">IFERROR(__xludf.DUMMYFUNCTION("""COMPUTED_VALUE"""),"Cây 3m")</f>
        <v>Cây 3m</v>
      </c>
      <c r="H249" s="582"/>
      <c r="I249" s="585">
        <f ca="1">IFERROR(__xludf.DUMMYFUNCTION("""COMPUTED_VALUE"""),0.359931599999999)</f>
        <v>0.35993159999999902</v>
      </c>
      <c r="J249" s="586" t="str">
        <f ca="1">IFERROR(__xludf.DUMMYFUNCTION("""COMPUTED_VALUE""")," 07.50 ")</f>
        <v xml:space="preserve"> 07.50 </v>
      </c>
      <c r="K249" s="584" t="str">
        <f ca="1">IFERROR(__xludf.DUMMYFUNCTION("""COMPUTED_VALUE"""),"0.60")</f>
        <v>0.60</v>
      </c>
      <c r="L249" s="584">
        <f ca="1">IFERROR(__xludf.DUMMYFUNCTION("""COMPUTED_VALUE"""),3)</f>
        <v>3</v>
      </c>
      <c r="M249" s="584"/>
      <c r="N249" s="584" t="str">
        <f ca="1">IFERROR(__xludf.DUMMYFUNCTION("""COMPUTED_VALUE"""),"Dị_D&lt;54")</f>
        <v>Dị_D&lt;54</v>
      </c>
      <c r="O249" s="583"/>
      <c r="P249" s="584"/>
    </row>
    <row r="250" spans="1:16" ht="15.75">
      <c r="A250" s="587" t="str">
        <f ca="1">IFERROR(__xludf.DUMMYFUNCTION("""COMPUTED_VALUE"""),"Toàn Phát - Việt Nam")</f>
        <v>Toàn Phát - Việt Nam</v>
      </c>
      <c r="B250" s="587" t="str">
        <f ca="1">IFERROR(__xludf.DUMMYFUNCTION("""COMPUTED_VALUE"""),"ĐTPCAYDI")</f>
        <v>ĐTPCAYDI</v>
      </c>
      <c r="C250" s="587" t="str">
        <f ca="1">IFERROR(__xludf.DUMMYFUNCTION("""COMPUTED_VALUE"""),"DOT075006115")</f>
        <v>DOT075006115</v>
      </c>
      <c r="D250" s="588" t="str">
        <f ca="1">IFERROR(__xludf.DUMMYFUNCTION("""COMPUTED_VALUE"""),"Đồng ống thẳng 07.50x0.61x1.5")</f>
        <v>Đồng ống thẳng 07.50x0.61x1.5</v>
      </c>
      <c r="E250" s="589">
        <f ca="1">IFERROR(__xludf.DUMMYFUNCTION("""COMPUTED_VALUE"""),0.1)</f>
        <v>0.1</v>
      </c>
      <c r="F250" s="590" t="str">
        <f ca="1">IFERROR(__xludf.DUMMYFUNCTION("""COMPUTED_VALUE"""),"Cây")</f>
        <v>Cây</v>
      </c>
      <c r="G250" s="590" t="str">
        <f ca="1">IFERROR(__xludf.DUMMYFUNCTION("""COMPUTED_VALUE"""),"Cây 1.5m")</f>
        <v>Cây 1.5m</v>
      </c>
      <c r="H250" s="588"/>
      <c r="I250" s="591">
        <f ca="1">IFERROR(__xludf.DUMMYFUNCTION("""COMPUTED_VALUE"""),0.182700062999999)</f>
        <v>0.182700062999999</v>
      </c>
      <c r="J250" s="592" t="str">
        <f ca="1">IFERROR(__xludf.DUMMYFUNCTION("""COMPUTED_VALUE""")," 07.50 ")</f>
        <v xml:space="preserve"> 07.50 </v>
      </c>
      <c r="K250" s="590" t="str">
        <f ca="1">IFERROR(__xludf.DUMMYFUNCTION("""COMPUTED_VALUE"""),"0.61")</f>
        <v>0.61</v>
      </c>
      <c r="L250" s="590">
        <f ca="1">IFERROR(__xludf.DUMMYFUNCTION("""COMPUTED_VALUE"""),1.5)</f>
        <v>1.5</v>
      </c>
      <c r="M250" s="590"/>
      <c r="N250" s="590" t="str">
        <f ca="1">IFERROR(__xludf.DUMMYFUNCTION("""COMPUTED_VALUE"""),"Dị_D&lt;54")</f>
        <v>Dị_D&lt;54</v>
      </c>
      <c r="O250" s="589"/>
      <c r="P250" s="590"/>
    </row>
    <row r="251" spans="1:16" ht="15.75">
      <c r="A251" s="581" t="str">
        <f ca="1">IFERROR(__xludf.DUMMYFUNCTION("""COMPUTED_VALUE"""),"Toàn Phát - Việt Nam")</f>
        <v>Toàn Phát - Việt Nam</v>
      </c>
      <c r="B251" s="581" t="str">
        <f ca="1">IFERROR(__xludf.DUMMYFUNCTION("""COMPUTED_VALUE"""),"ĐTPCAYDI")</f>
        <v>ĐTPCAYDI</v>
      </c>
      <c r="C251" s="581" t="str">
        <f ca="1">IFERROR(__xludf.DUMMYFUNCTION("""COMPUTED_VALUE"""),"DOT07506330")</f>
        <v>DOT07506330</v>
      </c>
      <c r="D251" s="582" t="str">
        <f ca="1">IFERROR(__xludf.DUMMYFUNCTION("""COMPUTED_VALUE"""),"Đồng ống thẳng 7.5x0.63x3.0")</f>
        <v>Đồng ống thẳng 7.5x0.63x3.0</v>
      </c>
      <c r="E251" s="583">
        <f ca="1">IFERROR(__xludf.DUMMYFUNCTION("""COMPUTED_VALUE"""),0.1)</f>
        <v>0.1</v>
      </c>
      <c r="F251" s="584" t="str">
        <f ca="1">IFERROR(__xludf.DUMMYFUNCTION("""COMPUTED_VALUE"""),"Cây")</f>
        <v>Cây</v>
      </c>
      <c r="G251" s="584" t="str">
        <f ca="1">IFERROR(__xludf.DUMMYFUNCTION("""COMPUTED_VALUE"""),"Cây 3m")</f>
        <v>Cây 3m</v>
      </c>
      <c r="H251" s="582"/>
      <c r="I251" s="585">
        <f ca="1">IFERROR(__xludf.DUMMYFUNCTION("""COMPUTED_VALUE"""),0.376285014)</f>
        <v>0.37628501399999997</v>
      </c>
      <c r="J251" s="586" t="str">
        <f ca="1">IFERROR(__xludf.DUMMYFUNCTION("""COMPUTED_VALUE""")," 07.50 ")</f>
        <v xml:space="preserve"> 07.50 </v>
      </c>
      <c r="K251" s="584" t="str">
        <f ca="1">IFERROR(__xludf.DUMMYFUNCTION("""COMPUTED_VALUE"""),"0.63")</f>
        <v>0.63</v>
      </c>
      <c r="L251" s="584">
        <f ca="1">IFERROR(__xludf.DUMMYFUNCTION("""COMPUTED_VALUE"""),3)</f>
        <v>3</v>
      </c>
      <c r="M251" s="584"/>
      <c r="N251" s="584" t="str">
        <f ca="1">IFERROR(__xludf.DUMMYFUNCTION("""COMPUTED_VALUE"""),"Dị_D&lt;54")</f>
        <v>Dị_D&lt;54</v>
      </c>
      <c r="O251" s="583"/>
      <c r="P251" s="584"/>
    </row>
    <row r="252" spans="1:16" ht="15.75">
      <c r="A252" s="587" t="str">
        <f ca="1">IFERROR(__xludf.DUMMYFUNCTION("""COMPUTED_VALUE"""),"Toàn Phát - Việt Nam")</f>
        <v>Toàn Phát - Việt Nam</v>
      </c>
      <c r="B252" s="587" t="str">
        <f ca="1">IFERROR(__xludf.DUMMYFUNCTION("""COMPUTED_VALUE"""),"ĐTPCAYDI")</f>
        <v>ĐTPCAYDI</v>
      </c>
      <c r="C252" s="587" t="str">
        <f ca="1">IFERROR(__xludf.DUMMYFUNCTION("""COMPUTED_VALUE"""),"DOT0750065140")</f>
        <v>DOT0750065140</v>
      </c>
      <c r="D252" s="588" t="str">
        <f ca="1">IFERROR(__xludf.DUMMYFUNCTION("""COMPUTED_VALUE"""),"Đồng ống thẳng 07.50x0.65x1.4")</f>
        <v>Đồng ống thẳng 07.50x0.65x1.4</v>
      </c>
      <c r="E252" s="589">
        <f ca="1">IFERROR(__xludf.DUMMYFUNCTION("""COMPUTED_VALUE"""),0.1)</f>
        <v>0.1</v>
      </c>
      <c r="F252" s="590" t="str">
        <f ca="1">IFERROR(__xludf.DUMMYFUNCTION("""COMPUTED_VALUE"""),"Cây")</f>
        <v>Cây</v>
      </c>
      <c r="G252" s="590" t="str">
        <f ca="1">IFERROR(__xludf.DUMMYFUNCTION("""COMPUTED_VALUE"""),"Cây 1.4m")</f>
        <v>Cây 1.4m</v>
      </c>
      <c r="H252" s="588"/>
      <c r="I252" s="591">
        <f ca="1">IFERROR(__xludf.DUMMYFUNCTION("""COMPUTED_VALUE"""),0.180646829999999)</f>
        <v>0.18064682999999901</v>
      </c>
      <c r="J252" s="592" t="str">
        <f ca="1">IFERROR(__xludf.DUMMYFUNCTION("""COMPUTED_VALUE""")," 07.50 ")</f>
        <v xml:space="preserve"> 07.50 </v>
      </c>
      <c r="K252" s="590" t="str">
        <f ca="1">IFERROR(__xludf.DUMMYFUNCTION("""COMPUTED_VALUE"""),"0.65")</f>
        <v>0.65</v>
      </c>
      <c r="L252" s="590">
        <f ca="1">IFERROR(__xludf.DUMMYFUNCTION("""COMPUTED_VALUE"""),1.4)</f>
        <v>1.4</v>
      </c>
      <c r="M252" s="590"/>
      <c r="N252" s="590" t="str">
        <f ca="1">IFERROR(__xludf.DUMMYFUNCTION("""COMPUTED_VALUE"""),"Dị_D&lt;54")</f>
        <v>Dị_D&lt;54</v>
      </c>
      <c r="O252" s="589"/>
      <c r="P252" s="590"/>
    </row>
    <row r="253" spans="1:16" ht="15.75">
      <c r="A253" s="581" t="str">
        <f ca="1">IFERROR(__xludf.DUMMYFUNCTION("""COMPUTED_VALUE"""),"Toàn Phát - Việt Nam")</f>
        <v>Toàn Phát - Việt Nam</v>
      </c>
      <c r="B253" s="581" t="str">
        <f ca="1">IFERROR(__xludf.DUMMYFUNCTION("""COMPUTED_VALUE"""),"ĐTPCAYDI")</f>
        <v>ĐTPCAYDI</v>
      </c>
      <c r="C253" s="581" t="str">
        <f ca="1">IFERROR(__xludf.DUMMYFUNCTION("""COMPUTED_VALUE"""),"DOT075006530")</f>
        <v>DOT075006530</v>
      </c>
      <c r="D253" s="582" t="str">
        <f ca="1">IFERROR(__xludf.DUMMYFUNCTION("""COMPUTED_VALUE"""),"Đồng ống thẳng 07.50x0.65x3.0")</f>
        <v>Đồng ống thẳng 07.50x0.65x3.0</v>
      </c>
      <c r="E253" s="583">
        <f ca="1">IFERROR(__xludf.DUMMYFUNCTION("""COMPUTED_VALUE"""),0.1)</f>
        <v>0.1</v>
      </c>
      <c r="F253" s="584" t="str">
        <f ca="1">IFERROR(__xludf.DUMMYFUNCTION("""COMPUTED_VALUE"""),"Cây")</f>
        <v>Cây</v>
      </c>
      <c r="G253" s="584" t="str">
        <f ca="1">IFERROR(__xludf.DUMMYFUNCTION("""COMPUTED_VALUE"""),"Cây 3m")</f>
        <v>Cây 3m</v>
      </c>
      <c r="H253" s="582"/>
      <c r="I253" s="585">
        <f ca="1">IFERROR(__xludf.DUMMYFUNCTION("""COMPUTED_VALUE"""),0.387100349999999)</f>
        <v>0.38710034999999898</v>
      </c>
      <c r="J253" s="586" t="str">
        <f ca="1">IFERROR(__xludf.DUMMYFUNCTION("""COMPUTED_VALUE""")," 07.50 ")</f>
        <v xml:space="preserve"> 07.50 </v>
      </c>
      <c r="K253" s="584" t="str">
        <f ca="1">IFERROR(__xludf.DUMMYFUNCTION("""COMPUTED_VALUE"""),"0.65")</f>
        <v>0.65</v>
      </c>
      <c r="L253" s="584">
        <f ca="1">IFERROR(__xludf.DUMMYFUNCTION("""COMPUTED_VALUE"""),3)</f>
        <v>3</v>
      </c>
      <c r="M253" s="584"/>
      <c r="N253" s="584" t="str">
        <f ca="1">IFERROR(__xludf.DUMMYFUNCTION("""COMPUTED_VALUE"""),"Dị_D&lt;54")</f>
        <v>Dị_D&lt;54</v>
      </c>
      <c r="O253" s="583"/>
      <c r="P253" s="584"/>
    </row>
    <row r="254" spans="1:16" ht="15.75">
      <c r="A254" s="587" t="str">
        <f ca="1">IFERROR(__xludf.DUMMYFUNCTION("""COMPUTED_VALUE"""),"Toàn Phát - Việt Nam")</f>
        <v>Toàn Phát - Việt Nam</v>
      </c>
      <c r="B254" s="587" t="str">
        <f ca="1">IFERROR(__xludf.DUMMYFUNCTION("""COMPUTED_VALUE"""),"ĐTPCAYDI")</f>
        <v>ĐTPCAYDI</v>
      </c>
      <c r="C254" s="587" t="str">
        <f ca="1">IFERROR(__xludf.DUMMYFUNCTION("""COMPUTED_VALUE"""),"DOT7506514")</f>
        <v>DOT7506514</v>
      </c>
      <c r="D254" s="588" t="str">
        <f ca="1">IFERROR(__xludf.DUMMYFUNCTION("""COMPUTED_VALUE"""),"Đồng ống thẳng 7.5x0.65x1.4m")</f>
        <v>Đồng ống thẳng 7.5x0.65x1.4m</v>
      </c>
      <c r="E254" s="589">
        <f ca="1">IFERROR(__xludf.DUMMYFUNCTION("""COMPUTED_VALUE"""),0.1)</f>
        <v>0.1</v>
      </c>
      <c r="F254" s="590" t="str">
        <f ca="1">IFERROR(__xludf.DUMMYFUNCTION("""COMPUTED_VALUE"""),"Cây")</f>
        <v>Cây</v>
      </c>
      <c r="G254" s="590" t="str">
        <f ca="1">IFERROR(__xludf.DUMMYFUNCTION("""COMPUTED_VALUE"""),"Cây 1.4m")</f>
        <v>Cây 1.4m</v>
      </c>
      <c r="H254" s="588"/>
      <c r="I254" s="591">
        <f ca="1">IFERROR(__xludf.DUMMYFUNCTION("""COMPUTED_VALUE"""),0.180646829999999)</f>
        <v>0.18064682999999901</v>
      </c>
      <c r="J254" s="592" t="str">
        <f ca="1">IFERROR(__xludf.DUMMYFUNCTION("""COMPUTED_VALUE""")," 07.50 ")</f>
        <v xml:space="preserve"> 07.50 </v>
      </c>
      <c r="K254" s="590" t="str">
        <f ca="1">IFERROR(__xludf.DUMMYFUNCTION("""COMPUTED_VALUE"""),"0.65")</f>
        <v>0.65</v>
      </c>
      <c r="L254" s="590">
        <f ca="1">IFERROR(__xludf.DUMMYFUNCTION("""COMPUTED_VALUE"""),1.4)</f>
        <v>1.4</v>
      </c>
      <c r="M254" s="590"/>
      <c r="N254" s="590" t="str">
        <f ca="1">IFERROR(__xludf.DUMMYFUNCTION("""COMPUTED_VALUE"""),"Dị_D&lt;54")</f>
        <v>Dị_D&lt;54</v>
      </c>
      <c r="O254" s="589"/>
      <c r="P254" s="590"/>
    </row>
    <row r="255" spans="1:16" ht="15.75">
      <c r="A255" s="581" t="str">
        <f ca="1">IFERROR(__xludf.DUMMYFUNCTION("""COMPUTED_VALUE"""),"Toàn Phát - Việt Nam")</f>
        <v>Toàn Phát - Việt Nam</v>
      </c>
      <c r="B255" s="581" t="str">
        <f ca="1">IFERROR(__xludf.DUMMYFUNCTION("""COMPUTED_VALUE"""),"ĐTPCAYDI")</f>
        <v>ĐTPCAYDI</v>
      </c>
      <c r="C255" s="581" t="str">
        <f ca="1">IFERROR(__xludf.DUMMYFUNCTION("""COMPUTED_VALUE"""),"DOT7506515")</f>
        <v>DOT7506515</v>
      </c>
      <c r="D255" s="582" t="str">
        <f ca="1">IFERROR(__xludf.DUMMYFUNCTION("""COMPUTED_VALUE"""),"Đồng ống thẳng 7.5x0.65x1.5m")</f>
        <v>Đồng ống thẳng 7.5x0.65x1.5m</v>
      </c>
      <c r="E255" s="583">
        <f ca="1">IFERROR(__xludf.DUMMYFUNCTION("""COMPUTED_VALUE"""),0.1)</f>
        <v>0.1</v>
      </c>
      <c r="F255" s="584" t="str">
        <f ca="1">IFERROR(__xludf.DUMMYFUNCTION("""COMPUTED_VALUE"""),"Cây")</f>
        <v>Cây</v>
      </c>
      <c r="G255" s="584" t="str">
        <f ca="1">IFERROR(__xludf.DUMMYFUNCTION("""COMPUTED_VALUE"""),"Cây 1.5m")</f>
        <v>Cây 1.5m</v>
      </c>
      <c r="H255" s="582"/>
      <c r="I255" s="585">
        <f ca="1">IFERROR(__xludf.DUMMYFUNCTION("""COMPUTED_VALUE"""),0.193550174999999)</f>
        <v>0.19355017499999899</v>
      </c>
      <c r="J255" s="586" t="str">
        <f ca="1">IFERROR(__xludf.DUMMYFUNCTION("""COMPUTED_VALUE""")," 07.50 ")</f>
        <v xml:space="preserve"> 07.50 </v>
      </c>
      <c r="K255" s="584" t="str">
        <f ca="1">IFERROR(__xludf.DUMMYFUNCTION("""COMPUTED_VALUE"""),"0.65")</f>
        <v>0.65</v>
      </c>
      <c r="L255" s="584">
        <f ca="1">IFERROR(__xludf.DUMMYFUNCTION("""COMPUTED_VALUE"""),1.5)</f>
        <v>1.5</v>
      </c>
      <c r="M255" s="584"/>
      <c r="N255" s="584" t="str">
        <f ca="1">IFERROR(__xludf.DUMMYFUNCTION("""COMPUTED_VALUE"""),"Dị_D&lt;54")</f>
        <v>Dị_D&lt;54</v>
      </c>
      <c r="O255" s="583"/>
      <c r="P255" s="584"/>
    </row>
    <row r="256" spans="1:16" ht="15.75">
      <c r="A256" s="587" t="str">
        <f ca="1">IFERROR(__xludf.DUMMYFUNCTION("""COMPUTED_VALUE"""),"Toàn Phát - Việt Nam")</f>
        <v>Toàn Phát - Việt Nam</v>
      </c>
      <c r="B256" s="587" t="str">
        <f ca="1">IFERROR(__xludf.DUMMYFUNCTION("""COMPUTED_VALUE"""),"ĐTPCAYDI")</f>
        <v>ĐTPCAYDI</v>
      </c>
      <c r="C256" s="587" t="str">
        <f ca="1">IFERROR(__xludf.DUMMYFUNCTION("""COMPUTED_VALUE"""),"DOT750653")</f>
        <v>DOT750653</v>
      </c>
      <c r="D256" s="588" t="str">
        <f ca="1">IFERROR(__xludf.DUMMYFUNCTION("""COMPUTED_VALUE"""),"Đồng ống thẳng 7.5x0.65x3.0")</f>
        <v>Đồng ống thẳng 7.5x0.65x3.0</v>
      </c>
      <c r="E256" s="589">
        <f ca="1">IFERROR(__xludf.DUMMYFUNCTION("""COMPUTED_VALUE"""),0.1)</f>
        <v>0.1</v>
      </c>
      <c r="F256" s="590" t="str">
        <f ca="1">IFERROR(__xludf.DUMMYFUNCTION("""COMPUTED_VALUE"""),"Cây")</f>
        <v>Cây</v>
      </c>
      <c r="G256" s="590" t="str">
        <f ca="1">IFERROR(__xludf.DUMMYFUNCTION("""COMPUTED_VALUE"""),"Cây 3m")</f>
        <v>Cây 3m</v>
      </c>
      <c r="H256" s="588"/>
      <c r="I256" s="591">
        <f ca="1">IFERROR(__xludf.DUMMYFUNCTION("""COMPUTED_VALUE"""),0.387100349999999)</f>
        <v>0.38710034999999898</v>
      </c>
      <c r="J256" s="592" t="str">
        <f ca="1">IFERROR(__xludf.DUMMYFUNCTION("""COMPUTED_VALUE""")," 07.50 ")</f>
        <v xml:space="preserve"> 07.50 </v>
      </c>
      <c r="K256" s="590" t="str">
        <f ca="1">IFERROR(__xludf.DUMMYFUNCTION("""COMPUTED_VALUE"""),"0.65")</f>
        <v>0.65</v>
      </c>
      <c r="L256" s="590">
        <f ca="1">IFERROR(__xludf.DUMMYFUNCTION("""COMPUTED_VALUE"""),3)</f>
        <v>3</v>
      </c>
      <c r="M256" s="590"/>
      <c r="N256" s="590" t="str">
        <f ca="1">IFERROR(__xludf.DUMMYFUNCTION("""COMPUTED_VALUE"""),"Dị_D&lt;54")</f>
        <v>Dị_D&lt;54</v>
      </c>
      <c r="O256" s="589"/>
      <c r="P256" s="590"/>
    </row>
    <row r="257" spans="1:16" ht="15.75">
      <c r="A257" s="581" t="str">
        <f ca="1">IFERROR(__xludf.DUMMYFUNCTION("""COMPUTED_VALUE"""),"Toàn Phát - Việt Nam")</f>
        <v>Toàn Phát - Việt Nam</v>
      </c>
      <c r="B257" s="581" t="str">
        <f ca="1">IFERROR(__xludf.DUMMYFUNCTION("""COMPUTED_VALUE"""),"ĐTPCAYDI")</f>
        <v>ĐTPCAYDI</v>
      </c>
      <c r="C257" s="581" t="str">
        <f ca="1">IFERROR(__xludf.DUMMYFUNCTION("""COMPUTED_VALUE"""),"DOT075006630")</f>
        <v>DOT075006630</v>
      </c>
      <c r="D257" s="582" t="str">
        <f ca="1">IFERROR(__xludf.DUMMYFUNCTION("""COMPUTED_VALUE"""),"Đồng ống thẳng 07.50x0.66x3.0")</f>
        <v>Đồng ống thẳng 07.50x0.66x3.0</v>
      </c>
      <c r="E257" s="583">
        <f ca="1">IFERROR(__xludf.DUMMYFUNCTION("""COMPUTED_VALUE"""),0.1)</f>
        <v>0.1</v>
      </c>
      <c r="F257" s="584" t="str">
        <f ca="1">IFERROR(__xludf.DUMMYFUNCTION("""COMPUTED_VALUE"""),"Cây")</f>
        <v>Cây</v>
      </c>
      <c r="G257" s="584" t="str">
        <f ca="1">IFERROR(__xludf.DUMMYFUNCTION("""COMPUTED_VALUE"""),"Cây 3m")</f>
        <v>Cây 3m</v>
      </c>
      <c r="H257" s="582"/>
      <c r="I257" s="585">
        <f ca="1">IFERROR(__xludf.DUMMYFUNCTION("""COMPUTED_VALUE"""),0.392481936)</f>
        <v>0.39248193599999998</v>
      </c>
      <c r="J257" s="586" t="str">
        <f ca="1">IFERROR(__xludf.DUMMYFUNCTION("""COMPUTED_VALUE""")," 07.50 ")</f>
        <v xml:space="preserve"> 07.50 </v>
      </c>
      <c r="K257" s="584" t="str">
        <f ca="1">IFERROR(__xludf.DUMMYFUNCTION("""COMPUTED_VALUE"""),"0.66")</f>
        <v>0.66</v>
      </c>
      <c r="L257" s="584">
        <f ca="1">IFERROR(__xludf.DUMMYFUNCTION("""COMPUTED_VALUE"""),3)</f>
        <v>3</v>
      </c>
      <c r="M257" s="584"/>
      <c r="N257" s="584" t="str">
        <f ca="1">IFERROR(__xludf.DUMMYFUNCTION("""COMPUTED_VALUE"""),"Dị_D&lt;54")</f>
        <v>Dị_D&lt;54</v>
      </c>
      <c r="O257" s="583"/>
      <c r="P257" s="584"/>
    </row>
    <row r="258" spans="1:16" ht="15.75">
      <c r="A258" s="587" t="str">
        <f ca="1">IFERROR(__xludf.DUMMYFUNCTION("""COMPUTED_VALUE"""),"Toàn Phát - Việt Nam")</f>
        <v>Toàn Phát - Việt Nam</v>
      </c>
      <c r="B258" s="587" t="str">
        <f ca="1">IFERROR(__xludf.DUMMYFUNCTION("""COMPUTED_VALUE"""),"ĐTPCAYDI")</f>
        <v>ĐTPCAYDI</v>
      </c>
      <c r="C258" s="587" t="str">
        <f ca="1">IFERROR(__xludf.DUMMYFUNCTION("""COMPUTED_VALUE"""),"DOT075006830")</f>
        <v>DOT075006830</v>
      </c>
      <c r="D258" s="588" t="str">
        <f ca="1">IFERROR(__xludf.DUMMYFUNCTION("""COMPUTED_VALUE"""),"Đồng ống thẳng 07.50x0.68x3.0")</f>
        <v>Đồng ống thẳng 07.50x0.68x3.0</v>
      </c>
      <c r="E258" s="589">
        <f ca="1">IFERROR(__xludf.DUMMYFUNCTION("""COMPUTED_VALUE"""),0.1)</f>
        <v>0.1</v>
      </c>
      <c r="F258" s="590" t="str">
        <f ca="1">IFERROR(__xludf.DUMMYFUNCTION("""COMPUTED_VALUE"""),"Cây")</f>
        <v>Cây</v>
      </c>
      <c r="G258" s="590" t="str">
        <f ca="1">IFERROR(__xludf.DUMMYFUNCTION("""COMPUTED_VALUE"""),"Cây 3m")</f>
        <v>Cây 3m</v>
      </c>
      <c r="H258" s="588"/>
      <c r="I258" s="591">
        <f ca="1">IFERROR(__xludf.DUMMYFUNCTION("""COMPUTED_VALUE"""),0.403192944)</f>
        <v>0.403192944</v>
      </c>
      <c r="J258" s="592" t="str">
        <f ca="1">IFERROR(__xludf.DUMMYFUNCTION("""COMPUTED_VALUE""")," 07.50 ")</f>
        <v xml:space="preserve"> 07.50 </v>
      </c>
      <c r="K258" s="590" t="str">
        <f ca="1">IFERROR(__xludf.DUMMYFUNCTION("""COMPUTED_VALUE"""),"0.68")</f>
        <v>0.68</v>
      </c>
      <c r="L258" s="590">
        <f ca="1">IFERROR(__xludf.DUMMYFUNCTION("""COMPUTED_VALUE"""),3)</f>
        <v>3</v>
      </c>
      <c r="M258" s="590"/>
      <c r="N258" s="590" t="str">
        <f ca="1">IFERROR(__xludf.DUMMYFUNCTION("""COMPUTED_VALUE"""),"Dị_D&lt;54")</f>
        <v>Dị_D&lt;54</v>
      </c>
      <c r="O258" s="589"/>
      <c r="P258" s="590"/>
    </row>
    <row r="259" spans="1:16" ht="15.75">
      <c r="A259" s="581" t="str">
        <f ca="1">IFERROR(__xludf.DUMMYFUNCTION("""COMPUTED_VALUE"""),"Toàn Phát - Việt Nam")</f>
        <v>Toàn Phát - Việt Nam</v>
      </c>
      <c r="B259" s="581" t="str">
        <f ca="1">IFERROR(__xludf.DUMMYFUNCTION("""COMPUTED_VALUE"""),"ĐTPCAYDI")</f>
        <v>ĐTPCAYDI</v>
      </c>
      <c r="C259" s="581" t="str">
        <f ca="1">IFERROR(__xludf.DUMMYFUNCTION("""COMPUTED_VALUE"""),"DOT075007030")</f>
        <v>DOT075007030</v>
      </c>
      <c r="D259" s="582" t="str">
        <f ca="1">IFERROR(__xludf.DUMMYFUNCTION("""COMPUTED_VALUE"""),"Đồng ống thẳng 07.50x0.70x3.0")</f>
        <v>Đồng ống thẳng 07.50x0.70x3.0</v>
      </c>
      <c r="E259" s="583">
        <f ca="1">IFERROR(__xludf.DUMMYFUNCTION("""COMPUTED_VALUE"""),0.1)</f>
        <v>0.1</v>
      </c>
      <c r="F259" s="584" t="str">
        <f ca="1">IFERROR(__xludf.DUMMYFUNCTION("""COMPUTED_VALUE"""),"Cây")</f>
        <v>Cây</v>
      </c>
      <c r="G259" s="584" t="str">
        <f ca="1">IFERROR(__xludf.DUMMYFUNCTION("""COMPUTED_VALUE"""),"Cây 3m")</f>
        <v>Cây 3m</v>
      </c>
      <c r="H259" s="582"/>
      <c r="I259" s="585">
        <f ca="1">IFERROR(__xludf.DUMMYFUNCTION("""COMPUTED_VALUE"""),0.4138344)</f>
        <v>0.41383439999999999</v>
      </c>
      <c r="J259" s="586" t="str">
        <f ca="1">IFERROR(__xludf.DUMMYFUNCTION("""COMPUTED_VALUE""")," 07.50 ")</f>
        <v xml:space="preserve"> 07.50 </v>
      </c>
      <c r="K259" s="584" t="str">
        <f ca="1">IFERROR(__xludf.DUMMYFUNCTION("""COMPUTED_VALUE"""),"0.70")</f>
        <v>0.70</v>
      </c>
      <c r="L259" s="584">
        <f ca="1">IFERROR(__xludf.DUMMYFUNCTION("""COMPUTED_VALUE"""),3)</f>
        <v>3</v>
      </c>
      <c r="M259" s="584"/>
      <c r="N259" s="584" t="str">
        <f ca="1">IFERROR(__xludf.DUMMYFUNCTION("""COMPUTED_VALUE"""),"Dị_D&lt;54")</f>
        <v>Dị_D&lt;54</v>
      </c>
      <c r="O259" s="583"/>
      <c r="P259" s="584"/>
    </row>
    <row r="260" spans="1:16" ht="15.75">
      <c r="A260" s="587" t="str">
        <f ca="1">IFERROR(__xludf.DUMMYFUNCTION("""COMPUTED_VALUE"""),"Toàn Phát - Việt Nam")</f>
        <v>Toàn Phát - Việt Nam</v>
      </c>
      <c r="B260" s="587" t="str">
        <f ca="1">IFERROR(__xludf.DUMMYFUNCTION("""COMPUTED_VALUE"""),"ĐTPCAYDI")</f>
        <v>ĐTPCAYDI</v>
      </c>
      <c r="C260" s="587" t="str">
        <f ca="1">IFERROR(__xludf.DUMMYFUNCTION("""COMPUTED_VALUE"""),"DOT07507130")</f>
        <v>DOT07507130</v>
      </c>
      <c r="D260" s="588" t="str">
        <f ca="1">IFERROR(__xludf.DUMMYFUNCTION("""COMPUTED_VALUE"""),"Đồng ống thẳng 07.50x0.71x3.0")</f>
        <v>Đồng ống thẳng 07.50x0.71x3.0</v>
      </c>
      <c r="E260" s="589">
        <f ca="1">IFERROR(__xludf.DUMMYFUNCTION("""COMPUTED_VALUE"""),0.1)</f>
        <v>0.1</v>
      </c>
      <c r="F260" s="590" t="str">
        <f ca="1">IFERROR(__xludf.DUMMYFUNCTION("""COMPUTED_VALUE"""),"Cây")</f>
        <v>Cây</v>
      </c>
      <c r="G260" s="590" t="str">
        <f ca="1">IFERROR(__xludf.DUMMYFUNCTION("""COMPUTED_VALUE"""),"Cây 3m")</f>
        <v>Cây 3m</v>
      </c>
      <c r="H260" s="588"/>
      <c r="I260" s="591">
        <f ca="1">IFERROR(__xludf.DUMMYFUNCTION("""COMPUTED_VALUE"""),0.419129045999999)</f>
        <v>0.41912904599999901</v>
      </c>
      <c r="J260" s="592" t="str">
        <f ca="1">IFERROR(__xludf.DUMMYFUNCTION("""COMPUTED_VALUE""")," 07.50 ")</f>
        <v xml:space="preserve"> 07.50 </v>
      </c>
      <c r="K260" s="590" t="str">
        <f ca="1">IFERROR(__xludf.DUMMYFUNCTION("""COMPUTED_VALUE"""),"0.71")</f>
        <v>0.71</v>
      </c>
      <c r="L260" s="590">
        <f ca="1">IFERROR(__xludf.DUMMYFUNCTION("""COMPUTED_VALUE"""),3)</f>
        <v>3</v>
      </c>
      <c r="M260" s="590"/>
      <c r="N260" s="590" t="str">
        <f ca="1">IFERROR(__xludf.DUMMYFUNCTION("""COMPUTED_VALUE"""),"Dị_D&lt;54")</f>
        <v>Dị_D&lt;54</v>
      </c>
      <c r="O260" s="589"/>
      <c r="P260" s="590"/>
    </row>
    <row r="261" spans="1:16" ht="15.75">
      <c r="A261" s="581" t="str">
        <f ca="1">IFERROR(__xludf.DUMMYFUNCTION("""COMPUTED_VALUE"""),"Toàn Phát - Việt Nam")</f>
        <v>Toàn Phát - Việt Nam</v>
      </c>
      <c r="B261" s="581" t="str">
        <f ca="1">IFERROR(__xludf.DUMMYFUNCTION("""COMPUTED_VALUE"""),"ĐTPCAYDI")</f>
        <v>ĐTPCAYDI</v>
      </c>
      <c r="C261" s="581" t="str">
        <f ca="1">IFERROR(__xludf.DUMMYFUNCTION("""COMPUTED_VALUE"""),"DOT075007530")</f>
        <v>DOT075007530</v>
      </c>
      <c r="D261" s="582" t="str">
        <f ca="1">IFERROR(__xludf.DUMMYFUNCTION("""COMPUTED_VALUE"""),"Đồng ống thẳng 07.50x0.75x3.0")</f>
        <v>Đồng ống thẳng 07.50x0.75x3.0</v>
      </c>
      <c r="E261" s="583">
        <f ca="1">IFERROR(__xludf.DUMMYFUNCTION("""COMPUTED_VALUE"""),0.1)</f>
        <v>0.1</v>
      </c>
      <c r="F261" s="584" t="str">
        <f ca="1">IFERROR(__xludf.DUMMYFUNCTION("""COMPUTED_VALUE"""),"Cây")</f>
        <v>Cây</v>
      </c>
      <c r="G261" s="584" t="str">
        <f ca="1">IFERROR(__xludf.DUMMYFUNCTION("""COMPUTED_VALUE"""),"Cây 3m")</f>
        <v>Cây 3m</v>
      </c>
      <c r="H261" s="582"/>
      <c r="I261" s="585">
        <f ca="1">IFERROR(__xludf.DUMMYFUNCTION("""COMPUTED_VALUE"""),0.44013375)</f>
        <v>0.44013374999999999</v>
      </c>
      <c r="J261" s="586" t="str">
        <f ca="1">IFERROR(__xludf.DUMMYFUNCTION("""COMPUTED_VALUE""")," 07.50 ")</f>
        <v xml:space="preserve"> 07.50 </v>
      </c>
      <c r="K261" s="584" t="str">
        <f ca="1">IFERROR(__xludf.DUMMYFUNCTION("""COMPUTED_VALUE"""),"0.75")</f>
        <v>0.75</v>
      </c>
      <c r="L261" s="584">
        <f ca="1">IFERROR(__xludf.DUMMYFUNCTION("""COMPUTED_VALUE"""),3)</f>
        <v>3</v>
      </c>
      <c r="M261" s="584"/>
      <c r="N261" s="584" t="str">
        <f ca="1">IFERROR(__xludf.DUMMYFUNCTION("""COMPUTED_VALUE"""),"Dị_D&lt;54")</f>
        <v>Dị_D&lt;54</v>
      </c>
      <c r="O261" s="583"/>
      <c r="P261" s="584"/>
    </row>
    <row r="262" spans="1:16" ht="15.75">
      <c r="A262" s="587" t="str">
        <f ca="1">IFERROR(__xludf.DUMMYFUNCTION("""COMPUTED_VALUE"""),"Toàn Phát - Việt Nam")</f>
        <v>Toàn Phát - Việt Nam</v>
      </c>
      <c r="B262" s="587" t="str">
        <f ca="1">IFERROR(__xludf.DUMMYFUNCTION("""COMPUTED_VALUE"""),"ĐTPCAYDI")</f>
        <v>ĐTPCAYDI</v>
      </c>
      <c r="C262" s="587" t="str">
        <f ca="1">IFERROR(__xludf.DUMMYFUNCTION("""COMPUTED_VALUE"""),"DOT075008030")</f>
        <v>DOT075008030</v>
      </c>
      <c r="D262" s="588" t="str">
        <f ca="1">IFERROR(__xludf.DUMMYFUNCTION("""COMPUTED_VALUE"""),"Đồng ống thẳng 07.50x0.80x3.0")</f>
        <v>Đồng ống thẳng 07.50x0.80x3.0</v>
      </c>
      <c r="E262" s="589">
        <f ca="1">IFERROR(__xludf.DUMMYFUNCTION("""COMPUTED_VALUE"""),0.1)</f>
        <v>0.1</v>
      </c>
      <c r="F262" s="590" t="str">
        <f ca="1">IFERROR(__xludf.DUMMYFUNCTION("""COMPUTED_VALUE"""),"Cây")</f>
        <v>Cây</v>
      </c>
      <c r="G262" s="590" t="str">
        <f ca="1">IFERROR(__xludf.DUMMYFUNCTION("""COMPUTED_VALUE"""),"Cây 3m")</f>
        <v>Cây 3m</v>
      </c>
      <c r="H262" s="588"/>
      <c r="I262" s="591">
        <f ca="1">IFERROR(__xludf.DUMMYFUNCTION("""COMPUTED_VALUE"""),0.4659984)</f>
        <v>0.46599839999999998</v>
      </c>
      <c r="J262" s="592" t="str">
        <f ca="1">IFERROR(__xludf.DUMMYFUNCTION("""COMPUTED_VALUE""")," 07.50 ")</f>
        <v xml:space="preserve"> 07.50 </v>
      </c>
      <c r="K262" s="590" t="str">
        <f ca="1">IFERROR(__xludf.DUMMYFUNCTION("""COMPUTED_VALUE"""),"0.80")</f>
        <v>0.80</v>
      </c>
      <c r="L262" s="590">
        <f ca="1">IFERROR(__xludf.DUMMYFUNCTION("""COMPUTED_VALUE"""),3)</f>
        <v>3</v>
      </c>
      <c r="M262" s="590"/>
      <c r="N262" s="590" t="str">
        <f ca="1">IFERROR(__xludf.DUMMYFUNCTION("""COMPUTED_VALUE"""),"Dị_D&lt;54")</f>
        <v>Dị_D&lt;54</v>
      </c>
      <c r="O262" s="589"/>
      <c r="P262" s="590"/>
    </row>
    <row r="263" spans="1:16" ht="15.75">
      <c r="A263" s="581" t="str">
        <f ca="1">IFERROR(__xludf.DUMMYFUNCTION("""COMPUTED_VALUE"""),"Toàn Phát - Việt Nam")</f>
        <v>Toàn Phát - Việt Nam</v>
      </c>
      <c r="B263" s="581" t="str">
        <f ca="1">IFERROR(__xludf.DUMMYFUNCTION("""COMPUTED_VALUE"""),"ĐTPCAYDI")</f>
        <v>ĐTPCAYDI</v>
      </c>
      <c r="C263" s="581" t="str">
        <f ca="1">IFERROR(__xludf.DUMMYFUNCTION("""COMPUTED_VALUE"""),"DOT075008130")</f>
        <v>DOT075008130</v>
      </c>
      <c r="D263" s="582" t="str">
        <f ca="1">IFERROR(__xludf.DUMMYFUNCTION("""COMPUTED_VALUE"""),"Đồng ống thẳng 07.50x0.81x3.0")</f>
        <v>Đồng ống thẳng 07.50x0.81x3.0</v>
      </c>
      <c r="E263" s="583">
        <f ca="1">IFERROR(__xludf.DUMMYFUNCTION("""COMPUTED_VALUE"""),0.1)</f>
        <v>0.1</v>
      </c>
      <c r="F263" s="584" t="str">
        <f ca="1">IFERROR(__xludf.DUMMYFUNCTION("""COMPUTED_VALUE"""),"Cây")</f>
        <v>Cây</v>
      </c>
      <c r="G263" s="584" t="str">
        <f ca="1">IFERROR(__xludf.DUMMYFUNCTION("""COMPUTED_VALUE"""),"Cây 3m")</f>
        <v>Cây 3m</v>
      </c>
      <c r="H263" s="582"/>
      <c r="I263" s="585">
        <f ca="1">IFERROR(__xludf.DUMMYFUNCTION("""COMPUTED_VALUE"""),0.471119166)</f>
        <v>0.47111916599999998</v>
      </c>
      <c r="J263" s="586" t="str">
        <f ca="1">IFERROR(__xludf.DUMMYFUNCTION("""COMPUTED_VALUE""")," 07.50 ")</f>
        <v xml:space="preserve"> 07.50 </v>
      </c>
      <c r="K263" s="584" t="str">
        <f ca="1">IFERROR(__xludf.DUMMYFUNCTION("""COMPUTED_VALUE"""),"0.81")</f>
        <v>0.81</v>
      </c>
      <c r="L263" s="584">
        <f ca="1">IFERROR(__xludf.DUMMYFUNCTION("""COMPUTED_VALUE"""),3)</f>
        <v>3</v>
      </c>
      <c r="M263" s="584"/>
      <c r="N263" s="584" t="str">
        <f ca="1">IFERROR(__xludf.DUMMYFUNCTION("""COMPUTED_VALUE"""),"Dị_D&lt;54")</f>
        <v>Dị_D&lt;54</v>
      </c>
      <c r="O263" s="583"/>
      <c r="P263" s="584"/>
    </row>
    <row r="264" spans="1:16" ht="15.75">
      <c r="A264" s="587" t="str">
        <f ca="1">IFERROR(__xludf.DUMMYFUNCTION("""COMPUTED_VALUE"""),"Toàn Phát - Việt Nam")</f>
        <v>Toàn Phát - Việt Nam</v>
      </c>
      <c r="B264" s="587" t="str">
        <f ca="1">IFERROR(__xludf.DUMMYFUNCTION("""COMPUTED_VALUE"""),"ĐTPCAYDI")</f>
        <v>ĐTPCAYDI</v>
      </c>
      <c r="C264" s="587" t="str">
        <f ca="1">IFERROR(__xludf.DUMMYFUNCTION("""COMPUTED_VALUE"""),"DOT075008529")</f>
        <v>DOT075008529</v>
      </c>
      <c r="D264" s="588" t="str">
        <f ca="1">IFERROR(__xludf.DUMMYFUNCTION("""COMPUTED_VALUE"""),"Đồng ống thẳng 07.50x0.85x2.9")</f>
        <v>Đồng ống thẳng 07.50x0.85x2.9</v>
      </c>
      <c r="E264" s="589">
        <f ca="1">IFERROR(__xludf.DUMMYFUNCTION("""COMPUTED_VALUE"""),0.1)</f>
        <v>0.1</v>
      </c>
      <c r="F264" s="590" t="str">
        <f ca="1">IFERROR(__xludf.DUMMYFUNCTION("""COMPUTED_VALUE"""),"Cây")</f>
        <v>Cây</v>
      </c>
      <c r="G264" s="590" t="str">
        <f ca="1">IFERROR(__xludf.DUMMYFUNCTION("""COMPUTED_VALUE"""),"Cây 2.9m")</f>
        <v>Cây 2.9m</v>
      </c>
      <c r="H264" s="588"/>
      <c r="I264" s="591">
        <f ca="1">IFERROR(__xludf.DUMMYFUNCTION("""COMPUTED_VALUE"""),0.475047404999999)</f>
        <v>0.47504740499999898</v>
      </c>
      <c r="J264" s="592" t="str">
        <f ca="1">IFERROR(__xludf.DUMMYFUNCTION("""COMPUTED_VALUE""")," 07.50 ")</f>
        <v xml:space="preserve"> 07.50 </v>
      </c>
      <c r="K264" s="590" t="str">
        <f ca="1">IFERROR(__xludf.DUMMYFUNCTION("""COMPUTED_VALUE"""),"0.85")</f>
        <v>0.85</v>
      </c>
      <c r="L264" s="590">
        <f ca="1">IFERROR(__xludf.DUMMYFUNCTION("""COMPUTED_VALUE"""),2.9)</f>
        <v>2.9</v>
      </c>
      <c r="M264" s="590"/>
      <c r="N264" s="590" t="str">
        <f ca="1">IFERROR(__xludf.DUMMYFUNCTION("""COMPUTED_VALUE"""),"Dị_D&lt;54")</f>
        <v>Dị_D&lt;54</v>
      </c>
      <c r="O264" s="589"/>
      <c r="P264" s="590"/>
    </row>
    <row r="265" spans="1:16" ht="15.75">
      <c r="A265" s="581" t="str">
        <f ca="1">IFERROR(__xludf.DUMMYFUNCTION("""COMPUTED_VALUE"""),"Toàn Phát - Việt Nam")</f>
        <v>Toàn Phát - Việt Nam</v>
      </c>
      <c r="B265" s="581" t="str">
        <f ca="1">IFERROR(__xludf.DUMMYFUNCTION("""COMPUTED_VALUE"""),"ĐTPCAYDI")</f>
        <v>ĐTPCAYDI</v>
      </c>
      <c r="C265" s="581" t="str">
        <f ca="1">IFERROR(__xludf.DUMMYFUNCTION("""COMPUTED_VALUE"""),"DOT075009030")</f>
        <v>DOT075009030</v>
      </c>
      <c r="D265" s="582" t="str">
        <f ca="1">IFERROR(__xludf.DUMMYFUNCTION("""COMPUTED_VALUE"""),"Đồng ống thẳng 07.50x0.90x3.0")</f>
        <v>Đồng ống thẳng 07.50x0.90x3.0</v>
      </c>
      <c r="E265" s="583">
        <f ca="1">IFERROR(__xludf.DUMMYFUNCTION("""COMPUTED_VALUE"""),0.1)</f>
        <v>0.1</v>
      </c>
      <c r="F265" s="584" t="str">
        <f ca="1">IFERROR(__xludf.DUMMYFUNCTION("""COMPUTED_VALUE"""),"Cây")</f>
        <v>Cây</v>
      </c>
      <c r="G265" s="584" t="str">
        <f ca="1">IFERROR(__xludf.DUMMYFUNCTION("""COMPUTED_VALUE"""),"Cây 3m")</f>
        <v>Cây 3m</v>
      </c>
      <c r="H265" s="582"/>
      <c r="I265" s="585">
        <f ca="1">IFERROR(__xludf.DUMMYFUNCTION("""COMPUTED_VALUE"""),0.516423599999999)</f>
        <v>0.51642359999999898</v>
      </c>
      <c r="J265" s="586" t="str">
        <f ca="1">IFERROR(__xludf.DUMMYFUNCTION("""COMPUTED_VALUE""")," 07.50 ")</f>
        <v xml:space="preserve"> 07.50 </v>
      </c>
      <c r="K265" s="584" t="str">
        <f ca="1">IFERROR(__xludf.DUMMYFUNCTION("""COMPUTED_VALUE"""),"0.90")</f>
        <v>0.90</v>
      </c>
      <c r="L265" s="584">
        <f ca="1">IFERROR(__xludf.DUMMYFUNCTION("""COMPUTED_VALUE"""),3)</f>
        <v>3</v>
      </c>
      <c r="M265" s="584"/>
      <c r="N265" s="584" t="str">
        <f ca="1">IFERROR(__xludf.DUMMYFUNCTION("""COMPUTED_VALUE"""),"Dị_D&lt;54")</f>
        <v>Dị_D&lt;54</v>
      </c>
      <c r="O265" s="583"/>
      <c r="P265" s="584"/>
    </row>
    <row r="266" spans="1:16" ht="15.75">
      <c r="A266" s="587" t="str">
        <f ca="1">IFERROR(__xludf.DUMMYFUNCTION("""COMPUTED_VALUE"""),"Toàn Phát - Việt Nam")</f>
        <v>Toàn Phát - Việt Nam</v>
      </c>
      <c r="B266" s="587" t="str">
        <f ca="1">IFERROR(__xludf.DUMMYFUNCTION("""COMPUTED_VALUE"""),"ĐTPCAYDI")</f>
        <v>ĐTPCAYDI</v>
      </c>
      <c r="C266" s="587" t="str">
        <f ca="1">IFERROR(__xludf.DUMMYFUNCTION("""COMPUTED_VALUE"""),"DOT076007530")</f>
        <v>DOT076007530</v>
      </c>
      <c r="D266" s="588" t="str">
        <f ca="1">IFERROR(__xludf.DUMMYFUNCTION("""COMPUTED_VALUE"""),"Đồng ống thẳng 7.60x0.75x3.0")</f>
        <v>Đồng ống thẳng 7.60x0.75x3.0</v>
      </c>
      <c r="E266" s="589">
        <f ca="1">IFERROR(__xludf.DUMMYFUNCTION("""COMPUTED_VALUE"""),0.1)</f>
        <v>0.1</v>
      </c>
      <c r="F266" s="590" t="str">
        <f ca="1">IFERROR(__xludf.DUMMYFUNCTION("""COMPUTED_VALUE"""),"Cây")</f>
        <v>Cây</v>
      </c>
      <c r="G266" s="590" t="str">
        <f ca="1">IFERROR(__xludf.DUMMYFUNCTION("""COMPUTED_VALUE"""),"Cây 3m")</f>
        <v>Cây 3m</v>
      </c>
      <c r="H266" s="588"/>
      <c r="I266" s="591">
        <f ca="1">IFERROR(__xludf.DUMMYFUNCTION("""COMPUTED_VALUE"""),0.446654249999999)</f>
        <v>0.44665424999999898</v>
      </c>
      <c r="J266" s="592" t="str">
        <f ca="1">IFERROR(__xludf.DUMMYFUNCTION("""COMPUTED_VALUE""")," 07.60 ")</f>
        <v xml:space="preserve"> 07.60 </v>
      </c>
      <c r="K266" s="590" t="str">
        <f ca="1">IFERROR(__xludf.DUMMYFUNCTION("""COMPUTED_VALUE"""),"0.75")</f>
        <v>0.75</v>
      </c>
      <c r="L266" s="590">
        <f ca="1">IFERROR(__xludf.DUMMYFUNCTION("""COMPUTED_VALUE"""),3)</f>
        <v>3</v>
      </c>
      <c r="M266" s="590"/>
      <c r="N266" s="590" t="str">
        <f ca="1">IFERROR(__xludf.DUMMYFUNCTION("""COMPUTED_VALUE"""),"Dị_D&lt;54")</f>
        <v>Dị_D&lt;54</v>
      </c>
      <c r="O266" s="589"/>
      <c r="P266" s="590"/>
    </row>
    <row r="267" spans="1:16" ht="15.75">
      <c r="A267" s="581" t="str">
        <f ca="1">IFERROR(__xludf.DUMMYFUNCTION("""COMPUTED_VALUE"""),"Toàn Phát - Việt Nam")</f>
        <v>Toàn Phát - Việt Nam</v>
      </c>
      <c r="B267" s="581" t="str">
        <f ca="1">IFERROR(__xludf.DUMMYFUNCTION("""COMPUTED_VALUE"""),"ĐTPCAYDI")</f>
        <v>ĐTPCAYDI</v>
      </c>
      <c r="C267" s="581" t="str">
        <f ca="1">IFERROR(__xludf.DUMMYFUNCTION("""COMPUTED_VALUE"""),"DOT8000401883")</f>
        <v>DOT8000401883</v>
      </c>
      <c r="D267" s="582" t="str">
        <f ca="1">IFERROR(__xludf.DUMMYFUNCTION("""COMPUTED_VALUE"""),"Đồng ống thẳng 8.00x0.40x1.883")</f>
        <v>Đồng ống thẳng 8.00x0.40x1.883</v>
      </c>
      <c r="E267" s="583">
        <f ca="1">IFERROR(__xludf.DUMMYFUNCTION("""COMPUTED_VALUE"""),0.1)</f>
        <v>0.1</v>
      </c>
      <c r="F267" s="584" t="str">
        <f ca="1">IFERROR(__xludf.DUMMYFUNCTION("""COMPUTED_VALUE"""),"Cây")</f>
        <v>Cây</v>
      </c>
      <c r="G267" s="584" t="str">
        <f ca="1">IFERROR(__xludf.DUMMYFUNCTION("""COMPUTED_VALUE"""),"Cây 1.883m")</f>
        <v>Cây 1.883m</v>
      </c>
      <c r="H267" s="582"/>
      <c r="I267" s="585">
        <f ca="1">IFERROR(__xludf.DUMMYFUNCTION("""COMPUTED_VALUE"""),0.165890793599999)</f>
        <v>0.165890793599999</v>
      </c>
      <c r="J267" s="586" t="str">
        <f ca="1">IFERROR(__xludf.DUMMYFUNCTION("""COMPUTED_VALUE""")," 08.00 ")</f>
        <v xml:space="preserve"> 08.00 </v>
      </c>
      <c r="K267" s="584" t="str">
        <f ca="1">IFERROR(__xludf.DUMMYFUNCTION("""COMPUTED_VALUE"""),"0.40")</f>
        <v>0.40</v>
      </c>
      <c r="L267" s="584"/>
      <c r="M267" s="584"/>
      <c r="N267" s="584" t="str">
        <f ca="1">IFERROR(__xludf.DUMMYFUNCTION("""COMPUTED_VALUE"""),"Dị_D&lt;54")</f>
        <v>Dị_D&lt;54</v>
      </c>
      <c r="O267" s="583"/>
      <c r="P267" s="584"/>
    </row>
    <row r="268" spans="1:16" ht="15.75">
      <c r="A268" s="587" t="str">
        <f ca="1">IFERROR(__xludf.DUMMYFUNCTION("""COMPUTED_VALUE"""),"Toàn Phát - Việt Nam")</f>
        <v>Toàn Phát - Việt Nam</v>
      </c>
      <c r="B268" s="587" t="str">
        <f ca="1">IFERROR(__xludf.DUMMYFUNCTION("""COMPUTED_VALUE"""),"ĐTPCAYDI")</f>
        <v>ĐTPCAYDI</v>
      </c>
      <c r="C268" s="587" t="str">
        <f ca="1">IFERROR(__xludf.DUMMYFUNCTION("""COMPUTED_VALUE"""),"DOT800040189")</f>
        <v>DOT800040189</v>
      </c>
      <c r="D268" s="588" t="str">
        <f ca="1">IFERROR(__xludf.DUMMYFUNCTION("""COMPUTED_VALUE"""),"Đồng ống thẳng 8.00x0.40x1.89")</f>
        <v>Đồng ống thẳng 8.00x0.40x1.89</v>
      </c>
      <c r="E268" s="589">
        <f ca="1">IFERROR(__xludf.DUMMYFUNCTION("""COMPUTED_VALUE"""),0.1)</f>
        <v>0.1</v>
      </c>
      <c r="F268" s="590" t="str">
        <f ca="1">IFERROR(__xludf.DUMMYFUNCTION("""COMPUTED_VALUE"""),"Cây")</f>
        <v>Cây</v>
      </c>
      <c r="G268" s="590" t="str">
        <f ca="1">IFERROR(__xludf.DUMMYFUNCTION("""COMPUTED_VALUE"""),"Cây 1.89m")</f>
        <v>Cây 1.89m</v>
      </c>
      <c r="H268" s="588"/>
      <c r="I268" s="591">
        <f ca="1">IFERROR(__xludf.DUMMYFUNCTION("""COMPUTED_VALUE"""),0.166507487999999)</f>
        <v>0.16650748799999901</v>
      </c>
      <c r="J268" s="592" t="str">
        <f ca="1">IFERROR(__xludf.DUMMYFUNCTION("""COMPUTED_VALUE""")," 08.00 ")</f>
        <v xml:space="preserve"> 08.00 </v>
      </c>
      <c r="K268" s="590" t="str">
        <f ca="1">IFERROR(__xludf.DUMMYFUNCTION("""COMPUTED_VALUE"""),"0.40")</f>
        <v>0.40</v>
      </c>
      <c r="L268" s="590">
        <f ca="1">IFERROR(__xludf.DUMMYFUNCTION("""COMPUTED_VALUE"""),1.89)</f>
        <v>1.89</v>
      </c>
      <c r="M268" s="590"/>
      <c r="N268" s="590" t="str">
        <f ca="1">IFERROR(__xludf.DUMMYFUNCTION("""COMPUTED_VALUE"""),"Dị_D&lt;54")</f>
        <v>Dị_D&lt;54</v>
      </c>
      <c r="O268" s="589"/>
      <c r="P268" s="590"/>
    </row>
    <row r="269" spans="1:16" ht="15.75">
      <c r="A269" s="581" t="str">
        <f ca="1">IFERROR(__xludf.DUMMYFUNCTION("""COMPUTED_VALUE"""),"Toàn Phát - Việt Nam")</f>
        <v>Toàn Phát - Việt Nam</v>
      </c>
      <c r="B269" s="581" t="str">
        <f ca="1">IFERROR(__xludf.DUMMYFUNCTION("""COMPUTED_VALUE"""),"ĐTPCAYDI")</f>
        <v>ĐTPCAYDI</v>
      </c>
      <c r="C269" s="581" t="str">
        <f ca="1">IFERROR(__xludf.DUMMYFUNCTION("""COMPUTED_VALUE"""),"DOT80006130")</f>
        <v>DOT80006130</v>
      </c>
      <c r="D269" s="582" t="str">
        <f ca="1">IFERROR(__xludf.DUMMYFUNCTION("""COMPUTED_VALUE"""),"Đồng ống thẳng 8.00x0.61x3.0")</f>
        <v>Đồng ống thẳng 8.00x0.61x3.0</v>
      </c>
      <c r="E269" s="583">
        <f ca="1">IFERROR(__xludf.DUMMYFUNCTION("""COMPUTED_VALUE"""),0.1)</f>
        <v>0.1</v>
      </c>
      <c r="F269" s="584" t="str">
        <f ca="1">IFERROR(__xludf.DUMMYFUNCTION("""COMPUTED_VALUE"""),"Cây")</f>
        <v>Cây</v>
      </c>
      <c r="G269" s="584" t="str">
        <f ca="1">IFERROR(__xludf.DUMMYFUNCTION("""COMPUTED_VALUE"""),"Cây 3m")</f>
        <v>Cây 3m</v>
      </c>
      <c r="H269" s="582"/>
      <c r="I269" s="585">
        <f ca="1">IFERROR(__xludf.DUMMYFUNCTION("""COMPUTED_VALUE"""),0.391916825999999)</f>
        <v>0.391916825999999</v>
      </c>
      <c r="J269" s="586" t="str">
        <f ca="1">IFERROR(__xludf.DUMMYFUNCTION("""COMPUTED_VALUE""")," 08.00 ")</f>
        <v xml:space="preserve"> 08.00 </v>
      </c>
      <c r="K269" s="584" t="str">
        <f ca="1">IFERROR(__xludf.DUMMYFUNCTION("""COMPUTED_VALUE"""),"0.61")</f>
        <v>0.61</v>
      </c>
      <c r="L269" s="584">
        <f ca="1">IFERROR(__xludf.DUMMYFUNCTION("""COMPUTED_VALUE"""),3)</f>
        <v>3</v>
      </c>
      <c r="M269" s="584"/>
      <c r="N269" s="584" t="str">
        <f ca="1">IFERROR(__xludf.DUMMYFUNCTION("""COMPUTED_VALUE"""),"Dị_D&lt;54")</f>
        <v>Dị_D&lt;54</v>
      </c>
      <c r="O269" s="583"/>
      <c r="P269" s="584"/>
    </row>
    <row r="270" spans="1:16" ht="15.75">
      <c r="A270" s="587" t="str">
        <f ca="1">IFERROR(__xludf.DUMMYFUNCTION("""COMPUTED_VALUE"""),"Toàn Phát - Việt Nam")</f>
        <v>Toàn Phát - Việt Nam</v>
      </c>
      <c r="B270" s="587" t="str">
        <f ca="1">IFERROR(__xludf.DUMMYFUNCTION("""COMPUTED_VALUE"""),"ĐTPCAYDI")</f>
        <v>ĐTPCAYDI</v>
      </c>
      <c r="C270" s="587" t="str">
        <f ca="1">IFERROR(__xludf.DUMMYFUNCTION("""COMPUTED_VALUE"""),"DOT80007130")</f>
        <v>DOT80007130</v>
      </c>
      <c r="D270" s="588" t="str">
        <f ca="1">IFERROR(__xludf.DUMMYFUNCTION("""COMPUTED_VALUE"""),"Đồng ống thẳng 8.00x0.71x3.0")</f>
        <v>Đồng ống thẳng 8.00x0.71x3.0</v>
      </c>
      <c r="E270" s="589">
        <f ca="1">IFERROR(__xludf.DUMMYFUNCTION("""COMPUTED_VALUE"""),0.1)</f>
        <v>0.1</v>
      </c>
      <c r="F270" s="590" t="str">
        <f ca="1">IFERROR(__xludf.DUMMYFUNCTION("""COMPUTED_VALUE"""),"Cây")</f>
        <v>Cây</v>
      </c>
      <c r="G270" s="590" t="str">
        <f ca="1">IFERROR(__xludf.DUMMYFUNCTION("""COMPUTED_VALUE"""),"Cây 3m")</f>
        <v>Cây 3m</v>
      </c>
      <c r="H270" s="588"/>
      <c r="I270" s="591">
        <f ca="1">IFERROR(__xludf.DUMMYFUNCTION("""COMPUTED_VALUE"""),0.449992745999999)</f>
        <v>0.449992745999999</v>
      </c>
      <c r="J270" s="592" t="str">
        <f ca="1">IFERROR(__xludf.DUMMYFUNCTION("""COMPUTED_VALUE""")," 08.00 ")</f>
        <v xml:space="preserve"> 08.00 </v>
      </c>
      <c r="K270" s="590" t="str">
        <f ca="1">IFERROR(__xludf.DUMMYFUNCTION("""COMPUTED_VALUE"""),"0.71")</f>
        <v>0.71</v>
      </c>
      <c r="L270" s="590">
        <f ca="1">IFERROR(__xludf.DUMMYFUNCTION("""COMPUTED_VALUE"""),3)</f>
        <v>3</v>
      </c>
      <c r="M270" s="590"/>
      <c r="N270" s="590" t="str">
        <f ca="1">IFERROR(__xludf.DUMMYFUNCTION("""COMPUTED_VALUE"""),"Dị_D&lt;54")</f>
        <v>Dị_D&lt;54</v>
      </c>
      <c r="O270" s="589"/>
      <c r="P270" s="590"/>
    </row>
    <row r="271" spans="1:16" ht="15.75">
      <c r="A271" s="581" t="str">
        <f ca="1">IFERROR(__xludf.DUMMYFUNCTION("""COMPUTED_VALUE"""),"Toàn Phát - Việt Nam")</f>
        <v>Toàn Phát - Việt Nam</v>
      </c>
      <c r="B271" s="581" t="str">
        <f ca="1">IFERROR(__xludf.DUMMYFUNCTION("""COMPUTED_VALUE"""),"ĐTPCAYDI")</f>
        <v>ĐTPCAYDI</v>
      </c>
      <c r="C271" s="581" t="str">
        <f ca="1">IFERROR(__xludf.DUMMYFUNCTION("""COMPUTED_VALUE"""),"DOT8000800745")</f>
        <v>DOT8000800745</v>
      </c>
      <c r="D271" s="582" t="str">
        <f ca="1">IFERROR(__xludf.DUMMYFUNCTION("""COMPUTED_VALUE"""),"Đồng ống thẳng 8.00x0.80x0.745")</f>
        <v>Đồng ống thẳng 8.00x0.80x0.745</v>
      </c>
      <c r="E271" s="583">
        <f ca="1">IFERROR(__xludf.DUMMYFUNCTION("""COMPUTED_VALUE"""),0.1)</f>
        <v>0.1</v>
      </c>
      <c r="F271" s="584" t="str">
        <f ca="1">IFERROR(__xludf.DUMMYFUNCTION("""COMPUTED_VALUE"""),"Cây")</f>
        <v>Cây</v>
      </c>
      <c r="G271" s="584" t="str">
        <f ca="1">IFERROR(__xludf.DUMMYFUNCTION("""COMPUTED_VALUE"""),"Cây 0.745m")</f>
        <v>Cây 0.745m</v>
      </c>
      <c r="H271" s="582"/>
      <c r="I271" s="585">
        <f ca="1">IFERROR(__xludf.DUMMYFUNCTION("""COMPUTED_VALUE"""),0.124358976)</f>
        <v>0.124358976</v>
      </c>
      <c r="J271" s="586" t="str">
        <f ca="1">IFERROR(__xludf.DUMMYFUNCTION("""COMPUTED_VALUE""")," 08.00 ")</f>
        <v xml:space="preserve"> 08.00 </v>
      </c>
      <c r="K271" s="584" t="str">
        <f ca="1">IFERROR(__xludf.DUMMYFUNCTION("""COMPUTED_VALUE"""),"0.80")</f>
        <v>0.80</v>
      </c>
      <c r="L271" s="584">
        <f ca="1">IFERROR(__xludf.DUMMYFUNCTION("""COMPUTED_VALUE"""),0.745)</f>
        <v>0.745</v>
      </c>
      <c r="M271" s="584"/>
      <c r="N271" s="584" t="str">
        <f ca="1">IFERROR(__xludf.DUMMYFUNCTION("""COMPUTED_VALUE"""),"Dị_D&lt;54")</f>
        <v>Dị_D&lt;54</v>
      </c>
      <c r="O271" s="583"/>
      <c r="P271" s="584"/>
    </row>
    <row r="272" spans="1:16" ht="15.75">
      <c r="A272" s="587" t="str">
        <f ca="1">IFERROR(__xludf.DUMMYFUNCTION("""COMPUTED_VALUE"""),"Toàn Phát - Việt Nam")</f>
        <v>Toàn Phát - Việt Nam</v>
      </c>
      <c r="B272" s="587" t="str">
        <f ca="1">IFERROR(__xludf.DUMMYFUNCTION("""COMPUTED_VALUE"""),"ĐTPCAYDI")</f>
        <v>ĐTPCAYDI</v>
      </c>
      <c r="C272" s="587" t="str">
        <f ca="1">IFERROR(__xludf.DUMMYFUNCTION("""COMPUTED_VALUE"""),"DOT800080075")</f>
        <v>DOT800080075</v>
      </c>
      <c r="D272" s="588" t="str">
        <f ca="1">IFERROR(__xludf.DUMMYFUNCTION("""COMPUTED_VALUE"""),"Đồng ống thẳng 8.00x0.80x0.75")</f>
        <v>Đồng ống thẳng 8.00x0.80x0.75</v>
      </c>
      <c r="E272" s="589">
        <f ca="1">IFERROR(__xludf.DUMMYFUNCTION("""COMPUTED_VALUE"""),0.1)</f>
        <v>0.1</v>
      </c>
      <c r="F272" s="590" t="str">
        <f ca="1">IFERROR(__xludf.DUMMYFUNCTION("""COMPUTED_VALUE"""),"Cây")</f>
        <v>Cây</v>
      </c>
      <c r="G272" s="590" t="str">
        <f ca="1">IFERROR(__xludf.DUMMYFUNCTION("""COMPUTED_VALUE"""),"Cây 0.75m")</f>
        <v>Cây 0.75m</v>
      </c>
      <c r="H272" s="588"/>
      <c r="I272" s="591">
        <f ca="1">IFERROR(__xludf.DUMMYFUNCTION("""COMPUTED_VALUE"""),0.1251936)</f>
        <v>0.12519359999999999</v>
      </c>
      <c r="J272" s="592" t="str">
        <f ca="1">IFERROR(__xludf.DUMMYFUNCTION("""COMPUTED_VALUE""")," 08.00 ")</f>
        <v xml:space="preserve"> 08.00 </v>
      </c>
      <c r="K272" s="590" t="str">
        <f ca="1">IFERROR(__xludf.DUMMYFUNCTION("""COMPUTED_VALUE"""),"0.80")</f>
        <v>0.80</v>
      </c>
      <c r="L272" s="590">
        <f ca="1">IFERROR(__xludf.DUMMYFUNCTION("""COMPUTED_VALUE"""),0.75)</f>
        <v>0.75</v>
      </c>
      <c r="M272" s="590"/>
      <c r="N272" s="590" t="str">
        <f ca="1">IFERROR(__xludf.DUMMYFUNCTION("""COMPUTED_VALUE"""),"Dị_D&lt;54")</f>
        <v>Dị_D&lt;54</v>
      </c>
      <c r="O272" s="589"/>
      <c r="P272" s="590"/>
    </row>
    <row r="273" spans="1:16" ht="15.75">
      <c r="A273" s="581" t="str">
        <f ca="1">IFERROR(__xludf.DUMMYFUNCTION("""COMPUTED_VALUE"""),"Toàn Phát - Việt Nam")</f>
        <v>Toàn Phát - Việt Nam</v>
      </c>
      <c r="B273" s="581" t="str">
        <f ca="1">IFERROR(__xludf.DUMMYFUNCTION("""COMPUTED_VALUE"""),"ĐTPCAYDI")</f>
        <v>ĐTPCAYDI</v>
      </c>
      <c r="C273" s="581" t="str">
        <f ca="1">IFERROR(__xludf.DUMMYFUNCTION("""COMPUTED_VALUE"""),"DOT80010030")</f>
        <v>DOT80010030</v>
      </c>
      <c r="D273" s="582" t="str">
        <f ca="1">IFERROR(__xludf.DUMMYFUNCTION("""COMPUTED_VALUE"""),"Đồng ống thẳng 8.00x1.00x3.0")</f>
        <v>Đồng ống thẳng 8.00x1.00x3.0</v>
      </c>
      <c r="E273" s="583">
        <f ca="1">IFERROR(__xludf.DUMMYFUNCTION("""COMPUTED_VALUE"""),0.1)</f>
        <v>0.1</v>
      </c>
      <c r="F273" s="584" t="str">
        <f ca="1">IFERROR(__xludf.DUMMYFUNCTION("""COMPUTED_VALUE"""),"Cây")</f>
        <v>Cây</v>
      </c>
      <c r="G273" s="584" t="str">
        <f ca="1">IFERROR(__xludf.DUMMYFUNCTION("""COMPUTED_VALUE"""),"Cây 3m")</f>
        <v>Cây 3m</v>
      </c>
      <c r="H273" s="582"/>
      <c r="I273" s="585">
        <f ca="1">IFERROR(__xludf.DUMMYFUNCTION("""COMPUTED_VALUE"""),0.60858)</f>
        <v>0.60858000000000001</v>
      </c>
      <c r="J273" s="586" t="str">
        <f ca="1">IFERROR(__xludf.DUMMYFUNCTION("""COMPUTED_VALUE""")," 08.00 ")</f>
        <v xml:space="preserve"> 08.00 </v>
      </c>
      <c r="K273" s="584" t="str">
        <f ca="1">IFERROR(__xludf.DUMMYFUNCTION("""COMPUTED_VALUE"""),"1.00")</f>
        <v>1.00</v>
      </c>
      <c r="L273" s="584">
        <f ca="1">IFERROR(__xludf.DUMMYFUNCTION("""COMPUTED_VALUE"""),3)</f>
        <v>3</v>
      </c>
      <c r="M273" s="584"/>
      <c r="N273" s="584" t="str">
        <f ca="1">IFERROR(__xludf.DUMMYFUNCTION("""COMPUTED_VALUE"""),"Dị_D&lt;54")</f>
        <v>Dị_D&lt;54</v>
      </c>
      <c r="O273" s="583"/>
      <c r="P273" s="584"/>
    </row>
    <row r="274" spans="1:16" ht="15.75">
      <c r="A274" s="587" t="str">
        <f ca="1">IFERROR(__xludf.DUMMYFUNCTION("""COMPUTED_VALUE"""),"Toàn Phát - Việt Nam")</f>
        <v>Toàn Phát - Việt Nam</v>
      </c>
      <c r="B274" s="587" t="str">
        <f ca="1">IFERROR(__xludf.DUMMYFUNCTION("""COMPUTED_VALUE"""),"ĐTPCAYDI")</f>
        <v>ĐTPCAYDI</v>
      </c>
      <c r="C274" s="587" t="str">
        <f ca="1">IFERROR(__xludf.DUMMYFUNCTION("""COMPUTED_VALUE"""),"DOT80012030")</f>
        <v>DOT80012030</v>
      </c>
      <c r="D274" s="588" t="str">
        <f ca="1">IFERROR(__xludf.DUMMYFUNCTION("""COMPUTED_VALUE"""),"Đồng ống thẳng 8.00x1.20x3.0")</f>
        <v>Đồng ống thẳng 8.00x1.20x3.0</v>
      </c>
      <c r="E274" s="589">
        <f ca="1">IFERROR(__xludf.DUMMYFUNCTION("""COMPUTED_VALUE"""),0.1)</f>
        <v>0.1</v>
      </c>
      <c r="F274" s="590" t="str">
        <f ca="1">IFERROR(__xludf.DUMMYFUNCTION("""COMPUTED_VALUE"""),"Cây")</f>
        <v>Cây</v>
      </c>
      <c r="G274" s="590" t="str">
        <f ca="1">IFERROR(__xludf.DUMMYFUNCTION("""COMPUTED_VALUE"""),"Cây 3m")</f>
        <v>Cây 3m</v>
      </c>
      <c r="H274" s="588"/>
      <c r="I274" s="591">
        <f ca="1">IFERROR(__xludf.DUMMYFUNCTION("""COMPUTED_VALUE"""),0.7094304)</f>
        <v>0.70943040000000002</v>
      </c>
      <c r="J274" s="592" t="str">
        <f ca="1">IFERROR(__xludf.DUMMYFUNCTION("""COMPUTED_VALUE""")," 08.00 ")</f>
        <v xml:space="preserve"> 08.00 </v>
      </c>
      <c r="K274" s="590" t="str">
        <f ca="1">IFERROR(__xludf.DUMMYFUNCTION("""COMPUTED_VALUE"""),"1.20")</f>
        <v>1.20</v>
      </c>
      <c r="L274" s="590">
        <f ca="1">IFERROR(__xludf.DUMMYFUNCTION("""COMPUTED_VALUE"""),3)</f>
        <v>3</v>
      </c>
      <c r="M274" s="590"/>
      <c r="N274" s="590" t="str">
        <f ca="1">IFERROR(__xludf.DUMMYFUNCTION("""COMPUTED_VALUE"""),"Dị_D&lt;54")</f>
        <v>Dị_D&lt;54</v>
      </c>
      <c r="O274" s="589"/>
      <c r="P274" s="590"/>
    </row>
    <row r="275" spans="1:16" ht="15.75">
      <c r="A275" s="581" t="str">
        <f ca="1">IFERROR(__xludf.DUMMYFUNCTION("""COMPUTED_VALUE"""),"Toàn Phát - Việt Nam")</f>
        <v>Toàn Phát - Việt Nam</v>
      </c>
      <c r="B275" s="581" t="str">
        <f ca="1">IFERROR(__xludf.DUMMYFUNCTION("""COMPUTED_VALUE"""),"ĐTPCAYDI")</f>
        <v>ĐTPCAYDI</v>
      </c>
      <c r="C275" s="581" t="str">
        <f ca="1">IFERROR(__xludf.DUMMYFUNCTION("""COMPUTED_VALUE"""),"DOT085006630")</f>
        <v>DOT085006630</v>
      </c>
      <c r="D275" s="582" t="str">
        <f ca="1">IFERROR(__xludf.DUMMYFUNCTION("""COMPUTED_VALUE"""),"Đồng ống thẳng 08.50x0.66x3.0")</f>
        <v>Đồng ống thẳng 08.50x0.66x3.0</v>
      </c>
      <c r="E275" s="583">
        <f ca="1">IFERROR(__xludf.DUMMYFUNCTION("""COMPUTED_VALUE"""),0.1)</f>
        <v>0.1</v>
      </c>
      <c r="F275" s="584" t="str">
        <f ca="1">IFERROR(__xludf.DUMMYFUNCTION("""COMPUTED_VALUE"""),"Cây")</f>
        <v>Cây</v>
      </c>
      <c r="G275" s="584" t="str">
        <f ca="1">IFERROR(__xludf.DUMMYFUNCTION("""COMPUTED_VALUE"""),"Cây 3m")</f>
        <v>Cây 3m</v>
      </c>
      <c r="H275" s="582"/>
      <c r="I275" s="585">
        <f ca="1">IFERROR(__xludf.DUMMYFUNCTION("""COMPUTED_VALUE"""),0.449862336)</f>
        <v>0.44986233599999997</v>
      </c>
      <c r="J275" s="586" t="str">
        <f ca="1">IFERROR(__xludf.DUMMYFUNCTION("""COMPUTED_VALUE""")," 08.50 ")</f>
        <v xml:space="preserve"> 08.50 </v>
      </c>
      <c r="K275" s="584" t="str">
        <f ca="1">IFERROR(__xludf.DUMMYFUNCTION("""COMPUTED_VALUE"""),"0.66")</f>
        <v>0.66</v>
      </c>
      <c r="L275" s="584">
        <f ca="1">IFERROR(__xludf.DUMMYFUNCTION("""COMPUTED_VALUE"""),3)</f>
        <v>3</v>
      </c>
      <c r="M275" s="584"/>
      <c r="N275" s="584" t="str">
        <f ca="1">IFERROR(__xludf.DUMMYFUNCTION("""COMPUTED_VALUE"""),"Dị_D&lt;54")</f>
        <v>Dị_D&lt;54</v>
      </c>
      <c r="O275" s="583"/>
      <c r="P275" s="584"/>
    </row>
    <row r="276" spans="1:16" ht="15.75">
      <c r="A276" s="587" t="str">
        <f ca="1">IFERROR(__xludf.DUMMYFUNCTION("""COMPUTED_VALUE"""),"Toàn Phát - Việt Nam")</f>
        <v>Toàn Phát - Việt Nam</v>
      </c>
      <c r="B276" s="587" t="str">
        <f ca="1">IFERROR(__xludf.DUMMYFUNCTION("""COMPUTED_VALUE"""),"ĐTPCAYDI")</f>
        <v>ĐTPCAYDI</v>
      </c>
      <c r="C276" s="587" t="str">
        <f ca="1">IFERROR(__xludf.DUMMYFUNCTION("""COMPUTED_VALUE"""),"DOT085006830")</f>
        <v>DOT085006830</v>
      </c>
      <c r="D276" s="588" t="str">
        <f ca="1">IFERROR(__xludf.DUMMYFUNCTION("""COMPUTED_VALUE"""),"Đồng ống thẳng 08.50x0.68x3.0")</f>
        <v>Đồng ống thẳng 08.50x0.68x3.0</v>
      </c>
      <c r="E276" s="589">
        <f ca="1">IFERROR(__xludf.DUMMYFUNCTION("""COMPUTED_VALUE"""),0.1)</f>
        <v>0.1</v>
      </c>
      <c r="F276" s="590" t="str">
        <f ca="1">IFERROR(__xludf.DUMMYFUNCTION("""COMPUTED_VALUE"""),"Cây")</f>
        <v>Cây</v>
      </c>
      <c r="G276" s="590" t="str">
        <f ca="1">IFERROR(__xludf.DUMMYFUNCTION("""COMPUTED_VALUE"""),"Cây 3m")</f>
        <v>Cây 3m</v>
      </c>
      <c r="H276" s="588"/>
      <c r="I276" s="591">
        <f ca="1">IFERROR(__xludf.DUMMYFUNCTION("""COMPUTED_VALUE"""),0.462312144)</f>
        <v>0.46231214399999998</v>
      </c>
      <c r="J276" s="592" t="str">
        <f ca="1">IFERROR(__xludf.DUMMYFUNCTION("""COMPUTED_VALUE""")," 08.50 ")</f>
        <v xml:space="preserve"> 08.50 </v>
      </c>
      <c r="K276" s="590" t="str">
        <f ca="1">IFERROR(__xludf.DUMMYFUNCTION("""COMPUTED_VALUE"""),"0.68")</f>
        <v>0.68</v>
      </c>
      <c r="L276" s="590">
        <f ca="1">IFERROR(__xludf.DUMMYFUNCTION("""COMPUTED_VALUE"""),3)</f>
        <v>3</v>
      </c>
      <c r="M276" s="590"/>
      <c r="N276" s="590" t="str">
        <f ca="1">IFERROR(__xludf.DUMMYFUNCTION("""COMPUTED_VALUE"""),"Dị_D&lt;54")</f>
        <v>Dị_D&lt;54</v>
      </c>
      <c r="O276" s="589"/>
      <c r="P276" s="590"/>
    </row>
    <row r="277" spans="1:16" ht="15.75">
      <c r="A277" s="581" t="str">
        <f ca="1">IFERROR(__xludf.DUMMYFUNCTION("""COMPUTED_VALUE"""),"Toàn Phát - Việt Nam")</f>
        <v>Toàn Phát - Việt Nam</v>
      </c>
      <c r="B277" s="581" t="str">
        <f ca="1">IFERROR(__xludf.DUMMYFUNCTION("""COMPUTED_VALUE"""),"ĐTPCAYDI")</f>
        <v>ĐTPCAYDI</v>
      </c>
      <c r="C277" s="581" t="str">
        <f ca="1">IFERROR(__xludf.DUMMYFUNCTION("""COMPUTED_VALUE"""),"DOT085007130")</f>
        <v>DOT085007130</v>
      </c>
      <c r="D277" s="582" t="str">
        <f ca="1">IFERROR(__xludf.DUMMYFUNCTION("""COMPUTED_VALUE"""),"Đồng ống thẳng 8.5x0.71x3.0")</f>
        <v>Đồng ống thẳng 8.5x0.71x3.0</v>
      </c>
      <c r="E277" s="583">
        <f ca="1">IFERROR(__xludf.DUMMYFUNCTION("""COMPUTED_VALUE"""),0.1)</f>
        <v>0.1</v>
      </c>
      <c r="F277" s="584" t="str">
        <f ca="1">IFERROR(__xludf.DUMMYFUNCTION("""COMPUTED_VALUE"""),"Cây")</f>
        <v>Cây</v>
      </c>
      <c r="G277" s="584" t="str">
        <f ca="1">IFERROR(__xludf.DUMMYFUNCTION("""COMPUTED_VALUE"""),"Cây 3m")</f>
        <v>Cây 3m</v>
      </c>
      <c r="H277" s="582"/>
      <c r="I277" s="585">
        <f ca="1">IFERROR(__xludf.DUMMYFUNCTION("""COMPUTED_VALUE"""),0.480856445999999)</f>
        <v>0.48085644599999899</v>
      </c>
      <c r="J277" s="586" t="str">
        <f ca="1">IFERROR(__xludf.DUMMYFUNCTION("""COMPUTED_VALUE""")," 08.50 ")</f>
        <v xml:space="preserve"> 08.50 </v>
      </c>
      <c r="K277" s="584" t="str">
        <f ca="1">IFERROR(__xludf.DUMMYFUNCTION("""COMPUTED_VALUE"""),"0.71")</f>
        <v>0.71</v>
      </c>
      <c r="L277" s="584">
        <f ca="1">IFERROR(__xludf.DUMMYFUNCTION("""COMPUTED_VALUE"""),3)</f>
        <v>3</v>
      </c>
      <c r="M277" s="584"/>
      <c r="N277" s="584" t="str">
        <f ca="1">IFERROR(__xludf.DUMMYFUNCTION("""COMPUTED_VALUE"""),"Dị_D&lt;54")</f>
        <v>Dị_D&lt;54</v>
      </c>
      <c r="O277" s="583"/>
      <c r="P277" s="584"/>
    </row>
    <row r="278" spans="1:16" ht="15.75">
      <c r="A278" s="587" t="str">
        <f ca="1">IFERROR(__xludf.DUMMYFUNCTION("""COMPUTED_VALUE"""),"Toàn Phát - Việt Nam")</f>
        <v>Toàn Phát - Việt Nam</v>
      </c>
      <c r="B278" s="587" t="str">
        <f ca="1">IFERROR(__xludf.DUMMYFUNCTION("""COMPUTED_VALUE"""),"ĐTPCAYDI")</f>
        <v>ĐTPCAYDI</v>
      </c>
      <c r="C278" s="587" t="str">
        <f ca="1">IFERROR(__xludf.DUMMYFUNCTION("""COMPUTED_VALUE"""),"DOT08500733")</f>
        <v>DOT08500733</v>
      </c>
      <c r="D278" s="588" t="str">
        <f ca="1">IFERROR(__xludf.DUMMYFUNCTION("""COMPUTED_VALUE"""),"Đồng ống thẳng 8.5x0.71x3.0")</f>
        <v>Đồng ống thẳng 8.5x0.71x3.0</v>
      </c>
      <c r="E278" s="589">
        <f ca="1">IFERROR(__xludf.DUMMYFUNCTION("""COMPUTED_VALUE"""),0.1)</f>
        <v>0.1</v>
      </c>
      <c r="F278" s="590" t="str">
        <f ca="1">IFERROR(__xludf.DUMMYFUNCTION("""COMPUTED_VALUE"""),"Cây")</f>
        <v>Cây</v>
      </c>
      <c r="G278" s="590" t="str">
        <f ca="1">IFERROR(__xludf.DUMMYFUNCTION("""COMPUTED_VALUE"""),"Cây 3m")</f>
        <v>Cây 3m</v>
      </c>
      <c r="H278" s="588"/>
      <c r="I278" s="591">
        <f ca="1">IFERROR(__xludf.DUMMYFUNCTION("""COMPUTED_VALUE"""),0.493132373999999)</f>
        <v>0.49313237399999899</v>
      </c>
      <c r="J278" s="592" t="str">
        <f ca="1">IFERROR(__xludf.DUMMYFUNCTION("""COMPUTED_VALUE""")," 08.50 ")</f>
        <v xml:space="preserve"> 08.50 </v>
      </c>
      <c r="K278" s="590" t="str">
        <f ca="1">IFERROR(__xludf.DUMMYFUNCTION("""COMPUTED_VALUE"""),"0.73")</f>
        <v>0.73</v>
      </c>
      <c r="L278" s="590">
        <f ca="1">IFERROR(__xludf.DUMMYFUNCTION("""COMPUTED_VALUE"""),3)</f>
        <v>3</v>
      </c>
      <c r="M278" s="590"/>
      <c r="N278" s="590" t="str">
        <f ca="1">IFERROR(__xludf.DUMMYFUNCTION("""COMPUTED_VALUE"""),"Dị_D&lt;54")</f>
        <v>Dị_D&lt;54</v>
      </c>
      <c r="O278" s="589"/>
      <c r="P278" s="590"/>
    </row>
    <row r="279" spans="1:16" ht="15.75">
      <c r="A279" s="581" t="str">
        <f ca="1">IFERROR(__xludf.DUMMYFUNCTION("""COMPUTED_VALUE"""),"Toàn Phát - Việt Nam")</f>
        <v>Toàn Phát - Việt Nam</v>
      </c>
      <c r="B279" s="581" t="str">
        <f ca="1">IFERROR(__xludf.DUMMYFUNCTION("""COMPUTED_VALUE"""),"ĐTPCAYDI")</f>
        <v>ĐTPCAYDI</v>
      </c>
      <c r="C279" s="581" t="str">
        <f ca="1">IFERROR(__xludf.DUMMYFUNCTION("""COMPUTED_VALUE"""),"DOT085007530")</f>
        <v>DOT085007530</v>
      </c>
      <c r="D279" s="582" t="str">
        <f ca="1">IFERROR(__xludf.DUMMYFUNCTION("""COMPUTED_VALUE"""),"Đồng ống thẳng 8.5x0.75x3.0")</f>
        <v>Đồng ống thẳng 8.5x0.75x3.0</v>
      </c>
      <c r="E279" s="583">
        <f ca="1">IFERROR(__xludf.DUMMYFUNCTION("""COMPUTED_VALUE"""),0.1)</f>
        <v>0.1</v>
      </c>
      <c r="F279" s="584" t="str">
        <f ca="1">IFERROR(__xludf.DUMMYFUNCTION("""COMPUTED_VALUE"""),"Cây")</f>
        <v>Cây</v>
      </c>
      <c r="G279" s="584" t="str">
        <f ca="1">IFERROR(__xludf.DUMMYFUNCTION("""COMPUTED_VALUE"""),"Cây 3m")</f>
        <v>Cây 3m</v>
      </c>
      <c r="H279" s="582"/>
      <c r="I279" s="585">
        <f ca="1">IFERROR(__xludf.DUMMYFUNCTION("""COMPUTED_VALUE"""),0.50533875)</f>
        <v>0.50533874999999995</v>
      </c>
      <c r="J279" s="586" t="str">
        <f ca="1">IFERROR(__xludf.DUMMYFUNCTION("""COMPUTED_VALUE""")," 08.50 ")</f>
        <v xml:space="preserve"> 08.50 </v>
      </c>
      <c r="K279" s="584" t="str">
        <f ca="1">IFERROR(__xludf.DUMMYFUNCTION("""COMPUTED_VALUE"""),"0.75")</f>
        <v>0.75</v>
      </c>
      <c r="L279" s="584">
        <f ca="1">IFERROR(__xludf.DUMMYFUNCTION("""COMPUTED_VALUE"""),3)</f>
        <v>3</v>
      </c>
      <c r="M279" s="584"/>
      <c r="N279" s="584" t="str">
        <f ca="1">IFERROR(__xludf.DUMMYFUNCTION("""COMPUTED_VALUE"""),"Dị_D&lt;54")</f>
        <v>Dị_D&lt;54</v>
      </c>
      <c r="O279" s="583"/>
      <c r="P279" s="584"/>
    </row>
    <row r="280" spans="1:16" ht="15.75">
      <c r="A280" s="587" t="str">
        <f ca="1">IFERROR(__xludf.DUMMYFUNCTION("""COMPUTED_VALUE"""),"Toàn Phát - Việt Nam")</f>
        <v>Toàn Phát - Việt Nam</v>
      </c>
      <c r="B280" s="587" t="str">
        <f ca="1">IFERROR(__xludf.DUMMYFUNCTION("""COMPUTED_VALUE"""),"ĐTPCAYDI")</f>
        <v>ĐTPCAYDI</v>
      </c>
      <c r="C280" s="587" t="str">
        <f ca="1">IFERROR(__xludf.DUMMYFUNCTION("""COMPUTED_VALUE"""),"DOT085008030")</f>
        <v>DOT085008030</v>
      </c>
      <c r="D280" s="588" t="str">
        <f ca="1">IFERROR(__xludf.DUMMYFUNCTION("""COMPUTED_VALUE"""),"Đồng ống thẳng 08.50x0.80x3.0")</f>
        <v>Đồng ống thẳng 08.50x0.80x3.0</v>
      </c>
      <c r="E280" s="589">
        <f ca="1">IFERROR(__xludf.DUMMYFUNCTION("""COMPUTED_VALUE"""),0.1)</f>
        <v>0.1</v>
      </c>
      <c r="F280" s="590" t="str">
        <f ca="1">IFERROR(__xludf.DUMMYFUNCTION("""COMPUTED_VALUE"""),"Cây")</f>
        <v>Cây</v>
      </c>
      <c r="G280" s="590" t="str">
        <f ca="1">IFERROR(__xludf.DUMMYFUNCTION("""COMPUTED_VALUE"""),"Cây 3m")</f>
        <v>Cây 3m</v>
      </c>
      <c r="H280" s="588"/>
      <c r="I280" s="591">
        <f ca="1">IFERROR(__xludf.DUMMYFUNCTION("""COMPUTED_VALUE"""),0.5355504)</f>
        <v>0.53555039999999998</v>
      </c>
      <c r="J280" s="592" t="str">
        <f ca="1">IFERROR(__xludf.DUMMYFUNCTION("""COMPUTED_VALUE""")," 08.50 ")</f>
        <v xml:space="preserve"> 08.50 </v>
      </c>
      <c r="K280" s="590" t="str">
        <f ca="1">IFERROR(__xludf.DUMMYFUNCTION("""COMPUTED_VALUE"""),"0.80")</f>
        <v>0.80</v>
      </c>
      <c r="L280" s="590">
        <f ca="1">IFERROR(__xludf.DUMMYFUNCTION("""COMPUTED_VALUE"""),3)</f>
        <v>3</v>
      </c>
      <c r="M280" s="590"/>
      <c r="N280" s="590" t="str">
        <f ca="1">IFERROR(__xludf.DUMMYFUNCTION("""COMPUTED_VALUE"""),"Dị_D&lt;54")</f>
        <v>Dị_D&lt;54</v>
      </c>
      <c r="O280" s="589"/>
      <c r="P280" s="590"/>
    </row>
    <row r="281" spans="1:16" ht="15.75">
      <c r="A281" s="581" t="str">
        <f ca="1">IFERROR(__xludf.DUMMYFUNCTION("""COMPUTED_VALUE"""),"Toàn Phát - Việt Nam")</f>
        <v>Toàn Phát - Việt Nam</v>
      </c>
      <c r="B281" s="581" t="str">
        <f ca="1">IFERROR(__xludf.DUMMYFUNCTION("""COMPUTED_VALUE"""),"ĐTPCAYDI")</f>
        <v>ĐTPCAYDI</v>
      </c>
      <c r="C281" s="581" t="str">
        <f ca="1">IFERROR(__xludf.DUMMYFUNCTION("""COMPUTED_VALUE"""),"DOT085008530")</f>
        <v>DOT085008530</v>
      </c>
      <c r="D281" s="582" t="str">
        <f ca="1">IFERROR(__xludf.DUMMYFUNCTION("""COMPUTED_VALUE"""),"Đồng ống thẳng 08.50x0.85x3.0")</f>
        <v>Đồng ống thẳng 08.50x0.85x3.0</v>
      </c>
      <c r="E281" s="583">
        <f ca="1">IFERROR(__xludf.DUMMYFUNCTION("""COMPUTED_VALUE"""),0.1)</f>
        <v>0.1</v>
      </c>
      <c r="F281" s="584" t="str">
        <f ca="1">IFERROR(__xludf.DUMMYFUNCTION("""COMPUTED_VALUE"""),"Cây")</f>
        <v>Cây</v>
      </c>
      <c r="G281" s="584" t="str">
        <f ca="1">IFERROR(__xludf.DUMMYFUNCTION("""COMPUTED_VALUE"""),"Cây 3m")</f>
        <v>Cây 3m</v>
      </c>
      <c r="H281" s="582"/>
      <c r="I281" s="585">
        <f ca="1">IFERROR(__xludf.DUMMYFUNCTION("""COMPUTED_VALUE"""),0.56532735)</f>
        <v>0.56532735000000001</v>
      </c>
      <c r="J281" s="586" t="str">
        <f ca="1">IFERROR(__xludf.DUMMYFUNCTION("""COMPUTED_VALUE""")," 08.50 ")</f>
        <v xml:space="preserve"> 08.50 </v>
      </c>
      <c r="K281" s="584" t="str">
        <f ca="1">IFERROR(__xludf.DUMMYFUNCTION("""COMPUTED_VALUE"""),"0.85")</f>
        <v>0.85</v>
      </c>
      <c r="L281" s="584">
        <f ca="1">IFERROR(__xludf.DUMMYFUNCTION("""COMPUTED_VALUE"""),3)</f>
        <v>3</v>
      </c>
      <c r="M281" s="584"/>
      <c r="N281" s="584" t="str">
        <f ca="1">IFERROR(__xludf.DUMMYFUNCTION("""COMPUTED_VALUE"""),"Dị_D&lt;54")</f>
        <v>Dị_D&lt;54</v>
      </c>
      <c r="O281" s="583"/>
      <c r="P281" s="584"/>
    </row>
    <row r="282" spans="1:16" ht="15.75">
      <c r="A282" s="587" t="str">
        <f ca="1">IFERROR(__xludf.DUMMYFUNCTION("""COMPUTED_VALUE"""),"Toàn Phát - Việt Nam")</f>
        <v>Toàn Phát - Việt Nam</v>
      </c>
      <c r="B282" s="587" t="str">
        <f ca="1">IFERROR(__xludf.DUMMYFUNCTION("""COMPUTED_VALUE"""),"ĐTPCAYDI")</f>
        <v>ĐTPCAYDI</v>
      </c>
      <c r="C282" s="587" t="str">
        <f ca="1">IFERROR(__xludf.DUMMYFUNCTION("""COMPUTED_VALUE"""),"DOT08515030")</f>
        <v>DOT08515030</v>
      </c>
      <c r="D282" s="588" t="str">
        <f ca="1">IFERROR(__xludf.DUMMYFUNCTION("""COMPUTED_VALUE"""),"Đồng ống thẳng 8.50x1.50x3.0")</f>
        <v>Đồng ống thẳng 8.50x1.50x3.0</v>
      </c>
      <c r="E282" s="589">
        <f ca="1">IFERROR(__xludf.DUMMYFUNCTION("""COMPUTED_VALUE"""),0.1)</f>
        <v>0.1</v>
      </c>
      <c r="F282" s="590" t="str">
        <f ca="1">IFERROR(__xludf.DUMMYFUNCTION("""COMPUTED_VALUE"""),"Cây")</f>
        <v>Cây</v>
      </c>
      <c r="G282" s="590" t="str">
        <f ca="1">IFERROR(__xludf.DUMMYFUNCTION("""COMPUTED_VALUE"""),"Cây 3m")</f>
        <v>Cây 3m</v>
      </c>
      <c r="H282" s="588"/>
      <c r="I282" s="591">
        <f ca="1">IFERROR(__xludf.DUMMYFUNCTION("""COMPUTED_VALUE"""),0.912869999999999)</f>
        <v>0.91286999999999896</v>
      </c>
      <c r="J282" s="592" t="str">
        <f ca="1">IFERROR(__xludf.DUMMYFUNCTION("""COMPUTED_VALUE""")," 08.50 ")</f>
        <v xml:space="preserve"> 08.50 </v>
      </c>
      <c r="K282" s="590" t="str">
        <f ca="1">IFERROR(__xludf.DUMMYFUNCTION("""COMPUTED_VALUE"""),"1.50")</f>
        <v>1.50</v>
      </c>
      <c r="L282" s="590">
        <f ca="1">IFERROR(__xludf.DUMMYFUNCTION("""COMPUTED_VALUE"""),3)</f>
        <v>3</v>
      </c>
      <c r="M282" s="590"/>
      <c r="N282" s="590" t="str">
        <f ca="1">IFERROR(__xludf.DUMMYFUNCTION("""COMPUTED_VALUE"""),"Dị_D&lt;54")</f>
        <v>Dị_D&lt;54</v>
      </c>
      <c r="O282" s="589"/>
      <c r="P282" s="590"/>
    </row>
    <row r="283" spans="1:16" ht="15.75">
      <c r="A283" s="581" t="str">
        <f ca="1">IFERROR(__xludf.DUMMYFUNCTION("""COMPUTED_VALUE"""),"Toàn Phát - Việt Nam")</f>
        <v>Toàn Phát - Việt Nam</v>
      </c>
      <c r="B283" s="581" t="str">
        <f ca="1">IFERROR(__xludf.DUMMYFUNCTION("""COMPUTED_VALUE"""),"ĐTPCAYDI")</f>
        <v>ĐTPCAYDI</v>
      </c>
      <c r="C283" s="581" t="str">
        <f ca="1">IFERROR(__xludf.DUMMYFUNCTION("""COMPUTED_VALUE"""),"DOT086006530")</f>
        <v>DOT086006530</v>
      </c>
      <c r="D283" s="582" t="str">
        <f ca="1">IFERROR(__xludf.DUMMYFUNCTION("""COMPUTED_VALUE"""),"Đồng ống thẳng 08.60x0.65x3.0")</f>
        <v>Đồng ống thẳng 08.60x0.65x3.0</v>
      </c>
      <c r="E283" s="583">
        <f ca="1">IFERROR(__xludf.DUMMYFUNCTION("""COMPUTED_VALUE"""),0.1)</f>
        <v>0.1</v>
      </c>
      <c r="F283" s="584" t="str">
        <f ca="1">IFERROR(__xludf.DUMMYFUNCTION("""COMPUTED_VALUE"""),"Cây")</f>
        <v>Cây</v>
      </c>
      <c r="G283" s="584" t="str">
        <f ca="1">IFERROR(__xludf.DUMMYFUNCTION("""COMPUTED_VALUE"""),"Cây 3m")</f>
        <v>Cây 3m</v>
      </c>
      <c r="H283" s="582"/>
      <c r="I283" s="585">
        <f ca="1">IFERROR(__xludf.DUMMYFUNCTION("""COMPUTED_VALUE"""),0.449262449999999)</f>
        <v>0.44926244999999898</v>
      </c>
      <c r="J283" s="586" t="str">
        <f ca="1">IFERROR(__xludf.DUMMYFUNCTION("""COMPUTED_VALUE""")," 08.60 ")</f>
        <v xml:space="preserve"> 08.60 </v>
      </c>
      <c r="K283" s="584" t="str">
        <f ca="1">IFERROR(__xludf.DUMMYFUNCTION("""COMPUTED_VALUE"""),"0.65")</f>
        <v>0.65</v>
      </c>
      <c r="L283" s="584">
        <f ca="1">IFERROR(__xludf.DUMMYFUNCTION("""COMPUTED_VALUE"""),3)</f>
        <v>3</v>
      </c>
      <c r="M283" s="584"/>
      <c r="N283" s="584" t="str">
        <f ca="1">IFERROR(__xludf.DUMMYFUNCTION("""COMPUTED_VALUE"""),"Dị_D&lt;54")</f>
        <v>Dị_D&lt;54</v>
      </c>
      <c r="O283" s="583"/>
      <c r="P283" s="584"/>
    </row>
    <row r="284" spans="1:16" ht="15.75">
      <c r="A284" s="587" t="str">
        <f ca="1">IFERROR(__xludf.DUMMYFUNCTION("""COMPUTED_VALUE"""),"Toàn Phát - Việt Nam")</f>
        <v>Toàn Phát - Việt Nam</v>
      </c>
      <c r="B284" s="587" t="str">
        <f ca="1">IFERROR(__xludf.DUMMYFUNCTION("""COMPUTED_VALUE"""),"ĐTPCAYDI")</f>
        <v>ĐTPCAYDI</v>
      </c>
      <c r="C284" s="587" t="str">
        <f ca="1">IFERROR(__xludf.DUMMYFUNCTION("""COMPUTED_VALUE"""),"DOT086006630")</f>
        <v>DOT086006630</v>
      </c>
      <c r="D284" s="588" t="str">
        <f ca="1">IFERROR(__xludf.DUMMYFUNCTION("""COMPUTED_VALUE"""),"Đồng ống thẳng 08.60x0.66x3.0")</f>
        <v>Đồng ống thẳng 08.60x0.66x3.0</v>
      </c>
      <c r="E284" s="589">
        <f ca="1">IFERROR(__xludf.DUMMYFUNCTION("""COMPUTED_VALUE"""),0.1)</f>
        <v>0.1</v>
      </c>
      <c r="F284" s="590" t="str">
        <f ca="1">IFERROR(__xludf.DUMMYFUNCTION("""COMPUTED_VALUE"""),"Cây")</f>
        <v>Cây</v>
      </c>
      <c r="G284" s="590" t="str">
        <f ca="1">IFERROR(__xludf.DUMMYFUNCTION("""COMPUTED_VALUE"""),"Cây 3m")</f>
        <v>Cây 3m</v>
      </c>
      <c r="H284" s="588"/>
      <c r="I284" s="591">
        <f ca="1">IFERROR(__xludf.DUMMYFUNCTION("""COMPUTED_VALUE"""),0.455600376)</f>
        <v>0.45560037599999997</v>
      </c>
      <c r="J284" s="592" t="str">
        <f ca="1">IFERROR(__xludf.DUMMYFUNCTION("""COMPUTED_VALUE""")," 08.60 ")</f>
        <v xml:space="preserve"> 08.60 </v>
      </c>
      <c r="K284" s="590" t="str">
        <f ca="1">IFERROR(__xludf.DUMMYFUNCTION("""COMPUTED_VALUE"""),"0.66")</f>
        <v>0.66</v>
      </c>
      <c r="L284" s="590">
        <f ca="1">IFERROR(__xludf.DUMMYFUNCTION("""COMPUTED_VALUE"""),3)</f>
        <v>3</v>
      </c>
      <c r="M284" s="590"/>
      <c r="N284" s="590" t="str">
        <f ca="1">IFERROR(__xludf.DUMMYFUNCTION("""COMPUTED_VALUE"""),"Dị_D&lt;54")</f>
        <v>Dị_D&lt;54</v>
      </c>
      <c r="O284" s="589"/>
      <c r="P284" s="590"/>
    </row>
    <row r="285" spans="1:16" ht="15.75">
      <c r="A285" s="581" t="str">
        <f ca="1">IFERROR(__xludf.DUMMYFUNCTION("""COMPUTED_VALUE"""),"Toàn Phát - Việt Nam")</f>
        <v>Toàn Phát - Việt Nam</v>
      </c>
      <c r="B285" s="581" t="str">
        <f ca="1">IFERROR(__xludf.DUMMYFUNCTION("""COMPUTED_VALUE"""),"ĐTPCAYDI")</f>
        <v>ĐTPCAYDI</v>
      </c>
      <c r="C285" s="581" t="str">
        <f ca="1">IFERROR(__xludf.DUMMYFUNCTION("""COMPUTED_VALUE"""),"DOT086007130")</f>
        <v>DOT086007130</v>
      </c>
      <c r="D285" s="582" t="str">
        <f ca="1">IFERROR(__xludf.DUMMYFUNCTION("""COMPUTED_VALUE"""),"Đồng ống thẳng 08.60x0.71x3.0")</f>
        <v>Đồng ống thẳng 08.60x0.71x3.0</v>
      </c>
      <c r="E285" s="583">
        <f ca="1">IFERROR(__xludf.DUMMYFUNCTION("""COMPUTED_VALUE"""),0.1)</f>
        <v>0.1</v>
      </c>
      <c r="F285" s="584" t="str">
        <f ca="1">IFERROR(__xludf.DUMMYFUNCTION("""COMPUTED_VALUE"""),"Cây")</f>
        <v>Cây</v>
      </c>
      <c r="G285" s="584" t="str">
        <f ca="1">IFERROR(__xludf.DUMMYFUNCTION("""COMPUTED_VALUE"""),"Cây 3m")</f>
        <v>Cây 3m</v>
      </c>
      <c r="H285" s="582"/>
      <c r="I285" s="585">
        <f ca="1">IFERROR(__xludf.DUMMYFUNCTION("""COMPUTED_VALUE"""),0.487029185999999)</f>
        <v>0.487029185999999</v>
      </c>
      <c r="J285" s="586" t="str">
        <f ca="1">IFERROR(__xludf.DUMMYFUNCTION("""COMPUTED_VALUE""")," 08.60 ")</f>
        <v xml:space="preserve"> 08.60 </v>
      </c>
      <c r="K285" s="584" t="str">
        <f ca="1">IFERROR(__xludf.DUMMYFUNCTION("""COMPUTED_VALUE"""),"0.71")</f>
        <v>0.71</v>
      </c>
      <c r="L285" s="584">
        <f ca="1">IFERROR(__xludf.DUMMYFUNCTION("""COMPUTED_VALUE"""),3)</f>
        <v>3</v>
      </c>
      <c r="M285" s="584"/>
      <c r="N285" s="584" t="str">
        <f ca="1">IFERROR(__xludf.DUMMYFUNCTION("""COMPUTED_VALUE"""),"Dị_D&lt;54")</f>
        <v>Dị_D&lt;54</v>
      </c>
      <c r="O285" s="583"/>
      <c r="P285" s="584"/>
    </row>
    <row r="286" spans="1:16" ht="15.75">
      <c r="A286" s="587" t="str">
        <f ca="1">IFERROR(__xludf.DUMMYFUNCTION("""COMPUTED_VALUE"""),"Toàn Phát - Việt Nam")</f>
        <v>Toàn Phát - Việt Nam</v>
      </c>
      <c r="B286" s="587" t="str">
        <f ca="1">IFERROR(__xludf.DUMMYFUNCTION("""COMPUTED_VALUE"""),"ĐTPCAYDI")</f>
        <v>ĐTPCAYDI</v>
      </c>
      <c r="C286" s="587" t="str">
        <f ca="1">IFERROR(__xludf.DUMMYFUNCTION("""COMPUTED_VALUE"""),"DOT088010030")</f>
        <v>DOT088010030</v>
      </c>
      <c r="D286" s="588" t="str">
        <f ca="1">IFERROR(__xludf.DUMMYFUNCTION("""COMPUTED_VALUE"""),"Đồng ống thẳng 08.80x1.00x3.0")</f>
        <v>Đồng ống thẳng 08.80x1.00x3.0</v>
      </c>
      <c r="E286" s="589">
        <f ca="1">IFERROR(__xludf.DUMMYFUNCTION("""COMPUTED_VALUE"""),0.1)</f>
        <v>0.1</v>
      </c>
      <c r="F286" s="590" t="str">
        <f ca="1">IFERROR(__xludf.DUMMYFUNCTION("""COMPUTED_VALUE"""),"Cây")</f>
        <v>Cây</v>
      </c>
      <c r="G286" s="590" t="str">
        <f ca="1">IFERROR(__xludf.DUMMYFUNCTION("""COMPUTED_VALUE"""),"Cây 3m")</f>
        <v>Cây 3m</v>
      </c>
      <c r="H286" s="588"/>
      <c r="I286" s="591">
        <f ca="1">IFERROR(__xludf.DUMMYFUNCTION("""COMPUTED_VALUE"""),0.678132)</f>
        <v>0.67813199999999996</v>
      </c>
      <c r="J286" s="592" t="str">
        <f ca="1">IFERROR(__xludf.DUMMYFUNCTION("""COMPUTED_VALUE""")," 08.80 ")</f>
        <v xml:space="preserve"> 08.80 </v>
      </c>
      <c r="K286" s="590" t="str">
        <f ca="1">IFERROR(__xludf.DUMMYFUNCTION("""COMPUTED_VALUE"""),"1.00")</f>
        <v>1.00</v>
      </c>
      <c r="L286" s="590">
        <f ca="1">IFERROR(__xludf.DUMMYFUNCTION("""COMPUTED_VALUE"""),3)</f>
        <v>3</v>
      </c>
      <c r="M286" s="590"/>
      <c r="N286" s="590" t="str">
        <f ca="1">IFERROR(__xludf.DUMMYFUNCTION("""COMPUTED_VALUE"""),"Dị_D&lt;54")</f>
        <v>Dị_D&lt;54</v>
      </c>
      <c r="O286" s="589"/>
      <c r="P286" s="590"/>
    </row>
    <row r="287" spans="1:16" ht="15.75">
      <c r="A287" s="581" t="str">
        <f ca="1">IFERROR(__xludf.DUMMYFUNCTION("""COMPUTED_VALUE"""),"Toàn Phát - Việt Nam")</f>
        <v>Toàn Phát - Việt Nam</v>
      </c>
      <c r="B287" s="581" t="str">
        <f ca="1">IFERROR(__xludf.DUMMYFUNCTION("""COMPUTED_VALUE"""),"ĐTPCAYDI")</f>
        <v>ĐTPCAYDI</v>
      </c>
      <c r="C287" s="581" t="str">
        <f ca="1">IFERROR(__xludf.DUMMYFUNCTION("""COMPUTED_VALUE"""),"DOT089007630")</f>
        <v>DOT089007630</v>
      </c>
      <c r="D287" s="582" t="str">
        <f ca="1">IFERROR(__xludf.DUMMYFUNCTION("""COMPUTED_VALUE"""),"Đồng ống thẳng 08.90x0.76x3.0")</f>
        <v>Đồng ống thẳng 08.90x0.76x3.0</v>
      </c>
      <c r="E287" s="583">
        <f ca="1">IFERROR(__xludf.DUMMYFUNCTION("""COMPUTED_VALUE"""),0.1)</f>
        <v>0.1</v>
      </c>
      <c r="F287" s="584" t="str">
        <f ca="1">IFERROR(__xludf.DUMMYFUNCTION("""COMPUTED_VALUE"""),"Cây")</f>
        <v>Cây</v>
      </c>
      <c r="G287" s="584" t="str">
        <f ca="1">IFERROR(__xludf.DUMMYFUNCTION("""COMPUTED_VALUE"""),"Cây 3m")</f>
        <v>Cây 3m</v>
      </c>
      <c r="H287" s="582"/>
      <c r="I287" s="585">
        <f ca="1">IFERROR(__xludf.DUMMYFUNCTION("""COMPUTED_VALUE"""),0.537845616)</f>
        <v>0.53784561600000003</v>
      </c>
      <c r="J287" s="586" t="str">
        <f ca="1">IFERROR(__xludf.DUMMYFUNCTION("""COMPUTED_VALUE""")," 08.90 ")</f>
        <v xml:space="preserve"> 08.90 </v>
      </c>
      <c r="K287" s="584" t="str">
        <f ca="1">IFERROR(__xludf.DUMMYFUNCTION("""COMPUTED_VALUE"""),"0.76")</f>
        <v>0.76</v>
      </c>
      <c r="L287" s="584">
        <f ca="1">IFERROR(__xludf.DUMMYFUNCTION("""COMPUTED_VALUE"""),3)</f>
        <v>3</v>
      </c>
      <c r="M287" s="584"/>
      <c r="N287" s="584" t="str">
        <f ca="1">IFERROR(__xludf.DUMMYFUNCTION("""COMPUTED_VALUE"""),"Dị_D&lt;54")</f>
        <v>Dị_D&lt;54</v>
      </c>
      <c r="O287" s="583"/>
      <c r="P287" s="584"/>
    </row>
    <row r="288" spans="1:16" ht="15.75">
      <c r="A288" s="587" t="str">
        <f ca="1">IFERROR(__xludf.DUMMYFUNCTION("""COMPUTED_VALUE"""),"Toàn Phát - Việt Nam")</f>
        <v>Toàn Phát - Việt Nam</v>
      </c>
      <c r="B288" s="587" t="str">
        <f ca="1">IFERROR(__xludf.DUMMYFUNCTION("""COMPUTED_VALUE"""),"ĐTPCAYDI")</f>
        <v>ĐTPCAYDI</v>
      </c>
      <c r="C288" s="587" t="str">
        <f ca="1">IFERROR(__xludf.DUMMYFUNCTION("""COMPUTED_VALUE"""),"DOT089008030")</f>
        <v>DOT089008030</v>
      </c>
      <c r="D288" s="588" t="str">
        <f ca="1">IFERROR(__xludf.DUMMYFUNCTION("""COMPUTED_VALUE"""),"Đồng ống thẳng 08.90x0.80x3.0")</f>
        <v>Đồng ống thẳng 08.90x0.80x3.0</v>
      </c>
      <c r="E288" s="589">
        <f ca="1">IFERROR(__xludf.DUMMYFUNCTION("""COMPUTED_VALUE"""),0.1)</f>
        <v>0.1</v>
      </c>
      <c r="F288" s="590" t="str">
        <f ca="1">IFERROR(__xludf.DUMMYFUNCTION("""COMPUTED_VALUE"""),"Cây")</f>
        <v>Cây</v>
      </c>
      <c r="G288" s="590" t="str">
        <f ca="1">IFERROR(__xludf.DUMMYFUNCTION("""COMPUTED_VALUE"""),"Cây 3m")</f>
        <v>Cây 3m</v>
      </c>
      <c r="H288" s="588"/>
      <c r="I288" s="591">
        <f ca="1">IFERROR(__xludf.DUMMYFUNCTION("""COMPUTED_VALUE"""),0.5633712)</f>
        <v>0.56337119999999996</v>
      </c>
      <c r="J288" s="592" t="str">
        <f ca="1">IFERROR(__xludf.DUMMYFUNCTION("""COMPUTED_VALUE""")," 08.90 ")</f>
        <v xml:space="preserve"> 08.90 </v>
      </c>
      <c r="K288" s="590" t="str">
        <f ca="1">IFERROR(__xludf.DUMMYFUNCTION("""COMPUTED_VALUE"""),"0.80")</f>
        <v>0.80</v>
      </c>
      <c r="L288" s="590">
        <f ca="1">IFERROR(__xludf.DUMMYFUNCTION("""COMPUTED_VALUE"""),3)</f>
        <v>3</v>
      </c>
      <c r="M288" s="590"/>
      <c r="N288" s="590" t="str">
        <f ca="1">IFERROR(__xludf.DUMMYFUNCTION("""COMPUTED_VALUE"""),"Dị_D&lt;54")</f>
        <v>Dị_D&lt;54</v>
      </c>
      <c r="O288" s="589"/>
      <c r="P288" s="590"/>
    </row>
    <row r="289" spans="1:16" ht="15.75">
      <c r="A289" s="581" t="str">
        <f ca="1">IFERROR(__xludf.DUMMYFUNCTION("""COMPUTED_VALUE"""),"Toàn Phát - Việt Nam")</f>
        <v>Toàn Phát - Việt Nam</v>
      </c>
      <c r="B289" s="581" t="str">
        <f ca="1">IFERROR(__xludf.DUMMYFUNCTION("""COMPUTED_VALUE"""),"ĐTPCAYDI")</f>
        <v>ĐTPCAYDI</v>
      </c>
      <c r="C289" s="581" t="str">
        <f ca="1">IFERROR(__xludf.DUMMYFUNCTION("""COMPUTED_VALUE"""),"DOT090006130")</f>
        <v>DOT090006130</v>
      </c>
      <c r="D289" s="582" t="str">
        <f ca="1">IFERROR(__xludf.DUMMYFUNCTION("""COMPUTED_VALUE"""),"Đồng ống thẳng 09.00x0.61x3.0")</f>
        <v>Đồng ống thẳng 09.00x0.61x3.0</v>
      </c>
      <c r="E289" s="583">
        <f ca="1">IFERROR(__xludf.DUMMYFUNCTION("""COMPUTED_VALUE"""),0.1)</f>
        <v>0.1</v>
      </c>
      <c r="F289" s="584" t="str">
        <f ca="1">IFERROR(__xludf.DUMMYFUNCTION("""COMPUTED_VALUE"""),"Cây")</f>
        <v>Cây</v>
      </c>
      <c r="G289" s="584" t="str">
        <f ca="1">IFERROR(__xludf.DUMMYFUNCTION("""COMPUTED_VALUE"""),"Cây 3m")</f>
        <v>Cây 3m</v>
      </c>
      <c r="H289" s="582"/>
      <c r="I289" s="585">
        <f ca="1">IFERROR(__xludf.DUMMYFUNCTION("""COMPUTED_VALUE"""),0.444950226)</f>
        <v>0.444950226</v>
      </c>
      <c r="J289" s="586" t="str">
        <f ca="1">IFERROR(__xludf.DUMMYFUNCTION("""COMPUTED_VALUE""")," 09.00 ")</f>
        <v xml:space="preserve"> 09.00 </v>
      </c>
      <c r="K289" s="584" t="str">
        <f ca="1">IFERROR(__xludf.DUMMYFUNCTION("""COMPUTED_VALUE"""),"0.61")</f>
        <v>0.61</v>
      </c>
      <c r="L289" s="584">
        <f ca="1">IFERROR(__xludf.DUMMYFUNCTION("""COMPUTED_VALUE"""),3)</f>
        <v>3</v>
      </c>
      <c r="M289" s="584"/>
      <c r="N289" s="584" t="str">
        <f ca="1">IFERROR(__xludf.DUMMYFUNCTION("""COMPUTED_VALUE"""),"Dị_D&lt;54")</f>
        <v>Dị_D&lt;54</v>
      </c>
      <c r="O289" s="583"/>
      <c r="P289" s="584"/>
    </row>
    <row r="290" spans="1:16" ht="15.75">
      <c r="A290" s="587" t="str">
        <f ca="1">IFERROR(__xludf.DUMMYFUNCTION("""COMPUTED_VALUE"""),"Toàn Phát - Việt Nam")</f>
        <v>Toàn Phát - Việt Nam</v>
      </c>
      <c r="B290" s="587" t="str">
        <f ca="1">IFERROR(__xludf.DUMMYFUNCTION("""COMPUTED_VALUE"""),"ĐTPCAYDI")</f>
        <v>ĐTPCAYDI</v>
      </c>
      <c r="C290" s="587" t="str">
        <f ca="1">IFERROR(__xludf.DUMMYFUNCTION("""COMPUTED_VALUE"""),"DOT090007030")</f>
        <v>DOT090007030</v>
      </c>
      <c r="D290" s="588" t="str">
        <f ca="1">IFERROR(__xludf.DUMMYFUNCTION("""COMPUTED_VALUE"""),"Đồng ống thẳng 09.00x0.70x3.0")</f>
        <v>Đồng ống thẳng 09.00x0.70x3.0</v>
      </c>
      <c r="E290" s="589">
        <f ca="1">IFERROR(__xludf.DUMMYFUNCTION("""COMPUTED_VALUE"""),0.1)</f>
        <v>0.1</v>
      </c>
      <c r="F290" s="590" t="str">
        <f ca="1">IFERROR(__xludf.DUMMYFUNCTION("""COMPUTED_VALUE"""),"Cây")</f>
        <v>Cây</v>
      </c>
      <c r="G290" s="590" t="str">
        <f ca="1">IFERROR(__xludf.DUMMYFUNCTION("""COMPUTED_VALUE"""),"Cây 3m")</f>
        <v>Cây 3m</v>
      </c>
      <c r="H290" s="588"/>
      <c r="I290" s="591">
        <f ca="1">IFERROR(__xludf.DUMMYFUNCTION("""COMPUTED_VALUE"""),0.505121399999999)</f>
        <v>0.50512139999999905</v>
      </c>
      <c r="J290" s="592" t="str">
        <f ca="1">IFERROR(__xludf.DUMMYFUNCTION("""COMPUTED_VALUE""")," 09.00 ")</f>
        <v xml:space="preserve"> 09.00 </v>
      </c>
      <c r="K290" s="590" t="str">
        <f ca="1">IFERROR(__xludf.DUMMYFUNCTION("""COMPUTED_VALUE"""),"0.70")</f>
        <v>0.70</v>
      </c>
      <c r="L290" s="590">
        <f ca="1">IFERROR(__xludf.DUMMYFUNCTION("""COMPUTED_VALUE"""),3)</f>
        <v>3</v>
      </c>
      <c r="M290" s="590"/>
      <c r="N290" s="590" t="str">
        <f ca="1">IFERROR(__xludf.DUMMYFUNCTION("""COMPUTED_VALUE"""),"Dị_D&lt;54")</f>
        <v>Dị_D&lt;54</v>
      </c>
      <c r="O290" s="589"/>
      <c r="P290" s="590"/>
    </row>
    <row r="291" spans="1:16" ht="15.75">
      <c r="A291" s="581" t="str">
        <f ca="1">IFERROR(__xludf.DUMMYFUNCTION("""COMPUTED_VALUE"""),"Toàn Phát - Việt Nam")</f>
        <v>Toàn Phát - Việt Nam</v>
      </c>
      <c r="B291" s="581" t="str">
        <f ca="1">IFERROR(__xludf.DUMMYFUNCTION("""COMPUTED_VALUE"""),"ĐTPCAYDI")</f>
        <v>ĐTPCAYDI</v>
      </c>
      <c r="C291" s="581" t="str">
        <f ca="1">IFERROR(__xludf.DUMMYFUNCTION("""COMPUTED_VALUE"""),"DOT090007130")</f>
        <v>DOT090007130</v>
      </c>
      <c r="D291" s="582" t="str">
        <f ca="1">IFERROR(__xludf.DUMMYFUNCTION("""COMPUTED_VALUE"""),"Đồng ống thẳng 09.00x0.71x3.0")</f>
        <v>Đồng ống thẳng 09.00x0.71x3.0</v>
      </c>
      <c r="E291" s="583">
        <f ca="1">IFERROR(__xludf.DUMMYFUNCTION("""COMPUTED_VALUE"""),0.1)</f>
        <v>0.1</v>
      </c>
      <c r="F291" s="584" t="str">
        <f ca="1">IFERROR(__xludf.DUMMYFUNCTION("""COMPUTED_VALUE"""),"Cây")</f>
        <v>Cây</v>
      </c>
      <c r="G291" s="584" t="str">
        <f ca="1">IFERROR(__xludf.DUMMYFUNCTION("""COMPUTED_VALUE"""),"Cây 3m")</f>
        <v>Cây 3m</v>
      </c>
      <c r="H291" s="582"/>
      <c r="I291" s="585">
        <f ca="1">IFERROR(__xludf.DUMMYFUNCTION("""COMPUTED_VALUE"""),0.511720145999999)</f>
        <v>0.51172014599999904</v>
      </c>
      <c r="J291" s="586" t="str">
        <f ca="1">IFERROR(__xludf.DUMMYFUNCTION("""COMPUTED_VALUE""")," 09.00 ")</f>
        <v xml:space="preserve"> 09.00 </v>
      </c>
      <c r="K291" s="584" t="str">
        <f ca="1">IFERROR(__xludf.DUMMYFUNCTION("""COMPUTED_VALUE"""),"0.71")</f>
        <v>0.71</v>
      </c>
      <c r="L291" s="584">
        <f ca="1">IFERROR(__xludf.DUMMYFUNCTION("""COMPUTED_VALUE"""),3)</f>
        <v>3</v>
      </c>
      <c r="M291" s="584"/>
      <c r="N291" s="584" t="str">
        <f ca="1">IFERROR(__xludf.DUMMYFUNCTION("""COMPUTED_VALUE"""),"Dị_D&lt;54")</f>
        <v>Dị_D&lt;54</v>
      </c>
      <c r="O291" s="583"/>
      <c r="P291" s="584"/>
    </row>
    <row r="292" spans="1:16" ht="15.75">
      <c r="A292" s="587" t="str">
        <f ca="1">IFERROR(__xludf.DUMMYFUNCTION("""COMPUTED_VALUE"""),"Toàn Phát - Việt Nam")</f>
        <v>Toàn Phát - Việt Nam</v>
      </c>
      <c r="B292" s="587" t="str">
        <f ca="1">IFERROR(__xludf.DUMMYFUNCTION("""COMPUTED_VALUE"""),"ĐTPCAYDI")</f>
        <v>ĐTPCAYDI</v>
      </c>
      <c r="C292" s="587" t="str">
        <f ca="1">IFERROR(__xludf.DUMMYFUNCTION("""COMPUTED_VALUE"""),"DOT090007530")</f>
        <v>DOT090007530</v>
      </c>
      <c r="D292" s="588" t="str">
        <f ca="1">IFERROR(__xludf.DUMMYFUNCTION("""COMPUTED_VALUE"""),"Đồng ống thẳng 09.00x0.75x3.0")</f>
        <v>Đồng ống thẳng 09.00x0.75x3.0</v>
      </c>
      <c r="E292" s="589">
        <f ca="1">IFERROR(__xludf.DUMMYFUNCTION("""COMPUTED_VALUE"""),0.1)</f>
        <v>0.1</v>
      </c>
      <c r="F292" s="590" t="str">
        <f ca="1">IFERROR(__xludf.DUMMYFUNCTION("""COMPUTED_VALUE"""),"Cây")</f>
        <v>Cây</v>
      </c>
      <c r="G292" s="590" t="str">
        <f ca="1">IFERROR(__xludf.DUMMYFUNCTION("""COMPUTED_VALUE"""),"Cây 3m")</f>
        <v>Cây 3m</v>
      </c>
      <c r="H292" s="588"/>
      <c r="I292" s="591">
        <f ca="1">IFERROR(__xludf.DUMMYFUNCTION("""COMPUTED_VALUE"""),0.53794125)</f>
        <v>0.53794125000000004</v>
      </c>
      <c r="J292" s="592" t="str">
        <f ca="1">IFERROR(__xludf.DUMMYFUNCTION("""COMPUTED_VALUE""")," 09.00 ")</f>
        <v xml:space="preserve"> 09.00 </v>
      </c>
      <c r="K292" s="590" t="str">
        <f ca="1">IFERROR(__xludf.DUMMYFUNCTION("""COMPUTED_VALUE"""),"0.75")</f>
        <v>0.75</v>
      </c>
      <c r="L292" s="590">
        <f ca="1">IFERROR(__xludf.DUMMYFUNCTION("""COMPUTED_VALUE"""),3)</f>
        <v>3</v>
      </c>
      <c r="M292" s="590"/>
      <c r="N292" s="590" t="str">
        <f ca="1">IFERROR(__xludf.DUMMYFUNCTION("""COMPUTED_VALUE"""),"Dị_D&lt;54")</f>
        <v>Dị_D&lt;54</v>
      </c>
      <c r="O292" s="589"/>
      <c r="P292" s="590"/>
    </row>
    <row r="293" spans="1:16" ht="15.75">
      <c r="A293" s="581" t="str">
        <f ca="1">IFERROR(__xludf.DUMMYFUNCTION("""COMPUTED_VALUE"""),"Toàn Phát - Việt Nam")</f>
        <v>Toàn Phát - Việt Nam</v>
      </c>
      <c r="B293" s="581" t="str">
        <f ca="1">IFERROR(__xludf.DUMMYFUNCTION("""COMPUTED_VALUE"""),"ĐTPCAYDI")</f>
        <v>ĐTPCAYDI</v>
      </c>
      <c r="C293" s="581" t="str">
        <f ca="1">IFERROR(__xludf.DUMMYFUNCTION("""COMPUTED_VALUE"""),"DOT090007830")</f>
        <v>DOT090007830</v>
      </c>
      <c r="D293" s="582" t="str">
        <f ca="1">IFERROR(__xludf.DUMMYFUNCTION("""COMPUTED_VALUE"""),"Đồng ống thẳng 09.00x0.78x3.0")</f>
        <v>Đồng ống thẳng 09.00x0.78x3.0</v>
      </c>
      <c r="E293" s="583">
        <f ca="1">IFERROR(__xludf.DUMMYFUNCTION("""COMPUTED_VALUE"""),0.1)</f>
        <v>0.1</v>
      </c>
      <c r="F293" s="584" t="str">
        <f ca="1">IFERROR(__xludf.DUMMYFUNCTION("""COMPUTED_VALUE"""),"Cây")</f>
        <v>Cây</v>
      </c>
      <c r="G293" s="584" t="str">
        <f ca="1">IFERROR(__xludf.DUMMYFUNCTION("""COMPUTED_VALUE"""),"Cây 3m")</f>
        <v>Cây 3m</v>
      </c>
      <c r="H293" s="582"/>
      <c r="I293" s="585">
        <f ca="1">IFERROR(__xludf.DUMMYFUNCTION("""COMPUTED_VALUE"""),0.557424504)</f>
        <v>0.55742450399999999</v>
      </c>
      <c r="J293" s="586" t="str">
        <f ca="1">IFERROR(__xludf.DUMMYFUNCTION("""COMPUTED_VALUE""")," 09.00 ")</f>
        <v xml:space="preserve"> 09.00 </v>
      </c>
      <c r="K293" s="584" t="str">
        <f ca="1">IFERROR(__xludf.DUMMYFUNCTION("""COMPUTED_VALUE"""),"0.78")</f>
        <v>0.78</v>
      </c>
      <c r="L293" s="584">
        <f ca="1">IFERROR(__xludf.DUMMYFUNCTION("""COMPUTED_VALUE"""),3)</f>
        <v>3</v>
      </c>
      <c r="M293" s="584"/>
      <c r="N293" s="584" t="str">
        <f ca="1">IFERROR(__xludf.DUMMYFUNCTION("""COMPUTED_VALUE"""),"Dị_D&lt;54")</f>
        <v>Dị_D&lt;54</v>
      </c>
      <c r="O293" s="583"/>
      <c r="P293" s="584"/>
    </row>
    <row r="294" spans="1:16" ht="15.75">
      <c r="A294" s="587" t="str">
        <f ca="1">IFERROR(__xludf.DUMMYFUNCTION("""COMPUTED_VALUE"""),"Toàn Phát - Việt Nam")</f>
        <v>Toàn Phát - Việt Nam</v>
      </c>
      <c r="B294" s="587" t="str">
        <f ca="1">IFERROR(__xludf.DUMMYFUNCTION("""COMPUTED_VALUE"""),"ĐTPCAYDI")</f>
        <v>ĐTPCAYDI</v>
      </c>
      <c r="C294" s="587" t="str">
        <f ca="1">IFERROR(__xludf.DUMMYFUNCTION("""COMPUTED_VALUE"""),"DOT090008030")</f>
        <v>DOT090008030</v>
      </c>
      <c r="D294" s="588" t="str">
        <f ca="1">IFERROR(__xludf.DUMMYFUNCTION("""COMPUTED_VALUE"""),"Đồng ống thẳng 09.00x0.80x3.0")</f>
        <v>Đồng ống thẳng 09.00x0.80x3.0</v>
      </c>
      <c r="E294" s="589">
        <f ca="1">IFERROR(__xludf.DUMMYFUNCTION("""COMPUTED_VALUE"""),0.1)</f>
        <v>0.1</v>
      </c>
      <c r="F294" s="590" t="str">
        <f ca="1">IFERROR(__xludf.DUMMYFUNCTION("""COMPUTED_VALUE"""),"Cây")</f>
        <v>Cây</v>
      </c>
      <c r="G294" s="590" t="str">
        <f ca="1">IFERROR(__xludf.DUMMYFUNCTION("""COMPUTED_VALUE"""),"Cây 3m")</f>
        <v>Cây 3m</v>
      </c>
      <c r="H294" s="588"/>
      <c r="I294" s="591">
        <f ca="1">IFERROR(__xludf.DUMMYFUNCTION("""COMPUTED_VALUE"""),0.570326399999999)</f>
        <v>0.57032639999999901</v>
      </c>
      <c r="J294" s="592" t="str">
        <f ca="1">IFERROR(__xludf.DUMMYFUNCTION("""COMPUTED_VALUE""")," 09.00 ")</f>
        <v xml:space="preserve"> 09.00 </v>
      </c>
      <c r="K294" s="590" t="str">
        <f ca="1">IFERROR(__xludf.DUMMYFUNCTION("""COMPUTED_VALUE"""),"0.80")</f>
        <v>0.80</v>
      </c>
      <c r="L294" s="590">
        <f ca="1">IFERROR(__xludf.DUMMYFUNCTION("""COMPUTED_VALUE"""),3)</f>
        <v>3</v>
      </c>
      <c r="M294" s="590"/>
      <c r="N294" s="590" t="str">
        <f ca="1">IFERROR(__xludf.DUMMYFUNCTION("""COMPUTED_VALUE"""),"Dị_D&lt;54")</f>
        <v>Dị_D&lt;54</v>
      </c>
      <c r="O294" s="589"/>
      <c r="P294" s="590"/>
    </row>
    <row r="295" spans="1:16" ht="15.75">
      <c r="A295" s="581" t="str">
        <f ca="1">IFERROR(__xludf.DUMMYFUNCTION("""COMPUTED_VALUE"""),"Toàn Phát - Việt Nam")</f>
        <v>Toàn Phát - Việt Nam</v>
      </c>
      <c r="B295" s="581" t="str">
        <f ca="1">IFERROR(__xludf.DUMMYFUNCTION("""COMPUTED_VALUE"""),"ĐTPCAYDI")</f>
        <v>ĐTPCAYDI</v>
      </c>
      <c r="C295" s="581" t="str">
        <f ca="1">IFERROR(__xludf.DUMMYFUNCTION("""COMPUTED_VALUE"""),"DOT09000914")</f>
        <v>DOT09000914</v>
      </c>
      <c r="D295" s="582" t="str">
        <f ca="1">IFERROR(__xludf.DUMMYFUNCTION("""COMPUTED_VALUE"""),"Đồng ống thẳng 09.00x0.90x1.4")</f>
        <v>Đồng ống thẳng 09.00x0.90x1.4</v>
      </c>
      <c r="E295" s="583">
        <f ca="1">IFERROR(__xludf.DUMMYFUNCTION("""COMPUTED_VALUE"""),0.1)</f>
        <v>0.1</v>
      </c>
      <c r="F295" s="584" t="str">
        <f ca="1">IFERROR(__xludf.DUMMYFUNCTION("""COMPUTED_VALUE"""),"Cây")</f>
        <v>Cây</v>
      </c>
      <c r="G295" s="584" t="str">
        <f ca="1">IFERROR(__xludf.DUMMYFUNCTION("""COMPUTED_VALUE"""),"Cây 1.4m")</f>
        <v>Cây 1.4m</v>
      </c>
      <c r="H295" s="582"/>
      <c r="I295" s="585">
        <f ca="1">IFERROR(__xludf.DUMMYFUNCTION("""COMPUTED_VALUE"""),0.295769879999999)</f>
        <v>0.29576987999999899</v>
      </c>
      <c r="J295" s="586" t="str">
        <f ca="1">IFERROR(__xludf.DUMMYFUNCTION("""COMPUTED_VALUE""")," 09.00 ")</f>
        <v xml:space="preserve"> 09.00 </v>
      </c>
      <c r="K295" s="584" t="str">
        <f ca="1">IFERROR(__xludf.DUMMYFUNCTION("""COMPUTED_VALUE"""),"0.90")</f>
        <v>0.90</v>
      </c>
      <c r="L295" s="584">
        <f ca="1">IFERROR(__xludf.DUMMYFUNCTION("""COMPUTED_VALUE"""),1.4)</f>
        <v>1.4</v>
      </c>
      <c r="M295" s="584"/>
      <c r="N295" s="584" t="str">
        <f ca="1">IFERROR(__xludf.DUMMYFUNCTION("""COMPUTED_VALUE"""),"Dị_D&lt;54")</f>
        <v>Dị_D&lt;54</v>
      </c>
      <c r="O295" s="583"/>
      <c r="P295" s="584"/>
    </row>
    <row r="296" spans="1:16" ht="15.75">
      <c r="A296" s="587" t="str">
        <f ca="1">IFERROR(__xludf.DUMMYFUNCTION("""COMPUTED_VALUE"""),"Toàn Phát - Việt Nam")</f>
        <v>Toàn Phát - Việt Nam</v>
      </c>
      <c r="B296" s="587" t="str">
        <f ca="1">IFERROR(__xludf.DUMMYFUNCTION("""COMPUTED_VALUE"""),"ĐTPCAYDI")</f>
        <v>ĐTPCAYDI</v>
      </c>
      <c r="C296" s="587" t="str">
        <f ca="1">IFERROR(__xludf.DUMMYFUNCTION("""COMPUTED_VALUE"""),"DOT09000915")</f>
        <v>DOT09000915</v>
      </c>
      <c r="D296" s="588" t="str">
        <f ca="1">IFERROR(__xludf.DUMMYFUNCTION("""COMPUTED_VALUE"""),"Đồng ống thẳng 09.00x0.90x1.5")</f>
        <v>Đồng ống thẳng 09.00x0.90x1.5</v>
      </c>
      <c r="E296" s="589">
        <f ca="1">IFERROR(__xludf.DUMMYFUNCTION("""COMPUTED_VALUE"""),0.1)</f>
        <v>0.1</v>
      </c>
      <c r="F296" s="590" t="str">
        <f ca="1">IFERROR(__xludf.DUMMYFUNCTION("""COMPUTED_VALUE"""),"Cây")</f>
        <v>Cây</v>
      </c>
      <c r="G296" s="590" t="str">
        <f ca="1">IFERROR(__xludf.DUMMYFUNCTION("""COMPUTED_VALUE"""),"Cây 1.5m")</f>
        <v>Cây 1.5m</v>
      </c>
      <c r="H296" s="588"/>
      <c r="I296" s="591">
        <f ca="1">IFERROR(__xludf.DUMMYFUNCTION("""COMPUTED_VALUE"""),0.316896299999999)</f>
        <v>0.31689629999999902</v>
      </c>
      <c r="J296" s="592" t="str">
        <f ca="1">IFERROR(__xludf.DUMMYFUNCTION("""COMPUTED_VALUE""")," 09.00 ")</f>
        <v xml:space="preserve"> 09.00 </v>
      </c>
      <c r="K296" s="590" t="str">
        <f ca="1">IFERROR(__xludf.DUMMYFUNCTION("""COMPUTED_VALUE"""),"0.90")</f>
        <v>0.90</v>
      </c>
      <c r="L296" s="590">
        <f ca="1">IFERROR(__xludf.DUMMYFUNCTION("""COMPUTED_VALUE"""),1.5)</f>
        <v>1.5</v>
      </c>
      <c r="M296" s="590"/>
      <c r="N296" s="590" t="str">
        <f ca="1">IFERROR(__xludf.DUMMYFUNCTION("""COMPUTED_VALUE"""),"Dị_D&lt;54")</f>
        <v>Dị_D&lt;54</v>
      </c>
      <c r="O296" s="589"/>
      <c r="P296" s="590"/>
    </row>
    <row r="297" spans="1:16" ht="15.75">
      <c r="A297" s="581" t="str">
        <f ca="1">IFERROR(__xludf.DUMMYFUNCTION("""COMPUTED_VALUE"""),"Toàn Phát - Việt Nam")</f>
        <v>Toàn Phát - Việt Nam</v>
      </c>
      <c r="B297" s="581" t="str">
        <f ca="1">IFERROR(__xludf.DUMMYFUNCTION("""COMPUTED_VALUE"""),"ĐTPCAYDI")</f>
        <v>ĐTPCAYDI</v>
      </c>
      <c r="C297" s="581" t="str">
        <f ca="1">IFERROR(__xludf.DUMMYFUNCTION("""COMPUTED_VALUE"""),"DOT0900093")</f>
        <v>DOT0900093</v>
      </c>
      <c r="D297" s="582" t="str">
        <f ca="1">IFERROR(__xludf.DUMMYFUNCTION("""COMPUTED_VALUE"""),"Đồng ống thẳng 09.00x0.90x3.0")</f>
        <v>Đồng ống thẳng 09.00x0.90x3.0</v>
      </c>
      <c r="E297" s="583">
        <f ca="1">IFERROR(__xludf.DUMMYFUNCTION("""COMPUTED_VALUE"""),0.1)</f>
        <v>0.1</v>
      </c>
      <c r="F297" s="584" t="str">
        <f ca="1">IFERROR(__xludf.DUMMYFUNCTION("""COMPUTED_VALUE"""),"Cây")</f>
        <v>Cây</v>
      </c>
      <c r="G297" s="584" t="str">
        <f ca="1">IFERROR(__xludf.DUMMYFUNCTION("""COMPUTED_VALUE"""),"Cây 3m")</f>
        <v>Cây 3m</v>
      </c>
      <c r="H297" s="582"/>
      <c r="I297" s="585">
        <f ca="1">IFERROR(__xludf.DUMMYFUNCTION("""COMPUTED_VALUE"""),0.633792599999999)</f>
        <v>0.63379259999999904</v>
      </c>
      <c r="J297" s="586" t="str">
        <f ca="1">IFERROR(__xludf.DUMMYFUNCTION("""COMPUTED_VALUE""")," 09.00 ")</f>
        <v xml:space="preserve"> 09.00 </v>
      </c>
      <c r="K297" s="584" t="str">
        <f ca="1">IFERROR(__xludf.DUMMYFUNCTION("""COMPUTED_VALUE"""),"0.90")</f>
        <v>0.90</v>
      </c>
      <c r="L297" s="584">
        <f ca="1">IFERROR(__xludf.DUMMYFUNCTION("""COMPUTED_VALUE"""),3)</f>
        <v>3</v>
      </c>
      <c r="M297" s="584"/>
      <c r="N297" s="584" t="str">
        <f ca="1">IFERROR(__xludf.DUMMYFUNCTION("""COMPUTED_VALUE"""),"Dị_D&lt;54")</f>
        <v>Dị_D&lt;54</v>
      </c>
      <c r="O297" s="583"/>
      <c r="P297" s="584"/>
    </row>
    <row r="298" spans="1:16" ht="15.75">
      <c r="A298" s="587" t="str">
        <f ca="1">IFERROR(__xludf.DUMMYFUNCTION("""COMPUTED_VALUE"""),"Toàn Phát - Việt Nam")</f>
        <v>Toàn Phát - Việt Nam</v>
      </c>
      <c r="B298" s="587" t="str">
        <f ca="1">IFERROR(__xludf.DUMMYFUNCTION("""COMPUTED_VALUE"""),"ĐTPCAYDI")</f>
        <v>ĐTPCAYDI</v>
      </c>
      <c r="C298" s="587" t="str">
        <f ca="1">IFERROR(__xludf.DUMMYFUNCTION("""COMPUTED_VALUE"""),"DOT090010030")</f>
        <v>DOT090010030</v>
      </c>
      <c r="D298" s="588" t="str">
        <f ca="1">IFERROR(__xludf.DUMMYFUNCTION("""COMPUTED_VALUE"""),"Đồng ống thẳng 09.00x1.00x3.0")</f>
        <v>Đồng ống thẳng 09.00x1.00x3.0</v>
      </c>
      <c r="E298" s="589">
        <f ca="1">IFERROR(__xludf.DUMMYFUNCTION("""COMPUTED_VALUE"""),0.1)</f>
        <v>0.1</v>
      </c>
      <c r="F298" s="590" t="str">
        <f ca="1">IFERROR(__xludf.DUMMYFUNCTION("""COMPUTED_VALUE"""),"Cây")</f>
        <v>Cây</v>
      </c>
      <c r="G298" s="590" t="str">
        <f ca="1">IFERROR(__xludf.DUMMYFUNCTION("""COMPUTED_VALUE"""),"Cây 3m")</f>
        <v>Cây 3m</v>
      </c>
      <c r="H298" s="588"/>
      <c r="I298" s="591">
        <f ca="1">IFERROR(__xludf.DUMMYFUNCTION("""COMPUTED_VALUE"""),0.69552)</f>
        <v>0.69552000000000003</v>
      </c>
      <c r="J298" s="592" t="str">
        <f ca="1">IFERROR(__xludf.DUMMYFUNCTION("""COMPUTED_VALUE""")," 09.00 ")</f>
        <v xml:space="preserve"> 09.00 </v>
      </c>
      <c r="K298" s="590" t="str">
        <f ca="1">IFERROR(__xludf.DUMMYFUNCTION("""COMPUTED_VALUE"""),"1.00")</f>
        <v>1.00</v>
      </c>
      <c r="L298" s="590">
        <f ca="1">IFERROR(__xludf.DUMMYFUNCTION("""COMPUTED_VALUE"""),3)</f>
        <v>3</v>
      </c>
      <c r="M298" s="590"/>
      <c r="N298" s="590" t="str">
        <f ca="1">IFERROR(__xludf.DUMMYFUNCTION("""COMPUTED_VALUE"""),"Dị_D&lt;54")</f>
        <v>Dị_D&lt;54</v>
      </c>
      <c r="O298" s="589"/>
      <c r="P298" s="590"/>
    </row>
    <row r="299" spans="1:16" ht="15.75">
      <c r="A299" s="581" t="str">
        <f ca="1">IFERROR(__xludf.DUMMYFUNCTION("""COMPUTED_VALUE"""),"Toàn Phát - Việt Nam")</f>
        <v>Toàn Phát - Việt Nam</v>
      </c>
      <c r="B299" s="581" t="str">
        <f ca="1">IFERROR(__xludf.DUMMYFUNCTION("""COMPUTED_VALUE"""),"ĐTPCAYDI")</f>
        <v>ĐTPCAYDI</v>
      </c>
      <c r="C299" s="581" t="str">
        <f ca="1">IFERROR(__xludf.DUMMYFUNCTION("""COMPUTED_VALUE"""),"DOT090011030")</f>
        <v>DOT090011030</v>
      </c>
      <c r="D299" s="582" t="str">
        <f ca="1">IFERROR(__xludf.DUMMYFUNCTION("""COMPUTED_VALUE"""),"Đồng ống thẳng 09.00x1.10x3.0")</f>
        <v>Đồng ống thẳng 09.00x1.10x3.0</v>
      </c>
      <c r="E299" s="583">
        <f ca="1">IFERROR(__xludf.DUMMYFUNCTION("""COMPUTED_VALUE"""),0.1)</f>
        <v>0.1</v>
      </c>
      <c r="F299" s="584" t="str">
        <f ca="1">IFERROR(__xludf.DUMMYFUNCTION("""COMPUTED_VALUE"""),"Cây")</f>
        <v>Cây</v>
      </c>
      <c r="G299" s="584" t="str">
        <f ca="1">IFERROR(__xludf.DUMMYFUNCTION("""COMPUTED_VALUE"""),"Cây 3m")</f>
        <v>Cây 3m</v>
      </c>
      <c r="H299" s="582"/>
      <c r="I299" s="585">
        <f ca="1">IFERROR(__xludf.DUMMYFUNCTION("""COMPUTED_VALUE"""),0.7555086)</f>
        <v>0.75550859999999997</v>
      </c>
      <c r="J299" s="586" t="str">
        <f ca="1">IFERROR(__xludf.DUMMYFUNCTION("""COMPUTED_VALUE""")," 09.00 ")</f>
        <v xml:space="preserve"> 09.00 </v>
      </c>
      <c r="K299" s="584" t="str">
        <f ca="1">IFERROR(__xludf.DUMMYFUNCTION("""COMPUTED_VALUE"""),"1.10")</f>
        <v>1.10</v>
      </c>
      <c r="L299" s="584">
        <f ca="1">IFERROR(__xludf.DUMMYFUNCTION("""COMPUTED_VALUE"""),3)</f>
        <v>3</v>
      </c>
      <c r="M299" s="584"/>
      <c r="N299" s="584" t="str">
        <f ca="1">IFERROR(__xludf.DUMMYFUNCTION("""COMPUTED_VALUE"""),"Dị_D&lt;54")</f>
        <v>Dị_D&lt;54</v>
      </c>
      <c r="O299" s="583"/>
      <c r="P299" s="584"/>
    </row>
    <row r="300" spans="1:16" ht="15.75">
      <c r="A300" s="587" t="str">
        <f ca="1">IFERROR(__xludf.DUMMYFUNCTION("""COMPUTED_VALUE"""),"Toàn Phát - Việt Nam")</f>
        <v>Toàn Phát - Việt Nam</v>
      </c>
      <c r="B300" s="587" t="str">
        <f ca="1">IFERROR(__xludf.DUMMYFUNCTION("""COMPUTED_VALUE"""),"ĐTPCAYDI")</f>
        <v>ĐTPCAYDI</v>
      </c>
      <c r="C300" s="587" t="str">
        <f ca="1">IFERROR(__xludf.DUMMYFUNCTION("""COMPUTED_VALUE"""),"DOT090011530")</f>
        <v>DOT090011530</v>
      </c>
      <c r="D300" s="588" t="str">
        <f ca="1">IFERROR(__xludf.DUMMYFUNCTION("""COMPUTED_VALUE"""),"Đồng ống thẳng 09.00x1.15x3.0")</f>
        <v>Đồng ống thẳng 09.00x1.15x3.0</v>
      </c>
      <c r="E300" s="589">
        <f ca="1">IFERROR(__xludf.DUMMYFUNCTION("""COMPUTED_VALUE"""),0.1)</f>
        <v>0.1</v>
      </c>
      <c r="F300" s="590" t="str">
        <f ca="1">IFERROR(__xludf.DUMMYFUNCTION("""COMPUTED_VALUE"""),"Cây")</f>
        <v>Cây</v>
      </c>
      <c r="G300" s="590" t="str">
        <f ca="1">IFERROR(__xludf.DUMMYFUNCTION("""COMPUTED_VALUE"""),"Cây 3m")</f>
        <v>Cây 3m</v>
      </c>
      <c r="H300" s="588"/>
      <c r="I300" s="591">
        <f ca="1">IFERROR(__xludf.DUMMYFUNCTION("""COMPUTED_VALUE"""),0.784850849999999)</f>
        <v>0.78485084999999899</v>
      </c>
      <c r="J300" s="592" t="str">
        <f ca="1">IFERROR(__xludf.DUMMYFUNCTION("""COMPUTED_VALUE""")," 09.00 ")</f>
        <v xml:space="preserve"> 09.00 </v>
      </c>
      <c r="K300" s="590" t="str">
        <f ca="1">IFERROR(__xludf.DUMMYFUNCTION("""COMPUTED_VALUE"""),"1.15")</f>
        <v>1.15</v>
      </c>
      <c r="L300" s="590">
        <f ca="1">IFERROR(__xludf.DUMMYFUNCTION("""COMPUTED_VALUE"""),3)</f>
        <v>3</v>
      </c>
      <c r="M300" s="590"/>
      <c r="N300" s="590" t="str">
        <f ca="1">IFERROR(__xludf.DUMMYFUNCTION("""COMPUTED_VALUE"""),"Dị_D&lt;54")</f>
        <v>Dị_D&lt;54</v>
      </c>
      <c r="O300" s="589"/>
      <c r="P300" s="590"/>
    </row>
    <row r="301" spans="1:16" ht="15.75">
      <c r="A301" s="581" t="str">
        <f ca="1">IFERROR(__xludf.DUMMYFUNCTION("""COMPUTED_VALUE"""),"Toàn Phát - Việt Nam")</f>
        <v>Toàn Phát - Việt Nam</v>
      </c>
      <c r="B301" s="581" t="str">
        <f ca="1">IFERROR(__xludf.DUMMYFUNCTION("""COMPUTED_VALUE"""),"ĐTPCAYDI")</f>
        <v>ĐTPCAYDI</v>
      </c>
      <c r="C301" s="581" t="str">
        <f ca="1">IFERROR(__xludf.DUMMYFUNCTION("""COMPUTED_VALUE"""),"DOT090012530")</f>
        <v>DOT090012530</v>
      </c>
      <c r="D301" s="582" t="str">
        <f ca="1">IFERROR(__xludf.DUMMYFUNCTION("""COMPUTED_VALUE"""),"Đồng ống thẳng 09.00x1.25x3.0")</f>
        <v>Đồng ống thẳng 09.00x1.25x3.0</v>
      </c>
      <c r="E301" s="583">
        <f ca="1">IFERROR(__xludf.DUMMYFUNCTION("""COMPUTED_VALUE"""),0.1)</f>
        <v>0.1</v>
      </c>
      <c r="F301" s="584" t="str">
        <f ca="1">IFERROR(__xludf.DUMMYFUNCTION("""COMPUTED_VALUE"""),"Cây")</f>
        <v>Cây</v>
      </c>
      <c r="G301" s="584" t="str">
        <f ca="1">IFERROR(__xludf.DUMMYFUNCTION("""COMPUTED_VALUE"""),"Cây 3m")</f>
        <v>Cây 3m</v>
      </c>
      <c r="H301" s="582"/>
      <c r="I301" s="585">
        <f ca="1">IFERROR(__xludf.DUMMYFUNCTION("""COMPUTED_VALUE"""),0.842231249999999)</f>
        <v>0.84223124999999899</v>
      </c>
      <c r="J301" s="586" t="str">
        <f ca="1">IFERROR(__xludf.DUMMYFUNCTION("""COMPUTED_VALUE""")," 09.00 ")</f>
        <v xml:space="preserve"> 09.00 </v>
      </c>
      <c r="K301" s="584" t="str">
        <f ca="1">IFERROR(__xludf.DUMMYFUNCTION("""COMPUTED_VALUE"""),"1.25")</f>
        <v>1.25</v>
      </c>
      <c r="L301" s="584">
        <f ca="1">IFERROR(__xludf.DUMMYFUNCTION("""COMPUTED_VALUE"""),3)</f>
        <v>3</v>
      </c>
      <c r="M301" s="584"/>
      <c r="N301" s="584" t="str">
        <f ca="1">IFERROR(__xludf.DUMMYFUNCTION("""COMPUTED_VALUE"""),"Dị_D&lt;54")</f>
        <v>Dị_D&lt;54</v>
      </c>
      <c r="O301" s="583"/>
      <c r="P301" s="584"/>
    </row>
    <row r="302" spans="1:16" ht="15.75">
      <c r="A302" s="587" t="str">
        <f ca="1">IFERROR(__xludf.DUMMYFUNCTION("""COMPUTED_VALUE"""),"Toàn Phát - Việt Nam")</f>
        <v>Toàn Phát - Việt Nam</v>
      </c>
      <c r="B302" s="587" t="str">
        <f ca="1">IFERROR(__xludf.DUMMYFUNCTION("""COMPUTED_VALUE"""),"ĐTPCAYDI")</f>
        <v>ĐTPCAYDI</v>
      </c>
      <c r="C302" s="587" t="str">
        <f ca="1">IFERROR(__xludf.DUMMYFUNCTION("""COMPUTED_VALUE"""),"DOT095006630")</f>
        <v>DOT095006630</v>
      </c>
      <c r="D302" s="588" t="str">
        <f ca="1">IFERROR(__xludf.DUMMYFUNCTION("""COMPUTED_VALUE"""),"Đồng ống thẳng 09.50x0.66x3.0")</f>
        <v>Đồng ống thẳng 09.50x0.66x3.0</v>
      </c>
      <c r="E302" s="589">
        <f ca="1">IFERROR(__xludf.DUMMYFUNCTION("""COMPUTED_VALUE"""),0.1)</f>
        <v>0.1</v>
      </c>
      <c r="F302" s="590" t="str">
        <f ca="1">IFERROR(__xludf.DUMMYFUNCTION("""COMPUTED_VALUE"""),"Cây")</f>
        <v>Cây</v>
      </c>
      <c r="G302" s="590" t="str">
        <f ca="1">IFERROR(__xludf.DUMMYFUNCTION("""COMPUTED_VALUE"""),"Cây 3m")</f>
        <v>Cây 3m</v>
      </c>
      <c r="H302" s="588"/>
      <c r="I302" s="591">
        <f ca="1">IFERROR(__xludf.DUMMYFUNCTION("""COMPUTED_VALUE"""),0.507242736)</f>
        <v>0.50724273600000003</v>
      </c>
      <c r="J302" s="592" t="str">
        <f ca="1">IFERROR(__xludf.DUMMYFUNCTION("""COMPUTED_VALUE""")," 09.50 ")</f>
        <v xml:space="preserve"> 09.50 </v>
      </c>
      <c r="K302" s="590" t="str">
        <f ca="1">IFERROR(__xludf.DUMMYFUNCTION("""COMPUTED_VALUE"""),"0.66")</f>
        <v>0.66</v>
      </c>
      <c r="L302" s="590">
        <f ca="1">IFERROR(__xludf.DUMMYFUNCTION("""COMPUTED_VALUE"""),3)</f>
        <v>3</v>
      </c>
      <c r="M302" s="590"/>
      <c r="N302" s="590" t="str">
        <f ca="1">IFERROR(__xludf.DUMMYFUNCTION("""COMPUTED_VALUE"""),"Dị_D&lt;54")</f>
        <v>Dị_D&lt;54</v>
      </c>
      <c r="O302" s="589"/>
      <c r="P302" s="590"/>
    </row>
    <row r="303" spans="1:16" ht="15.75">
      <c r="A303" s="581" t="str">
        <f ca="1">IFERROR(__xludf.DUMMYFUNCTION("""COMPUTED_VALUE"""),"Toàn Phát - Việt Nam")</f>
        <v>Toàn Phát - Việt Nam</v>
      </c>
      <c r="B303" s="581" t="str">
        <f ca="1">IFERROR(__xludf.DUMMYFUNCTION("""COMPUTED_VALUE"""),"ĐTPCAYDI")</f>
        <v>ĐTPCAYDI</v>
      </c>
      <c r="C303" s="581" t="str">
        <f ca="1">IFERROR(__xludf.DUMMYFUNCTION("""COMPUTED_VALUE"""),"DOT095007630")</f>
        <v>DOT095007630</v>
      </c>
      <c r="D303" s="582" t="str">
        <f ca="1">IFERROR(__xludf.DUMMYFUNCTION("""COMPUTED_VALUE"""),"Đồng ống thẳng 09.50x0.76x3.0")</f>
        <v>Đồng ống thẳng 09.50x0.76x3.0</v>
      </c>
      <c r="E303" s="583">
        <f ca="1">IFERROR(__xludf.DUMMYFUNCTION("""COMPUTED_VALUE"""),0.1)</f>
        <v>0.1</v>
      </c>
      <c r="F303" s="584" t="str">
        <f ca="1">IFERROR(__xludf.DUMMYFUNCTION("""COMPUTED_VALUE"""),"Cây")</f>
        <v>Cây</v>
      </c>
      <c r="G303" s="584" t="str">
        <f ca="1">IFERROR(__xludf.DUMMYFUNCTION("""COMPUTED_VALUE"""),"Cây 3m")</f>
        <v>Cây 3m</v>
      </c>
      <c r="H303" s="582"/>
      <c r="I303" s="585">
        <f ca="1">IFERROR(__xludf.DUMMYFUNCTION("""COMPUTED_VALUE"""),0.577490256)</f>
        <v>0.57749025600000004</v>
      </c>
      <c r="J303" s="586" t="str">
        <f ca="1">IFERROR(__xludf.DUMMYFUNCTION("""COMPUTED_VALUE""")," 09.50 ")</f>
        <v xml:space="preserve"> 09.50 </v>
      </c>
      <c r="K303" s="584" t="str">
        <f ca="1">IFERROR(__xludf.DUMMYFUNCTION("""COMPUTED_VALUE"""),"0.76")</f>
        <v>0.76</v>
      </c>
      <c r="L303" s="584">
        <f ca="1">IFERROR(__xludf.DUMMYFUNCTION("""COMPUTED_VALUE"""),3)</f>
        <v>3</v>
      </c>
      <c r="M303" s="584"/>
      <c r="N303" s="584" t="str">
        <f ca="1">IFERROR(__xludf.DUMMYFUNCTION("""COMPUTED_VALUE"""),"Dị_D&lt;54")</f>
        <v>Dị_D&lt;54</v>
      </c>
      <c r="O303" s="583"/>
      <c r="P303" s="584"/>
    </row>
    <row r="304" spans="1:16" ht="15.75">
      <c r="A304" s="587" t="str">
        <f ca="1">IFERROR(__xludf.DUMMYFUNCTION("""COMPUTED_VALUE"""),"Toàn Phát - Việt Nam")</f>
        <v>Toàn Phát - Việt Nam</v>
      </c>
      <c r="B304" s="587" t="str">
        <f ca="1">IFERROR(__xludf.DUMMYFUNCTION("""COMPUTED_VALUE"""),"ĐTPCAYDI")</f>
        <v>ĐTPCAYDI</v>
      </c>
      <c r="C304" s="587" t="str">
        <f ca="1">IFERROR(__xludf.DUMMYFUNCTION("""COMPUTED_VALUE"""),"DOT0950078030")</f>
        <v>DOT0950078030</v>
      </c>
      <c r="D304" s="588" t="str">
        <f ca="1">IFERROR(__xludf.DUMMYFUNCTION("""COMPUTED_VALUE"""),"Đồng ống thẳng 09.50x0.78x3.0")</f>
        <v>Đồng ống thẳng 09.50x0.78x3.0</v>
      </c>
      <c r="E304" s="589">
        <f ca="1">IFERROR(__xludf.DUMMYFUNCTION("""COMPUTED_VALUE"""),0.1)</f>
        <v>0.1</v>
      </c>
      <c r="F304" s="590" t="str">
        <f ca="1">IFERROR(__xludf.DUMMYFUNCTION("""COMPUTED_VALUE"""),"Cây")</f>
        <v>Cây</v>
      </c>
      <c r="G304" s="590" t="str">
        <f ca="1">IFERROR(__xludf.DUMMYFUNCTION("""COMPUTED_VALUE"""),"Cây 3m")</f>
        <v>Cây 3m</v>
      </c>
      <c r="H304" s="588"/>
      <c r="I304" s="591">
        <f ca="1">IFERROR(__xludf.DUMMYFUNCTION("""COMPUTED_VALUE"""),0.591331104)</f>
        <v>0.591331104</v>
      </c>
      <c r="J304" s="592" t="str">
        <f ca="1">IFERROR(__xludf.DUMMYFUNCTION("""COMPUTED_VALUE""")," 09.50 ")</f>
        <v xml:space="preserve"> 09.50 </v>
      </c>
      <c r="K304" s="590" t="str">
        <f ca="1">IFERROR(__xludf.DUMMYFUNCTION("""COMPUTED_VALUE"""),"0.78")</f>
        <v>0.78</v>
      </c>
      <c r="L304" s="590">
        <f ca="1">IFERROR(__xludf.DUMMYFUNCTION("""COMPUTED_VALUE"""),3)</f>
        <v>3</v>
      </c>
      <c r="M304" s="590"/>
      <c r="N304" s="590" t="str">
        <f ca="1">IFERROR(__xludf.DUMMYFUNCTION("""COMPUTED_VALUE"""),"Dị_D&lt;54")</f>
        <v>Dị_D&lt;54</v>
      </c>
      <c r="O304" s="589"/>
      <c r="P304" s="590"/>
    </row>
    <row r="305" spans="1:16" ht="15.75">
      <c r="A305" s="581" t="str">
        <f ca="1">IFERROR(__xludf.DUMMYFUNCTION("""COMPUTED_VALUE"""),"Toàn Phát - Việt Nam")</f>
        <v>Toàn Phát - Việt Nam</v>
      </c>
      <c r="B305" s="581" t="str">
        <f ca="1">IFERROR(__xludf.DUMMYFUNCTION("""COMPUTED_VALUE"""),"ĐTPCAYDI")</f>
        <v>ĐTPCAYDI</v>
      </c>
      <c r="C305" s="581" t="str">
        <f ca="1">IFERROR(__xludf.DUMMYFUNCTION("""COMPUTED_VALUE"""),"DOT095008030")</f>
        <v>DOT095008030</v>
      </c>
      <c r="D305" s="582" t="str">
        <f ca="1">IFERROR(__xludf.DUMMYFUNCTION("""COMPUTED_VALUE"""),"Đồng ống thẳng 09.50x0.80x3.0")</f>
        <v>Đồng ống thẳng 09.50x0.80x3.0</v>
      </c>
      <c r="E305" s="583">
        <f ca="1">IFERROR(__xludf.DUMMYFUNCTION("""COMPUTED_VALUE"""),0.1)</f>
        <v>0.1</v>
      </c>
      <c r="F305" s="584" t="str">
        <f ca="1">IFERROR(__xludf.DUMMYFUNCTION("""COMPUTED_VALUE"""),"Cây")</f>
        <v>Cây</v>
      </c>
      <c r="G305" s="584" t="str">
        <f ca="1">IFERROR(__xludf.DUMMYFUNCTION("""COMPUTED_VALUE"""),"Cây 3m")</f>
        <v>Cây 3m</v>
      </c>
      <c r="H305" s="582"/>
      <c r="I305" s="585">
        <f ca="1">IFERROR(__xludf.DUMMYFUNCTION("""COMPUTED_VALUE"""),0.6051024)</f>
        <v>0.60510240000000004</v>
      </c>
      <c r="J305" s="586" t="str">
        <f ca="1">IFERROR(__xludf.DUMMYFUNCTION("""COMPUTED_VALUE""")," 09.50 ")</f>
        <v xml:space="preserve"> 09.50 </v>
      </c>
      <c r="K305" s="584" t="str">
        <f ca="1">IFERROR(__xludf.DUMMYFUNCTION("""COMPUTED_VALUE"""),"0.80")</f>
        <v>0.80</v>
      </c>
      <c r="L305" s="584">
        <f ca="1">IFERROR(__xludf.DUMMYFUNCTION("""COMPUTED_VALUE"""),3)</f>
        <v>3</v>
      </c>
      <c r="M305" s="584"/>
      <c r="N305" s="584" t="str">
        <f ca="1">IFERROR(__xludf.DUMMYFUNCTION("""COMPUTED_VALUE"""),"Dị_D&lt;54")</f>
        <v>Dị_D&lt;54</v>
      </c>
      <c r="O305" s="583"/>
      <c r="P305" s="584"/>
    </row>
    <row r="306" spans="1:16" ht="15.75">
      <c r="A306" s="587" t="str">
        <f ca="1">IFERROR(__xludf.DUMMYFUNCTION("""COMPUTED_VALUE"""),"Toàn Phát - Việt Nam")</f>
        <v>Toàn Phát - Việt Nam</v>
      </c>
      <c r="B306" s="587" t="str">
        <f ca="1">IFERROR(__xludf.DUMMYFUNCTION("""COMPUTED_VALUE"""),"ĐTPCAYDI")</f>
        <v>ĐTPCAYDI</v>
      </c>
      <c r="C306" s="587" t="str">
        <f ca="1">IFERROR(__xludf.DUMMYFUNCTION("""COMPUTED_VALUE"""),"DOT095008330")</f>
        <v>DOT095008330</v>
      </c>
      <c r="D306" s="588" t="str">
        <f ca="1">IFERROR(__xludf.DUMMYFUNCTION("""COMPUTED_VALUE"""),"Đồng ống thẳng 09.50x0.83x3.0")</f>
        <v>Đồng ống thẳng 09.50x0.83x3.0</v>
      </c>
      <c r="E306" s="589">
        <f ca="1">IFERROR(__xludf.DUMMYFUNCTION("""COMPUTED_VALUE"""),0.1)</f>
        <v>0.1</v>
      </c>
      <c r="F306" s="590" t="str">
        <f ca="1">IFERROR(__xludf.DUMMYFUNCTION("""COMPUTED_VALUE"""),"Cây")</f>
        <v>Cây</v>
      </c>
      <c r="G306" s="590" t="str">
        <f ca="1">IFERROR(__xludf.DUMMYFUNCTION("""COMPUTED_VALUE"""),"Cây 3m")</f>
        <v>Cây 3m</v>
      </c>
      <c r="H306" s="588"/>
      <c r="I306" s="591">
        <f ca="1">IFERROR(__xludf.DUMMYFUNCTION("""COMPUTED_VALUE"""),0.625628934)</f>
        <v>0.62562893399999997</v>
      </c>
      <c r="J306" s="592" t="str">
        <f ca="1">IFERROR(__xludf.DUMMYFUNCTION("""COMPUTED_VALUE""")," 09.50 ")</f>
        <v xml:space="preserve"> 09.50 </v>
      </c>
      <c r="K306" s="590" t="str">
        <f ca="1">IFERROR(__xludf.DUMMYFUNCTION("""COMPUTED_VALUE"""),"0.83")</f>
        <v>0.83</v>
      </c>
      <c r="L306" s="590">
        <f ca="1">IFERROR(__xludf.DUMMYFUNCTION("""COMPUTED_VALUE"""),3)</f>
        <v>3</v>
      </c>
      <c r="M306" s="590"/>
      <c r="N306" s="590" t="str">
        <f ca="1">IFERROR(__xludf.DUMMYFUNCTION("""COMPUTED_VALUE"""),"Dị_D&lt;54")</f>
        <v>Dị_D&lt;54</v>
      </c>
      <c r="O306" s="589"/>
      <c r="P306" s="590"/>
    </row>
    <row r="307" spans="1:16" ht="15.75">
      <c r="A307" s="581" t="str">
        <f ca="1">IFERROR(__xludf.DUMMYFUNCTION("""COMPUTED_VALUE"""),"Toàn Phát - Việt Nam")</f>
        <v>Toàn Phát - Việt Nam</v>
      </c>
      <c r="B307" s="581" t="str">
        <f ca="1">IFERROR(__xludf.DUMMYFUNCTION("""COMPUTED_VALUE"""),"ĐTPCAYDI")</f>
        <v>ĐTPCAYDI</v>
      </c>
      <c r="C307" s="581" t="str">
        <f ca="1">IFERROR(__xludf.DUMMYFUNCTION("""COMPUTED_VALUE"""),"DOT0952050114")</f>
        <v>DOT0952050114</v>
      </c>
      <c r="D307" s="582" t="str">
        <f ca="1">IFERROR(__xludf.DUMMYFUNCTION("""COMPUTED_VALUE"""),"Đồng ống thẳng 09.52x0.50x1.14")</f>
        <v>Đồng ống thẳng 09.52x0.50x1.14</v>
      </c>
      <c r="E307" s="583">
        <f ca="1">IFERROR(__xludf.DUMMYFUNCTION("""COMPUTED_VALUE"""),0.1)</f>
        <v>0.1</v>
      </c>
      <c r="F307" s="584" t="str">
        <f ca="1">IFERROR(__xludf.DUMMYFUNCTION("""COMPUTED_VALUE"""),"Cây")</f>
        <v>Cây</v>
      </c>
      <c r="G307" s="584" t="str">
        <f ca="1">IFERROR(__xludf.DUMMYFUNCTION("""COMPUTED_VALUE"""),"Cây 1.14m")</f>
        <v>Cây 1.14m</v>
      </c>
      <c r="H307" s="582" t="str">
        <f ca="1">IFERROR(__xludf.DUMMYFUNCTION("""COMPUTED_VALUE"""),"9")</f>
        <v>9</v>
      </c>
      <c r="I307" s="585">
        <f ca="1">IFERROR(__xludf.DUMMYFUNCTION("""COMPUTED_VALUE"""),0.148997771999999)</f>
        <v>0.148997771999999</v>
      </c>
      <c r="J307" s="586" t="str">
        <f ca="1">IFERROR(__xludf.DUMMYFUNCTION("""COMPUTED_VALUE""")," 09.52 ")</f>
        <v xml:space="preserve"> 09.52 </v>
      </c>
      <c r="K307" s="584" t="str">
        <f ca="1">IFERROR(__xludf.DUMMYFUNCTION("""COMPUTED_VALUE"""),"0.50")</f>
        <v>0.50</v>
      </c>
      <c r="L307" s="584">
        <f ca="1">IFERROR(__xludf.DUMMYFUNCTION("""COMPUTED_VALUE"""),1.14)</f>
        <v>1.1399999999999999</v>
      </c>
      <c r="M307" s="584"/>
      <c r="N307" s="584" t="str">
        <f ca="1">IFERROR(__xludf.DUMMYFUNCTION("""COMPUTED_VALUE"""),"Dị_D&lt;54")</f>
        <v>Dị_D&lt;54</v>
      </c>
      <c r="O307" s="583"/>
      <c r="P307" s="584"/>
    </row>
    <row r="308" spans="1:16" ht="15.75">
      <c r="A308" s="587" t="str">
        <f ca="1">IFERROR(__xludf.DUMMYFUNCTION("""COMPUTED_VALUE"""),"Toàn Phát - Việt Nam")</f>
        <v>Toàn Phát - Việt Nam</v>
      </c>
      <c r="B308" s="587" t="str">
        <f ca="1">IFERROR(__xludf.DUMMYFUNCTION("""COMPUTED_VALUE"""),"ĐTPCAYDI")</f>
        <v>ĐTPCAYDI</v>
      </c>
      <c r="C308" s="587" t="str">
        <f ca="1">IFERROR(__xludf.DUMMYFUNCTION("""COMPUTED_VALUE"""),"DOT09520511175")</f>
        <v>DOT09520511175</v>
      </c>
      <c r="D308" s="588" t="str">
        <f ca="1">IFERROR(__xludf.DUMMYFUNCTION("""COMPUTED_VALUE"""),"Đồng ống thẳng 09.52x0.51x1.175")</f>
        <v>Đồng ống thẳng 09.52x0.51x1.175</v>
      </c>
      <c r="E308" s="589">
        <f ca="1">IFERROR(__xludf.DUMMYFUNCTION("""COMPUTED_VALUE"""),0.1)</f>
        <v>0.1</v>
      </c>
      <c r="F308" s="590" t="str">
        <f ca="1">IFERROR(__xludf.DUMMYFUNCTION("""COMPUTED_VALUE"""),"Cây")</f>
        <v>Cây</v>
      </c>
      <c r="G308" s="590" t="str">
        <f ca="1">IFERROR(__xludf.DUMMYFUNCTION("""COMPUTED_VALUE"""),"Cây 1.175m")</f>
        <v>Cây 1.175m</v>
      </c>
      <c r="H308" s="588" t="str">
        <f ca="1">IFERROR(__xludf.DUMMYFUNCTION("""COMPUTED_VALUE"""),"9")</f>
        <v>9</v>
      </c>
      <c r="I308" s="591">
        <f ca="1">IFERROR(__xludf.DUMMYFUNCTION("""COMPUTED_VALUE"""),0.15647004765)</f>
        <v>0.15647004765</v>
      </c>
      <c r="J308" s="592" t="str">
        <f ca="1">IFERROR(__xludf.DUMMYFUNCTION("""COMPUTED_VALUE""")," 09.52 ")</f>
        <v xml:space="preserve"> 09.52 </v>
      </c>
      <c r="K308" s="590" t="str">
        <f ca="1">IFERROR(__xludf.DUMMYFUNCTION("""COMPUTED_VALUE"""),"0.51")</f>
        <v>0.51</v>
      </c>
      <c r="L308" s="590">
        <f ca="1">IFERROR(__xludf.DUMMYFUNCTION("""COMPUTED_VALUE"""),1.175)</f>
        <v>1.175</v>
      </c>
      <c r="M308" s="590"/>
      <c r="N308" s="590" t="str">
        <f ca="1">IFERROR(__xludf.DUMMYFUNCTION("""COMPUTED_VALUE"""),"Dị_D&lt;54")</f>
        <v>Dị_D&lt;54</v>
      </c>
      <c r="O308" s="589"/>
      <c r="P308" s="590"/>
    </row>
    <row r="309" spans="1:16" ht="15.75">
      <c r="A309" s="581" t="str">
        <f ca="1">IFERROR(__xludf.DUMMYFUNCTION("""COMPUTED_VALUE"""),"Toàn Phát - Việt Nam")</f>
        <v>Toàn Phát - Việt Nam</v>
      </c>
      <c r="B309" s="581" t="str">
        <f ca="1">IFERROR(__xludf.DUMMYFUNCTION("""COMPUTED_VALUE"""),"ĐTPCAYDI")</f>
        <v>ĐTPCAYDI</v>
      </c>
      <c r="C309" s="581" t="str">
        <f ca="1">IFERROR(__xludf.DUMMYFUNCTION("""COMPUTED_VALUE"""),"DOT0952051122")</f>
        <v>DOT0952051122</v>
      </c>
      <c r="D309" s="582" t="str">
        <f ca="1">IFERROR(__xludf.DUMMYFUNCTION("""COMPUTED_VALUE"""),"Đồng ống thẳng 09.52x0.51x1.22")</f>
        <v>Đồng ống thẳng 09.52x0.51x1.22</v>
      </c>
      <c r="E309" s="583">
        <f ca="1">IFERROR(__xludf.DUMMYFUNCTION("""COMPUTED_VALUE"""),0.1)</f>
        <v>0.1</v>
      </c>
      <c r="F309" s="584" t="str">
        <f ca="1">IFERROR(__xludf.DUMMYFUNCTION("""COMPUTED_VALUE"""),"Cây")</f>
        <v>Cây</v>
      </c>
      <c r="G309" s="584" t="str">
        <f ca="1">IFERROR(__xludf.DUMMYFUNCTION("""COMPUTED_VALUE"""),"Cây 1.22m")</f>
        <v>Cây 1.22m</v>
      </c>
      <c r="H309" s="582" t="str">
        <f ca="1">IFERROR(__xludf.DUMMYFUNCTION("""COMPUTED_VALUE"""),"9")</f>
        <v>9</v>
      </c>
      <c r="I309" s="585">
        <f ca="1">IFERROR(__xludf.DUMMYFUNCTION("""COMPUTED_VALUE"""),0.16246251756)</f>
        <v>0.16246251755999999</v>
      </c>
      <c r="J309" s="586" t="str">
        <f ca="1">IFERROR(__xludf.DUMMYFUNCTION("""COMPUTED_VALUE""")," 09.52 ")</f>
        <v xml:space="preserve"> 09.52 </v>
      </c>
      <c r="K309" s="584" t="str">
        <f ca="1">IFERROR(__xludf.DUMMYFUNCTION("""COMPUTED_VALUE"""),"0.51")</f>
        <v>0.51</v>
      </c>
      <c r="L309" s="584">
        <f ca="1">IFERROR(__xludf.DUMMYFUNCTION("""COMPUTED_VALUE"""),1.22)</f>
        <v>1.22</v>
      </c>
      <c r="M309" s="584"/>
      <c r="N309" s="584" t="str">
        <f ca="1">IFERROR(__xludf.DUMMYFUNCTION("""COMPUTED_VALUE"""),"Dị_D&lt;54")</f>
        <v>Dị_D&lt;54</v>
      </c>
      <c r="O309" s="583"/>
      <c r="P309" s="584"/>
    </row>
    <row r="310" spans="1:16" ht="15.75">
      <c r="A310" s="587" t="str">
        <f ca="1">IFERROR(__xludf.DUMMYFUNCTION("""COMPUTED_VALUE"""),"Toàn Phát - Việt Nam")</f>
        <v>Toàn Phát - Việt Nam</v>
      </c>
      <c r="B310" s="587" t="str">
        <f ca="1">IFERROR(__xludf.DUMMYFUNCTION("""COMPUTED_VALUE"""),"ĐTPCAYDI")</f>
        <v>ĐTPCAYDI</v>
      </c>
      <c r="C310" s="587" t="str">
        <f ca="1">IFERROR(__xludf.DUMMYFUNCTION("""COMPUTED_VALUE"""),"DOT0952051189")</f>
        <v>DOT0952051189</v>
      </c>
      <c r="D310" s="588" t="str">
        <f ca="1">IFERROR(__xludf.DUMMYFUNCTION("""COMPUTED_VALUE"""),"Đồng ống thẳng 09.52x0.51x1.89")</f>
        <v>Đồng ống thẳng 09.52x0.51x1.89</v>
      </c>
      <c r="E310" s="589">
        <f ca="1">IFERROR(__xludf.DUMMYFUNCTION("""COMPUTED_VALUE"""),0.1)</f>
        <v>0.1</v>
      </c>
      <c r="F310" s="590" t="str">
        <f ca="1">IFERROR(__xludf.DUMMYFUNCTION("""COMPUTED_VALUE"""),"Cây")</f>
        <v>Cây</v>
      </c>
      <c r="G310" s="590" t="str">
        <f ca="1">IFERROR(__xludf.DUMMYFUNCTION("""COMPUTED_VALUE"""),"Cây 1.89m")</f>
        <v>Cây 1.89m</v>
      </c>
      <c r="H310" s="588" t="str">
        <f ca="1">IFERROR(__xludf.DUMMYFUNCTION("""COMPUTED_VALUE"""),"9")</f>
        <v>9</v>
      </c>
      <c r="I310" s="591">
        <f ca="1">IFERROR(__xludf.DUMMYFUNCTION("""COMPUTED_VALUE"""),0.25168373622)</f>
        <v>0.25168373622000001</v>
      </c>
      <c r="J310" s="592" t="str">
        <f ca="1">IFERROR(__xludf.DUMMYFUNCTION("""COMPUTED_VALUE""")," 09.52 ")</f>
        <v xml:space="preserve"> 09.52 </v>
      </c>
      <c r="K310" s="590" t="str">
        <f ca="1">IFERROR(__xludf.DUMMYFUNCTION("""COMPUTED_VALUE"""),"0.51")</f>
        <v>0.51</v>
      </c>
      <c r="L310" s="590">
        <f ca="1">IFERROR(__xludf.DUMMYFUNCTION("""COMPUTED_VALUE"""),1.89)</f>
        <v>1.89</v>
      </c>
      <c r="M310" s="590"/>
      <c r="N310" s="590" t="str">
        <f ca="1">IFERROR(__xludf.DUMMYFUNCTION("""COMPUTED_VALUE"""),"Dị_D&lt;54")</f>
        <v>Dị_D&lt;54</v>
      </c>
      <c r="O310" s="589"/>
      <c r="P310" s="590"/>
    </row>
    <row r="311" spans="1:16" ht="15.75">
      <c r="A311" s="581" t="str">
        <f ca="1">IFERROR(__xludf.DUMMYFUNCTION("""COMPUTED_VALUE"""),"Toàn Phát - Việt Nam")</f>
        <v>Toàn Phát - Việt Nam</v>
      </c>
      <c r="B311" s="581" t="str">
        <f ca="1">IFERROR(__xludf.DUMMYFUNCTION("""COMPUTED_VALUE"""),"ĐTPCAYDI")</f>
        <v>ĐTPCAYDI</v>
      </c>
      <c r="C311" s="581" t="str">
        <f ca="1">IFERROR(__xludf.DUMMYFUNCTION("""COMPUTED_VALUE"""),"DOT0952070")</f>
        <v>DOT0952070</v>
      </c>
      <c r="D311" s="582" t="str">
        <f ca="1">IFERROR(__xludf.DUMMYFUNCTION("""COMPUTED_VALUE"""),"Đồng ống thẳng 09.52x0.70x2.9")</f>
        <v>Đồng ống thẳng 09.52x0.70x2.9</v>
      </c>
      <c r="E311" s="583">
        <f ca="1">IFERROR(__xludf.DUMMYFUNCTION("""COMPUTED_VALUE"""),0.1)</f>
        <v>0.1</v>
      </c>
      <c r="F311" s="584" t="str">
        <f ca="1">IFERROR(__xludf.DUMMYFUNCTION("""COMPUTED_VALUE"""),"Cây")</f>
        <v>Cây</v>
      </c>
      <c r="G311" s="584" t="str">
        <f ca="1">IFERROR(__xludf.DUMMYFUNCTION("""COMPUTED_VALUE"""),"Cây 2.9m")</f>
        <v>Cây 2.9m</v>
      </c>
      <c r="H311" s="582" t="str">
        <f ca="1">IFERROR(__xludf.DUMMYFUNCTION("""COMPUTED_VALUE"""),"9")</f>
        <v>9</v>
      </c>
      <c r="I311" s="585">
        <f ca="1">IFERROR(__xludf.DUMMYFUNCTION("""COMPUTED_VALUE"""),0.518875307999999)</f>
        <v>0.51887530799999904</v>
      </c>
      <c r="J311" s="586" t="str">
        <f ca="1">IFERROR(__xludf.DUMMYFUNCTION("""COMPUTED_VALUE""")," 09.52 ")</f>
        <v xml:space="preserve"> 09.52 </v>
      </c>
      <c r="K311" s="584" t="str">
        <f ca="1">IFERROR(__xludf.DUMMYFUNCTION("""COMPUTED_VALUE"""),"0.70")</f>
        <v>0.70</v>
      </c>
      <c r="L311" s="584">
        <f ca="1">IFERROR(__xludf.DUMMYFUNCTION("""COMPUTED_VALUE"""),2.9)</f>
        <v>2.9</v>
      </c>
      <c r="M311" s="584"/>
      <c r="N311" s="584" t="str">
        <f ca="1">IFERROR(__xludf.DUMMYFUNCTION("""COMPUTED_VALUE"""),"Dị_D&lt;54")</f>
        <v>Dị_D&lt;54</v>
      </c>
      <c r="O311" s="583"/>
      <c r="P311" s="584"/>
    </row>
    <row r="312" spans="1:16" ht="15.75">
      <c r="A312" s="587" t="str">
        <f ca="1">IFERROR(__xludf.DUMMYFUNCTION("""COMPUTED_VALUE"""),"Toàn Phát - Việt Nam")</f>
        <v>Toàn Phát - Việt Nam</v>
      </c>
      <c r="B312" s="587" t="str">
        <f ca="1">IFERROR(__xludf.DUMMYFUNCTION("""COMPUTED_VALUE"""),"ĐTPCAYDI")</f>
        <v>ĐTPCAYDI</v>
      </c>
      <c r="C312" s="587" t="str">
        <f ca="1">IFERROR(__xludf.DUMMYFUNCTION("""COMPUTED_VALUE"""),"DOT0952080")</f>
        <v>DOT0952080</v>
      </c>
      <c r="D312" s="588" t="str">
        <f ca="1">IFERROR(__xludf.DUMMYFUNCTION("""COMPUTED_VALUE"""),"Đồng ống thẳng 09.52x0.80")</f>
        <v>Đồng ống thẳng 09.52x0.80</v>
      </c>
      <c r="E312" s="589">
        <f ca="1">IFERROR(__xludf.DUMMYFUNCTION("""COMPUTED_VALUE"""),0.1)</f>
        <v>0.1</v>
      </c>
      <c r="F312" s="590" t="str">
        <f ca="1">IFERROR(__xludf.DUMMYFUNCTION("""COMPUTED_VALUE"""),"Cây")</f>
        <v>Cây</v>
      </c>
      <c r="G312" s="590" t="str">
        <f ca="1">IFERROR(__xludf.DUMMYFUNCTION("""COMPUTED_VALUE"""),"Cây 2.9m")</f>
        <v>Cây 2.9m</v>
      </c>
      <c r="H312" s="588" t="str">
        <f ca="1">IFERROR(__xludf.DUMMYFUNCTION("""COMPUTED_VALUE"""),"9")</f>
        <v>9</v>
      </c>
      <c r="I312" s="591">
        <f ca="1">IFERROR(__xludf.DUMMYFUNCTION("""COMPUTED_VALUE"""),0.586276991999999)</f>
        <v>0.58627699199999905</v>
      </c>
      <c r="J312" s="592" t="str">
        <f ca="1">IFERROR(__xludf.DUMMYFUNCTION("""COMPUTED_VALUE""")," 09.52 ")</f>
        <v xml:space="preserve"> 09.52 </v>
      </c>
      <c r="K312" s="590" t="str">
        <f ca="1">IFERROR(__xludf.DUMMYFUNCTION("""COMPUTED_VALUE"""),"0.80")</f>
        <v>0.80</v>
      </c>
      <c r="L312" s="590">
        <f ca="1">IFERROR(__xludf.DUMMYFUNCTION("""COMPUTED_VALUE"""),2.9)</f>
        <v>2.9</v>
      </c>
      <c r="M312" s="590"/>
      <c r="N312" s="590" t="str">
        <f ca="1">IFERROR(__xludf.DUMMYFUNCTION("""COMPUTED_VALUE"""),"Dị_D&lt;54")</f>
        <v>Dị_D&lt;54</v>
      </c>
      <c r="O312" s="589"/>
      <c r="P312" s="590"/>
    </row>
    <row r="313" spans="1:16" ht="15.75">
      <c r="A313" s="581" t="str">
        <f ca="1">IFERROR(__xludf.DUMMYFUNCTION("""COMPUTED_VALUE"""),"Toàn Phát - Việt Nam")</f>
        <v>Toàn Phát - Việt Nam</v>
      </c>
      <c r="B313" s="581" t="str">
        <f ca="1">IFERROR(__xludf.DUMMYFUNCTION("""COMPUTED_VALUE"""),"ĐTPCAYDI")</f>
        <v>ĐTPCAYDI</v>
      </c>
      <c r="C313" s="581" t="str">
        <f ca="1">IFERROR(__xludf.DUMMYFUNCTION("""COMPUTED_VALUE"""),"DOT095208130")</f>
        <v>DOT095208130</v>
      </c>
      <c r="D313" s="582" t="str">
        <f ca="1">IFERROR(__xludf.DUMMYFUNCTION("""COMPUTED_VALUE"""),"Đồng ống thẳng 09.52x0.81x3.0")</f>
        <v>Đồng ống thẳng 09.52x0.81x3.0</v>
      </c>
      <c r="E313" s="583">
        <f ca="1">IFERROR(__xludf.DUMMYFUNCTION("""COMPUTED_VALUE"""),0.1)</f>
        <v>0.1</v>
      </c>
      <c r="F313" s="584" t="str">
        <f ca="1">IFERROR(__xludf.DUMMYFUNCTION("""COMPUTED_VALUE"""),"Cây")</f>
        <v>Cây</v>
      </c>
      <c r="G313" s="584" t="str">
        <f ca="1">IFERROR(__xludf.DUMMYFUNCTION("""COMPUTED_VALUE"""),"Cây 3m")</f>
        <v>Cây 3m</v>
      </c>
      <c r="H313" s="582" t="str">
        <f ca="1">IFERROR(__xludf.DUMMYFUNCTION("""COMPUTED_VALUE"""),"9")</f>
        <v>9</v>
      </c>
      <c r="I313" s="585">
        <f ca="1">IFERROR(__xludf.DUMMYFUNCTION("""COMPUTED_VALUE"""),0.613370393999999)</f>
        <v>0.61337039399999904</v>
      </c>
      <c r="J313" s="586" t="str">
        <f ca="1">IFERROR(__xludf.DUMMYFUNCTION("""COMPUTED_VALUE""")," 09.52 ")</f>
        <v xml:space="preserve"> 09.52 </v>
      </c>
      <c r="K313" s="584" t="str">
        <f ca="1">IFERROR(__xludf.DUMMYFUNCTION("""COMPUTED_VALUE"""),"0.81")</f>
        <v>0.81</v>
      </c>
      <c r="L313" s="584">
        <f ca="1">IFERROR(__xludf.DUMMYFUNCTION("""COMPUTED_VALUE"""),3)</f>
        <v>3</v>
      </c>
      <c r="M313" s="584"/>
      <c r="N313" s="584" t="str">
        <f ca="1">IFERROR(__xludf.DUMMYFUNCTION("""COMPUTED_VALUE"""),"Dị_D&lt;54")</f>
        <v>Dị_D&lt;54</v>
      </c>
      <c r="O313" s="583"/>
      <c r="P313" s="584"/>
    </row>
    <row r="314" spans="1:16" ht="15.75">
      <c r="A314" s="587" t="str">
        <f ca="1">IFERROR(__xludf.DUMMYFUNCTION("""COMPUTED_VALUE"""),"Toàn Phát - Việt Nam")</f>
        <v>Toàn Phát - Việt Nam</v>
      </c>
      <c r="B314" s="587" t="str">
        <f ca="1">IFERROR(__xludf.DUMMYFUNCTION("""COMPUTED_VALUE"""),"ĐTPCAYDI")</f>
        <v>ĐTPCAYDI</v>
      </c>
      <c r="C314" s="587" t="str">
        <f ca="1">IFERROR(__xludf.DUMMYFUNCTION("""COMPUTED_VALUE"""),"DOT09520853")</f>
        <v>DOT09520853</v>
      </c>
      <c r="D314" s="588" t="str">
        <f ca="1">IFERROR(__xludf.DUMMYFUNCTION("""COMPUTED_VALUE"""),"Đồng ống thẳng 9.52x0.85x30")</f>
        <v>Đồng ống thẳng 9.52x0.85x30</v>
      </c>
      <c r="E314" s="589">
        <f ca="1">IFERROR(__xludf.DUMMYFUNCTION("""COMPUTED_VALUE"""),0.1)</f>
        <v>0.1</v>
      </c>
      <c r="F314" s="590" t="str">
        <f ca="1">IFERROR(__xludf.DUMMYFUNCTION("""COMPUTED_VALUE"""),"Cây")</f>
        <v>Cây</v>
      </c>
      <c r="G314" s="590" t="str">
        <f ca="1">IFERROR(__xludf.DUMMYFUNCTION("""COMPUTED_VALUE"""),"Cây 3m")</f>
        <v>Cây 3m</v>
      </c>
      <c r="H314" s="588" t="str">
        <f ca="1">IFERROR(__xludf.DUMMYFUNCTION("""COMPUTED_VALUE"""),"9")</f>
        <v>9</v>
      </c>
      <c r="I314" s="591">
        <f ca="1">IFERROR(__xludf.DUMMYFUNCTION("""COMPUTED_VALUE"""),0.640704329999999)</f>
        <v>0.64070432999999904</v>
      </c>
      <c r="J314" s="592" t="str">
        <f ca="1">IFERROR(__xludf.DUMMYFUNCTION("""COMPUTED_VALUE""")," 09.52 ")</f>
        <v xml:space="preserve"> 09.52 </v>
      </c>
      <c r="K314" s="590" t="str">
        <f ca="1">IFERROR(__xludf.DUMMYFUNCTION("""COMPUTED_VALUE"""),"0.85")</f>
        <v>0.85</v>
      </c>
      <c r="L314" s="590">
        <f ca="1">IFERROR(__xludf.DUMMYFUNCTION("""COMPUTED_VALUE"""),3)</f>
        <v>3</v>
      </c>
      <c r="M314" s="590"/>
      <c r="N314" s="590" t="str">
        <f ca="1">IFERROR(__xludf.DUMMYFUNCTION("""COMPUTED_VALUE"""),"Dị_D&lt;54")</f>
        <v>Dị_D&lt;54</v>
      </c>
      <c r="O314" s="589"/>
      <c r="P314" s="590"/>
    </row>
    <row r="315" spans="1:16" ht="15.75">
      <c r="A315" s="581" t="str">
        <f ca="1">IFERROR(__xludf.DUMMYFUNCTION("""COMPUTED_VALUE"""),"Toàn Phát - Việt Nam")</f>
        <v>Toàn Phát - Việt Nam</v>
      </c>
      <c r="B315" s="581" t="str">
        <f ca="1">IFERROR(__xludf.DUMMYFUNCTION("""COMPUTED_VALUE"""),"ĐTPCAYDI")</f>
        <v>ĐTPCAYDI</v>
      </c>
      <c r="C315" s="581" t="str">
        <f ca="1">IFERROR(__xludf.DUMMYFUNCTION("""COMPUTED_VALUE"""),"DOT095210014")</f>
        <v>DOT095210014</v>
      </c>
      <c r="D315" s="582" t="str">
        <f ca="1">IFERROR(__xludf.DUMMYFUNCTION("""COMPUTED_VALUE"""),"Đồng ống thẳng 09.52x1.00x1.4")</f>
        <v>Đồng ống thẳng 09.52x1.00x1.4</v>
      </c>
      <c r="E315" s="583">
        <f ca="1">IFERROR(__xludf.DUMMYFUNCTION("""COMPUTED_VALUE"""),0.1)</f>
        <v>0.1</v>
      </c>
      <c r="F315" s="584" t="str">
        <f ca="1">IFERROR(__xludf.DUMMYFUNCTION("""COMPUTED_VALUE"""),"Cây")</f>
        <v>Cây</v>
      </c>
      <c r="G315" s="584" t="str">
        <f ca="1">IFERROR(__xludf.DUMMYFUNCTION("""COMPUTED_VALUE"""),"Cây 1.4m")</f>
        <v>Cây 1.4m</v>
      </c>
      <c r="H315" s="582" t="str">
        <f ca="1">IFERROR(__xludf.DUMMYFUNCTION("""COMPUTED_VALUE"""),"9")</f>
        <v>9</v>
      </c>
      <c r="I315" s="585">
        <f ca="1">IFERROR(__xludf.DUMMYFUNCTION("""COMPUTED_VALUE"""),0.345673439999999)</f>
        <v>0.345673439999999</v>
      </c>
      <c r="J315" s="586" t="str">
        <f ca="1">IFERROR(__xludf.DUMMYFUNCTION("""COMPUTED_VALUE""")," 09.52 ")</f>
        <v xml:space="preserve"> 09.52 </v>
      </c>
      <c r="K315" s="584" t="str">
        <f ca="1">IFERROR(__xludf.DUMMYFUNCTION("""COMPUTED_VALUE"""),"1.00")</f>
        <v>1.00</v>
      </c>
      <c r="L315" s="584">
        <f ca="1">IFERROR(__xludf.DUMMYFUNCTION("""COMPUTED_VALUE"""),1.4)</f>
        <v>1.4</v>
      </c>
      <c r="M315" s="584"/>
      <c r="N315" s="584" t="str">
        <f ca="1">IFERROR(__xludf.DUMMYFUNCTION("""COMPUTED_VALUE"""),"Dị_D&lt;54")</f>
        <v>Dị_D&lt;54</v>
      </c>
      <c r="O315" s="583"/>
      <c r="P315" s="584"/>
    </row>
    <row r="316" spans="1:16" ht="15.75">
      <c r="A316" s="587" t="str">
        <f ca="1">IFERROR(__xludf.DUMMYFUNCTION("""COMPUTED_VALUE"""),"Toàn Phát - Việt Nam")</f>
        <v>Toàn Phát - Việt Nam</v>
      </c>
      <c r="B316" s="587" t="str">
        <f ca="1">IFERROR(__xludf.DUMMYFUNCTION("""COMPUTED_VALUE"""),"ĐTPCAYDI")</f>
        <v>ĐTPCAYDI</v>
      </c>
      <c r="C316" s="587" t="str">
        <f ca="1">IFERROR(__xludf.DUMMYFUNCTION("""COMPUTED_VALUE"""),"DOT095210025")</f>
        <v>DOT095210025</v>
      </c>
      <c r="D316" s="588" t="str">
        <f ca="1">IFERROR(__xludf.DUMMYFUNCTION("""COMPUTED_VALUE"""),"Đồng ống thẳng 09.52x1.00x2.5")</f>
        <v>Đồng ống thẳng 09.52x1.00x2.5</v>
      </c>
      <c r="E316" s="589">
        <f ca="1">IFERROR(__xludf.DUMMYFUNCTION("""COMPUTED_VALUE"""),0.1)</f>
        <v>0.1</v>
      </c>
      <c r="F316" s="590" t="str">
        <f ca="1">IFERROR(__xludf.DUMMYFUNCTION("""COMPUTED_VALUE"""),"Cây")</f>
        <v>Cây</v>
      </c>
      <c r="G316" s="590" t="str">
        <f ca="1">IFERROR(__xludf.DUMMYFUNCTION("""COMPUTED_VALUE"""),"Cây 2.5m")</f>
        <v>Cây 2.5m</v>
      </c>
      <c r="H316" s="588" t="str">
        <f ca="1">IFERROR(__xludf.DUMMYFUNCTION("""COMPUTED_VALUE"""),"9")</f>
        <v>9</v>
      </c>
      <c r="I316" s="591">
        <f ca="1">IFERROR(__xludf.DUMMYFUNCTION("""COMPUTED_VALUE"""),0.617274)</f>
        <v>0.61727399999999999</v>
      </c>
      <c r="J316" s="592" t="str">
        <f ca="1">IFERROR(__xludf.DUMMYFUNCTION("""COMPUTED_VALUE""")," 09.52 ")</f>
        <v xml:space="preserve"> 09.52 </v>
      </c>
      <c r="K316" s="590" t="str">
        <f ca="1">IFERROR(__xludf.DUMMYFUNCTION("""COMPUTED_VALUE"""),"1.00")</f>
        <v>1.00</v>
      </c>
      <c r="L316" s="590">
        <f ca="1">IFERROR(__xludf.DUMMYFUNCTION("""COMPUTED_VALUE"""),2.5)</f>
        <v>2.5</v>
      </c>
      <c r="M316" s="590"/>
      <c r="N316" s="590" t="str">
        <f ca="1">IFERROR(__xludf.DUMMYFUNCTION("""COMPUTED_VALUE"""),"Dị_D&lt;54")</f>
        <v>Dị_D&lt;54</v>
      </c>
      <c r="O316" s="589"/>
      <c r="P316" s="590"/>
    </row>
    <row r="317" spans="1:16" ht="15.75">
      <c r="A317" s="581" t="str">
        <f ca="1">IFERROR(__xludf.DUMMYFUNCTION("""COMPUTED_VALUE"""),"Toàn Phát - Việt Nam")</f>
        <v>Toàn Phát - Việt Nam</v>
      </c>
      <c r="B317" s="581" t="str">
        <f ca="1">IFERROR(__xludf.DUMMYFUNCTION("""COMPUTED_VALUE"""),"ĐTPCAYDI")</f>
        <v>ĐTPCAYDI</v>
      </c>
      <c r="C317" s="581" t="str">
        <f ca="1">IFERROR(__xludf.DUMMYFUNCTION("""COMPUTED_VALUE"""),"DOT0952100285")</f>
        <v>DOT0952100285</v>
      </c>
      <c r="D317" s="582" t="str">
        <f ca="1">IFERROR(__xludf.DUMMYFUNCTION("""COMPUTED_VALUE"""),"Đồng ống thẳng 09.52x1.00x2.85")</f>
        <v>Đồng ống thẳng 09.52x1.00x2.85</v>
      </c>
      <c r="E317" s="583">
        <f ca="1">IFERROR(__xludf.DUMMYFUNCTION("""COMPUTED_VALUE"""),0.1)</f>
        <v>0.1</v>
      </c>
      <c r="F317" s="584" t="str">
        <f ca="1">IFERROR(__xludf.DUMMYFUNCTION("""COMPUTED_VALUE"""),"Cây")</f>
        <v>Cây</v>
      </c>
      <c r="G317" s="584" t="str">
        <f ca="1">IFERROR(__xludf.DUMMYFUNCTION("""COMPUTED_VALUE"""),"Cây 2.85m")</f>
        <v>Cây 2.85m</v>
      </c>
      <c r="H317" s="582" t="str">
        <f ca="1">IFERROR(__xludf.DUMMYFUNCTION("""COMPUTED_VALUE"""),"9")</f>
        <v>9</v>
      </c>
      <c r="I317" s="585">
        <f ca="1">IFERROR(__xludf.DUMMYFUNCTION("""COMPUTED_VALUE"""),0.70369236)</f>
        <v>0.70369236000000002</v>
      </c>
      <c r="J317" s="586" t="str">
        <f ca="1">IFERROR(__xludf.DUMMYFUNCTION("""COMPUTED_VALUE""")," 09.52 ")</f>
        <v xml:space="preserve"> 09.52 </v>
      </c>
      <c r="K317" s="584" t="str">
        <f ca="1">IFERROR(__xludf.DUMMYFUNCTION("""COMPUTED_VALUE"""),"1.00")</f>
        <v>1.00</v>
      </c>
      <c r="L317" s="584">
        <f ca="1">IFERROR(__xludf.DUMMYFUNCTION("""COMPUTED_VALUE"""),2.85)</f>
        <v>2.85</v>
      </c>
      <c r="M317" s="584"/>
      <c r="N317" s="584" t="str">
        <f ca="1">IFERROR(__xludf.DUMMYFUNCTION("""COMPUTED_VALUE"""),"Dị_D&lt;54")</f>
        <v>Dị_D&lt;54</v>
      </c>
      <c r="O317" s="583"/>
      <c r="P317" s="584"/>
    </row>
    <row r="318" spans="1:16" ht="15.75">
      <c r="A318" s="587" t="str">
        <f ca="1">IFERROR(__xludf.DUMMYFUNCTION("""COMPUTED_VALUE"""),"Toàn Phát - Việt Nam")</f>
        <v>Toàn Phát - Việt Nam</v>
      </c>
      <c r="B318" s="587" t="str">
        <f ca="1">IFERROR(__xludf.DUMMYFUNCTION("""COMPUTED_VALUE"""),"ĐTPCAYDI")</f>
        <v>ĐTPCAYDI</v>
      </c>
      <c r="C318" s="587" t="str">
        <f ca="1">IFERROR(__xludf.DUMMYFUNCTION("""COMPUTED_VALUE"""),"DOT096006530")</f>
        <v>DOT096006530</v>
      </c>
      <c r="D318" s="588" t="str">
        <f ca="1">IFERROR(__xludf.DUMMYFUNCTION("""COMPUTED_VALUE"""),"Đồng ống thẳng 09.60x0.65x3.0")</f>
        <v>Đồng ống thẳng 09.60x0.65x3.0</v>
      </c>
      <c r="E318" s="589">
        <f ca="1">IFERROR(__xludf.DUMMYFUNCTION("""COMPUTED_VALUE"""),0.1)</f>
        <v>0.1</v>
      </c>
      <c r="F318" s="590" t="str">
        <f ca="1">IFERROR(__xludf.DUMMYFUNCTION("""COMPUTED_VALUE"""),"Cây")</f>
        <v>Cây</v>
      </c>
      <c r="G318" s="590" t="str">
        <f ca="1">IFERROR(__xludf.DUMMYFUNCTION("""COMPUTED_VALUE"""),"Cây 3m")</f>
        <v>Cây 3m</v>
      </c>
      <c r="H318" s="588"/>
      <c r="I318" s="591">
        <f ca="1">IFERROR(__xludf.DUMMYFUNCTION("""COMPUTED_VALUE"""),0.50577345)</f>
        <v>0.50577344999999996</v>
      </c>
      <c r="J318" s="592" t="str">
        <f ca="1">IFERROR(__xludf.DUMMYFUNCTION("""COMPUTED_VALUE""")," 09.60 ")</f>
        <v xml:space="preserve"> 09.60 </v>
      </c>
      <c r="K318" s="590" t="str">
        <f ca="1">IFERROR(__xludf.DUMMYFUNCTION("""COMPUTED_VALUE"""),"0.65")</f>
        <v>0.65</v>
      </c>
      <c r="L318" s="590">
        <f ca="1">IFERROR(__xludf.DUMMYFUNCTION("""COMPUTED_VALUE"""),3)</f>
        <v>3</v>
      </c>
      <c r="M318" s="590"/>
      <c r="N318" s="590" t="str">
        <f ca="1">IFERROR(__xludf.DUMMYFUNCTION("""COMPUTED_VALUE"""),"Dị_D&lt;54")</f>
        <v>Dị_D&lt;54</v>
      </c>
      <c r="O318" s="589"/>
      <c r="P318" s="590"/>
    </row>
    <row r="319" spans="1:16" ht="15.75">
      <c r="A319" s="581" t="str">
        <f ca="1">IFERROR(__xludf.DUMMYFUNCTION("""COMPUTED_VALUE"""),"Toàn Phát - Việt Nam")</f>
        <v>Toàn Phát - Việt Nam</v>
      </c>
      <c r="B319" s="581" t="str">
        <f ca="1">IFERROR(__xludf.DUMMYFUNCTION("""COMPUTED_VALUE"""),"ĐTPCAYDI")</f>
        <v>ĐTPCAYDI</v>
      </c>
      <c r="C319" s="581" t="str">
        <f ca="1">IFERROR(__xludf.DUMMYFUNCTION("""COMPUTED_VALUE"""),"DOT096007130")</f>
        <v>DOT096007130</v>
      </c>
      <c r="D319" s="582" t="str">
        <f ca="1">IFERROR(__xludf.DUMMYFUNCTION("""COMPUTED_VALUE"""),"Đồng ống thẳng 09.60x0.71x3.0")</f>
        <v>Đồng ống thẳng 09.60x0.71x3.0</v>
      </c>
      <c r="E319" s="583">
        <f ca="1">IFERROR(__xludf.DUMMYFUNCTION("""COMPUTED_VALUE"""),0.1)</f>
        <v>0.1</v>
      </c>
      <c r="F319" s="584" t="str">
        <f ca="1">IFERROR(__xludf.DUMMYFUNCTION("""COMPUTED_VALUE"""),"Cây")</f>
        <v>Cây</v>
      </c>
      <c r="G319" s="584" t="str">
        <f ca="1">IFERROR(__xludf.DUMMYFUNCTION("""COMPUTED_VALUE"""),"Cây 3m")</f>
        <v>Cây 3m</v>
      </c>
      <c r="H319" s="582"/>
      <c r="I319" s="585">
        <f ca="1">IFERROR(__xludf.DUMMYFUNCTION("""COMPUTED_VALUE"""),0.548756586)</f>
        <v>0.54875658599999999</v>
      </c>
      <c r="J319" s="586" t="str">
        <f ca="1">IFERROR(__xludf.DUMMYFUNCTION("""COMPUTED_VALUE""")," 09.60 ")</f>
        <v xml:space="preserve"> 09.60 </v>
      </c>
      <c r="K319" s="584" t="str">
        <f ca="1">IFERROR(__xludf.DUMMYFUNCTION("""COMPUTED_VALUE"""),"0.71")</f>
        <v>0.71</v>
      </c>
      <c r="L319" s="584">
        <f ca="1">IFERROR(__xludf.DUMMYFUNCTION("""COMPUTED_VALUE"""),3)</f>
        <v>3</v>
      </c>
      <c r="M319" s="584"/>
      <c r="N319" s="584" t="str">
        <f ca="1">IFERROR(__xludf.DUMMYFUNCTION("""COMPUTED_VALUE"""),"Dị_D&lt;54")</f>
        <v>Dị_D&lt;54</v>
      </c>
      <c r="O319" s="583"/>
      <c r="P319" s="584"/>
    </row>
    <row r="320" spans="1:16" ht="15.75">
      <c r="A320" s="587" t="str">
        <f ca="1">IFERROR(__xludf.DUMMYFUNCTION("""COMPUTED_VALUE"""),"Toàn Phát - Việt Nam")</f>
        <v>Toàn Phát - Việt Nam</v>
      </c>
      <c r="B320" s="587" t="str">
        <f ca="1">IFERROR(__xludf.DUMMYFUNCTION("""COMPUTED_VALUE"""),"ĐTPCAYDI")</f>
        <v>ĐTPCAYDI</v>
      </c>
      <c r="C320" s="587" t="str">
        <f ca="1">IFERROR(__xludf.DUMMYFUNCTION("""COMPUTED_VALUE"""),"DOT096007230")</f>
        <v>DOT096007230</v>
      </c>
      <c r="D320" s="588" t="str">
        <f ca="1">IFERROR(__xludf.DUMMYFUNCTION("""COMPUTED_VALUE"""),"Đồng ống thẳng 09.60x0.72x3.0")</f>
        <v>Đồng ống thẳng 09.60x0.72x3.0</v>
      </c>
      <c r="E320" s="589">
        <f ca="1">IFERROR(__xludf.DUMMYFUNCTION("""COMPUTED_VALUE"""),0.1)</f>
        <v>0.1</v>
      </c>
      <c r="F320" s="590" t="str">
        <f ca="1">IFERROR(__xludf.DUMMYFUNCTION("""COMPUTED_VALUE"""),"Cây")</f>
        <v>Cây</v>
      </c>
      <c r="G320" s="590" t="str">
        <f ca="1">IFERROR(__xludf.DUMMYFUNCTION("""COMPUTED_VALUE"""),"Cây 3m")</f>
        <v>Cây 3m</v>
      </c>
      <c r="H320" s="588"/>
      <c r="I320" s="591">
        <f ca="1">IFERROR(__xludf.DUMMYFUNCTION("""COMPUTED_VALUE"""),0.555859583999999)</f>
        <v>0.55585958399999902</v>
      </c>
      <c r="J320" s="592" t="str">
        <f ca="1">IFERROR(__xludf.DUMMYFUNCTION("""COMPUTED_VALUE""")," 09.60 ")</f>
        <v xml:space="preserve"> 09.60 </v>
      </c>
      <c r="K320" s="590" t="str">
        <f ca="1">IFERROR(__xludf.DUMMYFUNCTION("""COMPUTED_VALUE"""),"0.72")</f>
        <v>0.72</v>
      </c>
      <c r="L320" s="590">
        <f ca="1">IFERROR(__xludf.DUMMYFUNCTION("""COMPUTED_VALUE"""),3)</f>
        <v>3</v>
      </c>
      <c r="M320" s="590"/>
      <c r="N320" s="590" t="str">
        <f ca="1">IFERROR(__xludf.DUMMYFUNCTION("""COMPUTED_VALUE"""),"Dị_D&lt;54")</f>
        <v>Dị_D&lt;54</v>
      </c>
      <c r="O320" s="589"/>
      <c r="P320" s="590"/>
    </row>
    <row r="321" spans="1:16" ht="15.75">
      <c r="A321" s="581" t="str">
        <f ca="1">IFERROR(__xludf.DUMMYFUNCTION("""COMPUTED_VALUE"""),"Toàn Phát - Việt Nam")</f>
        <v>Toàn Phát - Việt Nam</v>
      </c>
      <c r="B321" s="581" t="str">
        <f ca="1">IFERROR(__xludf.DUMMYFUNCTION("""COMPUTED_VALUE"""),"ĐTPCAYDI")</f>
        <v>ĐTPCAYDI</v>
      </c>
      <c r="C321" s="581" t="str">
        <f ca="1">IFERROR(__xludf.DUMMYFUNCTION("""COMPUTED_VALUE"""),"DOT096008130")</f>
        <v>DOT096008130</v>
      </c>
      <c r="D321" s="582" t="str">
        <f ca="1">IFERROR(__xludf.DUMMYFUNCTION("""COMPUTED_VALUE"""),"Đồng ống thẳng 09.60x0.81x3.0")</f>
        <v>Đồng ống thẳng 09.60x0.81x3.0</v>
      </c>
      <c r="E321" s="583">
        <f ca="1">IFERROR(__xludf.DUMMYFUNCTION("""COMPUTED_VALUE"""),0.1)</f>
        <v>0.1</v>
      </c>
      <c r="F321" s="584" t="str">
        <f ca="1">IFERROR(__xludf.DUMMYFUNCTION("""COMPUTED_VALUE"""),"Cây")</f>
        <v>Cây</v>
      </c>
      <c r="G321" s="584" t="str">
        <f ca="1">IFERROR(__xludf.DUMMYFUNCTION("""COMPUTED_VALUE"""),"Cây 3m")</f>
        <v>Cây 3m</v>
      </c>
      <c r="H321" s="582"/>
      <c r="I321" s="585">
        <f ca="1">IFERROR(__xludf.DUMMYFUNCTION("""COMPUTED_VALUE"""),0.619004105999999)</f>
        <v>0.619004105999999</v>
      </c>
      <c r="J321" s="586" t="str">
        <f ca="1">IFERROR(__xludf.DUMMYFUNCTION("""COMPUTED_VALUE""")," 09.60 ")</f>
        <v xml:space="preserve"> 09.60 </v>
      </c>
      <c r="K321" s="584" t="str">
        <f ca="1">IFERROR(__xludf.DUMMYFUNCTION("""COMPUTED_VALUE"""),"0.81")</f>
        <v>0.81</v>
      </c>
      <c r="L321" s="584">
        <f ca="1">IFERROR(__xludf.DUMMYFUNCTION("""COMPUTED_VALUE"""),3)</f>
        <v>3</v>
      </c>
      <c r="M321" s="584"/>
      <c r="N321" s="584" t="str">
        <f ca="1">IFERROR(__xludf.DUMMYFUNCTION("""COMPUTED_VALUE"""),"Dị_D&lt;54")</f>
        <v>Dị_D&lt;54</v>
      </c>
      <c r="O321" s="583"/>
      <c r="P321" s="584"/>
    </row>
    <row r="322" spans="1:16" ht="15.75">
      <c r="A322" s="587" t="str">
        <f ca="1">IFERROR(__xludf.DUMMYFUNCTION("""COMPUTED_VALUE"""),"Toàn Phát - Việt Nam")</f>
        <v>Toàn Phát - Việt Nam</v>
      </c>
      <c r="B322" s="587" t="str">
        <f ca="1">IFERROR(__xludf.DUMMYFUNCTION("""COMPUTED_VALUE"""),"ĐTPCAYDI")</f>
        <v>ĐTPCAYDI</v>
      </c>
      <c r="C322" s="587" t="str">
        <f ca="1">IFERROR(__xludf.DUMMYFUNCTION("""COMPUTED_VALUE"""),"DOT10000501882")</f>
        <v>DOT10000501882</v>
      </c>
      <c r="D322" s="588" t="str">
        <f ca="1">IFERROR(__xludf.DUMMYFUNCTION("""COMPUTED_VALUE"""),"Đồng ống thẳng 10.00x0.50x1.882")</f>
        <v>Đồng ống thẳng 10.00x0.50x1.882</v>
      </c>
      <c r="E322" s="589">
        <f ca="1">IFERROR(__xludf.DUMMYFUNCTION("""COMPUTED_VALUE"""),0.1)</f>
        <v>0.1</v>
      </c>
      <c r="F322" s="590" t="str">
        <f ca="1">IFERROR(__xludf.DUMMYFUNCTION("""COMPUTED_VALUE"""),"Cây")</f>
        <v>Cây</v>
      </c>
      <c r="G322" s="590" t="str">
        <f ca="1">IFERROR(__xludf.DUMMYFUNCTION("""COMPUTED_VALUE"""),"Cây 1.882m")</f>
        <v>Cây 1.882m</v>
      </c>
      <c r="H322" s="588"/>
      <c r="I322" s="591">
        <f ca="1">IFERROR(__xludf.DUMMYFUNCTION("""COMPUTED_VALUE"""),0.25906671)</f>
        <v>0.25906670999999998</v>
      </c>
      <c r="J322" s="592" t="str">
        <f ca="1">IFERROR(__xludf.DUMMYFUNCTION("""COMPUTED_VALUE""")," 10.00 ")</f>
        <v xml:space="preserve"> 10.00 </v>
      </c>
      <c r="K322" s="590" t="str">
        <f ca="1">IFERROR(__xludf.DUMMYFUNCTION("""COMPUTED_VALUE"""),"0.50")</f>
        <v>0.50</v>
      </c>
      <c r="L322" s="590">
        <f ca="1">IFERROR(__xludf.DUMMYFUNCTION("""COMPUTED_VALUE"""),1.882)</f>
        <v>1.8819999999999999</v>
      </c>
      <c r="M322" s="590"/>
      <c r="N322" s="590" t="str">
        <f ca="1">IFERROR(__xludf.DUMMYFUNCTION("""COMPUTED_VALUE"""),"Dị_D&lt;54")</f>
        <v>Dị_D&lt;54</v>
      </c>
      <c r="O322" s="589"/>
      <c r="P322" s="590"/>
    </row>
    <row r="323" spans="1:16" ht="15.75">
      <c r="A323" s="581" t="str">
        <f ca="1">IFERROR(__xludf.DUMMYFUNCTION("""COMPUTED_VALUE"""),"Toàn Phát - Việt Nam")</f>
        <v>Toàn Phát - Việt Nam</v>
      </c>
      <c r="B323" s="581" t="str">
        <f ca="1">IFERROR(__xludf.DUMMYFUNCTION("""COMPUTED_VALUE"""),"ĐTPCAYDI")</f>
        <v>ĐTPCAYDI</v>
      </c>
      <c r="C323" s="581" t="str">
        <f ca="1">IFERROR(__xludf.DUMMYFUNCTION("""COMPUTED_VALUE"""),"DOT1000050189")</f>
        <v>DOT1000050189</v>
      </c>
      <c r="D323" s="582" t="str">
        <f ca="1">IFERROR(__xludf.DUMMYFUNCTION("""COMPUTED_VALUE"""),"Đồng ống thẳng 10.00x0.50x1.89")</f>
        <v>Đồng ống thẳng 10.00x0.50x1.89</v>
      </c>
      <c r="E323" s="583">
        <f ca="1">IFERROR(__xludf.DUMMYFUNCTION("""COMPUTED_VALUE"""),0.1)</f>
        <v>0.1</v>
      </c>
      <c r="F323" s="584" t="str">
        <f ca="1">IFERROR(__xludf.DUMMYFUNCTION("""COMPUTED_VALUE"""),"Cây")</f>
        <v>Cây</v>
      </c>
      <c r="G323" s="584" t="str">
        <f ca="1">IFERROR(__xludf.DUMMYFUNCTION("""COMPUTED_VALUE"""),"Cây 1.89m")</f>
        <v>Cây 1.89m</v>
      </c>
      <c r="H323" s="582"/>
      <c r="I323" s="585">
        <f ca="1">IFERROR(__xludf.DUMMYFUNCTION("""COMPUTED_VALUE"""),0.26016795)</f>
        <v>0.26016794999999998</v>
      </c>
      <c r="J323" s="586" t="str">
        <f ca="1">IFERROR(__xludf.DUMMYFUNCTION("""COMPUTED_VALUE""")," 10.00 ")</f>
        <v xml:space="preserve"> 10.00 </v>
      </c>
      <c r="K323" s="584" t="str">
        <f ca="1">IFERROR(__xludf.DUMMYFUNCTION("""COMPUTED_VALUE"""),"0.50")</f>
        <v>0.50</v>
      </c>
      <c r="L323" s="584">
        <f ca="1">IFERROR(__xludf.DUMMYFUNCTION("""COMPUTED_VALUE"""),1.89)</f>
        <v>1.89</v>
      </c>
      <c r="M323" s="584"/>
      <c r="N323" s="584" t="str">
        <f ca="1">IFERROR(__xludf.DUMMYFUNCTION("""COMPUTED_VALUE"""),"Dị_D&lt;54")</f>
        <v>Dị_D&lt;54</v>
      </c>
      <c r="O323" s="583"/>
      <c r="P323" s="584"/>
    </row>
    <row r="324" spans="1:16" ht="15.75">
      <c r="A324" s="587" t="str">
        <f ca="1">IFERROR(__xludf.DUMMYFUNCTION("""COMPUTED_VALUE"""),"Toàn Phát - Việt Nam")</f>
        <v>Toàn Phát - Việt Nam</v>
      </c>
      <c r="B324" s="587" t="str">
        <f ca="1">IFERROR(__xludf.DUMMYFUNCTION("""COMPUTED_VALUE"""),"ĐTPCAYDI")</f>
        <v>ĐTPCAYDI</v>
      </c>
      <c r="C324" s="587" t="str">
        <f ca="1">IFERROR(__xludf.DUMMYFUNCTION("""COMPUTED_VALUE"""),"DOT10000501893")</f>
        <v>DOT10000501893</v>
      </c>
      <c r="D324" s="588" t="str">
        <f ca="1">IFERROR(__xludf.DUMMYFUNCTION("""COMPUTED_VALUE"""),"Đồng ống thẳng 10x0.50x1.893")</f>
        <v>Đồng ống thẳng 10x0.50x1.893</v>
      </c>
      <c r="E324" s="589">
        <f ca="1">IFERROR(__xludf.DUMMYFUNCTION("""COMPUTED_VALUE"""),0.1)</f>
        <v>0.1</v>
      </c>
      <c r="F324" s="590" t="str">
        <f ca="1">IFERROR(__xludf.DUMMYFUNCTION("""COMPUTED_VALUE"""),"Cây")</f>
        <v>Cây</v>
      </c>
      <c r="G324" s="590" t="str">
        <f ca="1">IFERROR(__xludf.DUMMYFUNCTION("""COMPUTED_VALUE"""),"Cây 1.893m")</f>
        <v>Cây 1.893m</v>
      </c>
      <c r="H324" s="588"/>
      <c r="I324" s="591">
        <f ca="1">IFERROR(__xludf.DUMMYFUNCTION("""COMPUTED_VALUE"""),0.260580915)</f>
        <v>0.26058091500000002</v>
      </c>
      <c r="J324" s="592" t="str">
        <f ca="1">IFERROR(__xludf.DUMMYFUNCTION("""COMPUTED_VALUE""")," 10.00 ")</f>
        <v xml:space="preserve"> 10.00 </v>
      </c>
      <c r="K324" s="590" t="str">
        <f ca="1">IFERROR(__xludf.DUMMYFUNCTION("""COMPUTED_VALUE"""),"0.50")</f>
        <v>0.50</v>
      </c>
      <c r="L324" s="590">
        <f ca="1">IFERROR(__xludf.DUMMYFUNCTION("""COMPUTED_VALUE"""),1.893)</f>
        <v>1.893</v>
      </c>
      <c r="M324" s="590"/>
      <c r="N324" s="590" t="str">
        <f ca="1">IFERROR(__xludf.DUMMYFUNCTION("""COMPUTED_VALUE"""),"Dị_D&lt;54")</f>
        <v>Dị_D&lt;54</v>
      </c>
      <c r="O324" s="589"/>
      <c r="P324" s="590"/>
    </row>
    <row r="325" spans="1:16" ht="15.75">
      <c r="A325" s="581" t="str">
        <f ca="1">IFERROR(__xludf.DUMMYFUNCTION("""COMPUTED_VALUE"""),"Toàn Phát - Việt Nam")</f>
        <v>Toàn Phát - Việt Nam</v>
      </c>
      <c r="B325" s="581" t="str">
        <f ca="1">IFERROR(__xludf.DUMMYFUNCTION("""COMPUTED_VALUE"""),"ĐTPCAYDI")</f>
        <v>ĐTPCAYDI</v>
      </c>
      <c r="C325" s="581" t="str">
        <f ca="1">IFERROR(__xludf.DUMMYFUNCTION("""COMPUTED_VALUE"""),"DOT1000060597")</f>
        <v>DOT1000060597</v>
      </c>
      <c r="D325" s="582" t="str">
        <f ca="1">IFERROR(__xludf.DUMMYFUNCTION("""COMPUTED_VALUE"""),"Đồng ống thẳng 10.00x0.60x5.97")</f>
        <v>Đồng ống thẳng 10.00x0.60x5.97</v>
      </c>
      <c r="E325" s="583">
        <f ca="1">IFERROR(__xludf.DUMMYFUNCTION("""COMPUTED_VALUE"""),0.1)</f>
        <v>0.1</v>
      </c>
      <c r="F325" s="584" t="str">
        <f ca="1">IFERROR(__xludf.DUMMYFUNCTION("""COMPUTED_VALUE"""),"Cây")</f>
        <v>Cây</v>
      </c>
      <c r="G325" s="584" t="str">
        <f ca="1">IFERROR(__xludf.DUMMYFUNCTION("""COMPUTED_VALUE"""),"Cây 5.97m")</f>
        <v>Cây 5.97m</v>
      </c>
      <c r="H325" s="582"/>
      <c r="I325" s="585">
        <f ca="1">IFERROR(__xludf.DUMMYFUNCTION("""COMPUTED_VALUE"""),0.975779784)</f>
        <v>0.97577978399999998</v>
      </c>
      <c r="J325" s="586" t="str">
        <f ca="1">IFERROR(__xludf.DUMMYFUNCTION("""COMPUTED_VALUE""")," 10.00 ")</f>
        <v xml:space="preserve"> 10.00 </v>
      </c>
      <c r="K325" s="584" t="str">
        <f ca="1">IFERROR(__xludf.DUMMYFUNCTION("""COMPUTED_VALUE"""),"0.60")</f>
        <v>0.60</v>
      </c>
      <c r="L325" s="584">
        <f ca="1">IFERROR(__xludf.DUMMYFUNCTION("""COMPUTED_VALUE"""),5.97)</f>
        <v>5.97</v>
      </c>
      <c r="M325" s="584"/>
      <c r="N325" s="584" t="str">
        <f ca="1">IFERROR(__xludf.DUMMYFUNCTION("""COMPUTED_VALUE"""),"Dị_D&lt;54")</f>
        <v>Dị_D&lt;54</v>
      </c>
      <c r="O325" s="583"/>
      <c r="P325" s="584"/>
    </row>
    <row r="326" spans="1:16" ht="15.75">
      <c r="A326" s="587" t="str">
        <f ca="1">IFERROR(__xludf.DUMMYFUNCTION("""COMPUTED_VALUE"""),"Toàn Phát - Việt Nam")</f>
        <v>Toàn Phát - Việt Nam</v>
      </c>
      <c r="B326" s="587" t="str">
        <f ca="1">IFERROR(__xludf.DUMMYFUNCTION("""COMPUTED_VALUE"""),"ĐTPCAYDI")</f>
        <v>ĐTPCAYDI</v>
      </c>
      <c r="C326" s="587" t="str">
        <f ca="1">IFERROR(__xludf.DUMMYFUNCTION("""COMPUTED_VALUE"""),"DOT100006130")</f>
        <v>DOT100006130</v>
      </c>
      <c r="D326" s="588" t="str">
        <f ca="1">IFERROR(__xludf.DUMMYFUNCTION("""COMPUTED_VALUE"""),"Đồng ống thẳng 8.5x0.71x3.0")</f>
        <v>Đồng ống thẳng 8.5x0.71x3.0</v>
      </c>
      <c r="E326" s="589">
        <f ca="1">IFERROR(__xludf.DUMMYFUNCTION("""COMPUTED_VALUE"""),0.1)</f>
        <v>0.1</v>
      </c>
      <c r="F326" s="590" t="str">
        <f ca="1">IFERROR(__xludf.DUMMYFUNCTION("""COMPUTED_VALUE"""),"Cây")</f>
        <v>Cây</v>
      </c>
      <c r="G326" s="590" t="str">
        <f ca="1">IFERROR(__xludf.DUMMYFUNCTION("""COMPUTED_VALUE"""),"Cây 3m")</f>
        <v>Cây 3m</v>
      </c>
      <c r="H326" s="588"/>
      <c r="I326" s="591">
        <f ca="1">IFERROR(__xludf.DUMMYFUNCTION("""COMPUTED_VALUE"""),0.497983625999999)</f>
        <v>0.49798362599999901</v>
      </c>
      <c r="J326" s="592" t="str">
        <f ca="1">IFERROR(__xludf.DUMMYFUNCTION("""COMPUTED_VALUE""")," 10.00 ")</f>
        <v xml:space="preserve"> 10.00 </v>
      </c>
      <c r="K326" s="590" t="str">
        <f ca="1">IFERROR(__xludf.DUMMYFUNCTION("""COMPUTED_VALUE"""),"0.61")</f>
        <v>0.61</v>
      </c>
      <c r="L326" s="590">
        <f ca="1">IFERROR(__xludf.DUMMYFUNCTION("""COMPUTED_VALUE"""),3)</f>
        <v>3</v>
      </c>
      <c r="M326" s="590"/>
      <c r="N326" s="590" t="str">
        <f ca="1">IFERROR(__xludf.DUMMYFUNCTION("""COMPUTED_VALUE"""),"Dị_D&lt;54")</f>
        <v>Dị_D&lt;54</v>
      </c>
      <c r="O326" s="589"/>
      <c r="P326" s="590"/>
    </row>
    <row r="327" spans="1:16" ht="15.75">
      <c r="A327" s="581" t="str">
        <f ca="1">IFERROR(__xludf.DUMMYFUNCTION("""COMPUTED_VALUE"""),"Toàn Phát - Việt Nam")</f>
        <v>Toàn Phát - Việt Nam</v>
      </c>
      <c r="B327" s="581" t="str">
        <f ca="1">IFERROR(__xludf.DUMMYFUNCTION("""COMPUTED_VALUE"""),"ĐTPCAYDI")</f>
        <v>ĐTPCAYDI</v>
      </c>
      <c r="C327" s="581" t="str">
        <f ca="1">IFERROR(__xludf.DUMMYFUNCTION("""COMPUTED_VALUE"""),"DOT100008003")</f>
        <v>DOT100008003</v>
      </c>
      <c r="D327" s="582" t="str">
        <f ca="1">IFERROR(__xludf.DUMMYFUNCTION("""COMPUTED_VALUE"""),"Đồng ống thẳng 10.00x0.80x03.00")</f>
        <v>Đồng ống thẳng 10.00x0.80x03.00</v>
      </c>
      <c r="E327" s="583">
        <f ca="1">IFERROR(__xludf.DUMMYFUNCTION("""COMPUTED_VALUE"""),0.1)</f>
        <v>0.1</v>
      </c>
      <c r="F327" s="584" t="str">
        <f ca="1">IFERROR(__xludf.DUMMYFUNCTION("""COMPUTED_VALUE"""),"Cây")</f>
        <v>Cây</v>
      </c>
      <c r="G327" s="584" t="str">
        <f ca="1">IFERROR(__xludf.DUMMYFUNCTION("""COMPUTED_VALUE"""),"Cây 3m")</f>
        <v>Cây 3m</v>
      </c>
      <c r="H327" s="582"/>
      <c r="I327" s="585">
        <f ca="1">IFERROR(__xludf.DUMMYFUNCTION("""COMPUTED_VALUE"""),0.639878399999999)</f>
        <v>0.63987839999999896</v>
      </c>
      <c r="J327" s="586" t="str">
        <f ca="1">IFERROR(__xludf.DUMMYFUNCTION("""COMPUTED_VALUE""")," 10.00 ")</f>
        <v xml:space="preserve"> 10.00 </v>
      </c>
      <c r="K327" s="584" t="str">
        <f ca="1">IFERROR(__xludf.DUMMYFUNCTION("""COMPUTED_VALUE"""),"0.80")</f>
        <v>0.80</v>
      </c>
      <c r="L327" s="584">
        <f ca="1">IFERROR(__xludf.DUMMYFUNCTION("""COMPUTED_VALUE"""),3)</f>
        <v>3</v>
      </c>
      <c r="M327" s="584"/>
      <c r="N327" s="584" t="str">
        <f ca="1">IFERROR(__xludf.DUMMYFUNCTION("""COMPUTED_VALUE"""),"Dị_D&lt;54")</f>
        <v>Dị_D&lt;54</v>
      </c>
      <c r="O327" s="583"/>
      <c r="P327" s="584"/>
    </row>
    <row r="328" spans="1:16" ht="15.75">
      <c r="A328" s="587" t="str">
        <f ca="1">IFERROR(__xludf.DUMMYFUNCTION("""COMPUTED_VALUE"""),"Toàn Phát - Việt Nam")</f>
        <v>Toàn Phát - Việt Nam</v>
      </c>
      <c r="B328" s="587" t="str">
        <f ca="1">IFERROR(__xludf.DUMMYFUNCTION("""COMPUTED_VALUE"""),"ĐTPCAYDI")</f>
        <v>ĐTPCAYDI</v>
      </c>
      <c r="C328" s="587" t="str">
        <f ca="1">IFERROR(__xludf.DUMMYFUNCTION("""COMPUTED_VALUE"""),"DOT100008019")</f>
        <v>DOT100008019</v>
      </c>
      <c r="D328" s="588" t="str">
        <f ca="1">IFERROR(__xludf.DUMMYFUNCTION("""COMPUTED_VALUE"""),"Đồng ống thẳng 10.00x0.80x1.9")</f>
        <v>Đồng ống thẳng 10.00x0.80x1.9</v>
      </c>
      <c r="E328" s="589">
        <f ca="1">IFERROR(__xludf.DUMMYFUNCTION("""COMPUTED_VALUE"""),0.1)</f>
        <v>0.1</v>
      </c>
      <c r="F328" s="590" t="str">
        <f ca="1">IFERROR(__xludf.DUMMYFUNCTION("""COMPUTED_VALUE"""),"Cây")</f>
        <v>Cây</v>
      </c>
      <c r="G328" s="590" t="str">
        <f ca="1">IFERROR(__xludf.DUMMYFUNCTION("""COMPUTED_VALUE"""),"Cây 1.9m")</f>
        <v>Cây 1.9m</v>
      </c>
      <c r="H328" s="588"/>
      <c r="I328" s="591">
        <f ca="1">IFERROR(__xludf.DUMMYFUNCTION("""COMPUTED_VALUE"""),0.405256319999999)</f>
        <v>0.405256319999999</v>
      </c>
      <c r="J328" s="592" t="str">
        <f ca="1">IFERROR(__xludf.DUMMYFUNCTION("""COMPUTED_VALUE""")," 10.00 ")</f>
        <v xml:space="preserve"> 10.00 </v>
      </c>
      <c r="K328" s="590" t="str">
        <f ca="1">IFERROR(__xludf.DUMMYFUNCTION("""COMPUTED_VALUE"""),"0.80")</f>
        <v>0.80</v>
      </c>
      <c r="L328" s="590">
        <f ca="1">IFERROR(__xludf.DUMMYFUNCTION("""COMPUTED_VALUE"""),1.9)</f>
        <v>1.9</v>
      </c>
      <c r="M328" s="590"/>
      <c r="N328" s="590" t="str">
        <f ca="1">IFERROR(__xludf.DUMMYFUNCTION("""COMPUTED_VALUE"""),"Dị_D&lt;54")</f>
        <v>Dị_D&lt;54</v>
      </c>
      <c r="O328" s="589"/>
      <c r="P328" s="590"/>
    </row>
    <row r="329" spans="1:16" ht="15.75">
      <c r="A329" s="581" t="str">
        <f ca="1">IFERROR(__xludf.DUMMYFUNCTION("""COMPUTED_VALUE"""),"Toàn Phát - Việt Nam")</f>
        <v>Toàn Phát - Việt Nam</v>
      </c>
      <c r="B329" s="581" t="str">
        <f ca="1">IFERROR(__xludf.DUMMYFUNCTION("""COMPUTED_VALUE"""),"ĐTPCAYDI")</f>
        <v>ĐTPCAYDI</v>
      </c>
      <c r="C329" s="581" t="str">
        <f ca="1">IFERROR(__xludf.DUMMYFUNCTION("""COMPUTED_VALUE"""),"DOT1000080211")</f>
        <v>DOT1000080211</v>
      </c>
      <c r="D329" s="582" t="str">
        <f ca="1">IFERROR(__xludf.DUMMYFUNCTION("""COMPUTED_VALUE"""),"Đồng ống thẳng 10.00x0.80x2.11")</f>
        <v>Đồng ống thẳng 10.00x0.80x2.11</v>
      </c>
      <c r="E329" s="583">
        <f ca="1">IFERROR(__xludf.DUMMYFUNCTION("""COMPUTED_VALUE"""),0.1)</f>
        <v>0.1</v>
      </c>
      <c r="F329" s="584" t="str">
        <f ca="1">IFERROR(__xludf.DUMMYFUNCTION("""COMPUTED_VALUE"""),"Cây")</f>
        <v>Cây</v>
      </c>
      <c r="G329" s="584" t="str">
        <f ca="1">IFERROR(__xludf.DUMMYFUNCTION("""COMPUTED_VALUE"""),"Cây 2.11m")</f>
        <v>Cây 2.11m</v>
      </c>
      <c r="H329" s="582"/>
      <c r="I329" s="585">
        <f ca="1">IFERROR(__xludf.DUMMYFUNCTION("""COMPUTED_VALUE"""),0.450047807999999)</f>
        <v>0.45004780799999899</v>
      </c>
      <c r="J329" s="586" t="str">
        <f ca="1">IFERROR(__xludf.DUMMYFUNCTION("""COMPUTED_VALUE""")," 10.00 ")</f>
        <v xml:space="preserve"> 10.00 </v>
      </c>
      <c r="K329" s="584" t="str">
        <f ca="1">IFERROR(__xludf.DUMMYFUNCTION("""COMPUTED_VALUE"""),"0.80")</f>
        <v>0.80</v>
      </c>
      <c r="L329" s="584">
        <f ca="1">IFERROR(__xludf.DUMMYFUNCTION("""COMPUTED_VALUE"""),2.11)</f>
        <v>2.11</v>
      </c>
      <c r="M329" s="584"/>
      <c r="N329" s="584" t="str">
        <f ca="1">IFERROR(__xludf.DUMMYFUNCTION("""COMPUTED_VALUE"""),"Dị_D&lt;54")</f>
        <v>Dị_D&lt;54</v>
      </c>
      <c r="O329" s="583"/>
      <c r="P329" s="584"/>
    </row>
    <row r="330" spans="1:16" ht="15.75">
      <c r="A330" s="587" t="str">
        <f ca="1">IFERROR(__xludf.DUMMYFUNCTION("""COMPUTED_VALUE"""),"Toàn Phát - Việt Nam")</f>
        <v>Toàn Phát - Việt Nam</v>
      </c>
      <c r="B330" s="587" t="str">
        <f ca="1">IFERROR(__xludf.DUMMYFUNCTION("""COMPUTED_VALUE"""),"ĐTPCAYDI")</f>
        <v>ĐTPCAYDI</v>
      </c>
      <c r="C330" s="587" t="str">
        <f ca="1">IFERROR(__xludf.DUMMYFUNCTION("""COMPUTED_VALUE"""),"DOT100008130")</f>
        <v>DOT100008130</v>
      </c>
      <c r="D330" s="588" t="str">
        <f ca="1">IFERROR(__xludf.DUMMYFUNCTION("""COMPUTED_VALUE"""),"Đồng ống thẳng 10.00x0.81x3.0")</f>
        <v>Đồng ống thẳng 10.00x0.81x3.0</v>
      </c>
      <c r="E330" s="589">
        <f ca="1">IFERROR(__xludf.DUMMYFUNCTION("""COMPUTED_VALUE"""),0.1)</f>
        <v>0.1</v>
      </c>
      <c r="F330" s="590" t="str">
        <f ca="1">IFERROR(__xludf.DUMMYFUNCTION("""COMPUTED_VALUE"""),"Cây")</f>
        <v>Cây</v>
      </c>
      <c r="G330" s="590" t="str">
        <f ca="1">IFERROR(__xludf.DUMMYFUNCTION("""COMPUTED_VALUE"""),"Cây 3m")</f>
        <v>Cây 3m</v>
      </c>
      <c r="H330" s="588"/>
      <c r="I330" s="591">
        <f ca="1">IFERROR(__xludf.DUMMYFUNCTION("""COMPUTED_VALUE"""),0.647172666)</f>
        <v>0.64717266600000001</v>
      </c>
      <c r="J330" s="592" t="str">
        <f ca="1">IFERROR(__xludf.DUMMYFUNCTION("""COMPUTED_VALUE""")," 10.00 ")</f>
        <v xml:space="preserve"> 10.00 </v>
      </c>
      <c r="K330" s="590" t="str">
        <f ca="1">IFERROR(__xludf.DUMMYFUNCTION("""COMPUTED_VALUE"""),"0.81")</f>
        <v>0.81</v>
      </c>
      <c r="L330" s="590">
        <f ca="1">IFERROR(__xludf.DUMMYFUNCTION("""COMPUTED_VALUE"""),3)</f>
        <v>3</v>
      </c>
      <c r="M330" s="590"/>
      <c r="N330" s="590" t="str">
        <f ca="1">IFERROR(__xludf.DUMMYFUNCTION("""COMPUTED_VALUE"""),"Dị_D&lt;54")</f>
        <v>Dị_D&lt;54</v>
      </c>
      <c r="O330" s="589"/>
      <c r="P330" s="590"/>
    </row>
    <row r="331" spans="1:16" ht="15.75">
      <c r="A331" s="581" t="str">
        <f ca="1">IFERROR(__xludf.DUMMYFUNCTION("""COMPUTED_VALUE"""),"Toàn Phát - Việt Nam")</f>
        <v>Toàn Phát - Việt Nam</v>
      </c>
      <c r="B331" s="581" t="str">
        <f ca="1">IFERROR(__xludf.DUMMYFUNCTION("""COMPUTED_VALUE"""),"ĐTPCAYDI")</f>
        <v>ĐTPCAYDI</v>
      </c>
      <c r="C331" s="581" t="str">
        <f ca="1">IFERROR(__xludf.DUMMYFUNCTION("""COMPUTED_VALUE"""),"DOT100008530")</f>
        <v>DOT100008530</v>
      </c>
      <c r="D331" s="582" t="str">
        <f ca="1">IFERROR(__xludf.DUMMYFUNCTION("""COMPUTED_VALUE"""),"Đồng ống thẳng 10.00x0.85x3.0")</f>
        <v>Đồng ống thẳng 10.00x0.85x3.0</v>
      </c>
      <c r="E331" s="583">
        <f ca="1">IFERROR(__xludf.DUMMYFUNCTION("""COMPUTED_VALUE"""),0.1)</f>
        <v>0.1</v>
      </c>
      <c r="F331" s="584" t="str">
        <f ca="1">IFERROR(__xludf.DUMMYFUNCTION("""COMPUTED_VALUE"""),"Cây")</f>
        <v>Cây</v>
      </c>
      <c r="G331" s="584" t="str">
        <f ca="1">IFERROR(__xludf.DUMMYFUNCTION("""COMPUTED_VALUE"""),"Cây 3m")</f>
        <v>Cây 3m</v>
      </c>
      <c r="H331" s="582"/>
      <c r="I331" s="585">
        <f ca="1">IFERROR(__xludf.DUMMYFUNCTION("""COMPUTED_VALUE"""),0.676175849999999)</f>
        <v>0.67617584999999902</v>
      </c>
      <c r="J331" s="586" t="str">
        <f ca="1">IFERROR(__xludf.DUMMYFUNCTION("""COMPUTED_VALUE""")," 10.00 ")</f>
        <v xml:space="preserve"> 10.00 </v>
      </c>
      <c r="K331" s="584" t="str">
        <f ca="1">IFERROR(__xludf.DUMMYFUNCTION("""COMPUTED_VALUE"""),"0.85")</f>
        <v>0.85</v>
      </c>
      <c r="L331" s="584">
        <f ca="1">IFERROR(__xludf.DUMMYFUNCTION("""COMPUTED_VALUE"""),3)</f>
        <v>3</v>
      </c>
      <c r="M331" s="584"/>
      <c r="N331" s="584" t="str">
        <f ca="1">IFERROR(__xludf.DUMMYFUNCTION("""COMPUTED_VALUE"""),"Dị_D&lt;54")</f>
        <v>Dị_D&lt;54</v>
      </c>
      <c r="O331" s="583"/>
      <c r="P331" s="584"/>
    </row>
    <row r="332" spans="1:16" ht="15.75">
      <c r="A332" s="587" t="str">
        <f ca="1">IFERROR(__xludf.DUMMYFUNCTION("""COMPUTED_VALUE"""),"Toàn Phát - Việt Nam")</f>
        <v>Toàn Phát - Việt Nam</v>
      </c>
      <c r="B332" s="587" t="str">
        <f ca="1">IFERROR(__xludf.DUMMYFUNCTION("""COMPUTED_VALUE"""),"ĐTPCAYDI")</f>
        <v>ĐTPCAYDI</v>
      </c>
      <c r="C332" s="587" t="str">
        <f ca="1">IFERROR(__xludf.DUMMYFUNCTION("""COMPUTED_VALUE"""),"DOT100009030")</f>
        <v>DOT100009030</v>
      </c>
      <c r="D332" s="588" t="str">
        <f ca="1">IFERROR(__xludf.DUMMYFUNCTION("""COMPUTED_VALUE"""),"Đồng ống thẳng 10.00x0.90x3.0")</f>
        <v>Đồng ống thẳng 10.00x0.90x3.0</v>
      </c>
      <c r="E332" s="589">
        <f ca="1">IFERROR(__xludf.DUMMYFUNCTION("""COMPUTED_VALUE"""),0.1)</f>
        <v>0.1</v>
      </c>
      <c r="F332" s="590" t="str">
        <f ca="1">IFERROR(__xludf.DUMMYFUNCTION("""COMPUTED_VALUE"""),"Cây")</f>
        <v>Cây</v>
      </c>
      <c r="G332" s="590" t="str">
        <f ca="1">IFERROR(__xludf.DUMMYFUNCTION("""COMPUTED_VALUE"""),"Cây 3m")</f>
        <v>Cây 3m</v>
      </c>
      <c r="H332" s="588"/>
      <c r="I332" s="591">
        <f ca="1">IFERROR(__xludf.DUMMYFUNCTION("""COMPUTED_VALUE"""),0.7120386)</f>
        <v>0.71203859999999997</v>
      </c>
      <c r="J332" s="592" t="str">
        <f ca="1">IFERROR(__xludf.DUMMYFUNCTION("""COMPUTED_VALUE""")," 10.00 ")</f>
        <v xml:space="preserve"> 10.00 </v>
      </c>
      <c r="K332" s="590" t="str">
        <f ca="1">IFERROR(__xludf.DUMMYFUNCTION("""COMPUTED_VALUE"""),"0.90")</f>
        <v>0.90</v>
      </c>
      <c r="L332" s="590">
        <f ca="1">IFERROR(__xludf.DUMMYFUNCTION("""COMPUTED_VALUE"""),3)</f>
        <v>3</v>
      </c>
      <c r="M332" s="590"/>
      <c r="N332" s="590" t="str">
        <f ca="1">IFERROR(__xludf.DUMMYFUNCTION("""COMPUTED_VALUE"""),"Dị_D&lt;54")</f>
        <v>Dị_D&lt;54</v>
      </c>
      <c r="O332" s="589"/>
      <c r="P332" s="590"/>
    </row>
    <row r="333" spans="1:16" ht="15.75">
      <c r="A333" s="581" t="str">
        <f ca="1">IFERROR(__xludf.DUMMYFUNCTION("""COMPUTED_VALUE"""),"Toàn Phát - Việt Nam")</f>
        <v>Toàn Phát - Việt Nam</v>
      </c>
      <c r="B333" s="581" t="str">
        <f ca="1">IFERROR(__xludf.DUMMYFUNCTION("""COMPUTED_VALUE"""),"ĐTPCAYDI")</f>
        <v>ĐTPCAYDI</v>
      </c>
      <c r="C333" s="581" t="str">
        <f ca="1">IFERROR(__xludf.DUMMYFUNCTION("""COMPUTED_VALUE"""),"DOT10001")</f>
        <v>DOT10001</v>
      </c>
      <c r="D333" s="582" t="str">
        <f ca="1">IFERROR(__xludf.DUMMYFUNCTION("""COMPUTED_VALUE"""),"Đồng ống thẳng 10.00x1")</f>
        <v>Đồng ống thẳng 10.00x1</v>
      </c>
      <c r="E333" s="583">
        <f ca="1">IFERROR(__xludf.DUMMYFUNCTION("""COMPUTED_VALUE"""),0.1)</f>
        <v>0.1</v>
      </c>
      <c r="F333" s="584" t="str">
        <f ca="1">IFERROR(__xludf.DUMMYFUNCTION("""COMPUTED_VALUE"""),"Cây")</f>
        <v>Cây</v>
      </c>
      <c r="G333" s="584" t="str">
        <f ca="1">IFERROR(__xludf.DUMMYFUNCTION("""COMPUTED_VALUE"""),"Cây 2.9m")</f>
        <v>Cây 2.9m</v>
      </c>
      <c r="H333" s="582"/>
      <c r="I333" s="585">
        <f ca="1">IFERROR(__xludf.DUMMYFUNCTION("""COMPUTED_VALUE"""),0.756378)</f>
        <v>0.75637799999999999</v>
      </c>
      <c r="J333" s="586" t="str">
        <f ca="1">IFERROR(__xludf.DUMMYFUNCTION("""COMPUTED_VALUE""")," 10.00 ")</f>
        <v xml:space="preserve"> 10.00 </v>
      </c>
      <c r="K333" s="584" t="str">
        <f ca="1">IFERROR(__xludf.DUMMYFUNCTION("""COMPUTED_VALUE"""),"1.00")</f>
        <v>1.00</v>
      </c>
      <c r="L333" s="584">
        <f ca="1">IFERROR(__xludf.DUMMYFUNCTION("""COMPUTED_VALUE"""),2.9)</f>
        <v>2.9</v>
      </c>
      <c r="M333" s="584"/>
      <c r="N333" s="584" t="str">
        <f ca="1">IFERROR(__xludf.DUMMYFUNCTION("""COMPUTED_VALUE"""),"Dị_D&lt;54")</f>
        <v>Dị_D&lt;54</v>
      </c>
      <c r="O333" s="583"/>
      <c r="P333" s="584"/>
    </row>
    <row r="334" spans="1:16" ht="15.75">
      <c r="A334" s="587" t="str">
        <f ca="1">IFERROR(__xludf.DUMMYFUNCTION("""COMPUTED_VALUE"""),"Toàn Phát - Việt Nam")</f>
        <v>Toàn Phát - Việt Nam</v>
      </c>
      <c r="B334" s="587" t="str">
        <f ca="1">IFERROR(__xludf.DUMMYFUNCTION("""COMPUTED_VALUE"""),"ĐTPCAYDI")</f>
        <v>ĐTPCAYDI</v>
      </c>
      <c r="C334" s="587" t="str">
        <f ca="1">IFERROR(__xludf.DUMMYFUNCTION("""COMPUTED_VALUE"""),"DOT100010012")</f>
        <v>DOT100010012</v>
      </c>
      <c r="D334" s="588" t="str">
        <f ca="1">IFERROR(__xludf.DUMMYFUNCTION("""COMPUTED_VALUE"""),"Đồng ống thẳng 10.00x1.00x1.2")</f>
        <v>Đồng ống thẳng 10.00x1.00x1.2</v>
      </c>
      <c r="E334" s="589">
        <f ca="1">IFERROR(__xludf.DUMMYFUNCTION("""COMPUTED_VALUE"""),0.1)</f>
        <v>0.1</v>
      </c>
      <c r="F334" s="590" t="str">
        <f ca="1">IFERROR(__xludf.DUMMYFUNCTION("""COMPUTED_VALUE"""),"Cây")</f>
        <v>Cây</v>
      </c>
      <c r="G334" s="590" t="str">
        <f ca="1">IFERROR(__xludf.DUMMYFUNCTION("""COMPUTED_VALUE"""),"Cây 1.2m")</f>
        <v>Cây 1.2m</v>
      </c>
      <c r="H334" s="588"/>
      <c r="I334" s="591">
        <f ca="1">IFERROR(__xludf.DUMMYFUNCTION("""COMPUTED_VALUE"""),0.312984)</f>
        <v>0.31298399999999998</v>
      </c>
      <c r="J334" s="592" t="str">
        <f ca="1">IFERROR(__xludf.DUMMYFUNCTION("""COMPUTED_VALUE""")," 10.00 ")</f>
        <v xml:space="preserve"> 10.00 </v>
      </c>
      <c r="K334" s="590" t="str">
        <f ca="1">IFERROR(__xludf.DUMMYFUNCTION("""COMPUTED_VALUE"""),"1.00")</f>
        <v>1.00</v>
      </c>
      <c r="L334" s="590">
        <f ca="1">IFERROR(__xludf.DUMMYFUNCTION("""COMPUTED_VALUE"""),1.2)</f>
        <v>1.2</v>
      </c>
      <c r="M334" s="590"/>
      <c r="N334" s="590" t="str">
        <f ca="1">IFERROR(__xludf.DUMMYFUNCTION("""COMPUTED_VALUE"""),"Dị_D&lt;54")</f>
        <v>Dị_D&lt;54</v>
      </c>
      <c r="O334" s="589"/>
      <c r="P334" s="590"/>
    </row>
    <row r="335" spans="1:16" ht="15.75">
      <c r="A335" s="581" t="str">
        <f ca="1">IFERROR(__xludf.DUMMYFUNCTION("""COMPUTED_VALUE"""),"Toàn Phát - Việt Nam")</f>
        <v>Toàn Phát - Việt Nam</v>
      </c>
      <c r="B335" s="581" t="str">
        <f ca="1">IFERROR(__xludf.DUMMYFUNCTION("""COMPUTED_VALUE"""),"ĐTPCAYDI")</f>
        <v>ĐTPCAYDI</v>
      </c>
      <c r="C335" s="581" t="str">
        <f ca="1">IFERROR(__xludf.DUMMYFUNCTION("""COMPUTED_VALUE"""),"DOT100010014")</f>
        <v>DOT100010014</v>
      </c>
      <c r="D335" s="582" t="str">
        <f ca="1">IFERROR(__xludf.DUMMYFUNCTION("""COMPUTED_VALUE"""),"Đồng ống thẳng 10.00x1.00x1.4")</f>
        <v>Đồng ống thẳng 10.00x1.00x1.4</v>
      </c>
      <c r="E335" s="583">
        <f ca="1">IFERROR(__xludf.DUMMYFUNCTION("""COMPUTED_VALUE"""),0.1)</f>
        <v>0.1</v>
      </c>
      <c r="F335" s="584" t="str">
        <f ca="1">IFERROR(__xludf.DUMMYFUNCTION("""COMPUTED_VALUE"""),"Cây")</f>
        <v>Cây</v>
      </c>
      <c r="G335" s="584" t="str">
        <f ca="1">IFERROR(__xludf.DUMMYFUNCTION("""COMPUTED_VALUE"""),"Cây 1.4m")</f>
        <v>Cây 1.4m</v>
      </c>
      <c r="H335" s="582"/>
      <c r="I335" s="585">
        <f ca="1">IFERROR(__xludf.DUMMYFUNCTION("""COMPUTED_VALUE"""),0.365148)</f>
        <v>0.36514799999999997</v>
      </c>
      <c r="J335" s="586" t="str">
        <f ca="1">IFERROR(__xludf.DUMMYFUNCTION("""COMPUTED_VALUE""")," 10.00 ")</f>
        <v xml:space="preserve"> 10.00 </v>
      </c>
      <c r="K335" s="584" t="str">
        <f ca="1">IFERROR(__xludf.DUMMYFUNCTION("""COMPUTED_VALUE"""),"1.00")</f>
        <v>1.00</v>
      </c>
      <c r="L335" s="584">
        <f ca="1">IFERROR(__xludf.DUMMYFUNCTION("""COMPUTED_VALUE"""),1.4)</f>
        <v>1.4</v>
      </c>
      <c r="M335" s="584"/>
      <c r="N335" s="584" t="str">
        <f ca="1">IFERROR(__xludf.DUMMYFUNCTION("""COMPUTED_VALUE"""),"Dị_D&lt;54")</f>
        <v>Dị_D&lt;54</v>
      </c>
      <c r="O335" s="583"/>
      <c r="P335" s="584"/>
    </row>
    <row r="336" spans="1:16" ht="15.75">
      <c r="A336" s="587" t="str">
        <f ca="1">IFERROR(__xludf.DUMMYFUNCTION("""COMPUTED_VALUE"""),"Toàn Phát - Việt Nam")</f>
        <v>Toàn Phát - Việt Nam</v>
      </c>
      <c r="B336" s="587" t="str">
        <f ca="1">IFERROR(__xludf.DUMMYFUNCTION("""COMPUTED_VALUE"""),"ĐTPCAYDI")</f>
        <v>ĐTPCAYDI</v>
      </c>
      <c r="C336" s="587" t="str">
        <f ca="1">IFERROR(__xludf.DUMMYFUNCTION("""COMPUTED_VALUE"""),"DOT100010015")</f>
        <v>DOT100010015</v>
      </c>
      <c r="D336" s="588" t="str">
        <f ca="1">IFERROR(__xludf.DUMMYFUNCTION("""COMPUTED_VALUE"""),"Đồng ống thẳng 10.00x1.00x1.5")</f>
        <v>Đồng ống thẳng 10.00x1.00x1.5</v>
      </c>
      <c r="E336" s="589">
        <f ca="1">IFERROR(__xludf.DUMMYFUNCTION("""COMPUTED_VALUE"""),0.1)</f>
        <v>0.1</v>
      </c>
      <c r="F336" s="590" t="str">
        <f ca="1">IFERROR(__xludf.DUMMYFUNCTION("""COMPUTED_VALUE"""),"Cây")</f>
        <v>Cây</v>
      </c>
      <c r="G336" s="590" t="str">
        <f ca="1">IFERROR(__xludf.DUMMYFUNCTION("""COMPUTED_VALUE"""),"Cây 1.5m")</f>
        <v>Cây 1.5m</v>
      </c>
      <c r="H336" s="588"/>
      <c r="I336" s="591">
        <f ca="1">IFERROR(__xludf.DUMMYFUNCTION("""COMPUTED_VALUE"""),0.391229999999999)</f>
        <v>0.39122999999999902</v>
      </c>
      <c r="J336" s="592" t="str">
        <f ca="1">IFERROR(__xludf.DUMMYFUNCTION("""COMPUTED_VALUE""")," 10.00 ")</f>
        <v xml:space="preserve"> 10.00 </v>
      </c>
      <c r="K336" s="590" t="str">
        <f ca="1">IFERROR(__xludf.DUMMYFUNCTION("""COMPUTED_VALUE"""),"1.00")</f>
        <v>1.00</v>
      </c>
      <c r="L336" s="590">
        <f ca="1">IFERROR(__xludf.DUMMYFUNCTION("""COMPUTED_VALUE"""),1.5)</f>
        <v>1.5</v>
      </c>
      <c r="M336" s="590"/>
      <c r="N336" s="590" t="str">
        <f ca="1">IFERROR(__xludf.DUMMYFUNCTION("""COMPUTED_VALUE"""),"Dị_D&lt;54")</f>
        <v>Dị_D&lt;54</v>
      </c>
      <c r="O336" s="589"/>
      <c r="P336" s="590"/>
    </row>
    <row r="337" spans="1:16" ht="15.75">
      <c r="A337" s="581" t="str">
        <f ca="1">IFERROR(__xludf.DUMMYFUNCTION("""COMPUTED_VALUE"""),"Toàn Phát - Việt Nam")</f>
        <v>Toàn Phát - Việt Nam</v>
      </c>
      <c r="B337" s="581" t="str">
        <f ca="1">IFERROR(__xludf.DUMMYFUNCTION("""COMPUTED_VALUE"""),"ĐTPCAYDI")</f>
        <v>ĐTPCAYDI</v>
      </c>
      <c r="C337" s="581" t="str">
        <f ca="1">IFERROR(__xludf.DUMMYFUNCTION("""COMPUTED_VALUE"""),"DOT10001003")</f>
        <v>DOT10001003</v>
      </c>
      <c r="D337" s="582" t="str">
        <f ca="1">IFERROR(__xludf.DUMMYFUNCTION("""COMPUTED_VALUE"""),"Đồng ống thẳng 10.00x1.00x3.0")</f>
        <v>Đồng ống thẳng 10.00x1.00x3.0</v>
      </c>
      <c r="E337" s="583">
        <f ca="1">IFERROR(__xludf.DUMMYFUNCTION("""COMPUTED_VALUE"""),0.1)</f>
        <v>0.1</v>
      </c>
      <c r="F337" s="584" t="str">
        <f ca="1">IFERROR(__xludf.DUMMYFUNCTION("""COMPUTED_VALUE"""),"Cây")</f>
        <v>Cây</v>
      </c>
      <c r="G337" s="584" t="str">
        <f ca="1">IFERROR(__xludf.DUMMYFUNCTION("""COMPUTED_VALUE"""),"Cây 3m")</f>
        <v>Cây 3m</v>
      </c>
      <c r="H337" s="582"/>
      <c r="I337" s="585">
        <f ca="1">IFERROR(__xludf.DUMMYFUNCTION("""COMPUTED_VALUE"""),0.782459999999999)</f>
        <v>0.78245999999999905</v>
      </c>
      <c r="J337" s="586" t="str">
        <f ca="1">IFERROR(__xludf.DUMMYFUNCTION("""COMPUTED_VALUE""")," 10.00 ")</f>
        <v xml:space="preserve"> 10.00 </v>
      </c>
      <c r="K337" s="584" t="str">
        <f ca="1">IFERROR(__xludf.DUMMYFUNCTION("""COMPUTED_VALUE"""),"1.00")</f>
        <v>1.00</v>
      </c>
      <c r="L337" s="584">
        <f ca="1">IFERROR(__xludf.DUMMYFUNCTION("""COMPUTED_VALUE"""),3)</f>
        <v>3</v>
      </c>
      <c r="M337" s="584"/>
      <c r="N337" s="584" t="str">
        <f ca="1">IFERROR(__xludf.DUMMYFUNCTION("""COMPUTED_VALUE"""),"Dị_D&lt;54")</f>
        <v>Dị_D&lt;54</v>
      </c>
      <c r="O337" s="583"/>
      <c r="P337" s="584"/>
    </row>
    <row r="338" spans="1:16" ht="15.75">
      <c r="A338" s="587" t="str">
        <f ca="1">IFERROR(__xludf.DUMMYFUNCTION("""COMPUTED_VALUE"""),"Toàn Phát - Việt Nam")</f>
        <v>Toàn Phát - Việt Nam</v>
      </c>
      <c r="B338" s="587" t="str">
        <f ca="1">IFERROR(__xludf.DUMMYFUNCTION("""COMPUTED_VALUE"""),"ĐTPCAYDI")</f>
        <v>ĐTPCAYDI</v>
      </c>
      <c r="C338" s="587" t="str">
        <f ca="1">IFERROR(__xludf.DUMMYFUNCTION("""COMPUTED_VALUE"""),"DOT1000100495")</f>
        <v>DOT1000100495</v>
      </c>
      <c r="D338" s="588" t="str">
        <f ca="1">IFERROR(__xludf.DUMMYFUNCTION("""COMPUTED_VALUE"""),"Đồng ống thẳng 10.00x1.00x4.95")</f>
        <v>Đồng ống thẳng 10.00x1.00x4.95</v>
      </c>
      <c r="E338" s="589">
        <f ca="1">IFERROR(__xludf.DUMMYFUNCTION("""COMPUTED_VALUE"""),0.1)</f>
        <v>0.1</v>
      </c>
      <c r="F338" s="590" t="str">
        <f ca="1">IFERROR(__xludf.DUMMYFUNCTION("""COMPUTED_VALUE"""),"Cây")</f>
        <v>Cây</v>
      </c>
      <c r="G338" s="590" t="str">
        <f ca="1">IFERROR(__xludf.DUMMYFUNCTION("""COMPUTED_VALUE"""),"Cây 4.95m")</f>
        <v>Cây 4.95m</v>
      </c>
      <c r="H338" s="588"/>
      <c r="I338" s="591">
        <f ca="1">IFERROR(__xludf.DUMMYFUNCTION("""COMPUTED_VALUE"""),1.291059)</f>
        <v>1.291059</v>
      </c>
      <c r="J338" s="592" t="str">
        <f ca="1">IFERROR(__xludf.DUMMYFUNCTION("""COMPUTED_VALUE""")," 10.00 ")</f>
        <v xml:space="preserve"> 10.00 </v>
      </c>
      <c r="K338" s="590" t="str">
        <f ca="1">IFERROR(__xludf.DUMMYFUNCTION("""COMPUTED_VALUE"""),"1.00")</f>
        <v>1.00</v>
      </c>
      <c r="L338" s="590">
        <f ca="1">IFERROR(__xludf.DUMMYFUNCTION("""COMPUTED_VALUE"""),4.95)</f>
        <v>4.95</v>
      </c>
      <c r="M338" s="590"/>
      <c r="N338" s="590" t="str">
        <f ca="1">IFERROR(__xludf.DUMMYFUNCTION("""COMPUTED_VALUE"""),"Dị_D&lt;54")</f>
        <v>Dị_D&lt;54</v>
      </c>
      <c r="O338" s="589"/>
      <c r="P338" s="590"/>
    </row>
    <row r="339" spans="1:16" ht="15.75">
      <c r="A339" s="581" t="str">
        <f ca="1">IFERROR(__xludf.DUMMYFUNCTION("""COMPUTED_VALUE"""),"Toàn Phát - Việt Nam")</f>
        <v>Toàn Phát - Việt Nam</v>
      </c>
      <c r="B339" s="581" t="str">
        <f ca="1">IFERROR(__xludf.DUMMYFUNCTION("""COMPUTED_VALUE"""),"ĐTPCAYDI")</f>
        <v>ĐTPCAYDI</v>
      </c>
      <c r="C339" s="581" t="str">
        <f ca="1">IFERROR(__xludf.DUMMYFUNCTION("""COMPUTED_VALUE"""),"DOT1000100496")</f>
        <v>DOT1000100496</v>
      </c>
      <c r="D339" s="582" t="str">
        <f ca="1">IFERROR(__xludf.DUMMYFUNCTION("""COMPUTED_VALUE"""),"Đồng ống thẳng 10.00x1.00x4.68")</f>
        <v>Đồng ống thẳng 10.00x1.00x4.68</v>
      </c>
      <c r="E339" s="583">
        <f ca="1">IFERROR(__xludf.DUMMYFUNCTION("""COMPUTED_VALUE"""),0.1)</f>
        <v>0.1</v>
      </c>
      <c r="F339" s="584" t="str">
        <f ca="1">IFERROR(__xludf.DUMMYFUNCTION("""COMPUTED_VALUE"""),"Cây")</f>
        <v>Cây</v>
      </c>
      <c r="G339" s="584" t="str">
        <f ca="1">IFERROR(__xludf.DUMMYFUNCTION("""COMPUTED_VALUE"""),"Cây 4.68m")</f>
        <v>Cây 4.68m</v>
      </c>
      <c r="H339" s="582"/>
      <c r="I339" s="585">
        <f ca="1">IFERROR(__xludf.DUMMYFUNCTION("""COMPUTED_VALUE"""),1.22063759999999)</f>
        <v>1.2206375999999901</v>
      </c>
      <c r="J339" s="586" t="str">
        <f ca="1">IFERROR(__xludf.DUMMYFUNCTION("""COMPUTED_VALUE""")," 10.00 ")</f>
        <v xml:space="preserve"> 10.00 </v>
      </c>
      <c r="K339" s="584" t="str">
        <f ca="1">IFERROR(__xludf.DUMMYFUNCTION("""COMPUTED_VALUE"""),"1.00")</f>
        <v>1.00</v>
      </c>
      <c r="L339" s="584">
        <f ca="1">IFERROR(__xludf.DUMMYFUNCTION("""COMPUTED_VALUE"""),4.68)</f>
        <v>4.68</v>
      </c>
      <c r="M339" s="584"/>
      <c r="N339" s="584" t="str">
        <f ca="1">IFERROR(__xludf.DUMMYFUNCTION("""COMPUTED_VALUE"""),"Dị_D&lt;54")</f>
        <v>Dị_D&lt;54</v>
      </c>
      <c r="O339" s="583"/>
      <c r="P339" s="584"/>
    </row>
    <row r="340" spans="1:16" ht="15.75">
      <c r="A340" s="587" t="str">
        <f ca="1">IFERROR(__xludf.DUMMYFUNCTION("""COMPUTED_VALUE"""),"Toàn Phát - Việt Nam")</f>
        <v>Toàn Phát - Việt Nam</v>
      </c>
      <c r="B340" s="587" t="str">
        <f ca="1">IFERROR(__xludf.DUMMYFUNCTION("""COMPUTED_VALUE"""),"ĐTPCAYDI")</f>
        <v>ĐTPCAYDI</v>
      </c>
      <c r="C340" s="587" t="str">
        <f ca="1">IFERROR(__xludf.DUMMYFUNCTION("""COMPUTED_VALUE"""),"DOT10001103")</f>
        <v>DOT10001103</v>
      </c>
      <c r="D340" s="588" t="str">
        <f ca="1">IFERROR(__xludf.DUMMYFUNCTION("""COMPUTED_VALUE"""),"Đồng ống thẳng 10.00x1.1x30")</f>
        <v>Đồng ống thẳng 10.00x1.1x30</v>
      </c>
      <c r="E340" s="589">
        <f ca="1">IFERROR(__xludf.DUMMYFUNCTION("""COMPUTED_VALUE"""),0.1)</f>
        <v>0.1</v>
      </c>
      <c r="F340" s="590" t="str">
        <f ca="1">IFERROR(__xludf.DUMMYFUNCTION("""COMPUTED_VALUE"""),"Cây")</f>
        <v>Cây</v>
      </c>
      <c r="G340" s="590" t="str">
        <f ca="1">IFERROR(__xludf.DUMMYFUNCTION("""COMPUTED_VALUE"""),"Cây 3m")</f>
        <v>Cây 3m</v>
      </c>
      <c r="H340" s="588"/>
      <c r="I340" s="591">
        <f ca="1">IFERROR(__xludf.DUMMYFUNCTION("""COMPUTED_VALUE"""),0.8511426)</f>
        <v>0.85114259999999997</v>
      </c>
      <c r="J340" s="592" t="str">
        <f ca="1">IFERROR(__xludf.DUMMYFUNCTION("""COMPUTED_VALUE""")," 10.00 ")</f>
        <v xml:space="preserve"> 10.00 </v>
      </c>
      <c r="K340" s="590" t="str">
        <f ca="1">IFERROR(__xludf.DUMMYFUNCTION("""COMPUTED_VALUE"""),"1.10")</f>
        <v>1.10</v>
      </c>
      <c r="L340" s="590">
        <f ca="1">IFERROR(__xludf.DUMMYFUNCTION("""COMPUTED_VALUE"""),3)</f>
        <v>3</v>
      </c>
      <c r="M340" s="590"/>
      <c r="N340" s="590" t="str">
        <f ca="1">IFERROR(__xludf.DUMMYFUNCTION("""COMPUTED_VALUE"""),"Dị_D&lt;54")</f>
        <v>Dị_D&lt;54</v>
      </c>
      <c r="O340" s="589"/>
      <c r="P340" s="590"/>
    </row>
    <row r="341" spans="1:16" ht="15.75">
      <c r="A341" s="581" t="str">
        <f ca="1">IFERROR(__xludf.DUMMYFUNCTION("""COMPUTED_VALUE"""),"Toàn Phát - Việt Nam")</f>
        <v>Toàn Phát - Việt Nam</v>
      </c>
      <c r="B341" s="581" t="str">
        <f ca="1">IFERROR(__xludf.DUMMYFUNCTION("""COMPUTED_VALUE"""),"ĐTPCAYDI")</f>
        <v>ĐTPCAYDI</v>
      </c>
      <c r="C341" s="581" t="str">
        <f ca="1">IFERROR(__xludf.DUMMYFUNCTION("""COMPUTED_VALUE"""),"DOT10001253")</f>
        <v>DOT10001253</v>
      </c>
      <c r="D341" s="582" t="str">
        <f ca="1">IFERROR(__xludf.DUMMYFUNCTION("""COMPUTED_VALUE"""),"Đồng ống thẳng 10.00x1.25x3.0")</f>
        <v>Đồng ống thẳng 10.00x1.25x3.0</v>
      </c>
      <c r="E341" s="583">
        <f ca="1">IFERROR(__xludf.DUMMYFUNCTION("""COMPUTED_VALUE"""),0.1)</f>
        <v>0.1</v>
      </c>
      <c r="F341" s="584" t="str">
        <f ca="1">IFERROR(__xludf.DUMMYFUNCTION("""COMPUTED_VALUE"""),"Cây")</f>
        <v>Cây</v>
      </c>
      <c r="G341" s="584" t="str">
        <f ca="1">IFERROR(__xludf.DUMMYFUNCTION("""COMPUTED_VALUE"""),"Cây 3m")</f>
        <v>Cây 3m</v>
      </c>
      <c r="H341" s="582"/>
      <c r="I341" s="585">
        <f ca="1">IFERROR(__xludf.DUMMYFUNCTION("""COMPUTED_VALUE"""),0.95090625)</f>
        <v>0.95090624999999995</v>
      </c>
      <c r="J341" s="586" t="str">
        <f ca="1">IFERROR(__xludf.DUMMYFUNCTION("""COMPUTED_VALUE""")," 10.00 ")</f>
        <v xml:space="preserve"> 10.00 </v>
      </c>
      <c r="K341" s="584" t="str">
        <f ca="1">IFERROR(__xludf.DUMMYFUNCTION("""COMPUTED_VALUE"""),"1.25")</f>
        <v>1.25</v>
      </c>
      <c r="L341" s="584">
        <f ca="1">IFERROR(__xludf.DUMMYFUNCTION("""COMPUTED_VALUE"""),3)</f>
        <v>3</v>
      </c>
      <c r="M341" s="584"/>
      <c r="N341" s="584" t="str">
        <f ca="1">IFERROR(__xludf.DUMMYFUNCTION("""COMPUTED_VALUE"""),"Dị_D&lt;54")</f>
        <v>Dị_D&lt;54</v>
      </c>
      <c r="O341" s="583"/>
      <c r="P341" s="584"/>
    </row>
    <row r="342" spans="1:16" ht="15.75">
      <c r="A342" s="587" t="str">
        <f ca="1">IFERROR(__xludf.DUMMYFUNCTION("""COMPUTED_VALUE"""),"Toàn Phát - Việt Nam")</f>
        <v>Toàn Phát - Việt Nam</v>
      </c>
      <c r="B342" s="587" t="str">
        <f ca="1">IFERROR(__xludf.DUMMYFUNCTION("""COMPUTED_VALUE"""),"ĐTPCAYDI")</f>
        <v>ĐTPCAYDI</v>
      </c>
      <c r="C342" s="587" t="str">
        <f ca="1">IFERROR(__xludf.DUMMYFUNCTION("""COMPUTED_VALUE"""),"DOT10001530")</f>
        <v>DOT10001530</v>
      </c>
      <c r="D342" s="588" t="str">
        <f ca="1">IFERROR(__xludf.DUMMYFUNCTION("""COMPUTED_VALUE"""),"Đồng ống thẳng 10.00x1.5x3.0")</f>
        <v>Đồng ống thẳng 10.00x1.5x3.0</v>
      </c>
      <c r="E342" s="589">
        <f ca="1">IFERROR(__xludf.DUMMYFUNCTION("""COMPUTED_VALUE"""),0.1)</f>
        <v>0.1</v>
      </c>
      <c r="F342" s="590" t="str">
        <f ca="1">IFERROR(__xludf.DUMMYFUNCTION("""COMPUTED_VALUE"""),"Cây")</f>
        <v>Cây</v>
      </c>
      <c r="G342" s="590" t="str">
        <f ca="1">IFERROR(__xludf.DUMMYFUNCTION("""COMPUTED_VALUE"""),"Cây 3m")</f>
        <v>Cây 3m</v>
      </c>
      <c r="H342" s="588"/>
      <c r="I342" s="591">
        <f ca="1">IFERROR(__xludf.DUMMYFUNCTION("""COMPUTED_VALUE"""),1.108485)</f>
        <v>1.1084849999999999</v>
      </c>
      <c r="J342" s="592" t="str">
        <f ca="1">IFERROR(__xludf.DUMMYFUNCTION("""COMPUTED_VALUE""")," 10.00 ")</f>
        <v xml:space="preserve"> 10.00 </v>
      </c>
      <c r="K342" s="590" t="str">
        <f ca="1">IFERROR(__xludf.DUMMYFUNCTION("""COMPUTED_VALUE"""),"1.50")</f>
        <v>1.50</v>
      </c>
      <c r="L342" s="590">
        <f ca="1">IFERROR(__xludf.DUMMYFUNCTION("""COMPUTED_VALUE"""),3)</f>
        <v>3</v>
      </c>
      <c r="M342" s="590"/>
      <c r="N342" s="590" t="str">
        <f ca="1">IFERROR(__xludf.DUMMYFUNCTION("""COMPUTED_VALUE"""),"Dị_D&lt;54")</f>
        <v>Dị_D&lt;54</v>
      </c>
      <c r="O342" s="589"/>
      <c r="P342" s="590"/>
    </row>
    <row r="343" spans="1:16" ht="15.75">
      <c r="A343" s="581" t="str">
        <f ca="1">IFERROR(__xludf.DUMMYFUNCTION("""COMPUTED_VALUE"""),"Toàn Phát - Việt Nam")</f>
        <v>Toàn Phát - Việt Nam</v>
      </c>
      <c r="B343" s="581" t="str">
        <f ca="1">IFERROR(__xludf.DUMMYFUNCTION("""COMPUTED_VALUE"""),"ĐTPCAYDI")</f>
        <v>ĐTPCAYDI</v>
      </c>
      <c r="C343" s="581" t="str">
        <f ca="1">IFERROR(__xludf.DUMMYFUNCTION("""COMPUTED_VALUE"""),"DOT105011030")</f>
        <v>DOT105011030</v>
      </c>
      <c r="D343" s="582" t="str">
        <f ca="1">IFERROR(__xludf.DUMMYFUNCTION("""COMPUTED_VALUE"""),"Đồng ống thẳng 10.50x1.1x3.0")</f>
        <v>Đồng ống thẳng 10.50x1.1x3.0</v>
      </c>
      <c r="E343" s="583">
        <f ca="1">IFERROR(__xludf.DUMMYFUNCTION("""COMPUTED_VALUE"""),0.1)</f>
        <v>0.1</v>
      </c>
      <c r="F343" s="584" t="str">
        <f ca="1">IFERROR(__xludf.DUMMYFUNCTION("""COMPUTED_VALUE"""),"Cây")</f>
        <v>Cây</v>
      </c>
      <c r="G343" s="584" t="str">
        <f ca="1">IFERROR(__xludf.DUMMYFUNCTION("""COMPUTED_VALUE"""),"Cây 3m")</f>
        <v>Cây 3m</v>
      </c>
      <c r="H343" s="582"/>
      <c r="I343" s="585">
        <f ca="1">IFERROR(__xludf.DUMMYFUNCTION("""COMPUTED_VALUE"""),0.8989596)</f>
        <v>0.89895959999999997</v>
      </c>
      <c r="J343" s="586" t="str">
        <f ca="1">IFERROR(__xludf.DUMMYFUNCTION("""COMPUTED_VALUE""")," 10.50 ")</f>
        <v xml:space="preserve"> 10.50 </v>
      </c>
      <c r="K343" s="584" t="str">
        <f ca="1">IFERROR(__xludf.DUMMYFUNCTION("""COMPUTED_VALUE"""),"1.10")</f>
        <v>1.10</v>
      </c>
      <c r="L343" s="584">
        <f ca="1">IFERROR(__xludf.DUMMYFUNCTION("""COMPUTED_VALUE"""),3)</f>
        <v>3</v>
      </c>
      <c r="M343" s="584"/>
      <c r="N343" s="584" t="str">
        <f ca="1">IFERROR(__xludf.DUMMYFUNCTION("""COMPUTED_VALUE"""),"Dị_D&lt;54")</f>
        <v>Dị_D&lt;54</v>
      </c>
      <c r="O343" s="583"/>
      <c r="P343" s="584"/>
    </row>
    <row r="344" spans="1:16" ht="15.75">
      <c r="A344" s="587" t="str">
        <f ca="1">IFERROR(__xludf.DUMMYFUNCTION("""COMPUTED_VALUE"""),"Toàn Phát - Việt Nam")</f>
        <v>Toàn Phát - Việt Nam</v>
      </c>
      <c r="B344" s="587" t="str">
        <f ca="1">IFERROR(__xludf.DUMMYFUNCTION("""COMPUTED_VALUE"""),"ĐTPCAYDI")</f>
        <v>ĐTPCAYDI</v>
      </c>
      <c r="C344" s="587" t="str">
        <f ca="1">IFERROR(__xludf.DUMMYFUNCTION("""COMPUTED_VALUE"""),"DOT105011530")</f>
        <v>DOT105011530</v>
      </c>
      <c r="D344" s="588" t="str">
        <f ca="1">IFERROR(__xludf.DUMMYFUNCTION("""COMPUTED_VALUE"""),"Đồng ống thẳng 10.50x1.15x3.0")</f>
        <v>Đồng ống thẳng 10.50x1.15x3.0</v>
      </c>
      <c r="E344" s="589">
        <f ca="1">IFERROR(__xludf.DUMMYFUNCTION("""COMPUTED_VALUE"""),0.1)</f>
        <v>0.1</v>
      </c>
      <c r="F344" s="590" t="str">
        <f ca="1">IFERROR(__xludf.DUMMYFUNCTION("""COMPUTED_VALUE"""),"Cây")</f>
        <v>Cây</v>
      </c>
      <c r="G344" s="590" t="str">
        <f ca="1">IFERROR(__xludf.DUMMYFUNCTION("""COMPUTED_VALUE"""),"Cây 3m")</f>
        <v>Cây 3m</v>
      </c>
      <c r="H344" s="588"/>
      <c r="I344" s="591">
        <f ca="1">IFERROR(__xludf.DUMMYFUNCTION("""COMPUTED_VALUE"""),0.93482235)</f>
        <v>0.93482235000000002</v>
      </c>
      <c r="J344" s="592" t="str">
        <f ca="1">IFERROR(__xludf.DUMMYFUNCTION("""COMPUTED_VALUE""")," 10.50 ")</f>
        <v xml:space="preserve"> 10.50 </v>
      </c>
      <c r="K344" s="590" t="str">
        <f ca="1">IFERROR(__xludf.DUMMYFUNCTION("""COMPUTED_VALUE"""),"1.15")</f>
        <v>1.15</v>
      </c>
      <c r="L344" s="590">
        <f ca="1">IFERROR(__xludf.DUMMYFUNCTION("""COMPUTED_VALUE"""),3)</f>
        <v>3</v>
      </c>
      <c r="M344" s="590"/>
      <c r="N344" s="590" t="str">
        <f ca="1">IFERROR(__xludf.DUMMYFUNCTION("""COMPUTED_VALUE"""),"Dị_D&lt;54")</f>
        <v>Dị_D&lt;54</v>
      </c>
      <c r="O344" s="589"/>
      <c r="P344" s="590"/>
    </row>
    <row r="345" spans="1:16" ht="15.75">
      <c r="A345" s="581" t="str">
        <f ca="1">IFERROR(__xludf.DUMMYFUNCTION("""COMPUTED_VALUE"""),"Toàn Phát - Việt Nam")</f>
        <v>Toàn Phát - Việt Nam</v>
      </c>
      <c r="B345" s="581" t="str">
        <f ca="1">IFERROR(__xludf.DUMMYFUNCTION("""COMPUTED_VALUE"""),"ĐTPCAYDI")</f>
        <v>ĐTPCAYDI</v>
      </c>
      <c r="C345" s="581" t="str">
        <f ca="1">IFERROR(__xludf.DUMMYFUNCTION("""COMPUTED_VALUE"""),"DOT105012020")</f>
        <v>DOT105012020</v>
      </c>
      <c r="D345" s="582" t="str">
        <f ca="1">IFERROR(__xludf.DUMMYFUNCTION("""COMPUTED_VALUE"""),"Đồng ống thẳng 10.50x1.20x2.0")</f>
        <v>Đồng ống thẳng 10.50x1.20x2.0</v>
      </c>
      <c r="E345" s="583">
        <f ca="1">IFERROR(__xludf.DUMMYFUNCTION("""COMPUTED_VALUE"""),0.1)</f>
        <v>0.1</v>
      </c>
      <c r="F345" s="584" t="str">
        <f ca="1">IFERROR(__xludf.DUMMYFUNCTION("""COMPUTED_VALUE"""),"Cây")</f>
        <v>Cây</v>
      </c>
      <c r="G345" s="584" t="str">
        <f ca="1">IFERROR(__xludf.DUMMYFUNCTION("""COMPUTED_VALUE"""),"Cây 2m")</f>
        <v>Cây 2m</v>
      </c>
      <c r="H345" s="582"/>
      <c r="I345" s="585">
        <f ca="1">IFERROR(__xludf.DUMMYFUNCTION("""COMPUTED_VALUE"""),0.6468336)</f>
        <v>0.64683360000000001</v>
      </c>
      <c r="J345" s="586" t="str">
        <f ca="1">IFERROR(__xludf.DUMMYFUNCTION("""COMPUTED_VALUE""")," 10.50 ")</f>
        <v xml:space="preserve"> 10.50 </v>
      </c>
      <c r="K345" s="584" t="str">
        <f ca="1">IFERROR(__xludf.DUMMYFUNCTION("""COMPUTED_VALUE"""),"1.20")</f>
        <v>1.20</v>
      </c>
      <c r="L345" s="584">
        <f ca="1">IFERROR(__xludf.DUMMYFUNCTION("""COMPUTED_VALUE"""),2)</f>
        <v>2</v>
      </c>
      <c r="M345" s="584"/>
      <c r="N345" s="584" t="str">
        <f ca="1">IFERROR(__xludf.DUMMYFUNCTION("""COMPUTED_VALUE"""),"Dị_D&lt;54")</f>
        <v>Dị_D&lt;54</v>
      </c>
      <c r="O345" s="583"/>
      <c r="P345" s="584"/>
    </row>
    <row r="346" spans="1:16" ht="15.75">
      <c r="A346" s="587" t="str">
        <f ca="1">IFERROR(__xludf.DUMMYFUNCTION("""COMPUTED_VALUE"""),"Toàn Phát - Việt Nam")</f>
        <v>Toàn Phát - Việt Nam</v>
      </c>
      <c r="B346" s="587" t="str">
        <f ca="1">IFERROR(__xludf.DUMMYFUNCTION("""COMPUTED_VALUE"""),"ĐTPCAYDI")</f>
        <v>ĐTPCAYDI</v>
      </c>
      <c r="C346" s="587" t="str">
        <f ca="1">IFERROR(__xludf.DUMMYFUNCTION("""COMPUTED_VALUE"""),"DOT105015030")</f>
        <v>DOT105015030</v>
      </c>
      <c r="D346" s="588" t="str">
        <f ca="1">IFERROR(__xludf.DUMMYFUNCTION("""COMPUTED_VALUE"""),"Đồng ống thẳng 10.50x1.50x3.0")</f>
        <v>Đồng ống thẳng 10.50x1.50x3.0</v>
      </c>
      <c r="E346" s="589">
        <f ca="1">IFERROR(__xludf.DUMMYFUNCTION("""COMPUTED_VALUE"""),0.1)</f>
        <v>0.1</v>
      </c>
      <c r="F346" s="590" t="str">
        <f ca="1">IFERROR(__xludf.DUMMYFUNCTION("""COMPUTED_VALUE"""),"Cây")</f>
        <v>Cây</v>
      </c>
      <c r="G346" s="590" t="str">
        <f ca="1">IFERROR(__xludf.DUMMYFUNCTION("""COMPUTED_VALUE"""),"Cây 3m")</f>
        <v>Cây 3m</v>
      </c>
      <c r="H346" s="588"/>
      <c r="I346" s="591">
        <f ca="1">IFERROR(__xludf.DUMMYFUNCTION("""COMPUTED_VALUE"""),1.17369)</f>
        <v>1.1736899999999999</v>
      </c>
      <c r="J346" s="592" t="str">
        <f ca="1">IFERROR(__xludf.DUMMYFUNCTION("""COMPUTED_VALUE""")," 10.50 ")</f>
        <v xml:space="preserve"> 10.50 </v>
      </c>
      <c r="K346" s="590" t="str">
        <f ca="1">IFERROR(__xludf.DUMMYFUNCTION("""COMPUTED_VALUE"""),"1.50")</f>
        <v>1.50</v>
      </c>
      <c r="L346" s="590">
        <f ca="1">IFERROR(__xludf.DUMMYFUNCTION("""COMPUTED_VALUE"""),3)</f>
        <v>3</v>
      </c>
      <c r="M346" s="590"/>
      <c r="N346" s="590" t="str">
        <f ca="1">IFERROR(__xludf.DUMMYFUNCTION("""COMPUTED_VALUE"""),"Dị_D&lt;54")</f>
        <v>Dị_D&lt;54</v>
      </c>
      <c r="O346" s="589"/>
      <c r="P346" s="590"/>
    </row>
    <row r="347" spans="1:16" ht="15.75">
      <c r="A347" s="581" t="str">
        <f ca="1">IFERROR(__xludf.DUMMYFUNCTION("""COMPUTED_VALUE"""),"Toàn Phát - Việt Nam")</f>
        <v>Toàn Phát - Việt Nam</v>
      </c>
      <c r="B347" s="581" t="str">
        <f ca="1">IFERROR(__xludf.DUMMYFUNCTION("""COMPUTED_VALUE"""),"ĐTPCAYDI")</f>
        <v>ĐTPCAYDI</v>
      </c>
      <c r="C347" s="581" t="str">
        <f ca="1">IFERROR(__xludf.DUMMYFUNCTION("""COMPUTED_VALUE"""),"DOT106012530")</f>
        <v>DOT106012530</v>
      </c>
      <c r="D347" s="582" t="str">
        <f ca="1">IFERROR(__xludf.DUMMYFUNCTION("""COMPUTED_VALUE"""),"Đồng ống thẳng 10.60x1.25x3.0")</f>
        <v>Đồng ống thẳng 10.60x1.25x3.0</v>
      </c>
      <c r="E347" s="583">
        <f ca="1">IFERROR(__xludf.DUMMYFUNCTION("""COMPUTED_VALUE"""),0.1)</f>
        <v>0.1</v>
      </c>
      <c r="F347" s="584" t="str">
        <f ca="1">IFERROR(__xludf.DUMMYFUNCTION("""COMPUTED_VALUE"""),"Cây")</f>
        <v>Cây</v>
      </c>
      <c r="G347" s="584" t="str">
        <f ca="1">IFERROR(__xludf.DUMMYFUNCTION("""COMPUTED_VALUE"""),"Cây 3m")</f>
        <v>Cây 3m</v>
      </c>
      <c r="H347" s="582"/>
      <c r="I347" s="585">
        <f ca="1">IFERROR(__xludf.DUMMYFUNCTION("""COMPUTED_VALUE"""),1.01611124999999)</f>
        <v>1.01611124999999</v>
      </c>
      <c r="J347" s="586" t="str">
        <f ca="1">IFERROR(__xludf.DUMMYFUNCTION("""COMPUTED_VALUE""")," 10.60 ")</f>
        <v xml:space="preserve"> 10.60 </v>
      </c>
      <c r="K347" s="584" t="str">
        <f ca="1">IFERROR(__xludf.DUMMYFUNCTION("""COMPUTED_VALUE"""),"1.25")</f>
        <v>1.25</v>
      </c>
      <c r="L347" s="584">
        <f ca="1">IFERROR(__xludf.DUMMYFUNCTION("""COMPUTED_VALUE"""),3)</f>
        <v>3</v>
      </c>
      <c r="M347" s="584"/>
      <c r="N347" s="584" t="str">
        <f ca="1">IFERROR(__xludf.DUMMYFUNCTION("""COMPUTED_VALUE"""),"Dị_D&lt;54")</f>
        <v>Dị_D&lt;54</v>
      </c>
      <c r="O347" s="583"/>
      <c r="P347" s="584"/>
    </row>
    <row r="348" spans="1:16" ht="15.75">
      <c r="A348" s="587" t="str">
        <f ca="1">IFERROR(__xludf.DUMMYFUNCTION("""COMPUTED_VALUE"""),"Toàn Phát - Việt Nam")</f>
        <v>Toàn Phát - Việt Nam</v>
      </c>
      <c r="B348" s="587" t="str">
        <f ca="1">IFERROR(__xludf.DUMMYFUNCTION("""COMPUTED_VALUE"""),"ĐTPCAYDI")</f>
        <v>ĐTPCAYDI</v>
      </c>
      <c r="C348" s="587" t="str">
        <f ca="1">IFERROR(__xludf.DUMMYFUNCTION("""COMPUTED_VALUE"""),"DOT110012530")</f>
        <v>DOT110012530</v>
      </c>
      <c r="D348" s="588" t="str">
        <f ca="1">IFERROR(__xludf.DUMMYFUNCTION("""COMPUTED_VALUE"""),"Đồng ống thẳng 11.00x1.25x3.0")</f>
        <v>Đồng ống thẳng 11.00x1.25x3.0</v>
      </c>
      <c r="E348" s="589">
        <f ca="1">IFERROR(__xludf.DUMMYFUNCTION("""COMPUTED_VALUE"""),0.1)</f>
        <v>0.1</v>
      </c>
      <c r="F348" s="590" t="str">
        <f ca="1">IFERROR(__xludf.DUMMYFUNCTION("""COMPUTED_VALUE"""),"Cây")</f>
        <v>Cây</v>
      </c>
      <c r="G348" s="590" t="str">
        <f ca="1">IFERROR(__xludf.DUMMYFUNCTION("""COMPUTED_VALUE"""),"Cây 3m")</f>
        <v>Cây 3m</v>
      </c>
      <c r="H348" s="588"/>
      <c r="I348" s="591">
        <f ca="1">IFERROR(__xludf.DUMMYFUNCTION("""COMPUTED_VALUE"""),1.05958125)</f>
        <v>1.0595812499999999</v>
      </c>
      <c r="J348" s="592" t="str">
        <f ca="1">IFERROR(__xludf.DUMMYFUNCTION("""COMPUTED_VALUE""")," 11.00 ")</f>
        <v xml:space="preserve"> 11.00 </v>
      </c>
      <c r="K348" s="590" t="str">
        <f ca="1">IFERROR(__xludf.DUMMYFUNCTION("""COMPUTED_VALUE"""),"1.25")</f>
        <v>1.25</v>
      </c>
      <c r="L348" s="590">
        <f ca="1">IFERROR(__xludf.DUMMYFUNCTION("""COMPUTED_VALUE"""),3)</f>
        <v>3</v>
      </c>
      <c r="M348" s="590"/>
      <c r="N348" s="590" t="str">
        <f ca="1">IFERROR(__xludf.DUMMYFUNCTION("""COMPUTED_VALUE"""),"Dị_D&lt;54")</f>
        <v>Dị_D&lt;54</v>
      </c>
      <c r="O348" s="589"/>
      <c r="P348" s="590"/>
    </row>
    <row r="349" spans="1:16" ht="15.75">
      <c r="A349" s="581" t="str">
        <f ca="1">IFERROR(__xludf.DUMMYFUNCTION("""COMPUTED_VALUE"""),"Toàn Phát - Việt Nam")</f>
        <v>Toàn Phát - Việt Nam</v>
      </c>
      <c r="B349" s="581" t="str">
        <f ca="1">IFERROR(__xludf.DUMMYFUNCTION("""COMPUTED_VALUE"""),"ĐTPCAYDI")</f>
        <v>ĐTPCAYDI</v>
      </c>
      <c r="C349" s="581" t="str">
        <f ca="1">IFERROR(__xludf.DUMMYFUNCTION("""COMPUTED_VALUE"""),"DOT110015030")</f>
        <v>DOT110015030</v>
      </c>
      <c r="D349" s="582" t="str">
        <f ca="1">IFERROR(__xludf.DUMMYFUNCTION("""COMPUTED_VALUE"""),"Đồng ống thẳng 11.00x1.50x3.0")</f>
        <v>Đồng ống thẳng 11.00x1.50x3.0</v>
      </c>
      <c r="E349" s="583">
        <f ca="1">IFERROR(__xludf.DUMMYFUNCTION("""COMPUTED_VALUE"""),0.1)</f>
        <v>0.1</v>
      </c>
      <c r="F349" s="584" t="str">
        <f ca="1">IFERROR(__xludf.DUMMYFUNCTION("""COMPUTED_VALUE"""),"Cây")</f>
        <v>Cây</v>
      </c>
      <c r="G349" s="584" t="str">
        <f ca="1">IFERROR(__xludf.DUMMYFUNCTION("""COMPUTED_VALUE"""),"Cây 3m")</f>
        <v>Cây 3m</v>
      </c>
      <c r="H349" s="582"/>
      <c r="I349" s="585">
        <f ca="1">IFERROR(__xludf.DUMMYFUNCTION("""COMPUTED_VALUE"""),1.238895)</f>
        <v>1.2388950000000001</v>
      </c>
      <c r="J349" s="586" t="str">
        <f ca="1">IFERROR(__xludf.DUMMYFUNCTION("""COMPUTED_VALUE""")," 11.00 ")</f>
        <v xml:space="preserve"> 11.00 </v>
      </c>
      <c r="K349" s="584" t="str">
        <f ca="1">IFERROR(__xludf.DUMMYFUNCTION("""COMPUTED_VALUE"""),"1.50")</f>
        <v>1.50</v>
      </c>
      <c r="L349" s="584">
        <f ca="1">IFERROR(__xludf.DUMMYFUNCTION("""COMPUTED_VALUE"""),3)</f>
        <v>3</v>
      </c>
      <c r="M349" s="584"/>
      <c r="N349" s="584" t="str">
        <f ca="1">IFERROR(__xludf.DUMMYFUNCTION("""COMPUTED_VALUE"""),"Dị_D&lt;54")</f>
        <v>Dị_D&lt;54</v>
      </c>
      <c r="O349" s="583"/>
      <c r="P349" s="584"/>
    </row>
    <row r="350" spans="1:16" ht="15.75">
      <c r="A350" s="587" t="str">
        <f ca="1">IFERROR(__xludf.DUMMYFUNCTION("""COMPUTED_VALUE"""),"Toàn Phát - Việt Nam")</f>
        <v>Toàn Phát - Việt Nam</v>
      </c>
      <c r="B350" s="587" t="str">
        <f ca="1">IFERROR(__xludf.DUMMYFUNCTION("""COMPUTED_VALUE"""),"ĐTPCAYDI")</f>
        <v>ĐTPCAYDI</v>
      </c>
      <c r="C350" s="587" t="str">
        <f ca="1">IFERROR(__xludf.DUMMYFUNCTION("""COMPUTED_VALUE"""),"DOT114008530")</f>
        <v>DOT114008530</v>
      </c>
      <c r="D350" s="588" t="str">
        <f ca="1">IFERROR(__xludf.DUMMYFUNCTION("""COMPUTED_VALUE"""),"Đồng ống thẳng 11.40x0.85x3.0")</f>
        <v>Đồng ống thẳng 11.40x0.85x3.0</v>
      </c>
      <c r="E350" s="589">
        <f ca="1">IFERROR(__xludf.DUMMYFUNCTION("""COMPUTED_VALUE"""),0.1)</f>
        <v>0.1</v>
      </c>
      <c r="F350" s="590" t="str">
        <f ca="1">IFERROR(__xludf.DUMMYFUNCTION("""COMPUTED_VALUE"""),"Cây")</f>
        <v>Cây</v>
      </c>
      <c r="G350" s="590" t="str">
        <f ca="1">IFERROR(__xludf.DUMMYFUNCTION("""COMPUTED_VALUE"""),"Cây 3m")</f>
        <v>Cây 3m</v>
      </c>
      <c r="H350" s="588"/>
      <c r="I350" s="591">
        <f ca="1">IFERROR(__xludf.DUMMYFUNCTION("""COMPUTED_VALUE"""),0.77963445)</f>
        <v>0.77963444999999998</v>
      </c>
      <c r="J350" s="592" t="str">
        <f ca="1">IFERROR(__xludf.DUMMYFUNCTION("""COMPUTED_VALUE""")," 11.40 ")</f>
        <v xml:space="preserve"> 11.40 </v>
      </c>
      <c r="K350" s="590" t="str">
        <f ca="1">IFERROR(__xludf.DUMMYFUNCTION("""COMPUTED_VALUE"""),"0.85")</f>
        <v>0.85</v>
      </c>
      <c r="L350" s="590">
        <f ca="1">IFERROR(__xludf.DUMMYFUNCTION("""COMPUTED_VALUE"""),3)</f>
        <v>3</v>
      </c>
      <c r="M350" s="590"/>
      <c r="N350" s="590" t="str">
        <f ca="1">IFERROR(__xludf.DUMMYFUNCTION("""COMPUTED_VALUE"""),"Dị_D&lt;54")</f>
        <v>Dị_D&lt;54</v>
      </c>
      <c r="O350" s="589"/>
      <c r="P350" s="590"/>
    </row>
    <row r="351" spans="1:16" ht="15.75">
      <c r="A351" s="581" t="str">
        <f ca="1">IFERROR(__xludf.DUMMYFUNCTION("""COMPUTED_VALUE"""),"Toàn Phát - Việt Nam")</f>
        <v>Toàn Phát - Việt Nam</v>
      </c>
      <c r="B351" s="581" t="str">
        <f ca="1">IFERROR(__xludf.DUMMYFUNCTION("""COMPUTED_VALUE"""),"ĐTPCAYDI")</f>
        <v>ĐTPCAYDI</v>
      </c>
      <c r="C351" s="581" t="str">
        <f ca="1">IFERROR(__xludf.DUMMYFUNCTION("""COMPUTED_VALUE"""),"DOT115008130")</f>
        <v>DOT115008130</v>
      </c>
      <c r="D351" s="582" t="str">
        <f ca="1">IFERROR(__xludf.DUMMYFUNCTION("""COMPUTED_VALUE"""),"Đồng ống thẳng 11.50X0.81x3.0")</f>
        <v>Đồng ống thẳng 11.50X0.81x3.0</v>
      </c>
      <c r="E351" s="583">
        <f ca="1">IFERROR(__xludf.DUMMYFUNCTION("""COMPUTED_VALUE"""),0.1)</f>
        <v>0.1</v>
      </c>
      <c r="F351" s="584" t="str">
        <f ca="1">IFERROR(__xludf.DUMMYFUNCTION("""COMPUTED_VALUE"""),"Cây")</f>
        <v>Cây</v>
      </c>
      <c r="G351" s="584" t="str">
        <f ca="1">IFERROR(__xludf.DUMMYFUNCTION("""COMPUTED_VALUE"""),"Cây 3m")</f>
        <v>Cây 3m</v>
      </c>
      <c r="H351" s="582"/>
      <c r="I351" s="585">
        <f ca="1">IFERROR(__xludf.DUMMYFUNCTION("""COMPUTED_VALUE"""),0.752804766)</f>
        <v>0.75280476600000001</v>
      </c>
      <c r="J351" s="586" t="str">
        <f ca="1">IFERROR(__xludf.DUMMYFUNCTION("""COMPUTED_VALUE""")," 11.50 ")</f>
        <v xml:space="preserve"> 11.50 </v>
      </c>
      <c r="K351" s="584" t="str">
        <f ca="1">IFERROR(__xludf.DUMMYFUNCTION("""COMPUTED_VALUE"""),"0.81")</f>
        <v>0.81</v>
      </c>
      <c r="L351" s="584">
        <f ca="1">IFERROR(__xludf.DUMMYFUNCTION("""COMPUTED_VALUE"""),3)</f>
        <v>3</v>
      </c>
      <c r="M351" s="584"/>
      <c r="N351" s="584" t="str">
        <f ca="1">IFERROR(__xludf.DUMMYFUNCTION("""COMPUTED_VALUE"""),"Dị_D&lt;54")</f>
        <v>Dị_D&lt;54</v>
      </c>
      <c r="O351" s="583"/>
      <c r="P351" s="584"/>
    </row>
    <row r="352" spans="1:16" ht="15.75">
      <c r="A352" s="587" t="str">
        <f ca="1">IFERROR(__xludf.DUMMYFUNCTION("""COMPUTED_VALUE"""),"Toàn Phát - Việt Nam")</f>
        <v>Toàn Phát - Việt Nam</v>
      </c>
      <c r="B352" s="587" t="str">
        <f ca="1">IFERROR(__xludf.DUMMYFUNCTION("""COMPUTED_VALUE"""),"ĐTPCAYDI")</f>
        <v>ĐTPCAYDI</v>
      </c>
      <c r="C352" s="587" t="str">
        <f ca="1">IFERROR(__xludf.DUMMYFUNCTION("""COMPUTED_VALUE"""),"DOT115008530")</f>
        <v>DOT115008530</v>
      </c>
      <c r="D352" s="588" t="str">
        <f ca="1">IFERROR(__xludf.DUMMYFUNCTION("""COMPUTED_VALUE"""),"Đồng ống thẳng 11.50X0.85x3.0")</f>
        <v>Đồng ống thẳng 11.50X0.85x3.0</v>
      </c>
      <c r="E352" s="589">
        <f ca="1">IFERROR(__xludf.DUMMYFUNCTION("""COMPUTED_VALUE"""),0.1)</f>
        <v>0.1</v>
      </c>
      <c r="F352" s="590" t="str">
        <f ca="1">IFERROR(__xludf.DUMMYFUNCTION("""COMPUTED_VALUE"""),"Cây")</f>
        <v>Cây</v>
      </c>
      <c r="G352" s="590" t="str">
        <f ca="1">IFERROR(__xludf.DUMMYFUNCTION("""COMPUTED_VALUE"""),"Cây 3m")</f>
        <v>Cây 3m</v>
      </c>
      <c r="H352" s="588"/>
      <c r="I352" s="591">
        <f ca="1">IFERROR(__xludf.DUMMYFUNCTION("""COMPUTED_VALUE"""),0.787024349999999)</f>
        <v>0.78702434999999904</v>
      </c>
      <c r="J352" s="592" t="str">
        <f ca="1">IFERROR(__xludf.DUMMYFUNCTION("""COMPUTED_VALUE""")," 11.50 ")</f>
        <v xml:space="preserve"> 11.50 </v>
      </c>
      <c r="K352" s="590" t="str">
        <f ca="1">IFERROR(__xludf.DUMMYFUNCTION("""COMPUTED_VALUE"""),"0.85")</f>
        <v>0.85</v>
      </c>
      <c r="L352" s="590">
        <f ca="1">IFERROR(__xludf.DUMMYFUNCTION("""COMPUTED_VALUE"""),3)</f>
        <v>3</v>
      </c>
      <c r="M352" s="590"/>
      <c r="N352" s="590" t="str">
        <f ca="1">IFERROR(__xludf.DUMMYFUNCTION("""COMPUTED_VALUE"""),"Dị_D&lt;54")</f>
        <v>Dị_D&lt;54</v>
      </c>
      <c r="O352" s="589"/>
      <c r="P352" s="590"/>
    </row>
    <row r="353" spans="1:16" ht="15.75">
      <c r="A353" s="581" t="str">
        <f ca="1">IFERROR(__xludf.DUMMYFUNCTION("""COMPUTED_VALUE"""),"Toàn Phát - Việt Nam")</f>
        <v>Toàn Phát - Việt Nam</v>
      </c>
      <c r="B353" s="581" t="str">
        <f ca="1">IFERROR(__xludf.DUMMYFUNCTION("""COMPUTED_VALUE"""),"ĐTPCAYDI")</f>
        <v>ĐTPCAYDI</v>
      </c>
      <c r="C353" s="581" t="str">
        <f ca="1">IFERROR(__xludf.DUMMYFUNCTION("""COMPUTED_VALUE"""),"DOT115009030")</f>
        <v>DOT115009030</v>
      </c>
      <c r="D353" s="582" t="str">
        <f ca="1">IFERROR(__xludf.DUMMYFUNCTION("""COMPUTED_VALUE"""),"Đồng ống thẳng 11.50X0.90x3.0")</f>
        <v>Đồng ống thẳng 11.50X0.90x3.0</v>
      </c>
      <c r="E353" s="583">
        <f ca="1">IFERROR(__xludf.DUMMYFUNCTION("""COMPUTED_VALUE"""),0.1)</f>
        <v>0.1</v>
      </c>
      <c r="F353" s="584" t="str">
        <f ca="1">IFERROR(__xludf.DUMMYFUNCTION("""COMPUTED_VALUE"""),"Cây")</f>
        <v>Cây</v>
      </c>
      <c r="G353" s="584" t="str">
        <f ca="1">IFERROR(__xludf.DUMMYFUNCTION("""COMPUTED_VALUE"""),"Cây 3m")</f>
        <v>Cây 3m</v>
      </c>
      <c r="H353" s="582"/>
      <c r="I353" s="585">
        <f ca="1">IFERROR(__xludf.DUMMYFUNCTION("""COMPUTED_VALUE"""),0.829407599999999)</f>
        <v>0.82940759999999902</v>
      </c>
      <c r="J353" s="586" t="str">
        <f ca="1">IFERROR(__xludf.DUMMYFUNCTION("""COMPUTED_VALUE""")," 11.50 ")</f>
        <v xml:space="preserve"> 11.50 </v>
      </c>
      <c r="K353" s="584" t="str">
        <f ca="1">IFERROR(__xludf.DUMMYFUNCTION("""COMPUTED_VALUE"""),"0.90")</f>
        <v>0.90</v>
      </c>
      <c r="L353" s="584">
        <f ca="1">IFERROR(__xludf.DUMMYFUNCTION("""COMPUTED_VALUE"""),3)</f>
        <v>3</v>
      </c>
      <c r="M353" s="584"/>
      <c r="N353" s="584" t="str">
        <f ca="1">IFERROR(__xludf.DUMMYFUNCTION("""COMPUTED_VALUE"""),"Dị_D&lt;54")</f>
        <v>Dị_D&lt;54</v>
      </c>
      <c r="O353" s="583"/>
      <c r="P353" s="584"/>
    </row>
    <row r="354" spans="1:16" ht="15.75">
      <c r="A354" s="587" t="str">
        <f ca="1">IFERROR(__xludf.DUMMYFUNCTION("""COMPUTED_VALUE"""),"Toàn Phát - Việt Nam")</f>
        <v>Toàn Phát - Việt Nam</v>
      </c>
      <c r="B354" s="587" t="str">
        <f ca="1">IFERROR(__xludf.DUMMYFUNCTION("""COMPUTED_VALUE"""),"ĐTPCAYDI")</f>
        <v>ĐTPCAYDI</v>
      </c>
      <c r="C354" s="587" t="str">
        <f ca="1">IFERROR(__xludf.DUMMYFUNCTION("""COMPUTED_VALUE"""),"DOT115009530")</f>
        <v>DOT115009530</v>
      </c>
      <c r="D354" s="588" t="str">
        <f ca="1">IFERROR(__xludf.DUMMYFUNCTION("""COMPUTED_VALUE"""),"Đồng ống thẳng 11.50X0.95x3.0")</f>
        <v>Đồng ống thẳng 11.50X0.95x3.0</v>
      </c>
      <c r="E354" s="589">
        <f ca="1">IFERROR(__xludf.DUMMYFUNCTION("""COMPUTED_VALUE"""),0.1)</f>
        <v>0.1</v>
      </c>
      <c r="F354" s="590" t="str">
        <f ca="1">IFERROR(__xludf.DUMMYFUNCTION("""COMPUTED_VALUE"""),"Cây")</f>
        <v>Cây</v>
      </c>
      <c r="G354" s="590" t="str">
        <f ca="1">IFERROR(__xludf.DUMMYFUNCTION("""COMPUTED_VALUE"""),"Cây 3m")</f>
        <v>Cây 3m</v>
      </c>
      <c r="H354" s="588"/>
      <c r="I354" s="591">
        <f ca="1">IFERROR(__xludf.DUMMYFUNCTION("""COMPUTED_VALUE"""),0.87135615)</f>
        <v>0.87135615</v>
      </c>
      <c r="J354" s="592" t="str">
        <f ca="1">IFERROR(__xludf.DUMMYFUNCTION("""COMPUTED_VALUE""")," 11.50 ")</f>
        <v xml:space="preserve"> 11.50 </v>
      </c>
      <c r="K354" s="590" t="str">
        <f ca="1">IFERROR(__xludf.DUMMYFUNCTION("""COMPUTED_VALUE"""),"0.95")</f>
        <v>0.95</v>
      </c>
      <c r="L354" s="590">
        <f ca="1">IFERROR(__xludf.DUMMYFUNCTION("""COMPUTED_VALUE"""),3)</f>
        <v>3</v>
      </c>
      <c r="M354" s="590"/>
      <c r="N354" s="590" t="str">
        <f ca="1">IFERROR(__xludf.DUMMYFUNCTION("""COMPUTED_VALUE"""),"Dị_D&lt;54")</f>
        <v>Dị_D&lt;54</v>
      </c>
      <c r="O354" s="589"/>
      <c r="P354" s="590"/>
    </row>
    <row r="355" spans="1:16" ht="15.75">
      <c r="A355" s="581" t="str">
        <f ca="1">IFERROR(__xludf.DUMMYFUNCTION("""COMPUTED_VALUE"""),"Toàn Phát - Việt Nam")</f>
        <v>Toàn Phát - Việt Nam</v>
      </c>
      <c r="B355" s="581" t="str">
        <f ca="1">IFERROR(__xludf.DUMMYFUNCTION("""COMPUTED_VALUE"""),"ĐTPCAYDI")</f>
        <v>ĐTPCAYDI</v>
      </c>
      <c r="C355" s="581" t="str">
        <f ca="1">IFERROR(__xludf.DUMMYFUNCTION("""COMPUTED_VALUE"""),"DOT117008830")</f>
        <v>DOT117008830</v>
      </c>
      <c r="D355" s="582" t="str">
        <f ca="1">IFERROR(__xludf.DUMMYFUNCTION("""COMPUTED_VALUE"""),"Đồng ống thẳng 11.70x0.88x3.0")</f>
        <v>Đồng ống thẳng 11.70x0.88x3.0</v>
      </c>
      <c r="E355" s="583">
        <f ca="1">IFERROR(__xludf.DUMMYFUNCTION("""COMPUTED_VALUE"""),0.1)</f>
        <v>0.1</v>
      </c>
      <c r="F355" s="584" t="str">
        <f ca="1">IFERROR(__xludf.DUMMYFUNCTION("""COMPUTED_VALUE"""),"Cây")</f>
        <v>Cây</v>
      </c>
      <c r="G355" s="584" t="str">
        <f ca="1">IFERROR(__xludf.DUMMYFUNCTION("""COMPUTED_VALUE"""),"Cây 3m")</f>
        <v>Cây 3m</v>
      </c>
      <c r="H355" s="582"/>
      <c r="I355" s="585">
        <f ca="1">IFERROR(__xludf.DUMMYFUNCTION("""COMPUTED_VALUE"""),0.827807903999999)</f>
        <v>0.82780790399999904</v>
      </c>
      <c r="J355" s="586" t="str">
        <f ca="1">IFERROR(__xludf.DUMMYFUNCTION("""COMPUTED_VALUE""")," 11.70 ")</f>
        <v xml:space="preserve"> 11.70 </v>
      </c>
      <c r="K355" s="584" t="str">
        <f ca="1">IFERROR(__xludf.DUMMYFUNCTION("""COMPUTED_VALUE"""),"0.88")</f>
        <v>0.88</v>
      </c>
      <c r="L355" s="584">
        <f ca="1">IFERROR(__xludf.DUMMYFUNCTION("""COMPUTED_VALUE"""),3)</f>
        <v>3</v>
      </c>
      <c r="M355" s="584"/>
      <c r="N355" s="584" t="str">
        <f ca="1">IFERROR(__xludf.DUMMYFUNCTION("""COMPUTED_VALUE"""),"Dị_D&lt;54")</f>
        <v>Dị_D&lt;54</v>
      </c>
      <c r="O355" s="583"/>
      <c r="P355" s="584"/>
    </row>
    <row r="356" spans="1:16" ht="15.75">
      <c r="A356" s="587" t="str">
        <f ca="1">IFERROR(__xludf.DUMMYFUNCTION("""COMPUTED_VALUE"""),"Toàn Phát - Việt Nam")</f>
        <v>Toàn Phát - Việt Nam</v>
      </c>
      <c r="B356" s="587" t="str">
        <f ca="1">IFERROR(__xludf.DUMMYFUNCTION("""COMPUTED_VALUE"""),"ĐTPCAYDI")</f>
        <v>ĐTPCAYDI</v>
      </c>
      <c r="C356" s="587" t="str">
        <f ca="1">IFERROR(__xludf.DUMMYFUNCTION("""COMPUTED_VALUE"""),"DOT117009130")</f>
        <v>DOT117009130</v>
      </c>
      <c r="D356" s="588" t="str">
        <f ca="1">IFERROR(__xludf.DUMMYFUNCTION("""COMPUTED_VALUE"""),"Đồng ống thẳng 11.70x0.91x3.0")</f>
        <v>Đồng ống thẳng 11.70x0.91x3.0</v>
      </c>
      <c r="E356" s="589">
        <f ca="1">IFERROR(__xludf.DUMMYFUNCTION("""COMPUTED_VALUE"""),0.1)</f>
        <v>0.1</v>
      </c>
      <c r="F356" s="590" t="str">
        <f ca="1">IFERROR(__xludf.DUMMYFUNCTION("""COMPUTED_VALUE"""),"Cây")</f>
        <v>Cây</v>
      </c>
      <c r="G356" s="590" t="str">
        <f ca="1">IFERROR(__xludf.DUMMYFUNCTION("""COMPUTED_VALUE"""),"Cây 3m")</f>
        <v>Cây 3m</v>
      </c>
      <c r="H356" s="588"/>
      <c r="I356" s="591">
        <f ca="1">IFERROR(__xludf.DUMMYFUNCTION("""COMPUTED_VALUE"""),0.853655165999999)</f>
        <v>0.85365516599999902</v>
      </c>
      <c r="J356" s="592" t="str">
        <f ca="1">IFERROR(__xludf.DUMMYFUNCTION("""COMPUTED_VALUE""")," 11.70 ")</f>
        <v xml:space="preserve"> 11.70 </v>
      </c>
      <c r="K356" s="590" t="str">
        <f ca="1">IFERROR(__xludf.DUMMYFUNCTION("""COMPUTED_VALUE"""),"0.91")</f>
        <v>0.91</v>
      </c>
      <c r="L356" s="590">
        <f ca="1">IFERROR(__xludf.DUMMYFUNCTION("""COMPUTED_VALUE"""),3)</f>
        <v>3</v>
      </c>
      <c r="M356" s="590"/>
      <c r="N356" s="590" t="str">
        <f ca="1">IFERROR(__xludf.DUMMYFUNCTION("""COMPUTED_VALUE"""),"Dị_D&lt;54")</f>
        <v>Dị_D&lt;54</v>
      </c>
      <c r="O356" s="589"/>
      <c r="P356" s="590"/>
    </row>
    <row r="357" spans="1:16" ht="15.75">
      <c r="A357" s="581" t="str">
        <f ca="1">IFERROR(__xludf.DUMMYFUNCTION("""COMPUTED_VALUE"""),"Toàn Phát - Việt Nam")</f>
        <v>Toàn Phát - Việt Nam</v>
      </c>
      <c r="B357" s="581" t="str">
        <f ca="1">IFERROR(__xludf.DUMMYFUNCTION("""COMPUTED_VALUE"""),"ĐTPCAYDI")</f>
        <v>ĐTPCAYDI</v>
      </c>
      <c r="C357" s="581" t="str">
        <f ca="1">IFERROR(__xludf.DUMMYFUNCTION("""COMPUTED_VALUE"""),"DOT118008630")</f>
        <v>DOT118008630</v>
      </c>
      <c r="D357" s="582" t="str">
        <f ca="1">IFERROR(__xludf.DUMMYFUNCTION("""COMPUTED_VALUE"""),"Đồng ống thẳng 11.80x0.86x3.0")</f>
        <v>Đồng ống thẳng 11.80x0.86x3.0</v>
      </c>
      <c r="E357" s="583">
        <f ca="1">IFERROR(__xludf.DUMMYFUNCTION("""COMPUTED_VALUE"""),0.1)</f>
        <v>0.1</v>
      </c>
      <c r="F357" s="584" t="str">
        <f ca="1">IFERROR(__xludf.DUMMYFUNCTION("""COMPUTED_VALUE"""),"Cây")</f>
        <v>Cây</v>
      </c>
      <c r="G357" s="584" t="str">
        <f ca="1">IFERROR(__xludf.DUMMYFUNCTION("""COMPUTED_VALUE"""),"Cây 3m")</f>
        <v>Cây 3m</v>
      </c>
      <c r="H357" s="582"/>
      <c r="I357" s="585">
        <f ca="1">IFERROR(__xludf.DUMMYFUNCTION("""COMPUTED_VALUE"""),0.817966296)</f>
        <v>0.81796629600000004</v>
      </c>
      <c r="J357" s="586" t="str">
        <f ca="1">IFERROR(__xludf.DUMMYFUNCTION("""COMPUTED_VALUE""")," 11.80 ")</f>
        <v xml:space="preserve"> 11.80 </v>
      </c>
      <c r="K357" s="584" t="str">
        <f ca="1">IFERROR(__xludf.DUMMYFUNCTION("""COMPUTED_VALUE"""),"0.86")</f>
        <v>0.86</v>
      </c>
      <c r="L357" s="584">
        <f ca="1">IFERROR(__xludf.DUMMYFUNCTION("""COMPUTED_VALUE"""),3)</f>
        <v>3</v>
      </c>
      <c r="M357" s="584"/>
      <c r="N357" s="584" t="str">
        <f ca="1">IFERROR(__xludf.DUMMYFUNCTION("""COMPUTED_VALUE"""),"Dị_D&lt;54")</f>
        <v>Dị_D&lt;54</v>
      </c>
      <c r="O357" s="583"/>
      <c r="P357" s="584"/>
    </row>
    <row r="358" spans="1:16" ht="15.75">
      <c r="A358" s="587" t="str">
        <f ca="1">IFERROR(__xludf.DUMMYFUNCTION("""COMPUTED_VALUE"""),"Toàn Phát - Việt Nam")</f>
        <v>Toàn Phát - Việt Nam</v>
      </c>
      <c r="B358" s="587" t="str">
        <f ca="1">IFERROR(__xludf.DUMMYFUNCTION("""COMPUTED_VALUE"""),"ĐTPCAYDI")</f>
        <v>ĐTPCAYDI</v>
      </c>
      <c r="C358" s="587" t="str">
        <f ca="1">IFERROR(__xludf.DUMMYFUNCTION("""COMPUTED_VALUE"""),"DOT118008830")</f>
        <v>DOT118008830</v>
      </c>
      <c r="D358" s="588" t="str">
        <f ca="1">IFERROR(__xludf.DUMMYFUNCTION("""COMPUTED_VALUE"""),"Đồng ống thẳng 11.80x0.88x3.0")</f>
        <v>Đồng ống thẳng 11.80x0.88x3.0</v>
      </c>
      <c r="E358" s="589">
        <f ca="1">IFERROR(__xludf.DUMMYFUNCTION("""COMPUTED_VALUE"""),0.1)</f>
        <v>0.1</v>
      </c>
      <c r="F358" s="590" t="str">
        <f ca="1">IFERROR(__xludf.DUMMYFUNCTION("""COMPUTED_VALUE"""),"Cây")</f>
        <v>Cây</v>
      </c>
      <c r="G358" s="590" t="str">
        <f ca="1">IFERROR(__xludf.DUMMYFUNCTION("""COMPUTED_VALUE"""),"Cây 3m")</f>
        <v>Cây 3m</v>
      </c>
      <c r="H358" s="588"/>
      <c r="I358" s="591">
        <f ca="1">IFERROR(__xludf.DUMMYFUNCTION("""COMPUTED_VALUE"""),0.835458623999999)</f>
        <v>0.83545862399999904</v>
      </c>
      <c r="J358" s="592" t="str">
        <f ca="1">IFERROR(__xludf.DUMMYFUNCTION("""COMPUTED_VALUE""")," 11.80 ")</f>
        <v xml:space="preserve"> 11.80 </v>
      </c>
      <c r="K358" s="590" t="str">
        <f ca="1">IFERROR(__xludf.DUMMYFUNCTION("""COMPUTED_VALUE"""),"0.88")</f>
        <v>0.88</v>
      </c>
      <c r="L358" s="590">
        <f ca="1">IFERROR(__xludf.DUMMYFUNCTION("""COMPUTED_VALUE"""),3)</f>
        <v>3</v>
      </c>
      <c r="M358" s="590"/>
      <c r="N358" s="590" t="str">
        <f ca="1">IFERROR(__xludf.DUMMYFUNCTION("""COMPUTED_VALUE"""),"Dị_D&lt;54")</f>
        <v>Dị_D&lt;54</v>
      </c>
      <c r="O358" s="589"/>
      <c r="P358" s="590"/>
    </row>
    <row r="359" spans="1:16" ht="15.75">
      <c r="A359" s="581" t="str">
        <f ca="1">IFERROR(__xludf.DUMMYFUNCTION("""COMPUTED_VALUE"""),"Toàn Phát - Việt Nam")</f>
        <v>Toàn Phát - Việt Nam</v>
      </c>
      <c r="B359" s="581" t="str">
        <f ca="1">IFERROR(__xludf.DUMMYFUNCTION("""COMPUTED_VALUE"""),"ĐTPCAYDI")</f>
        <v>ĐTPCAYDI</v>
      </c>
      <c r="C359" s="581" t="str">
        <f ca="1">IFERROR(__xludf.DUMMYFUNCTION("""COMPUTED_VALUE"""),"DOT12000611235")</f>
        <v>DOT12000611235</v>
      </c>
      <c r="D359" s="582" t="str">
        <f ca="1">IFERROR(__xludf.DUMMYFUNCTION("""COMPUTED_VALUE"""),"Đồng ống thẳng 12.00x0.61x1.235")</f>
        <v>Đồng ống thẳng 12.00x0.61x1.235</v>
      </c>
      <c r="E359" s="583">
        <f ca="1">IFERROR(__xludf.DUMMYFUNCTION("""COMPUTED_VALUE"""),0.1)</f>
        <v>0.1</v>
      </c>
      <c r="F359" s="584" t="str">
        <f ca="1">IFERROR(__xludf.DUMMYFUNCTION("""COMPUTED_VALUE"""),"Cây")</f>
        <v>Cây</v>
      </c>
      <c r="G359" s="584" t="str">
        <f ca="1">IFERROR(__xludf.DUMMYFUNCTION("""COMPUTED_VALUE"""),"Cây 1.235m")</f>
        <v>Cây 1.235m</v>
      </c>
      <c r="H359" s="582"/>
      <c r="I359" s="585">
        <f ca="1">IFERROR(__xludf.DUMMYFUNCTION("""COMPUTED_VALUE"""),0.24866742537)</f>
        <v>0.24866742537</v>
      </c>
      <c r="J359" s="586" t="str">
        <f ca="1">IFERROR(__xludf.DUMMYFUNCTION("""COMPUTED_VALUE""")," 12.00 ")</f>
        <v xml:space="preserve"> 12.00 </v>
      </c>
      <c r="K359" s="584" t="str">
        <f ca="1">IFERROR(__xludf.DUMMYFUNCTION("""COMPUTED_VALUE"""),"0.61")</f>
        <v>0.61</v>
      </c>
      <c r="L359" s="584">
        <f ca="1">IFERROR(__xludf.DUMMYFUNCTION("""COMPUTED_VALUE"""),1.235)</f>
        <v>1.2350000000000001</v>
      </c>
      <c r="M359" s="584"/>
      <c r="N359" s="584" t="str">
        <f ca="1">IFERROR(__xludf.DUMMYFUNCTION("""COMPUTED_VALUE"""),"Dị_D&lt;54")</f>
        <v>Dị_D&lt;54</v>
      </c>
      <c r="O359" s="583"/>
      <c r="P359" s="584"/>
    </row>
    <row r="360" spans="1:16" ht="15.75">
      <c r="A360" s="587" t="str">
        <f ca="1">IFERROR(__xludf.DUMMYFUNCTION("""COMPUTED_VALUE"""),"Toàn Phát - Việt Nam")</f>
        <v>Toàn Phát - Việt Nam</v>
      </c>
      <c r="B360" s="587" t="str">
        <f ca="1">IFERROR(__xludf.DUMMYFUNCTION("""COMPUTED_VALUE"""),"ĐTPCAYDI")</f>
        <v>ĐTPCAYDI</v>
      </c>
      <c r="C360" s="587" t="str">
        <f ca="1">IFERROR(__xludf.DUMMYFUNCTION("""COMPUTED_VALUE"""),"DOT120006130")</f>
        <v>DOT120006130</v>
      </c>
      <c r="D360" s="588" t="str">
        <f ca="1">IFERROR(__xludf.DUMMYFUNCTION("""COMPUTED_VALUE"""),"Đồng ống thẳng 12.00x0.61x3.0")</f>
        <v>Đồng ống thẳng 12.00x0.61x3.0</v>
      </c>
      <c r="E360" s="589">
        <f ca="1">IFERROR(__xludf.DUMMYFUNCTION("""COMPUTED_VALUE"""),0.1)</f>
        <v>0.1</v>
      </c>
      <c r="F360" s="590" t="str">
        <f ca="1">IFERROR(__xludf.DUMMYFUNCTION("""COMPUTED_VALUE"""),"Cây")</f>
        <v>Cây</v>
      </c>
      <c r="G360" s="590" t="str">
        <f ca="1">IFERROR(__xludf.DUMMYFUNCTION("""COMPUTED_VALUE"""),"Cây 3m")</f>
        <v>Cây 3m</v>
      </c>
      <c r="H360" s="588"/>
      <c r="I360" s="591">
        <f ca="1">IFERROR(__xludf.DUMMYFUNCTION("""COMPUTED_VALUE"""),0.604050426)</f>
        <v>0.60405042600000003</v>
      </c>
      <c r="J360" s="592" t="str">
        <f ca="1">IFERROR(__xludf.DUMMYFUNCTION("""COMPUTED_VALUE""")," 12.00 ")</f>
        <v xml:space="preserve"> 12.00 </v>
      </c>
      <c r="K360" s="590" t="str">
        <f ca="1">IFERROR(__xludf.DUMMYFUNCTION("""COMPUTED_VALUE"""),"0.61")</f>
        <v>0.61</v>
      </c>
      <c r="L360" s="590">
        <f ca="1">IFERROR(__xludf.DUMMYFUNCTION("""COMPUTED_VALUE"""),3)</f>
        <v>3</v>
      </c>
      <c r="M360" s="590"/>
      <c r="N360" s="590" t="str">
        <f ca="1">IFERROR(__xludf.DUMMYFUNCTION("""COMPUTED_VALUE"""),"Dị_D&lt;54")</f>
        <v>Dị_D&lt;54</v>
      </c>
      <c r="O360" s="589"/>
      <c r="P360" s="590"/>
    </row>
    <row r="361" spans="1:16" ht="15.75">
      <c r="A361" s="581" t="str">
        <f ca="1">IFERROR(__xludf.DUMMYFUNCTION("""COMPUTED_VALUE"""),"Toàn Phát - Việt Nam")</f>
        <v>Toàn Phát - Việt Nam</v>
      </c>
      <c r="B361" s="581" t="str">
        <f ca="1">IFERROR(__xludf.DUMMYFUNCTION("""COMPUTED_VALUE"""),"ĐTPCAYDI")</f>
        <v>ĐTPCAYDI</v>
      </c>
      <c r="C361" s="581" t="str">
        <f ca="1">IFERROR(__xludf.DUMMYFUNCTION("""COMPUTED_VALUE"""),"DOT120008130")</f>
        <v>DOT120008130</v>
      </c>
      <c r="D361" s="582" t="str">
        <f ca="1">IFERROR(__xludf.DUMMYFUNCTION("""COMPUTED_VALUE"""),"Đồng ống thẳng 12.00x0.81x3.0")</f>
        <v>Đồng ống thẳng 12.00x0.81x3.0</v>
      </c>
      <c r="E361" s="583">
        <f ca="1">IFERROR(__xludf.DUMMYFUNCTION("""COMPUTED_VALUE"""),0.1)</f>
        <v>0.1</v>
      </c>
      <c r="F361" s="584" t="str">
        <f ca="1">IFERROR(__xludf.DUMMYFUNCTION("""COMPUTED_VALUE"""),"Cây")</f>
        <v>Cây</v>
      </c>
      <c r="G361" s="584" t="str">
        <f ca="1">IFERROR(__xludf.DUMMYFUNCTION("""COMPUTED_VALUE"""),"Cây 3m")</f>
        <v>Cây 3m</v>
      </c>
      <c r="H361" s="582"/>
      <c r="I361" s="585">
        <f ca="1">IFERROR(__xludf.DUMMYFUNCTION("""COMPUTED_VALUE"""),0.788015465999999)</f>
        <v>0.78801546599999905</v>
      </c>
      <c r="J361" s="586" t="str">
        <f ca="1">IFERROR(__xludf.DUMMYFUNCTION("""COMPUTED_VALUE""")," 12.00 ")</f>
        <v xml:space="preserve"> 12.00 </v>
      </c>
      <c r="K361" s="584" t="str">
        <f ca="1">IFERROR(__xludf.DUMMYFUNCTION("""COMPUTED_VALUE"""),"0.81")</f>
        <v>0.81</v>
      </c>
      <c r="L361" s="584">
        <f ca="1">IFERROR(__xludf.DUMMYFUNCTION("""COMPUTED_VALUE"""),3)</f>
        <v>3</v>
      </c>
      <c r="M361" s="584"/>
      <c r="N361" s="584" t="str">
        <f ca="1">IFERROR(__xludf.DUMMYFUNCTION("""COMPUTED_VALUE"""),"Dị_D&lt;54")</f>
        <v>Dị_D&lt;54</v>
      </c>
      <c r="O361" s="583"/>
      <c r="P361" s="584"/>
    </row>
    <row r="362" spans="1:16" ht="15.75">
      <c r="A362" s="587" t="str">
        <f ca="1">IFERROR(__xludf.DUMMYFUNCTION("""COMPUTED_VALUE"""),"Toàn Phát - Việt Nam")</f>
        <v>Toàn Phát - Việt Nam</v>
      </c>
      <c r="B362" s="587" t="str">
        <f ca="1">IFERROR(__xludf.DUMMYFUNCTION("""COMPUTED_VALUE"""),"ĐTPCAYDI")</f>
        <v>ĐTPCAYDI</v>
      </c>
      <c r="C362" s="587" t="str">
        <f ca="1">IFERROR(__xludf.DUMMYFUNCTION("""COMPUTED_VALUE"""),"DOT120008630")</f>
        <v>DOT120008630</v>
      </c>
      <c r="D362" s="588" t="str">
        <f ca="1">IFERROR(__xludf.DUMMYFUNCTION("""COMPUTED_VALUE"""),"Đồng ống thẳng 12.00x0.86x3.0")</f>
        <v>Đồng ống thẳng 12.00x0.86x3.0</v>
      </c>
      <c r="E362" s="589">
        <f ca="1">IFERROR(__xludf.DUMMYFUNCTION("""COMPUTED_VALUE"""),0.1)</f>
        <v>0.1</v>
      </c>
      <c r="F362" s="590" t="str">
        <f ca="1">IFERROR(__xludf.DUMMYFUNCTION("""COMPUTED_VALUE"""),"Cây")</f>
        <v>Cây</v>
      </c>
      <c r="G362" s="590" t="str">
        <f ca="1">IFERROR(__xludf.DUMMYFUNCTION("""COMPUTED_VALUE"""),"Cây 3m")</f>
        <v>Cây 3m</v>
      </c>
      <c r="H362" s="588"/>
      <c r="I362" s="591">
        <f ca="1">IFERROR(__xludf.DUMMYFUNCTION("""COMPUTED_VALUE"""),0.832919976)</f>
        <v>0.83291997600000001</v>
      </c>
      <c r="J362" s="592" t="str">
        <f ca="1">IFERROR(__xludf.DUMMYFUNCTION("""COMPUTED_VALUE""")," 12.00 ")</f>
        <v xml:space="preserve"> 12.00 </v>
      </c>
      <c r="K362" s="590" t="str">
        <f ca="1">IFERROR(__xludf.DUMMYFUNCTION("""COMPUTED_VALUE"""),"0.86")</f>
        <v>0.86</v>
      </c>
      <c r="L362" s="590">
        <f ca="1">IFERROR(__xludf.DUMMYFUNCTION("""COMPUTED_VALUE"""),3)</f>
        <v>3</v>
      </c>
      <c r="M362" s="590"/>
      <c r="N362" s="590" t="str">
        <f ca="1">IFERROR(__xludf.DUMMYFUNCTION("""COMPUTED_VALUE"""),"Dị_D&lt;54")</f>
        <v>Dị_D&lt;54</v>
      </c>
      <c r="O362" s="589"/>
      <c r="P362" s="590"/>
    </row>
    <row r="363" spans="1:16" ht="15.75">
      <c r="A363" s="581" t="str">
        <f ca="1">IFERROR(__xludf.DUMMYFUNCTION("""COMPUTED_VALUE"""),"Toàn Phát - Việt Nam")</f>
        <v>Toàn Phát - Việt Nam</v>
      </c>
      <c r="B363" s="581" t="str">
        <f ca="1">IFERROR(__xludf.DUMMYFUNCTION("""COMPUTED_VALUE"""),"ĐTPCAYDI")</f>
        <v>ĐTPCAYDI</v>
      </c>
      <c r="C363" s="581" t="str">
        <f ca="1">IFERROR(__xludf.DUMMYFUNCTION("""COMPUTED_VALUE"""),"DOT120008830")</f>
        <v>DOT120008830</v>
      </c>
      <c r="D363" s="582" t="str">
        <f ca="1">IFERROR(__xludf.DUMMYFUNCTION("""COMPUTED_VALUE"""),"Đồng ống thẳng 12.00x0.88x3.0")</f>
        <v>Đồng ống thẳng 12.00x0.88x3.0</v>
      </c>
      <c r="E363" s="583">
        <f ca="1">IFERROR(__xludf.DUMMYFUNCTION("""COMPUTED_VALUE"""),0.1)</f>
        <v>0.1</v>
      </c>
      <c r="F363" s="584" t="str">
        <f ca="1">IFERROR(__xludf.DUMMYFUNCTION("""COMPUTED_VALUE"""),"Cây")</f>
        <v>Cây</v>
      </c>
      <c r="G363" s="584" t="str">
        <f ca="1">IFERROR(__xludf.DUMMYFUNCTION("""COMPUTED_VALUE"""),"Cây 3m")</f>
        <v>Cây 3m</v>
      </c>
      <c r="H363" s="582"/>
      <c r="I363" s="585">
        <f ca="1">IFERROR(__xludf.DUMMYFUNCTION("""COMPUTED_VALUE"""),0.850760063999999)</f>
        <v>0.85076006399999904</v>
      </c>
      <c r="J363" s="586" t="str">
        <f ca="1">IFERROR(__xludf.DUMMYFUNCTION("""COMPUTED_VALUE""")," 12.00 ")</f>
        <v xml:space="preserve"> 12.00 </v>
      </c>
      <c r="K363" s="584" t="str">
        <f ca="1">IFERROR(__xludf.DUMMYFUNCTION("""COMPUTED_VALUE"""),"0.88")</f>
        <v>0.88</v>
      </c>
      <c r="L363" s="584">
        <f ca="1">IFERROR(__xludf.DUMMYFUNCTION("""COMPUTED_VALUE"""),3)</f>
        <v>3</v>
      </c>
      <c r="M363" s="584"/>
      <c r="N363" s="584" t="str">
        <f ca="1">IFERROR(__xludf.DUMMYFUNCTION("""COMPUTED_VALUE"""),"Dị_D&lt;54")</f>
        <v>Dị_D&lt;54</v>
      </c>
      <c r="O363" s="583"/>
      <c r="P363" s="584"/>
    </row>
    <row r="364" spans="1:16" ht="15.75">
      <c r="A364" s="587" t="str">
        <f ca="1">IFERROR(__xludf.DUMMYFUNCTION("""COMPUTED_VALUE"""),"Toàn Phát - Việt Nam")</f>
        <v>Toàn Phát - Việt Nam</v>
      </c>
      <c r="B364" s="587" t="str">
        <f ca="1">IFERROR(__xludf.DUMMYFUNCTION("""COMPUTED_VALUE"""),"ĐTPCAYDI")</f>
        <v>ĐTPCAYDI</v>
      </c>
      <c r="C364" s="587" t="str">
        <f ca="1">IFERROR(__xludf.DUMMYFUNCTION("""COMPUTED_VALUE"""),"DOT120009130")</f>
        <v>DOT120009130</v>
      </c>
      <c r="D364" s="588" t="str">
        <f ca="1">IFERROR(__xludf.DUMMYFUNCTION("""COMPUTED_VALUE"""),"Đồng ống thẳng 12.00x0.91x3.0")</f>
        <v>Đồng ống thẳng 12.00x0.91x3.0</v>
      </c>
      <c r="E364" s="589">
        <f ca="1">IFERROR(__xludf.DUMMYFUNCTION("""COMPUTED_VALUE"""),0.1)</f>
        <v>0.1</v>
      </c>
      <c r="F364" s="590" t="str">
        <f ca="1">IFERROR(__xludf.DUMMYFUNCTION("""COMPUTED_VALUE"""),"Cây")</f>
        <v>Cây</v>
      </c>
      <c r="G364" s="590" t="str">
        <f ca="1">IFERROR(__xludf.DUMMYFUNCTION("""COMPUTED_VALUE"""),"Cây 3m")</f>
        <v>Cây 3m</v>
      </c>
      <c r="H364" s="588"/>
      <c r="I364" s="591">
        <f ca="1">IFERROR(__xludf.DUMMYFUNCTION("""COMPUTED_VALUE"""),0.877389786)</f>
        <v>0.87738978599999995</v>
      </c>
      <c r="J364" s="592" t="str">
        <f ca="1">IFERROR(__xludf.DUMMYFUNCTION("""COMPUTED_VALUE""")," 12.00 ")</f>
        <v xml:space="preserve"> 12.00 </v>
      </c>
      <c r="K364" s="590" t="str">
        <f ca="1">IFERROR(__xludf.DUMMYFUNCTION("""COMPUTED_VALUE"""),"0.91")</f>
        <v>0.91</v>
      </c>
      <c r="L364" s="590">
        <f ca="1">IFERROR(__xludf.DUMMYFUNCTION("""COMPUTED_VALUE"""),3)</f>
        <v>3</v>
      </c>
      <c r="M364" s="590"/>
      <c r="N364" s="590" t="str">
        <f ca="1">IFERROR(__xludf.DUMMYFUNCTION("""COMPUTED_VALUE"""),"Dị_D&lt;54")</f>
        <v>Dị_D&lt;54</v>
      </c>
      <c r="O364" s="589"/>
      <c r="P364" s="590"/>
    </row>
    <row r="365" spans="1:16" ht="15.75">
      <c r="A365" s="581" t="str">
        <f ca="1">IFERROR(__xludf.DUMMYFUNCTION("""COMPUTED_VALUE"""),"Toàn Phát - Việt Nam")</f>
        <v>Toàn Phát - Việt Nam</v>
      </c>
      <c r="B365" s="581" t="str">
        <f ca="1">IFERROR(__xludf.DUMMYFUNCTION("""COMPUTED_VALUE"""),"ĐTPCAYDI")</f>
        <v>ĐTPCAYDI</v>
      </c>
      <c r="C365" s="581" t="str">
        <f ca="1">IFERROR(__xludf.DUMMYFUNCTION("""COMPUTED_VALUE"""),"DOT120009530")</f>
        <v>DOT120009530</v>
      </c>
      <c r="D365" s="582" t="str">
        <f ca="1">IFERROR(__xludf.DUMMYFUNCTION("""COMPUTED_VALUE"""),"Đồng ống thẳng 12.00x0.95x3.0")</f>
        <v>Đồng ống thẳng 12.00x0.95x3.0</v>
      </c>
      <c r="E365" s="583">
        <f ca="1">IFERROR(__xludf.DUMMYFUNCTION("""COMPUTED_VALUE"""),0.1)</f>
        <v>0.1</v>
      </c>
      <c r="F365" s="584" t="str">
        <f ca="1">IFERROR(__xludf.DUMMYFUNCTION("""COMPUTED_VALUE"""),"Cây")</f>
        <v>Cây</v>
      </c>
      <c r="G365" s="584" t="str">
        <f ca="1">IFERROR(__xludf.DUMMYFUNCTION("""COMPUTED_VALUE"""),"Cây 3m")</f>
        <v>Cây 3m</v>
      </c>
      <c r="H365" s="582"/>
      <c r="I365" s="585">
        <f ca="1">IFERROR(__xludf.DUMMYFUNCTION("""COMPUTED_VALUE"""),0.91265265)</f>
        <v>0.91265264999999995</v>
      </c>
      <c r="J365" s="586" t="str">
        <f ca="1">IFERROR(__xludf.DUMMYFUNCTION("""COMPUTED_VALUE""")," 12.00 ")</f>
        <v xml:space="preserve"> 12.00 </v>
      </c>
      <c r="K365" s="584" t="str">
        <f ca="1">IFERROR(__xludf.DUMMYFUNCTION("""COMPUTED_VALUE"""),"0.95")</f>
        <v>0.95</v>
      </c>
      <c r="L365" s="584">
        <f ca="1">IFERROR(__xludf.DUMMYFUNCTION("""COMPUTED_VALUE"""),3)</f>
        <v>3</v>
      </c>
      <c r="M365" s="584"/>
      <c r="N365" s="584" t="str">
        <f ca="1">IFERROR(__xludf.DUMMYFUNCTION("""COMPUTED_VALUE"""),"Dị_D&lt;54")</f>
        <v>Dị_D&lt;54</v>
      </c>
      <c r="O365" s="583"/>
      <c r="P365" s="584"/>
    </row>
    <row r="366" spans="1:16" ht="15.75">
      <c r="A366" s="587" t="str">
        <f ca="1">IFERROR(__xludf.DUMMYFUNCTION("""COMPUTED_VALUE"""),"Toàn Phát - Việt Nam")</f>
        <v>Toàn Phát - Việt Nam</v>
      </c>
      <c r="B366" s="587" t="str">
        <f ca="1">IFERROR(__xludf.DUMMYFUNCTION("""COMPUTED_VALUE"""),"ĐTPCAYDI")</f>
        <v>ĐTPCAYDI</v>
      </c>
      <c r="C366" s="587" t="str">
        <f ca="1">IFERROR(__xludf.DUMMYFUNCTION("""COMPUTED_VALUE"""),"DOT12001024")</f>
        <v>DOT12001024</v>
      </c>
      <c r="D366" s="588" t="str">
        <f ca="1">IFERROR(__xludf.DUMMYFUNCTION("""COMPUTED_VALUE"""),"Đồng ống thẳng 12.00x1.00x2.4")</f>
        <v>Đồng ống thẳng 12.00x1.00x2.4</v>
      </c>
      <c r="E366" s="589">
        <f ca="1">IFERROR(__xludf.DUMMYFUNCTION("""COMPUTED_VALUE"""),0.1)</f>
        <v>0.1</v>
      </c>
      <c r="F366" s="590" t="str">
        <f ca="1">IFERROR(__xludf.DUMMYFUNCTION("""COMPUTED_VALUE"""),"Cây")</f>
        <v>Cây</v>
      </c>
      <c r="G366" s="590" t="str">
        <f ca="1">IFERROR(__xludf.DUMMYFUNCTION("""COMPUTED_VALUE"""),"Cây 2.4m")</f>
        <v>Cây 2.4m</v>
      </c>
      <c r="H366" s="588"/>
      <c r="I366" s="591">
        <f ca="1">IFERROR(__xludf.DUMMYFUNCTION("""COMPUTED_VALUE"""),0.765071999999999)</f>
        <v>0.76507199999999898</v>
      </c>
      <c r="J366" s="592" t="str">
        <f ca="1">IFERROR(__xludf.DUMMYFUNCTION("""COMPUTED_VALUE""")," 12.00 ")</f>
        <v xml:space="preserve"> 12.00 </v>
      </c>
      <c r="K366" s="590" t="str">
        <f ca="1">IFERROR(__xludf.DUMMYFUNCTION("""COMPUTED_VALUE"""),"1.00")</f>
        <v>1.00</v>
      </c>
      <c r="L366" s="590">
        <f ca="1">IFERROR(__xludf.DUMMYFUNCTION("""COMPUTED_VALUE"""),2.4)</f>
        <v>2.4</v>
      </c>
      <c r="M366" s="590"/>
      <c r="N366" s="590" t="str">
        <f ca="1">IFERROR(__xludf.DUMMYFUNCTION("""COMPUTED_VALUE"""),"Dị_D&lt;54")</f>
        <v>Dị_D&lt;54</v>
      </c>
      <c r="O366" s="589"/>
      <c r="P366" s="590"/>
    </row>
    <row r="367" spans="1:16" ht="15.75">
      <c r="A367" s="581" t="str">
        <f ca="1">IFERROR(__xludf.DUMMYFUNCTION("""COMPUTED_VALUE"""),"Toàn Phát - Việt Nam")</f>
        <v>Toàn Phát - Việt Nam</v>
      </c>
      <c r="B367" s="581" t="str">
        <f ca="1">IFERROR(__xludf.DUMMYFUNCTION("""COMPUTED_VALUE"""),"ĐTPCAYDI")</f>
        <v>ĐTPCAYDI</v>
      </c>
      <c r="C367" s="581" t="str">
        <f ca="1">IFERROR(__xludf.DUMMYFUNCTION("""COMPUTED_VALUE"""),"DOT12001030")</f>
        <v>DOT12001030</v>
      </c>
      <c r="D367" s="582" t="str">
        <f ca="1">IFERROR(__xludf.DUMMYFUNCTION("""COMPUTED_VALUE"""),"Đồng ống thẳng 12.00x1.00x3.0")</f>
        <v>Đồng ống thẳng 12.00x1.00x3.0</v>
      </c>
      <c r="E367" s="583">
        <f ca="1">IFERROR(__xludf.DUMMYFUNCTION("""COMPUTED_VALUE"""),0.1)</f>
        <v>0.1</v>
      </c>
      <c r="F367" s="584" t="str">
        <f ca="1">IFERROR(__xludf.DUMMYFUNCTION("""COMPUTED_VALUE"""),"Cây")</f>
        <v>Cây</v>
      </c>
      <c r="G367" s="584" t="str">
        <f ca="1">IFERROR(__xludf.DUMMYFUNCTION("""COMPUTED_VALUE"""),"Cây 3m")</f>
        <v>Cây 3m</v>
      </c>
      <c r="H367" s="582"/>
      <c r="I367" s="585">
        <f ca="1">IFERROR(__xludf.DUMMYFUNCTION("""COMPUTED_VALUE"""),0.956339999999999)</f>
        <v>0.95633999999999897</v>
      </c>
      <c r="J367" s="586" t="str">
        <f ca="1">IFERROR(__xludf.DUMMYFUNCTION("""COMPUTED_VALUE""")," 12.00 ")</f>
        <v xml:space="preserve"> 12.00 </v>
      </c>
      <c r="K367" s="584" t="str">
        <f ca="1">IFERROR(__xludf.DUMMYFUNCTION("""COMPUTED_VALUE"""),"1.00")</f>
        <v>1.00</v>
      </c>
      <c r="L367" s="584">
        <f ca="1">IFERROR(__xludf.DUMMYFUNCTION("""COMPUTED_VALUE"""),3)</f>
        <v>3</v>
      </c>
      <c r="M367" s="584"/>
      <c r="N367" s="584" t="str">
        <f ca="1">IFERROR(__xludf.DUMMYFUNCTION("""COMPUTED_VALUE"""),"Dị_D&lt;54")</f>
        <v>Dị_D&lt;54</v>
      </c>
      <c r="O367" s="583"/>
      <c r="P367" s="584"/>
    </row>
    <row r="368" spans="1:16" ht="15.75">
      <c r="A368" s="587" t="str">
        <f ca="1">IFERROR(__xludf.DUMMYFUNCTION("""COMPUTED_VALUE"""),"Toàn Phát - Việt Nam")</f>
        <v>Toàn Phát - Việt Nam</v>
      </c>
      <c r="B368" s="587" t="str">
        <f ca="1">IFERROR(__xludf.DUMMYFUNCTION("""COMPUTED_VALUE"""),"ĐTPCAYDI")</f>
        <v>ĐTPCAYDI</v>
      </c>
      <c r="C368" s="587" t="str">
        <f ca="1">IFERROR(__xludf.DUMMYFUNCTION("""COMPUTED_VALUE"""),"DOT120011030")</f>
        <v>DOT120011030</v>
      </c>
      <c r="D368" s="588" t="str">
        <f ca="1">IFERROR(__xludf.DUMMYFUNCTION("""COMPUTED_VALUE"""),"Đồng ống thẳng 12.00x1.10x3.0")</f>
        <v>Đồng ống thẳng 12.00x1.10x3.0</v>
      </c>
      <c r="E368" s="589">
        <f ca="1">IFERROR(__xludf.DUMMYFUNCTION("""COMPUTED_VALUE"""),0.1)</f>
        <v>0.1</v>
      </c>
      <c r="F368" s="590" t="str">
        <f ca="1">IFERROR(__xludf.DUMMYFUNCTION("""COMPUTED_VALUE"""),"Cây")</f>
        <v>Cây</v>
      </c>
      <c r="G368" s="590" t="str">
        <f ca="1">IFERROR(__xludf.DUMMYFUNCTION("""COMPUTED_VALUE"""),"Cây 3m")</f>
        <v>Cây 3m</v>
      </c>
      <c r="H368" s="588"/>
      <c r="I368" s="591">
        <f ca="1">IFERROR(__xludf.DUMMYFUNCTION("""COMPUTED_VALUE"""),1.0424106)</f>
        <v>1.0424106</v>
      </c>
      <c r="J368" s="592" t="str">
        <f ca="1">IFERROR(__xludf.DUMMYFUNCTION("""COMPUTED_VALUE""")," 12.00 ")</f>
        <v xml:space="preserve"> 12.00 </v>
      </c>
      <c r="K368" s="590" t="str">
        <f ca="1">IFERROR(__xludf.DUMMYFUNCTION("""COMPUTED_VALUE"""),"1.10")</f>
        <v>1.10</v>
      </c>
      <c r="L368" s="590">
        <f ca="1">IFERROR(__xludf.DUMMYFUNCTION("""COMPUTED_VALUE"""),3)</f>
        <v>3</v>
      </c>
      <c r="M368" s="590"/>
      <c r="N368" s="590" t="str">
        <f ca="1">IFERROR(__xludf.DUMMYFUNCTION("""COMPUTED_VALUE"""),"Dị_D&lt;54")</f>
        <v>Dị_D&lt;54</v>
      </c>
      <c r="O368" s="589"/>
      <c r="P368" s="590"/>
    </row>
    <row r="369" spans="1:17" ht="15.75">
      <c r="A369" s="581" t="str">
        <f ca="1">IFERROR(__xludf.DUMMYFUNCTION("""COMPUTED_VALUE"""),"Toàn Phát - Việt Nam")</f>
        <v>Toàn Phát - Việt Nam</v>
      </c>
      <c r="B369" s="581" t="str">
        <f ca="1">IFERROR(__xludf.DUMMYFUNCTION("""COMPUTED_VALUE"""),"ĐTPCAYDI")</f>
        <v>ĐTPCAYDI</v>
      </c>
      <c r="C369" s="581" t="str">
        <f ca="1">IFERROR(__xludf.DUMMYFUNCTION("""COMPUTED_VALUE"""),"DOT12011414")</f>
        <v>DOT12011414</v>
      </c>
      <c r="D369" s="582" t="str">
        <f ca="1">IFERROR(__xludf.DUMMYFUNCTION("""COMPUTED_VALUE"""),"Đồng ống thẳng 12.00x1.14x1.4m")</f>
        <v>Đồng ống thẳng 12.00x1.14x1.4m</v>
      </c>
      <c r="E369" s="583">
        <f ca="1">IFERROR(__xludf.DUMMYFUNCTION("""COMPUTED_VALUE"""),0.1)</f>
        <v>0.1</v>
      </c>
      <c r="F369" s="584" t="str">
        <f ca="1">IFERROR(__xludf.DUMMYFUNCTION("""COMPUTED_VALUE"""),"Cây")</f>
        <v>Cây</v>
      </c>
      <c r="G369" s="584" t="str">
        <f ca="1">IFERROR(__xludf.DUMMYFUNCTION("""COMPUTED_VALUE"""),"Cây 1.4m")</f>
        <v>Cây 1.4m</v>
      </c>
      <c r="H369" s="582"/>
      <c r="I369" s="585">
        <f ca="1">IFERROR(__xludf.DUMMYFUNCTION("""COMPUTED_VALUE"""),0.502297588799999)</f>
        <v>0.50229758879999897</v>
      </c>
      <c r="J369" s="586" t="str">
        <f ca="1">IFERROR(__xludf.DUMMYFUNCTION("""COMPUTED_VALUE""")," 12.00 ")</f>
        <v xml:space="preserve"> 12.00 </v>
      </c>
      <c r="K369" s="584" t="str">
        <f ca="1">IFERROR(__xludf.DUMMYFUNCTION("""COMPUTED_VALUE"""),"1.14")</f>
        <v>1.14</v>
      </c>
      <c r="L369" s="584">
        <f ca="1">IFERROR(__xludf.DUMMYFUNCTION("""COMPUTED_VALUE"""),1.4)</f>
        <v>1.4</v>
      </c>
      <c r="M369" s="584"/>
      <c r="N369" s="584" t="str">
        <f ca="1">IFERROR(__xludf.DUMMYFUNCTION("""COMPUTED_VALUE"""),"Dị_D&lt;54")</f>
        <v>Dị_D&lt;54</v>
      </c>
      <c r="O369" s="583"/>
      <c r="P369" s="584"/>
    </row>
    <row r="370" spans="1:17" ht="15.75">
      <c r="A370" s="587" t="str">
        <f ca="1">IFERROR(__xludf.DUMMYFUNCTION("""COMPUTED_VALUE"""),"Toàn Phát - Việt Nam")</f>
        <v>Toàn Phát - Việt Nam</v>
      </c>
      <c r="B370" s="587" t="str">
        <f ca="1">IFERROR(__xludf.DUMMYFUNCTION("""COMPUTED_VALUE"""),"ĐTPCAYDI")</f>
        <v>ĐTPCAYDI</v>
      </c>
      <c r="C370" s="587" t="str">
        <f ca="1">IFERROR(__xludf.DUMMYFUNCTION("""COMPUTED_VALUE"""),"DOT120012030")</f>
        <v>DOT120012030</v>
      </c>
      <c r="D370" s="588" t="str">
        <f ca="1">IFERROR(__xludf.DUMMYFUNCTION("""COMPUTED_VALUE"""),"Đồng ống thẳng 12.00x1.20x3.0")</f>
        <v>Đồng ống thẳng 12.00x1.20x3.0</v>
      </c>
      <c r="E370" s="589">
        <f ca="1">IFERROR(__xludf.DUMMYFUNCTION("""COMPUTED_VALUE"""),0.1)</f>
        <v>0.1</v>
      </c>
      <c r="F370" s="590" t="str">
        <f ca="1">IFERROR(__xludf.DUMMYFUNCTION("""COMPUTED_VALUE"""),"Cây")</f>
        <v>Cây</v>
      </c>
      <c r="G370" s="590" t="str">
        <f ca="1">IFERROR(__xludf.DUMMYFUNCTION("""COMPUTED_VALUE"""),"Cây 3m")</f>
        <v>Cây 3m</v>
      </c>
      <c r="H370" s="588"/>
      <c r="I370" s="591">
        <f ca="1">IFERROR(__xludf.DUMMYFUNCTION("""COMPUTED_VALUE"""),1.1267424)</f>
        <v>1.1267423999999999</v>
      </c>
      <c r="J370" s="592" t="str">
        <f ca="1">IFERROR(__xludf.DUMMYFUNCTION("""COMPUTED_VALUE""")," 12.00 ")</f>
        <v xml:space="preserve"> 12.00 </v>
      </c>
      <c r="K370" s="590" t="str">
        <f ca="1">IFERROR(__xludf.DUMMYFUNCTION("""COMPUTED_VALUE"""),"1.20")</f>
        <v>1.20</v>
      </c>
      <c r="L370" s="590">
        <f ca="1">IFERROR(__xludf.DUMMYFUNCTION("""COMPUTED_VALUE"""),3)</f>
        <v>3</v>
      </c>
      <c r="M370" s="590"/>
      <c r="N370" s="590" t="str">
        <f ca="1">IFERROR(__xludf.DUMMYFUNCTION("""COMPUTED_VALUE"""),"Dị_D&lt;54")</f>
        <v>Dị_D&lt;54</v>
      </c>
      <c r="O370" s="589"/>
      <c r="P370" s="590"/>
    </row>
    <row r="371" spans="1:17" ht="15.75">
      <c r="A371" s="581" t="str">
        <f ca="1">IFERROR(__xludf.DUMMYFUNCTION("""COMPUTED_VALUE"""),"Toàn Phát - Việt Nam")</f>
        <v>Toàn Phát - Việt Nam</v>
      </c>
      <c r="B371" s="581" t="str">
        <f ca="1">IFERROR(__xludf.DUMMYFUNCTION("""COMPUTED_VALUE"""),"ĐTPCAYDI")</f>
        <v>ĐTPCAYDI</v>
      </c>
      <c r="C371" s="581" t="str">
        <f ca="1">IFERROR(__xludf.DUMMYFUNCTION("""COMPUTED_VALUE"""),"DOT120012530")</f>
        <v>DOT120012530</v>
      </c>
      <c r="D371" s="582" t="str">
        <f ca="1">IFERROR(__xludf.DUMMYFUNCTION("""COMPUTED_VALUE"""),"Đồng ống thẳng 12.00x1.25x3.0")</f>
        <v>Đồng ống thẳng 12.00x1.25x3.0</v>
      </c>
      <c r="E371" s="583">
        <f ca="1">IFERROR(__xludf.DUMMYFUNCTION("""COMPUTED_VALUE"""),0.1)</f>
        <v>0.1</v>
      </c>
      <c r="F371" s="584" t="str">
        <f ca="1">IFERROR(__xludf.DUMMYFUNCTION("""COMPUTED_VALUE"""),"Cây")</f>
        <v>Cây</v>
      </c>
      <c r="G371" s="584" t="str">
        <f ca="1">IFERROR(__xludf.DUMMYFUNCTION("""COMPUTED_VALUE"""),"Cây 3m")</f>
        <v>Cây 3m</v>
      </c>
      <c r="H371" s="582"/>
      <c r="I371" s="585">
        <f ca="1">IFERROR(__xludf.DUMMYFUNCTION("""COMPUTED_VALUE"""),1.16825625)</f>
        <v>1.16825625</v>
      </c>
      <c r="J371" s="586" t="str">
        <f ca="1">IFERROR(__xludf.DUMMYFUNCTION("""COMPUTED_VALUE""")," 12.00 ")</f>
        <v xml:space="preserve"> 12.00 </v>
      </c>
      <c r="K371" s="584" t="str">
        <f ca="1">IFERROR(__xludf.DUMMYFUNCTION("""COMPUTED_VALUE"""),"1.25")</f>
        <v>1.25</v>
      </c>
      <c r="L371" s="584">
        <f ca="1">IFERROR(__xludf.DUMMYFUNCTION("""COMPUTED_VALUE"""),3)</f>
        <v>3</v>
      </c>
      <c r="M371" s="584"/>
      <c r="N371" s="584" t="str">
        <f ca="1">IFERROR(__xludf.DUMMYFUNCTION("""COMPUTED_VALUE"""),"Dị_D&lt;54")</f>
        <v>Dị_D&lt;54</v>
      </c>
      <c r="O371" s="583"/>
      <c r="P371" s="584"/>
    </row>
    <row r="372" spans="1:17" ht="15.75">
      <c r="A372" s="587" t="str">
        <f ca="1">IFERROR(__xludf.DUMMYFUNCTION("""COMPUTED_VALUE"""),"Toàn Phát - Việt Nam")</f>
        <v>Toàn Phát - Việt Nam</v>
      </c>
      <c r="B372" s="587" t="str">
        <f ca="1">IFERROR(__xludf.DUMMYFUNCTION("""COMPUTED_VALUE"""),"ĐTPCAYDI")</f>
        <v>ĐTPCAYDI</v>
      </c>
      <c r="C372" s="587" t="str">
        <f ca="1">IFERROR(__xludf.DUMMYFUNCTION("""COMPUTED_VALUE"""),"DOT120013230")</f>
        <v>DOT120013230</v>
      </c>
      <c r="D372" s="588" t="str">
        <f ca="1">IFERROR(__xludf.DUMMYFUNCTION("""COMPUTED_VALUE"""),"Đồng ống thẳng 12.00x1.32x3.0")</f>
        <v>Đồng ống thẳng 12.00x1.32x3.0</v>
      </c>
      <c r="E372" s="589">
        <f ca="1">IFERROR(__xludf.DUMMYFUNCTION("""COMPUTED_VALUE"""),0.1)</f>
        <v>0.1</v>
      </c>
      <c r="F372" s="590" t="str">
        <f ca="1">IFERROR(__xludf.DUMMYFUNCTION("""COMPUTED_VALUE"""),"Cây")</f>
        <v>Cây</v>
      </c>
      <c r="G372" s="590" t="str">
        <f ca="1">IFERROR(__xludf.DUMMYFUNCTION("""COMPUTED_VALUE"""),"Cây 3m")</f>
        <v>Cây 3m</v>
      </c>
      <c r="H372" s="588"/>
      <c r="I372" s="591">
        <f ca="1">IFERROR(__xludf.DUMMYFUNCTION("""COMPUTED_VALUE"""),1.225645344)</f>
        <v>1.2256453439999999</v>
      </c>
      <c r="J372" s="592" t="str">
        <f ca="1">IFERROR(__xludf.DUMMYFUNCTION("""COMPUTED_VALUE""")," 12.00 ")</f>
        <v xml:space="preserve"> 12.00 </v>
      </c>
      <c r="K372" s="590" t="str">
        <f ca="1">IFERROR(__xludf.DUMMYFUNCTION("""COMPUTED_VALUE"""),"1.32")</f>
        <v>1.32</v>
      </c>
      <c r="L372" s="590">
        <f ca="1">IFERROR(__xludf.DUMMYFUNCTION("""COMPUTED_VALUE"""),3)</f>
        <v>3</v>
      </c>
      <c r="M372" s="590"/>
      <c r="N372" s="590" t="str">
        <f ca="1">IFERROR(__xludf.DUMMYFUNCTION("""COMPUTED_VALUE"""),"Dị_D&lt;54")</f>
        <v>Dị_D&lt;54</v>
      </c>
      <c r="O372" s="589"/>
      <c r="P372" s="590"/>
    </row>
    <row r="373" spans="1:17" ht="15.75">
      <c r="A373" s="581" t="str">
        <f ca="1">IFERROR(__xludf.DUMMYFUNCTION("""COMPUTED_VALUE"""),"Toàn Phát - Việt Nam")</f>
        <v>Toàn Phát - Việt Nam</v>
      </c>
      <c r="B373" s="581" t="str">
        <f ca="1">IFERROR(__xludf.DUMMYFUNCTION("""COMPUTED_VALUE"""),"ĐTPCAYDI")</f>
        <v>ĐTPCAYDI</v>
      </c>
      <c r="C373" s="581" t="str">
        <f ca="1">IFERROR(__xludf.DUMMYFUNCTION("""COMPUTED_VALUE"""),"DOT125013030")</f>
        <v>DOT125013030</v>
      </c>
      <c r="D373" s="582" t="str">
        <f ca="1">IFERROR(__xludf.DUMMYFUNCTION("""COMPUTED_VALUE"""),"Đồng ống thẳng 12.50x1.30x3.0")</f>
        <v>Đồng ống thẳng 12.50x1.30x3.0</v>
      </c>
      <c r="E373" s="583">
        <f ca="1">IFERROR(__xludf.DUMMYFUNCTION("""COMPUTED_VALUE"""),0.1)</f>
        <v>0.1</v>
      </c>
      <c r="F373" s="584" t="str">
        <f ca="1">IFERROR(__xludf.DUMMYFUNCTION("""COMPUTED_VALUE"""),"Cây")</f>
        <v>Cây</v>
      </c>
      <c r="G373" s="584" t="str">
        <f ca="1">IFERROR(__xludf.DUMMYFUNCTION("""COMPUTED_VALUE"""),"Cây 3m")</f>
        <v>Cây 3m</v>
      </c>
      <c r="H373" s="582"/>
      <c r="I373" s="585">
        <f ca="1">IFERROR(__xludf.DUMMYFUNCTION("""COMPUTED_VALUE"""),1.26584639999999)</f>
        <v>1.26584639999999</v>
      </c>
      <c r="J373" s="586" t="str">
        <f ca="1">IFERROR(__xludf.DUMMYFUNCTION("""COMPUTED_VALUE""")," 12.50 ")</f>
        <v xml:space="preserve"> 12.50 </v>
      </c>
      <c r="K373" s="584" t="str">
        <f ca="1">IFERROR(__xludf.DUMMYFUNCTION("""COMPUTED_VALUE"""),"1.30")</f>
        <v>1.30</v>
      </c>
      <c r="L373" s="584">
        <f ca="1">IFERROR(__xludf.DUMMYFUNCTION("""COMPUTED_VALUE"""),3)</f>
        <v>3</v>
      </c>
      <c r="M373" s="584"/>
      <c r="N373" s="584" t="str">
        <f ca="1">IFERROR(__xludf.DUMMYFUNCTION("""COMPUTED_VALUE"""),"Dị_D&lt;54")</f>
        <v>Dị_D&lt;54</v>
      </c>
      <c r="O373" s="583"/>
      <c r="P373" s="584"/>
    </row>
    <row r="374" spans="1:17" ht="15.75">
      <c r="A374" s="587" t="str">
        <f ca="1">IFERROR(__xludf.DUMMYFUNCTION("""COMPUTED_VALUE"""),"Toàn Phát - Việt Nam")</f>
        <v>Toàn Phát - Việt Nam</v>
      </c>
      <c r="B374" s="587" t="str">
        <f ca="1">IFERROR(__xludf.DUMMYFUNCTION("""COMPUTED_VALUE"""),"ĐTPCAYDI")</f>
        <v>ĐTPCAYDI</v>
      </c>
      <c r="C374" s="587" t="str">
        <f ca="1">IFERROR(__xludf.DUMMYFUNCTION("""COMPUTED_VALUE"""),"DOT125013530")</f>
        <v>DOT125013530</v>
      </c>
      <c r="D374" s="588" t="str">
        <f ca="1">IFERROR(__xludf.DUMMYFUNCTION("""COMPUTED_VALUE"""),"Đồng ống thẳng 12.50x1.35x3.0")</f>
        <v>Đồng ống thẳng 12.50x1.35x3.0</v>
      </c>
      <c r="E374" s="589">
        <f ca="1">IFERROR(__xludf.DUMMYFUNCTION("""COMPUTED_VALUE"""),0.1)</f>
        <v>0.1</v>
      </c>
      <c r="F374" s="590" t="str">
        <f ca="1">IFERROR(__xludf.DUMMYFUNCTION("""COMPUTED_VALUE"""),"Cây")</f>
        <v>Cây</v>
      </c>
      <c r="G374" s="590" t="str">
        <f ca="1">IFERROR(__xludf.DUMMYFUNCTION("""COMPUTED_VALUE"""),"Cây 3m")</f>
        <v>Cây 3m</v>
      </c>
      <c r="H374" s="588"/>
      <c r="I374" s="591">
        <f ca="1">IFERROR(__xludf.DUMMYFUNCTION("""COMPUTED_VALUE"""),1.30866435)</f>
        <v>1.3086643499999999</v>
      </c>
      <c r="J374" s="592" t="str">
        <f ca="1">IFERROR(__xludf.DUMMYFUNCTION("""COMPUTED_VALUE""")," 12.50 ")</f>
        <v xml:space="preserve"> 12.50 </v>
      </c>
      <c r="K374" s="590" t="str">
        <f ca="1">IFERROR(__xludf.DUMMYFUNCTION("""COMPUTED_VALUE"""),"1.35")</f>
        <v>1.35</v>
      </c>
      <c r="L374" s="590">
        <f ca="1">IFERROR(__xludf.DUMMYFUNCTION("""COMPUTED_VALUE"""),3)</f>
        <v>3</v>
      </c>
      <c r="M374" s="590"/>
      <c r="N374" s="590" t="str">
        <f ca="1">IFERROR(__xludf.DUMMYFUNCTION("""COMPUTED_VALUE"""),"Dị_D&lt;54")</f>
        <v>Dị_D&lt;54</v>
      </c>
      <c r="O374" s="589"/>
      <c r="P374" s="590"/>
    </row>
    <row r="375" spans="1:17" ht="15.75">
      <c r="A375" s="581" t="str">
        <f ca="1">IFERROR(__xludf.DUMMYFUNCTION("""COMPUTED_VALUE"""),"Toàn Phát - Việt Nam")</f>
        <v>Toàn Phát - Việt Nam</v>
      </c>
      <c r="B375" s="581" t="str">
        <f ca="1">IFERROR(__xludf.DUMMYFUNCTION("""COMPUTED_VALUE"""),"ĐTPCAYDI")</f>
        <v>ĐTPCAYDI</v>
      </c>
      <c r="C375" s="581" t="str">
        <f ca="1">IFERROR(__xludf.DUMMYFUNCTION("""COMPUTED_VALUE"""),"DOT125015030")</f>
        <v>DOT125015030</v>
      </c>
      <c r="D375" s="582" t="str">
        <f ca="1">IFERROR(__xludf.DUMMYFUNCTION("""COMPUTED_VALUE"""),"Đồng ống thẳng 12.50x1.50x3.0")</f>
        <v>Đồng ống thẳng 12.50x1.50x3.0</v>
      </c>
      <c r="E375" s="583">
        <f ca="1">IFERROR(__xludf.DUMMYFUNCTION("""COMPUTED_VALUE"""),0.1)</f>
        <v>0.1</v>
      </c>
      <c r="F375" s="584" t="str">
        <f ca="1">IFERROR(__xludf.DUMMYFUNCTION("""COMPUTED_VALUE"""),"Cây")</f>
        <v>Cây</v>
      </c>
      <c r="G375" s="584" t="str">
        <f ca="1">IFERROR(__xludf.DUMMYFUNCTION("""COMPUTED_VALUE"""),"Cây 3m")</f>
        <v>Cây 3m</v>
      </c>
      <c r="H375" s="582"/>
      <c r="I375" s="585">
        <f ca="1">IFERROR(__xludf.DUMMYFUNCTION("""COMPUTED_VALUE"""),1.43451)</f>
        <v>1.43451</v>
      </c>
      <c r="J375" s="586" t="str">
        <f ca="1">IFERROR(__xludf.DUMMYFUNCTION("""COMPUTED_VALUE""")," 12.50 ")</f>
        <v xml:space="preserve"> 12.50 </v>
      </c>
      <c r="K375" s="584" t="str">
        <f ca="1">IFERROR(__xludf.DUMMYFUNCTION("""COMPUTED_VALUE"""),"1.50")</f>
        <v>1.50</v>
      </c>
      <c r="L375" s="584">
        <f ca="1">IFERROR(__xludf.DUMMYFUNCTION("""COMPUTED_VALUE"""),3)</f>
        <v>3</v>
      </c>
      <c r="M375" s="584"/>
      <c r="N375" s="584" t="str">
        <f ca="1">IFERROR(__xludf.DUMMYFUNCTION("""COMPUTED_VALUE"""),"Dị_D&lt;54")</f>
        <v>Dị_D&lt;54</v>
      </c>
      <c r="O375" s="583"/>
      <c r="P375" s="584"/>
    </row>
    <row r="376" spans="1:17" ht="15.75">
      <c r="A376" s="587" t="str">
        <f ca="1">IFERROR(__xludf.DUMMYFUNCTION("""COMPUTED_VALUE"""),"Toàn Phát - Việt Nam")</f>
        <v>Toàn Phát - Việt Nam</v>
      </c>
      <c r="B376" s="587" t="str">
        <f ca="1">IFERROR(__xludf.DUMMYFUNCTION("""COMPUTED_VALUE"""),"ĐTPCAYDI")</f>
        <v>ĐTPCAYDI</v>
      </c>
      <c r="C376" s="587" t="str">
        <f ca="1">IFERROR(__xludf.DUMMYFUNCTION("""COMPUTED_VALUE"""),"DOT1270050")</f>
        <v>DOT1270050</v>
      </c>
      <c r="D376" s="588" t="str">
        <f ca="1">IFERROR(__xludf.DUMMYFUNCTION("""COMPUTED_VALUE"""),"Đồng ống thẳng 12.70x0.50")</f>
        <v>Đồng ống thẳng 12.70x0.50</v>
      </c>
      <c r="E376" s="589">
        <f ca="1">IFERROR(__xludf.DUMMYFUNCTION("""COMPUTED_VALUE"""),0.1)</f>
        <v>0.1</v>
      </c>
      <c r="F376" s="590" t="str">
        <f ca="1">IFERROR(__xludf.DUMMYFUNCTION("""COMPUTED_VALUE"""),"Cây")</f>
        <v>Cây</v>
      </c>
      <c r="G376" s="590" t="str">
        <f ca="1">IFERROR(__xludf.DUMMYFUNCTION("""COMPUTED_VALUE"""),"Cây 2.9m")</f>
        <v>Cây 2.9m</v>
      </c>
      <c r="H376" s="588" t="str">
        <f ca="1">IFERROR(__xludf.DUMMYFUNCTION("""COMPUTED_VALUE"""),"60")</f>
        <v>60</v>
      </c>
      <c r="I376" s="591">
        <f ca="1">IFERROR(__xludf.DUMMYFUNCTION("""COMPUTED_VALUE"""),0.512656199999999)</f>
        <v>0.51265619999999901</v>
      </c>
      <c r="J376" s="592" t="str">
        <f ca="1">IFERROR(__xludf.DUMMYFUNCTION("""COMPUTED_VALUE""")," 12.70 ")</f>
        <v xml:space="preserve"> 12.70 </v>
      </c>
      <c r="K376" s="590" t="str">
        <f ca="1">IFERROR(__xludf.DUMMYFUNCTION("""COMPUTED_VALUE"""),"0.50")</f>
        <v>0.50</v>
      </c>
      <c r="L376" s="590">
        <f ca="1">IFERROR(__xludf.DUMMYFUNCTION("""COMPUTED_VALUE"""),2.9)</f>
        <v>2.9</v>
      </c>
      <c r="M376" s="590"/>
      <c r="N376" s="590" t="str">
        <f ca="1">IFERROR(__xludf.DUMMYFUNCTION("""COMPUTED_VALUE"""),"Dị_D&lt;54")</f>
        <v>Dị_D&lt;54</v>
      </c>
      <c r="O376" s="589"/>
      <c r="P376" s="590"/>
    </row>
    <row r="377" spans="1:17" ht="15.75">
      <c r="A377" s="581" t="str">
        <f ca="1">IFERROR(__xludf.DUMMYFUNCTION("""COMPUTED_VALUE"""),"Toàn Phát - Việt Nam")</f>
        <v>Toàn Phát - Việt Nam</v>
      </c>
      <c r="B377" s="581" t="str">
        <f ca="1">IFERROR(__xludf.DUMMYFUNCTION("""COMPUTED_VALUE"""),"ĐTPCAYDI")</f>
        <v>ĐTPCAYDI</v>
      </c>
      <c r="C377" s="581" t="str">
        <f ca="1">IFERROR(__xludf.DUMMYFUNCTION("""COMPUTED_VALUE"""),"DOT1270055")</f>
        <v>DOT1270055</v>
      </c>
      <c r="D377" s="582" t="str">
        <f ca="1">IFERROR(__xludf.DUMMYFUNCTION("""COMPUTED_VALUE"""),"Đồng ống thẳng 12.70x0.55")</f>
        <v>Đồng ống thẳng 12.70x0.55</v>
      </c>
      <c r="E377" s="583">
        <f ca="1">IFERROR(__xludf.DUMMYFUNCTION("""COMPUTED_VALUE"""),0.1)</f>
        <v>0.1</v>
      </c>
      <c r="F377" s="584" t="str">
        <f ca="1">IFERROR(__xludf.DUMMYFUNCTION("""COMPUTED_VALUE"""),"Cây")</f>
        <v>Cây</v>
      </c>
      <c r="G377" s="584" t="str">
        <f ca="1">IFERROR(__xludf.DUMMYFUNCTION("""COMPUTED_VALUE"""),"Cây 2.9m")</f>
        <v>Cây 2.9m</v>
      </c>
      <c r="H377" s="582" t="str">
        <f ca="1">IFERROR(__xludf.DUMMYFUNCTION("""COMPUTED_VALUE"""),"60")</f>
        <v>60</v>
      </c>
      <c r="I377" s="585">
        <f ca="1">IFERROR(__xludf.DUMMYFUNCTION("""COMPUTED_VALUE"""),0.561610664999999)</f>
        <v>0.56161066499999901</v>
      </c>
      <c r="J377" s="586" t="str">
        <f ca="1">IFERROR(__xludf.DUMMYFUNCTION("""COMPUTED_VALUE""")," 12.70 ")</f>
        <v xml:space="preserve"> 12.70 </v>
      </c>
      <c r="K377" s="584" t="str">
        <f ca="1">IFERROR(__xludf.DUMMYFUNCTION("""COMPUTED_VALUE"""),"0.55")</f>
        <v>0.55</v>
      </c>
      <c r="L377" s="584">
        <f ca="1">IFERROR(__xludf.DUMMYFUNCTION("""COMPUTED_VALUE"""),2.9)</f>
        <v>2.9</v>
      </c>
      <c r="M377" s="584"/>
      <c r="N377" s="584" t="str">
        <f ca="1">IFERROR(__xludf.DUMMYFUNCTION("""COMPUTED_VALUE"""),"Dị_D&lt;54")</f>
        <v>Dị_D&lt;54</v>
      </c>
      <c r="O377" s="583"/>
      <c r="P377" s="584"/>
    </row>
    <row r="378" spans="1:17" ht="15.75">
      <c r="A378" s="587" t="str">
        <f ca="1">IFERROR(__xludf.DUMMYFUNCTION("""COMPUTED_VALUE"""),"Toàn Phát - Việt Nam")</f>
        <v>Toàn Phát - Việt Nam</v>
      </c>
      <c r="B378" s="587" t="str">
        <f ca="1">IFERROR(__xludf.DUMMYFUNCTION("""COMPUTED_VALUE"""),"ĐTPCAYDI")</f>
        <v>ĐTPCAYDI</v>
      </c>
      <c r="C378" s="587" t="str">
        <f ca="1">IFERROR(__xludf.DUMMYFUNCTION("""COMPUTED_VALUE"""),"DOT1270060")</f>
        <v>DOT1270060</v>
      </c>
      <c r="D378" s="588" t="str">
        <f ca="1">IFERROR(__xludf.DUMMYFUNCTION("""COMPUTED_VALUE"""),"Đồng ống thẳng 12.70x0.60")</f>
        <v>Đồng ống thẳng 12.70x0.60</v>
      </c>
      <c r="E378" s="589">
        <f ca="1">IFERROR(__xludf.DUMMYFUNCTION("""COMPUTED_VALUE"""),0.1)</f>
        <v>0.1</v>
      </c>
      <c r="F378" s="590" t="str">
        <f ca="1">IFERROR(__xludf.DUMMYFUNCTION("""COMPUTED_VALUE"""),"Cây")</f>
        <v>Cây</v>
      </c>
      <c r="G378" s="590" t="str">
        <f ca="1">IFERROR(__xludf.DUMMYFUNCTION("""COMPUTED_VALUE"""),"Cây 2.9m")</f>
        <v>Cây 2.9m</v>
      </c>
      <c r="H378" s="588" t="str">
        <f ca="1">IFERROR(__xludf.DUMMYFUNCTION("""COMPUTED_VALUE"""),"60")</f>
        <v>60</v>
      </c>
      <c r="I378" s="591">
        <f ca="1">IFERROR(__xludf.DUMMYFUNCTION("""COMPUTED_VALUE"""),0.610144919999999)</f>
        <v>0.61014491999999898</v>
      </c>
      <c r="J378" s="592" t="str">
        <f ca="1">IFERROR(__xludf.DUMMYFUNCTION("""COMPUTED_VALUE""")," 12.70 ")</f>
        <v xml:space="preserve"> 12.70 </v>
      </c>
      <c r="K378" s="590" t="str">
        <f ca="1">IFERROR(__xludf.DUMMYFUNCTION("""COMPUTED_VALUE"""),"0.60")</f>
        <v>0.60</v>
      </c>
      <c r="L378" s="590">
        <f ca="1">IFERROR(__xludf.DUMMYFUNCTION("""COMPUTED_VALUE"""),2.9)</f>
        <v>2.9</v>
      </c>
      <c r="M378" s="590"/>
      <c r="N378" s="590" t="str">
        <f ca="1">IFERROR(__xludf.DUMMYFUNCTION("""COMPUTED_VALUE"""),"Dị_D&lt;54")</f>
        <v>Dị_D&lt;54</v>
      </c>
      <c r="O378" s="589"/>
      <c r="P378" s="590"/>
    </row>
    <row r="379" spans="1:17" ht="15.75">
      <c r="A379" s="581" t="str">
        <f ca="1">IFERROR(__xludf.DUMMYFUNCTION("""COMPUTED_VALUE"""),"Toàn Phát - Việt Nam")</f>
        <v>Toàn Phát - Việt Nam</v>
      </c>
      <c r="B379" s="581" t="str">
        <f ca="1">IFERROR(__xludf.DUMMYFUNCTION("""COMPUTED_VALUE"""),"ĐTPCAYDD")</f>
        <v>ĐTPCAYDD</v>
      </c>
      <c r="C379" s="581" t="str">
        <f ca="1">IFERROR(__xludf.DUMMYFUNCTION("""COMPUTED_VALUE"""),"DOT1270071")</f>
        <v>DOT1270071</v>
      </c>
      <c r="D379" s="582" t="str">
        <f ca="1">IFERROR(__xludf.DUMMYFUNCTION("""COMPUTED_VALUE"""),"Đồng ống thẳng 12.70x0.71")</f>
        <v>Đồng ống thẳng 12.70x0.71</v>
      </c>
      <c r="E379" s="583">
        <f ca="1">IFERROR(__xludf.DUMMYFUNCTION("""COMPUTED_VALUE"""),0.1)</f>
        <v>0.1</v>
      </c>
      <c r="F379" s="584" t="str">
        <f ca="1">IFERROR(__xludf.DUMMYFUNCTION("""COMPUTED_VALUE"""),"Cây")</f>
        <v>Cây</v>
      </c>
      <c r="G379" s="584" t="str">
        <f ca="1">IFERROR(__xludf.DUMMYFUNCTION("""COMPUTED_VALUE"""),"Cây 2.9m")</f>
        <v>Cây 2.9m</v>
      </c>
      <c r="H379" s="582" t="str">
        <f ca="1">IFERROR(__xludf.DUMMYFUNCTION("""COMPUTED_VALUE"""),"60")</f>
        <v>60</v>
      </c>
      <c r="I379" s="585">
        <f ca="1">IFERROR(__xludf.DUMMYFUNCTION("""COMPUTED_VALUE"""),0.715441141799999)</f>
        <v>0.71544114179999896</v>
      </c>
      <c r="J379" s="586" t="str">
        <f ca="1">IFERROR(__xludf.DUMMYFUNCTION("""COMPUTED_VALUE""")," 12.70 ")</f>
        <v xml:space="preserve"> 12.70 </v>
      </c>
      <c r="K379" s="584" t="str">
        <f ca="1">IFERROR(__xludf.DUMMYFUNCTION("""COMPUTED_VALUE"""),"0.71")</f>
        <v>0.71</v>
      </c>
      <c r="L379" s="584">
        <f ca="1">IFERROR(__xludf.DUMMYFUNCTION("""COMPUTED_VALUE"""),2.9)</f>
        <v>2.9</v>
      </c>
      <c r="M379" s="584"/>
      <c r="N379" s="584" t="str">
        <f ca="1">IFERROR(__xludf.DUMMYFUNCTION("""COMPUTED_VALUE"""),"Không")</f>
        <v>Không</v>
      </c>
      <c r="O379" s="583"/>
      <c r="P379" s="584"/>
      <c r="Q379" s="885">
        <f ca="1">+$Q$5*I379</f>
        <v>164.55146261399975</v>
      </c>
    </row>
    <row r="380" spans="1:17" ht="15.75">
      <c r="A380" s="587" t="str">
        <f ca="1">IFERROR(__xludf.DUMMYFUNCTION("""COMPUTED_VALUE"""),"Toàn Phát - Việt Nam")</f>
        <v>Toàn Phát - Việt Nam</v>
      </c>
      <c r="B380" s="587" t="str">
        <f ca="1">IFERROR(__xludf.DUMMYFUNCTION("""COMPUTED_VALUE"""),"ĐTPCAYDI")</f>
        <v>ĐTPCAYDI</v>
      </c>
      <c r="C380" s="587" t="str">
        <f ca="1">IFERROR(__xludf.DUMMYFUNCTION("""COMPUTED_VALUE"""),"DOT1270075")</f>
        <v>DOT1270075</v>
      </c>
      <c r="D380" s="588" t="str">
        <f ca="1">IFERROR(__xludf.DUMMYFUNCTION("""COMPUTED_VALUE"""),"Đồng ống thẳng 12.70x0.75")</f>
        <v>Đồng ống thẳng 12.70x0.75</v>
      </c>
      <c r="E380" s="589">
        <f ca="1">IFERROR(__xludf.DUMMYFUNCTION("""COMPUTED_VALUE"""),0.1)</f>
        <v>0.1</v>
      </c>
      <c r="F380" s="590" t="str">
        <f ca="1">IFERROR(__xludf.DUMMYFUNCTION("""COMPUTED_VALUE"""),"Cây")</f>
        <v>Cây</v>
      </c>
      <c r="G380" s="590" t="str">
        <f ca="1">IFERROR(__xludf.DUMMYFUNCTION("""COMPUTED_VALUE"""),"Cây 2.9m")</f>
        <v>Cây 2.9m</v>
      </c>
      <c r="H380" s="588" t="str">
        <f ca="1">IFERROR(__xludf.DUMMYFUNCTION("""COMPUTED_VALUE"""),"60")</f>
        <v>60</v>
      </c>
      <c r="I380" s="591">
        <f ca="1">IFERROR(__xludf.DUMMYFUNCTION("""COMPUTED_VALUE"""),0.753226424999999)</f>
        <v>0.75322642499999903</v>
      </c>
      <c r="J380" s="592" t="str">
        <f ca="1">IFERROR(__xludf.DUMMYFUNCTION("""COMPUTED_VALUE""")," 12.70 ")</f>
        <v xml:space="preserve"> 12.70 </v>
      </c>
      <c r="K380" s="590" t="str">
        <f ca="1">IFERROR(__xludf.DUMMYFUNCTION("""COMPUTED_VALUE"""),"0.75")</f>
        <v>0.75</v>
      </c>
      <c r="L380" s="590">
        <f ca="1">IFERROR(__xludf.DUMMYFUNCTION("""COMPUTED_VALUE"""),2.9)</f>
        <v>2.9</v>
      </c>
      <c r="M380" s="590"/>
      <c r="N380" s="590" t="str">
        <f ca="1">IFERROR(__xludf.DUMMYFUNCTION("""COMPUTED_VALUE"""),"Dị_D&lt;54")</f>
        <v>Dị_D&lt;54</v>
      </c>
      <c r="O380" s="589"/>
      <c r="P380" s="590"/>
    </row>
    <row r="381" spans="1:17" ht="15.75">
      <c r="A381" s="581" t="str">
        <f ca="1">IFERROR(__xludf.DUMMYFUNCTION("""COMPUTED_VALUE"""),"Toàn Phát - Việt Nam")</f>
        <v>Toàn Phát - Việt Nam</v>
      </c>
      <c r="B381" s="581" t="str">
        <f ca="1">IFERROR(__xludf.DUMMYFUNCTION("""COMPUTED_VALUE"""),"ĐTPCAYDI")</f>
        <v>ĐTPCAYDI</v>
      </c>
      <c r="C381" s="581" t="str">
        <f ca="1">IFERROR(__xludf.DUMMYFUNCTION("""COMPUTED_VALUE"""),"DOT12707558")</f>
        <v>DOT12707558</v>
      </c>
      <c r="D381" s="582" t="str">
        <f ca="1">IFERROR(__xludf.DUMMYFUNCTION("""COMPUTED_VALUE"""),"Đồng ống thẳng 12.7x0.75x5.8")</f>
        <v>Đồng ống thẳng 12.7x0.75x5.8</v>
      </c>
      <c r="E381" s="583">
        <f ca="1">IFERROR(__xludf.DUMMYFUNCTION("""COMPUTED_VALUE"""),0.1)</f>
        <v>0.1</v>
      </c>
      <c r="F381" s="584" t="str">
        <f ca="1">IFERROR(__xludf.DUMMYFUNCTION("""COMPUTED_VALUE"""),"Cây")</f>
        <v>Cây</v>
      </c>
      <c r="G381" s="584" t="str">
        <f ca="1">IFERROR(__xludf.DUMMYFUNCTION("""COMPUTED_VALUE"""),"Cây 5.8m")</f>
        <v>Cây 5.8m</v>
      </c>
      <c r="H381" s="582"/>
      <c r="I381" s="585">
        <f ca="1">IFERROR(__xludf.DUMMYFUNCTION("""COMPUTED_VALUE"""),1.50645284999999)</f>
        <v>1.5064528499999901</v>
      </c>
      <c r="J381" s="586" t="str">
        <f ca="1">IFERROR(__xludf.DUMMYFUNCTION("""COMPUTED_VALUE""")," 12.70 ")</f>
        <v xml:space="preserve"> 12.70 </v>
      </c>
      <c r="K381" s="584" t="str">
        <f ca="1">IFERROR(__xludf.DUMMYFUNCTION("""COMPUTED_VALUE"""),"0.75")</f>
        <v>0.75</v>
      </c>
      <c r="L381" s="584">
        <f ca="1">IFERROR(__xludf.DUMMYFUNCTION("""COMPUTED_VALUE"""),5.8)</f>
        <v>5.8</v>
      </c>
      <c r="M381" s="584"/>
      <c r="N381" s="584" t="str">
        <f ca="1">IFERROR(__xludf.DUMMYFUNCTION("""COMPUTED_VALUE"""),"Dị_D&lt;54")</f>
        <v>Dị_D&lt;54</v>
      </c>
      <c r="O381" s="583"/>
      <c r="P381" s="584"/>
    </row>
    <row r="382" spans="1:17" ht="15.75">
      <c r="A382" s="587" t="str">
        <f ca="1">IFERROR(__xludf.DUMMYFUNCTION("""COMPUTED_VALUE"""),"Toàn Phát - Việt Nam")</f>
        <v>Toàn Phát - Việt Nam</v>
      </c>
      <c r="B382" s="587" t="str">
        <f ca="1">IFERROR(__xludf.DUMMYFUNCTION("""COMPUTED_VALUE"""),"ĐTPCAYDI")</f>
        <v>ĐTPCAYDI</v>
      </c>
      <c r="C382" s="587" t="str">
        <f ca="1">IFERROR(__xludf.DUMMYFUNCTION("""COMPUTED_VALUE"""),"DOT1270080")</f>
        <v>DOT1270080</v>
      </c>
      <c r="D382" s="588" t="str">
        <f ca="1">IFERROR(__xludf.DUMMYFUNCTION("""COMPUTED_VALUE"""),"Đồng ống thẳng 12.70x0.80")</f>
        <v>Đồng ống thẳng 12.70x0.80</v>
      </c>
      <c r="E382" s="589">
        <f ca="1">IFERROR(__xludf.DUMMYFUNCTION("""COMPUTED_VALUE"""),0.1)</f>
        <v>0.1</v>
      </c>
      <c r="F382" s="590" t="str">
        <f ca="1">IFERROR(__xludf.DUMMYFUNCTION("""COMPUTED_VALUE"""),"Cây")</f>
        <v>Cây</v>
      </c>
      <c r="G382" s="590" t="str">
        <f ca="1">IFERROR(__xludf.DUMMYFUNCTION("""COMPUTED_VALUE"""),"Cây 2.9m")</f>
        <v>Cây 2.9m</v>
      </c>
      <c r="H382" s="588" t="str">
        <f ca="1">IFERROR(__xludf.DUMMYFUNCTION("""COMPUTED_VALUE"""),"60")</f>
        <v>60</v>
      </c>
      <c r="I382" s="591">
        <f ca="1">IFERROR(__xludf.DUMMYFUNCTION("""COMPUTED_VALUE"""),0.80007984)</f>
        <v>0.80007983999999999</v>
      </c>
      <c r="J382" s="592" t="str">
        <f ca="1">IFERROR(__xludf.DUMMYFUNCTION("""COMPUTED_VALUE""")," 12.70 ")</f>
        <v xml:space="preserve"> 12.70 </v>
      </c>
      <c r="K382" s="590" t="str">
        <f ca="1">IFERROR(__xludf.DUMMYFUNCTION("""COMPUTED_VALUE"""),"0.80")</f>
        <v>0.80</v>
      </c>
      <c r="L382" s="590">
        <f ca="1">IFERROR(__xludf.DUMMYFUNCTION("""COMPUTED_VALUE"""),2.9)</f>
        <v>2.9</v>
      </c>
      <c r="M382" s="590"/>
      <c r="N382" s="590" t="str">
        <f ca="1">IFERROR(__xludf.DUMMYFUNCTION("""COMPUTED_VALUE"""),"Ít bán")</f>
        <v>Ít bán</v>
      </c>
      <c r="O382" s="589"/>
      <c r="P382" s="590"/>
      <c r="Q382" s="885">
        <f ca="1">+$Q$5*I382</f>
        <v>184.01836319999998</v>
      </c>
    </row>
    <row r="383" spans="1:17" ht="15.75">
      <c r="A383" s="581" t="str">
        <f ca="1">IFERROR(__xludf.DUMMYFUNCTION("""COMPUTED_VALUE"""),"Toàn Phát - Việt Nam")</f>
        <v>Toàn Phát - Việt Nam</v>
      </c>
      <c r="B383" s="581" t="str">
        <f ca="1">IFERROR(__xludf.DUMMYFUNCTION("""COMPUTED_VALUE"""),"ĐTPCAYDI")</f>
        <v>ĐTPCAYDI</v>
      </c>
      <c r="C383" s="581" t="str">
        <f ca="1">IFERROR(__xludf.DUMMYFUNCTION("""COMPUTED_VALUE"""),"DOT127080303")</f>
        <v>DOT127080303</v>
      </c>
      <c r="D383" s="582" t="str">
        <f ca="1">IFERROR(__xludf.DUMMYFUNCTION("""COMPUTED_VALUE"""),"Đồng ống thẳng 12.7x0.80x3.03")</f>
        <v>Đồng ống thẳng 12.7x0.80x3.03</v>
      </c>
      <c r="E383" s="583">
        <f ca="1">IFERROR(__xludf.DUMMYFUNCTION("""COMPUTED_VALUE"""),0.1)</f>
        <v>0.1</v>
      </c>
      <c r="F383" s="584" t="str">
        <f ca="1">IFERROR(__xludf.DUMMYFUNCTION("""COMPUTED_VALUE"""),"Cây")</f>
        <v>Cây</v>
      </c>
      <c r="G383" s="584" t="str">
        <f ca="1">IFERROR(__xludf.DUMMYFUNCTION("""COMPUTED_VALUE"""),"Cây 3.03m")</f>
        <v>Cây 3.03m</v>
      </c>
      <c r="H383" s="582"/>
      <c r="I383" s="585">
        <f ca="1">IFERROR(__xludf.DUMMYFUNCTION("""COMPUTED_VALUE"""),0.835945487999999)</f>
        <v>0.83594548799999902</v>
      </c>
      <c r="J383" s="586" t="str">
        <f ca="1">IFERROR(__xludf.DUMMYFUNCTION("""COMPUTED_VALUE""")," 12.70 ")</f>
        <v xml:space="preserve"> 12.70 </v>
      </c>
      <c r="K383" s="584" t="str">
        <f ca="1">IFERROR(__xludf.DUMMYFUNCTION("""COMPUTED_VALUE"""),"0.80")</f>
        <v>0.80</v>
      </c>
      <c r="L383" s="584">
        <f ca="1">IFERROR(__xludf.DUMMYFUNCTION("""COMPUTED_VALUE"""),3.03)</f>
        <v>3.03</v>
      </c>
      <c r="M383" s="584"/>
      <c r="N383" s="584" t="str">
        <f ca="1">IFERROR(__xludf.DUMMYFUNCTION("""COMPUTED_VALUE"""),"Dị_D&lt;54")</f>
        <v>Dị_D&lt;54</v>
      </c>
      <c r="O383" s="583"/>
      <c r="P383" s="584"/>
    </row>
    <row r="384" spans="1:17" ht="15.75">
      <c r="A384" s="587" t="str">
        <f ca="1">IFERROR(__xludf.DUMMYFUNCTION("""COMPUTED_VALUE"""),"Toàn Phát - Việt Nam")</f>
        <v>Toàn Phát - Việt Nam</v>
      </c>
      <c r="B384" s="587" t="str">
        <f ca="1">IFERROR(__xludf.DUMMYFUNCTION("""COMPUTED_VALUE"""),"ĐTPCAYDI")</f>
        <v>ĐTPCAYDI</v>
      </c>
      <c r="C384" s="587" t="str">
        <f ca="1">IFERROR(__xludf.DUMMYFUNCTION("""COMPUTED_VALUE"""),"DOT1270828")</f>
        <v>DOT1270828</v>
      </c>
      <c r="D384" s="588" t="str">
        <f ca="1">IFERROR(__xludf.DUMMYFUNCTION("""COMPUTED_VALUE"""),"Đồng ống thẳng 12.70x0.80x2.8")</f>
        <v>Đồng ống thẳng 12.70x0.80x2.8</v>
      </c>
      <c r="E384" s="589">
        <f ca="1">IFERROR(__xludf.DUMMYFUNCTION("""COMPUTED_VALUE"""),0.1)</f>
        <v>0.1</v>
      </c>
      <c r="F384" s="590" t="str">
        <f ca="1">IFERROR(__xludf.DUMMYFUNCTION("""COMPUTED_VALUE"""),"Cây")</f>
        <v>Cây</v>
      </c>
      <c r="G384" s="590" t="str">
        <f ca="1">IFERROR(__xludf.DUMMYFUNCTION("""COMPUTED_VALUE"""),"Cây 2.8m")</f>
        <v>Cây 2.8m</v>
      </c>
      <c r="H384" s="588"/>
      <c r="I384" s="591">
        <f ca="1">IFERROR(__xludf.DUMMYFUNCTION("""COMPUTED_VALUE"""),0.77249088)</f>
        <v>0.77249087999999999</v>
      </c>
      <c r="J384" s="592" t="str">
        <f ca="1">IFERROR(__xludf.DUMMYFUNCTION("""COMPUTED_VALUE""")," 12.70 ")</f>
        <v xml:space="preserve"> 12.70 </v>
      </c>
      <c r="K384" s="590" t="str">
        <f ca="1">IFERROR(__xludf.DUMMYFUNCTION("""COMPUTED_VALUE"""),"0.80")</f>
        <v>0.80</v>
      </c>
      <c r="L384" s="590">
        <f ca="1">IFERROR(__xludf.DUMMYFUNCTION("""COMPUTED_VALUE"""),2.8)</f>
        <v>2.8</v>
      </c>
      <c r="M384" s="590"/>
      <c r="N384" s="590" t="str">
        <f ca="1">IFERROR(__xludf.DUMMYFUNCTION("""COMPUTED_VALUE"""),"Dị_D&lt;54")</f>
        <v>Dị_D&lt;54</v>
      </c>
      <c r="O384" s="589"/>
      <c r="P384" s="590"/>
    </row>
    <row r="385" spans="1:16" ht="15.75">
      <c r="A385" s="581" t="str">
        <f ca="1">IFERROR(__xludf.DUMMYFUNCTION("""COMPUTED_VALUE"""),"Toàn Phát - Việt Nam")</f>
        <v>Toàn Phát - Việt Nam</v>
      </c>
      <c r="B385" s="581" t="str">
        <f ca="1">IFERROR(__xludf.DUMMYFUNCTION("""COMPUTED_VALUE"""),"ĐTPCAYDI")</f>
        <v>ĐTPCAYDI</v>
      </c>
      <c r="C385" s="581" t="str">
        <f ca="1">IFERROR(__xludf.DUMMYFUNCTION("""COMPUTED_VALUE"""),"DOT1270081")</f>
        <v>DOT1270081</v>
      </c>
      <c r="D385" s="582" t="str">
        <f ca="1">IFERROR(__xludf.DUMMYFUNCTION("""COMPUTED_VALUE"""),"Đồng ống thẳng 12.70x0.81")</f>
        <v>Đồng ống thẳng 12.70x0.81</v>
      </c>
      <c r="E385" s="583">
        <f ca="1">IFERROR(__xludf.DUMMYFUNCTION("""COMPUTED_VALUE"""),0.1)</f>
        <v>0.1</v>
      </c>
      <c r="F385" s="584" t="str">
        <f ca="1">IFERROR(__xludf.DUMMYFUNCTION("""COMPUTED_VALUE"""),"Cây")</f>
        <v>Cây</v>
      </c>
      <c r="G385" s="584" t="str">
        <f ca="1">IFERROR(__xludf.DUMMYFUNCTION("""COMPUTED_VALUE"""),"Cây 2.9m")</f>
        <v>Cây 2.9m</v>
      </c>
      <c r="H385" s="582" t="str">
        <f ca="1">IFERROR(__xludf.DUMMYFUNCTION("""COMPUTED_VALUE"""),"60")</f>
        <v>60</v>
      </c>
      <c r="I385" s="585">
        <f ca="1">IFERROR(__xludf.DUMMYFUNCTION("""COMPUTED_VALUE"""),0.809400097799999)</f>
        <v>0.809400097799999</v>
      </c>
      <c r="J385" s="586" t="str">
        <f ca="1">IFERROR(__xludf.DUMMYFUNCTION("""COMPUTED_VALUE""")," 12.70 ")</f>
        <v xml:space="preserve"> 12.70 </v>
      </c>
      <c r="K385" s="584" t="str">
        <f ca="1">IFERROR(__xludf.DUMMYFUNCTION("""COMPUTED_VALUE"""),"0.81")</f>
        <v>0.81</v>
      </c>
      <c r="L385" s="584">
        <f ca="1">IFERROR(__xludf.DUMMYFUNCTION("""COMPUTED_VALUE"""),2.9)</f>
        <v>2.9</v>
      </c>
      <c r="M385" s="584"/>
      <c r="N385" s="584" t="str">
        <f ca="1">IFERROR(__xludf.DUMMYFUNCTION("""COMPUTED_VALUE"""),"Dị_D&lt;54")</f>
        <v>Dị_D&lt;54</v>
      </c>
      <c r="O385" s="583">
        <f ca="1">IFERROR(__xludf.DUMMYFUNCTION("""COMPUTED_VALUE"""),1)</f>
        <v>1</v>
      </c>
      <c r="P385" s="584"/>
    </row>
    <row r="386" spans="1:16" ht="15.75">
      <c r="A386" s="587" t="str">
        <f ca="1">IFERROR(__xludf.DUMMYFUNCTION("""COMPUTED_VALUE"""),"Toàn Phát - Việt Nam")</f>
        <v>Toàn Phát - Việt Nam</v>
      </c>
      <c r="B386" s="587" t="str">
        <f ca="1">IFERROR(__xludf.DUMMYFUNCTION("""COMPUTED_VALUE"""),"ĐTPCAYDI")</f>
        <v>ĐTPCAYDI</v>
      </c>
      <c r="C386" s="587" t="str">
        <f ca="1">IFERROR(__xludf.DUMMYFUNCTION("""COMPUTED_VALUE"""),"DOT1270081303")</f>
        <v>DOT1270081303</v>
      </c>
      <c r="D386" s="588" t="str">
        <f ca="1">IFERROR(__xludf.DUMMYFUNCTION("""COMPUTED_VALUE"""),"Đồng ống thẳng 12.70x0.81x3.03")</f>
        <v>Đồng ống thẳng 12.70x0.81x3.03</v>
      </c>
      <c r="E386" s="589">
        <f ca="1">IFERROR(__xludf.DUMMYFUNCTION("""COMPUTED_VALUE"""),0.1)</f>
        <v>0.1</v>
      </c>
      <c r="F386" s="590" t="str">
        <f ca="1">IFERROR(__xludf.DUMMYFUNCTION("""COMPUTED_VALUE"""),"Cây")</f>
        <v>Cây</v>
      </c>
      <c r="G386" s="590" t="str">
        <f ca="1">IFERROR(__xludf.DUMMYFUNCTION("""COMPUTED_VALUE"""),"Cây 3.03m")</f>
        <v>Cây 3.03m</v>
      </c>
      <c r="H386" s="588"/>
      <c r="I386" s="591">
        <f ca="1">IFERROR(__xludf.DUMMYFUNCTION("""COMPUTED_VALUE"""),0.845683550459999)</f>
        <v>0.84568355045999899</v>
      </c>
      <c r="J386" s="592" t="str">
        <f ca="1">IFERROR(__xludf.DUMMYFUNCTION("""COMPUTED_VALUE""")," 12.70 ")</f>
        <v xml:space="preserve"> 12.70 </v>
      </c>
      <c r="K386" s="590" t="str">
        <f ca="1">IFERROR(__xludf.DUMMYFUNCTION("""COMPUTED_VALUE"""),"0.81")</f>
        <v>0.81</v>
      </c>
      <c r="L386" s="590">
        <f ca="1">IFERROR(__xludf.DUMMYFUNCTION("""COMPUTED_VALUE"""),3.03)</f>
        <v>3.03</v>
      </c>
      <c r="M386" s="590"/>
      <c r="N386" s="590" t="str">
        <f ca="1">IFERROR(__xludf.DUMMYFUNCTION("""COMPUTED_VALUE"""),"Dị_D&lt;54")</f>
        <v>Dị_D&lt;54</v>
      </c>
      <c r="O386" s="589"/>
      <c r="P386" s="590"/>
    </row>
    <row r="387" spans="1:16" ht="15.75">
      <c r="A387" s="581" t="str">
        <f ca="1">IFERROR(__xludf.DUMMYFUNCTION("""COMPUTED_VALUE"""),"Toàn Phát - Việt Nam")</f>
        <v>Toàn Phát - Việt Nam</v>
      </c>
      <c r="B387" s="581" t="str">
        <f ca="1">IFERROR(__xludf.DUMMYFUNCTION("""COMPUTED_VALUE"""),"ĐTPCAYDI")</f>
        <v>ĐTPCAYDI</v>
      </c>
      <c r="C387" s="581" t="str">
        <f ca="1">IFERROR(__xludf.DUMMYFUNCTION("""COMPUTED_VALUE"""),"DOT127008158")</f>
        <v>DOT127008158</v>
      </c>
      <c r="D387" s="582" t="str">
        <f ca="1">IFERROR(__xludf.DUMMYFUNCTION("""COMPUTED_VALUE"""),"Đồng ống thẳng 12.70x0.81x5.8")</f>
        <v>Đồng ống thẳng 12.70x0.81x5.8</v>
      </c>
      <c r="E387" s="583">
        <f ca="1">IFERROR(__xludf.DUMMYFUNCTION("""COMPUTED_VALUE"""),0.1)</f>
        <v>0.1</v>
      </c>
      <c r="F387" s="584" t="str">
        <f ca="1">IFERROR(__xludf.DUMMYFUNCTION("""COMPUTED_VALUE"""),"Cây")</f>
        <v>Cây</v>
      </c>
      <c r="G387" s="584" t="str">
        <f ca="1">IFERROR(__xludf.DUMMYFUNCTION("""COMPUTED_VALUE"""),"Cây 5.8m")</f>
        <v>Cây 5.8m</v>
      </c>
      <c r="H387" s="582"/>
      <c r="I387" s="585">
        <f ca="1">IFERROR(__xludf.DUMMYFUNCTION("""COMPUTED_VALUE"""),1.61880019559999)</f>
        <v>1.61880019559999</v>
      </c>
      <c r="J387" s="586" t="str">
        <f ca="1">IFERROR(__xludf.DUMMYFUNCTION("""COMPUTED_VALUE""")," 12.70 ")</f>
        <v xml:space="preserve"> 12.70 </v>
      </c>
      <c r="K387" s="584" t="str">
        <f ca="1">IFERROR(__xludf.DUMMYFUNCTION("""COMPUTED_VALUE"""),"0.81")</f>
        <v>0.81</v>
      </c>
      <c r="L387" s="584">
        <f ca="1">IFERROR(__xludf.DUMMYFUNCTION("""COMPUTED_VALUE"""),5.8)</f>
        <v>5.8</v>
      </c>
      <c r="M387" s="584"/>
      <c r="N387" s="584" t="str">
        <f ca="1">IFERROR(__xludf.DUMMYFUNCTION("""COMPUTED_VALUE"""),"Dị_D&lt;54")</f>
        <v>Dị_D&lt;54</v>
      </c>
      <c r="O387" s="583"/>
      <c r="P387" s="584"/>
    </row>
    <row r="388" spans="1:16" ht="15.75">
      <c r="A388" s="587" t="str">
        <f ca="1">IFERROR(__xludf.DUMMYFUNCTION("""COMPUTED_VALUE"""),"Toàn Phát - Việt Nam")</f>
        <v>Toàn Phát - Việt Nam</v>
      </c>
      <c r="B388" s="587" t="str">
        <f ca="1">IFERROR(__xludf.DUMMYFUNCTION("""COMPUTED_VALUE"""),"ĐTPCAYDI")</f>
        <v>ĐTPCAYDI</v>
      </c>
      <c r="C388" s="587" t="str">
        <f ca="1">IFERROR(__xludf.DUMMYFUNCTION("""COMPUTED_VALUE"""),"DOT1270089")</f>
        <v>DOT1270089</v>
      </c>
      <c r="D388" s="588" t="str">
        <f ca="1">IFERROR(__xludf.DUMMYFUNCTION("""COMPUTED_VALUE"""),"Đồng ống thẳng 12.70x0.89")</f>
        <v>Đồng ống thẳng 12.70x0.89</v>
      </c>
      <c r="E388" s="589">
        <f ca="1">IFERROR(__xludf.DUMMYFUNCTION("""COMPUTED_VALUE"""),0.1)</f>
        <v>0.1</v>
      </c>
      <c r="F388" s="590" t="str">
        <f ca="1">IFERROR(__xludf.DUMMYFUNCTION("""COMPUTED_VALUE"""),"Cây")</f>
        <v>Cây</v>
      </c>
      <c r="G388" s="590" t="str">
        <f ca="1">IFERROR(__xludf.DUMMYFUNCTION("""COMPUTED_VALUE"""),"Cây 2.9m")</f>
        <v>Cây 2.9m</v>
      </c>
      <c r="H388" s="588" t="str">
        <f ca="1">IFERROR(__xludf.DUMMYFUNCTION("""COMPUTED_VALUE"""),"60")</f>
        <v>60</v>
      </c>
      <c r="I388" s="591">
        <f ca="1">IFERROR(__xludf.DUMMYFUNCTION("""COMPUTED_VALUE"""),0.883357057799999)</f>
        <v>0.88335705779999896</v>
      </c>
      <c r="J388" s="592" t="str">
        <f ca="1">IFERROR(__xludf.DUMMYFUNCTION("""COMPUTED_VALUE""")," 12.70 ")</f>
        <v xml:space="preserve"> 12.70 </v>
      </c>
      <c r="K388" s="590" t="str">
        <f ca="1">IFERROR(__xludf.DUMMYFUNCTION("""COMPUTED_VALUE"""),"0.89")</f>
        <v>0.89</v>
      </c>
      <c r="L388" s="590">
        <f ca="1">IFERROR(__xludf.DUMMYFUNCTION("""COMPUTED_VALUE"""),2.9)</f>
        <v>2.9</v>
      </c>
      <c r="M388" s="590"/>
      <c r="N388" s="590" t="str">
        <f ca="1">IFERROR(__xludf.DUMMYFUNCTION("""COMPUTED_VALUE"""),"Dị_D&lt;54")</f>
        <v>Dị_D&lt;54</v>
      </c>
      <c r="O388" s="589"/>
      <c r="P388" s="590"/>
    </row>
    <row r="389" spans="1:16" ht="15.75">
      <c r="A389" s="581" t="str">
        <f ca="1">IFERROR(__xludf.DUMMYFUNCTION("""COMPUTED_VALUE"""),"Toàn Phát - Việt Nam")</f>
        <v>Toàn Phát - Việt Nam</v>
      </c>
      <c r="B389" s="581" t="str">
        <f ca="1">IFERROR(__xludf.DUMMYFUNCTION("""COMPUTED_VALUE"""),"ĐTPCAYDI")</f>
        <v>ĐTPCAYDI</v>
      </c>
      <c r="C389" s="581" t="str">
        <f ca="1">IFERROR(__xludf.DUMMYFUNCTION("""COMPUTED_VALUE"""),"DOT1270100")</f>
        <v>DOT1270100</v>
      </c>
      <c r="D389" s="582" t="str">
        <f ca="1">IFERROR(__xludf.DUMMYFUNCTION("""COMPUTED_VALUE"""),"Đồng ống thẳng 12.70x1.00")</f>
        <v>Đồng ống thẳng 12.70x1.00</v>
      </c>
      <c r="E389" s="583">
        <f ca="1">IFERROR(__xludf.DUMMYFUNCTION("""COMPUTED_VALUE"""),0.1)</f>
        <v>0.1</v>
      </c>
      <c r="F389" s="584" t="str">
        <f ca="1">IFERROR(__xludf.DUMMYFUNCTION("""COMPUTED_VALUE"""),"Cây")</f>
        <v>Cây</v>
      </c>
      <c r="G389" s="584" t="str">
        <f ca="1">IFERROR(__xludf.DUMMYFUNCTION("""COMPUTED_VALUE"""),"Cây 2.9m")</f>
        <v>Cây 2.9m</v>
      </c>
      <c r="H389" s="582" t="str">
        <f ca="1">IFERROR(__xludf.DUMMYFUNCTION("""COMPUTED_VALUE"""),"60")</f>
        <v>60</v>
      </c>
      <c r="I389" s="585">
        <f ca="1">IFERROR(__xludf.DUMMYFUNCTION("""COMPUTED_VALUE"""),0.983291399999999)</f>
        <v>0.98329139999999904</v>
      </c>
      <c r="J389" s="586" t="str">
        <f ca="1">IFERROR(__xludf.DUMMYFUNCTION("""COMPUTED_VALUE""")," 12.70 ")</f>
        <v xml:space="preserve"> 12.70 </v>
      </c>
      <c r="K389" s="584" t="str">
        <f ca="1">IFERROR(__xludf.DUMMYFUNCTION("""COMPUTED_VALUE"""),"1.00")</f>
        <v>1.00</v>
      </c>
      <c r="L389" s="584">
        <f ca="1">IFERROR(__xludf.DUMMYFUNCTION("""COMPUTED_VALUE"""),2.9)</f>
        <v>2.9</v>
      </c>
      <c r="M389" s="584"/>
      <c r="N389" s="584" t="str">
        <f ca="1">IFERROR(__xludf.DUMMYFUNCTION("""COMPUTED_VALUE"""),"Dị_D&lt;54")</f>
        <v>Dị_D&lt;54</v>
      </c>
      <c r="O389" s="583"/>
      <c r="P389" s="584"/>
    </row>
    <row r="390" spans="1:16" ht="15.75">
      <c r="A390" s="587" t="str">
        <f ca="1">IFERROR(__xludf.DUMMYFUNCTION("""COMPUTED_VALUE"""),"Toàn Phát - Việt Nam")</f>
        <v>Toàn Phát - Việt Nam</v>
      </c>
      <c r="B390" s="587" t="str">
        <f ca="1">IFERROR(__xludf.DUMMYFUNCTION("""COMPUTED_VALUE"""),"ĐTPCAYDI")</f>
        <v>ĐTPCAYDI</v>
      </c>
      <c r="C390" s="587" t="str">
        <f ca="1">IFERROR(__xludf.DUMMYFUNCTION("""COMPUTED_VALUE"""),"DOT1270124")</f>
        <v>DOT1270124</v>
      </c>
      <c r="D390" s="588" t="str">
        <f ca="1">IFERROR(__xludf.DUMMYFUNCTION("""COMPUTED_VALUE"""),"Đồng ống thẳng 12.70x1.24")</f>
        <v>Đồng ống thẳng 12.70x1.24</v>
      </c>
      <c r="E390" s="589">
        <f ca="1">IFERROR(__xludf.DUMMYFUNCTION("""COMPUTED_VALUE"""),0.1)</f>
        <v>0.1</v>
      </c>
      <c r="F390" s="590" t="str">
        <f ca="1">IFERROR(__xludf.DUMMYFUNCTION("""COMPUTED_VALUE"""),"Cây")</f>
        <v>Cây</v>
      </c>
      <c r="G390" s="590" t="str">
        <f ca="1">IFERROR(__xludf.DUMMYFUNCTION("""COMPUTED_VALUE"""),"Cây 2.9m")</f>
        <v>Cây 2.9m</v>
      </c>
      <c r="H390" s="588" t="str">
        <f ca="1">IFERROR(__xludf.DUMMYFUNCTION("""COMPUTED_VALUE"""),"60")</f>
        <v>60</v>
      </c>
      <c r="I390" s="591">
        <f ca="1">IFERROR(__xludf.DUMMYFUNCTION("""COMPUTED_VALUE"""),1.1942704368)</f>
        <v>1.1942704367999999</v>
      </c>
      <c r="J390" s="592" t="str">
        <f ca="1">IFERROR(__xludf.DUMMYFUNCTION("""COMPUTED_VALUE""")," 12.70 ")</f>
        <v xml:space="preserve"> 12.70 </v>
      </c>
      <c r="K390" s="590" t="str">
        <f ca="1">IFERROR(__xludf.DUMMYFUNCTION("""COMPUTED_VALUE"""),"1.24")</f>
        <v>1.24</v>
      </c>
      <c r="L390" s="590">
        <f ca="1">IFERROR(__xludf.DUMMYFUNCTION("""COMPUTED_VALUE"""),2.9)</f>
        <v>2.9</v>
      </c>
      <c r="M390" s="590"/>
      <c r="N390" s="590" t="str">
        <f ca="1">IFERROR(__xludf.DUMMYFUNCTION("""COMPUTED_VALUE"""),"Dị_D&lt;54")</f>
        <v>Dị_D&lt;54</v>
      </c>
      <c r="O390" s="589"/>
      <c r="P390" s="590"/>
    </row>
    <row r="391" spans="1:16" ht="15.75">
      <c r="A391" s="581" t="str">
        <f ca="1">IFERROR(__xludf.DUMMYFUNCTION("""COMPUTED_VALUE"""),"Toàn Phát - Việt Nam")</f>
        <v>Toàn Phát - Việt Nam</v>
      </c>
      <c r="B391" s="581" t="str">
        <f ca="1">IFERROR(__xludf.DUMMYFUNCTION("""COMPUTED_VALUE"""),"ĐTPCAYDI")</f>
        <v>ĐTPCAYDI</v>
      </c>
      <c r="C391" s="581" t="str">
        <f ca="1">IFERROR(__xludf.DUMMYFUNCTION("""COMPUTED_VALUE"""),"DOT130015030")</f>
        <v>DOT130015030</v>
      </c>
      <c r="D391" s="582" t="str">
        <f ca="1">IFERROR(__xludf.DUMMYFUNCTION("""COMPUTED_VALUE"""),"Đồng ống thẳng 13.00x1.50x3.0")</f>
        <v>Đồng ống thẳng 13.00x1.50x3.0</v>
      </c>
      <c r="E391" s="583">
        <f ca="1">IFERROR(__xludf.DUMMYFUNCTION("""COMPUTED_VALUE"""),0.1)</f>
        <v>0.1</v>
      </c>
      <c r="F391" s="584" t="str">
        <f ca="1">IFERROR(__xludf.DUMMYFUNCTION("""COMPUTED_VALUE"""),"Cây")</f>
        <v>Cây</v>
      </c>
      <c r="G391" s="584" t="str">
        <f ca="1">IFERROR(__xludf.DUMMYFUNCTION("""COMPUTED_VALUE"""),"Cây 3m")</f>
        <v>Cây 3m</v>
      </c>
      <c r="H391" s="582"/>
      <c r="I391" s="585">
        <f ca="1">IFERROR(__xludf.DUMMYFUNCTION("""COMPUTED_VALUE"""),1.49971499999999)</f>
        <v>1.4997149999999899</v>
      </c>
      <c r="J391" s="586" t="str">
        <f ca="1">IFERROR(__xludf.DUMMYFUNCTION("""COMPUTED_VALUE""")," 13.00 ")</f>
        <v xml:space="preserve"> 13.00 </v>
      </c>
      <c r="K391" s="584" t="str">
        <f ca="1">IFERROR(__xludf.DUMMYFUNCTION("""COMPUTED_VALUE"""),"1.50")</f>
        <v>1.50</v>
      </c>
      <c r="L391" s="584">
        <f ca="1">IFERROR(__xludf.DUMMYFUNCTION("""COMPUTED_VALUE"""),3)</f>
        <v>3</v>
      </c>
      <c r="M391" s="584"/>
      <c r="N391" s="584" t="str">
        <f ca="1">IFERROR(__xludf.DUMMYFUNCTION("""COMPUTED_VALUE"""),"Dị_D&lt;54")</f>
        <v>Dị_D&lt;54</v>
      </c>
      <c r="O391" s="583"/>
      <c r="P391" s="584"/>
    </row>
    <row r="392" spans="1:16" ht="15.75">
      <c r="A392" s="587" t="str">
        <f ca="1">IFERROR(__xludf.DUMMYFUNCTION("""COMPUTED_VALUE"""),"Toàn Phát - Việt Nam")</f>
        <v>Toàn Phát - Việt Nam</v>
      </c>
      <c r="B392" s="587" t="str">
        <f ca="1">IFERROR(__xludf.DUMMYFUNCTION("""COMPUTED_VALUE"""),"ĐTPCAYDI")</f>
        <v>ĐTPCAYDI</v>
      </c>
      <c r="C392" s="587" t="str">
        <f ca="1">IFERROR(__xludf.DUMMYFUNCTION("""COMPUTED_VALUE"""),"DOT135010530")</f>
        <v>DOT135010530</v>
      </c>
      <c r="D392" s="588" t="str">
        <f ca="1">IFERROR(__xludf.DUMMYFUNCTION("""COMPUTED_VALUE"""),"Đồng ống thẳng 13.50x1.05x3.0")</f>
        <v>Đồng ống thẳng 13.50x1.05x3.0</v>
      </c>
      <c r="E392" s="589">
        <f ca="1">IFERROR(__xludf.DUMMYFUNCTION("""COMPUTED_VALUE"""),0.1)</f>
        <v>0.1</v>
      </c>
      <c r="F392" s="590" t="str">
        <f ca="1">IFERROR(__xludf.DUMMYFUNCTION("""COMPUTED_VALUE"""),"Cây")</f>
        <v>Cây</v>
      </c>
      <c r="G392" s="590" t="str">
        <f ca="1">IFERROR(__xludf.DUMMYFUNCTION("""COMPUTED_VALUE"""),"Cây 3m")</f>
        <v>Cây 3m</v>
      </c>
      <c r="H392" s="588"/>
      <c r="I392" s="591">
        <f ca="1">IFERROR(__xludf.DUMMYFUNCTION("""COMPUTED_VALUE"""),1.13652315)</f>
        <v>1.1365231499999999</v>
      </c>
      <c r="J392" s="592" t="str">
        <f ca="1">IFERROR(__xludf.DUMMYFUNCTION("""COMPUTED_VALUE""")," 13.50 ")</f>
        <v xml:space="preserve"> 13.50 </v>
      </c>
      <c r="K392" s="590" t="str">
        <f ca="1">IFERROR(__xludf.DUMMYFUNCTION("""COMPUTED_VALUE"""),"1.05")</f>
        <v>1.05</v>
      </c>
      <c r="L392" s="590">
        <f ca="1">IFERROR(__xludf.DUMMYFUNCTION("""COMPUTED_VALUE"""),3)</f>
        <v>3</v>
      </c>
      <c r="M392" s="590"/>
      <c r="N392" s="590" t="str">
        <f ca="1">IFERROR(__xludf.DUMMYFUNCTION("""COMPUTED_VALUE"""),"Dị_D&lt;54")</f>
        <v>Dị_D&lt;54</v>
      </c>
      <c r="O392" s="589"/>
      <c r="P392" s="590"/>
    </row>
    <row r="393" spans="1:16" ht="15.75">
      <c r="A393" s="581" t="str">
        <f ca="1">IFERROR(__xludf.DUMMYFUNCTION("""COMPUTED_VALUE"""),"Toàn Phát - Việt Nam")</f>
        <v>Toàn Phát - Việt Nam</v>
      </c>
      <c r="B393" s="581" t="str">
        <f ca="1">IFERROR(__xludf.DUMMYFUNCTION("""COMPUTED_VALUE"""),"ĐTPCAYDI")</f>
        <v>ĐTPCAYDI</v>
      </c>
      <c r="C393" s="581" t="str">
        <f ca="1">IFERROR(__xludf.DUMMYFUNCTION("""COMPUTED_VALUE"""),"DOT135011530")</f>
        <v>DOT135011530</v>
      </c>
      <c r="D393" s="582" t="str">
        <f ca="1">IFERROR(__xludf.DUMMYFUNCTION("""COMPUTED_VALUE"""),"Đồng ống thẳng 13.50x1.15x3.0")</f>
        <v>Đồng ống thẳng 13.50x1.15x3.0</v>
      </c>
      <c r="E393" s="583">
        <f ca="1">IFERROR(__xludf.DUMMYFUNCTION("""COMPUTED_VALUE"""),0.1)</f>
        <v>0.1</v>
      </c>
      <c r="F393" s="584" t="str">
        <f ca="1">IFERROR(__xludf.DUMMYFUNCTION("""COMPUTED_VALUE"""),"Cây")</f>
        <v>Cây</v>
      </c>
      <c r="G393" s="584" t="str">
        <f ca="1">IFERROR(__xludf.DUMMYFUNCTION("""COMPUTED_VALUE"""),"Cây 3m")</f>
        <v>Cây 3m</v>
      </c>
      <c r="H393" s="582"/>
      <c r="I393" s="585">
        <f ca="1">IFERROR(__xludf.DUMMYFUNCTION("""COMPUTED_VALUE"""),1.23476534999999)</f>
        <v>1.23476534999999</v>
      </c>
      <c r="J393" s="586" t="str">
        <f ca="1">IFERROR(__xludf.DUMMYFUNCTION("""COMPUTED_VALUE""")," 13.50 ")</f>
        <v xml:space="preserve"> 13.50 </v>
      </c>
      <c r="K393" s="584" t="str">
        <f ca="1">IFERROR(__xludf.DUMMYFUNCTION("""COMPUTED_VALUE"""),"1.15")</f>
        <v>1.15</v>
      </c>
      <c r="L393" s="584">
        <f ca="1">IFERROR(__xludf.DUMMYFUNCTION("""COMPUTED_VALUE"""),3)</f>
        <v>3</v>
      </c>
      <c r="M393" s="584"/>
      <c r="N393" s="584" t="str">
        <f ca="1">IFERROR(__xludf.DUMMYFUNCTION("""COMPUTED_VALUE"""),"Dị_D&lt;54")</f>
        <v>Dị_D&lt;54</v>
      </c>
      <c r="O393" s="583"/>
      <c r="P393" s="584"/>
    </row>
    <row r="394" spans="1:16" ht="15.75">
      <c r="A394" s="587" t="str">
        <f ca="1">IFERROR(__xludf.DUMMYFUNCTION("""COMPUTED_VALUE"""),"Toàn Phát - Việt Nam")</f>
        <v>Toàn Phát - Việt Nam</v>
      </c>
      <c r="B394" s="587" t="str">
        <f ca="1">IFERROR(__xludf.DUMMYFUNCTION("""COMPUTED_VALUE"""),"ĐTPCAYDI")</f>
        <v>ĐTPCAYDI</v>
      </c>
      <c r="C394" s="587" t="str">
        <f ca="1">IFERROR(__xludf.DUMMYFUNCTION("""COMPUTED_VALUE"""),"DOT135012030")</f>
        <v>DOT135012030</v>
      </c>
      <c r="D394" s="588" t="str">
        <f ca="1">IFERROR(__xludf.DUMMYFUNCTION("""COMPUTED_VALUE"""),"Đồng ống thẳng 13.50x1.20x3.0")</f>
        <v>Đồng ống thẳng 13.50x1.20x3.0</v>
      </c>
      <c r="E394" s="589">
        <f ca="1">IFERROR(__xludf.DUMMYFUNCTION("""COMPUTED_VALUE"""),0.1)</f>
        <v>0.1</v>
      </c>
      <c r="F394" s="590" t="str">
        <f ca="1">IFERROR(__xludf.DUMMYFUNCTION("""COMPUTED_VALUE"""),"Cây")</f>
        <v>Cây</v>
      </c>
      <c r="G394" s="590" t="str">
        <f ca="1">IFERROR(__xludf.DUMMYFUNCTION("""COMPUTED_VALUE"""),"Cây 3m")</f>
        <v>Cây 3m</v>
      </c>
      <c r="H394" s="588"/>
      <c r="I394" s="591">
        <f ca="1">IFERROR(__xludf.DUMMYFUNCTION("""COMPUTED_VALUE"""),1.2832344)</f>
        <v>1.2832344</v>
      </c>
      <c r="J394" s="592" t="str">
        <f ca="1">IFERROR(__xludf.DUMMYFUNCTION("""COMPUTED_VALUE""")," 13.50 ")</f>
        <v xml:space="preserve"> 13.50 </v>
      </c>
      <c r="K394" s="590" t="str">
        <f ca="1">IFERROR(__xludf.DUMMYFUNCTION("""COMPUTED_VALUE"""),"1.20")</f>
        <v>1.20</v>
      </c>
      <c r="L394" s="590">
        <f ca="1">IFERROR(__xludf.DUMMYFUNCTION("""COMPUTED_VALUE"""),3)</f>
        <v>3</v>
      </c>
      <c r="M394" s="590"/>
      <c r="N394" s="590" t="str">
        <f ca="1">IFERROR(__xludf.DUMMYFUNCTION("""COMPUTED_VALUE"""),"Dị_D&lt;54")</f>
        <v>Dị_D&lt;54</v>
      </c>
      <c r="O394" s="589"/>
      <c r="P394" s="590"/>
    </row>
    <row r="395" spans="1:16" ht="15.75">
      <c r="A395" s="581" t="str">
        <f ca="1">IFERROR(__xludf.DUMMYFUNCTION("""COMPUTED_VALUE"""),"Toàn Phát - Việt Nam")</f>
        <v>Toàn Phát - Việt Nam</v>
      </c>
      <c r="B395" s="581" t="str">
        <f ca="1">IFERROR(__xludf.DUMMYFUNCTION("""COMPUTED_VALUE"""),"ĐTPCAYDI")</f>
        <v>ĐTPCAYDI</v>
      </c>
      <c r="C395" s="581" t="str">
        <f ca="1">IFERROR(__xludf.DUMMYFUNCTION("""COMPUTED_VALUE"""),"DOT135013030")</f>
        <v>DOT135013030</v>
      </c>
      <c r="D395" s="582" t="str">
        <f ca="1">IFERROR(__xludf.DUMMYFUNCTION("""COMPUTED_VALUE"""),"Đồng ống thẳng 13.50x1.30x3.0")</f>
        <v>Đồng ống thẳng 13.50x1.30x3.0</v>
      </c>
      <c r="E395" s="583">
        <f ca="1">IFERROR(__xludf.DUMMYFUNCTION("""COMPUTED_VALUE"""),0.1)</f>
        <v>0.1</v>
      </c>
      <c r="F395" s="584" t="str">
        <f ca="1">IFERROR(__xludf.DUMMYFUNCTION("""COMPUTED_VALUE"""),"Cây")</f>
        <v>Cây</v>
      </c>
      <c r="G395" s="584" t="str">
        <f ca="1">IFERROR(__xludf.DUMMYFUNCTION("""COMPUTED_VALUE"""),"Cây 3m")</f>
        <v>Cây 3m</v>
      </c>
      <c r="H395" s="582"/>
      <c r="I395" s="585">
        <f ca="1">IFERROR(__xludf.DUMMYFUNCTION("""COMPUTED_VALUE"""),1.37886839999999)</f>
        <v>1.37886839999999</v>
      </c>
      <c r="J395" s="586" t="str">
        <f ca="1">IFERROR(__xludf.DUMMYFUNCTION("""COMPUTED_VALUE""")," 13.50 ")</f>
        <v xml:space="preserve"> 13.50 </v>
      </c>
      <c r="K395" s="584" t="str">
        <f ca="1">IFERROR(__xludf.DUMMYFUNCTION("""COMPUTED_VALUE"""),"1.30")</f>
        <v>1.30</v>
      </c>
      <c r="L395" s="584">
        <f ca="1">IFERROR(__xludf.DUMMYFUNCTION("""COMPUTED_VALUE"""),3)</f>
        <v>3</v>
      </c>
      <c r="M395" s="584"/>
      <c r="N395" s="584" t="str">
        <f ca="1">IFERROR(__xludf.DUMMYFUNCTION("""COMPUTED_VALUE"""),"Dị_D&lt;54")</f>
        <v>Dị_D&lt;54</v>
      </c>
      <c r="O395" s="583"/>
      <c r="P395" s="584"/>
    </row>
    <row r="396" spans="1:16" ht="15.75">
      <c r="A396" s="587" t="str">
        <f ca="1">IFERROR(__xludf.DUMMYFUNCTION("""COMPUTED_VALUE"""),"Toàn Phát - Việt Nam")</f>
        <v>Toàn Phát - Việt Nam</v>
      </c>
      <c r="B396" s="587" t="str">
        <f ca="1">IFERROR(__xludf.DUMMYFUNCTION("""COMPUTED_VALUE"""),"ĐTPCAYDI")</f>
        <v>ĐTPCAYDI</v>
      </c>
      <c r="C396" s="587" t="str">
        <f ca="1">IFERROR(__xludf.DUMMYFUNCTION("""COMPUTED_VALUE"""),"DOT136012030")</f>
        <v>DOT136012030</v>
      </c>
      <c r="D396" s="588" t="str">
        <f ca="1">IFERROR(__xludf.DUMMYFUNCTION("""COMPUTED_VALUE"""),"Đồng ống thẳng 13.60x1.20x3.0")</f>
        <v>Đồng ống thẳng 13.60x1.20x3.0</v>
      </c>
      <c r="E396" s="589">
        <f ca="1">IFERROR(__xludf.DUMMYFUNCTION("""COMPUTED_VALUE"""),0.1)</f>
        <v>0.1</v>
      </c>
      <c r="F396" s="590" t="str">
        <f ca="1">IFERROR(__xludf.DUMMYFUNCTION("""COMPUTED_VALUE"""),"Cây")</f>
        <v>Cây</v>
      </c>
      <c r="G396" s="590" t="str">
        <f ca="1">IFERROR(__xludf.DUMMYFUNCTION("""COMPUTED_VALUE"""),"Cây 3m")</f>
        <v>Cây 3m</v>
      </c>
      <c r="H396" s="588"/>
      <c r="I396" s="591">
        <f ca="1">IFERROR(__xludf.DUMMYFUNCTION("""COMPUTED_VALUE"""),1.29366719999999)</f>
        <v>1.29366719999999</v>
      </c>
      <c r="J396" s="592" t="str">
        <f ca="1">IFERROR(__xludf.DUMMYFUNCTION("""COMPUTED_VALUE""")," 13.60 ")</f>
        <v xml:space="preserve"> 13.60 </v>
      </c>
      <c r="K396" s="590" t="str">
        <f ca="1">IFERROR(__xludf.DUMMYFUNCTION("""COMPUTED_VALUE"""),"1.20")</f>
        <v>1.20</v>
      </c>
      <c r="L396" s="590">
        <f ca="1">IFERROR(__xludf.DUMMYFUNCTION("""COMPUTED_VALUE"""),3)</f>
        <v>3</v>
      </c>
      <c r="M396" s="590"/>
      <c r="N396" s="590" t="str">
        <f ca="1">IFERROR(__xludf.DUMMYFUNCTION("""COMPUTED_VALUE"""),"Dị_D&lt;54")</f>
        <v>Dị_D&lt;54</v>
      </c>
      <c r="O396" s="589"/>
      <c r="P396" s="590"/>
    </row>
    <row r="397" spans="1:16" ht="15.75">
      <c r="A397" s="581" t="str">
        <f ca="1">IFERROR(__xludf.DUMMYFUNCTION("""COMPUTED_VALUE"""),"Toàn Phát - Việt Nam")</f>
        <v>Toàn Phát - Việt Nam</v>
      </c>
      <c r="B397" s="581" t="str">
        <f ca="1">IFERROR(__xludf.DUMMYFUNCTION("""COMPUTED_VALUE"""),"ĐTPCAYDI")</f>
        <v>ĐTPCAYDI</v>
      </c>
      <c r="C397" s="581" t="str">
        <f ca="1">IFERROR(__xludf.DUMMYFUNCTION("""COMPUTED_VALUE"""),"DOT140010030")</f>
        <v>DOT140010030</v>
      </c>
      <c r="D397" s="582" t="str">
        <f ca="1">IFERROR(__xludf.DUMMYFUNCTION("""COMPUTED_VALUE"""),"Đồng ống thẳng 14.00x1.00x3.0")</f>
        <v>Đồng ống thẳng 14.00x1.00x3.0</v>
      </c>
      <c r="E397" s="583">
        <f ca="1">IFERROR(__xludf.DUMMYFUNCTION("""COMPUTED_VALUE"""),0.1)</f>
        <v>0.1</v>
      </c>
      <c r="F397" s="584" t="str">
        <f ca="1">IFERROR(__xludf.DUMMYFUNCTION("""COMPUTED_VALUE"""),"Cây")</f>
        <v>Cây</v>
      </c>
      <c r="G397" s="584" t="str">
        <f ca="1">IFERROR(__xludf.DUMMYFUNCTION("""COMPUTED_VALUE"""),"Cây 3m")</f>
        <v>Cây 3m</v>
      </c>
      <c r="H397" s="582"/>
      <c r="I397" s="585">
        <f ca="1">IFERROR(__xludf.DUMMYFUNCTION("""COMPUTED_VALUE"""),1.13022)</f>
        <v>1.13022</v>
      </c>
      <c r="J397" s="586" t="str">
        <f ca="1">IFERROR(__xludf.DUMMYFUNCTION("""COMPUTED_VALUE""")," 14.00 ")</f>
        <v xml:space="preserve"> 14.00 </v>
      </c>
      <c r="K397" s="584" t="str">
        <f ca="1">IFERROR(__xludf.DUMMYFUNCTION("""COMPUTED_VALUE"""),"1.00")</f>
        <v>1.00</v>
      </c>
      <c r="L397" s="584">
        <f ca="1">IFERROR(__xludf.DUMMYFUNCTION("""COMPUTED_VALUE"""),3)</f>
        <v>3</v>
      </c>
      <c r="M397" s="584"/>
      <c r="N397" s="584" t="str">
        <f ca="1">IFERROR(__xludf.DUMMYFUNCTION("""COMPUTED_VALUE"""),"Dị_D&lt;54")</f>
        <v>Dị_D&lt;54</v>
      </c>
      <c r="O397" s="583"/>
      <c r="P397" s="584"/>
    </row>
    <row r="398" spans="1:16" ht="15.75">
      <c r="A398" s="587" t="str">
        <f ca="1">IFERROR(__xludf.DUMMYFUNCTION("""COMPUTED_VALUE"""),"Toàn Phát - Việt Nam")</f>
        <v>Toàn Phát - Việt Nam</v>
      </c>
      <c r="B398" s="587" t="str">
        <f ca="1">IFERROR(__xludf.DUMMYFUNCTION("""COMPUTED_VALUE"""),"ĐTPCAYDI")</f>
        <v>ĐTPCAYDI</v>
      </c>
      <c r="C398" s="587" t="str">
        <f ca="1">IFERROR(__xludf.DUMMYFUNCTION("""COMPUTED_VALUE"""),"DOT140010530")</f>
        <v>DOT140010530</v>
      </c>
      <c r="D398" s="588" t="str">
        <f ca="1">IFERROR(__xludf.DUMMYFUNCTION("""COMPUTED_VALUE"""),"Đồng ống thẳng 14.00x1.05x3.0")</f>
        <v>Đồng ống thẳng 14.00x1.05x3.0</v>
      </c>
      <c r="E398" s="589">
        <f ca="1">IFERROR(__xludf.DUMMYFUNCTION("""COMPUTED_VALUE"""),0.1)</f>
        <v>0.1</v>
      </c>
      <c r="F398" s="590" t="str">
        <f ca="1">IFERROR(__xludf.DUMMYFUNCTION("""COMPUTED_VALUE"""),"Cây")</f>
        <v>Cây</v>
      </c>
      <c r="G398" s="590" t="str">
        <f ca="1">IFERROR(__xludf.DUMMYFUNCTION("""COMPUTED_VALUE"""),"Cây 3m")</f>
        <v>Cây 3m</v>
      </c>
      <c r="H398" s="588"/>
      <c r="I398" s="591">
        <f ca="1">IFERROR(__xludf.DUMMYFUNCTION("""COMPUTED_VALUE"""),1.18216664999999)</f>
        <v>1.1821666499999901</v>
      </c>
      <c r="J398" s="592" t="str">
        <f ca="1">IFERROR(__xludf.DUMMYFUNCTION("""COMPUTED_VALUE""")," 14.00 ")</f>
        <v xml:space="preserve"> 14.00 </v>
      </c>
      <c r="K398" s="590" t="str">
        <f ca="1">IFERROR(__xludf.DUMMYFUNCTION("""COMPUTED_VALUE"""),"1.05")</f>
        <v>1.05</v>
      </c>
      <c r="L398" s="590">
        <f ca="1">IFERROR(__xludf.DUMMYFUNCTION("""COMPUTED_VALUE"""),3)</f>
        <v>3</v>
      </c>
      <c r="M398" s="590"/>
      <c r="N398" s="590" t="str">
        <f ca="1">IFERROR(__xludf.DUMMYFUNCTION("""COMPUTED_VALUE"""),"Dị_D&lt;54")</f>
        <v>Dị_D&lt;54</v>
      </c>
      <c r="O398" s="589"/>
      <c r="P398" s="590"/>
    </row>
    <row r="399" spans="1:16" ht="15.75">
      <c r="A399" s="581" t="str">
        <f ca="1">IFERROR(__xludf.DUMMYFUNCTION("""COMPUTED_VALUE"""),"Toàn Phát - Việt Nam")</f>
        <v>Toàn Phát - Việt Nam</v>
      </c>
      <c r="B399" s="581" t="str">
        <f ca="1">IFERROR(__xludf.DUMMYFUNCTION("""COMPUTED_VALUE"""),"ĐTPCAYDI")</f>
        <v>ĐTPCAYDI</v>
      </c>
      <c r="C399" s="581" t="str">
        <f ca="1">IFERROR(__xludf.DUMMYFUNCTION("""COMPUTED_VALUE"""),"DOT140011030")</f>
        <v>DOT140011030</v>
      </c>
      <c r="D399" s="582" t="str">
        <f ca="1">IFERROR(__xludf.DUMMYFUNCTION("""COMPUTED_VALUE"""),"Đồng ống thẳng 14.00x1.1x3")</f>
        <v>Đồng ống thẳng 14.00x1.1x3</v>
      </c>
      <c r="E399" s="583">
        <f ca="1">IFERROR(__xludf.DUMMYFUNCTION("""COMPUTED_VALUE"""),0.1)</f>
        <v>0.1</v>
      </c>
      <c r="F399" s="584" t="str">
        <f ca="1">IFERROR(__xludf.DUMMYFUNCTION("""COMPUTED_VALUE"""),"Cây")</f>
        <v>Cây</v>
      </c>
      <c r="G399" s="584" t="str">
        <f ca="1">IFERROR(__xludf.DUMMYFUNCTION("""COMPUTED_VALUE"""),"Cây 3m")</f>
        <v>Cây 3m</v>
      </c>
      <c r="H399" s="582"/>
      <c r="I399" s="585">
        <f ca="1">IFERROR(__xludf.DUMMYFUNCTION("""COMPUTED_VALUE"""),1.2336786)</f>
        <v>1.2336786</v>
      </c>
      <c r="J399" s="586" t="str">
        <f ca="1">IFERROR(__xludf.DUMMYFUNCTION("""COMPUTED_VALUE""")," 14.00 ")</f>
        <v xml:space="preserve"> 14.00 </v>
      </c>
      <c r="K399" s="584" t="str">
        <f ca="1">IFERROR(__xludf.DUMMYFUNCTION("""COMPUTED_VALUE"""),"1.10")</f>
        <v>1.10</v>
      </c>
      <c r="L399" s="584">
        <f ca="1">IFERROR(__xludf.DUMMYFUNCTION("""COMPUTED_VALUE"""),3)</f>
        <v>3</v>
      </c>
      <c r="M399" s="584"/>
      <c r="N399" s="584" t="str">
        <f ca="1">IFERROR(__xludf.DUMMYFUNCTION("""COMPUTED_VALUE"""),"Dị_D&lt;54")</f>
        <v>Dị_D&lt;54</v>
      </c>
      <c r="O399" s="583"/>
      <c r="P399" s="584"/>
    </row>
    <row r="400" spans="1:16" ht="15.75">
      <c r="A400" s="587" t="str">
        <f ca="1">IFERROR(__xludf.DUMMYFUNCTION("""COMPUTED_VALUE"""),"Toàn Phát - Việt Nam")</f>
        <v>Toàn Phát - Việt Nam</v>
      </c>
      <c r="B400" s="587" t="str">
        <f ca="1">IFERROR(__xludf.DUMMYFUNCTION("""COMPUTED_VALUE"""),"ĐTPCAYDI")</f>
        <v>ĐTPCAYDI</v>
      </c>
      <c r="C400" s="587" t="str">
        <f ca="1">IFERROR(__xludf.DUMMYFUNCTION("""COMPUTED_VALUE"""),"DOT140011530")</f>
        <v>DOT140011530</v>
      </c>
      <c r="D400" s="588" t="str">
        <f ca="1">IFERROR(__xludf.DUMMYFUNCTION("""COMPUTED_VALUE"""),"Đồng ống thẳng 14.00x1.15x3.0")</f>
        <v>Đồng ống thẳng 14.00x1.15x3.0</v>
      </c>
      <c r="E400" s="589">
        <f ca="1">IFERROR(__xludf.DUMMYFUNCTION("""COMPUTED_VALUE"""),0.1)</f>
        <v>0.1</v>
      </c>
      <c r="F400" s="590" t="str">
        <f ca="1">IFERROR(__xludf.DUMMYFUNCTION("""COMPUTED_VALUE"""),"Cây")</f>
        <v>Cây</v>
      </c>
      <c r="G400" s="590" t="str">
        <f ca="1">IFERROR(__xludf.DUMMYFUNCTION("""COMPUTED_VALUE"""),"Cây 3m")</f>
        <v>Cây 3m</v>
      </c>
      <c r="H400" s="588"/>
      <c r="I400" s="591">
        <f ca="1">IFERROR(__xludf.DUMMYFUNCTION("""COMPUTED_VALUE"""),1.28475584999999)</f>
        <v>1.28475584999999</v>
      </c>
      <c r="J400" s="592" t="str">
        <f ca="1">IFERROR(__xludf.DUMMYFUNCTION("""COMPUTED_VALUE""")," 14.00 ")</f>
        <v xml:space="preserve"> 14.00 </v>
      </c>
      <c r="K400" s="590" t="str">
        <f ca="1">IFERROR(__xludf.DUMMYFUNCTION("""COMPUTED_VALUE"""),"1.15")</f>
        <v>1.15</v>
      </c>
      <c r="L400" s="590">
        <f ca="1">IFERROR(__xludf.DUMMYFUNCTION("""COMPUTED_VALUE"""),3)</f>
        <v>3</v>
      </c>
      <c r="M400" s="590"/>
      <c r="N400" s="590" t="str">
        <f ca="1">IFERROR(__xludf.DUMMYFUNCTION("""COMPUTED_VALUE"""),"Dị_D&lt;54")</f>
        <v>Dị_D&lt;54</v>
      </c>
      <c r="O400" s="589"/>
      <c r="P400" s="590"/>
    </row>
    <row r="401" spans="1:16" ht="15.75">
      <c r="A401" s="581" t="str">
        <f ca="1">IFERROR(__xludf.DUMMYFUNCTION("""COMPUTED_VALUE"""),"Toàn Phát - Việt Nam")</f>
        <v>Toàn Phát - Việt Nam</v>
      </c>
      <c r="B401" s="581" t="str">
        <f ca="1">IFERROR(__xludf.DUMMYFUNCTION("""COMPUTED_VALUE"""),"ĐTPCAYDI")</f>
        <v>ĐTPCAYDI</v>
      </c>
      <c r="C401" s="581" t="str">
        <f ca="1">IFERROR(__xludf.DUMMYFUNCTION("""COMPUTED_VALUE"""),"DOT14001214")</f>
        <v>DOT14001214</v>
      </c>
      <c r="D401" s="582" t="str">
        <f ca="1">IFERROR(__xludf.DUMMYFUNCTION("""COMPUTED_VALUE"""),"Đồng ống thẳng 14.00x1.2x1.4")</f>
        <v>Đồng ống thẳng 14.00x1.2x1.4</v>
      </c>
      <c r="E401" s="583">
        <f ca="1">IFERROR(__xludf.DUMMYFUNCTION("""COMPUTED_VALUE"""),0.1)</f>
        <v>0.1</v>
      </c>
      <c r="F401" s="584" t="str">
        <f ca="1">IFERROR(__xludf.DUMMYFUNCTION("""COMPUTED_VALUE"""),"Cây")</f>
        <v>Cây</v>
      </c>
      <c r="G401" s="584" t="str">
        <f ca="1">IFERROR(__xludf.DUMMYFUNCTION("""COMPUTED_VALUE"""),"Cây 1.4m")</f>
        <v>Cây 1.4m</v>
      </c>
      <c r="H401" s="582"/>
      <c r="I401" s="585">
        <f ca="1">IFERROR(__xludf.DUMMYFUNCTION("""COMPUTED_VALUE"""),0.62318592)</f>
        <v>0.62318591999999995</v>
      </c>
      <c r="J401" s="586" t="str">
        <f ca="1">IFERROR(__xludf.DUMMYFUNCTION("""COMPUTED_VALUE""")," 14.00 ")</f>
        <v xml:space="preserve"> 14.00 </v>
      </c>
      <c r="K401" s="584" t="str">
        <f ca="1">IFERROR(__xludf.DUMMYFUNCTION("""COMPUTED_VALUE"""),"1.20")</f>
        <v>1.20</v>
      </c>
      <c r="L401" s="584">
        <f ca="1">IFERROR(__xludf.DUMMYFUNCTION("""COMPUTED_VALUE"""),1.4)</f>
        <v>1.4</v>
      </c>
      <c r="M401" s="584"/>
      <c r="N401" s="584" t="str">
        <f ca="1">IFERROR(__xludf.DUMMYFUNCTION("""COMPUTED_VALUE"""),"Dị_D&lt;54")</f>
        <v>Dị_D&lt;54</v>
      </c>
      <c r="O401" s="583"/>
      <c r="P401" s="584"/>
    </row>
    <row r="402" spans="1:16" ht="15.75">
      <c r="A402" s="587" t="str">
        <f ca="1">IFERROR(__xludf.DUMMYFUNCTION("""COMPUTED_VALUE"""),"Toàn Phát - Việt Nam")</f>
        <v>Toàn Phát - Việt Nam</v>
      </c>
      <c r="B402" s="587" t="str">
        <f ca="1">IFERROR(__xludf.DUMMYFUNCTION("""COMPUTED_VALUE"""),"ĐTPCAYDI")</f>
        <v>ĐTPCAYDI</v>
      </c>
      <c r="C402" s="587" t="str">
        <f ca="1">IFERROR(__xludf.DUMMYFUNCTION("""COMPUTED_VALUE"""),"DOT1400123")</f>
        <v>DOT1400123</v>
      </c>
      <c r="D402" s="588" t="str">
        <f ca="1">IFERROR(__xludf.DUMMYFUNCTION("""COMPUTED_VALUE"""),"Đồng ống thẳng 14.00x1.2x3")</f>
        <v>Đồng ống thẳng 14.00x1.2x3</v>
      </c>
      <c r="E402" s="589">
        <f ca="1">IFERROR(__xludf.DUMMYFUNCTION("""COMPUTED_VALUE"""),0.1)</f>
        <v>0.1</v>
      </c>
      <c r="F402" s="590" t="str">
        <f ca="1">IFERROR(__xludf.DUMMYFUNCTION("""COMPUTED_VALUE"""),"Cây")</f>
        <v>Cây</v>
      </c>
      <c r="G402" s="590" t="str">
        <f ca="1">IFERROR(__xludf.DUMMYFUNCTION("""COMPUTED_VALUE"""),"Cây 3m")</f>
        <v>Cây 3m</v>
      </c>
      <c r="H402" s="588"/>
      <c r="I402" s="591">
        <f ca="1">IFERROR(__xludf.DUMMYFUNCTION("""COMPUTED_VALUE"""),1.33539839999999)</f>
        <v>1.3353983999999901</v>
      </c>
      <c r="J402" s="592" t="str">
        <f ca="1">IFERROR(__xludf.DUMMYFUNCTION("""COMPUTED_VALUE""")," 14.00 ")</f>
        <v xml:space="preserve"> 14.00 </v>
      </c>
      <c r="K402" s="590" t="str">
        <f ca="1">IFERROR(__xludf.DUMMYFUNCTION("""COMPUTED_VALUE"""),"1.20")</f>
        <v>1.20</v>
      </c>
      <c r="L402" s="590">
        <f ca="1">IFERROR(__xludf.DUMMYFUNCTION("""COMPUTED_VALUE"""),3)</f>
        <v>3</v>
      </c>
      <c r="M402" s="590"/>
      <c r="N402" s="590" t="str">
        <f ca="1">IFERROR(__xludf.DUMMYFUNCTION("""COMPUTED_VALUE"""),"Dị_D&lt;54")</f>
        <v>Dị_D&lt;54</v>
      </c>
      <c r="O402" s="589"/>
      <c r="P402" s="590"/>
    </row>
    <row r="403" spans="1:16" ht="15.75">
      <c r="A403" s="581" t="str">
        <f ca="1">IFERROR(__xludf.DUMMYFUNCTION("""COMPUTED_VALUE"""),"Toàn Phát - Việt Nam")</f>
        <v>Toàn Phát - Việt Nam</v>
      </c>
      <c r="B403" s="581" t="str">
        <f ca="1">IFERROR(__xludf.DUMMYFUNCTION("""COMPUTED_VALUE"""),"ĐTPCAYDI")</f>
        <v>ĐTPCAYDI</v>
      </c>
      <c r="C403" s="581" t="str">
        <f ca="1">IFERROR(__xludf.DUMMYFUNCTION("""COMPUTED_VALUE"""),"DOT1412730")</f>
        <v>DOT1412730</v>
      </c>
      <c r="D403" s="582" t="str">
        <f ca="1">IFERROR(__xludf.DUMMYFUNCTION("""COMPUTED_VALUE"""),"Đồng ống thẳng 14x1.27x3.0")</f>
        <v>Đồng ống thẳng 14x1.27x3.0</v>
      </c>
      <c r="E403" s="583">
        <f ca="1">IFERROR(__xludf.DUMMYFUNCTION("""COMPUTED_VALUE"""),0.1)</f>
        <v>0.1</v>
      </c>
      <c r="F403" s="584" t="str">
        <f ca="1">IFERROR(__xludf.DUMMYFUNCTION("""COMPUTED_VALUE"""),"Cây")</f>
        <v>Cây</v>
      </c>
      <c r="G403" s="584" t="str">
        <f ca="1">IFERROR(__xludf.DUMMYFUNCTION("""COMPUTED_VALUE"""),"Cây 3m")</f>
        <v>Cây 3m</v>
      </c>
      <c r="H403" s="582"/>
      <c r="I403" s="585">
        <f ca="1">IFERROR(__xludf.DUMMYFUNCTION("""COMPUTED_VALUE"""),1.40556767399999)</f>
        <v>1.4055676739999901</v>
      </c>
      <c r="J403" s="586" t="str">
        <f ca="1">IFERROR(__xludf.DUMMYFUNCTION("""COMPUTED_VALUE""")," 14.00 ")</f>
        <v xml:space="preserve"> 14.00 </v>
      </c>
      <c r="K403" s="584" t="str">
        <f ca="1">IFERROR(__xludf.DUMMYFUNCTION("""COMPUTED_VALUE"""),"1.27")</f>
        <v>1.27</v>
      </c>
      <c r="L403" s="584">
        <f ca="1">IFERROR(__xludf.DUMMYFUNCTION("""COMPUTED_VALUE"""),3)</f>
        <v>3</v>
      </c>
      <c r="M403" s="584"/>
      <c r="N403" s="584" t="str">
        <f ca="1">IFERROR(__xludf.DUMMYFUNCTION("""COMPUTED_VALUE"""),"Dị_D&lt;54")</f>
        <v>Dị_D&lt;54</v>
      </c>
      <c r="O403" s="583"/>
      <c r="P403" s="584"/>
    </row>
    <row r="404" spans="1:16" ht="15.75">
      <c r="A404" s="587" t="str">
        <f ca="1">IFERROR(__xludf.DUMMYFUNCTION("""COMPUTED_VALUE"""),"Toàn Phát - Việt Nam")</f>
        <v>Toàn Phát - Việt Nam</v>
      </c>
      <c r="B404" s="587" t="str">
        <f ca="1">IFERROR(__xludf.DUMMYFUNCTION("""COMPUTED_VALUE"""),"ĐTPCAYDI")</f>
        <v>ĐTPCAYDI</v>
      </c>
      <c r="C404" s="587" t="str">
        <f ca="1">IFERROR(__xludf.DUMMYFUNCTION("""COMPUTED_VALUE"""),"DOT140013030")</f>
        <v>DOT140013030</v>
      </c>
      <c r="D404" s="588" t="str">
        <f ca="1">IFERROR(__xludf.DUMMYFUNCTION("""COMPUTED_VALUE"""),"Đồng ống thẳng 14.00x1.3x3")</f>
        <v>Đồng ống thẳng 14.00x1.3x3</v>
      </c>
      <c r="E404" s="589">
        <f ca="1">IFERROR(__xludf.DUMMYFUNCTION("""COMPUTED_VALUE"""),0.1)</f>
        <v>0.1</v>
      </c>
      <c r="F404" s="590" t="str">
        <f ca="1">IFERROR(__xludf.DUMMYFUNCTION("""COMPUTED_VALUE"""),"Cây")</f>
        <v>Cây</v>
      </c>
      <c r="G404" s="590" t="str">
        <f ca="1">IFERROR(__xludf.DUMMYFUNCTION("""COMPUTED_VALUE"""),"Cây 3m")</f>
        <v>Cây 3m</v>
      </c>
      <c r="H404" s="588"/>
      <c r="I404" s="591">
        <f ca="1">IFERROR(__xludf.DUMMYFUNCTION("""COMPUTED_VALUE"""),1.43537939999999)</f>
        <v>1.43537939999999</v>
      </c>
      <c r="J404" s="592" t="str">
        <f ca="1">IFERROR(__xludf.DUMMYFUNCTION("""COMPUTED_VALUE""")," 14.00 ")</f>
        <v xml:space="preserve"> 14.00 </v>
      </c>
      <c r="K404" s="590" t="str">
        <f ca="1">IFERROR(__xludf.DUMMYFUNCTION("""COMPUTED_VALUE"""),"1.30")</f>
        <v>1.30</v>
      </c>
      <c r="L404" s="590">
        <f ca="1">IFERROR(__xludf.DUMMYFUNCTION("""COMPUTED_VALUE"""),3)</f>
        <v>3</v>
      </c>
      <c r="M404" s="590"/>
      <c r="N404" s="590" t="str">
        <f ca="1">IFERROR(__xludf.DUMMYFUNCTION("""COMPUTED_VALUE"""),"Dị_D&lt;54")</f>
        <v>Dị_D&lt;54</v>
      </c>
      <c r="O404" s="589"/>
      <c r="P404" s="590"/>
    </row>
    <row r="405" spans="1:16" ht="15.75">
      <c r="A405" s="581" t="str">
        <f ca="1">IFERROR(__xludf.DUMMYFUNCTION("""COMPUTED_VALUE"""),"Toàn Phát - Việt Nam")</f>
        <v>Toàn Phát - Việt Nam</v>
      </c>
      <c r="B405" s="581" t="str">
        <f ca="1">IFERROR(__xludf.DUMMYFUNCTION("""COMPUTED_VALUE"""),"ĐTPCAYDI")</f>
        <v>ĐTPCAYDI</v>
      </c>
      <c r="C405" s="581" t="str">
        <f ca="1">IFERROR(__xludf.DUMMYFUNCTION("""COMPUTED_VALUE"""),"DOT140014020")</f>
        <v>DOT140014020</v>
      </c>
      <c r="D405" s="582" t="str">
        <f ca="1">IFERROR(__xludf.DUMMYFUNCTION("""COMPUTED_VALUE"""),"Đồng ống thẳng 14.00x1.40x2.0")</f>
        <v>Đồng ống thẳng 14.00x1.40x2.0</v>
      </c>
      <c r="E405" s="583">
        <f ca="1">IFERROR(__xludf.DUMMYFUNCTION("""COMPUTED_VALUE"""),0.1)</f>
        <v>0.1</v>
      </c>
      <c r="F405" s="584" t="str">
        <f ca="1">IFERROR(__xludf.DUMMYFUNCTION("""COMPUTED_VALUE"""),"Cây")</f>
        <v>Cây</v>
      </c>
      <c r="G405" s="584" t="str">
        <f ca="1">IFERROR(__xludf.DUMMYFUNCTION("""COMPUTED_VALUE"""),"Cây 2m")</f>
        <v>Cây 2m</v>
      </c>
      <c r="H405" s="582"/>
      <c r="I405" s="585">
        <f ca="1">IFERROR(__xludf.DUMMYFUNCTION("""COMPUTED_VALUE"""),1.02241439999999)</f>
        <v>1.02241439999999</v>
      </c>
      <c r="J405" s="586" t="str">
        <f ca="1">IFERROR(__xludf.DUMMYFUNCTION("""COMPUTED_VALUE""")," 14.00 ")</f>
        <v xml:space="preserve"> 14.00 </v>
      </c>
      <c r="K405" s="584" t="str">
        <f ca="1">IFERROR(__xludf.DUMMYFUNCTION("""COMPUTED_VALUE"""),"1.40")</f>
        <v>1.40</v>
      </c>
      <c r="L405" s="584">
        <f ca="1">IFERROR(__xludf.DUMMYFUNCTION("""COMPUTED_VALUE"""),2)</f>
        <v>2</v>
      </c>
      <c r="M405" s="584"/>
      <c r="N405" s="584" t="str">
        <f ca="1">IFERROR(__xludf.DUMMYFUNCTION("""COMPUTED_VALUE"""),"Dị_D&lt;54")</f>
        <v>Dị_D&lt;54</v>
      </c>
      <c r="O405" s="583"/>
      <c r="P405" s="584"/>
    </row>
    <row r="406" spans="1:16" ht="15.75">
      <c r="A406" s="587" t="str">
        <f ca="1">IFERROR(__xludf.DUMMYFUNCTION("""COMPUTED_VALUE"""),"Toàn Phát - Việt Nam")</f>
        <v>Toàn Phát - Việt Nam</v>
      </c>
      <c r="B406" s="587" t="str">
        <f ca="1">IFERROR(__xludf.DUMMYFUNCTION("""COMPUTED_VALUE"""),"ĐTPCAYDI")</f>
        <v>ĐTPCAYDI</v>
      </c>
      <c r="C406" s="587" t="str">
        <f ca="1">IFERROR(__xludf.DUMMYFUNCTION("""COMPUTED_VALUE"""),"DOT140014030")</f>
        <v>DOT140014030</v>
      </c>
      <c r="D406" s="588" t="str">
        <f ca="1">IFERROR(__xludf.DUMMYFUNCTION("""COMPUTED_VALUE"""),"Đồng ống thẳng 14.00x1.40x3.0")</f>
        <v>Đồng ống thẳng 14.00x1.40x3.0</v>
      </c>
      <c r="E406" s="589">
        <f ca="1">IFERROR(__xludf.DUMMYFUNCTION("""COMPUTED_VALUE"""),0.1)</f>
        <v>0.1</v>
      </c>
      <c r="F406" s="590" t="str">
        <f ca="1">IFERROR(__xludf.DUMMYFUNCTION("""COMPUTED_VALUE"""),"Cây")</f>
        <v>Cây</v>
      </c>
      <c r="G406" s="590" t="str">
        <f ca="1">IFERROR(__xludf.DUMMYFUNCTION("""COMPUTED_VALUE"""),"Cây 3m")</f>
        <v>Cây 3m</v>
      </c>
      <c r="H406" s="588"/>
      <c r="I406" s="591">
        <f ca="1">IFERROR(__xludf.DUMMYFUNCTION("""COMPUTED_VALUE"""),1.53362159999999)</f>
        <v>1.53362159999999</v>
      </c>
      <c r="J406" s="592" t="str">
        <f ca="1">IFERROR(__xludf.DUMMYFUNCTION("""COMPUTED_VALUE""")," 14.00 ")</f>
        <v xml:space="preserve"> 14.00 </v>
      </c>
      <c r="K406" s="590" t="str">
        <f ca="1">IFERROR(__xludf.DUMMYFUNCTION("""COMPUTED_VALUE"""),"1.40")</f>
        <v>1.40</v>
      </c>
      <c r="L406" s="590">
        <f ca="1">IFERROR(__xludf.DUMMYFUNCTION("""COMPUTED_VALUE"""),3)</f>
        <v>3</v>
      </c>
      <c r="M406" s="590"/>
      <c r="N406" s="590" t="str">
        <f ca="1">IFERROR(__xludf.DUMMYFUNCTION("""COMPUTED_VALUE"""),"Dị_D&lt;54")</f>
        <v>Dị_D&lt;54</v>
      </c>
      <c r="O406" s="589"/>
      <c r="P406" s="590"/>
    </row>
    <row r="407" spans="1:16" ht="15.75">
      <c r="A407" s="581" t="str">
        <f ca="1">IFERROR(__xludf.DUMMYFUNCTION("""COMPUTED_VALUE"""),"Toàn Phát - Việt Nam")</f>
        <v>Toàn Phát - Việt Nam</v>
      </c>
      <c r="B407" s="581" t="str">
        <f ca="1">IFERROR(__xludf.DUMMYFUNCTION("""COMPUTED_VALUE"""),"ĐTPCAYDI")</f>
        <v>ĐTPCAYDI</v>
      </c>
      <c r="C407" s="581" t="str">
        <f ca="1">IFERROR(__xludf.DUMMYFUNCTION("""COMPUTED_VALUE"""),"DOT140014530")</f>
        <v>DOT140014530</v>
      </c>
      <c r="D407" s="582" t="str">
        <f ca="1">IFERROR(__xludf.DUMMYFUNCTION("""COMPUTED_VALUE"""),"Đồng ống thẳng 14.00x1.45x3.0")</f>
        <v>Đồng ống thẳng 14.00x1.45x3.0</v>
      </c>
      <c r="E407" s="583">
        <f ca="1">IFERROR(__xludf.DUMMYFUNCTION("""COMPUTED_VALUE"""),0.1)</f>
        <v>0.1</v>
      </c>
      <c r="F407" s="584" t="str">
        <f ca="1">IFERROR(__xludf.DUMMYFUNCTION("""COMPUTED_VALUE"""),"Cây")</f>
        <v>Cây</v>
      </c>
      <c r="G407" s="584" t="str">
        <f ca="1">IFERROR(__xludf.DUMMYFUNCTION("""COMPUTED_VALUE"""),"Cây 3m")</f>
        <v>Cây 3m</v>
      </c>
      <c r="H407" s="582"/>
      <c r="I407" s="585">
        <f ca="1">IFERROR(__xludf.DUMMYFUNCTION("""COMPUTED_VALUE"""),1.58209065)</f>
        <v>1.58209065</v>
      </c>
      <c r="J407" s="586" t="str">
        <f ca="1">IFERROR(__xludf.DUMMYFUNCTION("""COMPUTED_VALUE""")," 14.00 ")</f>
        <v xml:space="preserve"> 14.00 </v>
      </c>
      <c r="K407" s="584" t="str">
        <f ca="1">IFERROR(__xludf.DUMMYFUNCTION("""COMPUTED_VALUE"""),"1.45")</f>
        <v>1.45</v>
      </c>
      <c r="L407" s="584">
        <f ca="1">IFERROR(__xludf.DUMMYFUNCTION("""COMPUTED_VALUE"""),3)</f>
        <v>3</v>
      </c>
      <c r="M407" s="584"/>
      <c r="N407" s="584" t="str">
        <f ca="1">IFERROR(__xludf.DUMMYFUNCTION("""COMPUTED_VALUE"""),"Dị_D&lt;54")</f>
        <v>Dị_D&lt;54</v>
      </c>
      <c r="O407" s="583"/>
      <c r="P407" s="584"/>
    </row>
    <row r="408" spans="1:16" ht="15.75">
      <c r="A408" s="587" t="str">
        <f ca="1">IFERROR(__xludf.DUMMYFUNCTION("""COMPUTED_VALUE"""),"Toàn Phát - Việt Nam")</f>
        <v>Toàn Phát - Việt Nam</v>
      </c>
      <c r="B408" s="587" t="str">
        <f ca="1">IFERROR(__xludf.DUMMYFUNCTION("""COMPUTED_VALUE"""),"ĐTPCAYDI")</f>
        <v>ĐTPCAYDI</v>
      </c>
      <c r="C408" s="587" t="str">
        <f ca="1">IFERROR(__xludf.DUMMYFUNCTION("""COMPUTED_VALUE"""),"DOT140015030")</f>
        <v>DOT140015030</v>
      </c>
      <c r="D408" s="588" t="str">
        <f ca="1">IFERROR(__xludf.DUMMYFUNCTION("""COMPUTED_VALUE"""),"Đồng ống thẳng 14.00x1.50x3.0")</f>
        <v>Đồng ống thẳng 14.00x1.50x3.0</v>
      </c>
      <c r="E408" s="589">
        <f ca="1">IFERROR(__xludf.DUMMYFUNCTION("""COMPUTED_VALUE"""),0.1)</f>
        <v>0.1</v>
      </c>
      <c r="F408" s="590" t="str">
        <f ca="1">IFERROR(__xludf.DUMMYFUNCTION("""COMPUTED_VALUE"""),"Cây")</f>
        <v>Cây</v>
      </c>
      <c r="G408" s="590" t="str">
        <f ca="1">IFERROR(__xludf.DUMMYFUNCTION("""COMPUTED_VALUE"""),"Cây 3m")</f>
        <v>Cây 3m</v>
      </c>
      <c r="H408" s="588"/>
      <c r="I408" s="591">
        <f ca="1">IFERROR(__xludf.DUMMYFUNCTION("""COMPUTED_VALUE"""),1.630125)</f>
        <v>1.630125</v>
      </c>
      <c r="J408" s="592" t="str">
        <f ca="1">IFERROR(__xludf.DUMMYFUNCTION("""COMPUTED_VALUE""")," 14.00 ")</f>
        <v xml:space="preserve"> 14.00 </v>
      </c>
      <c r="K408" s="590" t="str">
        <f ca="1">IFERROR(__xludf.DUMMYFUNCTION("""COMPUTED_VALUE"""),"1.50")</f>
        <v>1.50</v>
      </c>
      <c r="L408" s="590">
        <f ca="1">IFERROR(__xludf.DUMMYFUNCTION("""COMPUTED_VALUE"""),3)</f>
        <v>3</v>
      </c>
      <c r="M408" s="590"/>
      <c r="N408" s="590" t="str">
        <f ca="1">IFERROR(__xludf.DUMMYFUNCTION("""COMPUTED_VALUE"""),"Dị_D&lt;54")</f>
        <v>Dị_D&lt;54</v>
      </c>
      <c r="O408" s="589"/>
      <c r="P408" s="590"/>
    </row>
    <row r="409" spans="1:16" ht="15.75">
      <c r="A409" s="581" t="str">
        <f ca="1">IFERROR(__xludf.DUMMYFUNCTION("""COMPUTED_VALUE"""),"Toàn Phát - Việt Nam")</f>
        <v>Toàn Phát - Việt Nam</v>
      </c>
      <c r="B409" s="581" t="str">
        <f ca="1">IFERROR(__xludf.DUMMYFUNCTION("""COMPUTED_VALUE"""),"ĐTPCAYDI")</f>
        <v>ĐTPCAYDI</v>
      </c>
      <c r="C409" s="581" t="str">
        <f ca="1">IFERROR(__xludf.DUMMYFUNCTION("""COMPUTED_VALUE"""),"DOT145013030")</f>
        <v>DOT145013030</v>
      </c>
      <c r="D409" s="582" t="str">
        <f ca="1">IFERROR(__xludf.DUMMYFUNCTION("""COMPUTED_VALUE"""),"Đồng ống thẳng 14.50x1.30x3.0")</f>
        <v>Đồng ống thẳng 14.50x1.30x3.0</v>
      </c>
      <c r="E409" s="583">
        <f ca="1">IFERROR(__xludf.DUMMYFUNCTION("""COMPUTED_VALUE"""),0.1)</f>
        <v>0.1</v>
      </c>
      <c r="F409" s="584" t="str">
        <f ca="1">IFERROR(__xludf.DUMMYFUNCTION("""COMPUTED_VALUE"""),"Cây")</f>
        <v>Cây</v>
      </c>
      <c r="G409" s="584" t="str">
        <f ca="1">IFERROR(__xludf.DUMMYFUNCTION("""COMPUTED_VALUE"""),"Cây 3m")</f>
        <v>Cây 3m</v>
      </c>
      <c r="H409" s="582"/>
      <c r="I409" s="585">
        <f ca="1">IFERROR(__xludf.DUMMYFUNCTION("""COMPUTED_VALUE"""),1.4918904)</f>
        <v>1.4918903999999999</v>
      </c>
      <c r="J409" s="586" t="str">
        <f ca="1">IFERROR(__xludf.DUMMYFUNCTION("""COMPUTED_VALUE""")," 14.50 ")</f>
        <v xml:space="preserve"> 14.50 </v>
      </c>
      <c r="K409" s="584" t="str">
        <f ca="1">IFERROR(__xludf.DUMMYFUNCTION("""COMPUTED_VALUE"""),"1.30")</f>
        <v>1.30</v>
      </c>
      <c r="L409" s="584">
        <f ca="1">IFERROR(__xludf.DUMMYFUNCTION("""COMPUTED_VALUE"""),3)</f>
        <v>3</v>
      </c>
      <c r="M409" s="584"/>
      <c r="N409" s="584" t="str">
        <f ca="1">IFERROR(__xludf.DUMMYFUNCTION("""COMPUTED_VALUE"""),"Dị_D&lt;54")</f>
        <v>Dị_D&lt;54</v>
      </c>
      <c r="O409" s="583"/>
      <c r="P409" s="584"/>
    </row>
    <row r="410" spans="1:16" ht="15.75">
      <c r="A410" s="587" t="str">
        <f ca="1">IFERROR(__xludf.DUMMYFUNCTION("""COMPUTED_VALUE"""),"Toàn Phát - Việt Nam")</f>
        <v>Toàn Phát - Việt Nam</v>
      </c>
      <c r="B410" s="587" t="str">
        <f ca="1">IFERROR(__xludf.DUMMYFUNCTION("""COMPUTED_VALUE"""),"ĐTPCAYDI")</f>
        <v>ĐTPCAYDI</v>
      </c>
      <c r="C410" s="587" t="str">
        <f ca="1">IFERROR(__xludf.DUMMYFUNCTION("""COMPUTED_VALUE"""),"DOT145015030")</f>
        <v>DOT145015030</v>
      </c>
      <c r="D410" s="588" t="str">
        <f ca="1">IFERROR(__xludf.DUMMYFUNCTION("""COMPUTED_VALUE"""),"Đồng ống thẳng 14.50x1.50x3.0")</f>
        <v>Đồng ống thẳng 14.50x1.50x3.0</v>
      </c>
      <c r="E410" s="589">
        <f ca="1">IFERROR(__xludf.DUMMYFUNCTION("""COMPUTED_VALUE"""),0.1)</f>
        <v>0.1</v>
      </c>
      <c r="F410" s="590" t="str">
        <f ca="1">IFERROR(__xludf.DUMMYFUNCTION("""COMPUTED_VALUE"""),"Cây")</f>
        <v>Cây</v>
      </c>
      <c r="G410" s="590" t="str">
        <f ca="1">IFERROR(__xludf.DUMMYFUNCTION("""COMPUTED_VALUE"""),"Cây 3m")</f>
        <v>Cây 3m</v>
      </c>
      <c r="H410" s="588"/>
      <c r="I410" s="591">
        <f ca="1">IFERROR(__xludf.DUMMYFUNCTION("""COMPUTED_VALUE"""),1.69533)</f>
        <v>1.69533</v>
      </c>
      <c r="J410" s="592" t="str">
        <f ca="1">IFERROR(__xludf.DUMMYFUNCTION("""COMPUTED_VALUE""")," 14.50 ")</f>
        <v xml:space="preserve"> 14.50 </v>
      </c>
      <c r="K410" s="590" t="str">
        <f ca="1">IFERROR(__xludf.DUMMYFUNCTION("""COMPUTED_VALUE"""),"1.50")</f>
        <v>1.50</v>
      </c>
      <c r="L410" s="590">
        <f ca="1">IFERROR(__xludf.DUMMYFUNCTION("""COMPUTED_VALUE"""),3)</f>
        <v>3</v>
      </c>
      <c r="M410" s="590"/>
      <c r="N410" s="590" t="str">
        <f ca="1">IFERROR(__xludf.DUMMYFUNCTION("""COMPUTED_VALUE"""),"Dị_D&lt;54")</f>
        <v>Dị_D&lt;54</v>
      </c>
      <c r="O410" s="589"/>
      <c r="P410" s="590"/>
    </row>
    <row r="411" spans="1:16" ht="15.75">
      <c r="A411" s="581" t="str">
        <f ca="1">IFERROR(__xludf.DUMMYFUNCTION("""COMPUTED_VALUE"""),"Toàn Phát - Việt Nam")</f>
        <v>Toàn Phát - Việt Nam</v>
      </c>
      <c r="B411" s="581" t="str">
        <f ca="1">IFERROR(__xludf.DUMMYFUNCTION("""COMPUTED_VALUE"""),"ĐTPCAYDI")</f>
        <v>ĐTPCAYDI</v>
      </c>
      <c r="C411" s="581" t="str">
        <f ca="1">IFERROR(__xludf.DUMMYFUNCTION("""COMPUTED_VALUE"""),"DOT146016530")</f>
        <v>DOT146016530</v>
      </c>
      <c r="D411" s="582" t="str">
        <f ca="1">IFERROR(__xludf.DUMMYFUNCTION("""COMPUTED_VALUE"""),"Đồng ống thẳng 14.60x1.65x3.0")</f>
        <v>Đồng ống thẳng 14.60x1.65x3.0</v>
      </c>
      <c r="E411" s="583">
        <f ca="1">IFERROR(__xludf.DUMMYFUNCTION("""COMPUTED_VALUE"""),0.1)</f>
        <v>0.1</v>
      </c>
      <c r="F411" s="584" t="str">
        <f ca="1">IFERROR(__xludf.DUMMYFUNCTION("""COMPUTED_VALUE"""),"Cây")</f>
        <v>Cây</v>
      </c>
      <c r="G411" s="584" t="str">
        <f ca="1">IFERROR(__xludf.DUMMYFUNCTION("""COMPUTED_VALUE"""),"Cây 3m")</f>
        <v>Cây 3m</v>
      </c>
      <c r="H411" s="582"/>
      <c r="I411" s="585">
        <f ca="1">IFERROR(__xludf.DUMMYFUNCTION("""COMPUTED_VALUE"""),1.85769044999999)</f>
        <v>1.85769044999999</v>
      </c>
      <c r="J411" s="586" t="str">
        <f ca="1">IFERROR(__xludf.DUMMYFUNCTION("""COMPUTED_VALUE""")," 14.60 ")</f>
        <v xml:space="preserve"> 14.60 </v>
      </c>
      <c r="K411" s="584" t="str">
        <f ca="1">IFERROR(__xludf.DUMMYFUNCTION("""COMPUTED_VALUE"""),"1.65")</f>
        <v>1.65</v>
      </c>
      <c r="L411" s="584">
        <f ca="1">IFERROR(__xludf.DUMMYFUNCTION("""COMPUTED_VALUE"""),3)</f>
        <v>3</v>
      </c>
      <c r="M411" s="584"/>
      <c r="N411" s="584" t="str">
        <f ca="1">IFERROR(__xludf.DUMMYFUNCTION("""COMPUTED_VALUE"""),"Dị_D&lt;54")</f>
        <v>Dị_D&lt;54</v>
      </c>
      <c r="O411" s="583"/>
      <c r="P411" s="584"/>
    </row>
    <row r="412" spans="1:16" ht="15.75">
      <c r="A412" s="587" t="str">
        <f ca="1">IFERROR(__xludf.DUMMYFUNCTION("""COMPUTED_VALUE"""),"Toàn Phát - Việt Nam")</f>
        <v>Toàn Phát - Việt Nam</v>
      </c>
      <c r="B412" s="587" t="str">
        <f ca="1">IFERROR(__xludf.DUMMYFUNCTION("""COMPUTED_VALUE"""),"ĐTPCAYDI")</f>
        <v>ĐTPCAYDI</v>
      </c>
      <c r="C412" s="587" t="str">
        <f ca="1">IFERROR(__xludf.DUMMYFUNCTION("""COMPUTED_VALUE"""),"DOT147015030")</f>
        <v>DOT147015030</v>
      </c>
      <c r="D412" s="588" t="str">
        <f ca="1">IFERROR(__xludf.DUMMYFUNCTION("""COMPUTED_VALUE"""),"Đồng ống thẳng 14.70x1.50x3.0")</f>
        <v>Đồng ống thẳng 14.70x1.50x3.0</v>
      </c>
      <c r="E412" s="589">
        <f ca="1">IFERROR(__xludf.DUMMYFUNCTION("""COMPUTED_VALUE"""),0.1)</f>
        <v>0.1</v>
      </c>
      <c r="F412" s="590" t="str">
        <f ca="1">IFERROR(__xludf.DUMMYFUNCTION("""COMPUTED_VALUE"""),"Cây")</f>
        <v>Cây</v>
      </c>
      <c r="G412" s="590" t="str">
        <f ca="1">IFERROR(__xludf.DUMMYFUNCTION("""COMPUTED_VALUE"""),"Cây 3m")</f>
        <v>Cây 3m</v>
      </c>
      <c r="H412" s="588"/>
      <c r="I412" s="591">
        <f ca="1">IFERROR(__xludf.DUMMYFUNCTION("""COMPUTED_VALUE"""),1.72141199999999)</f>
        <v>1.72141199999999</v>
      </c>
      <c r="J412" s="592" t="str">
        <f ca="1">IFERROR(__xludf.DUMMYFUNCTION("""COMPUTED_VALUE""")," 14.70 ")</f>
        <v xml:space="preserve"> 14.70 </v>
      </c>
      <c r="K412" s="590" t="str">
        <f ca="1">IFERROR(__xludf.DUMMYFUNCTION("""COMPUTED_VALUE"""),"1.50")</f>
        <v>1.50</v>
      </c>
      <c r="L412" s="590">
        <f ca="1">IFERROR(__xludf.DUMMYFUNCTION("""COMPUTED_VALUE"""),3)</f>
        <v>3</v>
      </c>
      <c r="M412" s="590"/>
      <c r="N412" s="590" t="str">
        <f ca="1">IFERROR(__xludf.DUMMYFUNCTION("""COMPUTED_VALUE"""),"Dị_D&lt;54")</f>
        <v>Dị_D&lt;54</v>
      </c>
      <c r="O412" s="589"/>
      <c r="P412" s="590"/>
    </row>
    <row r="413" spans="1:16" ht="15.75">
      <c r="A413" s="581" t="str">
        <f ca="1">IFERROR(__xludf.DUMMYFUNCTION("""COMPUTED_VALUE"""),"Toàn Phát - Việt Nam")</f>
        <v>Toàn Phát - Việt Nam</v>
      </c>
      <c r="B413" s="581" t="str">
        <f ca="1">IFERROR(__xludf.DUMMYFUNCTION("""COMPUTED_VALUE"""),"ĐTPCAYDI")</f>
        <v>ĐTPCAYDI</v>
      </c>
      <c r="C413" s="581" t="str">
        <f ca="1">IFERROR(__xludf.DUMMYFUNCTION("""COMPUTED_VALUE"""),"DOT1500200120")</f>
        <v>DOT1500200120</v>
      </c>
      <c r="D413" s="582" t="str">
        <f ca="1">IFERROR(__xludf.DUMMYFUNCTION("""COMPUTED_VALUE"""),"Đồng ống thẳng 15.00x2.00x1.20")</f>
        <v>Đồng ống thẳng 15.00x2.00x1.20</v>
      </c>
      <c r="E413" s="583">
        <f ca="1">IFERROR(__xludf.DUMMYFUNCTION("""COMPUTED_VALUE"""),0.1)</f>
        <v>0.1</v>
      </c>
      <c r="F413" s="584" t="str">
        <f ca="1">IFERROR(__xludf.DUMMYFUNCTION("""COMPUTED_VALUE"""),"Cây")</f>
        <v>Cây</v>
      </c>
      <c r="G413" s="584" t="str">
        <f ca="1">IFERROR(__xludf.DUMMYFUNCTION("""COMPUTED_VALUE"""),"Cây 1.2m")</f>
        <v>Cây 1.2m</v>
      </c>
      <c r="H413" s="582"/>
      <c r="I413" s="585">
        <f ca="1">IFERROR(__xludf.DUMMYFUNCTION("""COMPUTED_VALUE"""),0.904175999999999)</f>
        <v>0.90417599999999898</v>
      </c>
      <c r="J413" s="586" t="str">
        <f ca="1">IFERROR(__xludf.DUMMYFUNCTION("""COMPUTED_VALUE""")," 15.00 ")</f>
        <v xml:space="preserve"> 15.00 </v>
      </c>
      <c r="K413" s="584" t="str">
        <f ca="1">IFERROR(__xludf.DUMMYFUNCTION("""COMPUTED_VALUE"""),"2.00")</f>
        <v>2.00</v>
      </c>
      <c r="L413" s="584">
        <f ca="1">IFERROR(__xludf.DUMMYFUNCTION("""COMPUTED_VALUE"""),1.2)</f>
        <v>1.2</v>
      </c>
      <c r="M413" s="584"/>
      <c r="N413" s="584" t="str">
        <f ca="1">IFERROR(__xludf.DUMMYFUNCTION("""COMPUTED_VALUE"""),"Dị_D&lt;54")</f>
        <v>Dị_D&lt;54</v>
      </c>
      <c r="O413" s="583"/>
      <c r="P413" s="584"/>
    </row>
    <row r="414" spans="1:16" ht="15.75">
      <c r="A414" s="587" t="str">
        <f ca="1">IFERROR(__xludf.DUMMYFUNCTION("""COMPUTED_VALUE"""),"Toàn Phát - Việt Nam")</f>
        <v>Toàn Phát - Việt Nam</v>
      </c>
      <c r="B414" s="587" t="str">
        <f ca="1">IFERROR(__xludf.DUMMYFUNCTION("""COMPUTED_VALUE"""),"ĐTPCAYDI")</f>
        <v>ĐTPCAYDI</v>
      </c>
      <c r="C414" s="587" t="str">
        <f ca="1">IFERROR(__xludf.DUMMYFUNCTION("""COMPUTED_VALUE"""),"DOT150020030")</f>
        <v>DOT150020030</v>
      </c>
      <c r="D414" s="588" t="str">
        <f ca="1">IFERROR(__xludf.DUMMYFUNCTION("""COMPUTED_VALUE"""),"Đồng ống thẳng 15.00x2.00x3.0")</f>
        <v>Đồng ống thẳng 15.00x2.00x3.0</v>
      </c>
      <c r="E414" s="589">
        <f ca="1">IFERROR(__xludf.DUMMYFUNCTION("""COMPUTED_VALUE"""),0.1)</f>
        <v>0.1</v>
      </c>
      <c r="F414" s="590" t="str">
        <f ca="1">IFERROR(__xludf.DUMMYFUNCTION("""COMPUTED_VALUE"""),"Cây")</f>
        <v>Cây</v>
      </c>
      <c r="G414" s="590" t="str">
        <f ca="1">IFERROR(__xludf.DUMMYFUNCTION("""COMPUTED_VALUE"""),"Cây 3m")</f>
        <v>Cây 3m</v>
      </c>
      <c r="H414" s="588"/>
      <c r="I414" s="591">
        <f ca="1">IFERROR(__xludf.DUMMYFUNCTION("""COMPUTED_VALUE"""),2.26044)</f>
        <v>2.26044</v>
      </c>
      <c r="J414" s="592" t="str">
        <f ca="1">IFERROR(__xludf.DUMMYFUNCTION("""COMPUTED_VALUE""")," 15.00 ")</f>
        <v xml:space="preserve"> 15.00 </v>
      </c>
      <c r="K414" s="590" t="str">
        <f ca="1">IFERROR(__xludf.DUMMYFUNCTION("""COMPUTED_VALUE"""),"2.00")</f>
        <v>2.00</v>
      </c>
      <c r="L414" s="590">
        <f ca="1">IFERROR(__xludf.DUMMYFUNCTION("""COMPUTED_VALUE"""),3)</f>
        <v>3</v>
      </c>
      <c r="M414" s="590"/>
      <c r="N414" s="590" t="str">
        <f ca="1">IFERROR(__xludf.DUMMYFUNCTION("""COMPUTED_VALUE"""),"Dị_D&lt;54")</f>
        <v>Dị_D&lt;54</v>
      </c>
      <c r="O414" s="589"/>
      <c r="P414" s="590"/>
    </row>
    <row r="415" spans="1:16" ht="15.75">
      <c r="A415" s="581" t="str">
        <f ca="1">IFERROR(__xludf.DUMMYFUNCTION("""COMPUTED_VALUE"""),"Toàn Phát - Việt Nam")</f>
        <v>Toàn Phát - Việt Nam</v>
      </c>
      <c r="B415" s="581" t="str">
        <f ca="1">IFERROR(__xludf.DUMMYFUNCTION("""COMPUTED_VALUE"""),"ĐTPCAYDI")</f>
        <v>ĐTPCAYDI</v>
      </c>
      <c r="C415" s="581" t="str">
        <f ca="1">IFERROR(__xludf.DUMMYFUNCTION("""COMPUTED_VALUE"""),"DOT155012030")</f>
        <v>DOT155012030</v>
      </c>
      <c r="D415" s="582" t="str">
        <f ca="1">IFERROR(__xludf.DUMMYFUNCTION("""COMPUTED_VALUE"""),"Đồng ống thẳng 15.50x1.20x3.0")</f>
        <v>Đồng ống thẳng 15.50x1.20x3.0</v>
      </c>
      <c r="E415" s="583">
        <f ca="1">IFERROR(__xludf.DUMMYFUNCTION("""COMPUTED_VALUE"""),0.1)</f>
        <v>0.1</v>
      </c>
      <c r="F415" s="584" t="str">
        <f ca="1">IFERROR(__xludf.DUMMYFUNCTION("""COMPUTED_VALUE"""),"Cây")</f>
        <v>Cây</v>
      </c>
      <c r="G415" s="584" t="str">
        <f ca="1">IFERROR(__xludf.DUMMYFUNCTION("""COMPUTED_VALUE"""),"Cây 3m")</f>
        <v>Cây 3m</v>
      </c>
      <c r="H415" s="582"/>
      <c r="I415" s="585">
        <f ca="1">IFERROR(__xludf.DUMMYFUNCTION("""COMPUTED_VALUE"""),1.4918904)</f>
        <v>1.4918903999999999</v>
      </c>
      <c r="J415" s="586" t="str">
        <f ca="1">IFERROR(__xludf.DUMMYFUNCTION("""COMPUTED_VALUE""")," 15.50 ")</f>
        <v xml:space="preserve"> 15.50 </v>
      </c>
      <c r="K415" s="584" t="str">
        <f ca="1">IFERROR(__xludf.DUMMYFUNCTION("""COMPUTED_VALUE"""),"1.20")</f>
        <v>1.20</v>
      </c>
      <c r="L415" s="584">
        <f ca="1">IFERROR(__xludf.DUMMYFUNCTION("""COMPUTED_VALUE"""),3)</f>
        <v>3</v>
      </c>
      <c r="M415" s="584"/>
      <c r="N415" s="584" t="str">
        <f ca="1">IFERROR(__xludf.DUMMYFUNCTION("""COMPUTED_VALUE"""),"Dị_D&lt;54")</f>
        <v>Dị_D&lt;54</v>
      </c>
      <c r="O415" s="583"/>
      <c r="P415" s="584"/>
    </row>
    <row r="416" spans="1:16" ht="15.75">
      <c r="A416" s="587" t="str">
        <f ca="1">IFERROR(__xludf.DUMMYFUNCTION("""COMPUTED_VALUE"""),"Toàn Phát - Việt Nam")</f>
        <v>Toàn Phát - Việt Nam</v>
      </c>
      <c r="B416" s="587" t="str">
        <f ca="1">IFERROR(__xludf.DUMMYFUNCTION("""COMPUTED_VALUE"""),"ĐTPCAYDI")</f>
        <v>ĐTPCAYDI</v>
      </c>
      <c r="C416" s="587" t="str">
        <f ca="1">IFERROR(__xludf.DUMMYFUNCTION("""COMPUTED_VALUE"""),"DOT1588050(NM)")</f>
        <v>DOT1588050(NM)</v>
      </c>
      <c r="D416" s="588" t="str">
        <f ca="1">IFERROR(__xludf.DUMMYFUNCTION("""COMPUTED_VALUE"""),"Đồng ống thẳng 15.88x0.50")</f>
        <v>Đồng ống thẳng 15.88x0.50</v>
      </c>
      <c r="E416" s="589">
        <f ca="1">IFERROR(__xludf.DUMMYFUNCTION("""COMPUTED_VALUE"""),0.1)</f>
        <v>0.1</v>
      </c>
      <c r="F416" s="590" t="str">
        <f ca="1">IFERROR(__xludf.DUMMYFUNCTION("""COMPUTED_VALUE"""),"Cây")</f>
        <v>Cây</v>
      </c>
      <c r="G416" s="590" t="str">
        <f ca="1">IFERROR(__xludf.DUMMYFUNCTION("""COMPUTED_VALUE"""),"Cây 2.9m")</f>
        <v>Cây 2.9m</v>
      </c>
      <c r="H416" s="588" t="str">
        <f ca="1">IFERROR(__xludf.DUMMYFUNCTION("""COMPUTED_VALUE"""),"40")</f>
        <v>40</v>
      </c>
      <c r="I416" s="591">
        <f ca="1">IFERROR(__xludf.DUMMYFUNCTION("""COMPUTED_VALUE"""),0.64628298)</f>
        <v>0.64628297999999995</v>
      </c>
      <c r="J416" s="592" t="str">
        <f ca="1">IFERROR(__xludf.DUMMYFUNCTION("""COMPUTED_VALUE""")," 15.88 ")</f>
        <v xml:space="preserve"> 15.88 </v>
      </c>
      <c r="K416" s="590" t="str">
        <f ca="1">IFERROR(__xludf.DUMMYFUNCTION("""COMPUTED_VALUE"""),"0.50")</f>
        <v>0.50</v>
      </c>
      <c r="L416" s="590">
        <f ca="1">IFERROR(__xludf.DUMMYFUNCTION("""COMPUTED_VALUE"""),2.9)</f>
        <v>2.9</v>
      </c>
      <c r="M416" s="590"/>
      <c r="N416" s="590" t="str">
        <f ca="1">IFERROR(__xludf.DUMMYFUNCTION("""COMPUTED_VALUE"""),"Dị_D&lt;54")</f>
        <v>Dị_D&lt;54</v>
      </c>
      <c r="O416" s="589"/>
      <c r="P416" s="590"/>
    </row>
    <row r="417" spans="1:17" ht="15.75">
      <c r="A417" s="581" t="str">
        <f ca="1">IFERROR(__xludf.DUMMYFUNCTION("""COMPUTED_VALUE"""),"Toàn Phát - Việt Nam")</f>
        <v>Toàn Phát - Việt Nam</v>
      </c>
      <c r="B417" s="581" t="str">
        <f ca="1">IFERROR(__xludf.DUMMYFUNCTION("""COMPUTED_VALUE"""),"ĐTPCAYDI")</f>
        <v>ĐTPCAYDI</v>
      </c>
      <c r="C417" s="581" t="str">
        <f ca="1">IFERROR(__xludf.DUMMYFUNCTION("""COMPUTED_VALUE"""),"DOT158805018")</f>
        <v>DOT158805018</v>
      </c>
      <c r="D417" s="582" t="str">
        <f ca="1">IFERROR(__xludf.DUMMYFUNCTION("""COMPUTED_VALUE"""),"Đồng ống thẳng 15.88x0.50x1.8")</f>
        <v>Đồng ống thẳng 15.88x0.50x1.8</v>
      </c>
      <c r="E417" s="583">
        <f ca="1">IFERROR(__xludf.DUMMYFUNCTION("""COMPUTED_VALUE"""),0.1)</f>
        <v>0.1</v>
      </c>
      <c r="F417" s="584" t="str">
        <f ca="1">IFERROR(__xludf.DUMMYFUNCTION("""COMPUTED_VALUE"""),"Cây")</f>
        <v>Cây</v>
      </c>
      <c r="G417" s="584" t="str">
        <f ca="1">IFERROR(__xludf.DUMMYFUNCTION("""COMPUTED_VALUE"""),"Cây 1.8m")</f>
        <v>Cây 1.8m</v>
      </c>
      <c r="H417" s="582"/>
      <c r="I417" s="585">
        <f ca="1">IFERROR(__xludf.DUMMYFUNCTION("""COMPUTED_VALUE"""),0.40114116)</f>
        <v>0.40114116</v>
      </c>
      <c r="J417" s="586" t="str">
        <f ca="1">IFERROR(__xludf.DUMMYFUNCTION("""COMPUTED_VALUE""")," 15.88 ")</f>
        <v xml:space="preserve"> 15.88 </v>
      </c>
      <c r="K417" s="584" t="str">
        <f ca="1">IFERROR(__xludf.DUMMYFUNCTION("""COMPUTED_VALUE"""),"0.50")</f>
        <v>0.50</v>
      </c>
      <c r="L417" s="584">
        <f ca="1">IFERROR(__xludf.DUMMYFUNCTION("""COMPUTED_VALUE"""),1.8)</f>
        <v>1.8</v>
      </c>
      <c r="M417" s="584"/>
      <c r="N417" s="584" t="str">
        <f ca="1">IFERROR(__xludf.DUMMYFUNCTION("""COMPUTED_VALUE"""),"Dị_D&lt;54")</f>
        <v>Dị_D&lt;54</v>
      </c>
      <c r="O417" s="583"/>
      <c r="P417" s="584"/>
    </row>
    <row r="418" spans="1:17" ht="15.75">
      <c r="A418" s="587" t="str">
        <f ca="1">IFERROR(__xludf.DUMMYFUNCTION("""COMPUTED_VALUE"""),"Toàn Phát - Việt Nam")</f>
        <v>Toàn Phát - Việt Nam</v>
      </c>
      <c r="B418" s="587" t="str">
        <f ca="1">IFERROR(__xludf.DUMMYFUNCTION("""COMPUTED_VALUE"""),"ĐTPCAYDI")</f>
        <v>ĐTPCAYDI</v>
      </c>
      <c r="C418" s="587" t="str">
        <f ca="1">IFERROR(__xludf.DUMMYFUNCTION("""COMPUTED_VALUE"""),"DOT1588050193")</f>
        <v>DOT1588050193</v>
      </c>
      <c r="D418" s="588" t="str">
        <f ca="1">IFERROR(__xludf.DUMMYFUNCTION("""COMPUTED_VALUE"""),"Đồng ống thẳng 15.88x0.50x1.93")</f>
        <v>Đồng ống thẳng 15.88x0.50x1.93</v>
      </c>
      <c r="E418" s="589">
        <f ca="1">IFERROR(__xludf.DUMMYFUNCTION("""COMPUTED_VALUE"""),0.1)</f>
        <v>0.1</v>
      </c>
      <c r="F418" s="590" t="str">
        <f ca="1">IFERROR(__xludf.DUMMYFUNCTION("""COMPUTED_VALUE"""),"Cây")</f>
        <v>Cây</v>
      </c>
      <c r="G418" s="590" t="str">
        <f ca="1">IFERROR(__xludf.DUMMYFUNCTION("""COMPUTED_VALUE"""),"Cây 1.93m")</f>
        <v>Cây 1.93m</v>
      </c>
      <c r="H418" s="588"/>
      <c r="I418" s="591">
        <f ca="1">IFERROR(__xludf.DUMMYFUNCTION("""COMPUTED_VALUE"""),0.430112465999999)</f>
        <v>0.43011246599999903</v>
      </c>
      <c r="J418" s="592" t="str">
        <f ca="1">IFERROR(__xludf.DUMMYFUNCTION("""COMPUTED_VALUE""")," 15.88 ")</f>
        <v xml:space="preserve"> 15.88 </v>
      </c>
      <c r="K418" s="590" t="str">
        <f ca="1">IFERROR(__xludf.DUMMYFUNCTION("""COMPUTED_VALUE"""),"0.50")</f>
        <v>0.50</v>
      </c>
      <c r="L418" s="590">
        <f ca="1">IFERROR(__xludf.DUMMYFUNCTION("""COMPUTED_VALUE"""),1.93)</f>
        <v>1.93</v>
      </c>
      <c r="M418" s="590"/>
      <c r="N418" s="590" t="str">
        <f ca="1">IFERROR(__xludf.DUMMYFUNCTION("""COMPUTED_VALUE"""),"Dị_D&lt;54")</f>
        <v>Dị_D&lt;54</v>
      </c>
      <c r="O418" s="589"/>
      <c r="P418" s="590"/>
    </row>
    <row r="419" spans="1:17" ht="15.75">
      <c r="A419" s="581" t="str">
        <f ca="1">IFERROR(__xludf.DUMMYFUNCTION("""COMPUTED_VALUE"""),"Toàn Phát - Việt Nam")</f>
        <v>Toàn Phát - Việt Nam</v>
      </c>
      <c r="B419" s="581" t="str">
        <f ca="1">IFERROR(__xludf.DUMMYFUNCTION("""COMPUTED_VALUE"""),"ĐTPCAYDI")</f>
        <v>ĐTPCAYDI</v>
      </c>
      <c r="C419" s="581" t="str">
        <f ca="1">IFERROR(__xludf.DUMMYFUNCTION("""COMPUTED_VALUE"""),"DOT158805024")</f>
        <v>DOT158805024</v>
      </c>
      <c r="D419" s="582" t="str">
        <f ca="1">IFERROR(__xludf.DUMMYFUNCTION("""COMPUTED_VALUE"""),"Đồng ống thẳng 15.88x0.50x2.4")</f>
        <v>Đồng ống thẳng 15.88x0.50x2.4</v>
      </c>
      <c r="E419" s="583">
        <f ca="1">IFERROR(__xludf.DUMMYFUNCTION("""COMPUTED_VALUE"""),0.1)</f>
        <v>0.1</v>
      </c>
      <c r="F419" s="584" t="str">
        <f ca="1">IFERROR(__xludf.DUMMYFUNCTION("""COMPUTED_VALUE"""),"Cây")</f>
        <v>Cây</v>
      </c>
      <c r="G419" s="584" t="str">
        <f ca="1">IFERROR(__xludf.DUMMYFUNCTION("""COMPUTED_VALUE"""),"Cây 2.4m")</f>
        <v>Cây 2.4m</v>
      </c>
      <c r="H419" s="582"/>
      <c r="I419" s="585">
        <f ca="1">IFERROR(__xludf.DUMMYFUNCTION("""COMPUTED_VALUE"""),0.534854879999999)</f>
        <v>0.53485487999999903</v>
      </c>
      <c r="J419" s="586" t="str">
        <f ca="1">IFERROR(__xludf.DUMMYFUNCTION("""COMPUTED_VALUE""")," 15.88 ")</f>
        <v xml:space="preserve"> 15.88 </v>
      </c>
      <c r="K419" s="584" t="str">
        <f ca="1">IFERROR(__xludf.DUMMYFUNCTION("""COMPUTED_VALUE"""),"0.50")</f>
        <v>0.50</v>
      </c>
      <c r="L419" s="584">
        <f ca="1">IFERROR(__xludf.DUMMYFUNCTION("""COMPUTED_VALUE"""),2.4)</f>
        <v>2.4</v>
      </c>
      <c r="M419" s="584"/>
      <c r="N419" s="584" t="str">
        <f ca="1">IFERROR(__xludf.DUMMYFUNCTION("""COMPUTED_VALUE"""),"Dị_D&lt;54")</f>
        <v>Dị_D&lt;54</v>
      </c>
      <c r="O419" s="583"/>
      <c r="P419" s="584"/>
    </row>
    <row r="420" spans="1:17" ht="15.75">
      <c r="A420" s="587" t="str">
        <f ca="1">IFERROR(__xludf.DUMMYFUNCTION("""COMPUTED_VALUE"""),"Toàn Phát - Việt Nam")</f>
        <v>Toàn Phát - Việt Nam</v>
      </c>
      <c r="B420" s="587" t="str">
        <f ca="1">IFERROR(__xludf.DUMMYFUNCTION("""COMPUTED_VALUE"""),"ĐTPCAYDI")</f>
        <v>ĐTPCAYDI</v>
      </c>
      <c r="C420" s="587" t="str">
        <f ca="1">IFERROR(__xludf.DUMMYFUNCTION("""COMPUTED_VALUE"""),"DOT158805025")</f>
        <v>DOT158805025</v>
      </c>
      <c r="D420" s="588" t="str">
        <f ca="1">IFERROR(__xludf.DUMMYFUNCTION("""COMPUTED_VALUE"""),"Đồng ống thẳng 15.88x0.50x2.5")</f>
        <v>Đồng ống thẳng 15.88x0.50x2.5</v>
      </c>
      <c r="E420" s="589">
        <f ca="1">IFERROR(__xludf.DUMMYFUNCTION("""COMPUTED_VALUE"""),0.1)</f>
        <v>0.1</v>
      </c>
      <c r="F420" s="590" t="str">
        <f ca="1">IFERROR(__xludf.DUMMYFUNCTION("""COMPUTED_VALUE"""),"Cây")</f>
        <v>Cây</v>
      </c>
      <c r="G420" s="590" t="str">
        <f ca="1">IFERROR(__xludf.DUMMYFUNCTION("""COMPUTED_VALUE"""),"Cây 2.5m")</f>
        <v>Cây 2.5m</v>
      </c>
      <c r="H420" s="588"/>
      <c r="I420" s="591">
        <f ca="1">IFERROR(__xludf.DUMMYFUNCTION("""COMPUTED_VALUE"""),0.557140499999999)</f>
        <v>0.55714049999999904</v>
      </c>
      <c r="J420" s="592" t="str">
        <f ca="1">IFERROR(__xludf.DUMMYFUNCTION("""COMPUTED_VALUE""")," 15.88 ")</f>
        <v xml:space="preserve"> 15.88 </v>
      </c>
      <c r="K420" s="590" t="str">
        <f ca="1">IFERROR(__xludf.DUMMYFUNCTION("""COMPUTED_VALUE"""),"0.50")</f>
        <v>0.50</v>
      </c>
      <c r="L420" s="590">
        <f ca="1">IFERROR(__xludf.DUMMYFUNCTION("""COMPUTED_VALUE"""),2.5)</f>
        <v>2.5</v>
      </c>
      <c r="M420" s="590"/>
      <c r="N420" s="590" t="str">
        <f ca="1">IFERROR(__xludf.DUMMYFUNCTION("""COMPUTED_VALUE"""),"Dị_D&lt;54")</f>
        <v>Dị_D&lt;54</v>
      </c>
      <c r="O420" s="589"/>
      <c r="P420" s="590"/>
    </row>
    <row r="421" spans="1:17" ht="15.75">
      <c r="A421" s="581" t="str">
        <f ca="1">IFERROR(__xludf.DUMMYFUNCTION("""COMPUTED_VALUE"""),"Toàn Phát - Việt Nam")</f>
        <v>Toàn Phát - Việt Nam</v>
      </c>
      <c r="B421" s="581" t="str">
        <f ca="1">IFERROR(__xludf.DUMMYFUNCTION("""COMPUTED_VALUE"""),"ĐTPCAYDI")</f>
        <v>ĐTPCAYDI</v>
      </c>
      <c r="C421" s="581" t="str">
        <f ca="1">IFERROR(__xludf.DUMMYFUNCTION("""COMPUTED_VALUE"""),"DOT158805058")</f>
        <v>DOT158805058</v>
      </c>
      <c r="D421" s="582" t="str">
        <f ca="1">IFERROR(__xludf.DUMMYFUNCTION("""COMPUTED_VALUE"""),"Đồng ống thẳng 15.88x0.5x5.8")</f>
        <v>Đồng ống thẳng 15.88x0.5x5.8</v>
      </c>
      <c r="E421" s="583">
        <f ca="1">IFERROR(__xludf.DUMMYFUNCTION("""COMPUTED_VALUE"""),0.1)</f>
        <v>0.1</v>
      </c>
      <c r="F421" s="584" t="str">
        <f ca="1">IFERROR(__xludf.DUMMYFUNCTION("""COMPUTED_VALUE"""),"Cây")</f>
        <v>Cây</v>
      </c>
      <c r="G421" s="584" t="str">
        <f ca="1">IFERROR(__xludf.DUMMYFUNCTION("""COMPUTED_VALUE"""),"Cây 5.8m")</f>
        <v>Cây 5.8m</v>
      </c>
      <c r="H421" s="582"/>
      <c r="I421" s="585">
        <f ca="1">IFERROR(__xludf.DUMMYFUNCTION("""COMPUTED_VALUE"""),1.29256596)</f>
        <v>1.2925659599999999</v>
      </c>
      <c r="J421" s="586" t="str">
        <f ca="1">IFERROR(__xludf.DUMMYFUNCTION("""COMPUTED_VALUE""")," 15.88 ")</f>
        <v xml:space="preserve"> 15.88 </v>
      </c>
      <c r="K421" s="584" t="str">
        <f ca="1">IFERROR(__xludf.DUMMYFUNCTION("""COMPUTED_VALUE"""),"0.50")</f>
        <v>0.50</v>
      </c>
      <c r="L421" s="584">
        <f ca="1">IFERROR(__xludf.DUMMYFUNCTION("""COMPUTED_VALUE"""),5.8)</f>
        <v>5.8</v>
      </c>
      <c r="M421" s="584"/>
      <c r="N421" s="584" t="str">
        <f ca="1">IFERROR(__xludf.DUMMYFUNCTION("""COMPUTED_VALUE"""),"Dị_D&lt;54")</f>
        <v>Dị_D&lt;54</v>
      </c>
      <c r="O421" s="583"/>
      <c r="P421" s="584"/>
    </row>
    <row r="422" spans="1:17" ht="15.75">
      <c r="A422" s="587" t="str">
        <f ca="1">IFERROR(__xludf.DUMMYFUNCTION("""COMPUTED_VALUE"""),"Toàn Phát - Việt Nam")</f>
        <v>Toàn Phát - Việt Nam</v>
      </c>
      <c r="B422" s="587" t="str">
        <f ca="1">IFERROR(__xludf.DUMMYFUNCTION("""COMPUTED_VALUE"""),"ĐTPCAYDI")</f>
        <v>ĐTPCAYDI</v>
      </c>
      <c r="C422" s="587" t="str">
        <f ca="1">IFERROR(__xludf.DUMMYFUNCTION("""COMPUTED_VALUE"""),"DOT158805140")</f>
        <v>DOT158805140</v>
      </c>
      <c r="D422" s="588" t="str">
        <f ca="1">IFERROR(__xludf.DUMMYFUNCTION("""COMPUTED_VALUE"""),"Đồng ống thẳng 15.88x0.51x4.0")</f>
        <v>Đồng ống thẳng 15.88x0.51x4.0</v>
      </c>
      <c r="E422" s="589">
        <f ca="1">IFERROR(__xludf.DUMMYFUNCTION("""COMPUTED_VALUE"""),0.1)</f>
        <v>0.1</v>
      </c>
      <c r="F422" s="590" t="str">
        <f ca="1">IFERROR(__xludf.DUMMYFUNCTION("""COMPUTED_VALUE"""),"Cây")</f>
        <v>Cây</v>
      </c>
      <c r="G422" s="590" t="str">
        <f ca="1">IFERROR(__xludf.DUMMYFUNCTION("""COMPUTED_VALUE"""),"Cây 4m")</f>
        <v>Cây 4m</v>
      </c>
      <c r="H422" s="588"/>
      <c r="I422" s="591">
        <f ca="1">IFERROR(__xludf.DUMMYFUNCTION("""COMPUTED_VALUE"""),0.908662103999999)</f>
        <v>0.90866210399999903</v>
      </c>
      <c r="J422" s="592" t="str">
        <f ca="1">IFERROR(__xludf.DUMMYFUNCTION("""COMPUTED_VALUE""")," 15.88 ")</f>
        <v xml:space="preserve"> 15.88 </v>
      </c>
      <c r="K422" s="590" t="str">
        <f ca="1">IFERROR(__xludf.DUMMYFUNCTION("""COMPUTED_VALUE"""),"0.51")</f>
        <v>0.51</v>
      </c>
      <c r="L422" s="590">
        <f ca="1">IFERROR(__xludf.DUMMYFUNCTION("""COMPUTED_VALUE"""),4)</f>
        <v>4</v>
      </c>
      <c r="M422" s="590"/>
      <c r="N422" s="590" t="str">
        <f ca="1">IFERROR(__xludf.DUMMYFUNCTION("""COMPUTED_VALUE"""),"Dị_D&lt;54")</f>
        <v>Dị_D&lt;54</v>
      </c>
      <c r="O422" s="589"/>
      <c r="P422" s="590"/>
    </row>
    <row r="423" spans="1:17" ht="15.75">
      <c r="A423" s="581" t="str">
        <f ca="1">IFERROR(__xludf.DUMMYFUNCTION("""COMPUTED_VALUE"""),"Toàn Phát - Việt Nam")</f>
        <v>Toàn Phát - Việt Nam</v>
      </c>
      <c r="B423" s="581" t="str">
        <f ca="1">IFERROR(__xludf.DUMMYFUNCTION("""COMPUTED_VALUE"""),"ĐTPCAYDI")</f>
        <v>ĐTPCAYDI</v>
      </c>
      <c r="C423" s="581" t="str">
        <f ca="1">IFERROR(__xludf.DUMMYFUNCTION("""COMPUTED_VALUE"""),"DOT1588055")</f>
        <v>DOT1588055</v>
      </c>
      <c r="D423" s="582" t="str">
        <f ca="1">IFERROR(__xludf.DUMMYFUNCTION("""COMPUTED_VALUE"""),"Đồng ống thẳng 15.88x0.55")</f>
        <v>Đồng ống thẳng 15.88x0.55</v>
      </c>
      <c r="E423" s="583">
        <f ca="1">IFERROR(__xludf.DUMMYFUNCTION("""COMPUTED_VALUE"""),0.1)</f>
        <v>0.1</v>
      </c>
      <c r="F423" s="584" t="str">
        <f ca="1">IFERROR(__xludf.DUMMYFUNCTION("""COMPUTED_VALUE"""),"Cây")</f>
        <v>Cây</v>
      </c>
      <c r="G423" s="584" t="str">
        <f ca="1">IFERROR(__xludf.DUMMYFUNCTION("""COMPUTED_VALUE"""),"Cây 2.9m")</f>
        <v>Cây 2.9m</v>
      </c>
      <c r="H423" s="582" t="str">
        <f ca="1">IFERROR(__xludf.DUMMYFUNCTION("""COMPUTED_VALUE"""),"40")</f>
        <v>40</v>
      </c>
      <c r="I423" s="585">
        <f ca="1">IFERROR(__xludf.DUMMYFUNCTION("""COMPUTED_VALUE"""),0.708600123)</f>
        <v>0.70860012299999997</v>
      </c>
      <c r="J423" s="586" t="str">
        <f ca="1">IFERROR(__xludf.DUMMYFUNCTION("""COMPUTED_VALUE""")," 15.88 ")</f>
        <v xml:space="preserve"> 15.88 </v>
      </c>
      <c r="K423" s="584" t="str">
        <f ca="1">IFERROR(__xludf.DUMMYFUNCTION("""COMPUTED_VALUE"""),"0.55")</f>
        <v>0.55</v>
      </c>
      <c r="L423" s="584">
        <f ca="1">IFERROR(__xludf.DUMMYFUNCTION("""COMPUTED_VALUE"""),2.9)</f>
        <v>2.9</v>
      </c>
      <c r="M423" s="584"/>
      <c r="N423" s="584" t="str">
        <f ca="1">IFERROR(__xludf.DUMMYFUNCTION("""COMPUTED_VALUE"""),"Dị_D&lt;54")</f>
        <v>Dị_D&lt;54</v>
      </c>
      <c r="O423" s="583"/>
      <c r="P423" s="584"/>
    </row>
    <row r="424" spans="1:17" ht="15.75">
      <c r="A424" s="587" t="str">
        <f ca="1">IFERROR(__xludf.DUMMYFUNCTION("""COMPUTED_VALUE"""),"Toàn Phát - Việt Nam")</f>
        <v>Toàn Phát - Việt Nam</v>
      </c>
      <c r="B424" s="587" t="str">
        <f ca="1">IFERROR(__xludf.DUMMYFUNCTION("""COMPUTED_VALUE"""),"ĐTPCAYDI")</f>
        <v>ĐTPCAYDI</v>
      </c>
      <c r="C424" s="587" t="str">
        <f ca="1">IFERROR(__xludf.DUMMYFUNCTION("""COMPUTED_VALUE"""),"DOT158805619")</f>
        <v>DOT158805619</v>
      </c>
      <c r="D424" s="588" t="str">
        <f ca="1">IFERROR(__xludf.DUMMYFUNCTION("""COMPUTED_VALUE"""),"Đồng ống thẳng 15.88x0.56x1.9")</f>
        <v>Đồng ống thẳng 15.88x0.56x1.9</v>
      </c>
      <c r="E424" s="589">
        <f ca="1">IFERROR(__xludf.DUMMYFUNCTION("""COMPUTED_VALUE"""),0.1)</f>
        <v>0.1</v>
      </c>
      <c r="F424" s="590" t="str">
        <f ca="1">IFERROR(__xludf.DUMMYFUNCTION("""COMPUTED_VALUE"""),"Cây")</f>
        <v>Cây</v>
      </c>
      <c r="G424" s="590" t="str">
        <f ca="1">IFERROR(__xludf.DUMMYFUNCTION("""COMPUTED_VALUE"""),"Cây 1.9m")</f>
        <v>Cây 1.9m</v>
      </c>
      <c r="H424" s="588"/>
      <c r="I424" s="591">
        <f ca="1">IFERROR(__xludf.DUMMYFUNCTION("""COMPUTED_VALUE"""),0.472387910399999)</f>
        <v>0.472387910399999</v>
      </c>
      <c r="J424" s="592" t="str">
        <f ca="1">IFERROR(__xludf.DUMMYFUNCTION("""COMPUTED_VALUE""")," 15.88 ")</f>
        <v xml:space="preserve"> 15.88 </v>
      </c>
      <c r="K424" s="590" t="str">
        <f ca="1">IFERROR(__xludf.DUMMYFUNCTION("""COMPUTED_VALUE"""),"0.56")</f>
        <v>0.56</v>
      </c>
      <c r="L424" s="590">
        <f ca="1">IFERROR(__xludf.DUMMYFUNCTION("""COMPUTED_VALUE"""),1.9)</f>
        <v>1.9</v>
      </c>
      <c r="M424" s="590"/>
      <c r="N424" s="590" t="str">
        <f ca="1">IFERROR(__xludf.DUMMYFUNCTION("""COMPUTED_VALUE"""),"Dị_D&lt;54")</f>
        <v>Dị_D&lt;54</v>
      </c>
      <c r="O424" s="589"/>
      <c r="P424" s="590"/>
    </row>
    <row r="425" spans="1:17" ht="15.75">
      <c r="A425" s="581" t="str">
        <f ca="1">IFERROR(__xludf.DUMMYFUNCTION("""COMPUTED_VALUE"""),"Toàn Phát - Việt Nam")</f>
        <v>Toàn Phát - Việt Nam</v>
      </c>
      <c r="B425" s="581" t="str">
        <f ca="1">IFERROR(__xludf.DUMMYFUNCTION("""COMPUTED_VALUE"""),"ĐTPCAYDI")</f>
        <v>ĐTPCAYDI</v>
      </c>
      <c r="C425" s="581" t="str">
        <f ca="1">IFERROR(__xludf.DUMMYFUNCTION("""COMPUTED_VALUE"""),"DOT1588060")</f>
        <v>DOT1588060</v>
      </c>
      <c r="D425" s="582" t="str">
        <f ca="1">IFERROR(__xludf.DUMMYFUNCTION("""COMPUTED_VALUE"""),"Đồng ống thẳng 15.88x0.60")</f>
        <v>Đồng ống thẳng 15.88x0.60</v>
      </c>
      <c r="E425" s="583">
        <f ca="1">IFERROR(__xludf.DUMMYFUNCTION("""COMPUTED_VALUE"""),0.1)</f>
        <v>0.1</v>
      </c>
      <c r="F425" s="584" t="str">
        <f ca="1">IFERROR(__xludf.DUMMYFUNCTION("""COMPUTED_VALUE"""),"Cây")</f>
        <v>Cây</v>
      </c>
      <c r="G425" s="584" t="str">
        <f ca="1">IFERROR(__xludf.DUMMYFUNCTION("""COMPUTED_VALUE"""),"Cây 2.9m")</f>
        <v>Cây 2.9m</v>
      </c>
      <c r="H425" s="582" t="str">
        <f ca="1">IFERROR(__xludf.DUMMYFUNCTION("""COMPUTED_VALUE"""),"40")</f>
        <v>40</v>
      </c>
      <c r="I425" s="585">
        <f ca="1">IFERROR(__xludf.DUMMYFUNCTION("""COMPUTED_VALUE"""),0.770497056)</f>
        <v>0.77049705599999996</v>
      </c>
      <c r="J425" s="586" t="str">
        <f ca="1">IFERROR(__xludf.DUMMYFUNCTION("""COMPUTED_VALUE""")," 15.88 ")</f>
        <v xml:space="preserve"> 15.88 </v>
      </c>
      <c r="K425" s="584" t="str">
        <f ca="1">IFERROR(__xludf.DUMMYFUNCTION("""COMPUTED_VALUE"""),"0.60")</f>
        <v>0.60</v>
      </c>
      <c r="L425" s="584">
        <f ca="1">IFERROR(__xludf.DUMMYFUNCTION("""COMPUTED_VALUE"""),2.9)</f>
        <v>2.9</v>
      </c>
      <c r="M425" s="584"/>
      <c r="N425" s="584" t="str">
        <f ca="1">IFERROR(__xludf.DUMMYFUNCTION("""COMPUTED_VALUE"""),"Dị_D&lt;54")</f>
        <v>Dị_D&lt;54</v>
      </c>
      <c r="O425" s="583"/>
      <c r="P425" s="584"/>
    </row>
    <row r="426" spans="1:17" ht="15.75">
      <c r="A426" s="587" t="str">
        <f ca="1">IFERROR(__xludf.DUMMYFUNCTION("""COMPUTED_VALUE"""),"Toàn Phát - Việt Nam")</f>
        <v>Toàn Phát - Việt Nam</v>
      </c>
      <c r="B426" s="587" t="str">
        <f ca="1">IFERROR(__xludf.DUMMYFUNCTION("""COMPUTED_VALUE"""),"ĐTPCAYDI")</f>
        <v>ĐTPCAYDI</v>
      </c>
      <c r="C426" s="587" t="str">
        <f ca="1">IFERROR(__xludf.DUMMYFUNCTION("""COMPUTED_VALUE"""),"DOT158806016")</f>
        <v>DOT158806016</v>
      </c>
      <c r="D426" s="588" t="str">
        <f ca="1">IFERROR(__xludf.DUMMYFUNCTION("""COMPUTED_VALUE"""),"Đồng ống thẳng 15.88x0.60x1.6")</f>
        <v>Đồng ống thẳng 15.88x0.60x1.6</v>
      </c>
      <c r="E426" s="589">
        <f ca="1">IFERROR(__xludf.DUMMYFUNCTION("""COMPUTED_VALUE"""),0.1)</f>
        <v>0.1</v>
      </c>
      <c r="F426" s="590" t="str">
        <f ca="1">IFERROR(__xludf.DUMMYFUNCTION("""COMPUTED_VALUE"""),"Cây")</f>
        <v>Cây</v>
      </c>
      <c r="G426" s="590" t="str">
        <f ca="1">IFERROR(__xludf.DUMMYFUNCTION("""COMPUTED_VALUE"""),"Cây 1.6m")</f>
        <v>Cây 1.6m</v>
      </c>
      <c r="H426" s="588"/>
      <c r="I426" s="591">
        <f ca="1">IFERROR(__xludf.DUMMYFUNCTION("""COMPUTED_VALUE"""),0.425101824)</f>
        <v>0.42510182400000002</v>
      </c>
      <c r="J426" s="592" t="str">
        <f ca="1">IFERROR(__xludf.DUMMYFUNCTION("""COMPUTED_VALUE""")," 15.88 ")</f>
        <v xml:space="preserve"> 15.88 </v>
      </c>
      <c r="K426" s="590" t="str">
        <f ca="1">IFERROR(__xludf.DUMMYFUNCTION("""COMPUTED_VALUE"""),"0.60")</f>
        <v>0.60</v>
      </c>
      <c r="L426" s="590">
        <f ca="1">IFERROR(__xludf.DUMMYFUNCTION("""COMPUTED_VALUE"""),1.6)</f>
        <v>1.6</v>
      </c>
      <c r="M426" s="590"/>
      <c r="N426" s="590" t="str">
        <f ca="1">IFERROR(__xludf.DUMMYFUNCTION("""COMPUTED_VALUE"""),"Dị_D&lt;54")</f>
        <v>Dị_D&lt;54</v>
      </c>
      <c r="O426" s="589"/>
      <c r="P426" s="590"/>
    </row>
    <row r="427" spans="1:17" ht="15.75">
      <c r="A427" s="581" t="str">
        <f ca="1">IFERROR(__xludf.DUMMYFUNCTION("""COMPUTED_VALUE"""),"Toàn Phát - Việt Nam")</f>
        <v>Toàn Phát - Việt Nam</v>
      </c>
      <c r="B427" s="581" t="str">
        <f ca="1">IFERROR(__xludf.DUMMYFUNCTION("""COMPUTED_VALUE"""),"ĐTPCAYDI")</f>
        <v>ĐTPCAYDI</v>
      </c>
      <c r="C427" s="581" t="str">
        <f ca="1">IFERROR(__xludf.DUMMYFUNCTION("""COMPUTED_VALUE"""),"DOT158806058")</f>
        <v>DOT158806058</v>
      </c>
      <c r="D427" s="582" t="str">
        <f ca="1">IFERROR(__xludf.DUMMYFUNCTION("""COMPUTED_VALUE"""),"Đồng ống thẳng 15.88x0.60x5.8")</f>
        <v>Đồng ống thẳng 15.88x0.60x5.8</v>
      </c>
      <c r="E427" s="583">
        <f ca="1">IFERROR(__xludf.DUMMYFUNCTION("""COMPUTED_VALUE"""),0.1)</f>
        <v>0.1</v>
      </c>
      <c r="F427" s="584" t="str">
        <f ca="1">IFERROR(__xludf.DUMMYFUNCTION("""COMPUTED_VALUE"""),"Cây")</f>
        <v>Cây</v>
      </c>
      <c r="G427" s="584" t="str">
        <f ca="1">IFERROR(__xludf.DUMMYFUNCTION("""COMPUTED_VALUE"""),"Cây 5.8m")</f>
        <v>Cây 5.8m</v>
      </c>
      <c r="H427" s="582"/>
      <c r="I427" s="585">
        <f ca="1">IFERROR(__xludf.DUMMYFUNCTION("""COMPUTED_VALUE"""),1.540994112)</f>
        <v>1.5409941119999999</v>
      </c>
      <c r="J427" s="586" t="str">
        <f ca="1">IFERROR(__xludf.DUMMYFUNCTION("""COMPUTED_VALUE""")," 15.88 ")</f>
        <v xml:space="preserve"> 15.88 </v>
      </c>
      <c r="K427" s="584" t="str">
        <f ca="1">IFERROR(__xludf.DUMMYFUNCTION("""COMPUTED_VALUE"""),"0.60")</f>
        <v>0.60</v>
      </c>
      <c r="L427" s="584">
        <f ca="1">IFERROR(__xludf.DUMMYFUNCTION("""COMPUTED_VALUE"""),5.8)</f>
        <v>5.8</v>
      </c>
      <c r="M427" s="584"/>
      <c r="N427" s="584" t="str">
        <f ca="1">IFERROR(__xludf.DUMMYFUNCTION("""COMPUTED_VALUE"""),"Dị_D&lt;54")</f>
        <v>Dị_D&lt;54</v>
      </c>
      <c r="O427" s="583"/>
      <c r="P427" s="584"/>
    </row>
    <row r="428" spans="1:17" ht="15.75">
      <c r="A428" s="587" t="str">
        <f ca="1">IFERROR(__xludf.DUMMYFUNCTION("""COMPUTED_VALUE"""),"Toàn Phát - Việt Nam")</f>
        <v>Toàn Phát - Việt Nam</v>
      </c>
      <c r="B428" s="587" t="str">
        <f ca="1">IFERROR(__xludf.DUMMYFUNCTION("""COMPUTED_VALUE"""),"ĐTPCAYDD")</f>
        <v>ĐTPCAYDD</v>
      </c>
      <c r="C428" s="587" t="str">
        <f ca="1">IFERROR(__xludf.DUMMYFUNCTION("""COMPUTED_VALUE"""),"DOT1588061")</f>
        <v>DOT1588061</v>
      </c>
      <c r="D428" s="588" t="str">
        <f ca="1">IFERROR(__xludf.DUMMYFUNCTION("""COMPUTED_VALUE"""),"Đồng ống thẳng 15.88x0.61")</f>
        <v>Đồng ống thẳng 15.88x0.61</v>
      </c>
      <c r="E428" s="589">
        <f ca="1">IFERROR(__xludf.DUMMYFUNCTION("""COMPUTED_VALUE"""),0.1)</f>
        <v>0.1</v>
      </c>
      <c r="F428" s="590" t="str">
        <f ca="1">IFERROR(__xludf.DUMMYFUNCTION("""COMPUTED_VALUE"""),"Cây")</f>
        <v>Cây</v>
      </c>
      <c r="G428" s="590" t="str">
        <f ca="1">IFERROR(__xludf.DUMMYFUNCTION("""COMPUTED_VALUE"""),"Cây 2.9m")</f>
        <v>Cây 2.9m</v>
      </c>
      <c r="H428" s="588" t="str">
        <f ca="1">IFERROR(__xludf.DUMMYFUNCTION("""COMPUTED_VALUE"""),"40")</f>
        <v>40</v>
      </c>
      <c r="I428" s="591">
        <f ca="1">IFERROR(__xludf.DUMMYFUNCTION("""COMPUTED_VALUE"""),0.7828260174)</f>
        <v>0.78282601740000002</v>
      </c>
      <c r="J428" s="592" t="str">
        <f ca="1">IFERROR(__xludf.DUMMYFUNCTION("""COMPUTED_VALUE""")," 15.88 ")</f>
        <v xml:space="preserve"> 15.88 </v>
      </c>
      <c r="K428" s="590" t="str">
        <f ca="1">IFERROR(__xludf.DUMMYFUNCTION("""COMPUTED_VALUE"""),"0.61")</f>
        <v>0.61</v>
      </c>
      <c r="L428" s="590">
        <f ca="1">IFERROR(__xludf.DUMMYFUNCTION("""COMPUTED_VALUE"""),2.9)</f>
        <v>2.9</v>
      </c>
      <c r="M428" s="590"/>
      <c r="N428" s="590" t="str">
        <f ca="1">IFERROR(__xludf.DUMMYFUNCTION("""COMPUTED_VALUE"""),"Không")</f>
        <v>Không</v>
      </c>
      <c r="O428" s="589"/>
      <c r="P428" s="590"/>
      <c r="Q428" s="885">
        <f ca="1">+$Q$5*I428</f>
        <v>180.04998400199997</v>
      </c>
    </row>
    <row r="429" spans="1:17" ht="15.75">
      <c r="A429" s="581" t="str">
        <f ca="1">IFERROR(__xludf.DUMMYFUNCTION("""COMPUTED_VALUE"""),"Toàn Phát - Việt Nam")</f>
        <v>Toàn Phát - Việt Nam</v>
      </c>
      <c r="B429" s="581" t="str">
        <f ca="1">IFERROR(__xludf.DUMMYFUNCTION("""COMPUTED_VALUE"""),"ĐTPCAYDI")</f>
        <v>ĐTPCAYDI</v>
      </c>
      <c r="C429" s="581" t="str">
        <f ca="1">IFERROR(__xludf.DUMMYFUNCTION("""COMPUTED_VALUE"""),"DOT1588061193")</f>
        <v>DOT1588061193</v>
      </c>
      <c r="D429" s="582" t="str">
        <f ca="1">IFERROR(__xludf.DUMMYFUNCTION("""COMPUTED_VALUE"""),"Đồng ống thẳng 15.88x0.61x1.93")</f>
        <v>Đồng ống thẳng 15.88x0.61x1.93</v>
      </c>
      <c r="E429" s="583">
        <f ca="1">IFERROR(__xludf.DUMMYFUNCTION("""COMPUTED_VALUE"""),0.1)</f>
        <v>0.1</v>
      </c>
      <c r="F429" s="584" t="str">
        <f ca="1">IFERROR(__xludf.DUMMYFUNCTION("""COMPUTED_VALUE"""),"Cây")</f>
        <v>Cây</v>
      </c>
      <c r="G429" s="584" t="str">
        <f ca="1">IFERROR(__xludf.DUMMYFUNCTION("""COMPUTED_VALUE"""),"Cây 1.93m")</f>
        <v>Cây 1.93m</v>
      </c>
      <c r="H429" s="582"/>
      <c r="I429" s="585">
        <f ca="1">IFERROR(__xludf.DUMMYFUNCTION("""COMPUTED_VALUE"""),0.52098421158)</f>
        <v>0.52098421157999997</v>
      </c>
      <c r="J429" s="586" t="str">
        <f ca="1">IFERROR(__xludf.DUMMYFUNCTION("""COMPUTED_VALUE""")," 15.88 ")</f>
        <v xml:space="preserve"> 15.88 </v>
      </c>
      <c r="K429" s="584" t="str">
        <f ca="1">IFERROR(__xludf.DUMMYFUNCTION("""COMPUTED_VALUE"""),"0.61")</f>
        <v>0.61</v>
      </c>
      <c r="L429" s="584">
        <f ca="1">IFERROR(__xludf.DUMMYFUNCTION("""COMPUTED_VALUE"""),1.93)</f>
        <v>1.93</v>
      </c>
      <c r="M429" s="584"/>
      <c r="N429" s="584" t="str">
        <f ca="1">IFERROR(__xludf.DUMMYFUNCTION("""COMPUTED_VALUE"""),"Dị_D&lt;54")</f>
        <v>Dị_D&lt;54</v>
      </c>
      <c r="O429" s="583"/>
      <c r="P429" s="584"/>
    </row>
    <row r="430" spans="1:17" ht="15.75">
      <c r="A430" s="587" t="str">
        <f ca="1">IFERROR(__xludf.DUMMYFUNCTION("""COMPUTED_VALUE"""),"Toàn Phát - Việt Nam")</f>
        <v>Toàn Phát - Việt Nam</v>
      </c>
      <c r="B430" s="587" t="str">
        <f ca="1">IFERROR(__xludf.DUMMYFUNCTION("""COMPUTED_VALUE"""),"ĐTPCAYDI")</f>
        <v>ĐTPCAYDI</v>
      </c>
      <c r="C430" s="587" t="str">
        <f ca="1">IFERROR(__xludf.DUMMYFUNCTION("""COMPUTED_VALUE"""),"DOT158806132")</f>
        <v>DOT158806132</v>
      </c>
      <c r="D430" s="588" t="str">
        <f ca="1">IFERROR(__xludf.DUMMYFUNCTION("""COMPUTED_VALUE"""),"Đồng ống thẳng 15.88x0.61x3.2")</f>
        <v>Đồng ống thẳng 15.88x0.61x3.2</v>
      </c>
      <c r="E430" s="589">
        <f ca="1">IFERROR(__xludf.DUMMYFUNCTION("""COMPUTED_VALUE"""),0.1)</f>
        <v>0.1</v>
      </c>
      <c r="F430" s="590" t="str">
        <f ca="1">IFERROR(__xludf.DUMMYFUNCTION("""COMPUTED_VALUE"""),"Cây")</f>
        <v>Cây</v>
      </c>
      <c r="G430" s="590" t="str">
        <f ca="1">IFERROR(__xludf.DUMMYFUNCTION("""COMPUTED_VALUE"""),"Cây 3.2m")</f>
        <v>Cây 3.2m</v>
      </c>
      <c r="H430" s="588"/>
      <c r="I430" s="591">
        <f ca="1">IFERROR(__xludf.DUMMYFUNCTION("""COMPUTED_VALUE"""),0.8638080192)</f>
        <v>0.86380801920000005</v>
      </c>
      <c r="J430" s="592" t="str">
        <f ca="1">IFERROR(__xludf.DUMMYFUNCTION("""COMPUTED_VALUE""")," 15.88 ")</f>
        <v xml:space="preserve"> 15.88 </v>
      </c>
      <c r="K430" s="590" t="str">
        <f ca="1">IFERROR(__xludf.DUMMYFUNCTION("""COMPUTED_VALUE"""),"0.61")</f>
        <v>0.61</v>
      </c>
      <c r="L430" s="590">
        <f ca="1">IFERROR(__xludf.DUMMYFUNCTION("""COMPUTED_VALUE"""),3.2)</f>
        <v>3.2</v>
      </c>
      <c r="M430" s="590"/>
      <c r="N430" s="590" t="str">
        <f ca="1">IFERROR(__xludf.DUMMYFUNCTION("""COMPUTED_VALUE"""),"Dị_D&lt;54")</f>
        <v>Dị_D&lt;54</v>
      </c>
      <c r="O430" s="589"/>
      <c r="P430" s="590"/>
    </row>
    <row r="431" spans="1:17" ht="15.75">
      <c r="A431" s="581" t="str">
        <f ca="1">IFERROR(__xludf.DUMMYFUNCTION("""COMPUTED_VALUE"""),"Toàn Phát - Việt Nam")</f>
        <v>Toàn Phát - Việt Nam</v>
      </c>
      <c r="B431" s="581" t="str">
        <f ca="1">IFERROR(__xludf.DUMMYFUNCTION("""COMPUTED_VALUE"""),"ĐTPCAYDI")</f>
        <v>ĐTPCAYDI</v>
      </c>
      <c r="C431" s="581" t="str">
        <f ca="1">IFERROR(__xludf.DUMMYFUNCTION("""COMPUTED_VALUE"""),"DOT1588061387")</f>
        <v>DOT1588061387</v>
      </c>
      <c r="D431" s="582" t="str">
        <f ca="1">IFERROR(__xludf.DUMMYFUNCTION("""COMPUTED_VALUE"""),"Đồng ống thẳng 15.88x0.61x3.87")</f>
        <v>Đồng ống thẳng 15.88x0.61x3.87</v>
      </c>
      <c r="E431" s="583">
        <f ca="1">IFERROR(__xludf.DUMMYFUNCTION("""COMPUTED_VALUE"""),0.1)</f>
        <v>0.1</v>
      </c>
      <c r="F431" s="584" t="str">
        <f ca="1">IFERROR(__xludf.DUMMYFUNCTION("""COMPUTED_VALUE"""),"Cây")</f>
        <v>Cây</v>
      </c>
      <c r="G431" s="584" t="str">
        <f ca="1">IFERROR(__xludf.DUMMYFUNCTION("""COMPUTED_VALUE"""),"Cây 3.87m")</f>
        <v>Cây 3.87m</v>
      </c>
      <c r="H431" s="582"/>
      <c r="I431" s="585">
        <f ca="1">IFERROR(__xludf.DUMMYFUNCTION("""COMPUTED_VALUE"""),1.04466782322)</f>
        <v>1.04466782322</v>
      </c>
      <c r="J431" s="586" t="str">
        <f ca="1">IFERROR(__xludf.DUMMYFUNCTION("""COMPUTED_VALUE""")," 15.88 ")</f>
        <v xml:space="preserve"> 15.88 </v>
      </c>
      <c r="K431" s="584" t="str">
        <f ca="1">IFERROR(__xludf.DUMMYFUNCTION("""COMPUTED_VALUE"""),"0.61")</f>
        <v>0.61</v>
      </c>
      <c r="L431" s="584">
        <f ca="1">IFERROR(__xludf.DUMMYFUNCTION("""COMPUTED_VALUE"""),3.87)</f>
        <v>3.87</v>
      </c>
      <c r="M431" s="584"/>
      <c r="N431" s="584" t="str">
        <f ca="1">IFERROR(__xludf.DUMMYFUNCTION("""COMPUTED_VALUE"""),"Dị_D&lt;54")</f>
        <v>Dị_D&lt;54</v>
      </c>
      <c r="O431" s="583"/>
      <c r="P431" s="584"/>
    </row>
    <row r="432" spans="1:17" ht="15.75">
      <c r="A432" s="587" t="str">
        <f ca="1">IFERROR(__xludf.DUMMYFUNCTION("""COMPUTED_VALUE"""),"Toàn Phát - Việt Nam")</f>
        <v>Toàn Phát - Việt Nam</v>
      </c>
      <c r="B432" s="587" t="str">
        <f ca="1">IFERROR(__xludf.DUMMYFUNCTION("""COMPUTED_VALUE"""),"ĐTPCAYDI")</f>
        <v>ĐTPCAYDI</v>
      </c>
      <c r="C432" s="587" t="str">
        <f ca="1">IFERROR(__xludf.DUMMYFUNCTION("""COMPUTED_VALUE"""),"DOT158806141")</f>
        <v>DOT158806141</v>
      </c>
      <c r="D432" s="588" t="str">
        <f ca="1">IFERROR(__xludf.DUMMYFUNCTION("""COMPUTED_VALUE"""),"Đồng ống thẳng 15.88x0.61x4.1")</f>
        <v>Đồng ống thẳng 15.88x0.61x4.1</v>
      </c>
      <c r="E432" s="589">
        <f ca="1">IFERROR(__xludf.DUMMYFUNCTION("""COMPUTED_VALUE"""),0.1)</f>
        <v>0.1</v>
      </c>
      <c r="F432" s="590" t="str">
        <f ca="1">IFERROR(__xludf.DUMMYFUNCTION("""COMPUTED_VALUE"""),"Cây")</f>
        <v>Cây</v>
      </c>
      <c r="G432" s="590" t="str">
        <f ca="1">IFERROR(__xludf.DUMMYFUNCTION("""COMPUTED_VALUE"""),"Cây 4.1m")</f>
        <v>Cây 4.1m</v>
      </c>
      <c r="H432" s="588"/>
      <c r="I432" s="591">
        <f ca="1">IFERROR(__xludf.DUMMYFUNCTION("""COMPUTED_VALUE"""),1.1067540246)</f>
        <v>1.1067540246000001</v>
      </c>
      <c r="J432" s="592" t="str">
        <f ca="1">IFERROR(__xludf.DUMMYFUNCTION("""COMPUTED_VALUE""")," 15.88 ")</f>
        <v xml:space="preserve"> 15.88 </v>
      </c>
      <c r="K432" s="590" t="str">
        <f ca="1">IFERROR(__xludf.DUMMYFUNCTION("""COMPUTED_VALUE"""),"0.61")</f>
        <v>0.61</v>
      </c>
      <c r="L432" s="590">
        <f ca="1">IFERROR(__xludf.DUMMYFUNCTION("""COMPUTED_VALUE"""),4.1)</f>
        <v>4.0999999999999996</v>
      </c>
      <c r="M432" s="590"/>
      <c r="N432" s="590" t="str">
        <f ca="1">IFERROR(__xludf.DUMMYFUNCTION("""COMPUTED_VALUE"""),"Dị_D&lt;54")</f>
        <v>Dị_D&lt;54</v>
      </c>
      <c r="O432" s="589"/>
      <c r="P432" s="590"/>
    </row>
    <row r="433" spans="1:17" ht="15.75">
      <c r="A433" s="581" t="str">
        <f ca="1">IFERROR(__xludf.DUMMYFUNCTION("""COMPUTED_VALUE"""),"Toàn Phát - Việt Nam")</f>
        <v>Toàn Phát - Việt Nam</v>
      </c>
      <c r="B433" s="581" t="str">
        <f ca="1">IFERROR(__xludf.DUMMYFUNCTION("""COMPUTED_VALUE"""),"ĐTPCAYDI")</f>
        <v>ĐTPCAYDI</v>
      </c>
      <c r="C433" s="581" t="str">
        <f ca="1">IFERROR(__xludf.DUMMYFUNCTION("""COMPUTED_VALUE"""),"DOT158806558")</f>
        <v>DOT158806558</v>
      </c>
      <c r="D433" s="582" t="str">
        <f ca="1">IFERROR(__xludf.DUMMYFUNCTION("""COMPUTED_VALUE"""),"Đồng ống thẳng 15.88x0.65x5.8")</f>
        <v>Đồng ống thẳng 15.88x0.65x5.8</v>
      </c>
      <c r="E433" s="583">
        <f ca="1">IFERROR(__xludf.DUMMYFUNCTION("""COMPUTED_VALUE"""),0.1)</f>
        <v>0.1</v>
      </c>
      <c r="F433" s="584" t="str">
        <f ca="1">IFERROR(__xludf.DUMMYFUNCTION("""COMPUTED_VALUE"""),"Cây")</f>
        <v>Cây</v>
      </c>
      <c r="G433" s="584" t="str">
        <f ca="1">IFERROR(__xludf.DUMMYFUNCTION("""COMPUTED_VALUE"""),"Cây 5.8m")</f>
        <v>Cây 5.8m</v>
      </c>
      <c r="H433" s="582"/>
      <c r="I433" s="585">
        <f ca="1">IFERROR(__xludf.DUMMYFUNCTION("""COMPUTED_VALUE"""),1.66394755799999)</f>
        <v>1.6639475579999901</v>
      </c>
      <c r="J433" s="586" t="str">
        <f ca="1">IFERROR(__xludf.DUMMYFUNCTION("""COMPUTED_VALUE""")," 15.88 ")</f>
        <v xml:space="preserve"> 15.88 </v>
      </c>
      <c r="K433" s="584" t="str">
        <f ca="1">IFERROR(__xludf.DUMMYFUNCTION("""COMPUTED_VALUE"""),"0.65")</f>
        <v>0.65</v>
      </c>
      <c r="L433" s="584">
        <f ca="1">IFERROR(__xludf.DUMMYFUNCTION("""COMPUTED_VALUE"""),5.8)</f>
        <v>5.8</v>
      </c>
      <c r="M433" s="584"/>
      <c r="N433" s="584" t="str">
        <f ca="1">IFERROR(__xludf.DUMMYFUNCTION("""COMPUTED_VALUE"""),"Dị_D&lt;54")</f>
        <v>Dị_D&lt;54</v>
      </c>
      <c r="O433" s="583"/>
      <c r="P433" s="584"/>
    </row>
    <row r="434" spans="1:17" ht="15.75">
      <c r="A434" s="587" t="str">
        <f ca="1">IFERROR(__xludf.DUMMYFUNCTION("""COMPUTED_VALUE"""),"Toàn Phát - Việt Nam")</f>
        <v>Toàn Phát - Việt Nam</v>
      </c>
      <c r="B434" s="587" t="str">
        <f ca="1">IFERROR(__xludf.DUMMYFUNCTION("""COMPUTED_VALUE"""),"ĐTPCAYDI")</f>
        <v>ĐTPCAYDI</v>
      </c>
      <c r="C434" s="587" t="str">
        <f ca="1">IFERROR(__xludf.DUMMYFUNCTION("""COMPUTED_VALUE"""),"DOT1588070")</f>
        <v>DOT1588070</v>
      </c>
      <c r="D434" s="588" t="str">
        <f ca="1">IFERROR(__xludf.DUMMYFUNCTION("""COMPUTED_VALUE"""),"Đồng ống thẳng 15.88x0.70")</f>
        <v>Đồng ống thẳng 15.88x0.70</v>
      </c>
      <c r="E434" s="589">
        <f ca="1">IFERROR(__xludf.DUMMYFUNCTION("""COMPUTED_VALUE"""),0.1)</f>
        <v>0.1</v>
      </c>
      <c r="F434" s="590" t="str">
        <f ca="1">IFERROR(__xludf.DUMMYFUNCTION("""COMPUTED_VALUE"""),"Cây")</f>
        <v>Cây</v>
      </c>
      <c r="G434" s="590" t="str">
        <f ca="1">IFERROR(__xludf.DUMMYFUNCTION("""COMPUTED_VALUE"""),"Cây 2.9m")</f>
        <v>Cây 2.9m</v>
      </c>
      <c r="H434" s="588"/>
      <c r="I434" s="591">
        <f ca="1">IFERROR(__xludf.DUMMYFUNCTION("""COMPUTED_VALUE"""),0.893030292)</f>
        <v>0.89303029199999995</v>
      </c>
      <c r="J434" s="592" t="str">
        <f ca="1">IFERROR(__xludf.DUMMYFUNCTION("""COMPUTED_VALUE""")," 15.88 ")</f>
        <v xml:space="preserve"> 15.88 </v>
      </c>
      <c r="K434" s="590" t="str">
        <f ca="1">IFERROR(__xludf.DUMMYFUNCTION("""COMPUTED_VALUE"""),"0.70")</f>
        <v>0.70</v>
      </c>
      <c r="L434" s="590">
        <f ca="1">IFERROR(__xludf.DUMMYFUNCTION("""COMPUTED_VALUE"""),2.9)</f>
        <v>2.9</v>
      </c>
      <c r="M434" s="590"/>
      <c r="N434" s="590" t="str">
        <f ca="1">IFERROR(__xludf.DUMMYFUNCTION("""COMPUTED_VALUE"""),"Dị_D&lt;54")</f>
        <v>Dị_D&lt;54</v>
      </c>
      <c r="O434" s="589"/>
      <c r="P434" s="590"/>
    </row>
    <row r="435" spans="1:17" ht="15.75">
      <c r="A435" s="581" t="str">
        <f ca="1">IFERROR(__xludf.DUMMYFUNCTION("""COMPUTED_VALUE"""),"Toàn Phát - Việt Nam")</f>
        <v>Toàn Phát - Việt Nam</v>
      </c>
      <c r="B435" s="581" t="str">
        <f ca="1">IFERROR(__xludf.DUMMYFUNCTION("""COMPUTED_VALUE"""),"ĐTPCAYDD")</f>
        <v>ĐTPCAYDD</v>
      </c>
      <c r="C435" s="581" t="str">
        <f ca="1">IFERROR(__xludf.DUMMYFUNCTION("""COMPUTED_VALUE"""),"DOT1588071")</f>
        <v>DOT1588071</v>
      </c>
      <c r="D435" s="582" t="str">
        <f ca="1">IFERROR(__xludf.DUMMYFUNCTION("""COMPUTED_VALUE"""),"Đồng ống thẳng 15.88x0.71")</f>
        <v>Đồng ống thẳng 15.88x0.71</v>
      </c>
      <c r="E435" s="583">
        <f ca="1">IFERROR(__xludf.DUMMYFUNCTION("""COMPUTED_VALUE"""),0.1)</f>
        <v>0.1</v>
      </c>
      <c r="F435" s="584" t="str">
        <f ca="1">IFERROR(__xludf.DUMMYFUNCTION("""COMPUTED_VALUE"""),"Cây")</f>
        <v>Cây</v>
      </c>
      <c r="G435" s="584" t="str">
        <f ca="1">IFERROR(__xludf.DUMMYFUNCTION("""COMPUTED_VALUE"""),"Cây 2.9m")</f>
        <v>Cây 2.9m</v>
      </c>
      <c r="H435" s="582" t="str">
        <f ca="1">IFERROR(__xludf.DUMMYFUNCTION("""COMPUTED_VALUE"""),"40")</f>
        <v>40</v>
      </c>
      <c r="I435" s="585">
        <f ca="1">IFERROR(__xludf.DUMMYFUNCTION("""COMPUTED_VALUE"""),0.9051911694)</f>
        <v>0.9051911694</v>
      </c>
      <c r="J435" s="586" t="str">
        <f ca="1">IFERROR(__xludf.DUMMYFUNCTION("""COMPUTED_VALUE""")," 15.88 ")</f>
        <v xml:space="preserve"> 15.88 </v>
      </c>
      <c r="K435" s="584" t="str">
        <f ca="1">IFERROR(__xludf.DUMMYFUNCTION("""COMPUTED_VALUE"""),"0.71")</f>
        <v>0.71</v>
      </c>
      <c r="L435" s="584">
        <f ca="1">IFERROR(__xludf.DUMMYFUNCTION("""COMPUTED_VALUE"""),2.9)</f>
        <v>2.9</v>
      </c>
      <c r="M435" s="584"/>
      <c r="N435" s="584" t="str">
        <f ca="1">IFERROR(__xludf.DUMMYFUNCTION("""COMPUTED_VALUE"""),"Không")</f>
        <v>Không</v>
      </c>
      <c r="O435" s="583"/>
      <c r="P435" s="584"/>
      <c r="Q435" s="885">
        <f ca="1">+$Q$5*I435</f>
        <v>208.19396896199999</v>
      </c>
    </row>
    <row r="436" spans="1:17" ht="15.75">
      <c r="A436" s="587" t="str">
        <f ca="1">IFERROR(__xludf.DUMMYFUNCTION("""COMPUTED_VALUE"""),"Toàn Phát - Việt Nam")</f>
        <v>Toàn Phát - Việt Nam</v>
      </c>
      <c r="B436" s="587" t="str">
        <f ca="1">IFERROR(__xludf.DUMMYFUNCTION("""COMPUTED_VALUE"""),"ĐTPCAYDI")</f>
        <v>ĐTPCAYDI</v>
      </c>
      <c r="C436" s="587" t="str">
        <f ca="1">IFERROR(__xludf.DUMMYFUNCTION("""COMPUTED_VALUE"""),"DOT1588071193")</f>
        <v>DOT1588071193</v>
      </c>
      <c r="D436" s="588" t="str">
        <f ca="1">IFERROR(__xludf.DUMMYFUNCTION("""COMPUTED_VALUE"""),"Đồng ống thẳng 15.88x0.71x1.93")</f>
        <v>Đồng ống thẳng 15.88x0.71x1.93</v>
      </c>
      <c r="E436" s="589">
        <f ca="1">IFERROR(__xludf.DUMMYFUNCTION("""COMPUTED_VALUE"""),0.1)</f>
        <v>0.1</v>
      </c>
      <c r="F436" s="590" t="str">
        <f ca="1">IFERROR(__xludf.DUMMYFUNCTION("""COMPUTED_VALUE"""),"Cây")</f>
        <v>Cây</v>
      </c>
      <c r="G436" s="590" t="str">
        <f ca="1">IFERROR(__xludf.DUMMYFUNCTION("""COMPUTED_VALUE"""),"Cây 1.93m")</f>
        <v>Cây 1.93m</v>
      </c>
      <c r="H436" s="588"/>
      <c r="I436" s="591">
        <f ca="1">IFERROR(__xludf.DUMMYFUNCTION("""COMPUTED_VALUE"""),0.60242032998)</f>
        <v>0.60242032997999995</v>
      </c>
      <c r="J436" s="592" t="str">
        <f ca="1">IFERROR(__xludf.DUMMYFUNCTION("""COMPUTED_VALUE""")," 15.88 ")</f>
        <v xml:space="preserve"> 15.88 </v>
      </c>
      <c r="K436" s="590" t="str">
        <f ca="1">IFERROR(__xludf.DUMMYFUNCTION("""COMPUTED_VALUE"""),"0.71")</f>
        <v>0.71</v>
      </c>
      <c r="L436" s="590">
        <f ca="1">IFERROR(__xludf.DUMMYFUNCTION("""COMPUTED_VALUE"""),1.93)</f>
        <v>1.93</v>
      </c>
      <c r="M436" s="590"/>
      <c r="N436" s="590" t="str">
        <f ca="1">IFERROR(__xludf.DUMMYFUNCTION("""COMPUTED_VALUE"""),"Dị_D&lt;54")</f>
        <v>Dị_D&lt;54</v>
      </c>
      <c r="O436" s="589"/>
      <c r="P436" s="590"/>
    </row>
    <row r="437" spans="1:17" ht="15.75">
      <c r="A437" s="581" t="str">
        <f ca="1">IFERROR(__xludf.DUMMYFUNCTION("""COMPUTED_VALUE"""),"Toàn Phát - Việt Nam")</f>
        <v>Toàn Phát - Việt Nam</v>
      </c>
      <c r="B437" s="581" t="str">
        <f ca="1">IFERROR(__xludf.DUMMYFUNCTION("""COMPUTED_VALUE"""),"ĐTPCAYDI")</f>
        <v>ĐTPCAYDI</v>
      </c>
      <c r="C437" s="581" t="str">
        <f ca="1">IFERROR(__xludf.DUMMYFUNCTION("""COMPUTED_VALUE"""),"DOT158807158")</f>
        <v>DOT158807158</v>
      </c>
      <c r="D437" s="582" t="str">
        <f ca="1">IFERROR(__xludf.DUMMYFUNCTION("""COMPUTED_VALUE"""),"Đồng ống thẳng 15.88x0.71x5.8")</f>
        <v>Đồng ống thẳng 15.88x0.71x5.8</v>
      </c>
      <c r="E437" s="583">
        <f ca="1">IFERROR(__xludf.DUMMYFUNCTION("""COMPUTED_VALUE"""),0.1)</f>
        <v>0.1</v>
      </c>
      <c r="F437" s="584" t="str">
        <f ca="1">IFERROR(__xludf.DUMMYFUNCTION("""COMPUTED_VALUE"""),"Cây")</f>
        <v>Cây</v>
      </c>
      <c r="G437" s="584" t="str">
        <f ca="1">IFERROR(__xludf.DUMMYFUNCTION("""COMPUTED_VALUE"""),"Cây 5.8m")</f>
        <v>Cây 5.8m</v>
      </c>
      <c r="H437" s="582"/>
      <c r="I437" s="585">
        <f ca="1">IFERROR(__xludf.DUMMYFUNCTION("""COMPUTED_VALUE"""),1.8103823388)</f>
        <v>1.8103823388</v>
      </c>
      <c r="J437" s="586" t="str">
        <f ca="1">IFERROR(__xludf.DUMMYFUNCTION("""COMPUTED_VALUE""")," 15.88 ")</f>
        <v xml:space="preserve"> 15.88 </v>
      </c>
      <c r="K437" s="584" t="str">
        <f ca="1">IFERROR(__xludf.DUMMYFUNCTION("""COMPUTED_VALUE"""),"0.71")</f>
        <v>0.71</v>
      </c>
      <c r="L437" s="584">
        <f ca="1">IFERROR(__xludf.DUMMYFUNCTION("""COMPUTED_VALUE"""),5.8)</f>
        <v>5.8</v>
      </c>
      <c r="M437" s="584"/>
      <c r="N437" s="584" t="str">
        <f ca="1">IFERROR(__xludf.DUMMYFUNCTION("""COMPUTED_VALUE"""),"Dị_D&lt;54")</f>
        <v>Dị_D&lt;54</v>
      </c>
      <c r="O437" s="583"/>
      <c r="P437" s="584"/>
    </row>
    <row r="438" spans="1:17" ht="15.75">
      <c r="A438" s="587" t="str">
        <f ca="1">IFERROR(__xludf.DUMMYFUNCTION("""COMPUTED_VALUE"""),"Toàn Phát - Việt Nam")</f>
        <v>Toàn Phát - Việt Nam</v>
      </c>
      <c r="B438" s="587" t="str">
        <f ca="1">IFERROR(__xludf.DUMMYFUNCTION("""COMPUTED_VALUE"""),"ĐTPCAYDI")</f>
        <v>ĐTPCAYDI</v>
      </c>
      <c r="C438" s="587" t="str">
        <f ca="1">IFERROR(__xludf.DUMMYFUNCTION("""COMPUTED_VALUE"""),"DOT1588080")</f>
        <v>DOT1588080</v>
      </c>
      <c r="D438" s="588" t="str">
        <f ca="1">IFERROR(__xludf.DUMMYFUNCTION("""COMPUTED_VALUE"""),"Đồng ống thẳng 15.88x0.80")</f>
        <v>Đồng ống thẳng 15.88x0.80</v>
      </c>
      <c r="E438" s="589">
        <f ca="1">IFERROR(__xludf.DUMMYFUNCTION("""COMPUTED_VALUE"""),0.1)</f>
        <v>0.1</v>
      </c>
      <c r="F438" s="590" t="str">
        <f ca="1">IFERROR(__xludf.DUMMYFUNCTION("""COMPUTED_VALUE"""),"Cây")</f>
        <v>Cây</v>
      </c>
      <c r="G438" s="590" t="str">
        <f ca="1">IFERROR(__xludf.DUMMYFUNCTION("""COMPUTED_VALUE"""),"Cây 2.9m")</f>
        <v>Cây 2.9m</v>
      </c>
      <c r="H438" s="588"/>
      <c r="I438" s="591">
        <f ca="1">IFERROR(__xludf.DUMMYFUNCTION("""COMPUTED_VALUE"""),1.01388268799999)</f>
        <v>1.01388268799999</v>
      </c>
      <c r="J438" s="592" t="str">
        <f ca="1">IFERROR(__xludf.DUMMYFUNCTION("""COMPUTED_VALUE""")," 15.88 ")</f>
        <v xml:space="preserve"> 15.88 </v>
      </c>
      <c r="K438" s="590" t="str">
        <f ca="1">IFERROR(__xludf.DUMMYFUNCTION("""COMPUTED_VALUE"""),"0.80")</f>
        <v>0.80</v>
      </c>
      <c r="L438" s="590">
        <f ca="1">IFERROR(__xludf.DUMMYFUNCTION("""COMPUTED_VALUE"""),2.9)</f>
        <v>2.9</v>
      </c>
      <c r="M438" s="590"/>
      <c r="N438" s="590" t="str">
        <f ca="1">IFERROR(__xludf.DUMMYFUNCTION("""COMPUTED_VALUE"""),"Ít bán")</f>
        <v>Ít bán</v>
      </c>
      <c r="O438" s="589"/>
      <c r="P438" s="590"/>
      <c r="Q438" s="885">
        <f ca="1">+$Q$5*I438</f>
        <v>233.19301823999768</v>
      </c>
    </row>
    <row r="439" spans="1:17" ht="15.75">
      <c r="A439" s="581" t="str">
        <f ca="1">IFERROR(__xludf.DUMMYFUNCTION("""COMPUTED_VALUE"""),"Toàn Phát - Việt Nam")</f>
        <v>Toàn Phát - Việt Nam</v>
      </c>
      <c r="B439" s="581" t="str">
        <f ca="1">IFERROR(__xludf.DUMMYFUNCTION("""COMPUTED_VALUE"""),"ĐTPCAYDI")</f>
        <v>ĐTPCAYDI</v>
      </c>
      <c r="C439" s="581" t="str">
        <f ca="1">IFERROR(__xludf.DUMMYFUNCTION("""COMPUTED_VALUE"""),"DOT1588081387")</f>
        <v>DOT1588081387</v>
      </c>
      <c r="D439" s="582" t="str">
        <f ca="1">IFERROR(__xludf.DUMMYFUNCTION("""COMPUTED_VALUE"""),"Đồng ống thẳng 15.88x0.81x3.87")</f>
        <v>Đồng ống thẳng 15.88x0.81x3.87</v>
      </c>
      <c r="E439" s="583">
        <f ca="1">IFERROR(__xludf.DUMMYFUNCTION("""COMPUTED_VALUE"""),0.1)</f>
        <v>0.1</v>
      </c>
      <c r="F439" s="584" t="str">
        <f ca="1">IFERROR(__xludf.DUMMYFUNCTION("""COMPUTED_VALUE"""),"Cây")</f>
        <v>Cây</v>
      </c>
      <c r="G439" s="584" t="str">
        <f ca="1">IFERROR(__xludf.DUMMYFUNCTION("""COMPUTED_VALUE"""),"Cây 3.87m")</f>
        <v>Cây 3.87m</v>
      </c>
      <c r="H439" s="582"/>
      <c r="I439" s="585">
        <f ca="1">IFERROR(__xludf.DUMMYFUNCTION("""COMPUTED_VALUE"""),1.36901314242)</f>
        <v>1.3690131424200001</v>
      </c>
      <c r="J439" s="586" t="str">
        <f ca="1">IFERROR(__xludf.DUMMYFUNCTION("""COMPUTED_VALUE""")," 15.88 ")</f>
        <v xml:space="preserve"> 15.88 </v>
      </c>
      <c r="K439" s="584" t="str">
        <f ca="1">IFERROR(__xludf.DUMMYFUNCTION("""COMPUTED_VALUE"""),"0.81")</f>
        <v>0.81</v>
      </c>
      <c r="L439" s="584">
        <f ca="1">IFERROR(__xludf.DUMMYFUNCTION("""COMPUTED_VALUE"""),3.87)</f>
        <v>3.87</v>
      </c>
      <c r="M439" s="584"/>
      <c r="N439" s="584" t="str">
        <f ca="1">IFERROR(__xludf.DUMMYFUNCTION("""COMPUTED_VALUE"""),"Dị_D&lt;54")</f>
        <v>Dị_D&lt;54</v>
      </c>
      <c r="O439" s="583"/>
      <c r="P439" s="584"/>
    </row>
    <row r="440" spans="1:17" ht="15.75">
      <c r="A440" s="587" t="str">
        <f ca="1">IFERROR(__xludf.DUMMYFUNCTION("""COMPUTED_VALUE"""),"Toàn Phát - Việt Nam")</f>
        <v>Toàn Phát - Việt Nam</v>
      </c>
      <c r="B440" s="587" t="str">
        <f ca="1">IFERROR(__xludf.DUMMYFUNCTION("""COMPUTED_VALUE"""),"ĐTPCAYIB")</f>
        <v>ĐTPCAYIB</v>
      </c>
      <c r="C440" s="587" t="str">
        <f ca="1">IFERROR(__xludf.DUMMYFUNCTION("""COMPUTED_VALUE"""),"DOT1588081")</f>
        <v>DOT1588081</v>
      </c>
      <c r="D440" s="588" t="str">
        <f ca="1">IFERROR(__xludf.DUMMYFUNCTION("""COMPUTED_VALUE"""),"Đồng ống thẳng 15.88x0.81")</f>
        <v>Đồng ống thẳng 15.88x0.81</v>
      </c>
      <c r="E440" s="589">
        <f ca="1">IFERROR(__xludf.DUMMYFUNCTION("""COMPUTED_VALUE"""),0.1)</f>
        <v>0.1</v>
      </c>
      <c r="F440" s="590" t="str">
        <f ca="1">IFERROR(__xludf.DUMMYFUNCTION("""COMPUTED_VALUE"""),"Cây")</f>
        <v>Cây</v>
      </c>
      <c r="G440" s="590" t="str">
        <f ca="1">IFERROR(__xludf.DUMMYFUNCTION("""COMPUTED_VALUE"""),"Cây 2.9m")</f>
        <v>Cây 2.9m</v>
      </c>
      <c r="H440" s="588" t="str">
        <f ca="1">IFERROR(__xludf.DUMMYFUNCTION("""COMPUTED_VALUE"""),"40")</f>
        <v>40</v>
      </c>
      <c r="I440" s="591">
        <f ca="1">IFERROR(__xludf.DUMMYFUNCTION("""COMPUTED_VALUE"""),1.0258754814)</f>
        <v>1.0258754814</v>
      </c>
      <c r="J440" s="592" t="str">
        <f ca="1">IFERROR(__xludf.DUMMYFUNCTION("""COMPUTED_VALUE""")," 15.88 ")</f>
        <v xml:space="preserve"> 15.88 </v>
      </c>
      <c r="K440" s="590" t="str">
        <f ca="1">IFERROR(__xludf.DUMMYFUNCTION("""COMPUTED_VALUE"""),"0.81")</f>
        <v>0.81</v>
      </c>
      <c r="L440" s="590">
        <f ca="1">IFERROR(__xludf.DUMMYFUNCTION("""COMPUTED_VALUE"""),2.9)</f>
        <v>2.9</v>
      </c>
      <c r="M440" s="590"/>
      <c r="N440" s="590" t="str">
        <f ca="1">IFERROR(__xludf.DUMMYFUNCTION("""COMPUTED_VALUE"""),"Dị_D&lt;54")</f>
        <v>Dị_D&lt;54</v>
      </c>
      <c r="O440" s="589">
        <f ca="1">IFERROR(__xludf.DUMMYFUNCTION("""COMPUTED_VALUE"""),1)</f>
        <v>1</v>
      </c>
      <c r="P440" s="590"/>
    </row>
    <row r="441" spans="1:17" ht="15.75">
      <c r="A441" s="581" t="str">
        <f ca="1">IFERROR(__xludf.DUMMYFUNCTION("""COMPUTED_VALUE"""),"Toàn Phát - Việt Nam")</f>
        <v>Toàn Phát - Việt Nam</v>
      </c>
      <c r="B441" s="581" t="str">
        <f ca="1">IFERROR(__xludf.DUMMYFUNCTION("""COMPUTED_VALUE"""),"ĐTPCAYDI")</f>
        <v>ĐTPCAYDI</v>
      </c>
      <c r="C441" s="581" t="str">
        <f ca="1">IFERROR(__xludf.DUMMYFUNCTION("""COMPUTED_VALUE"""),"DOT158808529")</f>
        <v>DOT158808529</v>
      </c>
      <c r="D441" s="582" t="str">
        <f ca="1">IFERROR(__xludf.DUMMYFUNCTION("""COMPUTED_VALUE"""),"Đồng ống thẳng 15.88x0.85x2.9")</f>
        <v>Đồng ống thẳng 15.88x0.85x2.9</v>
      </c>
      <c r="E441" s="583">
        <f ca="1">IFERROR(__xludf.DUMMYFUNCTION("""COMPUTED_VALUE"""),0.1)</f>
        <v>0.1</v>
      </c>
      <c r="F441" s="584" t="str">
        <f ca="1">IFERROR(__xludf.DUMMYFUNCTION("""COMPUTED_VALUE"""),"Cây")</f>
        <v>Cây</v>
      </c>
      <c r="G441" s="584" t="str">
        <f ca="1">IFERROR(__xludf.DUMMYFUNCTION("""COMPUTED_VALUE"""),"Cây 2.9m")</f>
        <v>Cây 2.9m</v>
      </c>
      <c r="H441" s="582"/>
      <c r="I441" s="585">
        <f ca="1">IFERROR(__xludf.DUMMYFUNCTION("""COMPUTED_VALUE"""),1.07367857099999)</f>
        <v>1.0736785709999901</v>
      </c>
      <c r="J441" s="586" t="str">
        <f ca="1">IFERROR(__xludf.DUMMYFUNCTION("""COMPUTED_VALUE""")," 15.88 ")</f>
        <v xml:space="preserve"> 15.88 </v>
      </c>
      <c r="K441" s="584" t="str">
        <f ca="1">IFERROR(__xludf.DUMMYFUNCTION("""COMPUTED_VALUE"""),"0.85")</f>
        <v>0.85</v>
      </c>
      <c r="L441" s="584">
        <f ca="1">IFERROR(__xludf.DUMMYFUNCTION("""COMPUTED_VALUE"""),2.9)</f>
        <v>2.9</v>
      </c>
      <c r="M441" s="584"/>
      <c r="N441" s="584" t="str">
        <f ca="1">IFERROR(__xludf.DUMMYFUNCTION("""COMPUTED_VALUE"""),"Dị_D&lt;54")</f>
        <v>Dị_D&lt;54</v>
      </c>
      <c r="O441" s="583"/>
      <c r="P441" s="584"/>
    </row>
    <row r="442" spans="1:17" ht="15.75">
      <c r="A442" s="587" t="str">
        <f ca="1">IFERROR(__xludf.DUMMYFUNCTION("""COMPUTED_VALUE"""),"Toàn Phát - Việt Nam")</f>
        <v>Toàn Phát - Việt Nam</v>
      </c>
      <c r="B442" s="587" t="str">
        <f ca="1">IFERROR(__xludf.DUMMYFUNCTION("""COMPUTED_VALUE"""),"ĐTPCAYDI")</f>
        <v>ĐTPCAYDI</v>
      </c>
      <c r="C442" s="587" t="str">
        <f ca="1">IFERROR(__xludf.DUMMYFUNCTION("""COMPUTED_VALUE"""),"DOT158808558")</f>
        <v>DOT158808558</v>
      </c>
      <c r="D442" s="588" t="str">
        <f ca="1">IFERROR(__xludf.DUMMYFUNCTION("""COMPUTED_VALUE"""),"Đồng ống thẳng 15.88x0.85x5.8")</f>
        <v>Đồng ống thẳng 15.88x0.85x5.8</v>
      </c>
      <c r="E442" s="589">
        <f ca="1">IFERROR(__xludf.DUMMYFUNCTION("""COMPUTED_VALUE"""),0.1)</f>
        <v>0.1</v>
      </c>
      <c r="F442" s="590" t="str">
        <f ca="1">IFERROR(__xludf.DUMMYFUNCTION("""COMPUTED_VALUE"""),"Cây")</f>
        <v>Cây</v>
      </c>
      <c r="G442" s="590" t="str">
        <f ca="1">IFERROR(__xludf.DUMMYFUNCTION("""COMPUTED_VALUE"""),"Cây 5.8m")</f>
        <v>Cây 5.8m</v>
      </c>
      <c r="H442" s="588"/>
      <c r="I442" s="591">
        <f ca="1">IFERROR(__xludf.DUMMYFUNCTION("""COMPUTED_VALUE"""),2.14735714199999)</f>
        <v>2.1473571419999899</v>
      </c>
      <c r="J442" s="592" t="str">
        <f ca="1">IFERROR(__xludf.DUMMYFUNCTION("""COMPUTED_VALUE""")," 15.88 ")</f>
        <v xml:space="preserve"> 15.88 </v>
      </c>
      <c r="K442" s="590" t="str">
        <f ca="1">IFERROR(__xludf.DUMMYFUNCTION("""COMPUTED_VALUE"""),"0.85")</f>
        <v>0.85</v>
      </c>
      <c r="L442" s="590">
        <f ca="1">IFERROR(__xludf.DUMMYFUNCTION("""COMPUTED_VALUE"""),5.8)</f>
        <v>5.8</v>
      </c>
      <c r="M442" s="590"/>
      <c r="N442" s="590" t="str">
        <f ca="1">IFERROR(__xludf.DUMMYFUNCTION("""COMPUTED_VALUE"""),"Dị_D&lt;54")</f>
        <v>Dị_D&lt;54</v>
      </c>
      <c r="O442" s="589"/>
      <c r="P442" s="590"/>
    </row>
    <row r="443" spans="1:17" ht="15.75">
      <c r="A443" s="581" t="str">
        <f ca="1">IFERROR(__xludf.DUMMYFUNCTION("""COMPUTED_VALUE"""),"Toàn Phát - Việt Nam")</f>
        <v>Toàn Phát - Việt Nam</v>
      </c>
      <c r="B443" s="581" t="str">
        <f ca="1">IFERROR(__xludf.DUMMYFUNCTION("""COMPUTED_VALUE"""),"ĐTPCAYDI")</f>
        <v>ĐTPCAYDI</v>
      </c>
      <c r="C443" s="581" t="str">
        <f ca="1">IFERROR(__xludf.DUMMYFUNCTION("""COMPUTED_VALUE"""),"DOT1588090")</f>
        <v>DOT1588090</v>
      </c>
      <c r="D443" s="582" t="str">
        <f ca="1">IFERROR(__xludf.DUMMYFUNCTION("""COMPUTED_VALUE"""),"Đồng ống thẳng 15.88x0.90")</f>
        <v>Đồng ống thẳng 15.88x0.90</v>
      </c>
      <c r="E443" s="583">
        <f ca="1">IFERROR(__xludf.DUMMYFUNCTION("""COMPUTED_VALUE"""),0.1)</f>
        <v>0.1</v>
      </c>
      <c r="F443" s="584" t="str">
        <f ca="1">IFERROR(__xludf.DUMMYFUNCTION("""COMPUTED_VALUE"""),"Cây")</f>
        <v>Cây</v>
      </c>
      <c r="G443" s="584" t="str">
        <f ca="1">IFERROR(__xludf.DUMMYFUNCTION("""COMPUTED_VALUE"""),"Cây 2.9m")</f>
        <v>Cây 2.9m</v>
      </c>
      <c r="H443" s="582" t="str">
        <f ca="1">IFERROR(__xludf.DUMMYFUNCTION("""COMPUTED_VALUE"""),"40")</f>
        <v>40</v>
      </c>
      <c r="I443" s="585">
        <f ca="1">IFERROR(__xludf.DUMMYFUNCTION("""COMPUTED_VALUE"""),1.133054244)</f>
        <v>1.133054244</v>
      </c>
      <c r="J443" s="586" t="str">
        <f ca="1">IFERROR(__xludf.DUMMYFUNCTION("""COMPUTED_VALUE""")," 15.88 ")</f>
        <v xml:space="preserve"> 15.88 </v>
      </c>
      <c r="K443" s="584" t="str">
        <f ca="1">IFERROR(__xludf.DUMMYFUNCTION("""COMPUTED_VALUE"""),"0.90")</f>
        <v>0.90</v>
      </c>
      <c r="L443" s="584">
        <f ca="1">IFERROR(__xludf.DUMMYFUNCTION("""COMPUTED_VALUE"""),2.9)</f>
        <v>2.9</v>
      </c>
      <c r="M443" s="584"/>
      <c r="N443" s="584" t="str">
        <f ca="1">IFERROR(__xludf.DUMMYFUNCTION("""COMPUTED_VALUE"""),"Dị_D&lt;54")</f>
        <v>Dị_D&lt;54</v>
      </c>
      <c r="O443" s="583"/>
      <c r="P443" s="584"/>
    </row>
    <row r="444" spans="1:17" ht="15.75">
      <c r="A444" s="587" t="str">
        <f ca="1">IFERROR(__xludf.DUMMYFUNCTION("""COMPUTED_VALUE"""),"Toàn Phát - Việt Nam")</f>
        <v>Toàn Phát - Việt Nam</v>
      </c>
      <c r="B444" s="587" t="str">
        <f ca="1">IFERROR(__xludf.DUMMYFUNCTION("""COMPUTED_VALUE"""),"ĐTPCAYDI")</f>
        <v>ĐTPCAYDI</v>
      </c>
      <c r="C444" s="587" t="str">
        <f ca="1">IFERROR(__xludf.DUMMYFUNCTION("""COMPUTED_VALUE"""),"DOT158809158")</f>
        <v>DOT158809158</v>
      </c>
      <c r="D444" s="588" t="str">
        <f ca="1">IFERROR(__xludf.DUMMYFUNCTION("""COMPUTED_VALUE"""),"Đồng ống thẳng 15.88x0.91x5.8")</f>
        <v>Đồng ống thẳng 15.88x0.91x5.8</v>
      </c>
      <c r="E444" s="589">
        <f ca="1">IFERROR(__xludf.DUMMYFUNCTION("""COMPUTED_VALUE"""),0.1)</f>
        <v>0.1</v>
      </c>
      <c r="F444" s="590" t="str">
        <f ca="1">IFERROR(__xludf.DUMMYFUNCTION("""COMPUTED_VALUE"""),"Cây")</f>
        <v>Cây</v>
      </c>
      <c r="G444" s="590" t="str">
        <f ca="1">IFERROR(__xludf.DUMMYFUNCTION("""COMPUTED_VALUE"""),"Cây 5.8m")</f>
        <v>Cây 5.8m</v>
      </c>
      <c r="H444" s="588"/>
      <c r="I444" s="591">
        <f ca="1">IFERROR(__xludf.DUMMYFUNCTION("""COMPUTED_VALUE"""),2.2897579068)</f>
        <v>2.2897579067999998</v>
      </c>
      <c r="J444" s="592" t="str">
        <f ca="1">IFERROR(__xludf.DUMMYFUNCTION("""COMPUTED_VALUE""")," 15.88 ")</f>
        <v xml:space="preserve"> 15.88 </v>
      </c>
      <c r="K444" s="590" t="str">
        <f ca="1">IFERROR(__xludf.DUMMYFUNCTION("""COMPUTED_VALUE"""),"0.91")</f>
        <v>0.91</v>
      </c>
      <c r="L444" s="590">
        <f ca="1">IFERROR(__xludf.DUMMYFUNCTION("""COMPUTED_VALUE"""),5.8)</f>
        <v>5.8</v>
      </c>
      <c r="M444" s="590"/>
      <c r="N444" s="590" t="str">
        <f ca="1">IFERROR(__xludf.DUMMYFUNCTION("""COMPUTED_VALUE"""),"Dị_D&lt;54")</f>
        <v>Dị_D&lt;54</v>
      </c>
      <c r="O444" s="589"/>
      <c r="P444" s="590"/>
    </row>
    <row r="445" spans="1:17" ht="15.75">
      <c r="A445" s="581" t="str">
        <f ca="1">IFERROR(__xludf.DUMMYFUNCTION("""COMPUTED_VALUE"""),"Toàn Phát - Việt Nam")</f>
        <v>Toàn Phát - Việt Nam</v>
      </c>
      <c r="B445" s="581" t="str">
        <f ca="1">IFERROR(__xludf.DUMMYFUNCTION("""COMPUTED_VALUE"""),"ĐTPCAYDI")</f>
        <v>ĐTPCAYDI</v>
      </c>
      <c r="C445" s="581" t="str">
        <f ca="1">IFERROR(__xludf.DUMMYFUNCTION("""COMPUTED_VALUE"""),"DOT1588095")</f>
        <v>DOT1588095</v>
      </c>
      <c r="D445" s="582" t="str">
        <f ca="1">IFERROR(__xludf.DUMMYFUNCTION("""COMPUTED_VALUE"""),"Đồng ống thẳng 15.88x0.95")</f>
        <v>Đồng ống thẳng 15.88x0.95</v>
      </c>
      <c r="E445" s="583">
        <f ca="1">IFERROR(__xludf.DUMMYFUNCTION("""COMPUTED_VALUE"""),0.1)</f>
        <v>0.1</v>
      </c>
      <c r="F445" s="584" t="str">
        <f ca="1">IFERROR(__xludf.DUMMYFUNCTION("""COMPUTED_VALUE"""),"Cây")</f>
        <v>Cây</v>
      </c>
      <c r="G445" s="584" t="str">
        <f ca="1">IFERROR(__xludf.DUMMYFUNCTION("""COMPUTED_VALUE"""),"Cây 2.9m")</f>
        <v>Cây 2.9m</v>
      </c>
      <c r="H445" s="582" t="str">
        <f ca="1">IFERROR(__xludf.DUMMYFUNCTION("""COMPUTED_VALUE"""),"40")</f>
        <v>40</v>
      </c>
      <c r="I445" s="585">
        <f ca="1">IFERROR(__xludf.DUMMYFUNCTION("""COMPUTED_VALUE"""),1.192009707)</f>
        <v>1.192009707</v>
      </c>
      <c r="J445" s="586" t="str">
        <f ca="1">IFERROR(__xludf.DUMMYFUNCTION("""COMPUTED_VALUE""")," 15.88 ")</f>
        <v xml:space="preserve"> 15.88 </v>
      </c>
      <c r="K445" s="584" t="str">
        <f ca="1">IFERROR(__xludf.DUMMYFUNCTION("""COMPUTED_VALUE"""),"0.95")</f>
        <v>0.95</v>
      </c>
      <c r="L445" s="584">
        <f ca="1">IFERROR(__xludf.DUMMYFUNCTION("""COMPUTED_VALUE"""),2.9)</f>
        <v>2.9</v>
      </c>
      <c r="M445" s="584"/>
      <c r="N445" s="584" t="str">
        <f ca="1">IFERROR(__xludf.DUMMYFUNCTION("""COMPUTED_VALUE"""),"Dị_D&lt;54")</f>
        <v>Dị_D&lt;54</v>
      </c>
      <c r="O445" s="583"/>
      <c r="P445" s="584"/>
    </row>
    <row r="446" spans="1:17" ht="15.75">
      <c r="A446" s="587" t="str">
        <f ca="1">IFERROR(__xludf.DUMMYFUNCTION("""COMPUTED_VALUE"""),"Toàn Phát - Việt Nam")</f>
        <v>Toàn Phát - Việt Nam</v>
      </c>
      <c r="B446" s="587" t="str">
        <f ca="1">IFERROR(__xludf.DUMMYFUNCTION("""COMPUTED_VALUE"""),"ĐTPCAYDI")</f>
        <v>ĐTPCAYDI</v>
      </c>
      <c r="C446" s="587" t="str">
        <f ca="1">IFERROR(__xludf.DUMMYFUNCTION("""COMPUTED_VALUE"""),"DOT158809558")</f>
        <v>DOT158809558</v>
      </c>
      <c r="D446" s="588" t="str">
        <f ca="1">IFERROR(__xludf.DUMMYFUNCTION("""COMPUTED_VALUE"""),"Đồng ống thẳng 15.88x0.95x5.8")</f>
        <v>Đồng ống thẳng 15.88x0.95x5.8</v>
      </c>
      <c r="E446" s="589">
        <f ca="1">IFERROR(__xludf.DUMMYFUNCTION("""COMPUTED_VALUE"""),0.1)</f>
        <v>0.1</v>
      </c>
      <c r="F446" s="590" t="str">
        <f ca="1">IFERROR(__xludf.DUMMYFUNCTION("""COMPUTED_VALUE"""),"Cây")</f>
        <v>Cây</v>
      </c>
      <c r="G446" s="590" t="str">
        <f ca="1">IFERROR(__xludf.DUMMYFUNCTION("""COMPUTED_VALUE"""),"Cây 5.8m")</f>
        <v>Cây 5.8m</v>
      </c>
      <c r="H446" s="588"/>
      <c r="I446" s="591">
        <f ca="1">IFERROR(__xludf.DUMMYFUNCTION("""COMPUTED_VALUE"""),2.384019414)</f>
        <v>2.3840194139999999</v>
      </c>
      <c r="J446" s="592" t="str">
        <f ca="1">IFERROR(__xludf.DUMMYFUNCTION("""COMPUTED_VALUE""")," 15.88 ")</f>
        <v xml:space="preserve"> 15.88 </v>
      </c>
      <c r="K446" s="590" t="str">
        <f ca="1">IFERROR(__xludf.DUMMYFUNCTION("""COMPUTED_VALUE"""),"0.95")</f>
        <v>0.95</v>
      </c>
      <c r="L446" s="590">
        <f ca="1">IFERROR(__xludf.DUMMYFUNCTION("""COMPUTED_VALUE"""),5.8)</f>
        <v>5.8</v>
      </c>
      <c r="M446" s="590"/>
      <c r="N446" s="590" t="str">
        <f ca="1">IFERROR(__xludf.DUMMYFUNCTION("""COMPUTED_VALUE"""),"Dị_D&lt;54")</f>
        <v>Dị_D&lt;54</v>
      </c>
      <c r="O446" s="589"/>
      <c r="P446" s="590"/>
    </row>
    <row r="447" spans="1:17" ht="15.75">
      <c r="A447" s="581" t="str">
        <f ca="1">IFERROR(__xludf.DUMMYFUNCTION("""COMPUTED_VALUE"""),"Toàn Phát - Việt Nam")</f>
        <v>Toàn Phát - Việt Nam</v>
      </c>
      <c r="B447" s="581" t="str">
        <f ca="1">IFERROR(__xludf.DUMMYFUNCTION("""COMPUTED_VALUE"""),"ĐTPCAYDI")</f>
        <v>ĐTPCAYDI</v>
      </c>
      <c r="C447" s="581" t="str">
        <f ca="1">IFERROR(__xludf.DUMMYFUNCTION("""COMPUTED_VALUE"""),"DOT158809858")</f>
        <v>DOT158809858</v>
      </c>
      <c r="D447" s="582" t="str">
        <f ca="1">IFERROR(__xludf.DUMMYFUNCTION("""COMPUTED_VALUE"""),"Đồng ống thẳng 15.88x0.98x5.8")</f>
        <v>Đồng ống thẳng 15.88x0.98x5.8</v>
      </c>
      <c r="E447" s="583">
        <f ca="1">IFERROR(__xludf.DUMMYFUNCTION("""COMPUTED_VALUE"""),0.1)</f>
        <v>0.1</v>
      </c>
      <c r="F447" s="584" t="str">
        <f ca="1">IFERROR(__xludf.DUMMYFUNCTION("""COMPUTED_VALUE"""),"Cây")</f>
        <v>Cây</v>
      </c>
      <c r="G447" s="584" t="str">
        <f ca="1">IFERROR(__xludf.DUMMYFUNCTION("""COMPUTED_VALUE"""),"Cây 5.8m")</f>
        <v>Cây 5.8m</v>
      </c>
      <c r="H447" s="582"/>
      <c r="I447" s="585">
        <f ca="1">IFERROR(__xludf.DUMMYFUNCTION("""COMPUTED_VALUE"""),2.45436256799999)</f>
        <v>2.4543625679999899</v>
      </c>
      <c r="J447" s="586" t="str">
        <f ca="1">IFERROR(__xludf.DUMMYFUNCTION("""COMPUTED_VALUE""")," 15.88 ")</f>
        <v xml:space="preserve"> 15.88 </v>
      </c>
      <c r="K447" s="584" t="str">
        <f ca="1">IFERROR(__xludf.DUMMYFUNCTION("""COMPUTED_VALUE"""),"0.98")</f>
        <v>0.98</v>
      </c>
      <c r="L447" s="584">
        <f ca="1">IFERROR(__xludf.DUMMYFUNCTION("""COMPUTED_VALUE"""),5.8)</f>
        <v>5.8</v>
      </c>
      <c r="M447" s="584"/>
      <c r="N447" s="584" t="str">
        <f ca="1">IFERROR(__xludf.DUMMYFUNCTION("""COMPUTED_VALUE"""),"Dị_D&lt;54")</f>
        <v>Dị_D&lt;54</v>
      </c>
      <c r="O447" s="583"/>
      <c r="P447" s="584"/>
    </row>
    <row r="448" spans="1:17" ht="15.75">
      <c r="A448" s="587" t="str">
        <f ca="1">IFERROR(__xludf.DUMMYFUNCTION("""COMPUTED_VALUE"""),"Toàn Phát - Việt Nam")</f>
        <v>Toàn Phát - Việt Nam</v>
      </c>
      <c r="B448" s="587" t="str">
        <f ca="1">IFERROR(__xludf.DUMMYFUNCTION("""COMPUTED_VALUE"""),"ĐTPCAYDI")</f>
        <v>ĐTPCAYDI</v>
      </c>
      <c r="C448" s="587" t="str">
        <f ca="1">IFERROR(__xludf.DUMMYFUNCTION("""COMPUTED_VALUE"""),"DOT158810030")</f>
        <v>DOT158810030</v>
      </c>
      <c r="D448" s="588" t="str">
        <f ca="1">IFERROR(__xludf.DUMMYFUNCTION("""COMPUTED_VALUE"""),"Đồng ống thẳng 15.88x1.00x3.0")</f>
        <v>Đồng ống thẳng 15.88x1.00x3.0</v>
      </c>
      <c r="E448" s="589">
        <f ca="1">IFERROR(__xludf.DUMMYFUNCTION("""COMPUTED_VALUE"""),0.1)</f>
        <v>0.1</v>
      </c>
      <c r="F448" s="590" t="str">
        <f ca="1">IFERROR(__xludf.DUMMYFUNCTION("""COMPUTED_VALUE"""),"Cây")</f>
        <v>Cây</v>
      </c>
      <c r="G448" s="590" t="str">
        <f ca="1">IFERROR(__xludf.DUMMYFUNCTION("""COMPUTED_VALUE"""),"Cây 3m")</f>
        <v>Cây 3m</v>
      </c>
      <c r="H448" s="588"/>
      <c r="I448" s="591">
        <f ca="1">IFERROR(__xludf.DUMMYFUNCTION("""COMPUTED_VALUE"""),1.29366719999999)</f>
        <v>1.29366719999999</v>
      </c>
      <c r="J448" s="592" t="str">
        <f ca="1">IFERROR(__xludf.DUMMYFUNCTION("""COMPUTED_VALUE""")," 15.88 ")</f>
        <v xml:space="preserve"> 15.88 </v>
      </c>
      <c r="K448" s="590" t="str">
        <f ca="1">IFERROR(__xludf.DUMMYFUNCTION("""COMPUTED_VALUE"""),"1.00")</f>
        <v>1.00</v>
      </c>
      <c r="L448" s="590">
        <f ca="1">IFERROR(__xludf.DUMMYFUNCTION("""COMPUTED_VALUE"""),3)</f>
        <v>3</v>
      </c>
      <c r="M448" s="590"/>
      <c r="N448" s="590" t="str">
        <f ca="1">IFERROR(__xludf.DUMMYFUNCTION("""COMPUTED_VALUE"""),"Dị_D&lt;54")</f>
        <v>Dị_D&lt;54</v>
      </c>
      <c r="O448" s="589"/>
      <c r="P448" s="590"/>
    </row>
    <row r="449" spans="1:17" ht="15.75">
      <c r="A449" s="581" t="str">
        <f ca="1">IFERROR(__xludf.DUMMYFUNCTION("""COMPUTED_VALUE"""),"Toàn Phát - Việt Nam")</f>
        <v>Toàn Phát - Việt Nam</v>
      </c>
      <c r="B449" s="581" t="str">
        <f ca="1">IFERROR(__xludf.DUMMYFUNCTION("""COMPUTED_VALUE"""),"ĐTPCAYDI")</f>
        <v>ĐTPCAYDI</v>
      </c>
      <c r="C449" s="581" t="str">
        <f ca="1">IFERROR(__xludf.DUMMYFUNCTION("""COMPUTED_VALUE"""),"DOT15881058")</f>
        <v>DOT15881058</v>
      </c>
      <c r="D449" s="582" t="str">
        <f ca="1">IFERROR(__xludf.DUMMYFUNCTION("""COMPUTED_VALUE"""),"Đồng ống thẳng 15.88x1x5.8")</f>
        <v>Đồng ống thẳng 15.88x1x5.8</v>
      </c>
      <c r="E449" s="583">
        <f ca="1">IFERROR(__xludf.DUMMYFUNCTION("""COMPUTED_VALUE"""),0.1)</f>
        <v>0.1</v>
      </c>
      <c r="F449" s="584" t="str">
        <f ca="1">IFERROR(__xludf.DUMMYFUNCTION("""COMPUTED_VALUE"""),"Cây")</f>
        <v>Cây</v>
      </c>
      <c r="G449" s="584" t="str">
        <f ca="1">IFERROR(__xludf.DUMMYFUNCTION("""COMPUTED_VALUE"""),"Cây 5.8m")</f>
        <v>Cây 5.8m</v>
      </c>
      <c r="H449" s="582"/>
      <c r="I449" s="585">
        <f ca="1">IFERROR(__xludf.DUMMYFUNCTION("""COMPUTED_VALUE"""),2.50108991999999)</f>
        <v>2.5010899199999899</v>
      </c>
      <c r="J449" s="586" t="str">
        <f ca="1">IFERROR(__xludf.DUMMYFUNCTION("""COMPUTED_VALUE""")," 15.88 ")</f>
        <v xml:space="preserve"> 15.88 </v>
      </c>
      <c r="K449" s="584" t="str">
        <f ca="1">IFERROR(__xludf.DUMMYFUNCTION("""COMPUTED_VALUE"""),"1.00")</f>
        <v>1.00</v>
      </c>
      <c r="L449" s="584">
        <f ca="1">IFERROR(__xludf.DUMMYFUNCTION("""COMPUTED_VALUE"""),5.8)</f>
        <v>5.8</v>
      </c>
      <c r="M449" s="584"/>
      <c r="N449" s="584" t="str">
        <f ca="1">IFERROR(__xludf.DUMMYFUNCTION("""COMPUTED_VALUE"""),"Dị_D&lt;54")</f>
        <v>Dị_D&lt;54</v>
      </c>
      <c r="O449" s="583"/>
      <c r="P449" s="584"/>
    </row>
    <row r="450" spans="1:17" ht="15.75">
      <c r="A450" s="587" t="str">
        <f ca="1">IFERROR(__xludf.DUMMYFUNCTION("""COMPUTED_VALUE"""),"Toàn Phát - Việt Nam")</f>
        <v>Toàn Phát - Việt Nam</v>
      </c>
      <c r="B450" s="587" t="str">
        <f ca="1">IFERROR(__xludf.DUMMYFUNCTION("""COMPUTED_VALUE"""),"ĐTPCAYIB")</f>
        <v>ĐTPCAYIB</v>
      </c>
      <c r="C450" s="587" t="str">
        <f ca="1">IFERROR(__xludf.DUMMYFUNCTION("""COMPUTED_VALUE"""),"DOT1588100")</f>
        <v>DOT1588100</v>
      </c>
      <c r="D450" s="588" t="str">
        <f ca="1">IFERROR(__xludf.DUMMYFUNCTION("""COMPUTED_VALUE"""),"Đồng ống thẳng 15.88x1.00")</f>
        <v>Đồng ống thẳng 15.88x1.00</v>
      </c>
      <c r="E450" s="589">
        <f ca="1">IFERROR(__xludf.DUMMYFUNCTION("""COMPUTED_VALUE"""),0.1)</f>
        <v>0.1</v>
      </c>
      <c r="F450" s="590" t="str">
        <f ca="1">IFERROR(__xludf.DUMMYFUNCTION("""COMPUTED_VALUE"""),"Cây")</f>
        <v>Cây</v>
      </c>
      <c r="G450" s="590" t="str">
        <f ca="1">IFERROR(__xludf.DUMMYFUNCTION("""COMPUTED_VALUE"""),"Cây 2.9m")</f>
        <v>Cây 2.9m</v>
      </c>
      <c r="H450" s="588" t="str">
        <f ca="1">IFERROR(__xludf.DUMMYFUNCTION("""COMPUTED_VALUE"""),"40")</f>
        <v>40</v>
      </c>
      <c r="I450" s="591">
        <f ca="1">IFERROR(__xludf.DUMMYFUNCTION("""COMPUTED_VALUE"""),1.25054495999999)</f>
        <v>1.25054495999999</v>
      </c>
      <c r="J450" s="592" t="str">
        <f ca="1">IFERROR(__xludf.DUMMYFUNCTION("""COMPUTED_VALUE""")," 15.88 ")</f>
        <v xml:space="preserve"> 15.88 </v>
      </c>
      <c r="K450" s="590" t="str">
        <f ca="1">IFERROR(__xludf.DUMMYFUNCTION("""COMPUTED_VALUE"""),"1.00")</f>
        <v>1.00</v>
      </c>
      <c r="L450" s="590">
        <f ca="1">IFERROR(__xludf.DUMMYFUNCTION("""COMPUTED_VALUE"""),2.9)</f>
        <v>2.9</v>
      </c>
      <c r="M450" s="590"/>
      <c r="N450" s="590" t="str">
        <f ca="1">IFERROR(__xludf.DUMMYFUNCTION("""COMPUTED_VALUE"""),"Ít bán")</f>
        <v>Ít bán</v>
      </c>
      <c r="O450" s="589"/>
      <c r="P450" s="590"/>
      <c r="Q450" s="885">
        <f ca="1">+$Q$5*I450</f>
        <v>287.62534079999767</v>
      </c>
    </row>
    <row r="451" spans="1:17" ht="15.75">
      <c r="A451" s="581" t="str">
        <f ca="1">IFERROR(__xludf.DUMMYFUNCTION("""COMPUTED_VALUE"""),"Toàn Phát - Việt Nam")</f>
        <v>Toàn Phát - Việt Nam</v>
      </c>
      <c r="B451" s="581" t="str">
        <f ca="1">IFERROR(__xludf.DUMMYFUNCTION("""COMPUTED_VALUE"""),"ĐTPCAYDI")</f>
        <v>ĐTPCAYDI</v>
      </c>
      <c r="C451" s="581" t="str">
        <f ca="1">IFERROR(__xludf.DUMMYFUNCTION("""COMPUTED_VALUE"""),"DOT1588102")</f>
        <v>DOT1588102</v>
      </c>
      <c r="D451" s="582" t="str">
        <f ca="1">IFERROR(__xludf.DUMMYFUNCTION("""COMPUTED_VALUE"""),"Đồng ống thẳng 15.88x1.02")</f>
        <v>Đồng ống thẳng 15.88x1.02</v>
      </c>
      <c r="E451" s="583">
        <f ca="1">IFERROR(__xludf.DUMMYFUNCTION("""COMPUTED_VALUE"""),0.1)</f>
        <v>0.1</v>
      </c>
      <c r="F451" s="584" t="str">
        <f ca="1">IFERROR(__xludf.DUMMYFUNCTION("""COMPUTED_VALUE"""),"Cây")</f>
        <v>Cây</v>
      </c>
      <c r="G451" s="584" t="str">
        <f ca="1">IFERROR(__xludf.DUMMYFUNCTION("""COMPUTED_VALUE"""),"Cây 2.9m")</f>
        <v>Cây 2.9m</v>
      </c>
      <c r="H451" s="582" t="str">
        <f ca="1">IFERROR(__xludf.DUMMYFUNCTION("""COMPUTED_VALUE"""),"40")</f>
        <v>40</v>
      </c>
      <c r="I451" s="585">
        <f ca="1">IFERROR(__xludf.DUMMYFUNCTION("""COMPUTED_VALUE"""),1.2738414024)</f>
        <v>1.2738414024</v>
      </c>
      <c r="J451" s="586" t="str">
        <f ca="1">IFERROR(__xludf.DUMMYFUNCTION("""COMPUTED_VALUE""")," 15.88 ")</f>
        <v xml:space="preserve"> 15.88 </v>
      </c>
      <c r="K451" s="584" t="str">
        <f ca="1">IFERROR(__xludf.DUMMYFUNCTION("""COMPUTED_VALUE"""),"1.02")</f>
        <v>1.02</v>
      </c>
      <c r="L451" s="584">
        <f ca="1">IFERROR(__xludf.DUMMYFUNCTION("""COMPUTED_VALUE"""),2.9)</f>
        <v>2.9</v>
      </c>
      <c r="M451" s="584"/>
      <c r="N451" s="584" t="str">
        <f ca="1">IFERROR(__xludf.DUMMYFUNCTION("""COMPUTED_VALUE"""),"Dị_D&lt;54")</f>
        <v>Dị_D&lt;54</v>
      </c>
      <c r="O451" s="583"/>
      <c r="P451" s="584"/>
    </row>
    <row r="452" spans="1:17" ht="15.75">
      <c r="A452" s="587" t="str">
        <f ca="1">IFERROR(__xludf.DUMMYFUNCTION("""COMPUTED_VALUE"""),"Toàn Phát - Việt Nam")</f>
        <v>Toàn Phát - Việt Nam</v>
      </c>
      <c r="B452" s="587" t="str">
        <f ca="1">IFERROR(__xludf.DUMMYFUNCTION("""COMPUTED_VALUE"""),"ĐTPCAYDI")</f>
        <v>ĐTPCAYDI</v>
      </c>
      <c r="C452" s="587" t="str">
        <f ca="1">IFERROR(__xludf.DUMMYFUNCTION("""COMPUTED_VALUE"""),"DOT158812016")</f>
        <v>DOT158812016</v>
      </c>
      <c r="D452" s="588" t="str">
        <f ca="1">IFERROR(__xludf.DUMMYFUNCTION("""COMPUTED_VALUE"""),"Đồng ống thẳng 15.88x1.20x1.6")</f>
        <v>Đồng ống thẳng 15.88x1.20x1.6</v>
      </c>
      <c r="E452" s="589">
        <f ca="1">IFERROR(__xludf.DUMMYFUNCTION("""COMPUTED_VALUE"""),0.1)</f>
        <v>0.1</v>
      </c>
      <c r="F452" s="590" t="str">
        <f ca="1">IFERROR(__xludf.DUMMYFUNCTION("""COMPUTED_VALUE"""),"Cây")</f>
        <v>Cây</v>
      </c>
      <c r="G452" s="590" t="str">
        <f ca="1">IFERROR(__xludf.DUMMYFUNCTION("""COMPUTED_VALUE"""),"Cây 1.6m")</f>
        <v>Cây 1.6m</v>
      </c>
      <c r="H452" s="588"/>
      <c r="I452" s="591">
        <f ca="1">IFERROR(__xludf.DUMMYFUNCTION("""COMPUTED_VALUE"""),0.816818688)</f>
        <v>0.81681868800000001</v>
      </c>
      <c r="J452" s="592" t="str">
        <f ca="1">IFERROR(__xludf.DUMMYFUNCTION("""COMPUTED_VALUE""")," 15.88 ")</f>
        <v xml:space="preserve"> 15.88 </v>
      </c>
      <c r="K452" s="590" t="str">
        <f ca="1">IFERROR(__xludf.DUMMYFUNCTION("""COMPUTED_VALUE"""),"1.20")</f>
        <v>1.20</v>
      </c>
      <c r="L452" s="590">
        <f ca="1">IFERROR(__xludf.DUMMYFUNCTION("""COMPUTED_VALUE"""),1.6)</f>
        <v>1.6</v>
      </c>
      <c r="M452" s="590"/>
      <c r="N452" s="590" t="str">
        <f ca="1">IFERROR(__xludf.DUMMYFUNCTION("""COMPUTED_VALUE"""),"Dị_D&lt;54")</f>
        <v>Dị_D&lt;54</v>
      </c>
      <c r="O452" s="589"/>
      <c r="P452" s="590"/>
    </row>
    <row r="453" spans="1:17" ht="15.75">
      <c r="A453" s="581" t="str">
        <f ca="1">IFERROR(__xludf.DUMMYFUNCTION("""COMPUTED_VALUE"""),"Toàn Phát - Việt Nam")</f>
        <v>Toàn Phát - Việt Nam</v>
      </c>
      <c r="B453" s="581" t="str">
        <f ca="1">IFERROR(__xludf.DUMMYFUNCTION("""COMPUTED_VALUE"""),"ĐTPCAYDI")</f>
        <v>ĐTPCAYDI</v>
      </c>
      <c r="C453" s="581" t="str">
        <f ca="1">IFERROR(__xludf.DUMMYFUNCTION("""COMPUTED_VALUE"""),"DOT1588124")</f>
        <v>DOT1588124</v>
      </c>
      <c r="D453" s="582" t="str">
        <f ca="1">IFERROR(__xludf.DUMMYFUNCTION("""COMPUTED_VALUE"""),"Đồng ống thẳng 15.88x1.24")</f>
        <v>Đồng ống thẳng 15.88x1.24</v>
      </c>
      <c r="E453" s="583">
        <f ca="1">IFERROR(__xludf.DUMMYFUNCTION("""COMPUTED_VALUE"""),0.1)</f>
        <v>0.1</v>
      </c>
      <c r="F453" s="584" t="str">
        <f ca="1">IFERROR(__xludf.DUMMYFUNCTION("""COMPUTED_VALUE"""),"Cây")</f>
        <v>Cây</v>
      </c>
      <c r="G453" s="584" t="str">
        <f ca="1">IFERROR(__xludf.DUMMYFUNCTION("""COMPUTED_VALUE"""),"Cây 2.9m")</f>
        <v>Cây 2.9m</v>
      </c>
      <c r="H453" s="582" t="str">
        <f ca="1">IFERROR(__xludf.DUMMYFUNCTION("""COMPUTED_VALUE"""),"40")</f>
        <v>40</v>
      </c>
      <c r="I453" s="585">
        <f ca="1">IFERROR(__xludf.DUMMYFUNCTION("""COMPUTED_VALUE"""),1.52566485119999)</f>
        <v>1.52566485119999</v>
      </c>
      <c r="J453" s="586" t="str">
        <f ca="1">IFERROR(__xludf.DUMMYFUNCTION("""COMPUTED_VALUE""")," 15.88 ")</f>
        <v xml:space="preserve"> 15.88 </v>
      </c>
      <c r="K453" s="584" t="str">
        <f ca="1">IFERROR(__xludf.DUMMYFUNCTION("""COMPUTED_VALUE"""),"1.24")</f>
        <v>1.24</v>
      </c>
      <c r="L453" s="584">
        <f ca="1">IFERROR(__xludf.DUMMYFUNCTION("""COMPUTED_VALUE"""),2.9)</f>
        <v>2.9</v>
      </c>
      <c r="M453" s="584"/>
      <c r="N453" s="584" t="str">
        <f ca="1">IFERROR(__xludf.DUMMYFUNCTION("""COMPUTED_VALUE"""),"Dị_D&lt;54")</f>
        <v>Dị_D&lt;54</v>
      </c>
      <c r="O453" s="583"/>
      <c r="P453" s="584"/>
    </row>
    <row r="454" spans="1:17" ht="15.75">
      <c r="A454" s="587" t="str">
        <f ca="1">IFERROR(__xludf.DUMMYFUNCTION("""COMPUTED_VALUE"""),"Toàn Phát - Việt Nam")</f>
        <v>Toàn Phát - Việt Nam</v>
      </c>
      <c r="B454" s="587" t="str">
        <f ca="1">IFERROR(__xludf.DUMMYFUNCTION("""COMPUTED_VALUE"""),"ĐTPCAYDI")</f>
        <v>ĐTPCAYDI</v>
      </c>
      <c r="C454" s="587" t="str">
        <f ca="1">IFERROR(__xludf.DUMMYFUNCTION("""COMPUTED_VALUE"""),"DOT158815030")</f>
        <v>DOT158815030</v>
      </c>
      <c r="D454" s="588" t="str">
        <f ca="1">IFERROR(__xludf.DUMMYFUNCTION("""COMPUTED_VALUE"""),"Đồng ống thẳng 15.88x1.50x3.0")</f>
        <v>Đồng ống thẳng 15.88x1.50x3.0</v>
      </c>
      <c r="E454" s="589">
        <f ca="1">IFERROR(__xludf.DUMMYFUNCTION("""COMPUTED_VALUE"""),0.1)</f>
        <v>0.1</v>
      </c>
      <c r="F454" s="590" t="str">
        <f ca="1">IFERROR(__xludf.DUMMYFUNCTION("""COMPUTED_VALUE"""),"Cây")</f>
        <v>Cây</v>
      </c>
      <c r="G454" s="590" t="str">
        <f ca="1">IFERROR(__xludf.DUMMYFUNCTION("""COMPUTED_VALUE"""),"Cây 3m")</f>
        <v>Cây 3m</v>
      </c>
      <c r="H454" s="588"/>
      <c r="I454" s="591">
        <f ca="1">IFERROR(__xludf.DUMMYFUNCTION("""COMPUTED_VALUE"""),1.8752958)</f>
        <v>1.8752958</v>
      </c>
      <c r="J454" s="592" t="str">
        <f ca="1">IFERROR(__xludf.DUMMYFUNCTION("""COMPUTED_VALUE""")," 15.88 ")</f>
        <v xml:space="preserve"> 15.88 </v>
      </c>
      <c r="K454" s="590" t="str">
        <f ca="1">IFERROR(__xludf.DUMMYFUNCTION("""COMPUTED_VALUE"""),"1.50")</f>
        <v>1.50</v>
      </c>
      <c r="L454" s="590">
        <f ca="1">IFERROR(__xludf.DUMMYFUNCTION("""COMPUTED_VALUE"""),3)</f>
        <v>3</v>
      </c>
      <c r="M454" s="590"/>
      <c r="N454" s="590" t="str">
        <f ca="1">IFERROR(__xludf.DUMMYFUNCTION("""COMPUTED_VALUE"""),"Dị_D&lt;54")</f>
        <v>Dị_D&lt;54</v>
      </c>
      <c r="O454" s="589"/>
      <c r="P454" s="590"/>
    </row>
    <row r="455" spans="1:17" ht="15.75">
      <c r="A455" s="581" t="str">
        <f ca="1">IFERROR(__xludf.DUMMYFUNCTION("""COMPUTED_VALUE"""),"Toàn Phát - Việt Nam")</f>
        <v>Toàn Phát - Việt Nam</v>
      </c>
      <c r="B455" s="581" t="str">
        <f ca="1">IFERROR(__xludf.DUMMYFUNCTION("""COMPUTED_VALUE"""),"ĐTPCAYDI")</f>
        <v>ĐTPCAYDI</v>
      </c>
      <c r="C455" s="581" t="str">
        <f ca="1">IFERROR(__xludf.DUMMYFUNCTION("""COMPUTED_VALUE"""),"DOT160006130")</f>
        <v>DOT160006130</v>
      </c>
      <c r="D455" s="582" t="str">
        <f ca="1">IFERROR(__xludf.DUMMYFUNCTION("""COMPUTED_VALUE"""),"Đồng ống thẳng 16.00x0.61x3.0")</f>
        <v>Đồng ống thẳng 16.00x0.61x3.0</v>
      </c>
      <c r="E455" s="583">
        <f ca="1">IFERROR(__xludf.DUMMYFUNCTION("""COMPUTED_VALUE"""),0.1)</f>
        <v>0.1</v>
      </c>
      <c r="F455" s="584" t="str">
        <f ca="1">IFERROR(__xludf.DUMMYFUNCTION("""COMPUTED_VALUE"""),"Cây")</f>
        <v>Cây</v>
      </c>
      <c r="G455" s="584" t="str">
        <f ca="1">IFERROR(__xludf.DUMMYFUNCTION("""COMPUTED_VALUE"""),"Cây 3m")</f>
        <v>Cây 3m</v>
      </c>
      <c r="H455" s="582"/>
      <c r="I455" s="585">
        <f ca="1">IFERROR(__xludf.DUMMYFUNCTION("""COMPUTED_VALUE"""),0.816184026)</f>
        <v>0.81618402599999995</v>
      </c>
      <c r="J455" s="586" t="str">
        <f ca="1">IFERROR(__xludf.DUMMYFUNCTION("""COMPUTED_VALUE""")," 16.00 ")</f>
        <v xml:space="preserve"> 16.00 </v>
      </c>
      <c r="K455" s="584" t="str">
        <f ca="1">IFERROR(__xludf.DUMMYFUNCTION("""COMPUTED_VALUE"""),"0.61")</f>
        <v>0.61</v>
      </c>
      <c r="L455" s="584">
        <f ca="1">IFERROR(__xludf.DUMMYFUNCTION("""COMPUTED_VALUE"""),3)</f>
        <v>3</v>
      </c>
      <c r="M455" s="584"/>
      <c r="N455" s="584" t="str">
        <f ca="1">IFERROR(__xludf.DUMMYFUNCTION("""COMPUTED_VALUE"""),"Dị_D&lt;54")</f>
        <v>Dị_D&lt;54</v>
      </c>
      <c r="O455" s="583"/>
      <c r="P455" s="584"/>
    </row>
    <row r="456" spans="1:17" ht="15.75">
      <c r="A456" s="587" t="str">
        <f ca="1">IFERROR(__xludf.DUMMYFUNCTION("""COMPUTED_VALUE"""),"Toàn Phát - Việt Nam")</f>
        <v>Toàn Phát - Việt Nam</v>
      </c>
      <c r="B456" s="587" t="str">
        <f ca="1">IFERROR(__xludf.DUMMYFUNCTION("""COMPUTED_VALUE"""),"ĐTPCAYDI")</f>
        <v>ĐTPCAYDI</v>
      </c>
      <c r="C456" s="587" t="str">
        <f ca="1">IFERROR(__xludf.DUMMYFUNCTION("""COMPUTED_VALUE"""),"DOT160010030")</f>
        <v>DOT160010030</v>
      </c>
      <c r="D456" s="588" t="str">
        <f ca="1">IFERROR(__xludf.DUMMYFUNCTION("""COMPUTED_VALUE"""),"Đồng ống thẳng 16.00x1.00x3.0")</f>
        <v>Đồng ống thẳng 16.00x1.00x3.0</v>
      </c>
      <c r="E456" s="589">
        <f ca="1">IFERROR(__xludf.DUMMYFUNCTION("""COMPUTED_VALUE"""),0.1)</f>
        <v>0.1</v>
      </c>
      <c r="F456" s="590" t="str">
        <f ca="1">IFERROR(__xludf.DUMMYFUNCTION("""COMPUTED_VALUE"""),"Cây")</f>
        <v>Cây</v>
      </c>
      <c r="G456" s="590" t="str">
        <f ca="1">IFERROR(__xludf.DUMMYFUNCTION("""COMPUTED_VALUE"""),"Cây 3m")</f>
        <v>Cây 3m</v>
      </c>
      <c r="H456" s="588"/>
      <c r="I456" s="591">
        <f ca="1">IFERROR(__xludf.DUMMYFUNCTION("""COMPUTED_VALUE"""),1.30409999999999)</f>
        <v>1.30409999999999</v>
      </c>
      <c r="J456" s="592" t="str">
        <f ca="1">IFERROR(__xludf.DUMMYFUNCTION("""COMPUTED_VALUE""")," 16.00 ")</f>
        <v xml:space="preserve"> 16.00 </v>
      </c>
      <c r="K456" s="590" t="str">
        <f ca="1">IFERROR(__xludf.DUMMYFUNCTION("""COMPUTED_VALUE"""),"1.00")</f>
        <v>1.00</v>
      </c>
      <c r="L456" s="590">
        <f ca="1">IFERROR(__xludf.DUMMYFUNCTION("""COMPUTED_VALUE"""),3)</f>
        <v>3</v>
      </c>
      <c r="M456" s="590"/>
      <c r="N456" s="590" t="str">
        <f ca="1">IFERROR(__xludf.DUMMYFUNCTION("""COMPUTED_VALUE"""),"Dị_D&lt;54")</f>
        <v>Dị_D&lt;54</v>
      </c>
      <c r="O456" s="589"/>
      <c r="P456" s="590"/>
    </row>
    <row r="457" spans="1:17" ht="15.75">
      <c r="A457" s="581" t="str">
        <f ca="1">IFERROR(__xludf.DUMMYFUNCTION("""COMPUTED_VALUE"""),"Toàn Phát - Việt Nam")</f>
        <v>Toàn Phát - Việt Nam</v>
      </c>
      <c r="B457" s="581" t="str">
        <f ca="1">IFERROR(__xludf.DUMMYFUNCTION("""COMPUTED_VALUE"""),"ĐTPCAYDI")</f>
        <v>ĐTPCAYDI</v>
      </c>
      <c r="C457" s="581" t="str">
        <f ca="1">IFERROR(__xludf.DUMMYFUNCTION("""COMPUTED_VALUE"""),"DOT160012030")</f>
        <v>DOT160012030</v>
      </c>
      <c r="D457" s="582" t="str">
        <f ca="1">IFERROR(__xludf.DUMMYFUNCTION("""COMPUTED_VALUE"""),"Đồng ống thẳng 16.00x1.20x3.0")</f>
        <v>Đồng ống thẳng 16.00x1.20x3.0</v>
      </c>
      <c r="E457" s="583">
        <f ca="1">IFERROR(__xludf.DUMMYFUNCTION("""COMPUTED_VALUE"""),0.1)</f>
        <v>0.1</v>
      </c>
      <c r="F457" s="584" t="str">
        <f ca="1">IFERROR(__xludf.DUMMYFUNCTION("""COMPUTED_VALUE"""),"Cây")</f>
        <v>Cây</v>
      </c>
      <c r="G457" s="584" t="str">
        <f ca="1">IFERROR(__xludf.DUMMYFUNCTION("""COMPUTED_VALUE"""),"Cây 3m")</f>
        <v>Cây 3m</v>
      </c>
      <c r="H457" s="582"/>
      <c r="I457" s="585">
        <f ca="1">IFERROR(__xludf.DUMMYFUNCTION("""COMPUTED_VALUE"""),1.5440544)</f>
        <v>1.5440544</v>
      </c>
      <c r="J457" s="586" t="str">
        <f ca="1">IFERROR(__xludf.DUMMYFUNCTION("""COMPUTED_VALUE""")," 16.00 ")</f>
        <v xml:space="preserve"> 16.00 </v>
      </c>
      <c r="K457" s="584" t="str">
        <f ca="1">IFERROR(__xludf.DUMMYFUNCTION("""COMPUTED_VALUE"""),"1.20")</f>
        <v>1.20</v>
      </c>
      <c r="L457" s="584">
        <f ca="1">IFERROR(__xludf.DUMMYFUNCTION("""COMPUTED_VALUE"""),3)</f>
        <v>3</v>
      </c>
      <c r="M457" s="584"/>
      <c r="N457" s="584" t="str">
        <f ca="1">IFERROR(__xludf.DUMMYFUNCTION("""COMPUTED_VALUE"""),"Dị_D&lt;54")</f>
        <v>Dị_D&lt;54</v>
      </c>
      <c r="O457" s="583"/>
      <c r="P457" s="584"/>
    </row>
    <row r="458" spans="1:17" ht="15.75">
      <c r="A458" s="587" t="str">
        <f ca="1">IFERROR(__xludf.DUMMYFUNCTION("""COMPUTED_VALUE"""),"Toàn Phát - Việt Nam")</f>
        <v>Toàn Phát - Việt Nam</v>
      </c>
      <c r="B458" s="587" t="str">
        <f ca="1">IFERROR(__xludf.DUMMYFUNCTION("""COMPUTED_VALUE"""),"ĐTPCAYDI")</f>
        <v>ĐTPCAYDI</v>
      </c>
      <c r="C458" s="587" t="str">
        <f ca="1">IFERROR(__xludf.DUMMYFUNCTION("""COMPUTED_VALUE"""),"DOT160012530")</f>
        <v>DOT160012530</v>
      </c>
      <c r="D458" s="588" t="str">
        <f ca="1">IFERROR(__xludf.DUMMYFUNCTION("""COMPUTED_VALUE"""),"Đồng ống thẳng 16.00x1.25x3.0")</f>
        <v>Đồng ống thẳng 16.00x1.25x3.0</v>
      </c>
      <c r="E458" s="589">
        <f ca="1">IFERROR(__xludf.DUMMYFUNCTION("""COMPUTED_VALUE"""),0.1)</f>
        <v>0.1</v>
      </c>
      <c r="F458" s="590" t="str">
        <f ca="1">IFERROR(__xludf.DUMMYFUNCTION("""COMPUTED_VALUE"""),"Cây")</f>
        <v>Cây</v>
      </c>
      <c r="G458" s="590" t="str">
        <f ca="1">IFERROR(__xludf.DUMMYFUNCTION("""COMPUTED_VALUE"""),"Cây 3m")</f>
        <v>Cây 3m</v>
      </c>
      <c r="H458" s="588"/>
      <c r="I458" s="591">
        <f ca="1">IFERROR(__xludf.DUMMYFUNCTION("""COMPUTED_VALUE"""),1.60295624999999)</f>
        <v>1.6029562499999901</v>
      </c>
      <c r="J458" s="592" t="str">
        <f ca="1">IFERROR(__xludf.DUMMYFUNCTION("""COMPUTED_VALUE""")," 16.00 ")</f>
        <v xml:space="preserve"> 16.00 </v>
      </c>
      <c r="K458" s="590" t="str">
        <f ca="1">IFERROR(__xludf.DUMMYFUNCTION("""COMPUTED_VALUE"""),"1.25")</f>
        <v>1.25</v>
      </c>
      <c r="L458" s="590">
        <f ca="1">IFERROR(__xludf.DUMMYFUNCTION("""COMPUTED_VALUE"""),3)</f>
        <v>3</v>
      </c>
      <c r="M458" s="590"/>
      <c r="N458" s="590" t="str">
        <f ca="1">IFERROR(__xludf.DUMMYFUNCTION("""COMPUTED_VALUE"""),"Dị_D&lt;54")</f>
        <v>Dị_D&lt;54</v>
      </c>
      <c r="O458" s="589"/>
      <c r="P458" s="590"/>
    </row>
    <row r="459" spans="1:17" ht="15.75">
      <c r="A459" s="581" t="str">
        <f ca="1">IFERROR(__xludf.DUMMYFUNCTION("""COMPUTED_VALUE"""),"Toàn Phát - Việt Nam")</f>
        <v>Toàn Phát - Việt Nam</v>
      </c>
      <c r="B459" s="581" t="str">
        <f ca="1">IFERROR(__xludf.DUMMYFUNCTION("""COMPUTED_VALUE"""),"ĐTPCAYDI")</f>
        <v>ĐTPCAYDI</v>
      </c>
      <c r="C459" s="581" t="str">
        <f ca="1">IFERROR(__xludf.DUMMYFUNCTION("""COMPUTED_VALUE"""),"DOT160013030")</f>
        <v>DOT160013030</v>
      </c>
      <c r="D459" s="582" t="str">
        <f ca="1">IFERROR(__xludf.DUMMYFUNCTION("""COMPUTED_VALUE"""),"Đồng ống thẳng 16.00x1.30x3.0")</f>
        <v>Đồng ống thẳng 16.00x1.30x3.0</v>
      </c>
      <c r="E459" s="583">
        <f ca="1">IFERROR(__xludf.DUMMYFUNCTION("""COMPUTED_VALUE"""),0.1)</f>
        <v>0.1</v>
      </c>
      <c r="F459" s="584" t="str">
        <f ca="1">IFERROR(__xludf.DUMMYFUNCTION("""COMPUTED_VALUE"""),"Cây")</f>
        <v>Cây</v>
      </c>
      <c r="G459" s="584" t="str">
        <f ca="1">IFERROR(__xludf.DUMMYFUNCTION("""COMPUTED_VALUE"""),"Cây 3m")</f>
        <v>Cây 3m</v>
      </c>
      <c r="H459" s="582"/>
      <c r="I459" s="585">
        <f ca="1">IFERROR(__xludf.DUMMYFUNCTION("""COMPUTED_VALUE"""),1.66142339999999)</f>
        <v>1.6614233999999899</v>
      </c>
      <c r="J459" s="586" t="str">
        <f ca="1">IFERROR(__xludf.DUMMYFUNCTION("""COMPUTED_VALUE""")," 16.00 ")</f>
        <v xml:space="preserve"> 16.00 </v>
      </c>
      <c r="K459" s="584" t="str">
        <f ca="1">IFERROR(__xludf.DUMMYFUNCTION("""COMPUTED_VALUE"""),"1.30")</f>
        <v>1.30</v>
      </c>
      <c r="L459" s="584">
        <f ca="1">IFERROR(__xludf.DUMMYFUNCTION("""COMPUTED_VALUE"""),3)</f>
        <v>3</v>
      </c>
      <c r="M459" s="584"/>
      <c r="N459" s="584" t="str">
        <f ca="1">IFERROR(__xludf.DUMMYFUNCTION("""COMPUTED_VALUE"""),"Dị_D&lt;54")</f>
        <v>Dị_D&lt;54</v>
      </c>
      <c r="O459" s="583"/>
      <c r="P459" s="584"/>
    </row>
    <row r="460" spans="1:17" ht="15.75">
      <c r="A460" s="587" t="str">
        <f ca="1">IFERROR(__xludf.DUMMYFUNCTION("""COMPUTED_VALUE"""),"Toàn Phát - Việt Nam")</f>
        <v>Toàn Phát - Việt Nam</v>
      </c>
      <c r="B460" s="587" t="str">
        <f ca="1">IFERROR(__xludf.DUMMYFUNCTION("""COMPUTED_VALUE"""),"ĐTPCAYDI")</f>
        <v>ĐTPCAYDI</v>
      </c>
      <c r="C460" s="587" t="str">
        <f ca="1">IFERROR(__xludf.DUMMYFUNCTION("""COMPUTED_VALUE"""),"DOT1600130305")</f>
        <v>DOT1600130305</v>
      </c>
      <c r="D460" s="588" t="str">
        <f ca="1">IFERROR(__xludf.DUMMYFUNCTION("""COMPUTED_VALUE"""),"Đồng ống thẳng 16.00x1.30x3.05")</f>
        <v>Đồng ống thẳng 16.00x1.30x3.05</v>
      </c>
      <c r="E460" s="589">
        <f ca="1">IFERROR(__xludf.DUMMYFUNCTION("""COMPUTED_VALUE"""),0.1)</f>
        <v>0.1</v>
      </c>
      <c r="F460" s="590" t="str">
        <f ca="1">IFERROR(__xludf.DUMMYFUNCTION("""COMPUTED_VALUE"""),"Cây")</f>
        <v>Cây</v>
      </c>
      <c r="G460" s="590" t="str">
        <f ca="1">IFERROR(__xludf.DUMMYFUNCTION("""COMPUTED_VALUE"""),"Cây 3.05m")</f>
        <v>Cây 3.05m</v>
      </c>
      <c r="H460" s="588"/>
      <c r="I460" s="591">
        <f ca="1">IFERROR(__xludf.DUMMYFUNCTION("""COMPUTED_VALUE"""),1.68911378999999)</f>
        <v>1.68911378999999</v>
      </c>
      <c r="J460" s="592" t="str">
        <f ca="1">IFERROR(__xludf.DUMMYFUNCTION("""COMPUTED_VALUE""")," 16.00 ")</f>
        <v xml:space="preserve"> 16.00 </v>
      </c>
      <c r="K460" s="590" t="str">
        <f ca="1">IFERROR(__xludf.DUMMYFUNCTION("""COMPUTED_VALUE"""),"1.30")</f>
        <v>1.30</v>
      </c>
      <c r="L460" s="590">
        <f ca="1">IFERROR(__xludf.DUMMYFUNCTION("""COMPUTED_VALUE"""),3.05)</f>
        <v>3.05</v>
      </c>
      <c r="M460" s="590"/>
      <c r="N460" s="590" t="str">
        <f ca="1">IFERROR(__xludf.DUMMYFUNCTION("""COMPUTED_VALUE"""),"Dị_D&lt;54")</f>
        <v>Dị_D&lt;54</v>
      </c>
      <c r="O460" s="589"/>
      <c r="P460" s="590"/>
    </row>
    <row r="461" spans="1:17" ht="15.75">
      <c r="A461" s="581" t="str">
        <f ca="1">IFERROR(__xludf.DUMMYFUNCTION("""COMPUTED_VALUE"""),"Toàn Phát - Việt Nam")</f>
        <v>Toàn Phát - Việt Nam</v>
      </c>
      <c r="B461" s="581" t="str">
        <f ca="1">IFERROR(__xludf.DUMMYFUNCTION("""COMPUTED_VALUE"""),"ĐTPCAYDI")</f>
        <v>ĐTPCAYDI</v>
      </c>
      <c r="C461" s="581" t="str">
        <f ca="1">IFERROR(__xludf.DUMMYFUNCTION("""COMPUTED_VALUE"""),"DOT160013530")</f>
        <v>DOT160013530</v>
      </c>
      <c r="D461" s="582" t="str">
        <f ca="1">IFERROR(__xludf.DUMMYFUNCTION("""COMPUTED_VALUE"""),"Đồng ống thẳng 16.00x1.35x3.0")</f>
        <v>Đồng ống thẳng 16.00x1.35x3.0</v>
      </c>
      <c r="E461" s="583">
        <f ca="1">IFERROR(__xludf.DUMMYFUNCTION("""COMPUTED_VALUE"""),0.1)</f>
        <v>0.1</v>
      </c>
      <c r="F461" s="584" t="str">
        <f ca="1">IFERROR(__xludf.DUMMYFUNCTION("""COMPUTED_VALUE"""),"Cây")</f>
        <v>Cây</v>
      </c>
      <c r="G461" s="584" t="str">
        <f ca="1">IFERROR(__xludf.DUMMYFUNCTION("""COMPUTED_VALUE"""),"Cây 3m")</f>
        <v>Cây 3m</v>
      </c>
      <c r="H461" s="582"/>
      <c r="I461" s="585">
        <f ca="1">IFERROR(__xludf.DUMMYFUNCTION("""COMPUTED_VALUE"""),1.71945585)</f>
        <v>1.7194558499999999</v>
      </c>
      <c r="J461" s="586" t="str">
        <f ca="1">IFERROR(__xludf.DUMMYFUNCTION("""COMPUTED_VALUE""")," 16.00 ")</f>
        <v xml:space="preserve"> 16.00 </v>
      </c>
      <c r="K461" s="584" t="str">
        <f ca="1">IFERROR(__xludf.DUMMYFUNCTION("""COMPUTED_VALUE"""),"1.35")</f>
        <v>1.35</v>
      </c>
      <c r="L461" s="584">
        <f ca="1">IFERROR(__xludf.DUMMYFUNCTION("""COMPUTED_VALUE"""),3)</f>
        <v>3</v>
      </c>
      <c r="M461" s="584"/>
      <c r="N461" s="584" t="str">
        <f ca="1">IFERROR(__xludf.DUMMYFUNCTION("""COMPUTED_VALUE"""),"Dị_D&lt;54")</f>
        <v>Dị_D&lt;54</v>
      </c>
      <c r="O461" s="583"/>
      <c r="P461" s="584"/>
    </row>
    <row r="462" spans="1:17" ht="15.75">
      <c r="A462" s="587" t="str">
        <f ca="1">IFERROR(__xludf.DUMMYFUNCTION("""COMPUTED_VALUE"""),"Toàn Phát - Việt Nam")</f>
        <v>Toàn Phát - Việt Nam</v>
      </c>
      <c r="B462" s="587" t="str">
        <f ca="1">IFERROR(__xludf.DUMMYFUNCTION("""COMPUTED_VALUE"""),"ĐTPCAYDI")</f>
        <v>ĐTPCAYDI</v>
      </c>
      <c r="C462" s="587" t="str">
        <f ca="1">IFERROR(__xludf.DUMMYFUNCTION("""COMPUTED_VALUE"""),"DOT1600143")</f>
        <v>DOT1600143</v>
      </c>
      <c r="D462" s="588" t="str">
        <f ca="1">IFERROR(__xludf.DUMMYFUNCTION("""COMPUTED_VALUE"""),"Đồng ống thẳng 16.00x1.4x3")</f>
        <v>Đồng ống thẳng 16.00x1.4x3</v>
      </c>
      <c r="E462" s="589">
        <f ca="1">IFERROR(__xludf.DUMMYFUNCTION("""COMPUTED_VALUE"""),0.1)</f>
        <v>0.1</v>
      </c>
      <c r="F462" s="590" t="str">
        <f ca="1">IFERROR(__xludf.DUMMYFUNCTION("""COMPUTED_VALUE"""),"Cây")</f>
        <v>Cây</v>
      </c>
      <c r="G462" s="590" t="str">
        <f ca="1">IFERROR(__xludf.DUMMYFUNCTION("""COMPUTED_VALUE"""),"Cây 3m")</f>
        <v>Cây 3m</v>
      </c>
      <c r="H462" s="588"/>
      <c r="I462" s="591">
        <f ca="1">IFERROR(__xludf.DUMMYFUNCTION("""COMPUTED_VALUE"""),1.77705359999999)</f>
        <v>1.7770535999999899</v>
      </c>
      <c r="J462" s="592" t="str">
        <f ca="1">IFERROR(__xludf.DUMMYFUNCTION("""COMPUTED_VALUE""")," 16.00 ")</f>
        <v xml:space="preserve"> 16.00 </v>
      </c>
      <c r="K462" s="590" t="str">
        <f ca="1">IFERROR(__xludf.DUMMYFUNCTION("""COMPUTED_VALUE"""),"1.40")</f>
        <v>1.40</v>
      </c>
      <c r="L462" s="590">
        <f ca="1">IFERROR(__xludf.DUMMYFUNCTION("""COMPUTED_VALUE"""),3)</f>
        <v>3</v>
      </c>
      <c r="M462" s="590"/>
      <c r="N462" s="590" t="str">
        <f ca="1">IFERROR(__xludf.DUMMYFUNCTION("""COMPUTED_VALUE"""),"Dị_D&lt;54")</f>
        <v>Dị_D&lt;54</v>
      </c>
      <c r="O462" s="589"/>
      <c r="P462" s="590"/>
    </row>
    <row r="463" spans="1:17" ht="15.75">
      <c r="A463" s="581" t="str">
        <f ca="1">IFERROR(__xludf.DUMMYFUNCTION("""COMPUTED_VALUE"""),"Toàn Phát - Việt Nam")</f>
        <v>Toàn Phát - Việt Nam</v>
      </c>
      <c r="B463" s="581" t="str">
        <f ca="1">IFERROR(__xludf.DUMMYFUNCTION("""COMPUTED_VALUE"""),"ĐTPCAYDI")</f>
        <v>ĐTPCAYDI</v>
      </c>
      <c r="C463" s="581" t="str">
        <f ca="1">IFERROR(__xludf.DUMMYFUNCTION("""COMPUTED_VALUE"""),"DOT160015020")</f>
        <v>DOT160015020</v>
      </c>
      <c r="D463" s="582" t="str">
        <f ca="1">IFERROR(__xludf.DUMMYFUNCTION("""COMPUTED_VALUE"""),"Đồng ống thẳng 16.00x1.50x2.0")</f>
        <v>Đồng ống thẳng 16.00x1.50x2.0</v>
      </c>
      <c r="E463" s="583">
        <f ca="1">IFERROR(__xludf.DUMMYFUNCTION("""COMPUTED_VALUE"""),0.1)</f>
        <v>0.1</v>
      </c>
      <c r="F463" s="584" t="str">
        <f ca="1">IFERROR(__xludf.DUMMYFUNCTION("""COMPUTED_VALUE"""),"Cây")</f>
        <v>Cây</v>
      </c>
      <c r="G463" s="584" t="str">
        <f ca="1">IFERROR(__xludf.DUMMYFUNCTION("""COMPUTED_VALUE"""),"Cây 2m")</f>
        <v>Cây 2m</v>
      </c>
      <c r="H463" s="582"/>
      <c r="I463" s="585">
        <f ca="1">IFERROR(__xludf.DUMMYFUNCTION("""COMPUTED_VALUE"""),1.26063)</f>
        <v>1.2606299999999999</v>
      </c>
      <c r="J463" s="586" t="str">
        <f ca="1">IFERROR(__xludf.DUMMYFUNCTION("""COMPUTED_VALUE""")," 16.00 ")</f>
        <v xml:space="preserve"> 16.00 </v>
      </c>
      <c r="K463" s="584" t="str">
        <f ca="1">IFERROR(__xludf.DUMMYFUNCTION("""COMPUTED_VALUE"""),"1.50")</f>
        <v>1.50</v>
      </c>
      <c r="L463" s="584">
        <f ca="1">IFERROR(__xludf.DUMMYFUNCTION("""COMPUTED_VALUE"""),2)</f>
        <v>2</v>
      </c>
      <c r="M463" s="584"/>
      <c r="N463" s="584" t="str">
        <f ca="1">IFERROR(__xludf.DUMMYFUNCTION("""COMPUTED_VALUE"""),"Dị_D&lt;54")</f>
        <v>Dị_D&lt;54</v>
      </c>
      <c r="O463" s="583"/>
      <c r="P463" s="584"/>
    </row>
    <row r="464" spans="1:17" ht="15.75">
      <c r="A464" s="587" t="str">
        <f ca="1">IFERROR(__xludf.DUMMYFUNCTION("""COMPUTED_VALUE"""),"Toàn Phát - Việt Nam")</f>
        <v>Toàn Phát - Việt Nam</v>
      </c>
      <c r="B464" s="587" t="str">
        <f ca="1">IFERROR(__xludf.DUMMYFUNCTION("""COMPUTED_VALUE"""),"ĐTPCAYDI")</f>
        <v>ĐTPCAYDI</v>
      </c>
      <c r="C464" s="587" t="str">
        <f ca="1">IFERROR(__xludf.DUMMYFUNCTION("""COMPUTED_VALUE"""),"DOT1600153")</f>
        <v>DOT1600153</v>
      </c>
      <c r="D464" s="588" t="str">
        <f ca="1">IFERROR(__xludf.DUMMYFUNCTION("""COMPUTED_VALUE"""),"Đồng ống thẳng 16.00x1.5x3")</f>
        <v>Đồng ống thẳng 16.00x1.5x3</v>
      </c>
      <c r="E464" s="589">
        <f ca="1">IFERROR(__xludf.DUMMYFUNCTION("""COMPUTED_VALUE"""),0.1)</f>
        <v>0.1</v>
      </c>
      <c r="F464" s="590" t="str">
        <f ca="1">IFERROR(__xludf.DUMMYFUNCTION("""COMPUTED_VALUE"""),"Cây")</f>
        <v>Cây</v>
      </c>
      <c r="G464" s="590" t="str">
        <f ca="1">IFERROR(__xludf.DUMMYFUNCTION("""COMPUTED_VALUE"""),"Cây 3m")</f>
        <v>Cây 3m</v>
      </c>
      <c r="H464" s="588"/>
      <c r="I464" s="591">
        <f ca="1">IFERROR(__xludf.DUMMYFUNCTION("""COMPUTED_VALUE"""),1.89094499999999)</f>
        <v>1.8909449999999901</v>
      </c>
      <c r="J464" s="592" t="str">
        <f ca="1">IFERROR(__xludf.DUMMYFUNCTION("""COMPUTED_VALUE""")," 16.00 ")</f>
        <v xml:space="preserve"> 16.00 </v>
      </c>
      <c r="K464" s="590" t="str">
        <f ca="1">IFERROR(__xludf.DUMMYFUNCTION("""COMPUTED_VALUE"""),"1.50")</f>
        <v>1.50</v>
      </c>
      <c r="L464" s="590">
        <f ca="1">IFERROR(__xludf.DUMMYFUNCTION("""COMPUTED_VALUE"""),3)</f>
        <v>3</v>
      </c>
      <c r="M464" s="590"/>
      <c r="N464" s="590" t="str">
        <f ca="1">IFERROR(__xludf.DUMMYFUNCTION("""COMPUTED_VALUE"""),"Dị_D&lt;54")</f>
        <v>Dị_D&lt;54</v>
      </c>
      <c r="O464" s="589"/>
      <c r="P464" s="590"/>
    </row>
    <row r="465" spans="1:16" ht="15.75">
      <c r="A465" s="581" t="str">
        <f ca="1">IFERROR(__xludf.DUMMYFUNCTION("""COMPUTED_VALUE"""),"Toàn Phát - Việt Nam")</f>
        <v>Toàn Phát - Việt Nam</v>
      </c>
      <c r="B465" s="581" t="str">
        <f ca="1">IFERROR(__xludf.DUMMYFUNCTION("""COMPUTED_VALUE"""),"ĐTPCAYDI")</f>
        <v>ĐTPCAYDI</v>
      </c>
      <c r="C465" s="581" t="str">
        <f ca="1">IFERROR(__xludf.DUMMYFUNCTION("""COMPUTED_VALUE"""),"DOT165009120")</f>
        <v>DOT165009120</v>
      </c>
      <c r="D465" s="582" t="str">
        <f ca="1">IFERROR(__xludf.DUMMYFUNCTION("""COMPUTED_VALUE"""),"Đồng ống thẳng 16.50x0.91x2.0")</f>
        <v>Đồng ống thẳng 16.50x0.91x2.0</v>
      </c>
      <c r="E465" s="583">
        <f ca="1">IFERROR(__xludf.DUMMYFUNCTION("""COMPUTED_VALUE"""),0.1)</f>
        <v>0.1</v>
      </c>
      <c r="F465" s="584" t="str">
        <f ca="1">IFERROR(__xludf.DUMMYFUNCTION("""COMPUTED_VALUE"""),"Cây")</f>
        <v>Cây</v>
      </c>
      <c r="G465" s="584" t="str">
        <f ca="1">IFERROR(__xludf.DUMMYFUNCTION("""COMPUTED_VALUE"""),"Cây 2m")</f>
        <v>Cây 2m</v>
      </c>
      <c r="H465" s="582"/>
      <c r="I465" s="585">
        <f ca="1">IFERROR(__xludf.DUMMYFUNCTION("""COMPUTED_VALUE"""),0.822272724)</f>
        <v>0.82227272399999995</v>
      </c>
      <c r="J465" s="586" t="str">
        <f ca="1">IFERROR(__xludf.DUMMYFUNCTION("""COMPUTED_VALUE""")," 16.50 ")</f>
        <v xml:space="preserve"> 16.50 </v>
      </c>
      <c r="K465" s="584" t="str">
        <f ca="1">IFERROR(__xludf.DUMMYFUNCTION("""COMPUTED_VALUE"""),"0.91")</f>
        <v>0.91</v>
      </c>
      <c r="L465" s="584">
        <f ca="1">IFERROR(__xludf.DUMMYFUNCTION("""COMPUTED_VALUE"""),2)</f>
        <v>2</v>
      </c>
      <c r="M465" s="584"/>
      <c r="N465" s="584" t="str">
        <f ca="1">IFERROR(__xludf.DUMMYFUNCTION("""COMPUTED_VALUE"""),"Dị_D&lt;54")</f>
        <v>Dị_D&lt;54</v>
      </c>
      <c r="O465" s="583"/>
      <c r="P465" s="584"/>
    </row>
    <row r="466" spans="1:16" ht="15.75">
      <c r="A466" s="587" t="str">
        <f ca="1">IFERROR(__xludf.DUMMYFUNCTION("""COMPUTED_VALUE"""),"Toàn Phát - Việt Nam")</f>
        <v>Toàn Phát - Việt Nam</v>
      </c>
      <c r="B466" s="587" t="str">
        <f ca="1">IFERROR(__xludf.DUMMYFUNCTION("""COMPUTED_VALUE"""),"ĐTPCAYDI")</f>
        <v>ĐTPCAYDI</v>
      </c>
      <c r="C466" s="587" t="str">
        <f ca="1">IFERROR(__xludf.DUMMYFUNCTION("""COMPUTED_VALUE"""),"DOT165015030")</f>
        <v>DOT165015030</v>
      </c>
      <c r="D466" s="588" t="str">
        <f ca="1">IFERROR(__xludf.DUMMYFUNCTION("""COMPUTED_VALUE"""),"Đồng ống thẳng 16.50x1.50x3.0")</f>
        <v>Đồng ống thẳng 16.50x1.50x3.0</v>
      </c>
      <c r="E466" s="589">
        <f ca="1">IFERROR(__xludf.DUMMYFUNCTION("""COMPUTED_VALUE"""),0.1)</f>
        <v>0.1</v>
      </c>
      <c r="F466" s="590" t="str">
        <f ca="1">IFERROR(__xludf.DUMMYFUNCTION("""COMPUTED_VALUE"""),"Cây")</f>
        <v>Cây</v>
      </c>
      <c r="G466" s="590" t="str">
        <f ca="1">IFERROR(__xludf.DUMMYFUNCTION("""COMPUTED_VALUE"""),"Cây 3m")</f>
        <v>Cây 3m</v>
      </c>
      <c r="H466" s="588"/>
      <c r="I466" s="591">
        <f ca="1">IFERROR(__xludf.DUMMYFUNCTION("""COMPUTED_VALUE"""),1.95615)</f>
        <v>1.9561500000000001</v>
      </c>
      <c r="J466" s="592" t="str">
        <f ca="1">IFERROR(__xludf.DUMMYFUNCTION("""COMPUTED_VALUE""")," 16.50 ")</f>
        <v xml:space="preserve"> 16.50 </v>
      </c>
      <c r="K466" s="590" t="str">
        <f ca="1">IFERROR(__xludf.DUMMYFUNCTION("""COMPUTED_VALUE"""),"1.50")</f>
        <v>1.50</v>
      </c>
      <c r="L466" s="590">
        <f ca="1">IFERROR(__xludf.DUMMYFUNCTION("""COMPUTED_VALUE"""),3)</f>
        <v>3</v>
      </c>
      <c r="M466" s="590"/>
      <c r="N466" s="590" t="str">
        <f ca="1">IFERROR(__xludf.DUMMYFUNCTION("""COMPUTED_VALUE"""),"Dị_D&lt;54")</f>
        <v>Dị_D&lt;54</v>
      </c>
      <c r="O466" s="589"/>
      <c r="P466" s="590"/>
    </row>
    <row r="467" spans="1:16" ht="15.75">
      <c r="A467" s="581" t="str">
        <f ca="1">IFERROR(__xludf.DUMMYFUNCTION("""COMPUTED_VALUE"""),"Toàn Phát - Việt Nam")</f>
        <v>Toàn Phát - Việt Nam</v>
      </c>
      <c r="B467" s="581" t="str">
        <f ca="1">IFERROR(__xludf.DUMMYFUNCTION("""COMPUTED_VALUE"""),"ĐTPCAYDI")</f>
        <v>ĐTPCAYDI</v>
      </c>
      <c r="C467" s="581" t="str">
        <f ca="1">IFERROR(__xludf.DUMMYFUNCTION("""COMPUTED_VALUE"""),"DOT170013030")</f>
        <v>DOT170013030</v>
      </c>
      <c r="D467" s="582" t="str">
        <f ca="1">IFERROR(__xludf.DUMMYFUNCTION("""COMPUTED_VALUE"""),"Đồng ống thẳng 17.00x1.30x3.0")</f>
        <v>Đồng ống thẳng 17.00x1.30x3.0</v>
      </c>
      <c r="E467" s="583">
        <f ca="1">IFERROR(__xludf.DUMMYFUNCTION("""COMPUTED_VALUE"""),0.1)</f>
        <v>0.1</v>
      </c>
      <c r="F467" s="584" t="str">
        <f ca="1">IFERROR(__xludf.DUMMYFUNCTION("""COMPUTED_VALUE"""),"Cây")</f>
        <v>Cây</v>
      </c>
      <c r="G467" s="584" t="str">
        <f ca="1">IFERROR(__xludf.DUMMYFUNCTION("""COMPUTED_VALUE"""),"Cây 3m")</f>
        <v>Cây 3m</v>
      </c>
      <c r="H467" s="582"/>
      <c r="I467" s="585">
        <f ca="1">IFERROR(__xludf.DUMMYFUNCTION("""COMPUTED_VALUE"""),1.77444539999999)</f>
        <v>1.7744453999999901</v>
      </c>
      <c r="J467" s="586" t="str">
        <f ca="1">IFERROR(__xludf.DUMMYFUNCTION("""COMPUTED_VALUE""")," 17.00 ")</f>
        <v xml:space="preserve"> 17.00 </v>
      </c>
      <c r="K467" s="584" t="str">
        <f ca="1">IFERROR(__xludf.DUMMYFUNCTION("""COMPUTED_VALUE"""),"1.30")</f>
        <v>1.30</v>
      </c>
      <c r="L467" s="584">
        <f ca="1">IFERROR(__xludf.DUMMYFUNCTION("""COMPUTED_VALUE"""),3)</f>
        <v>3</v>
      </c>
      <c r="M467" s="584"/>
      <c r="N467" s="584" t="str">
        <f ca="1">IFERROR(__xludf.DUMMYFUNCTION("""COMPUTED_VALUE"""),"Dị_D&lt;54")</f>
        <v>Dị_D&lt;54</v>
      </c>
      <c r="O467" s="583"/>
      <c r="P467" s="584"/>
    </row>
    <row r="468" spans="1:16" ht="15.75">
      <c r="A468" s="587" t="str">
        <f ca="1">IFERROR(__xludf.DUMMYFUNCTION("""COMPUTED_VALUE"""),"Toàn Phát - Việt Nam")</f>
        <v>Toàn Phát - Việt Nam</v>
      </c>
      <c r="B468" s="587" t="str">
        <f ca="1">IFERROR(__xludf.DUMMYFUNCTION("""COMPUTED_VALUE"""),"ĐTPCAYDI")</f>
        <v>ĐTPCAYDI</v>
      </c>
      <c r="C468" s="587" t="str">
        <f ca="1">IFERROR(__xludf.DUMMYFUNCTION("""COMPUTED_VALUE"""),"DOT170015030")</f>
        <v>DOT170015030</v>
      </c>
      <c r="D468" s="588" t="str">
        <f ca="1">IFERROR(__xludf.DUMMYFUNCTION("""COMPUTED_VALUE"""),"Đồng ống thẳng 17.00x1.50x3.0")</f>
        <v>Đồng ống thẳng 17.00x1.50x3.0</v>
      </c>
      <c r="E468" s="589">
        <f ca="1">IFERROR(__xludf.DUMMYFUNCTION("""COMPUTED_VALUE"""),0.1)</f>
        <v>0.1</v>
      </c>
      <c r="F468" s="590" t="str">
        <f ca="1">IFERROR(__xludf.DUMMYFUNCTION("""COMPUTED_VALUE"""),"Cây")</f>
        <v>Cây</v>
      </c>
      <c r="G468" s="590" t="str">
        <f ca="1">IFERROR(__xludf.DUMMYFUNCTION("""COMPUTED_VALUE"""),"Cây 3m")</f>
        <v>Cây 3m</v>
      </c>
      <c r="H468" s="588"/>
      <c r="I468" s="591">
        <f ca="1">IFERROR(__xludf.DUMMYFUNCTION("""COMPUTED_VALUE"""),2.021355)</f>
        <v>2.0213549999999998</v>
      </c>
      <c r="J468" s="592" t="str">
        <f ca="1">IFERROR(__xludf.DUMMYFUNCTION("""COMPUTED_VALUE""")," 17.00 ")</f>
        <v xml:space="preserve"> 17.00 </v>
      </c>
      <c r="K468" s="590" t="str">
        <f ca="1">IFERROR(__xludf.DUMMYFUNCTION("""COMPUTED_VALUE"""),"1.50")</f>
        <v>1.50</v>
      </c>
      <c r="L468" s="590">
        <f ca="1">IFERROR(__xludf.DUMMYFUNCTION("""COMPUTED_VALUE"""),3)</f>
        <v>3</v>
      </c>
      <c r="M468" s="590"/>
      <c r="N468" s="590" t="str">
        <f ca="1">IFERROR(__xludf.DUMMYFUNCTION("""COMPUTED_VALUE"""),"Dị_D&lt;54")</f>
        <v>Dị_D&lt;54</v>
      </c>
      <c r="O468" s="589"/>
      <c r="P468" s="590"/>
    </row>
    <row r="469" spans="1:16" ht="15.75">
      <c r="A469" s="581" t="str">
        <f ca="1">IFERROR(__xludf.DUMMYFUNCTION("""COMPUTED_VALUE"""),"Toàn Phát - Việt Nam")</f>
        <v>Toàn Phát - Việt Nam</v>
      </c>
      <c r="B469" s="581" t="str">
        <f ca="1">IFERROR(__xludf.DUMMYFUNCTION("""COMPUTED_VALUE"""),"ĐTPCAYDI")</f>
        <v>ĐTPCAYDI</v>
      </c>
      <c r="C469" s="581" t="str">
        <f ca="1">IFERROR(__xludf.DUMMYFUNCTION("""COMPUTED_VALUE"""),"DOT170015530")</f>
        <v>DOT170015530</v>
      </c>
      <c r="D469" s="582" t="str">
        <f ca="1">IFERROR(__xludf.DUMMYFUNCTION("""COMPUTED_VALUE"""),"Đồng ống thẳng 17.00x1.55x3.0")</f>
        <v>Đồng ống thẳng 17.00x1.55x3.0</v>
      </c>
      <c r="E469" s="583">
        <f ca="1">IFERROR(__xludf.DUMMYFUNCTION("""COMPUTED_VALUE"""),0.1)</f>
        <v>0.1</v>
      </c>
      <c r="F469" s="584" t="str">
        <f ca="1">IFERROR(__xludf.DUMMYFUNCTION("""COMPUTED_VALUE"""),"Cây")</f>
        <v>Cây</v>
      </c>
      <c r="G469" s="584" t="str">
        <f ca="1">IFERROR(__xludf.DUMMYFUNCTION("""COMPUTED_VALUE"""),"Cây 3m")</f>
        <v>Cây 3m</v>
      </c>
      <c r="H469" s="582"/>
      <c r="I469" s="585">
        <f ca="1">IFERROR(__xludf.DUMMYFUNCTION("""COMPUTED_VALUE"""),2.08199564999999)</f>
        <v>2.0819956499999899</v>
      </c>
      <c r="J469" s="586" t="str">
        <f ca="1">IFERROR(__xludf.DUMMYFUNCTION("""COMPUTED_VALUE""")," 17.00 ")</f>
        <v xml:space="preserve"> 17.00 </v>
      </c>
      <c r="K469" s="584" t="str">
        <f ca="1">IFERROR(__xludf.DUMMYFUNCTION("""COMPUTED_VALUE"""),"1.55")</f>
        <v>1.55</v>
      </c>
      <c r="L469" s="584">
        <f ca="1">IFERROR(__xludf.DUMMYFUNCTION("""COMPUTED_VALUE"""),3)</f>
        <v>3</v>
      </c>
      <c r="M469" s="584"/>
      <c r="N469" s="584" t="str">
        <f ca="1">IFERROR(__xludf.DUMMYFUNCTION("""COMPUTED_VALUE"""),"Dị_D&lt;54")</f>
        <v>Dị_D&lt;54</v>
      </c>
      <c r="O469" s="583"/>
      <c r="P469" s="584"/>
    </row>
    <row r="470" spans="1:16" ht="15.75">
      <c r="A470" s="587" t="str">
        <f ca="1">IFERROR(__xludf.DUMMYFUNCTION("""COMPUTED_VALUE"""),"Toàn Phát - Việt Nam")</f>
        <v>Toàn Phát - Việt Nam</v>
      </c>
      <c r="B470" s="587" t="str">
        <f ca="1">IFERROR(__xludf.DUMMYFUNCTION("""COMPUTED_VALUE"""),"ĐTPCAYDI")</f>
        <v>ĐTPCAYDI</v>
      </c>
      <c r="C470" s="587" t="str">
        <f ca="1">IFERROR(__xludf.DUMMYFUNCTION("""COMPUTED_VALUE"""),"DOT170016030")</f>
        <v>DOT170016030</v>
      </c>
      <c r="D470" s="588" t="str">
        <f ca="1">IFERROR(__xludf.DUMMYFUNCTION("""COMPUTED_VALUE"""),"Đồng ống thẳng 17.00x1.60x3.0")</f>
        <v>Đồng ống thẳng 17.00x1.60x3.0</v>
      </c>
      <c r="E470" s="589">
        <f ca="1">IFERROR(__xludf.DUMMYFUNCTION("""COMPUTED_VALUE"""),0.1)</f>
        <v>0.1</v>
      </c>
      <c r="F470" s="590" t="str">
        <f ca="1">IFERROR(__xludf.DUMMYFUNCTION("""COMPUTED_VALUE"""),"Cây")</f>
        <v>Cây</v>
      </c>
      <c r="G470" s="590" t="str">
        <f ca="1">IFERROR(__xludf.DUMMYFUNCTION("""COMPUTED_VALUE"""),"Cây 3m")</f>
        <v>Cây 3m</v>
      </c>
      <c r="H470" s="588"/>
      <c r="I470" s="591">
        <f ca="1">IFERROR(__xludf.DUMMYFUNCTION("""COMPUTED_VALUE"""),2.1422016)</f>
        <v>2.1422015999999999</v>
      </c>
      <c r="J470" s="592" t="str">
        <f ca="1">IFERROR(__xludf.DUMMYFUNCTION("""COMPUTED_VALUE""")," 17.00 ")</f>
        <v xml:space="preserve"> 17.00 </v>
      </c>
      <c r="K470" s="590" t="str">
        <f ca="1">IFERROR(__xludf.DUMMYFUNCTION("""COMPUTED_VALUE"""),"1.60")</f>
        <v>1.60</v>
      </c>
      <c r="L470" s="590">
        <f ca="1">IFERROR(__xludf.DUMMYFUNCTION("""COMPUTED_VALUE"""),3)</f>
        <v>3</v>
      </c>
      <c r="M470" s="590"/>
      <c r="N470" s="590" t="str">
        <f ca="1">IFERROR(__xludf.DUMMYFUNCTION("""COMPUTED_VALUE"""),"Dị_D&lt;54")</f>
        <v>Dị_D&lt;54</v>
      </c>
      <c r="O470" s="589"/>
      <c r="P470" s="590"/>
    </row>
    <row r="471" spans="1:16" ht="15.75">
      <c r="A471" s="581" t="str">
        <f ca="1">IFERROR(__xludf.DUMMYFUNCTION("""COMPUTED_VALUE"""),"Toàn Phát - Việt Nam")</f>
        <v>Toàn Phát - Việt Nam</v>
      </c>
      <c r="B471" s="581" t="str">
        <f ca="1">IFERROR(__xludf.DUMMYFUNCTION("""COMPUTED_VALUE"""),"ĐTPCAYDI")</f>
        <v>ĐTPCAYDI</v>
      </c>
      <c r="C471" s="581" t="str">
        <f ca="1">IFERROR(__xludf.DUMMYFUNCTION("""COMPUTED_VALUE"""),"DOT170017530")</f>
        <v>DOT170017530</v>
      </c>
      <c r="D471" s="582" t="str">
        <f ca="1">IFERROR(__xludf.DUMMYFUNCTION("""COMPUTED_VALUE"""),"Đồng ống thẳng 17.00x1.75x3.0")</f>
        <v>Đồng ống thẳng 17.00x1.75x3.0</v>
      </c>
      <c r="E471" s="583">
        <f ca="1">IFERROR(__xludf.DUMMYFUNCTION("""COMPUTED_VALUE"""),0.1)</f>
        <v>0.1</v>
      </c>
      <c r="F471" s="584" t="str">
        <f ca="1">IFERROR(__xludf.DUMMYFUNCTION("""COMPUTED_VALUE"""),"Cây")</f>
        <v>Cây</v>
      </c>
      <c r="G471" s="584" t="str">
        <f ca="1">IFERROR(__xludf.DUMMYFUNCTION("""COMPUTED_VALUE"""),"Cây 3m")</f>
        <v>Cây 3m</v>
      </c>
      <c r="H471" s="582"/>
      <c r="I471" s="585">
        <f ca="1">IFERROR(__xludf.DUMMYFUNCTION("""COMPUTED_VALUE"""),2.32021124999999)</f>
        <v>2.3202112499999901</v>
      </c>
      <c r="J471" s="586" t="str">
        <f ca="1">IFERROR(__xludf.DUMMYFUNCTION("""COMPUTED_VALUE""")," 17.00 ")</f>
        <v xml:space="preserve"> 17.00 </v>
      </c>
      <c r="K471" s="584" t="str">
        <f ca="1">IFERROR(__xludf.DUMMYFUNCTION("""COMPUTED_VALUE"""),"1.75")</f>
        <v>1.75</v>
      </c>
      <c r="L471" s="584">
        <f ca="1">IFERROR(__xludf.DUMMYFUNCTION("""COMPUTED_VALUE"""),3)</f>
        <v>3</v>
      </c>
      <c r="M471" s="584"/>
      <c r="N471" s="584" t="str">
        <f ca="1">IFERROR(__xludf.DUMMYFUNCTION("""COMPUTED_VALUE"""),"Dị_D&lt;54")</f>
        <v>Dị_D&lt;54</v>
      </c>
      <c r="O471" s="583"/>
      <c r="P471" s="584"/>
    </row>
    <row r="472" spans="1:16" ht="15.75">
      <c r="A472" s="587" t="str">
        <f ca="1">IFERROR(__xludf.DUMMYFUNCTION("""COMPUTED_VALUE"""),"Toàn Phát - Việt Nam")</f>
        <v>Toàn Phát - Việt Nam</v>
      </c>
      <c r="B472" s="587" t="str">
        <f ca="1">IFERROR(__xludf.DUMMYFUNCTION("""COMPUTED_VALUE"""),"ĐTPCAYDI")</f>
        <v>ĐTPCAYDI</v>
      </c>
      <c r="C472" s="587" t="str">
        <f ca="1">IFERROR(__xludf.DUMMYFUNCTION("""COMPUTED_VALUE"""),"DOT174019030")</f>
        <v>DOT174019030</v>
      </c>
      <c r="D472" s="588" t="str">
        <f ca="1">IFERROR(__xludf.DUMMYFUNCTION("""COMPUTED_VALUE"""),"Đồng ống thẳng 17.40x1.90x3.0")</f>
        <v>Đồng ống thẳng 17.40x1.90x3.0</v>
      </c>
      <c r="E472" s="589">
        <f ca="1">IFERROR(__xludf.DUMMYFUNCTION("""COMPUTED_VALUE"""),0.1)</f>
        <v>0.1</v>
      </c>
      <c r="F472" s="590" t="str">
        <f ca="1">IFERROR(__xludf.DUMMYFUNCTION("""COMPUTED_VALUE"""),"Cây")</f>
        <v>Cây</v>
      </c>
      <c r="G472" s="590" t="str">
        <f ca="1">IFERROR(__xludf.DUMMYFUNCTION("""COMPUTED_VALUE"""),"Cây 3m")</f>
        <v>Cây 3m</v>
      </c>
      <c r="H472" s="588"/>
      <c r="I472" s="591">
        <f ca="1">IFERROR(__xludf.DUMMYFUNCTION("""COMPUTED_VALUE"""),2.56038299999999)</f>
        <v>2.5603829999999901</v>
      </c>
      <c r="J472" s="592" t="str">
        <f ca="1">IFERROR(__xludf.DUMMYFUNCTION("""COMPUTED_VALUE""")," 17.40 ")</f>
        <v xml:space="preserve"> 17.40 </v>
      </c>
      <c r="K472" s="590" t="str">
        <f ca="1">IFERROR(__xludf.DUMMYFUNCTION("""COMPUTED_VALUE"""),"1.90")</f>
        <v>1.90</v>
      </c>
      <c r="L472" s="590">
        <f ca="1">IFERROR(__xludf.DUMMYFUNCTION("""COMPUTED_VALUE"""),3)</f>
        <v>3</v>
      </c>
      <c r="M472" s="590"/>
      <c r="N472" s="590" t="str">
        <f ca="1">IFERROR(__xludf.DUMMYFUNCTION("""COMPUTED_VALUE"""),"Dị_D&lt;54")</f>
        <v>Dị_D&lt;54</v>
      </c>
      <c r="O472" s="589"/>
      <c r="P472" s="590"/>
    </row>
    <row r="473" spans="1:16" ht="15.75">
      <c r="A473" s="581" t="str">
        <f ca="1">IFERROR(__xludf.DUMMYFUNCTION("""COMPUTED_VALUE"""),"Toàn Phát - Việt Nam")</f>
        <v>Toàn Phát - Việt Nam</v>
      </c>
      <c r="B473" s="581" t="str">
        <f ca="1">IFERROR(__xludf.DUMMYFUNCTION("""COMPUTED_VALUE"""),"ĐTPCAYDI")</f>
        <v>ĐTPCAYDI</v>
      </c>
      <c r="C473" s="581" t="str">
        <f ca="1">IFERROR(__xludf.DUMMYFUNCTION("""COMPUTED_VALUE"""),"DOT174020020")</f>
        <v>DOT174020020</v>
      </c>
      <c r="D473" s="582" t="str">
        <f ca="1">IFERROR(__xludf.DUMMYFUNCTION("""COMPUTED_VALUE"""),"Đồng ống thẳng 17.40x2.00x2.0")</f>
        <v>Đồng ống thẳng 17.40x2.00x2.0</v>
      </c>
      <c r="E473" s="583">
        <f ca="1">IFERROR(__xludf.DUMMYFUNCTION("""COMPUTED_VALUE"""),0.1)</f>
        <v>0.1</v>
      </c>
      <c r="F473" s="584" t="str">
        <f ca="1">IFERROR(__xludf.DUMMYFUNCTION("""COMPUTED_VALUE"""),"Cây")</f>
        <v>Cây</v>
      </c>
      <c r="G473" s="584" t="str">
        <f ca="1">IFERROR(__xludf.DUMMYFUNCTION("""COMPUTED_VALUE"""),"Cây 2m")</f>
        <v>Cây 2m</v>
      </c>
      <c r="H473" s="582"/>
      <c r="I473" s="585">
        <f ca="1">IFERROR(__xludf.DUMMYFUNCTION("""COMPUTED_VALUE"""),1.78516799999999)</f>
        <v>1.7851679999999901</v>
      </c>
      <c r="J473" s="586" t="str">
        <f ca="1">IFERROR(__xludf.DUMMYFUNCTION("""COMPUTED_VALUE""")," 17.40 ")</f>
        <v xml:space="preserve"> 17.40 </v>
      </c>
      <c r="K473" s="584" t="str">
        <f ca="1">IFERROR(__xludf.DUMMYFUNCTION("""COMPUTED_VALUE"""),"2.00")</f>
        <v>2.00</v>
      </c>
      <c r="L473" s="584">
        <f ca="1">IFERROR(__xludf.DUMMYFUNCTION("""COMPUTED_VALUE"""),2)</f>
        <v>2</v>
      </c>
      <c r="M473" s="584"/>
      <c r="N473" s="584" t="str">
        <f ca="1">IFERROR(__xludf.DUMMYFUNCTION("""COMPUTED_VALUE"""),"Dị_D&lt;54")</f>
        <v>Dị_D&lt;54</v>
      </c>
      <c r="O473" s="583"/>
      <c r="P473" s="584"/>
    </row>
    <row r="474" spans="1:16" ht="15.75">
      <c r="A474" s="587" t="str">
        <f ca="1">IFERROR(__xludf.DUMMYFUNCTION("""COMPUTED_VALUE"""),"Toàn Phát - Việt Nam")</f>
        <v>Toàn Phát - Việt Nam</v>
      </c>
      <c r="B474" s="587" t="str">
        <f ca="1">IFERROR(__xludf.DUMMYFUNCTION("""COMPUTED_VALUE"""),"ĐTPCAYDI")</f>
        <v>ĐTPCAYDI</v>
      </c>
      <c r="C474" s="587" t="str">
        <f ca="1">IFERROR(__xludf.DUMMYFUNCTION("""COMPUTED_VALUE"""),"DOT175013030")</f>
        <v>DOT175013030</v>
      </c>
      <c r="D474" s="588" t="str">
        <f ca="1">IFERROR(__xludf.DUMMYFUNCTION("""COMPUTED_VALUE"""),"Đồng ống thẳng 17.50x1.30x3.0")</f>
        <v>Đồng ống thẳng 17.50x1.30x3.0</v>
      </c>
      <c r="E474" s="589">
        <f ca="1">IFERROR(__xludf.DUMMYFUNCTION("""COMPUTED_VALUE"""),0.1)</f>
        <v>0.1</v>
      </c>
      <c r="F474" s="590" t="str">
        <f ca="1">IFERROR(__xludf.DUMMYFUNCTION("""COMPUTED_VALUE"""),"Cây")</f>
        <v>Cây</v>
      </c>
      <c r="G474" s="590" t="str">
        <f ca="1">IFERROR(__xludf.DUMMYFUNCTION("""COMPUTED_VALUE"""),"Cây 3m")</f>
        <v>Cây 3m</v>
      </c>
      <c r="H474" s="588"/>
      <c r="I474" s="591">
        <f ca="1">IFERROR(__xludf.DUMMYFUNCTION("""COMPUTED_VALUE"""),1.83095639999999)</f>
        <v>1.83095639999999</v>
      </c>
      <c r="J474" s="592" t="str">
        <f ca="1">IFERROR(__xludf.DUMMYFUNCTION("""COMPUTED_VALUE""")," 17.50 ")</f>
        <v xml:space="preserve"> 17.50 </v>
      </c>
      <c r="K474" s="590" t="str">
        <f ca="1">IFERROR(__xludf.DUMMYFUNCTION("""COMPUTED_VALUE"""),"1.30")</f>
        <v>1.30</v>
      </c>
      <c r="L474" s="590">
        <f ca="1">IFERROR(__xludf.DUMMYFUNCTION("""COMPUTED_VALUE"""),3)</f>
        <v>3</v>
      </c>
      <c r="M474" s="590"/>
      <c r="N474" s="590" t="str">
        <f ca="1">IFERROR(__xludf.DUMMYFUNCTION("""COMPUTED_VALUE"""),"Dị_D&lt;54")</f>
        <v>Dị_D&lt;54</v>
      </c>
      <c r="O474" s="589"/>
      <c r="P474" s="590"/>
    </row>
    <row r="475" spans="1:16" ht="15.75">
      <c r="A475" s="581" t="str">
        <f ca="1">IFERROR(__xludf.DUMMYFUNCTION("""COMPUTED_VALUE"""),"Toàn Phát - Việt Nam")</f>
        <v>Toàn Phát - Việt Nam</v>
      </c>
      <c r="B475" s="581" t="str">
        <f ca="1">IFERROR(__xludf.DUMMYFUNCTION("""COMPUTED_VALUE"""),"ĐTPCAYDI")</f>
        <v>ĐTPCAYDI</v>
      </c>
      <c r="C475" s="581" t="str">
        <f ca="1">IFERROR(__xludf.DUMMYFUNCTION("""COMPUTED_VALUE"""),"DOT175014530")</f>
        <v>DOT175014530</v>
      </c>
      <c r="D475" s="582" t="str">
        <f ca="1">IFERROR(__xludf.DUMMYFUNCTION("""COMPUTED_VALUE"""),"Đồng ống thẳng 17.50x1.45x3.0")</f>
        <v>Đồng ống thẳng 17.50x1.45x3.0</v>
      </c>
      <c r="E475" s="583">
        <f ca="1">IFERROR(__xludf.DUMMYFUNCTION("""COMPUTED_VALUE"""),0.1)</f>
        <v>0.1</v>
      </c>
      <c r="F475" s="584" t="str">
        <f ca="1">IFERROR(__xludf.DUMMYFUNCTION("""COMPUTED_VALUE"""),"Cây")</f>
        <v>Cây</v>
      </c>
      <c r="G475" s="584" t="str">
        <f ca="1">IFERROR(__xludf.DUMMYFUNCTION("""COMPUTED_VALUE"""),"Cây 3m")</f>
        <v>Cây 3m</v>
      </c>
      <c r="H475" s="582"/>
      <c r="I475" s="585">
        <f ca="1">IFERROR(__xludf.DUMMYFUNCTION("""COMPUTED_VALUE"""),2.02331115)</f>
        <v>2.0233111500000001</v>
      </c>
      <c r="J475" s="586" t="str">
        <f ca="1">IFERROR(__xludf.DUMMYFUNCTION("""COMPUTED_VALUE""")," 17.50 ")</f>
        <v xml:space="preserve"> 17.50 </v>
      </c>
      <c r="K475" s="584" t="str">
        <f ca="1">IFERROR(__xludf.DUMMYFUNCTION("""COMPUTED_VALUE"""),"1.45")</f>
        <v>1.45</v>
      </c>
      <c r="L475" s="584">
        <f ca="1">IFERROR(__xludf.DUMMYFUNCTION("""COMPUTED_VALUE"""),3)</f>
        <v>3</v>
      </c>
      <c r="M475" s="584"/>
      <c r="N475" s="584" t="str">
        <f ca="1">IFERROR(__xludf.DUMMYFUNCTION("""COMPUTED_VALUE"""),"Dị_D&lt;54")</f>
        <v>Dị_D&lt;54</v>
      </c>
      <c r="O475" s="583"/>
      <c r="P475" s="584"/>
    </row>
    <row r="476" spans="1:16" ht="15.75">
      <c r="A476" s="587" t="str">
        <f ca="1">IFERROR(__xludf.DUMMYFUNCTION("""COMPUTED_VALUE"""),"Toàn Phát - Việt Nam")</f>
        <v>Toàn Phát - Việt Nam</v>
      </c>
      <c r="B476" s="587" t="str">
        <f ca="1">IFERROR(__xludf.DUMMYFUNCTION("""COMPUTED_VALUE"""),"ĐTPCAYDI")</f>
        <v>ĐTPCAYDI</v>
      </c>
      <c r="C476" s="587" t="str">
        <f ca="1">IFERROR(__xludf.DUMMYFUNCTION("""COMPUTED_VALUE"""),"DOT175015030")</f>
        <v>DOT175015030</v>
      </c>
      <c r="D476" s="588" t="str">
        <f ca="1">IFERROR(__xludf.DUMMYFUNCTION("""COMPUTED_VALUE"""),"Đồng ống thẳng 17.50x1.50x3.0")</f>
        <v>Đồng ống thẳng 17.50x1.50x3.0</v>
      </c>
      <c r="E476" s="589">
        <f ca="1">IFERROR(__xludf.DUMMYFUNCTION("""COMPUTED_VALUE"""),0.1)</f>
        <v>0.1</v>
      </c>
      <c r="F476" s="590" t="str">
        <f ca="1">IFERROR(__xludf.DUMMYFUNCTION("""COMPUTED_VALUE"""),"Cây")</f>
        <v>Cây</v>
      </c>
      <c r="G476" s="590" t="str">
        <f ca="1">IFERROR(__xludf.DUMMYFUNCTION("""COMPUTED_VALUE"""),"Cây 3m")</f>
        <v>Cây 3m</v>
      </c>
      <c r="H476" s="588"/>
      <c r="I476" s="591">
        <f ca="1">IFERROR(__xludf.DUMMYFUNCTION("""COMPUTED_VALUE"""),2.08656)</f>
        <v>2.08656</v>
      </c>
      <c r="J476" s="592" t="str">
        <f ca="1">IFERROR(__xludf.DUMMYFUNCTION("""COMPUTED_VALUE""")," 17.50 ")</f>
        <v xml:space="preserve"> 17.50 </v>
      </c>
      <c r="K476" s="590" t="str">
        <f ca="1">IFERROR(__xludf.DUMMYFUNCTION("""COMPUTED_VALUE"""),"1.50")</f>
        <v>1.50</v>
      </c>
      <c r="L476" s="590">
        <f ca="1">IFERROR(__xludf.DUMMYFUNCTION("""COMPUTED_VALUE"""),3)</f>
        <v>3</v>
      </c>
      <c r="M476" s="590"/>
      <c r="N476" s="590" t="str">
        <f ca="1">IFERROR(__xludf.DUMMYFUNCTION("""COMPUTED_VALUE"""),"Dị_D&lt;54")</f>
        <v>Dị_D&lt;54</v>
      </c>
      <c r="O476" s="589"/>
      <c r="P476" s="590"/>
    </row>
    <row r="477" spans="1:16" ht="15.75">
      <c r="A477" s="581" t="str">
        <f ca="1">IFERROR(__xludf.DUMMYFUNCTION("""COMPUTED_VALUE"""),"Toàn Phát - Việt Nam")</f>
        <v>Toàn Phát - Việt Nam</v>
      </c>
      <c r="B477" s="581" t="str">
        <f ca="1">IFERROR(__xludf.DUMMYFUNCTION("""COMPUTED_VALUE"""),"ĐTPCAYDI")</f>
        <v>ĐTPCAYDI</v>
      </c>
      <c r="C477" s="581" t="str">
        <f ca="1">IFERROR(__xludf.DUMMYFUNCTION("""COMPUTED_VALUE"""),"DOT175016030")</f>
        <v>DOT175016030</v>
      </c>
      <c r="D477" s="582" t="str">
        <f ca="1">IFERROR(__xludf.DUMMYFUNCTION("""COMPUTED_VALUE"""),"Đồng ống thẳng 17.50x1.60x3.0")</f>
        <v>Đồng ống thẳng 17.50x1.60x3.0</v>
      </c>
      <c r="E477" s="583">
        <f ca="1">IFERROR(__xludf.DUMMYFUNCTION("""COMPUTED_VALUE"""),0.1)</f>
        <v>0.1</v>
      </c>
      <c r="F477" s="584" t="str">
        <f ca="1">IFERROR(__xludf.DUMMYFUNCTION("""COMPUTED_VALUE"""),"Cây")</f>
        <v>Cây</v>
      </c>
      <c r="G477" s="584" t="str">
        <f ca="1">IFERROR(__xludf.DUMMYFUNCTION("""COMPUTED_VALUE"""),"Cây 3m")</f>
        <v>Cây 3m</v>
      </c>
      <c r="H477" s="582"/>
      <c r="I477" s="585">
        <f ca="1">IFERROR(__xludf.DUMMYFUNCTION("""COMPUTED_VALUE"""),2.2117536)</f>
        <v>2.2117536000000002</v>
      </c>
      <c r="J477" s="586" t="str">
        <f ca="1">IFERROR(__xludf.DUMMYFUNCTION("""COMPUTED_VALUE""")," 17.50 ")</f>
        <v xml:space="preserve"> 17.50 </v>
      </c>
      <c r="K477" s="584" t="str">
        <f ca="1">IFERROR(__xludf.DUMMYFUNCTION("""COMPUTED_VALUE"""),"1.60")</f>
        <v>1.60</v>
      </c>
      <c r="L477" s="584">
        <f ca="1">IFERROR(__xludf.DUMMYFUNCTION("""COMPUTED_VALUE"""),3)</f>
        <v>3</v>
      </c>
      <c r="M477" s="584"/>
      <c r="N477" s="584" t="str">
        <f ca="1">IFERROR(__xludf.DUMMYFUNCTION("""COMPUTED_VALUE"""),"Dị_D&lt;54")</f>
        <v>Dị_D&lt;54</v>
      </c>
      <c r="O477" s="583"/>
      <c r="P477" s="584"/>
    </row>
    <row r="478" spans="1:16" ht="15.75">
      <c r="A478" s="587" t="str">
        <f ca="1">IFERROR(__xludf.DUMMYFUNCTION("""COMPUTED_VALUE"""),"Toàn Phát - Việt Nam")</f>
        <v>Toàn Phát - Việt Nam</v>
      </c>
      <c r="B478" s="587" t="str">
        <f ca="1">IFERROR(__xludf.DUMMYFUNCTION("""COMPUTED_VALUE"""),"ĐTPCAYDI")</f>
        <v>ĐTPCAYDI</v>
      </c>
      <c r="C478" s="587" t="str">
        <f ca="1">IFERROR(__xludf.DUMMYFUNCTION("""COMPUTED_VALUE"""),"DOT175017030")</f>
        <v>DOT175017030</v>
      </c>
      <c r="D478" s="588" t="str">
        <f ca="1">IFERROR(__xludf.DUMMYFUNCTION("""COMPUTED_VALUE"""),"Đồng ống thẳng 17.50x1.70x3.0")</f>
        <v>Đồng ống thẳng 17.50x1.70x3.0</v>
      </c>
      <c r="E478" s="589">
        <f ca="1">IFERROR(__xludf.DUMMYFUNCTION("""COMPUTED_VALUE"""),0.1)</f>
        <v>0.1</v>
      </c>
      <c r="F478" s="590" t="str">
        <f ca="1">IFERROR(__xludf.DUMMYFUNCTION("""COMPUTED_VALUE"""),"Cây")</f>
        <v>Cây</v>
      </c>
      <c r="G478" s="590" t="str">
        <f ca="1">IFERROR(__xludf.DUMMYFUNCTION("""COMPUTED_VALUE"""),"Cây 3m")</f>
        <v>Cây 3m</v>
      </c>
      <c r="H478" s="588"/>
      <c r="I478" s="591">
        <f ca="1">IFERROR(__xludf.DUMMYFUNCTION("""COMPUTED_VALUE"""),2.3352084)</f>
        <v>2.3352084</v>
      </c>
      <c r="J478" s="592" t="str">
        <f ca="1">IFERROR(__xludf.DUMMYFUNCTION("""COMPUTED_VALUE""")," 17.50 ")</f>
        <v xml:space="preserve"> 17.50 </v>
      </c>
      <c r="K478" s="590" t="str">
        <f ca="1">IFERROR(__xludf.DUMMYFUNCTION("""COMPUTED_VALUE"""),"1.70")</f>
        <v>1.70</v>
      </c>
      <c r="L478" s="590">
        <f ca="1">IFERROR(__xludf.DUMMYFUNCTION("""COMPUTED_VALUE"""),3)</f>
        <v>3</v>
      </c>
      <c r="M478" s="590"/>
      <c r="N478" s="590" t="str">
        <f ca="1">IFERROR(__xludf.DUMMYFUNCTION("""COMPUTED_VALUE"""),"Dị_D&lt;54")</f>
        <v>Dị_D&lt;54</v>
      </c>
      <c r="O478" s="589"/>
      <c r="P478" s="590"/>
    </row>
    <row r="479" spans="1:16" ht="15.75">
      <c r="A479" s="581" t="str">
        <f ca="1">IFERROR(__xludf.DUMMYFUNCTION("""COMPUTED_VALUE"""),"Toàn Phát - Việt Nam")</f>
        <v>Toàn Phát - Việt Nam</v>
      </c>
      <c r="B479" s="581" t="str">
        <f ca="1">IFERROR(__xludf.DUMMYFUNCTION("""COMPUTED_VALUE"""),"ĐTPCAYDI")</f>
        <v>ĐTPCAYDI</v>
      </c>
      <c r="C479" s="581" t="str">
        <f ca="1">IFERROR(__xludf.DUMMYFUNCTION("""COMPUTED_VALUE"""),"DOT180015030")</f>
        <v>DOT180015030</v>
      </c>
      <c r="D479" s="582" t="str">
        <f ca="1">IFERROR(__xludf.DUMMYFUNCTION("""COMPUTED_VALUE"""),"Đồng ống thẳng 18.00x1.50x3.0")</f>
        <v>Đồng ống thẳng 18.00x1.50x3.0</v>
      </c>
      <c r="E479" s="583">
        <f ca="1">IFERROR(__xludf.DUMMYFUNCTION("""COMPUTED_VALUE"""),0.1)</f>
        <v>0.1</v>
      </c>
      <c r="F479" s="584" t="str">
        <f ca="1">IFERROR(__xludf.DUMMYFUNCTION("""COMPUTED_VALUE"""),"Cây")</f>
        <v>Cây</v>
      </c>
      <c r="G479" s="584" t="str">
        <f ca="1">IFERROR(__xludf.DUMMYFUNCTION("""COMPUTED_VALUE"""),"Cây 3m")</f>
        <v>Cây 3m</v>
      </c>
      <c r="H479" s="582"/>
      <c r="I479" s="585">
        <f ca="1">IFERROR(__xludf.DUMMYFUNCTION("""COMPUTED_VALUE"""),2.151765)</f>
        <v>2.1517650000000001</v>
      </c>
      <c r="J479" s="586" t="str">
        <f ca="1">IFERROR(__xludf.DUMMYFUNCTION("""COMPUTED_VALUE""")," 18.00 ")</f>
        <v xml:space="preserve"> 18.00 </v>
      </c>
      <c r="K479" s="584" t="str">
        <f ca="1">IFERROR(__xludf.DUMMYFUNCTION("""COMPUTED_VALUE"""),"1.50")</f>
        <v>1.50</v>
      </c>
      <c r="L479" s="584">
        <f ca="1">IFERROR(__xludf.DUMMYFUNCTION("""COMPUTED_VALUE"""),3)</f>
        <v>3</v>
      </c>
      <c r="M479" s="584"/>
      <c r="N479" s="584" t="str">
        <f ca="1">IFERROR(__xludf.DUMMYFUNCTION("""COMPUTED_VALUE"""),"Dị_D&lt;54")</f>
        <v>Dị_D&lt;54</v>
      </c>
      <c r="O479" s="583"/>
      <c r="P479" s="584"/>
    </row>
    <row r="480" spans="1:16" ht="15.75">
      <c r="A480" s="587" t="str">
        <f ca="1">IFERROR(__xludf.DUMMYFUNCTION("""COMPUTED_VALUE"""),"Toàn Phát - Việt Nam")</f>
        <v>Toàn Phát - Việt Nam</v>
      </c>
      <c r="B480" s="587" t="str">
        <f ca="1">IFERROR(__xludf.DUMMYFUNCTION("""COMPUTED_VALUE"""),"ĐTPCAYDI")</f>
        <v>ĐTPCAYDI</v>
      </c>
      <c r="C480" s="587" t="str">
        <f ca="1">IFERROR(__xludf.DUMMYFUNCTION("""COMPUTED_VALUE"""),"DOT180015530")</f>
        <v>DOT180015530</v>
      </c>
      <c r="D480" s="588" t="str">
        <f ca="1">IFERROR(__xludf.DUMMYFUNCTION("""COMPUTED_VALUE"""),"Đồng ống thẳng 18.00x1.55x30")</f>
        <v>Đồng ống thẳng 18.00x1.55x30</v>
      </c>
      <c r="E480" s="589">
        <f ca="1">IFERROR(__xludf.DUMMYFUNCTION("""COMPUTED_VALUE"""),0.1)</f>
        <v>0.1</v>
      </c>
      <c r="F480" s="590" t="str">
        <f ca="1">IFERROR(__xludf.DUMMYFUNCTION("""COMPUTED_VALUE"""),"Cây")</f>
        <v>Cây</v>
      </c>
      <c r="G480" s="590" t="str">
        <f ca="1">IFERROR(__xludf.DUMMYFUNCTION("""COMPUTED_VALUE"""),"Cây 3m")</f>
        <v>Cây 3m</v>
      </c>
      <c r="H480" s="588"/>
      <c r="I480" s="591">
        <f ca="1">IFERROR(__xludf.DUMMYFUNCTION("""COMPUTED_VALUE"""),2.21675264999999)</f>
        <v>2.2167526499999899</v>
      </c>
      <c r="J480" s="592" t="str">
        <f ca="1">IFERROR(__xludf.DUMMYFUNCTION("""COMPUTED_VALUE""")," 18.00 ")</f>
        <v xml:space="preserve"> 18.00 </v>
      </c>
      <c r="K480" s="590" t="str">
        <f ca="1">IFERROR(__xludf.DUMMYFUNCTION("""COMPUTED_VALUE"""),"1.55")</f>
        <v>1.55</v>
      </c>
      <c r="L480" s="590">
        <f ca="1">IFERROR(__xludf.DUMMYFUNCTION("""COMPUTED_VALUE"""),3)</f>
        <v>3</v>
      </c>
      <c r="M480" s="590"/>
      <c r="N480" s="590" t="str">
        <f ca="1">IFERROR(__xludf.DUMMYFUNCTION("""COMPUTED_VALUE"""),"Dị_D&lt;54")</f>
        <v>Dị_D&lt;54</v>
      </c>
      <c r="O480" s="589"/>
      <c r="P480" s="590"/>
    </row>
    <row r="481" spans="1:16" ht="15.75">
      <c r="A481" s="581" t="str">
        <f ca="1">IFERROR(__xludf.DUMMYFUNCTION("""COMPUTED_VALUE"""),"Toàn Phát - Việt Nam")</f>
        <v>Toàn Phát - Việt Nam</v>
      </c>
      <c r="B481" s="581" t="str">
        <f ca="1">IFERROR(__xludf.DUMMYFUNCTION("""COMPUTED_VALUE"""),"ĐTPCAYDI")</f>
        <v>ĐTPCAYDI</v>
      </c>
      <c r="C481" s="581" t="str">
        <f ca="1">IFERROR(__xludf.DUMMYFUNCTION("""COMPUTED_VALUE"""),"DOT180016030")</f>
        <v>DOT180016030</v>
      </c>
      <c r="D481" s="582" t="str">
        <f ca="1">IFERROR(__xludf.DUMMYFUNCTION("""COMPUTED_VALUE"""),"Đồng ống thẳng 18.00x1.6x30")</f>
        <v>Đồng ống thẳng 18.00x1.6x30</v>
      </c>
      <c r="E481" s="583">
        <f ca="1">IFERROR(__xludf.DUMMYFUNCTION("""COMPUTED_VALUE"""),0.1)</f>
        <v>0.1</v>
      </c>
      <c r="F481" s="584" t="str">
        <f ca="1">IFERROR(__xludf.DUMMYFUNCTION("""COMPUTED_VALUE"""),"Cây")</f>
        <v>Cây</v>
      </c>
      <c r="G481" s="584" t="str">
        <f ca="1">IFERROR(__xludf.DUMMYFUNCTION("""COMPUTED_VALUE"""),"Cây 3m")</f>
        <v>Cây 3m</v>
      </c>
      <c r="H481" s="582"/>
      <c r="I481" s="585">
        <f ca="1">IFERROR(__xludf.DUMMYFUNCTION("""COMPUTED_VALUE"""),2.28130559999999)</f>
        <v>2.2813055999999898</v>
      </c>
      <c r="J481" s="586" t="str">
        <f ca="1">IFERROR(__xludf.DUMMYFUNCTION("""COMPUTED_VALUE""")," 18.00 ")</f>
        <v xml:space="preserve"> 18.00 </v>
      </c>
      <c r="K481" s="584" t="str">
        <f ca="1">IFERROR(__xludf.DUMMYFUNCTION("""COMPUTED_VALUE"""),"1.60")</f>
        <v>1.60</v>
      </c>
      <c r="L481" s="584">
        <f ca="1">IFERROR(__xludf.DUMMYFUNCTION("""COMPUTED_VALUE"""),3)</f>
        <v>3</v>
      </c>
      <c r="M481" s="584"/>
      <c r="N481" s="584" t="str">
        <f ca="1">IFERROR(__xludf.DUMMYFUNCTION("""COMPUTED_VALUE"""),"Dị_D&lt;54")</f>
        <v>Dị_D&lt;54</v>
      </c>
      <c r="O481" s="583"/>
      <c r="P481" s="584"/>
    </row>
    <row r="482" spans="1:16" ht="15.75">
      <c r="A482" s="587" t="str">
        <f ca="1">IFERROR(__xludf.DUMMYFUNCTION("""COMPUTED_VALUE"""),"Toàn Phát - Việt Nam")</f>
        <v>Toàn Phát - Việt Nam</v>
      </c>
      <c r="B482" s="587" t="str">
        <f ca="1">IFERROR(__xludf.DUMMYFUNCTION("""COMPUTED_VALUE"""),"ĐTPCAYDI")</f>
        <v>ĐTPCAYDI</v>
      </c>
      <c r="C482" s="587" t="str">
        <f ca="1">IFERROR(__xludf.DUMMYFUNCTION("""COMPUTED_VALUE"""),"DOT180017530")</f>
        <v>DOT180017530</v>
      </c>
      <c r="D482" s="588" t="str">
        <f ca="1">IFERROR(__xludf.DUMMYFUNCTION("""COMPUTED_VALUE"""),"Đồng ống thẳng 18.00x1.75x30")</f>
        <v>Đồng ống thẳng 18.00x1.75x30</v>
      </c>
      <c r="E482" s="589">
        <f ca="1">IFERROR(__xludf.DUMMYFUNCTION("""COMPUTED_VALUE"""),0.1)</f>
        <v>0.1</v>
      </c>
      <c r="F482" s="590" t="str">
        <f ca="1">IFERROR(__xludf.DUMMYFUNCTION("""COMPUTED_VALUE"""),"Cây")</f>
        <v>Cây</v>
      </c>
      <c r="G482" s="590" t="str">
        <f ca="1">IFERROR(__xludf.DUMMYFUNCTION("""COMPUTED_VALUE"""),"Cây 3m")</f>
        <v>Cây 3m</v>
      </c>
      <c r="H482" s="588"/>
      <c r="I482" s="591">
        <f ca="1">IFERROR(__xludf.DUMMYFUNCTION("""COMPUTED_VALUE"""),2.47235625)</f>
        <v>2.4723562499999998</v>
      </c>
      <c r="J482" s="592" t="str">
        <f ca="1">IFERROR(__xludf.DUMMYFUNCTION("""COMPUTED_VALUE""")," 18.00 ")</f>
        <v xml:space="preserve"> 18.00 </v>
      </c>
      <c r="K482" s="590" t="str">
        <f ca="1">IFERROR(__xludf.DUMMYFUNCTION("""COMPUTED_VALUE"""),"1.75")</f>
        <v>1.75</v>
      </c>
      <c r="L482" s="590">
        <f ca="1">IFERROR(__xludf.DUMMYFUNCTION("""COMPUTED_VALUE"""),3)</f>
        <v>3</v>
      </c>
      <c r="M482" s="590"/>
      <c r="N482" s="590" t="str">
        <f ca="1">IFERROR(__xludf.DUMMYFUNCTION("""COMPUTED_VALUE"""),"Dị_D&lt;54")</f>
        <v>Dị_D&lt;54</v>
      </c>
      <c r="O482" s="589"/>
      <c r="P482" s="590"/>
    </row>
    <row r="483" spans="1:16" ht="15.75">
      <c r="A483" s="581" t="str">
        <f ca="1">IFERROR(__xludf.DUMMYFUNCTION("""COMPUTED_VALUE"""),"Toàn Phát - Việt Nam")</f>
        <v>Toàn Phát - Việt Nam</v>
      </c>
      <c r="B483" s="581" t="str">
        <f ca="1">IFERROR(__xludf.DUMMYFUNCTION("""COMPUTED_VALUE"""),"ĐTPCAYDI")</f>
        <v>ĐTPCAYDI</v>
      </c>
      <c r="C483" s="581" t="str">
        <f ca="1">IFERROR(__xludf.DUMMYFUNCTION("""COMPUTED_VALUE"""),"DOT182817020")</f>
        <v>DOT182817020</v>
      </c>
      <c r="D483" s="582" t="str">
        <f ca="1">IFERROR(__xludf.DUMMYFUNCTION("""COMPUTED_VALUE"""),"Đồng ống thẳng 18.28x1.70x2.0")</f>
        <v>Đồng ống thẳng 18.28x1.70x2.0</v>
      </c>
      <c r="E483" s="583">
        <f ca="1">IFERROR(__xludf.DUMMYFUNCTION("""COMPUTED_VALUE"""),0.1)</f>
        <v>0.1</v>
      </c>
      <c r="F483" s="584" t="str">
        <f ca="1">IFERROR(__xludf.DUMMYFUNCTION("""COMPUTED_VALUE"""),"Cây")</f>
        <v>Cây</v>
      </c>
      <c r="G483" s="584" t="str">
        <f ca="1">IFERROR(__xludf.DUMMYFUNCTION("""COMPUTED_VALUE"""),"Cây 2m")</f>
        <v>Cây 2m</v>
      </c>
      <c r="H483" s="582"/>
      <c r="I483" s="585">
        <f ca="1">IFERROR(__xludf.DUMMYFUNCTION("""COMPUTED_VALUE"""),1.63366056)</f>
        <v>1.63366056</v>
      </c>
      <c r="J483" s="586" t="str">
        <f ca="1">IFERROR(__xludf.DUMMYFUNCTION("""COMPUTED_VALUE""")," 18.28 ")</f>
        <v xml:space="preserve"> 18.28 </v>
      </c>
      <c r="K483" s="584" t="str">
        <f ca="1">IFERROR(__xludf.DUMMYFUNCTION("""COMPUTED_VALUE"""),"1.70")</f>
        <v>1.70</v>
      </c>
      <c r="L483" s="584">
        <f ca="1">IFERROR(__xludf.DUMMYFUNCTION("""COMPUTED_VALUE"""),2)</f>
        <v>2</v>
      </c>
      <c r="M483" s="584"/>
      <c r="N483" s="584" t="str">
        <f ca="1">IFERROR(__xludf.DUMMYFUNCTION("""COMPUTED_VALUE"""),"Dị_D&lt;54")</f>
        <v>Dị_D&lt;54</v>
      </c>
      <c r="O483" s="583"/>
      <c r="P483" s="584"/>
    </row>
    <row r="484" spans="1:16" ht="15.75">
      <c r="A484" s="587" t="str">
        <f ca="1">IFERROR(__xludf.DUMMYFUNCTION("""COMPUTED_VALUE"""),"Toàn Phát - Việt Nam")</f>
        <v>Toàn Phát - Việt Nam</v>
      </c>
      <c r="B484" s="587" t="str">
        <f ca="1">IFERROR(__xludf.DUMMYFUNCTION("""COMPUTED_VALUE"""),"ĐTPCAYDI")</f>
        <v>ĐTPCAYDI</v>
      </c>
      <c r="C484" s="587" t="str">
        <f ca="1">IFERROR(__xludf.DUMMYFUNCTION("""COMPUTED_VALUE"""),"DOT190014030")</f>
        <v>DOT190014030</v>
      </c>
      <c r="D484" s="588" t="str">
        <f ca="1">IFERROR(__xludf.DUMMYFUNCTION("""COMPUTED_VALUE"""),"Đồng ống thẳng 19.00x1.40x3.0")</f>
        <v>Đồng ống thẳng 19.00x1.40x3.0</v>
      </c>
      <c r="E484" s="589">
        <f ca="1">IFERROR(__xludf.DUMMYFUNCTION("""COMPUTED_VALUE"""),0.1)</f>
        <v>0.1</v>
      </c>
      <c r="F484" s="590" t="str">
        <f ca="1">IFERROR(__xludf.DUMMYFUNCTION("""COMPUTED_VALUE"""),"Cây")</f>
        <v>Cây</v>
      </c>
      <c r="G484" s="590" t="str">
        <f ca="1">IFERROR(__xludf.DUMMYFUNCTION("""COMPUTED_VALUE"""),"Cây 3m")</f>
        <v>Cây 3m</v>
      </c>
      <c r="H484" s="588"/>
      <c r="I484" s="591">
        <f ca="1">IFERROR(__xludf.DUMMYFUNCTION("""COMPUTED_VALUE"""),2.1422016)</f>
        <v>2.1422015999999999</v>
      </c>
      <c r="J484" s="592" t="str">
        <f ca="1">IFERROR(__xludf.DUMMYFUNCTION("""COMPUTED_VALUE""")," 19.00 ")</f>
        <v xml:space="preserve"> 19.00 </v>
      </c>
      <c r="K484" s="590" t="str">
        <f ca="1">IFERROR(__xludf.DUMMYFUNCTION("""COMPUTED_VALUE"""),"1.40")</f>
        <v>1.40</v>
      </c>
      <c r="L484" s="590">
        <f ca="1">IFERROR(__xludf.DUMMYFUNCTION("""COMPUTED_VALUE"""),3)</f>
        <v>3</v>
      </c>
      <c r="M484" s="590"/>
      <c r="N484" s="590" t="str">
        <f ca="1">IFERROR(__xludf.DUMMYFUNCTION("""COMPUTED_VALUE"""),"Dị_D&lt;54")</f>
        <v>Dị_D&lt;54</v>
      </c>
      <c r="O484" s="589"/>
      <c r="P484" s="590"/>
    </row>
    <row r="485" spans="1:16" ht="15.75">
      <c r="A485" s="581" t="str">
        <f ca="1">IFERROR(__xludf.DUMMYFUNCTION("""COMPUTED_VALUE"""),"Toàn Phát - Việt Nam")</f>
        <v>Toàn Phát - Việt Nam</v>
      </c>
      <c r="B485" s="581" t="str">
        <f ca="1">IFERROR(__xludf.DUMMYFUNCTION("""COMPUTED_VALUE"""),"ĐTPCAYDI")</f>
        <v>ĐTPCAYDI</v>
      </c>
      <c r="C485" s="581" t="str">
        <f ca="1">IFERROR(__xludf.DUMMYFUNCTION("""COMPUTED_VALUE"""),"DOT190015030")</f>
        <v>DOT190015030</v>
      </c>
      <c r="D485" s="582" t="str">
        <f ca="1">IFERROR(__xludf.DUMMYFUNCTION("""COMPUTED_VALUE"""),"Đồng ống thẳng 19.00x1.50x3.0")</f>
        <v>Đồng ống thẳng 19.00x1.50x3.0</v>
      </c>
      <c r="E485" s="583">
        <f ca="1">IFERROR(__xludf.DUMMYFUNCTION("""COMPUTED_VALUE"""),0.1)</f>
        <v>0.1</v>
      </c>
      <c r="F485" s="584" t="str">
        <f ca="1">IFERROR(__xludf.DUMMYFUNCTION("""COMPUTED_VALUE"""),"Cây")</f>
        <v>Cây</v>
      </c>
      <c r="G485" s="584" t="str">
        <f ca="1">IFERROR(__xludf.DUMMYFUNCTION("""COMPUTED_VALUE"""),"Cây 3m")</f>
        <v>Cây 3m</v>
      </c>
      <c r="H485" s="582"/>
      <c r="I485" s="585">
        <f ca="1">IFERROR(__xludf.DUMMYFUNCTION("""COMPUTED_VALUE"""),2.282175)</f>
        <v>2.2821750000000001</v>
      </c>
      <c r="J485" s="586" t="str">
        <f ca="1">IFERROR(__xludf.DUMMYFUNCTION("""COMPUTED_VALUE""")," 19.00 ")</f>
        <v xml:space="preserve"> 19.00 </v>
      </c>
      <c r="K485" s="584" t="str">
        <f ca="1">IFERROR(__xludf.DUMMYFUNCTION("""COMPUTED_VALUE"""),"1.50")</f>
        <v>1.50</v>
      </c>
      <c r="L485" s="584">
        <f ca="1">IFERROR(__xludf.DUMMYFUNCTION("""COMPUTED_VALUE"""),3)</f>
        <v>3</v>
      </c>
      <c r="M485" s="584"/>
      <c r="N485" s="584" t="str">
        <f ca="1">IFERROR(__xludf.DUMMYFUNCTION("""COMPUTED_VALUE"""),"Dị_D&lt;54")</f>
        <v>Dị_D&lt;54</v>
      </c>
      <c r="O485" s="583"/>
      <c r="P485" s="584"/>
    </row>
    <row r="486" spans="1:16" ht="15.75">
      <c r="A486" s="587" t="str">
        <f ca="1">IFERROR(__xludf.DUMMYFUNCTION("""COMPUTED_VALUE"""),"Toàn Phát - Việt Nam")</f>
        <v>Toàn Phát - Việt Nam</v>
      </c>
      <c r="B486" s="587" t="str">
        <f ca="1">IFERROR(__xludf.DUMMYFUNCTION("""COMPUTED_VALUE"""),"ĐTPCAYDI")</f>
        <v>ĐTPCAYDI</v>
      </c>
      <c r="C486" s="587" t="str">
        <f ca="1">IFERROR(__xludf.DUMMYFUNCTION("""COMPUTED_VALUE"""),"DOT190018030")</f>
        <v>DOT190018030</v>
      </c>
      <c r="D486" s="588" t="str">
        <f ca="1">IFERROR(__xludf.DUMMYFUNCTION("""COMPUTED_VALUE"""),"Đồng ống thẳng 19.00x1.80x3.0")</f>
        <v>Đồng ống thẳng 19.00x1.80x3.0</v>
      </c>
      <c r="E486" s="589">
        <f ca="1">IFERROR(__xludf.DUMMYFUNCTION("""COMPUTED_VALUE"""),0.1)</f>
        <v>0.1</v>
      </c>
      <c r="F486" s="590" t="str">
        <f ca="1">IFERROR(__xludf.DUMMYFUNCTION("""COMPUTED_VALUE"""),"Cây")</f>
        <v>Cây</v>
      </c>
      <c r="G486" s="590" t="str">
        <f ca="1">IFERROR(__xludf.DUMMYFUNCTION("""COMPUTED_VALUE"""),"Cây 3m")</f>
        <v>Cây 3m</v>
      </c>
      <c r="H486" s="588"/>
      <c r="I486" s="591">
        <f ca="1">IFERROR(__xludf.DUMMYFUNCTION("""COMPUTED_VALUE"""),2.6916624)</f>
        <v>2.6916623999999998</v>
      </c>
      <c r="J486" s="592" t="str">
        <f ca="1">IFERROR(__xludf.DUMMYFUNCTION("""COMPUTED_VALUE""")," 19.00 ")</f>
        <v xml:space="preserve"> 19.00 </v>
      </c>
      <c r="K486" s="590" t="str">
        <f ca="1">IFERROR(__xludf.DUMMYFUNCTION("""COMPUTED_VALUE"""),"1.80")</f>
        <v>1.80</v>
      </c>
      <c r="L486" s="590">
        <f ca="1">IFERROR(__xludf.DUMMYFUNCTION("""COMPUTED_VALUE"""),3)</f>
        <v>3</v>
      </c>
      <c r="M486" s="590"/>
      <c r="N486" s="590" t="str">
        <f ca="1">IFERROR(__xludf.DUMMYFUNCTION("""COMPUTED_VALUE"""),"Dị_D&lt;54")</f>
        <v>Dị_D&lt;54</v>
      </c>
      <c r="O486" s="589"/>
      <c r="P486" s="590"/>
    </row>
    <row r="487" spans="1:16" ht="15.75">
      <c r="A487" s="581" t="str">
        <f ca="1">IFERROR(__xludf.DUMMYFUNCTION("""COMPUTED_VALUE"""),"Toàn Phát - Việt Nam")</f>
        <v>Toàn Phát - Việt Nam</v>
      </c>
      <c r="B487" s="581" t="str">
        <f ca="1">IFERROR(__xludf.DUMMYFUNCTION("""COMPUTED_VALUE"""),"ĐTPCAYDI")</f>
        <v>ĐTPCAYDI</v>
      </c>
      <c r="C487" s="581" t="str">
        <f ca="1">IFERROR(__xludf.DUMMYFUNCTION("""COMPUTED_VALUE"""),"DOT190019030")</f>
        <v>DOT190019030</v>
      </c>
      <c r="D487" s="582" t="str">
        <f ca="1">IFERROR(__xludf.DUMMYFUNCTION("""COMPUTED_VALUE"""),"Đồng ống thẳng 19.00x1.90x3.0")</f>
        <v>Đồng ống thẳng 19.00x1.90x3.0</v>
      </c>
      <c r="E487" s="583">
        <f ca="1">IFERROR(__xludf.DUMMYFUNCTION("""COMPUTED_VALUE"""),0.1)</f>
        <v>0.1</v>
      </c>
      <c r="F487" s="584" t="str">
        <f ca="1">IFERROR(__xludf.DUMMYFUNCTION("""COMPUTED_VALUE"""),"Cây")</f>
        <v>Cây</v>
      </c>
      <c r="G487" s="584" t="str">
        <f ca="1">IFERROR(__xludf.DUMMYFUNCTION("""COMPUTED_VALUE"""),"Cây 3m")</f>
        <v>Cây 3m</v>
      </c>
      <c r="H487" s="582"/>
      <c r="I487" s="585">
        <f ca="1">IFERROR(__xludf.DUMMYFUNCTION("""COMPUTED_VALUE"""),2.8246806)</f>
        <v>2.8246806000000002</v>
      </c>
      <c r="J487" s="586" t="str">
        <f ca="1">IFERROR(__xludf.DUMMYFUNCTION("""COMPUTED_VALUE""")," 19.00 ")</f>
        <v xml:space="preserve"> 19.00 </v>
      </c>
      <c r="K487" s="584" t="str">
        <f ca="1">IFERROR(__xludf.DUMMYFUNCTION("""COMPUTED_VALUE"""),"1.90")</f>
        <v>1.90</v>
      </c>
      <c r="L487" s="584">
        <f ca="1">IFERROR(__xludf.DUMMYFUNCTION("""COMPUTED_VALUE"""),3)</f>
        <v>3</v>
      </c>
      <c r="M487" s="584"/>
      <c r="N487" s="584" t="str">
        <f ca="1">IFERROR(__xludf.DUMMYFUNCTION("""COMPUTED_VALUE"""),"Dị_D&lt;54")</f>
        <v>Dị_D&lt;54</v>
      </c>
      <c r="O487" s="583"/>
      <c r="P487" s="584"/>
    </row>
    <row r="488" spans="1:16" ht="15.75">
      <c r="A488" s="587" t="str">
        <f ca="1">IFERROR(__xludf.DUMMYFUNCTION("""COMPUTED_VALUE"""),"Toàn Phát - Việt Nam")</f>
        <v>Toàn Phát - Việt Nam</v>
      </c>
      <c r="B488" s="587" t="str">
        <f ca="1">IFERROR(__xludf.DUMMYFUNCTION("""COMPUTED_VALUE"""),"ĐTPCAYDI")</f>
        <v>ĐTPCAYDI</v>
      </c>
      <c r="C488" s="587" t="str">
        <f ca="1">IFERROR(__xludf.DUMMYFUNCTION("""COMPUTED_VALUE"""),"DOT190020030")</f>
        <v>DOT190020030</v>
      </c>
      <c r="D488" s="588" t="str">
        <f ca="1">IFERROR(__xludf.DUMMYFUNCTION("""COMPUTED_VALUE"""),"Đồng ống thẳng 19.00x2.00x3.0")</f>
        <v>Đồng ống thẳng 19.00x2.00x3.0</v>
      </c>
      <c r="E488" s="589">
        <f ca="1">IFERROR(__xludf.DUMMYFUNCTION("""COMPUTED_VALUE"""),0.1)</f>
        <v>0.1</v>
      </c>
      <c r="F488" s="590" t="str">
        <f ca="1">IFERROR(__xludf.DUMMYFUNCTION("""COMPUTED_VALUE"""),"Cây")</f>
        <v>Cây</v>
      </c>
      <c r="G488" s="590" t="str">
        <f ca="1">IFERROR(__xludf.DUMMYFUNCTION("""COMPUTED_VALUE"""),"Cây 3m")</f>
        <v>Cây 3m</v>
      </c>
      <c r="H488" s="588"/>
      <c r="I488" s="591">
        <f ca="1">IFERROR(__xludf.DUMMYFUNCTION("""COMPUTED_VALUE"""),2.95596)</f>
        <v>2.9559600000000001</v>
      </c>
      <c r="J488" s="592" t="str">
        <f ca="1">IFERROR(__xludf.DUMMYFUNCTION("""COMPUTED_VALUE""")," 19.00 ")</f>
        <v xml:space="preserve"> 19.00 </v>
      </c>
      <c r="K488" s="590" t="str">
        <f ca="1">IFERROR(__xludf.DUMMYFUNCTION("""COMPUTED_VALUE"""),"2.00")</f>
        <v>2.00</v>
      </c>
      <c r="L488" s="590">
        <f ca="1">IFERROR(__xludf.DUMMYFUNCTION("""COMPUTED_VALUE"""),3)</f>
        <v>3</v>
      </c>
      <c r="M488" s="590"/>
      <c r="N488" s="590" t="str">
        <f ca="1">IFERROR(__xludf.DUMMYFUNCTION("""COMPUTED_VALUE"""),"Dị_D&lt;54")</f>
        <v>Dị_D&lt;54</v>
      </c>
      <c r="O488" s="589"/>
      <c r="P488" s="590"/>
    </row>
    <row r="489" spans="1:16" ht="15.75">
      <c r="A489" s="581" t="str">
        <f ca="1">IFERROR(__xludf.DUMMYFUNCTION("""COMPUTED_VALUE"""),"Toàn Phát - Việt Nam")</f>
        <v>Toàn Phát - Việt Nam</v>
      </c>
      <c r="B489" s="581" t="str">
        <f ca="1">IFERROR(__xludf.DUMMYFUNCTION("""COMPUTED_VALUE"""),"ĐTPCAYDI")</f>
        <v>ĐTPCAYDI</v>
      </c>
      <c r="C489" s="581" t="str">
        <f ca="1">IFERROR(__xludf.DUMMYFUNCTION("""COMPUTED_VALUE"""),"DOT190505524")</f>
        <v>DOT190505524</v>
      </c>
      <c r="D489" s="582" t="str">
        <f ca="1">IFERROR(__xludf.DUMMYFUNCTION("""COMPUTED_VALUE"""),"Đồng ống thẳng 19.05x0.55x2.4")</f>
        <v>Đồng ống thẳng 19.05x0.55x2.4</v>
      </c>
      <c r="E489" s="583">
        <f ca="1">IFERROR(__xludf.DUMMYFUNCTION("""COMPUTED_VALUE"""),0.1)</f>
        <v>0.1</v>
      </c>
      <c r="F489" s="584" t="str">
        <f ca="1">IFERROR(__xludf.DUMMYFUNCTION("""COMPUTED_VALUE"""),"Cây")</f>
        <v>Cây</v>
      </c>
      <c r="G489" s="584" t="str">
        <f ca="1">IFERROR(__xludf.DUMMYFUNCTION("""COMPUTED_VALUE"""),"Cây 2.4m")</f>
        <v>Cây 2.4m</v>
      </c>
      <c r="H489" s="582"/>
      <c r="I489" s="585">
        <f ca="1">IFERROR(__xludf.DUMMYFUNCTION("""COMPUTED_VALUE"""),0.7076916)</f>
        <v>0.70769159999999998</v>
      </c>
      <c r="J489" s="586" t="str">
        <f ca="1">IFERROR(__xludf.DUMMYFUNCTION("""COMPUTED_VALUE""")," 19.05 ")</f>
        <v xml:space="preserve"> 19.05 </v>
      </c>
      <c r="K489" s="584" t="str">
        <f ca="1">IFERROR(__xludf.DUMMYFUNCTION("""COMPUTED_VALUE"""),"0.55")</f>
        <v>0.55</v>
      </c>
      <c r="L489" s="584">
        <f ca="1">IFERROR(__xludf.DUMMYFUNCTION("""COMPUTED_VALUE"""),2.4)</f>
        <v>2.4</v>
      </c>
      <c r="M489" s="584"/>
      <c r="N489" s="584" t="str">
        <f ca="1">IFERROR(__xludf.DUMMYFUNCTION("""COMPUTED_VALUE"""),"Dị_D&lt;54")</f>
        <v>Dị_D&lt;54</v>
      </c>
      <c r="O489" s="583"/>
      <c r="P489" s="584"/>
    </row>
    <row r="490" spans="1:16" ht="15.75">
      <c r="A490" s="587" t="str">
        <f ca="1">IFERROR(__xludf.DUMMYFUNCTION("""COMPUTED_VALUE"""),"Toàn Phát - Việt Nam")</f>
        <v>Toàn Phát - Việt Nam</v>
      </c>
      <c r="B490" s="587" t="str">
        <f ca="1">IFERROR(__xludf.DUMMYFUNCTION("""COMPUTED_VALUE"""),"ĐTPCAYDI")</f>
        <v>ĐTPCAYDI</v>
      </c>
      <c r="C490" s="587" t="str">
        <f ca="1">IFERROR(__xludf.DUMMYFUNCTION("""COMPUTED_VALUE"""),"DOT1905060")</f>
        <v>DOT1905060</v>
      </c>
      <c r="D490" s="588" t="str">
        <f ca="1">IFERROR(__xludf.DUMMYFUNCTION("""COMPUTED_VALUE"""),"Đồng ống thẳng 19.05x0.60")</f>
        <v>Đồng ống thẳng 19.05x0.60</v>
      </c>
      <c r="E490" s="589">
        <f ca="1">IFERROR(__xludf.DUMMYFUNCTION("""COMPUTED_VALUE"""),0.1)</f>
        <v>0.1</v>
      </c>
      <c r="F490" s="590" t="str">
        <f ca="1">IFERROR(__xludf.DUMMYFUNCTION("""COMPUTED_VALUE"""),"Cây")</f>
        <v>Cây</v>
      </c>
      <c r="G490" s="590" t="str">
        <f ca="1">IFERROR(__xludf.DUMMYFUNCTION("""COMPUTED_VALUE"""),"Cây 2.9m")</f>
        <v>Cây 2.9m</v>
      </c>
      <c r="H490" s="588" t="str">
        <f ca="1">IFERROR(__xludf.DUMMYFUNCTION("""COMPUTED_VALUE"""),"30")</f>
        <v>30</v>
      </c>
      <c r="I490" s="591">
        <f ca="1">IFERROR(__xludf.DUMMYFUNCTION("""COMPUTED_VALUE"""),0.930344939999999)</f>
        <v>0.93034493999999901</v>
      </c>
      <c r="J490" s="592" t="str">
        <f ca="1">IFERROR(__xludf.DUMMYFUNCTION("""COMPUTED_VALUE""")," 19.05 ")</f>
        <v xml:space="preserve"> 19.05 </v>
      </c>
      <c r="K490" s="590" t="str">
        <f ca="1">IFERROR(__xludf.DUMMYFUNCTION("""COMPUTED_VALUE"""),"0.60")</f>
        <v>0.60</v>
      </c>
      <c r="L490" s="590">
        <f ca="1">IFERROR(__xludf.DUMMYFUNCTION("""COMPUTED_VALUE"""),2.9)</f>
        <v>2.9</v>
      </c>
      <c r="M490" s="590"/>
      <c r="N490" s="590" t="str">
        <f ca="1">IFERROR(__xludf.DUMMYFUNCTION("""COMPUTED_VALUE"""),"Dị_D&lt;54")</f>
        <v>Dị_D&lt;54</v>
      </c>
      <c r="O490" s="589"/>
      <c r="P490" s="590"/>
    </row>
    <row r="491" spans="1:16" ht="15.75">
      <c r="A491" s="581" t="str">
        <f ca="1">IFERROR(__xludf.DUMMYFUNCTION("""COMPUTED_VALUE"""),"Toàn Phát - Việt Nam")</f>
        <v>Toàn Phát - Việt Nam</v>
      </c>
      <c r="B491" s="581" t="str">
        <f ca="1">IFERROR(__xludf.DUMMYFUNCTION("""COMPUTED_VALUE"""),"ĐTPCAYDI")</f>
        <v>ĐTPCAYDI</v>
      </c>
      <c r="C491" s="581" t="str">
        <f ca="1">IFERROR(__xludf.DUMMYFUNCTION("""COMPUTED_VALUE"""),"DOT1905065")</f>
        <v>DOT1905065</v>
      </c>
      <c r="D491" s="582" t="str">
        <f ca="1">IFERROR(__xludf.DUMMYFUNCTION("""COMPUTED_VALUE"""),"Đồng ống thẳng 19.05x0.65")</f>
        <v>Đồng ống thẳng 19.05x0.65</v>
      </c>
      <c r="E491" s="583">
        <f ca="1">IFERROR(__xludf.DUMMYFUNCTION("""COMPUTED_VALUE"""),0.1)</f>
        <v>0.1</v>
      </c>
      <c r="F491" s="584" t="str">
        <f ca="1">IFERROR(__xludf.DUMMYFUNCTION("""COMPUTED_VALUE"""),"Cây")</f>
        <v>Cây</v>
      </c>
      <c r="G491" s="584" t="str">
        <f ca="1">IFERROR(__xludf.DUMMYFUNCTION("""COMPUTED_VALUE"""),"Cây 2.9m")</f>
        <v>Cây 2.9m</v>
      </c>
      <c r="H491" s="582" t="str">
        <f ca="1">IFERROR(__xludf.DUMMYFUNCTION("""COMPUTED_VALUE"""),"30")</f>
        <v>30</v>
      </c>
      <c r="I491" s="585">
        <f ca="1">IFERROR(__xludf.DUMMYFUNCTION("""COMPUTED_VALUE"""),1.00514232)</f>
        <v>1.00514232</v>
      </c>
      <c r="J491" s="586" t="str">
        <f ca="1">IFERROR(__xludf.DUMMYFUNCTION("""COMPUTED_VALUE""")," 19.05 ")</f>
        <v xml:space="preserve"> 19.05 </v>
      </c>
      <c r="K491" s="584" t="str">
        <f ca="1">IFERROR(__xludf.DUMMYFUNCTION("""COMPUTED_VALUE"""),"0.65")</f>
        <v>0.65</v>
      </c>
      <c r="L491" s="584">
        <f ca="1">IFERROR(__xludf.DUMMYFUNCTION("""COMPUTED_VALUE"""),2.9)</f>
        <v>2.9</v>
      </c>
      <c r="M491" s="584"/>
      <c r="N491" s="584" t="str">
        <f ca="1">IFERROR(__xludf.DUMMYFUNCTION("""COMPUTED_VALUE"""),"Dị_D&lt;54")</f>
        <v>Dị_D&lt;54</v>
      </c>
      <c r="O491" s="583"/>
      <c r="P491" s="584"/>
    </row>
    <row r="492" spans="1:16" ht="15.75">
      <c r="A492" s="587" t="str">
        <f ca="1">IFERROR(__xludf.DUMMYFUNCTION("""COMPUTED_VALUE"""),"Toàn Phát - Việt Nam")</f>
        <v>Toàn Phát - Việt Nam</v>
      </c>
      <c r="B492" s="587" t="str">
        <f ca="1">IFERROR(__xludf.DUMMYFUNCTION("""COMPUTED_VALUE"""),"ĐTPCAYDI")</f>
        <v>ĐTPCAYDI</v>
      </c>
      <c r="C492" s="587" t="str">
        <f ca="1">IFERROR(__xludf.DUMMYFUNCTION("""COMPUTED_VALUE"""),"DOT1905071")</f>
        <v>DOT1905071</v>
      </c>
      <c r="D492" s="588" t="str">
        <f ca="1">IFERROR(__xludf.DUMMYFUNCTION("""COMPUTED_VALUE"""),"Đồng ống thẳng 19.05x0.71")</f>
        <v>Đồng ống thẳng 19.05x0.71</v>
      </c>
      <c r="E492" s="589">
        <f ca="1">IFERROR(__xludf.DUMMYFUNCTION("""COMPUTED_VALUE"""),0.1)</f>
        <v>0.1</v>
      </c>
      <c r="F492" s="590" t="str">
        <f ca="1">IFERROR(__xludf.DUMMYFUNCTION("""COMPUTED_VALUE"""),"Cây")</f>
        <v>Cây</v>
      </c>
      <c r="G492" s="590" t="str">
        <f ca="1">IFERROR(__xludf.DUMMYFUNCTION("""COMPUTED_VALUE"""),"Cây 2.9m")</f>
        <v>Cây 2.9m</v>
      </c>
      <c r="H492" s="588" t="str">
        <f ca="1">IFERROR(__xludf.DUMMYFUNCTION("""COMPUTED_VALUE"""),"30")</f>
        <v>30</v>
      </c>
      <c r="I492" s="591">
        <f ca="1">IFERROR(__xludf.DUMMYFUNCTION("""COMPUTED_VALUE"""),1.0943444988)</f>
        <v>1.0943444988</v>
      </c>
      <c r="J492" s="592" t="str">
        <f ca="1">IFERROR(__xludf.DUMMYFUNCTION("""COMPUTED_VALUE""")," 19.05 ")</f>
        <v xml:space="preserve"> 19.05 </v>
      </c>
      <c r="K492" s="590" t="str">
        <f ca="1">IFERROR(__xludf.DUMMYFUNCTION("""COMPUTED_VALUE"""),"0.71")</f>
        <v>0.71</v>
      </c>
      <c r="L492" s="590">
        <f ca="1">IFERROR(__xludf.DUMMYFUNCTION("""COMPUTED_VALUE"""),2.9)</f>
        <v>2.9</v>
      </c>
      <c r="M492" s="590"/>
      <c r="N492" s="590" t="str">
        <f ca="1">IFERROR(__xludf.DUMMYFUNCTION("""COMPUTED_VALUE"""),"Dị_D&lt;54")</f>
        <v>Dị_D&lt;54</v>
      </c>
      <c r="O492" s="589"/>
      <c r="P492" s="590"/>
    </row>
    <row r="493" spans="1:16" ht="15.75">
      <c r="A493" s="581" t="str">
        <f ca="1">IFERROR(__xludf.DUMMYFUNCTION("""COMPUTED_VALUE"""),"Toàn Phát - Việt Nam")</f>
        <v>Toàn Phát - Việt Nam</v>
      </c>
      <c r="B493" s="581" t="str">
        <f ca="1">IFERROR(__xludf.DUMMYFUNCTION("""COMPUTED_VALUE"""),"ĐTPCAYDI")</f>
        <v>ĐTPCAYDI</v>
      </c>
      <c r="C493" s="581" t="str">
        <f ca="1">IFERROR(__xludf.DUMMYFUNCTION("""COMPUTED_VALUE"""),"DOT190507130")</f>
        <v>DOT190507130</v>
      </c>
      <c r="D493" s="582" t="str">
        <f ca="1">IFERROR(__xludf.DUMMYFUNCTION("""COMPUTED_VALUE"""),"Đồng ống thẳng 19.05x0.71x3.0")</f>
        <v>Đồng ống thẳng 19.05x0.71x3.0</v>
      </c>
      <c r="E493" s="583">
        <f ca="1">IFERROR(__xludf.DUMMYFUNCTION("""COMPUTED_VALUE"""),0.1)</f>
        <v>0.1</v>
      </c>
      <c r="F493" s="584" t="str">
        <f ca="1">IFERROR(__xludf.DUMMYFUNCTION("""COMPUTED_VALUE"""),"Cây")</f>
        <v>Cây</v>
      </c>
      <c r="G493" s="584" t="str">
        <f ca="1">IFERROR(__xludf.DUMMYFUNCTION("""COMPUTED_VALUE"""),"Cây 3m")</f>
        <v>Cây 3m</v>
      </c>
      <c r="H493" s="582"/>
      <c r="I493" s="585">
        <f ca="1">IFERROR(__xludf.DUMMYFUNCTION("""COMPUTED_VALUE"""),1.132080516)</f>
        <v>1.132080516</v>
      </c>
      <c r="J493" s="586" t="str">
        <f ca="1">IFERROR(__xludf.DUMMYFUNCTION("""COMPUTED_VALUE""")," 19.05 ")</f>
        <v xml:space="preserve"> 19.05 </v>
      </c>
      <c r="K493" s="584" t="str">
        <f ca="1">IFERROR(__xludf.DUMMYFUNCTION("""COMPUTED_VALUE"""),"0.71")</f>
        <v>0.71</v>
      </c>
      <c r="L493" s="584">
        <f ca="1">IFERROR(__xludf.DUMMYFUNCTION("""COMPUTED_VALUE"""),3)</f>
        <v>3</v>
      </c>
      <c r="M493" s="584"/>
      <c r="N493" s="584" t="str">
        <f ca="1">IFERROR(__xludf.DUMMYFUNCTION("""COMPUTED_VALUE"""),"Dị_D&lt;54")</f>
        <v>Dị_D&lt;54</v>
      </c>
      <c r="O493" s="583"/>
      <c r="P493" s="584"/>
    </row>
    <row r="494" spans="1:16" ht="15.75">
      <c r="A494" s="587" t="str">
        <f ca="1">IFERROR(__xludf.DUMMYFUNCTION("""COMPUTED_VALUE"""),"Toàn Phát - Việt Nam")</f>
        <v>Toàn Phát - Việt Nam</v>
      </c>
      <c r="B494" s="587" t="str">
        <f ca="1">IFERROR(__xludf.DUMMYFUNCTION("""COMPUTED_VALUE"""),"ĐTPCAYDI")</f>
        <v>ĐTPCAYDI</v>
      </c>
      <c r="C494" s="587" t="str">
        <f ca="1">IFERROR(__xludf.DUMMYFUNCTION("""COMPUTED_VALUE"""),"DOT1905075")</f>
        <v>DOT1905075</v>
      </c>
      <c r="D494" s="588" t="str">
        <f ca="1">IFERROR(__xludf.DUMMYFUNCTION("""COMPUTED_VALUE"""),"Đồng ống thẳng 19.05x0.75")</f>
        <v>Đồng ống thẳng 19.05x0.75</v>
      </c>
      <c r="E494" s="589">
        <f ca="1">IFERROR(__xludf.DUMMYFUNCTION("""COMPUTED_VALUE"""),0.1)</f>
        <v>0.1</v>
      </c>
      <c r="F494" s="590" t="str">
        <f ca="1">IFERROR(__xludf.DUMMYFUNCTION("""COMPUTED_VALUE"""),"Cây")</f>
        <v>Cây</v>
      </c>
      <c r="G494" s="590" t="str">
        <f ca="1">IFERROR(__xludf.DUMMYFUNCTION("""COMPUTED_VALUE"""),"Cây 2.9m")</f>
        <v>Cây 2.9m</v>
      </c>
      <c r="H494" s="588" t="str">
        <f ca="1">IFERROR(__xludf.DUMMYFUNCTION("""COMPUTED_VALUE"""),"30")</f>
        <v>30</v>
      </c>
      <c r="I494" s="591">
        <f ca="1">IFERROR(__xludf.DUMMYFUNCTION("""COMPUTED_VALUE"""),1.15347644999999)</f>
        <v>1.1534764499999901</v>
      </c>
      <c r="J494" s="592" t="str">
        <f ca="1">IFERROR(__xludf.DUMMYFUNCTION("""COMPUTED_VALUE""")," 19.05 ")</f>
        <v xml:space="preserve"> 19.05 </v>
      </c>
      <c r="K494" s="590" t="str">
        <f ca="1">IFERROR(__xludf.DUMMYFUNCTION("""COMPUTED_VALUE"""),"0.75")</f>
        <v>0.75</v>
      </c>
      <c r="L494" s="590">
        <f ca="1">IFERROR(__xludf.DUMMYFUNCTION("""COMPUTED_VALUE"""),2.9)</f>
        <v>2.9</v>
      </c>
      <c r="M494" s="590"/>
      <c r="N494" s="590" t="str">
        <f ca="1">IFERROR(__xludf.DUMMYFUNCTION("""COMPUTED_VALUE"""),"Dị_D&lt;54")</f>
        <v>Dị_D&lt;54</v>
      </c>
      <c r="O494" s="589"/>
      <c r="P494" s="590"/>
    </row>
    <row r="495" spans="1:16" ht="15.75">
      <c r="A495" s="581" t="str">
        <f ca="1">IFERROR(__xludf.DUMMYFUNCTION("""COMPUTED_VALUE"""),"Toàn Phát - Việt Nam")</f>
        <v>Toàn Phát - Việt Nam</v>
      </c>
      <c r="B495" s="581" t="str">
        <f ca="1">IFERROR(__xludf.DUMMYFUNCTION("""COMPUTED_VALUE"""),"ĐTPCAYDI")</f>
        <v>ĐTPCAYDI</v>
      </c>
      <c r="C495" s="581" t="str">
        <f ca="1">IFERROR(__xludf.DUMMYFUNCTION("""COMPUTED_VALUE"""),"DOT190508058")</f>
        <v>DOT190508058</v>
      </c>
      <c r="D495" s="582" t="str">
        <f ca="1">IFERROR(__xludf.DUMMYFUNCTION("""COMPUTED_VALUE"""),"Đồng ống thẳng 19.05x0.80x5.8m")</f>
        <v>Đồng ống thẳng 19.05x0.80x5.8m</v>
      </c>
      <c r="E495" s="583">
        <f ca="1">IFERROR(__xludf.DUMMYFUNCTION("""COMPUTED_VALUE"""),0.1)</f>
        <v>0.1</v>
      </c>
      <c r="F495" s="584" t="str">
        <f ca="1">IFERROR(__xludf.DUMMYFUNCTION("""COMPUTED_VALUE"""),"Cây")</f>
        <v>Cây</v>
      </c>
      <c r="G495" s="584" t="str">
        <f ca="1">IFERROR(__xludf.DUMMYFUNCTION("""COMPUTED_VALUE"""),"Cây 5.8m")</f>
        <v>Cây 5.8m</v>
      </c>
      <c r="H495" s="582"/>
      <c r="I495" s="585">
        <f ca="1">IFERROR(__xludf.DUMMYFUNCTION("""COMPUTED_VALUE"""),2.4540264)</f>
        <v>2.4540264000000001</v>
      </c>
      <c r="J495" s="586" t="str">
        <f ca="1">IFERROR(__xludf.DUMMYFUNCTION("""COMPUTED_VALUE""")," 19.05 ")</f>
        <v xml:space="preserve"> 19.05 </v>
      </c>
      <c r="K495" s="584" t="str">
        <f ca="1">IFERROR(__xludf.DUMMYFUNCTION("""COMPUTED_VALUE"""),"0.80")</f>
        <v>0.80</v>
      </c>
      <c r="L495" s="584">
        <f ca="1">IFERROR(__xludf.DUMMYFUNCTION("""COMPUTED_VALUE"""),5.8)</f>
        <v>5.8</v>
      </c>
      <c r="M495" s="584"/>
      <c r="N495" s="584" t="str">
        <f ca="1">IFERROR(__xludf.DUMMYFUNCTION("""COMPUTED_VALUE"""),"Dị_D&lt;54")</f>
        <v>Dị_D&lt;54</v>
      </c>
      <c r="O495" s="583"/>
      <c r="P495" s="584"/>
    </row>
    <row r="496" spans="1:16" ht="15.75">
      <c r="A496" s="587" t="str">
        <f ca="1">IFERROR(__xludf.DUMMYFUNCTION("""COMPUTED_VALUE"""),"Toàn Phát - Việt Nam")</f>
        <v>Toàn Phát - Việt Nam</v>
      </c>
      <c r="B496" s="587" t="str">
        <f ca="1">IFERROR(__xludf.DUMMYFUNCTION("""COMPUTED_VALUE"""),"ĐTPCAYDI")</f>
        <v>ĐTPCAYDI</v>
      </c>
      <c r="C496" s="587" t="str">
        <f ca="1">IFERROR(__xludf.DUMMYFUNCTION("""COMPUTED_VALUE"""),"DOT1905081")</f>
        <v>DOT1905081</v>
      </c>
      <c r="D496" s="588" t="str">
        <f ca="1">IFERROR(__xludf.DUMMYFUNCTION("""COMPUTED_VALUE"""),"Đồng ống thẳng 19.05x0.81")</f>
        <v>Đồng ống thẳng 19.05x0.81</v>
      </c>
      <c r="E496" s="589">
        <f ca="1">IFERROR(__xludf.DUMMYFUNCTION("""COMPUTED_VALUE"""),0.1)</f>
        <v>0.1</v>
      </c>
      <c r="F496" s="590" t="str">
        <f ca="1">IFERROR(__xludf.DUMMYFUNCTION("""COMPUTED_VALUE"""),"Cây")</f>
        <v>Cây</v>
      </c>
      <c r="G496" s="590" t="str">
        <f ca="1">IFERROR(__xludf.DUMMYFUNCTION("""COMPUTED_VALUE"""),"Cây 2.9m")</f>
        <v>Cây 2.9m</v>
      </c>
      <c r="H496" s="588" t="str">
        <f ca="1">IFERROR(__xludf.DUMMYFUNCTION("""COMPUTED_VALUE"""),"30")</f>
        <v>30</v>
      </c>
      <c r="I496" s="591">
        <f ca="1">IFERROR(__xludf.DUMMYFUNCTION("""COMPUTED_VALUE"""),1.2416701248)</f>
        <v>1.2416701247999999</v>
      </c>
      <c r="J496" s="592" t="str">
        <f ca="1">IFERROR(__xludf.DUMMYFUNCTION("""COMPUTED_VALUE""")," 19.05 ")</f>
        <v xml:space="preserve"> 19.05 </v>
      </c>
      <c r="K496" s="590" t="str">
        <f ca="1">IFERROR(__xludf.DUMMYFUNCTION("""COMPUTED_VALUE"""),"0.81")</f>
        <v>0.81</v>
      </c>
      <c r="L496" s="590">
        <f ca="1">IFERROR(__xludf.DUMMYFUNCTION("""COMPUTED_VALUE"""),2.9)</f>
        <v>2.9</v>
      </c>
      <c r="M496" s="590"/>
      <c r="N496" s="590" t="str">
        <f ca="1">IFERROR(__xludf.DUMMYFUNCTION("""COMPUTED_VALUE"""),"Dị_D&lt;54")</f>
        <v>Dị_D&lt;54</v>
      </c>
      <c r="O496" s="589">
        <f ca="1">IFERROR(__xludf.DUMMYFUNCTION("""COMPUTED_VALUE"""),1)</f>
        <v>1</v>
      </c>
      <c r="P496" s="590"/>
    </row>
    <row r="497" spans="1:17" ht="15.75">
      <c r="A497" s="581" t="str">
        <f ca="1">IFERROR(__xludf.DUMMYFUNCTION("""COMPUTED_VALUE"""),"Toàn Phát - Việt Nam")</f>
        <v>Toàn Phát - Việt Nam</v>
      </c>
      <c r="B497" s="581" t="str">
        <f ca="1">IFERROR(__xludf.DUMMYFUNCTION("""COMPUTED_VALUE"""),"ĐTPCAYDI")</f>
        <v>ĐTPCAYDI</v>
      </c>
      <c r="C497" s="581" t="str">
        <f ca="1">IFERROR(__xludf.DUMMYFUNCTION("""COMPUTED_VALUE"""),"DOT190508558")</f>
        <v>DOT190508558</v>
      </c>
      <c r="D497" s="582" t="str">
        <f ca="1">IFERROR(__xludf.DUMMYFUNCTION("""COMPUTED_VALUE"""),"Đồng ống thẳng 19.05x0.85x5.8")</f>
        <v>Đồng ống thẳng 19.05x0.85x5.8</v>
      </c>
      <c r="E497" s="583">
        <f ca="1">IFERROR(__xludf.DUMMYFUNCTION("""COMPUTED_VALUE"""),0.1)</f>
        <v>0.1</v>
      </c>
      <c r="F497" s="584" t="str">
        <f ca="1">IFERROR(__xludf.DUMMYFUNCTION("""COMPUTED_VALUE"""),"Cây")</f>
        <v>Cây</v>
      </c>
      <c r="G497" s="584" t="str">
        <f ca="1">IFERROR(__xludf.DUMMYFUNCTION("""COMPUTED_VALUE"""),"Cây 5.8m")</f>
        <v>Cây 5.8m</v>
      </c>
      <c r="H497" s="582"/>
      <c r="I497" s="585">
        <f ca="1">IFERROR(__xludf.DUMMYFUNCTION("""COMPUTED_VALUE"""),2.60025947999999)</f>
        <v>2.6002594799999899</v>
      </c>
      <c r="J497" s="586" t="str">
        <f ca="1">IFERROR(__xludf.DUMMYFUNCTION("""COMPUTED_VALUE""")," 19.05 ")</f>
        <v xml:space="preserve"> 19.05 </v>
      </c>
      <c r="K497" s="584" t="str">
        <f ca="1">IFERROR(__xludf.DUMMYFUNCTION("""COMPUTED_VALUE"""),"0.85")</f>
        <v>0.85</v>
      </c>
      <c r="L497" s="584">
        <f ca="1">IFERROR(__xludf.DUMMYFUNCTION("""COMPUTED_VALUE"""),5.8)</f>
        <v>5.8</v>
      </c>
      <c r="M497" s="584"/>
      <c r="N497" s="584" t="str">
        <f ca="1">IFERROR(__xludf.DUMMYFUNCTION("""COMPUTED_VALUE"""),"Dị_D&lt;54")</f>
        <v>Dị_D&lt;54</v>
      </c>
      <c r="O497" s="583"/>
      <c r="P497" s="584"/>
    </row>
    <row r="498" spans="1:17" ht="15.75">
      <c r="A498" s="587" t="str">
        <f ca="1">IFERROR(__xludf.DUMMYFUNCTION("""COMPUTED_VALUE"""),"Toàn Phát - Việt Nam")</f>
        <v>Toàn Phát - Việt Nam</v>
      </c>
      <c r="B498" s="587" t="str">
        <f ca="1">IFERROR(__xludf.DUMMYFUNCTION("""COMPUTED_VALUE"""),"ĐTPCAYDI")</f>
        <v>ĐTPCAYDI</v>
      </c>
      <c r="C498" s="587" t="str">
        <f ca="1">IFERROR(__xludf.DUMMYFUNCTION("""COMPUTED_VALUE"""),"DOT1905090")</f>
        <v>DOT1905090</v>
      </c>
      <c r="D498" s="588" t="str">
        <f ca="1">IFERROR(__xludf.DUMMYFUNCTION("""COMPUTED_VALUE"""),"Đồng ống thẳng 19.05x0.90")</f>
        <v>Đồng ống thẳng 19.05x0.90</v>
      </c>
      <c r="E498" s="589">
        <f ca="1">IFERROR(__xludf.DUMMYFUNCTION("""COMPUTED_VALUE"""),0.1)</f>
        <v>0.1</v>
      </c>
      <c r="F498" s="590" t="str">
        <f ca="1">IFERROR(__xludf.DUMMYFUNCTION("""COMPUTED_VALUE"""),"Cây")</f>
        <v>Cây</v>
      </c>
      <c r="G498" s="590" t="str">
        <f ca="1">IFERROR(__xludf.DUMMYFUNCTION("""COMPUTED_VALUE"""),"Cây 2.9m")</f>
        <v>Cây 2.9m</v>
      </c>
      <c r="H498" s="588" t="str">
        <f ca="1">IFERROR(__xludf.DUMMYFUNCTION("""COMPUTED_VALUE"""),"30")</f>
        <v>30</v>
      </c>
      <c r="I498" s="591">
        <f ca="1">IFERROR(__xludf.DUMMYFUNCTION("""COMPUTED_VALUE"""),1.37282607)</f>
        <v>1.3728260699999999</v>
      </c>
      <c r="J498" s="592" t="str">
        <f ca="1">IFERROR(__xludf.DUMMYFUNCTION("""COMPUTED_VALUE""")," 19.05 ")</f>
        <v xml:space="preserve"> 19.05 </v>
      </c>
      <c r="K498" s="590" t="str">
        <f ca="1">IFERROR(__xludf.DUMMYFUNCTION("""COMPUTED_VALUE"""),"0.90")</f>
        <v>0.90</v>
      </c>
      <c r="L498" s="590">
        <f ca="1">IFERROR(__xludf.DUMMYFUNCTION("""COMPUTED_VALUE"""),2.9)</f>
        <v>2.9</v>
      </c>
      <c r="M498" s="590"/>
      <c r="N498" s="590" t="str">
        <f ca="1">IFERROR(__xludf.DUMMYFUNCTION("""COMPUTED_VALUE"""),"Dị_D&lt;54")</f>
        <v>Dị_D&lt;54</v>
      </c>
      <c r="O498" s="589"/>
      <c r="P498" s="590"/>
    </row>
    <row r="499" spans="1:17" ht="15.75">
      <c r="A499" s="581" t="str">
        <f ca="1">IFERROR(__xludf.DUMMYFUNCTION("""COMPUTED_VALUE"""),"Toàn Phát - Việt Nam")</f>
        <v>Toàn Phát - Việt Nam</v>
      </c>
      <c r="B499" s="581" t="str">
        <f ca="1">IFERROR(__xludf.DUMMYFUNCTION("""COMPUTED_VALUE"""),"ĐTPCAYDI")</f>
        <v>ĐTPCAYDI</v>
      </c>
      <c r="C499" s="581" t="str">
        <f ca="1">IFERROR(__xludf.DUMMYFUNCTION("""COMPUTED_VALUE"""),"DOT190509058")</f>
        <v>DOT190509058</v>
      </c>
      <c r="D499" s="582" t="str">
        <f ca="1">IFERROR(__xludf.DUMMYFUNCTION("""COMPUTED_VALUE"""),"Đồng ống thẳng 19.05x0.9x5.8")</f>
        <v>Đồng ống thẳng 19.05x0.9x5.8</v>
      </c>
      <c r="E499" s="583">
        <f ca="1">IFERROR(__xludf.DUMMYFUNCTION("""COMPUTED_VALUE"""),0.1)</f>
        <v>0.1</v>
      </c>
      <c r="F499" s="584" t="str">
        <f ca="1">IFERROR(__xludf.DUMMYFUNCTION("""COMPUTED_VALUE"""),"Cây")</f>
        <v>Cây</v>
      </c>
      <c r="G499" s="584" t="str">
        <f ca="1">IFERROR(__xludf.DUMMYFUNCTION("""COMPUTED_VALUE"""),"Cây 5.8m")</f>
        <v>Cây 5.8m</v>
      </c>
      <c r="H499" s="582"/>
      <c r="I499" s="585">
        <f ca="1">IFERROR(__xludf.DUMMYFUNCTION("""COMPUTED_VALUE"""),2.74565214)</f>
        <v>2.7456521399999998</v>
      </c>
      <c r="J499" s="586" t="str">
        <f ca="1">IFERROR(__xludf.DUMMYFUNCTION("""COMPUTED_VALUE""")," 19.05 ")</f>
        <v xml:space="preserve"> 19.05 </v>
      </c>
      <c r="K499" s="584" t="str">
        <f ca="1">IFERROR(__xludf.DUMMYFUNCTION("""COMPUTED_VALUE"""),"0.90")</f>
        <v>0.90</v>
      </c>
      <c r="L499" s="584">
        <f ca="1">IFERROR(__xludf.DUMMYFUNCTION("""COMPUTED_VALUE"""),5.8)</f>
        <v>5.8</v>
      </c>
      <c r="M499" s="584"/>
      <c r="N499" s="584" t="str">
        <f ca="1">IFERROR(__xludf.DUMMYFUNCTION("""COMPUTED_VALUE"""),"Dị_D&lt;54")</f>
        <v>Dị_D&lt;54</v>
      </c>
      <c r="O499" s="583"/>
      <c r="P499" s="584"/>
    </row>
    <row r="500" spans="1:17" ht="15.75">
      <c r="A500" s="587" t="str">
        <f ca="1">IFERROR(__xludf.DUMMYFUNCTION("""COMPUTED_VALUE"""),"Toàn Phát - Việt Nam")</f>
        <v>Toàn Phát - Việt Nam</v>
      </c>
      <c r="B500" s="587" t="str">
        <f ca="1">IFERROR(__xludf.DUMMYFUNCTION("""COMPUTED_VALUE"""),"ĐTPCAYDI")</f>
        <v>ĐTPCAYDI</v>
      </c>
      <c r="C500" s="587" t="str">
        <f ca="1">IFERROR(__xludf.DUMMYFUNCTION("""COMPUTED_VALUE"""),"DOT1905095(NM)")</f>
        <v>DOT1905095(NM)</v>
      </c>
      <c r="D500" s="588" t="str">
        <f ca="1">IFERROR(__xludf.DUMMYFUNCTION("""COMPUTED_VALUE"""),"Đồng ống thẳng 19.05x0.95")</f>
        <v>Đồng ống thẳng 19.05x0.95</v>
      </c>
      <c r="E500" s="589">
        <f ca="1">IFERROR(__xludf.DUMMYFUNCTION("""COMPUTED_VALUE"""),0.1)</f>
        <v>0.1</v>
      </c>
      <c r="F500" s="590" t="str">
        <f ca="1">IFERROR(__xludf.DUMMYFUNCTION("""COMPUTED_VALUE"""),"Cây")</f>
        <v>Cây</v>
      </c>
      <c r="G500" s="590" t="str">
        <f ca="1">IFERROR(__xludf.DUMMYFUNCTION("""COMPUTED_VALUE"""),"Cây 2.9m")</f>
        <v>Cây 2.9m</v>
      </c>
      <c r="H500" s="588" t="str">
        <f ca="1">IFERROR(__xludf.DUMMYFUNCTION("""COMPUTED_VALUE"""),"30")</f>
        <v>30</v>
      </c>
      <c r="I500" s="591">
        <f ca="1">IFERROR(__xludf.DUMMYFUNCTION("""COMPUTED_VALUE"""),1.44510218999999)</f>
        <v>1.4451021899999901</v>
      </c>
      <c r="J500" s="592" t="str">
        <f ca="1">IFERROR(__xludf.DUMMYFUNCTION("""COMPUTED_VALUE""")," 19.05 ")</f>
        <v xml:space="preserve"> 19.05 </v>
      </c>
      <c r="K500" s="590" t="str">
        <f ca="1">IFERROR(__xludf.DUMMYFUNCTION("""COMPUTED_VALUE"""),"0.95")</f>
        <v>0.95</v>
      </c>
      <c r="L500" s="590">
        <f ca="1">IFERROR(__xludf.DUMMYFUNCTION("""COMPUTED_VALUE"""),2.9)</f>
        <v>2.9</v>
      </c>
      <c r="M500" s="590"/>
      <c r="N500" s="590" t="str">
        <f ca="1">IFERROR(__xludf.DUMMYFUNCTION("""COMPUTED_VALUE"""),"Dị_D&lt;54")</f>
        <v>Dị_D&lt;54</v>
      </c>
      <c r="O500" s="589"/>
      <c r="P500" s="590"/>
    </row>
    <row r="501" spans="1:17" ht="15.75">
      <c r="A501" s="581" t="str">
        <f ca="1">IFERROR(__xludf.DUMMYFUNCTION("""COMPUTED_VALUE"""),"Toàn Phát - Việt Nam")</f>
        <v>Toàn Phát - Việt Nam</v>
      </c>
      <c r="B501" s="581" t="str">
        <f ca="1">IFERROR(__xludf.DUMMYFUNCTION("""COMPUTED_VALUE"""),"ĐTPCAYDI")</f>
        <v>ĐTPCAYDI</v>
      </c>
      <c r="C501" s="581" t="str">
        <f ca="1">IFERROR(__xludf.DUMMYFUNCTION("""COMPUTED_VALUE"""),"DOT190510058")</f>
        <v>DOT190510058</v>
      </c>
      <c r="D501" s="582" t="str">
        <f ca="1">IFERROR(__xludf.DUMMYFUNCTION("""COMPUTED_VALUE"""),"Đồng ống thẳng 19.05x1.00x5.8")</f>
        <v>Đồng ống thẳng 19.05x1.00x5.8</v>
      </c>
      <c r="E501" s="583">
        <f ca="1">IFERROR(__xludf.DUMMYFUNCTION("""COMPUTED_VALUE"""),0.1)</f>
        <v>0.1</v>
      </c>
      <c r="F501" s="584" t="str">
        <f ca="1">IFERROR(__xludf.DUMMYFUNCTION("""COMPUTED_VALUE"""),"Cây")</f>
        <v>Cây</v>
      </c>
      <c r="G501" s="584" t="str">
        <f ca="1">IFERROR(__xludf.DUMMYFUNCTION("""COMPUTED_VALUE"""),"Cây 5.8m")</f>
        <v>Cây 5.8m</v>
      </c>
      <c r="H501" s="582"/>
      <c r="I501" s="585">
        <f ca="1">IFERROR(__xludf.DUMMYFUNCTION("""COMPUTED_VALUE"""),3.0339162)</f>
        <v>3.0339162000000002</v>
      </c>
      <c r="J501" s="586" t="str">
        <f ca="1">IFERROR(__xludf.DUMMYFUNCTION("""COMPUTED_VALUE""")," 19.05 ")</f>
        <v xml:space="preserve"> 19.05 </v>
      </c>
      <c r="K501" s="584" t="str">
        <f ca="1">IFERROR(__xludf.DUMMYFUNCTION("""COMPUTED_VALUE"""),"1.00")</f>
        <v>1.00</v>
      </c>
      <c r="L501" s="584">
        <f ca="1">IFERROR(__xludf.DUMMYFUNCTION("""COMPUTED_VALUE"""),5.8)</f>
        <v>5.8</v>
      </c>
      <c r="M501" s="584"/>
      <c r="N501" s="584" t="str">
        <f ca="1">IFERROR(__xludf.DUMMYFUNCTION("""COMPUTED_VALUE"""),"Dị_D&lt;54")</f>
        <v>Dị_D&lt;54</v>
      </c>
      <c r="O501" s="583"/>
      <c r="P501" s="584"/>
    </row>
    <row r="502" spans="1:17" ht="15.75">
      <c r="A502" s="587" t="str">
        <f ca="1">IFERROR(__xludf.DUMMYFUNCTION("""COMPUTED_VALUE"""),"Toàn Phát - Việt Nam")</f>
        <v>Toàn Phát - Việt Nam</v>
      </c>
      <c r="B502" s="587" t="str">
        <f ca="1">IFERROR(__xludf.DUMMYFUNCTION("""COMPUTED_VALUE"""),"ĐTPCAYIB")</f>
        <v>ĐTPCAYIB</v>
      </c>
      <c r="C502" s="587" t="str">
        <f ca="1">IFERROR(__xludf.DUMMYFUNCTION("""COMPUTED_VALUE"""),"DOT1905100")</f>
        <v>DOT1905100</v>
      </c>
      <c r="D502" s="588" t="str">
        <f ca="1">IFERROR(__xludf.DUMMYFUNCTION("""COMPUTED_VALUE"""),"Đồng ống thẳng 19.05x1.00")</f>
        <v>Đồng ống thẳng 19.05x1.00</v>
      </c>
      <c r="E502" s="589">
        <f ca="1">IFERROR(__xludf.DUMMYFUNCTION("""COMPUTED_VALUE"""),0.1)</f>
        <v>0.1</v>
      </c>
      <c r="F502" s="590" t="str">
        <f ca="1">IFERROR(__xludf.DUMMYFUNCTION("""COMPUTED_VALUE"""),"Cây")</f>
        <v>Cây</v>
      </c>
      <c r="G502" s="590" t="str">
        <f ca="1">IFERROR(__xludf.DUMMYFUNCTION("""COMPUTED_VALUE"""),"Cây 2.9m")</f>
        <v>Cây 2.9m</v>
      </c>
      <c r="H502" s="588" t="str">
        <f ca="1">IFERROR(__xludf.DUMMYFUNCTION("""COMPUTED_VALUE"""),"30")</f>
        <v>30</v>
      </c>
      <c r="I502" s="591">
        <f ca="1">IFERROR(__xludf.DUMMYFUNCTION("""COMPUTED_VALUE"""),1.5169581)</f>
        <v>1.5169581000000001</v>
      </c>
      <c r="J502" s="592" t="str">
        <f ca="1">IFERROR(__xludf.DUMMYFUNCTION("""COMPUTED_VALUE""")," 19.05 ")</f>
        <v xml:space="preserve"> 19.05 </v>
      </c>
      <c r="K502" s="590" t="str">
        <f ca="1">IFERROR(__xludf.DUMMYFUNCTION("""COMPUTED_VALUE"""),"1.00")</f>
        <v>1.00</v>
      </c>
      <c r="L502" s="590">
        <f ca="1">IFERROR(__xludf.DUMMYFUNCTION("""COMPUTED_VALUE"""),2.9)</f>
        <v>2.9</v>
      </c>
      <c r="M502" s="590"/>
      <c r="N502" s="590" t="str">
        <f ca="1">IFERROR(__xludf.DUMMYFUNCTION("""COMPUTED_VALUE"""),"Ít bán")</f>
        <v>Ít bán</v>
      </c>
      <c r="O502" s="589"/>
      <c r="P502" s="590"/>
      <c r="Q502" s="885">
        <f ca="1">+$Q$5*I502</f>
        <v>348.90036299999997</v>
      </c>
    </row>
    <row r="503" spans="1:17" ht="15.75">
      <c r="A503" s="581" t="str">
        <f ca="1">IFERROR(__xludf.DUMMYFUNCTION("""COMPUTED_VALUE"""),"Toàn Phát - Việt Nam")</f>
        <v>Toàn Phát - Việt Nam</v>
      </c>
      <c r="B503" s="581" t="str">
        <f ca="1">IFERROR(__xludf.DUMMYFUNCTION("""COMPUTED_VALUE"""),"ĐTPCAYDI")</f>
        <v>ĐTPCAYDI</v>
      </c>
      <c r="C503" s="581" t="str">
        <f ca="1">IFERROR(__xludf.DUMMYFUNCTION("""COMPUTED_VALUE"""),"DOT1905107")</f>
        <v>DOT1905107</v>
      </c>
      <c r="D503" s="582" t="str">
        <f ca="1">IFERROR(__xludf.DUMMYFUNCTION("""COMPUTED_VALUE"""),"Đồng ống thẳng 19.05x1.07")</f>
        <v>Đồng ống thẳng 19.05x1.07</v>
      </c>
      <c r="E503" s="583">
        <f ca="1">IFERROR(__xludf.DUMMYFUNCTION("""COMPUTED_VALUE"""),0.1)</f>
        <v>0.1</v>
      </c>
      <c r="F503" s="584" t="str">
        <f ca="1">IFERROR(__xludf.DUMMYFUNCTION("""COMPUTED_VALUE"""),"Cây")</f>
        <v>Cây</v>
      </c>
      <c r="G503" s="584" t="str">
        <f ca="1">IFERROR(__xludf.DUMMYFUNCTION("""COMPUTED_VALUE"""),"Cây 2.9m")</f>
        <v>Cây 2.9m</v>
      </c>
      <c r="H503" s="582" t="str">
        <f ca="1">IFERROR(__xludf.DUMMYFUNCTION("""COMPUTED_VALUE"""),"30")</f>
        <v>30</v>
      </c>
      <c r="I503" s="585">
        <f ca="1">IFERROR(__xludf.DUMMYFUNCTION("""COMPUTED_VALUE"""),1.6168504212)</f>
        <v>1.6168504212000001</v>
      </c>
      <c r="J503" s="586" t="str">
        <f ca="1">IFERROR(__xludf.DUMMYFUNCTION("""COMPUTED_VALUE""")," 19.05 ")</f>
        <v xml:space="preserve"> 19.05 </v>
      </c>
      <c r="K503" s="584" t="str">
        <f ca="1">IFERROR(__xludf.DUMMYFUNCTION("""COMPUTED_VALUE"""),"1.07")</f>
        <v>1.07</v>
      </c>
      <c r="L503" s="584">
        <f ca="1">IFERROR(__xludf.DUMMYFUNCTION("""COMPUTED_VALUE"""),2.9)</f>
        <v>2.9</v>
      </c>
      <c r="M503" s="584"/>
      <c r="N503" s="584" t="str">
        <f ca="1">IFERROR(__xludf.DUMMYFUNCTION("""COMPUTED_VALUE"""),"Dị_D&lt;54")</f>
        <v>Dị_D&lt;54</v>
      </c>
      <c r="O503" s="583"/>
      <c r="P503" s="584"/>
    </row>
    <row r="504" spans="1:17" ht="15.75">
      <c r="A504" s="587" t="str">
        <f ca="1">IFERROR(__xludf.DUMMYFUNCTION("""COMPUTED_VALUE"""),"Toàn Phát - Việt Nam")</f>
        <v>Toàn Phát - Việt Nam</v>
      </c>
      <c r="B504" s="587" t="str">
        <f ca="1">IFERROR(__xludf.DUMMYFUNCTION("""COMPUTED_VALUE"""),"ĐTPCAYDI")</f>
        <v>ĐTPCAYDI</v>
      </c>
      <c r="C504" s="587" t="str">
        <f ca="1">IFERROR(__xludf.DUMMYFUNCTION("""COMPUTED_VALUE"""),"DOT1905110")</f>
        <v>DOT1905110</v>
      </c>
      <c r="D504" s="588" t="str">
        <f ca="1">IFERROR(__xludf.DUMMYFUNCTION("""COMPUTED_VALUE"""),"Đồng ống thẳng 19.05x1.10")</f>
        <v>Đồng ống thẳng 19.05x1.10</v>
      </c>
      <c r="E504" s="589">
        <f ca="1">IFERROR(__xludf.DUMMYFUNCTION("""COMPUTED_VALUE"""),0.1)</f>
        <v>0.1</v>
      </c>
      <c r="F504" s="590" t="str">
        <f ca="1">IFERROR(__xludf.DUMMYFUNCTION("""COMPUTED_VALUE"""),"Cây")</f>
        <v>Cây</v>
      </c>
      <c r="G504" s="590" t="str">
        <f ca="1">IFERROR(__xludf.DUMMYFUNCTION("""COMPUTED_VALUE"""),"Cây 2.9m")</f>
        <v>Cây 2.9m</v>
      </c>
      <c r="H504" s="588" t="str">
        <f ca="1">IFERROR(__xludf.DUMMYFUNCTION("""COMPUTED_VALUE"""),"30")</f>
        <v>30</v>
      </c>
      <c r="I504" s="591">
        <f ca="1">IFERROR(__xludf.DUMMYFUNCTION("""COMPUTED_VALUE"""),1.65940929)</f>
        <v>1.6594092899999999</v>
      </c>
      <c r="J504" s="592" t="str">
        <f ca="1">IFERROR(__xludf.DUMMYFUNCTION("""COMPUTED_VALUE""")," 19.05 ")</f>
        <v xml:space="preserve"> 19.05 </v>
      </c>
      <c r="K504" s="590" t="str">
        <f ca="1">IFERROR(__xludf.DUMMYFUNCTION("""COMPUTED_VALUE"""),"1.10")</f>
        <v>1.10</v>
      </c>
      <c r="L504" s="590">
        <f ca="1">IFERROR(__xludf.DUMMYFUNCTION("""COMPUTED_VALUE"""),2.9)</f>
        <v>2.9</v>
      </c>
      <c r="M504" s="590"/>
      <c r="N504" s="590" t="str">
        <f ca="1">IFERROR(__xludf.DUMMYFUNCTION("""COMPUTED_VALUE"""),"Dị_D&lt;54")</f>
        <v>Dị_D&lt;54</v>
      </c>
      <c r="O504" s="589"/>
      <c r="P504" s="590"/>
    </row>
    <row r="505" spans="1:17" ht="15.75">
      <c r="A505" s="581" t="str">
        <f ca="1">IFERROR(__xludf.DUMMYFUNCTION("""COMPUTED_VALUE"""),"Toàn Phát - Việt Nam")</f>
        <v>Toàn Phát - Việt Nam</v>
      </c>
      <c r="B505" s="581" t="str">
        <f ca="1">IFERROR(__xludf.DUMMYFUNCTION("""COMPUTED_VALUE"""),"ĐTPCAYDI")</f>
        <v>ĐTPCAYDI</v>
      </c>
      <c r="C505" s="581" t="str">
        <f ca="1">IFERROR(__xludf.DUMMYFUNCTION("""COMPUTED_VALUE"""),"DOT1905120")</f>
        <v>DOT1905120</v>
      </c>
      <c r="D505" s="582" t="str">
        <f ca="1">IFERROR(__xludf.DUMMYFUNCTION("""COMPUTED_VALUE"""),"Đồng ống thẳng 19.05x1.20")</f>
        <v>Đồng ống thẳng 19.05x1.20</v>
      </c>
      <c r="E505" s="583">
        <f ca="1">IFERROR(__xludf.DUMMYFUNCTION("""COMPUTED_VALUE"""),0.1)</f>
        <v>0.1</v>
      </c>
      <c r="F505" s="584" t="str">
        <f ca="1">IFERROR(__xludf.DUMMYFUNCTION("""COMPUTED_VALUE"""),"Cây")</f>
        <v>Cây</v>
      </c>
      <c r="G505" s="584" t="str">
        <f ca="1">IFERROR(__xludf.DUMMYFUNCTION("""COMPUTED_VALUE"""),"Cây 2.9m")</f>
        <v>Cây 2.9m</v>
      </c>
      <c r="H505" s="582" t="str">
        <f ca="1">IFERROR(__xludf.DUMMYFUNCTION("""COMPUTED_VALUE"""),"30")</f>
        <v>30</v>
      </c>
      <c r="I505" s="585">
        <f ca="1">IFERROR(__xludf.DUMMYFUNCTION("""COMPUTED_VALUE"""),1.80017964)</f>
        <v>1.8001796400000001</v>
      </c>
      <c r="J505" s="586" t="str">
        <f ca="1">IFERROR(__xludf.DUMMYFUNCTION("""COMPUTED_VALUE""")," 19.05 ")</f>
        <v xml:space="preserve"> 19.05 </v>
      </c>
      <c r="K505" s="584" t="str">
        <f ca="1">IFERROR(__xludf.DUMMYFUNCTION("""COMPUTED_VALUE"""),"1.20")</f>
        <v>1.20</v>
      </c>
      <c r="L505" s="584">
        <f ca="1">IFERROR(__xludf.DUMMYFUNCTION("""COMPUTED_VALUE"""),2.9)</f>
        <v>2.9</v>
      </c>
      <c r="M505" s="584"/>
      <c r="N505" s="584" t="str">
        <f ca="1">IFERROR(__xludf.DUMMYFUNCTION("""COMPUTED_VALUE"""),"Dị_D&lt;54")</f>
        <v>Dị_D&lt;54</v>
      </c>
      <c r="O505" s="583"/>
      <c r="P505" s="584"/>
    </row>
    <row r="506" spans="1:17" ht="15.75">
      <c r="A506" s="587" t="str">
        <f ca="1">IFERROR(__xludf.DUMMYFUNCTION("""COMPUTED_VALUE"""),"Toàn Phát - Việt Nam")</f>
        <v>Toàn Phát - Việt Nam</v>
      </c>
      <c r="B506" s="587" t="str">
        <f ca="1">IFERROR(__xludf.DUMMYFUNCTION("""COMPUTED_VALUE"""),"ĐTPCAYDI")</f>
        <v>ĐTPCAYDI</v>
      </c>
      <c r="C506" s="587" t="str">
        <f ca="1">IFERROR(__xludf.DUMMYFUNCTION("""COMPUTED_VALUE"""),"DOT1905124")</f>
        <v>DOT1905124</v>
      </c>
      <c r="D506" s="588" t="str">
        <f ca="1">IFERROR(__xludf.DUMMYFUNCTION("""COMPUTED_VALUE"""),"Đồng ống thẳng 19.05x1.24")</f>
        <v>Đồng ống thẳng 19.05x1.24</v>
      </c>
      <c r="E506" s="589">
        <f ca="1">IFERROR(__xludf.DUMMYFUNCTION("""COMPUTED_VALUE"""),0.1)</f>
        <v>0.1</v>
      </c>
      <c r="F506" s="590" t="str">
        <f ca="1">IFERROR(__xludf.DUMMYFUNCTION("""COMPUTED_VALUE"""),"Cây")</f>
        <v>Cây</v>
      </c>
      <c r="G506" s="590" t="str">
        <f ca="1">IFERROR(__xludf.DUMMYFUNCTION("""COMPUTED_VALUE"""),"Cây 2.9m")</f>
        <v>Cây 2.9m</v>
      </c>
      <c r="H506" s="588" t="str">
        <f ca="1">IFERROR(__xludf.DUMMYFUNCTION("""COMPUTED_VALUE"""),"30")</f>
        <v>30</v>
      </c>
      <c r="I506" s="591">
        <f ca="1">IFERROR(__xludf.DUMMYFUNCTION("""COMPUTED_VALUE"""),1.8560171448)</f>
        <v>1.8560171448</v>
      </c>
      <c r="J506" s="592" t="str">
        <f ca="1">IFERROR(__xludf.DUMMYFUNCTION("""COMPUTED_VALUE""")," 19.05 ")</f>
        <v xml:space="preserve"> 19.05 </v>
      </c>
      <c r="K506" s="590" t="str">
        <f ca="1">IFERROR(__xludf.DUMMYFUNCTION("""COMPUTED_VALUE"""),"1.24")</f>
        <v>1.24</v>
      </c>
      <c r="L506" s="590">
        <f ca="1">IFERROR(__xludf.DUMMYFUNCTION("""COMPUTED_VALUE"""),2.9)</f>
        <v>2.9</v>
      </c>
      <c r="M506" s="590"/>
      <c r="N506" s="590" t="str">
        <f ca="1">IFERROR(__xludf.DUMMYFUNCTION("""COMPUTED_VALUE"""),"Dị_D&lt;54")</f>
        <v>Dị_D&lt;54</v>
      </c>
      <c r="O506" s="589"/>
      <c r="P506" s="590"/>
    </row>
    <row r="507" spans="1:17" ht="15.75">
      <c r="A507" s="581" t="str">
        <f ca="1">IFERROR(__xludf.DUMMYFUNCTION("""COMPUTED_VALUE"""),"Toàn Phát - Việt Nam")</f>
        <v>Toàn Phát - Việt Nam</v>
      </c>
      <c r="B507" s="581" t="str">
        <f ca="1">IFERROR(__xludf.DUMMYFUNCTION("""COMPUTED_VALUE"""),"ĐTPCAYDI")</f>
        <v>ĐTPCAYDI</v>
      </c>
      <c r="C507" s="581" t="str">
        <f ca="1">IFERROR(__xludf.DUMMYFUNCTION("""COMPUTED_VALUE"""),"DOT1905140")</f>
        <v>DOT1905140</v>
      </c>
      <c r="D507" s="582" t="str">
        <f ca="1">IFERROR(__xludf.DUMMYFUNCTION("""COMPUTED_VALUE"""),"Đồng ống thẳng 19.05x1.4")</f>
        <v>Đồng ống thẳng 19.05x1.4</v>
      </c>
      <c r="E507" s="583">
        <f ca="1">IFERROR(__xludf.DUMMYFUNCTION("""COMPUTED_VALUE"""),0.1)</f>
        <v>0.1</v>
      </c>
      <c r="F507" s="584" t="str">
        <f ca="1">IFERROR(__xludf.DUMMYFUNCTION("""COMPUTED_VALUE"""),"Cây")</f>
        <v>Cây</v>
      </c>
      <c r="G507" s="584" t="str">
        <f ca="1">IFERROR(__xludf.DUMMYFUNCTION("""COMPUTED_VALUE"""),"Cây 2.9m")</f>
        <v>Cây 2.9m</v>
      </c>
      <c r="H507" s="582" t="str">
        <f ca="1">IFERROR(__xludf.DUMMYFUNCTION("""COMPUTED_VALUE"""),"30")</f>
        <v>30</v>
      </c>
      <c r="I507" s="585">
        <f ca="1">IFERROR(__xludf.DUMMYFUNCTION("""COMPUTED_VALUE"""),2.07667781999999)</f>
        <v>2.0766778199999898</v>
      </c>
      <c r="J507" s="586" t="str">
        <f ca="1">IFERROR(__xludf.DUMMYFUNCTION("""COMPUTED_VALUE""")," 19.05 ")</f>
        <v xml:space="preserve"> 19.05 </v>
      </c>
      <c r="K507" s="584" t="str">
        <f ca="1">IFERROR(__xludf.DUMMYFUNCTION("""COMPUTED_VALUE"""),"1.40")</f>
        <v>1.40</v>
      </c>
      <c r="L507" s="584">
        <f ca="1">IFERROR(__xludf.DUMMYFUNCTION("""COMPUTED_VALUE"""),2.9)</f>
        <v>2.9</v>
      </c>
      <c r="M507" s="584"/>
      <c r="N507" s="584" t="str">
        <f ca="1">IFERROR(__xludf.DUMMYFUNCTION("""COMPUTED_VALUE"""),"Dị_D&lt;54")</f>
        <v>Dị_D&lt;54</v>
      </c>
      <c r="O507" s="583"/>
      <c r="P507" s="584"/>
    </row>
    <row r="508" spans="1:17" ht="15.75">
      <c r="A508" s="587" t="str">
        <f ca="1">IFERROR(__xludf.DUMMYFUNCTION("""COMPUTED_VALUE"""),"Toàn Phát - Việt Nam")</f>
        <v>Toàn Phát - Việt Nam</v>
      </c>
      <c r="B508" s="587" t="str">
        <f ca="1">IFERROR(__xludf.DUMMYFUNCTION("""COMPUTED_VALUE"""),"ĐTPCAYDI")</f>
        <v>ĐTPCAYDI</v>
      </c>
      <c r="C508" s="587" t="str">
        <f ca="1">IFERROR(__xludf.DUMMYFUNCTION("""COMPUTED_VALUE"""),"DOT190515030")</f>
        <v>DOT190515030</v>
      </c>
      <c r="D508" s="588" t="str">
        <f ca="1">IFERROR(__xludf.DUMMYFUNCTION("""COMPUTED_VALUE"""),"Đồng ống thẳng 19.05x1.50x3.0")</f>
        <v>Đồng ống thẳng 19.05x1.50x3.0</v>
      </c>
      <c r="E508" s="589">
        <f ca="1">IFERROR(__xludf.DUMMYFUNCTION("""COMPUTED_VALUE"""),0.1)</f>
        <v>0.1</v>
      </c>
      <c r="F508" s="590" t="str">
        <f ca="1">IFERROR(__xludf.DUMMYFUNCTION("""COMPUTED_VALUE"""),"Cây")</f>
        <v>Cây</v>
      </c>
      <c r="G508" s="590" t="str">
        <f ca="1">IFERROR(__xludf.DUMMYFUNCTION("""COMPUTED_VALUE"""),"Cây 3m")</f>
        <v>Cây 3m</v>
      </c>
      <c r="H508" s="588"/>
      <c r="I508" s="591">
        <f ca="1">IFERROR(__xludf.DUMMYFUNCTION("""COMPUTED_VALUE"""),2.2886955)</f>
        <v>2.2886955000000002</v>
      </c>
      <c r="J508" s="592" t="str">
        <f ca="1">IFERROR(__xludf.DUMMYFUNCTION("""COMPUTED_VALUE""")," 19.05 ")</f>
        <v xml:space="preserve"> 19.05 </v>
      </c>
      <c r="K508" s="590" t="str">
        <f ca="1">IFERROR(__xludf.DUMMYFUNCTION("""COMPUTED_VALUE"""),"1.50")</f>
        <v>1.50</v>
      </c>
      <c r="L508" s="590">
        <f ca="1">IFERROR(__xludf.DUMMYFUNCTION("""COMPUTED_VALUE"""),3)</f>
        <v>3</v>
      </c>
      <c r="M508" s="590"/>
      <c r="N508" s="590" t="str">
        <f ca="1">IFERROR(__xludf.DUMMYFUNCTION("""COMPUTED_VALUE"""),"Dị_D&lt;54")</f>
        <v>Dị_D&lt;54</v>
      </c>
      <c r="O508" s="589"/>
      <c r="P508" s="590"/>
    </row>
    <row r="509" spans="1:17" ht="15.75">
      <c r="A509" s="581" t="str">
        <f ca="1">IFERROR(__xludf.DUMMYFUNCTION("""COMPUTED_VALUE"""),"Toàn Phát - Việt Nam")</f>
        <v>Toàn Phát - Việt Nam</v>
      </c>
      <c r="B509" s="581" t="str">
        <f ca="1">IFERROR(__xludf.DUMMYFUNCTION("""COMPUTED_VALUE"""),"ĐTPCAYDI")</f>
        <v>ĐTPCAYDI</v>
      </c>
      <c r="C509" s="581" t="str">
        <f ca="1">IFERROR(__xludf.DUMMYFUNCTION("""COMPUTED_VALUE"""),"DOT190519530")</f>
        <v>DOT190519530</v>
      </c>
      <c r="D509" s="582" t="str">
        <f ca="1">IFERROR(__xludf.DUMMYFUNCTION("""COMPUTED_VALUE"""),"Đồng ống thẳng 19.05x1.95x3.0")</f>
        <v>Đồng ống thẳng 19.05x1.95x3.0</v>
      </c>
      <c r="E509" s="583">
        <f ca="1">IFERROR(__xludf.DUMMYFUNCTION("""COMPUTED_VALUE"""),0.1)</f>
        <v>0.1</v>
      </c>
      <c r="F509" s="584" t="str">
        <f ca="1">IFERROR(__xludf.DUMMYFUNCTION("""COMPUTED_VALUE"""),"Cây")</f>
        <v>Cây</v>
      </c>
      <c r="G509" s="584" t="str">
        <f ca="1">IFERROR(__xludf.DUMMYFUNCTION("""COMPUTED_VALUE"""),"Cây 3m")</f>
        <v>Cây 3m</v>
      </c>
      <c r="H509" s="582"/>
      <c r="I509" s="585">
        <f ca="1">IFERROR(__xludf.DUMMYFUNCTION("""COMPUTED_VALUE"""),2.89901429999999)</f>
        <v>2.8990142999999899</v>
      </c>
      <c r="J509" s="586" t="str">
        <f ca="1">IFERROR(__xludf.DUMMYFUNCTION("""COMPUTED_VALUE""")," 19.05 ")</f>
        <v xml:space="preserve"> 19.05 </v>
      </c>
      <c r="K509" s="584" t="str">
        <f ca="1">IFERROR(__xludf.DUMMYFUNCTION("""COMPUTED_VALUE"""),"1.95")</f>
        <v>1.95</v>
      </c>
      <c r="L509" s="584">
        <f ca="1">IFERROR(__xludf.DUMMYFUNCTION("""COMPUTED_VALUE"""),3)</f>
        <v>3</v>
      </c>
      <c r="M509" s="584"/>
      <c r="N509" s="584" t="str">
        <f ca="1">IFERROR(__xludf.DUMMYFUNCTION("""COMPUTED_VALUE"""),"Dị_D&lt;54")</f>
        <v>Dị_D&lt;54</v>
      </c>
      <c r="O509" s="583"/>
      <c r="P509" s="584"/>
    </row>
    <row r="510" spans="1:17" ht="15.75">
      <c r="A510" s="587" t="str">
        <f ca="1">IFERROR(__xludf.DUMMYFUNCTION("""COMPUTED_VALUE"""),"Toàn Phát - Việt Nam")</f>
        <v>Toàn Phát - Việt Nam</v>
      </c>
      <c r="B510" s="587" t="str">
        <f ca="1">IFERROR(__xludf.DUMMYFUNCTION("""COMPUTED_VALUE"""),"ĐTPCAYDI")</f>
        <v>ĐTPCAYDI</v>
      </c>
      <c r="C510" s="587" t="str">
        <f ca="1">IFERROR(__xludf.DUMMYFUNCTION("""COMPUTED_VALUE"""),"DOT195014030")</f>
        <v>DOT195014030</v>
      </c>
      <c r="D510" s="588" t="str">
        <f ca="1">IFERROR(__xludf.DUMMYFUNCTION("""COMPUTED_VALUE"""),"Đồng ống thẳng 19.50x1.40x3.0")</f>
        <v>Đồng ống thẳng 19.50x1.40x3.0</v>
      </c>
      <c r="E510" s="589">
        <f ca="1">IFERROR(__xludf.DUMMYFUNCTION("""COMPUTED_VALUE"""),0.1)</f>
        <v>0.1</v>
      </c>
      <c r="F510" s="590" t="str">
        <f ca="1">IFERROR(__xludf.DUMMYFUNCTION("""COMPUTED_VALUE"""),"Cây")</f>
        <v>Cây</v>
      </c>
      <c r="G510" s="590" t="str">
        <f ca="1">IFERROR(__xludf.DUMMYFUNCTION("""COMPUTED_VALUE"""),"Cây 3m")</f>
        <v>Cây 3m</v>
      </c>
      <c r="H510" s="588"/>
      <c r="I510" s="591">
        <f ca="1">IFERROR(__xludf.DUMMYFUNCTION("""COMPUTED_VALUE"""),2.2030596)</f>
        <v>2.2030596</v>
      </c>
      <c r="J510" s="592" t="str">
        <f ca="1">IFERROR(__xludf.DUMMYFUNCTION("""COMPUTED_VALUE""")," 19.50 ")</f>
        <v xml:space="preserve"> 19.50 </v>
      </c>
      <c r="K510" s="590" t="str">
        <f ca="1">IFERROR(__xludf.DUMMYFUNCTION("""COMPUTED_VALUE"""),"1.40")</f>
        <v>1.40</v>
      </c>
      <c r="L510" s="590">
        <f ca="1">IFERROR(__xludf.DUMMYFUNCTION("""COMPUTED_VALUE"""),3)</f>
        <v>3</v>
      </c>
      <c r="M510" s="590"/>
      <c r="N510" s="590" t="str">
        <f ca="1">IFERROR(__xludf.DUMMYFUNCTION("""COMPUTED_VALUE"""),"Dị_D&lt;54")</f>
        <v>Dị_D&lt;54</v>
      </c>
      <c r="O510" s="589"/>
      <c r="P510" s="590"/>
    </row>
    <row r="511" spans="1:17" ht="15.75">
      <c r="A511" s="581" t="str">
        <f ca="1">IFERROR(__xludf.DUMMYFUNCTION("""COMPUTED_VALUE"""),"Toàn Phát - Việt Nam")</f>
        <v>Toàn Phát - Việt Nam</v>
      </c>
      <c r="B511" s="581" t="str">
        <f ca="1">IFERROR(__xludf.DUMMYFUNCTION("""COMPUTED_VALUE"""),"ĐTPCAYDI")</f>
        <v>ĐTPCAYDI</v>
      </c>
      <c r="C511" s="581" t="str">
        <f ca="1">IFERROR(__xludf.DUMMYFUNCTION("""COMPUTED_VALUE"""),"DOT195015530")</f>
        <v>DOT195015530</v>
      </c>
      <c r="D511" s="582" t="str">
        <f ca="1">IFERROR(__xludf.DUMMYFUNCTION("""COMPUTED_VALUE"""),"Đồng ống thẳng 19.50x1.55x3.0")</f>
        <v>Đồng ống thẳng 19.50x1.55x3.0</v>
      </c>
      <c r="E511" s="583">
        <f ca="1">IFERROR(__xludf.DUMMYFUNCTION("""COMPUTED_VALUE"""),0.1)</f>
        <v>0.1</v>
      </c>
      <c r="F511" s="584" t="str">
        <f ca="1">IFERROR(__xludf.DUMMYFUNCTION("""COMPUTED_VALUE"""),"Cây")</f>
        <v>Cây</v>
      </c>
      <c r="G511" s="584" t="str">
        <f ca="1">IFERROR(__xludf.DUMMYFUNCTION("""COMPUTED_VALUE"""),"Cây 3m")</f>
        <v>Cây 3m</v>
      </c>
      <c r="H511" s="582"/>
      <c r="I511" s="585">
        <f ca="1">IFERROR(__xludf.DUMMYFUNCTION("""COMPUTED_VALUE"""),2.41888815)</f>
        <v>2.4188881499999999</v>
      </c>
      <c r="J511" s="586" t="str">
        <f ca="1">IFERROR(__xludf.DUMMYFUNCTION("""COMPUTED_VALUE""")," 19.50 ")</f>
        <v xml:space="preserve"> 19.50 </v>
      </c>
      <c r="K511" s="584" t="str">
        <f ca="1">IFERROR(__xludf.DUMMYFUNCTION("""COMPUTED_VALUE"""),"1.55")</f>
        <v>1.55</v>
      </c>
      <c r="L511" s="584">
        <f ca="1">IFERROR(__xludf.DUMMYFUNCTION("""COMPUTED_VALUE"""),3)</f>
        <v>3</v>
      </c>
      <c r="M511" s="584"/>
      <c r="N511" s="584" t="str">
        <f ca="1">IFERROR(__xludf.DUMMYFUNCTION("""COMPUTED_VALUE"""),"Dị_D&lt;54")</f>
        <v>Dị_D&lt;54</v>
      </c>
      <c r="O511" s="583"/>
      <c r="P511" s="584"/>
    </row>
    <row r="512" spans="1:17" ht="15.75">
      <c r="A512" s="587" t="str">
        <f ca="1">IFERROR(__xludf.DUMMYFUNCTION("""COMPUTED_VALUE"""),"Toàn Phát - Việt Nam")</f>
        <v>Toàn Phát - Việt Nam</v>
      </c>
      <c r="B512" s="587" t="str">
        <f ca="1">IFERROR(__xludf.DUMMYFUNCTION("""COMPUTED_VALUE"""),"ĐTPCAYDI")</f>
        <v>ĐTPCAYDI</v>
      </c>
      <c r="C512" s="587" t="str">
        <f ca="1">IFERROR(__xludf.DUMMYFUNCTION("""COMPUTED_VALUE"""),"DOT195017030")</f>
        <v>DOT195017030</v>
      </c>
      <c r="D512" s="588" t="str">
        <f ca="1">IFERROR(__xludf.DUMMYFUNCTION("""COMPUTED_VALUE"""),"Đồng ống thẳng 19.50x1.70x3.0")</f>
        <v>Đồng ống thẳng 19.50x1.70x3.0</v>
      </c>
      <c r="E512" s="589">
        <f ca="1">IFERROR(__xludf.DUMMYFUNCTION("""COMPUTED_VALUE"""),0.1)</f>
        <v>0.1</v>
      </c>
      <c r="F512" s="590" t="str">
        <f ca="1">IFERROR(__xludf.DUMMYFUNCTION("""COMPUTED_VALUE"""),"Cây")</f>
        <v>Cây</v>
      </c>
      <c r="G512" s="590" t="str">
        <f ca="1">IFERROR(__xludf.DUMMYFUNCTION("""COMPUTED_VALUE"""),"Cây 3m")</f>
        <v>Cây 3m</v>
      </c>
      <c r="H512" s="588"/>
      <c r="I512" s="591">
        <f ca="1">IFERROR(__xludf.DUMMYFUNCTION("""COMPUTED_VALUE"""),2.63080439999999)</f>
        <v>2.6308043999999899</v>
      </c>
      <c r="J512" s="592" t="str">
        <f ca="1">IFERROR(__xludf.DUMMYFUNCTION("""COMPUTED_VALUE""")," 19.50 ")</f>
        <v xml:space="preserve"> 19.50 </v>
      </c>
      <c r="K512" s="590" t="str">
        <f ca="1">IFERROR(__xludf.DUMMYFUNCTION("""COMPUTED_VALUE"""),"1.70")</f>
        <v>1.70</v>
      </c>
      <c r="L512" s="590">
        <f ca="1">IFERROR(__xludf.DUMMYFUNCTION("""COMPUTED_VALUE"""),3)</f>
        <v>3</v>
      </c>
      <c r="M512" s="590"/>
      <c r="N512" s="590" t="str">
        <f ca="1">IFERROR(__xludf.DUMMYFUNCTION("""COMPUTED_VALUE"""),"Dị_D&lt;54")</f>
        <v>Dị_D&lt;54</v>
      </c>
      <c r="O512" s="589"/>
      <c r="P512" s="590"/>
    </row>
    <row r="513" spans="1:16" ht="15.75">
      <c r="A513" s="581" t="str">
        <f ca="1">IFERROR(__xludf.DUMMYFUNCTION("""COMPUTED_VALUE"""),"Toàn Phát - Việt Nam")</f>
        <v>Toàn Phát - Việt Nam</v>
      </c>
      <c r="B513" s="581" t="str">
        <f ca="1">IFERROR(__xludf.DUMMYFUNCTION("""COMPUTED_VALUE"""),"ĐTPCAYDI")</f>
        <v>ĐTPCAYDI</v>
      </c>
      <c r="C513" s="581" t="str">
        <f ca="1">IFERROR(__xludf.DUMMYFUNCTION("""COMPUTED_VALUE"""),"DOT195019530")</f>
        <v>DOT195019530</v>
      </c>
      <c r="D513" s="582" t="str">
        <f ca="1">IFERROR(__xludf.DUMMYFUNCTION("""COMPUTED_VALUE"""),"Đồng ống thẳng 19.50x1.95x3.0")</f>
        <v>Đồng ống thẳng 19.50x1.95x3.0</v>
      </c>
      <c r="E513" s="583">
        <f ca="1">IFERROR(__xludf.DUMMYFUNCTION("""COMPUTED_VALUE"""),0.1)</f>
        <v>0.1</v>
      </c>
      <c r="F513" s="584" t="str">
        <f ca="1">IFERROR(__xludf.DUMMYFUNCTION("""COMPUTED_VALUE"""),"Cây")</f>
        <v>Cây</v>
      </c>
      <c r="G513" s="584" t="str">
        <f ca="1">IFERROR(__xludf.DUMMYFUNCTION("""COMPUTED_VALUE"""),"Cây 3m")</f>
        <v>Cây 3m</v>
      </c>
      <c r="H513" s="582"/>
      <c r="I513" s="585">
        <f ca="1">IFERROR(__xludf.DUMMYFUNCTION("""COMPUTED_VALUE"""),2.97530415)</f>
        <v>2.9753041499999999</v>
      </c>
      <c r="J513" s="586" t="str">
        <f ca="1">IFERROR(__xludf.DUMMYFUNCTION("""COMPUTED_VALUE""")," 19.50 ")</f>
        <v xml:space="preserve"> 19.50 </v>
      </c>
      <c r="K513" s="584" t="str">
        <f ca="1">IFERROR(__xludf.DUMMYFUNCTION("""COMPUTED_VALUE"""),"1.95")</f>
        <v>1.95</v>
      </c>
      <c r="L513" s="584">
        <f ca="1">IFERROR(__xludf.DUMMYFUNCTION("""COMPUTED_VALUE"""),3)</f>
        <v>3</v>
      </c>
      <c r="M513" s="584"/>
      <c r="N513" s="584" t="str">
        <f ca="1">IFERROR(__xludf.DUMMYFUNCTION("""COMPUTED_VALUE"""),"Dị_D&lt;54")</f>
        <v>Dị_D&lt;54</v>
      </c>
      <c r="O513" s="583"/>
      <c r="P513" s="584"/>
    </row>
    <row r="514" spans="1:16" ht="15.75">
      <c r="A514" s="587" t="str">
        <f ca="1">IFERROR(__xludf.DUMMYFUNCTION("""COMPUTED_VALUE"""),"Toàn Phát - Việt Nam")</f>
        <v>Toàn Phát - Việt Nam</v>
      </c>
      <c r="B514" s="587" t="str">
        <f ca="1">IFERROR(__xludf.DUMMYFUNCTION("""COMPUTED_VALUE"""),"ĐTPCAYDI")</f>
        <v>ĐTPCAYDI</v>
      </c>
      <c r="C514" s="587" t="str">
        <f ca="1">IFERROR(__xludf.DUMMYFUNCTION("""COMPUTED_VALUE"""),"DOT195023020")</f>
        <v>DOT195023020</v>
      </c>
      <c r="D514" s="588" t="str">
        <f ca="1">IFERROR(__xludf.DUMMYFUNCTION("""COMPUTED_VALUE"""),"Đồng ống thẳng 19.50x2.30x2.0")</f>
        <v>Đồng ống thẳng 19.50x2.30x2.0</v>
      </c>
      <c r="E514" s="589">
        <f ca="1">IFERROR(__xludf.DUMMYFUNCTION("""COMPUTED_VALUE"""),0.1)</f>
        <v>0.1</v>
      </c>
      <c r="F514" s="590" t="str">
        <f ca="1">IFERROR(__xludf.DUMMYFUNCTION("""COMPUTED_VALUE"""),"Cây")</f>
        <v>Cây</v>
      </c>
      <c r="G514" s="590" t="str">
        <f ca="1">IFERROR(__xludf.DUMMYFUNCTION("""COMPUTED_VALUE"""),"Cây 2m")</f>
        <v>Cây 2m</v>
      </c>
      <c r="H514" s="588"/>
      <c r="I514" s="591">
        <f ca="1">IFERROR(__xludf.DUMMYFUNCTION("""COMPUTED_VALUE"""),2.2928976)</f>
        <v>2.2928975999999999</v>
      </c>
      <c r="J514" s="592" t="str">
        <f ca="1">IFERROR(__xludf.DUMMYFUNCTION("""COMPUTED_VALUE""")," 19.50 ")</f>
        <v xml:space="preserve"> 19.50 </v>
      </c>
      <c r="K514" s="590" t="str">
        <f ca="1">IFERROR(__xludf.DUMMYFUNCTION("""COMPUTED_VALUE"""),"2.30")</f>
        <v>2.30</v>
      </c>
      <c r="L514" s="590">
        <f ca="1">IFERROR(__xludf.DUMMYFUNCTION("""COMPUTED_VALUE"""),2)</f>
        <v>2</v>
      </c>
      <c r="M514" s="590"/>
      <c r="N514" s="590" t="str">
        <f ca="1">IFERROR(__xludf.DUMMYFUNCTION("""COMPUTED_VALUE"""),"Dị_D&lt;54")</f>
        <v>Dị_D&lt;54</v>
      </c>
      <c r="O514" s="589"/>
      <c r="P514" s="590"/>
    </row>
    <row r="515" spans="1:16" ht="15.75">
      <c r="A515" s="581" t="str">
        <f ca="1">IFERROR(__xludf.DUMMYFUNCTION("""COMPUTED_VALUE"""),"Toàn Phát - Việt Nam")</f>
        <v>Toàn Phát - Việt Nam</v>
      </c>
      <c r="B515" s="581" t="str">
        <f ca="1">IFERROR(__xludf.DUMMYFUNCTION("""COMPUTED_VALUE"""),"ĐTPCAYDI")</f>
        <v>ĐTPCAYDI</v>
      </c>
      <c r="C515" s="581" t="str">
        <f ca="1">IFERROR(__xludf.DUMMYFUNCTION("""COMPUTED_VALUE"""),"DOT200010029")</f>
        <v>DOT200010029</v>
      </c>
      <c r="D515" s="582" t="str">
        <f ca="1">IFERROR(__xludf.DUMMYFUNCTION("""COMPUTED_VALUE"""),"Đồng ống thẳng 20.00x1x2.9m")</f>
        <v>Đồng ống thẳng 20.00x1x2.9m</v>
      </c>
      <c r="E515" s="583">
        <f ca="1">IFERROR(__xludf.DUMMYFUNCTION("""COMPUTED_VALUE"""),0.1)</f>
        <v>0.1</v>
      </c>
      <c r="F515" s="584" t="str">
        <f ca="1">IFERROR(__xludf.DUMMYFUNCTION("""COMPUTED_VALUE"""),"Cây")</f>
        <v>Cây</v>
      </c>
      <c r="G515" s="584" t="str">
        <f ca="1">IFERROR(__xludf.DUMMYFUNCTION("""COMPUTED_VALUE"""),"Cây 2.9m")</f>
        <v>Cây 2.9m</v>
      </c>
      <c r="H515" s="582"/>
      <c r="I515" s="585">
        <f ca="1">IFERROR(__xludf.DUMMYFUNCTION("""COMPUTED_VALUE"""),1.59679799999999)</f>
        <v>1.5967979999999899</v>
      </c>
      <c r="J515" s="586" t="str">
        <f ca="1">IFERROR(__xludf.DUMMYFUNCTION("""COMPUTED_VALUE""")," 20.00 ")</f>
        <v xml:space="preserve"> 20.00 </v>
      </c>
      <c r="K515" s="584" t="str">
        <f ca="1">IFERROR(__xludf.DUMMYFUNCTION("""COMPUTED_VALUE"""),"1.00")</f>
        <v>1.00</v>
      </c>
      <c r="L515" s="584">
        <f ca="1">IFERROR(__xludf.DUMMYFUNCTION("""COMPUTED_VALUE"""),2.9)</f>
        <v>2.9</v>
      </c>
      <c r="M515" s="584"/>
      <c r="N515" s="584" t="str">
        <f ca="1">IFERROR(__xludf.DUMMYFUNCTION("""COMPUTED_VALUE"""),"Dị_D&lt;54")</f>
        <v>Dị_D&lt;54</v>
      </c>
      <c r="O515" s="583"/>
      <c r="P515" s="584"/>
    </row>
    <row r="516" spans="1:16" ht="15.75">
      <c r="A516" s="587" t="str">
        <f ca="1">IFERROR(__xludf.DUMMYFUNCTION("""COMPUTED_VALUE"""),"Toàn Phát - Việt Nam")</f>
        <v>Toàn Phát - Việt Nam</v>
      </c>
      <c r="B516" s="587" t="str">
        <f ca="1">IFERROR(__xludf.DUMMYFUNCTION("""COMPUTED_VALUE"""),"ĐTPCAYDI")</f>
        <v>ĐTPCAYDI</v>
      </c>
      <c r="C516" s="587" t="str">
        <f ca="1">IFERROR(__xludf.DUMMYFUNCTION("""COMPUTED_VALUE"""),"DOT20001530")</f>
        <v>DOT20001530</v>
      </c>
      <c r="D516" s="588" t="str">
        <f ca="1">IFERROR(__xludf.DUMMYFUNCTION("""COMPUTED_VALUE"""),"Đồng ống thẳng 20.00x1.5x3.0")</f>
        <v>Đồng ống thẳng 20.00x1.5x3.0</v>
      </c>
      <c r="E516" s="589">
        <f ca="1">IFERROR(__xludf.DUMMYFUNCTION("""COMPUTED_VALUE"""),0.1)</f>
        <v>0.1</v>
      </c>
      <c r="F516" s="590" t="str">
        <f ca="1">IFERROR(__xludf.DUMMYFUNCTION("""COMPUTED_VALUE"""),"Cây")</f>
        <v>Cây</v>
      </c>
      <c r="G516" s="590" t="str">
        <f ca="1">IFERROR(__xludf.DUMMYFUNCTION("""COMPUTED_VALUE"""),"Cây 3m")</f>
        <v>Cây 3m</v>
      </c>
      <c r="H516" s="588"/>
      <c r="I516" s="591">
        <f ca="1">IFERROR(__xludf.DUMMYFUNCTION("""COMPUTED_VALUE"""),2.412585)</f>
        <v>2.412585</v>
      </c>
      <c r="J516" s="592" t="str">
        <f ca="1">IFERROR(__xludf.DUMMYFUNCTION("""COMPUTED_VALUE""")," 20.00 ")</f>
        <v xml:space="preserve"> 20.00 </v>
      </c>
      <c r="K516" s="590" t="str">
        <f ca="1">IFERROR(__xludf.DUMMYFUNCTION("""COMPUTED_VALUE"""),"1.50")</f>
        <v>1.50</v>
      </c>
      <c r="L516" s="590">
        <f ca="1">IFERROR(__xludf.DUMMYFUNCTION("""COMPUTED_VALUE"""),3)</f>
        <v>3</v>
      </c>
      <c r="M516" s="590"/>
      <c r="N516" s="590" t="str">
        <f ca="1">IFERROR(__xludf.DUMMYFUNCTION("""COMPUTED_VALUE"""),"Dị_D&lt;54")</f>
        <v>Dị_D&lt;54</v>
      </c>
      <c r="O516" s="589"/>
      <c r="P516" s="590"/>
    </row>
    <row r="517" spans="1:16" ht="15.75">
      <c r="A517" s="581" t="str">
        <f ca="1">IFERROR(__xludf.DUMMYFUNCTION("""COMPUTED_VALUE"""),"Toàn Phát - Việt Nam")</f>
        <v>Toàn Phát - Việt Nam</v>
      </c>
      <c r="B517" s="581" t="str">
        <f ca="1">IFERROR(__xludf.DUMMYFUNCTION("""COMPUTED_VALUE"""),"ĐTPCAYDI")</f>
        <v>ĐTPCAYDI</v>
      </c>
      <c r="C517" s="581" t="str">
        <f ca="1">IFERROR(__xludf.DUMMYFUNCTION("""COMPUTED_VALUE"""),"DOT20001630")</f>
        <v>DOT20001630</v>
      </c>
      <c r="D517" s="582" t="str">
        <f ca="1">IFERROR(__xludf.DUMMYFUNCTION("""COMPUTED_VALUE"""),"Đồng ống thẳng 20.00x1.6x3.0")</f>
        <v>Đồng ống thẳng 20.00x1.6x3.0</v>
      </c>
      <c r="E517" s="583">
        <f ca="1">IFERROR(__xludf.DUMMYFUNCTION("""COMPUTED_VALUE"""),0.1)</f>
        <v>0.1</v>
      </c>
      <c r="F517" s="584" t="str">
        <f ca="1">IFERROR(__xludf.DUMMYFUNCTION("""COMPUTED_VALUE"""),"Cây")</f>
        <v>Cây</v>
      </c>
      <c r="G517" s="584" t="str">
        <f ca="1">IFERROR(__xludf.DUMMYFUNCTION("""COMPUTED_VALUE"""),"Cây 3m")</f>
        <v>Cây 3m</v>
      </c>
      <c r="H517" s="582"/>
      <c r="I517" s="585">
        <f ca="1">IFERROR(__xludf.DUMMYFUNCTION("""COMPUTED_VALUE"""),2.55951359999999)</f>
        <v>2.5595135999999901</v>
      </c>
      <c r="J517" s="586" t="str">
        <f ca="1">IFERROR(__xludf.DUMMYFUNCTION("""COMPUTED_VALUE""")," 20.00 ")</f>
        <v xml:space="preserve"> 20.00 </v>
      </c>
      <c r="K517" s="584" t="str">
        <f ca="1">IFERROR(__xludf.DUMMYFUNCTION("""COMPUTED_VALUE"""),"1.60")</f>
        <v>1.60</v>
      </c>
      <c r="L517" s="584">
        <f ca="1">IFERROR(__xludf.DUMMYFUNCTION("""COMPUTED_VALUE"""),3)</f>
        <v>3</v>
      </c>
      <c r="M517" s="584"/>
      <c r="N517" s="584" t="str">
        <f ca="1">IFERROR(__xludf.DUMMYFUNCTION("""COMPUTED_VALUE"""),"Dị_D&lt;54")</f>
        <v>Dị_D&lt;54</v>
      </c>
      <c r="O517" s="583"/>
      <c r="P517" s="584"/>
    </row>
    <row r="518" spans="1:16" ht="15.75">
      <c r="A518" s="587" t="str">
        <f ca="1">IFERROR(__xludf.DUMMYFUNCTION("""COMPUTED_VALUE"""),"Toàn Phát - Việt Nam")</f>
        <v>Toàn Phát - Việt Nam</v>
      </c>
      <c r="B518" s="587" t="str">
        <f ca="1">IFERROR(__xludf.DUMMYFUNCTION("""COMPUTED_VALUE"""),"ĐTPCAYDI")</f>
        <v>ĐTPCAYDI</v>
      </c>
      <c r="C518" s="587" t="str">
        <f ca="1">IFERROR(__xludf.DUMMYFUNCTION("""COMPUTED_VALUE"""),"DOT20001730")</f>
        <v>DOT20001730</v>
      </c>
      <c r="D518" s="588" t="str">
        <f ca="1">IFERROR(__xludf.DUMMYFUNCTION("""COMPUTED_VALUE"""),"Đồng ống thẳng 20.00x1.7x3.0")</f>
        <v>Đồng ống thẳng 20.00x1.7x3.0</v>
      </c>
      <c r="E518" s="589">
        <f ca="1">IFERROR(__xludf.DUMMYFUNCTION("""COMPUTED_VALUE"""),0.1)</f>
        <v>0.1</v>
      </c>
      <c r="F518" s="590" t="str">
        <f ca="1">IFERROR(__xludf.DUMMYFUNCTION("""COMPUTED_VALUE"""),"Cây")</f>
        <v>Cây</v>
      </c>
      <c r="G518" s="590" t="str">
        <f ca="1">IFERROR(__xludf.DUMMYFUNCTION("""COMPUTED_VALUE"""),"Cây 3m")</f>
        <v>Cây 3m</v>
      </c>
      <c r="H518" s="588"/>
      <c r="I518" s="591">
        <f ca="1">IFERROR(__xludf.DUMMYFUNCTION("""COMPUTED_VALUE"""),2.70470339999999)</f>
        <v>2.7047033999999899</v>
      </c>
      <c r="J518" s="592" t="str">
        <f ca="1">IFERROR(__xludf.DUMMYFUNCTION("""COMPUTED_VALUE""")," 20.00 ")</f>
        <v xml:space="preserve"> 20.00 </v>
      </c>
      <c r="K518" s="590" t="str">
        <f ca="1">IFERROR(__xludf.DUMMYFUNCTION("""COMPUTED_VALUE"""),"1.70")</f>
        <v>1.70</v>
      </c>
      <c r="L518" s="590">
        <f ca="1">IFERROR(__xludf.DUMMYFUNCTION("""COMPUTED_VALUE"""),3)</f>
        <v>3</v>
      </c>
      <c r="M518" s="590"/>
      <c r="N518" s="590" t="str">
        <f ca="1">IFERROR(__xludf.DUMMYFUNCTION("""COMPUTED_VALUE"""),"Dị_D&lt;54")</f>
        <v>Dị_D&lt;54</v>
      </c>
      <c r="O518" s="589"/>
      <c r="P518" s="590"/>
    </row>
    <row r="519" spans="1:16" ht="15.75">
      <c r="A519" s="581" t="str">
        <f ca="1">IFERROR(__xludf.DUMMYFUNCTION("""COMPUTED_VALUE"""),"Toàn Phát - Việt Nam")</f>
        <v>Toàn Phát - Việt Nam</v>
      </c>
      <c r="B519" s="581" t="str">
        <f ca="1">IFERROR(__xludf.DUMMYFUNCTION("""COMPUTED_VALUE"""),"ĐTPCAYDI")</f>
        <v>ĐTPCAYDI</v>
      </c>
      <c r="C519" s="581" t="str">
        <f ca="1">IFERROR(__xludf.DUMMYFUNCTION("""COMPUTED_VALUE"""),"DOT20001930")</f>
        <v>DOT20001930</v>
      </c>
      <c r="D519" s="582" t="str">
        <f ca="1">IFERROR(__xludf.DUMMYFUNCTION("""COMPUTED_VALUE"""),"Đồng ống thẳng 20.00x1.9x3.0")</f>
        <v>Đồng ống thẳng 20.00x1.9x3.0</v>
      </c>
      <c r="E519" s="583">
        <f ca="1">IFERROR(__xludf.DUMMYFUNCTION("""COMPUTED_VALUE"""),0.1)</f>
        <v>0.1</v>
      </c>
      <c r="F519" s="584" t="str">
        <f ca="1">IFERROR(__xludf.DUMMYFUNCTION("""COMPUTED_VALUE"""),"Cây")</f>
        <v>Cây</v>
      </c>
      <c r="G519" s="584" t="str">
        <f ca="1">IFERROR(__xludf.DUMMYFUNCTION("""COMPUTED_VALUE"""),"Cây 3m")</f>
        <v>Cây 3m</v>
      </c>
      <c r="H519" s="582"/>
      <c r="I519" s="585">
        <f ca="1">IFERROR(__xludf.DUMMYFUNCTION("""COMPUTED_VALUE"""),2.98986659999999)</f>
        <v>2.9898665999999898</v>
      </c>
      <c r="J519" s="586" t="str">
        <f ca="1">IFERROR(__xludf.DUMMYFUNCTION("""COMPUTED_VALUE""")," 20.00 ")</f>
        <v xml:space="preserve"> 20.00 </v>
      </c>
      <c r="K519" s="584" t="str">
        <f ca="1">IFERROR(__xludf.DUMMYFUNCTION("""COMPUTED_VALUE"""),"1.90")</f>
        <v>1.90</v>
      </c>
      <c r="L519" s="584">
        <f ca="1">IFERROR(__xludf.DUMMYFUNCTION("""COMPUTED_VALUE"""),3)</f>
        <v>3</v>
      </c>
      <c r="M519" s="584"/>
      <c r="N519" s="584" t="str">
        <f ca="1">IFERROR(__xludf.DUMMYFUNCTION("""COMPUTED_VALUE"""),"Dị_D&lt;54")</f>
        <v>Dị_D&lt;54</v>
      </c>
      <c r="O519" s="583"/>
      <c r="P519" s="584"/>
    </row>
    <row r="520" spans="1:16" ht="15.75">
      <c r="A520" s="587" t="str">
        <f ca="1">IFERROR(__xludf.DUMMYFUNCTION("""COMPUTED_VALUE"""),"Toàn Phát - Việt Nam")</f>
        <v>Toàn Phát - Việt Nam</v>
      </c>
      <c r="B520" s="587" t="str">
        <f ca="1">IFERROR(__xludf.DUMMYFUNCTION("""COMPUTED_VALUE"""),"ĐTPCAYDI")</f>
        <v>ĐTPCAYDI</v>
      </c>
      <c r="C520" s="587" t="str">
        <f ca="1">IFERROR(__xludf.DUMMYFUNCTION("""COMPUTED_VALUE"""),"DOT20002030")</f>
        <v>DOT20002030</v>
      </c>
      <c r="D520" s="588" t="str">
        <f ca="1">IFERROR(__xludf.DUMMYFUNCTION("""COMPUTED_VALUE"""),"Đồng ống thẳng 20.00x2.00x3.0")</f>
        <v>Đồng ống thẳng 20.00x2.00x3.0</v>
      </c>
      <c r="E520" s="589">
        <f ca="1">IFERROR(__xludf.DUMMYFUNCTION("""COMPUTED_VALUE"""),0.1)</f>
        <v>0.1</v>
      </c>
      <c r="F520" s="590" t="str">
        <f ca="1">IFERROR(__xludf.DUMMYFUNCTION("""COMPUTED_VALUE"""),"Cây")</f>
        <v>Cây</v>
      </c>
      <c r="G520" s="590" t="str">
        <f ca="1">IFERROR(__xludf.DUMMYFUNCTION("""COMPUTED_VALUE"""),"Cây 3m")</f>
        <v>Cây 3m</v>
      </c>
      <c r="H520" s="588"/>
      <c r="I520" s="591">
        <f ca="1">IFERROR(__xludf.DUMMYFUNCTION("""COMPUTED_VALUE"""),3.12983999999999)</f>
        <v>3.12983999999999</v>
      </c>
      <c r="J520" s="592" t="str">
        <f ca="1">IFERROR(__xludf.DUMMYFUNCTION("""COMPUTED_VALUE""")," 20.00 ")</f>
        <v xml:space="preserve"> 20.00 </v>
      </c>
      <c r="K520" s="590" t="str">
        <f ca="1">IFERROR(__xludf.DUMMYFUNCTION("""COMPUTED_VALUE"""),"2.00")</f>
        <v>2.00</v>
      </c>
      <c r="L520" s="590">
        <f ca="1">IFERROR(__xludf.DUMMYFUNCTION("""COMPUTED_VALUE"""),3)</f>
        <v>3</v>
      </c>
      <c r="M520" s="590"/>
      <c r="N520" s="590" t="str">
        <f ca="1">IFERROR(__xludf.DUMMYFUNCTION("""COMPUTED_VALUE"""),"Dị_D&lt;54")</f>
        <v>Dị_D&lt;54</v>
      </c>
      <c r="O520" s="589"/>
      <c r="P520" s="590"/>
    </row>
    <row r="521" spans="1:16" ht="15.75">
      <c r="A521" s="581" t="str">
        <f ca="1">IFERROR(__xludf.DUMMYFUNCTION("""COMPUTED_VALUE"""),"Toàn Phát - Việt Nam")</f>
        <v>Toàn Phát - Việt Nam</v>
      </c>
      <c r="B521" s="581" t="str">
        <f ca="1">IFERROR(__xludf.DUMMYFUNCTION("""COMPUTED_VALUE"""),"ĐTPCAYDI")</f>
        <v>ĐTPCAYDI</v>
      </c>
      <c r="C521" s="581" t="str">
        <f ca="1">IFERROR(__xludf.DUMMYFUNCTION("""COMPUTED_VALUE"""),"DOT200022030")</f>
        <v>DOT200022030</v>
      </c>
      <c r="D521" s="582" t="str">
        <f ca="1">IFERROR(__xludf.DUMMYFUNCTION("""COMPUTED_VALUE"""),"Đồng ống thẳng 20.00x2.20x3.0")</f>
        <v>Đồng ống thẳng 20.00x2.20x3.0</v>
      </c>
      <c r="E521" s="583">
        <f ca="1">IFERROR(__xludf.DUMMYFUNCTION("""COMPUTED_VALUE"""),0.1)</f>
        <v>0.1</v>
      </c>
      <c r="F521" s="584" t="str">
        <f ca="1">IFERROR(__xludf.DUMMYFUNCTION("""COMPUTED_VALUE"""),"Cây")</f>
        <v>Cây</v>
      </c>
      <c r="G521" s="584" t="str">
        <f ca="1">IFERROR(__xludf.DUMMYFUNCTION("""COMPUTED_VALUE"""),"Cây 3m")</f>
        <v>Cây 3m</v>
      </c>
      <c r="H521" s="582"/>
      <c r="I521" s="585">
        <f ca="1">IFERROR(__xludf.DUMMYFUNCTION("""COMPUTED_VALUE"""),3.4045704)</f>
        <v>3.4045703999999999</v>
      </c>
      <c r="J521" s="586" t="str">
        <f ca="1">IFERROR(__xludf.DUMMYFUNCTION("""COMPUTED_VALUE""")," 20.00 ")</f>
        <v xml:space="preserve"> 20.00 </v>
      </c>
      <c r="K521" s="584" t="str">
        <f ca="1">IFERROR(__xludf.DUMMYFUNCTION("""COMPUTED_VALUE"""),"2.20")</f>
        <v>2.20</v>
      </c>
      <c r="L521" s="584">
        <f ca="1">IFERROR(__xludf.DUMMYFUNCTION("""COMPUTED_VALUE"""),3)</f>
        <v>3</v>
      </c>
      <c r="M521" s="584"/>
      <c r="N521" s="584" t="str">
        <f ca="1">IFERROR(__xludf.DUMMYFUNCTION("""COMPUTED_VALUE"""),"Dị_D&lt;54")</f>
        <v>Dị_D&lt;54</v>
      </c>
      <c r="O521" s="583"/>
      <c r="P521" s="584"/>
    </row>
    <row r="522" spans="1:16" ht="15.75">
      <c r="A522" s="587" t="str">
        <f ca="1">IFERROR(__xludf.DUMMYFUNCTION("""COMPUTED_VALUE"""),"Toàn Phát - Việt Nam")</f>
        <v>Toàn Phát - Việt Nam</v>
      </c>
      <c r="B522" s="587" t="str">
        <f ca="1">IFERROR(__xludf.DUMMYFUNCTION("""COMPUTED_VALUE"""),"ĐTPCAYDI")</f>
        <v>ĐTPCAYDI</v>
      </c>
      <c r="C522" s="587" t="str">
        <f ca="1">IFERROR(__xludf.DUMMYFUNCTION("""COMPUTED_VALUE"""),"DOT2000225030")</f>
        <v>DOT2000225030</v>
      </c>
      <c r="D522" s="588" t="str">
        <f ca="1">IFERROR(__xludf.DUMMYFUNCTION("""COMPUTED_VALUE"""),"Đồng ống thẳng 20.00x2.25x3.0")</f>
        <v>Đồng ống thẳng 20.00x2.25x3.0</v>
      </c>
      <c r="E522" s="589">
        <f ca="1">IFERROR(__xludf.DUMMYFUNCTION("""COMPUTED_VALUE"""),0.1)</f>
        <v>0.1</v>
      </c>
      <c r="F522" s="590" t="str">
        <f ca="1">IFERROR(__xludf.DUMMYFUNCTION("""COMPUTED_VALUE"""),"Cây")</f>
        <v>Cây</v>
      </c>
      <c r="G522" s="590" t="str">
        <f ca="1">IFERROR(__xludf.DUMMYFUNCTION("""COMPUTED_VALUE"""),"Cây 3m")</f>
        <v>Cây 3m</v>
      </c>
      <c r="H522" s="588"/>
      <c r="I522" s="591">
        <f ca="1">IFERROR(__xludf.DUMMYFUNCTION("""COMPUTED_VALUE"""),3.47216625)</f>
        <v>3.4721662499999999</v>
      </c>
      <c r="J522" s="592" t="str">
        <f ca="1">IFERROR(__xludf.DUMMYFUNCTION("""COMPUTED_VALUE""")," 20.00 ")</f>
        <v xml:space="preserve"> 20.00 </v>
      </c>
      <c r="K522" s="590" t="str">
        <f ca="1">IFERROR(__xludf.DUMMYFUNCTION("""COMPUTED_VALUE"""),"2.25")</f>
        <v>2.25</v>
      </c>
      <c r="L522" s="590">
        <f ca="1">IFERROR(__xludf.DUMMYFUNCTION("""COMPUTED_VALUE"""),3)</f>
        <v>3</v>
      </c>
      <c r="M522" s="590"/>
      <c r="N522" s="590" t="str">
        <f ca="1">IFERROR(__xludf.DUMMYFUNCTION("""COMPUTED_VALUE"""),"Dị_D&lt;54")</f>
        <v>Dị_D&lt;54</v>
      </c>
      <c r="O522" s="589"/>
      <c r="P522" s="590"/>
    </row>
    <row r="523" spans="1:16" ht="15.75">
      <c r="A523" s="581" t="str">
        <f ca="1">IFERROR(__xludf.DUMMYFUNCTION("""COMPUTED_VALUE"""),"Toàn Phát - Việt Nam")</f>
        <v>Toàn Phát - Việt Nam</v>
      </c>
      <c r="B523" s="581" t="str">
        <f ca="1">IFERROR(__xludf.DUMMYFUNCTION("""COMPUTED_VALUE"""),"ĐTPCAYDI")</f>
        <v>ĐTPCAYDI</v>
      </c>
      <c r="C523" s="581" t="str">
        <f ca="1">IFERROR(__xludf.DUMMYFUNCTION("""COMPUTED_VALUE"""),"DOT210015030")</f>
        <v>DOT210015030</v>
      </c>
      <c r="D523" s="582" t="str">
        <f ca="1">IFERROR(__xludf.DUMMYFUNCTION("""COMPUTED_VALUE"""),"Đồng ống thẳng 21.00x1.50x3.0")</f>
        <v>Đồng ống thẳng 21.00x1.50x3.0</v>
      </c>
      <c r="E523" s="583">
        <f ca="1">IFERROR(__xludf.DUMMYFUNCTION("""COMPUTED_VALUE"""),0.1)</f>
        <v>0.1</v>
      </c>
      <c r="F523" s="584" t="str">
        <f ca="1">IFERROR(__xludf.DUMMYFUNCTION("""COMPUTED_VALUE"""),"Cây")</f>
        <v>Cây</v>
      </c>
      <c r="G523" s="584" t="str">
        <f ca="1">IFERROR(__xludf.DUMMYFUNCTION("""COMPUTED_VALUE"""),"Cây 3m")</f>
        <v>Cây 3m</v>
      </c>
      <c r="H523" s="582"/>
      <c r="I523" s="585">
        <f ca="1">IFERROR(__xludf.DUMMYFUNCTION("""COMPUTED_VALUE"""),2.542995)</f>
        <v>2.5429949999999999</v>
      </c>
      <c r="J523" s="586" t="str">
        <f ca="1">IFERROR(__xludf.DUMMYFUNCTION("""COMPUTED_VALUE""")," 21.00 ")</f>
        <v xml:space="preserve"> 21.00 </v>
      </c>
      <c r="K523" s="584" t="str">
        <f ca="1">IFERROR(__xludf.DUMMYFUNCTION("""COMPUTED_VALUE"""),"1.50")</f>
        <v>1.50</v>
      </c>
      <c r="L523" s="584">
        <f ca="1">IFERROR(__xludf.DUMMYFUNCTION("""COMPUTED_VALUE"""),3)</f>
        <v>3</v>
      </c>
      <c r="M523" s="584"/>
      <c r="N523" s="584" t="str">
        <f ca="1">IFERROR(__xludf.DUMMYFUNCTION("""COMPUTED_VALUE"""),"Dị_D&lt;54")</f>
        <v>Dị_D&lt;54</v>
      </c>
      <c r="O523" s="583"/>
      <c r="P523" s="584"/>
    </row>
    <row r="524" spans="1:16" ht="15.75">
      <c r="A524" s="587" t="str">
        <f ca="1">IFERROR(__xludf.DUMMYFUNCTION("""COMPUTED_VALUE"""),"Toàn Phát - Việt Nam")</f>
        <v>Toàn Phát - Việt Nam</v>
      </c>
      <c r="B524" s="587" t="str">
        <f ca="1">IFERROR(__xludf.DUMMYFUNCTION("""COMPUTED_VALUE"""),"ĐTPCAYDI")</f>
        <v>ĐTPCAYDI</v>
      </c>
      <c r="C524" s="587" t="str">
        <f ca="1">IFERROR(__xludf.DUMMYFUNCTION("""COMPUTED_VALUE"""),"DOT210018030")</f>
        <v>DOT210018030</v>
      </c>
      <c r="D524" s="588" t="str">
        <f ca="1">IFERROR(__xludf.DUMMYFUNCTION("""COMPUTED_VALUE"""),"Đồng ống thẳng 21.00x1.80x3.0")</f>
        <v>Đồng ống thẳng 21.00x1.80x3.0</v>
      </c>
      <c r="E524" s="589">
        <f ca="1">IFERROR(__xludf.DUMMYFUNCTION("""COMPUTED_VALUE"""),0.1)</f>
        <v>0.1</v>
      </c>
      <c r="F524" s="590" t="str">
        <f ca="1">IFERROR(__xludf.DUMMYFUNCTION("""COMPUTED_VALUE"""),"Cây")</f>
        <v>Cây</v>
      </c>
      <c r="G524" s="590" t="str">
        <f ca="1">IFERROR(__xludf.DUMMYFUNCTION("""COMPUTED_VALUE"""),"Cây 3m")</f>
        <v>Cây 3m</v>
      </c>
      <c r="H524" s="588"/>
      <c r="I524" s="591">
        <f ca="1">IFERROR(__xludf.DUMMYFUNCTION("""COMPUTED_VALUE"""),3.0046464)</f>
        <v>3.0046463999999999</v>
      </c>
      <c r="J524" s="592" t="str">
        <f ca="1">IFERROR(__xludf.DUMMYFUNCTION("""COMPUTED_VALUE""")," 21.00 ")</f>
        <v xml:space="preserve"> 21.00 </v>
      </c>
      <c r="K524" s="590" t="str">
        <f ca="1">IFERROR(__xludf.DUMMYFUNCTION("""COMPUTED_VALUE"""),"1.80")</f>
        <v>1.80</v>
      </c>
      <c r="L524" s="590">
        <f ca="1">IFERROR(__xludf.DUMMYFUNCTION("""COMPUTED_VALUE"""),3)</f>
        <v>3</v>
      </c>
      <c r="M524" s="590"/>
      <c r="N524" s="590" t="str">
        <f ca="1">IFERROR(__xludf.DUMMYFUNCTION("""COMPUTED_VALUE"""),"Dị_D&lt;54")</f>
        <v>Dị_D&lt;54</v>
      </c>
      <c r="O524" s="589"/>
      <c r="P524" s="590"/>
    </row>
    <row r="525" spans="1:16" ht="15.75">
      <c r="A525" s="581" t="str">
        <f ca="1">IFERROR(__xludf.DUMMYFUNCTION("""COMPUTED_VALUE"""),"Toàn Phát - Việt Nam")</f>
        <v>Toàn Phát - Việt Nam</v>
      </c>
      <c r="B525" s="581" t="str">
        <f ca="1">IFERROR(__xludf.DUMMYFUNCTION("""COMPUTED_VALUE"""),"ĐTPCAYDI")</f>
        <v>ĐTPCAYDI</v>
      </c>
      <c r="C525" s="581" t="str">
        <f ca="1">IFERROR(__xludf.DUMMYFUNCTION("""COMPUTED_VALUE"""),"DOT210019030")</f>
        <v>DOT210019030</v>
      </c>
      <c r="D525" s="582" t="str">
        <f ca="1">IFERROR(__xludf.DUMMYFUNCTION("""COMPUTED_VALUE"""),"Đồng ống thẳng 21.00x1.90x3.0")</f>
        <v>Đồng ống thẳng 21.00x1.90x3.0</v>
      </c>
      <c r="E525" s="583">
        <f ca="1">IFERROR(__xludf.DUMMYFUNCTION("""COMPUTED_VALUE"""),0.1)</f>
        <v>0.1</v>
      </c>
      <c r="F525" s="584" t="str">
        <f ca="1">IFERROR(__xludf.DUMMYFUNCTION("""COMPUTED_VALUE"""),"Cây")</f>
        <v>Cây</v>
      </c>
      <c r="G525" s="584" t="str">
        <f ca="1">IFERROR(__xludf.DUMMYFUNCTION("""COMPUTED_VALUE"""),"Cây 3m")</f>
        <v>Cây 3m</v>
      </c>
      <c r="H525" s="582"/>
      <c r="I525" s="585">
        <f ca="1">IFERROR(__xludf.DUMMYFUNCTION("""COMPUTED_VALUE"""),3.15505259999999)</f>
        <v>3.1550525999999901</v>
      </c>
      <c r="J525" s="586" t="str">
        <f ca="1">IFERROR(__xludf.DUMMYFUNCTION("""COMPUTED_VALUE""")," 21.00 ")</f>
        <v xml:space="preserve"> 21.00 </v>
      </c>
      <c r="K525" s="584" t="str">
        <f ca="1">IFERROR(__xludf.DUMMYFUNCTION("""COMPUTED_VALUE"""),"1.90")</f>
        <v>1.90</v>
      </c>
      <c r="L525" s="584">
        <f ca="1">IFERROR(__xludf.DUMMYFUNCTION("""COMPUTED_VALUE"""),3)</f>
        <v>3</v>
      </c>
      <c r="M525" s="584"/>
      <c r="N525" s="584" t="str">
        <f ca="1">IFERROR(__xludf.DUMMYFUNCTION("""COMPUTED_VALUE"""),"Dị_D&lt;54")</f>
        <v>Dị_D&lt;54</v>
      </c>
      <c r="O525" s="583"/>
      <c r="P525" s="584"/>
    </row>
    <row r="526" spans="1:16" ht="15.75">
      <c r="A526" s="587" t="str">
        <f ca="1">IFERROR(__xludf.DUMMYFUNCTION("""COMPUTED_VALUE"""),"Toàn Phát - Việt Nam")</f>
        <v>Toàn Phát - Việt Nam</v>
      </c>
      <c r="B526" s="587" t="str">
        <f ca="1">IFERROR(__xludf.DUMMYFUNCTION("""COMPUTED_VALUE"""),"ĐTPCAYDI")</f>
        <v>ĐTPCAYDI</v>
      </c>
      <c r="C526" s="587" t="str">
        <f ca="1">IFERROR(__xludf.DUMMYFUNCTION("""COMPUTED_VALUE"""),"DOT210020030")</f>
        <v>DOT210020030</v>
      </c>
      <c r="D526" s="588" t="str">
        <f ca="1">IFERROR(__xludf.DUMMYFUNCTION("""COMPUTED_VALUE"""),"Đồng ống thẳng 21.00x2.00x3.0")</f>
        <v>Đồng ống thẳng 21.00x2.00x3.0</v>
      </c>
      <c r="E526" s="589">
        <f ca="1">IFERROR(__xludf.DUMMYFUNCTION("""COMPUTED_VALUE"""),0.1)</f>
        <v>0.1</v>
      </c>
      <c r="F526" s="590" t="str">
        <f ca="1">IFERROR(__xludf.DUMMYFUNCTION("""COMPUTED_VALUE"""),"Cây")</f>
        <v>Cây</v>
      </c>
      <c r="G526" s="590" t="str">
        <f ca="1">IFERROR(__xludf.DUMMYFUNCTION("""COMPUTED_VALUE"""),"Cây 3m")</f>
        <v>Cây 3m</v>
      </c>
      <c r="H526" s="588"/>
      <c r="I526" s="591">
        <f ca="1">IFERROR(__xludf.DUMMYFUNCTION("""COMPUTED_VALUE"""),3.30371999999999)</f>
        <v>3.30371999999999</v>
      </c>
      <c r="J526" s="592" t="str">
        <f ca="1">IFERROR(__xludf.DUMMYFUNCTION("""COMPUTED_VALUE""")," 21.00 ")</f>
        <v xml:space="preserve"> 21.00 </v>
      </c>
      <c r="K526" s="590" t="str">
        <f ca="1">IFERROR(__xludf.DUMMYFUNCTION("""COMPUTED_VALUE"""),"2.00")</f>
        <v>2.00</v>
      </c>
      <c r="L526" s="590">
        <f ca="1">IFERROR(__xludf.DUMMYFUNCTION("""COMPUTED_VALUE"""),3)</f>
        <v>3</v>
      </c>
      <c r="M526" s="590"/>
      <c r="N526" s="590" t="str">
        <f ca="1">IFERROR(__xludf.DUMMYFUNCTION("""COMPUTED_VALUE"""),"Dị_D&lt;54")</f>
        <v>Dị_D&lt;54</v>
      </c>
      <c r="O526" s="589"/>
      <c r="P526" s="590"/>
    </row>
    <row r="527" spans="1:16" ht="15.75">
      <c r="A527" s="581" t="str">
        <f ca="1">IFERROR(__xludf.DUMMYFUNCTION("""COMPUTED_VALUE"""),"Toàn Phát - Việt Nam")</f>
        <v>Toàn Phát - Việt Nam</v>
      </c>
      <c r="B527" s="581" t="str">
        <f ca="1">IFERROR(__xludf.DUMMYFUNCTION("""COMPUTED_VALUE"""),"ĐTPCAYDI")</f>
        <v>ĐTPCAYDI</v>
      </c>
      <c r="C527" s="581" t="str">
        <f ca="1">IFERROR(__xludf.DUMMYFUNCTION("""COMPUTED_VALUE"""),"DOT210021030")</f>
        <v>DOT210021030</v>
      </c>
      <c r="D527" s="582" t="str">
        <f ca="1">IFERROR(__xludf.DUMMYFUNCTION("""COMPUTED_VALUE"""),"Đồng ống thẳng 21.00x2.10x3.0")</f>
        <v>Đồng ống thẳng 21.00x2.10x3.0</v>
      </c>
      <c r="E527" s="583">
        <f ca="1">IFERROR(__xludf.DUMMYFUNCTION("""COMPUTED_VALUE"""),0.1)</f>
        <v>0.1</v>
      </c>
      <c r="F527" s="584" t="str">
        <f ca="1">IFERROR(__xludf.DUMMYFUNCTION("""COMPUTED_VALUE"""),"Cây")</f>
        <v>Cây</v>
      </c>
      <c r="G527" s="584" t="str">
        <f ca="1">IFERROR(__xludf.DUMMYFUNCTION("""COMPUTED_VALUE"""),"Cây 3m")</f>
        <v>Cây 3m</v>
      </c>
      <c r="H527" s="582"/>
      <c r="I527" s="585">
        <f ca="1">IFERROR(__xludf.DUMMYFUNCTION("""COMPUTED_VALUE"""),3.45064859999999)</f>
        <v>3.4506485999999899</v>
      </c>
      <c r="J527" s="586" t="str">
        <f ca="1">IFERROR(__xludf.DUMMYFUNCTION("""COMPUTED_VALUE""")," 21.00 ")</f>
        <v xml:space="preserve"> 21.00 </v>
      </c>
      <c r="K527" s="584" t="str">
        <f ca="1">IFERROR(__xludf.DUMMYFUNCTION("""COMPUTED_VALUE"""),"2.10")</f>
        <v>2.10</v>
      </c>
      <c r="L527" s="584">
        <f ca="1">IFERROR(__xludf.DUMMYFUNCTION("""COMPUTED_VALUE"""),3)</f>
        <v>3</v>
      </c>
      <c r="M527" s="584"/>
      <c r="N527" s="584" t="str">
        <f ca="1">IFERROR(__xludf.DUMMYFUNCTION("""COMPUTED_VALUE"""),"Dị_D&lt;54")</f>
        <v>Dị_D&lt;54</v>
      </c>
      <c r="O527" s="583"/>
      <c r="P527" s="584"/>
    </row>
    <row r="528" spans="1:16" ht="15.75">
      <c r="A528" s="587" t="str">
        <f ca="1">IFERROR(__xludf.DUMMYFUNCTION("""COMPUTED_VALUE"""),"Toàn Phát - Việt Nam")</f>
        <v>Toàn Phát - Việt Nam</v>
      </c>
      <c r="B528" s="587" t="str">
        <f ca="1">IFERROR(__xludf.DUMMYFUNCTION("""COMPUTED_VALUE"""),"ĐTPCAYDI")</f>
        <v>ĐTPCAYDI</v>
      </c>
      <c r="C528" s="587" t="str">
        <f ca="1">IFERROR(__xludf.DUMMYFUNCTION("""COMPUTED_VALUE"""),"DOT210022030")</f>
        <v>DOT210022030</v>
      </c>
      <c r="D528" s="588" t="str">
        <f ca="1">IFERROR(__xludf.DUMMYFUNCTION("""COMPUTED_VALUE"""),"Đồng ống thẳng 21.00x2.20x3.0")</f>
        <v>Đồng ống thẳng 21.00x2.20x3.0</v>
      </c>
      <c r="E528" s="589">
        <f ca="1">IFERROR(__xludf.DUMMYFUNCTION("""COMPUTED_VALUE"""),0.1)</f>
        <v>0.1</v>
      </c>
      <c r="F528" s="590" t="str">
        <f ca="1">IFERROR(__xludf.DUMMYFUNCTION("""COMPUTED_VALUE"""),"Cây")</f>
        <v>Cây</v>
      </c>
      <c r="G528" s="590" t="str">
        <f ca="1">IFERROR(__xludf.DUMMYFUNCTION("""COMPUTED_VALUE"""),"Cây 3m")</f>
        <v>Cây 3m</v>
      </c>
      <c r="H528" s="588"/>
      <c r="I528" s="591">
        <f ca="1">IFERROR(__xludf.DUMMYFUNCTION("""COMPUTED_VALUE"""),3.5958384)</f>
        <v>3.5958383999999999</v>
      </c>
      <c r="J528" s="592" t="str">
        <f ca="1">IFERROR(__xludf.DUMMYFUNCTION("""COMPUTED_VALUE""")," 21.00 ")</f>
        <v xml:space="preserve"> 21.00 </v>
      </c>
      <c r="K528" s="590" t="str">
        <f ca="1">IFERROR(__xludf.DUMMYFUNCTION("""COMPUTED_VALUE"""),"2.20")</f>
        <v>2.20</v>
      </c>
      <c r="L528" s="590">
        <f ca="1">IFERROR(__xludf.DUMMYFUNCTION("""COMPUTED_VALUE"""),3)</f>
        <v>3</v>
      </c>
      <c r="M528" s="590"/>
      <c r="N528" s="590" t="str">
        <f ca="1">IFERROR(__xludf.DUMMYFUNCTION("""COMPUTED_VALUE"""),"Dị_D&lt;54")</f>
        <v>Dị_D&lt;54</v>
      </c>
      <c r="O528" s="589"/>
      <c r="P528" s="590"/>
    </row>
    <row r="529" spans="1:16" ht="15.75">
      <c r="A529" s="581" t="str">
        <f ca="1">IFERROR(__xludf.DUMMYFUNCTION("""COMPUTED_VALUE"""),"Toàn Phát - Việt Nam")</f>
        <v>Toàn Phát - Việt Nam</v>
      </c>
      <c r="B529" s="581" t="str">
        <f ca="1">IFERROR(__xludf.DUMMYFUNCTION("""COMPUTED_VALUE"""),"ĐTPCAYDI")</f>
        <v>ĐTPCAYDI</v>
      </c>
      <c r="C529" s="581" t="str">
        <f ca="1">IFERROR(__xludf.DUMMYFUNCTION("""COMPUTED_VALUE"""),"DOT215015020")</f>
        <v>DOT215015020</v>
      </c>
      <c r="D529" s="582" t="str">
        <f ca="1">IFERROR(__xludf.DUMMYFUNCTION("""COMPUTED_VALUE"""),"Đồng ống thẳng 21.50x1.50x2.0")</f>
        <v>Đồng ống thẳng 21.50x1.50x2.0</v>
      </c>
      <c r="E529" s="583">
        <f ca="1">IFERROR(__xludf.DUMMYFUNCTION("""COMPUTED_VALUE"""),0.1)</f>
        <v>0.1</v>
      </c>
      <c r="F529" s="584" t="str">
        <f ca="1">IFERROR(__xludf.DUMMYFUNCTION("""COMPUTED_VALUE"""),"Cây")</f>
        <v>Cây</v>
      </c>
      <c r="G529" s="584" t="str">
        <f ca="1">IFERROR(__xludf.DUMMYFUNCTION("""COMPUTED_VALUE"""),"Cây 2m")</f>
        <v>Cây 2m</v>
      </c>
      <c r="H529" s="582"/>
      <c r="I529" s="585">
        <f ca="1">IFERROR(__xludf.DUMMYFUNCTION("""COMPUTED_VALUE"""),1.7388)</f>
        <v>1.7387999999999999</v>
      </c>
      <c r="J529" s="586" t="str">
        <f ca="1">IFERROR(__xludf.DUMMYFUNCTION("""COMPUTED_VALUE""")," 21.50 ")</f>
        <v xml:space="preserve"> 21.50 </v>
      </c>
      <c r="K529" s="584" t="str">
        <f ca="1">IFERROR(__xludf.DUMMYFUNCTION("""COMPUTED_VALUE"""),"1.50")</f>
        <v>1.50</v>
      </c>
      <c r="L529" s="584">
        <f ca="1">IFERROR(__xludf.DUMMYFUNCTION("""COMPUTED_VALUE"""),2)</f>
        <v>2</v>
      </c>
      <c r="M529" s="584"/>
      <c r="N529" s="584" t="str">
        <f ca="1">IFERROR(__xludf.DUMMYFUNCTION("""COMPUTED_VALUE"""),"Dị_D&lt;54")</f>
        <v>Dị_D&lt;54</v>
      </c>
      <c r="O529" s="583"/>
      <c r="P529" s="584"/>
    </row>
    <row r="530" spans="1:16" ht="15.75">
      <c r="A530" s="587" t="str">
        <f ca="1">IFERROR(__xludf.DUMMYFUNCTION("""COMPUTED_VALUE"""),"Toàn Phát - Việt Nam")</f>
        <v>Toàn Phát - Việt Nam</v>
      </c>
      <c r="B530" s="587" t="str">
        <f ca="1">IFERROR(__xludf.DUMMYFUNCTION("""COMPUTED_VALUE"""),"ĐTPCAYDI")</f>
        <v>ĐTPCAYDI</v>
      </c>
      <c r="C530" s="587" t="str">
        <f ca="1">IFERROR(__xludf.DUMMYFUNCTION("""COMPUTED_VALUE"""),"DOT215015030")</f>
        <v>DOT215015030</v>
      </c>
      <c r="D530" s="588" t="str">
        <f ca="1">IFERROR(__xludf.DUMMYFUNCTION("""COMPUTED_VALUE"""),"Đồng ống thẳng 21.50x1.50x3.0")</f>
        <v>Đồng ống thẳng 21.50x1.50x3.0</v>
      </c>
      <c r="E530" s="589">
        <f ca="1">IFERROR(__xludf.DUMMYFUNCTION("""COMPUTED_VALUE"""),0.1)</f>
        <v>0.1</v>
      </c>
      <c r="F530" s="590" t="str">
        <f ca="1">IFERROR(__xludf.DUMMYFUNCTION("""COMPUTED_VALUE"""),"Cây")</f>
        <v>Cây</v>
      </c>
      <c r="G530" s="590" t="str">
        <f ca="1">IFERROR(__xludf.DUMMYFUNCTION("""COMPUTED_VALUE"""),"Cây 3m")</f>
        <v>Cây 3m</v>
      </c>
      <c r="H530" s="588"/>
      <c r="I530" s="591">
        <f ca="1">IFERROR(__xludf.DUMMYFUNCTION("""COMPUTED_VALUE"""),2.60819999999999)</f>
        <v>2.6081999999999899</v>
      </c>
      <c r="J530" s="592" t="str">
        <f ca="1">IFERROR(__xludf.DUMMYFUNCTION("""COMPUTED_VALUE""")," 21.50 ")</f>
        <v xml:space="preserve"> 21.50 </v>
      </c>
      <c r="K530" s="590" t="str">
        <f ca="1">IFERROR(__xludf.DUMMYFUNCTION("""COMPUTED_VALUE"""),"1.50")</f>
        <v>1.50</v>
      </c>
      <c r="L530" s="590">
        <f ca="1">IFERROR(__xludf.DUMMYFUNCTION("""COMPUTED_VALUE"""),3)</f>
        <v>3</v>
      </c>
      <c r="M530" s="590"/>
      <c r="N530" s="590" t="str">
        <f ca="1">IFERROR(__xludf.DUMMYFUNCTION("""COMPUTED_VALUE"""),"Dị_D&lt;54")</f>
        <v>Dị_D&lt;54</v>
      </c>
      <c r="O530" s="589"/>
      <c r="P530" s="590"/>
    </row>
    <row r="531" spans="1:16" ht="15.75">
      <c r="A531" s="581" t="str">
        <f ca="1">IFERROR(__xludf.DUMMYFUNCTION("""COMPUTED_VALUE"""),"Toàn Phát - Việt Nam")</f>
        <v>Toàn Phát - Việt Nam</v>
      </c>
      <c r="B531" s="581" t="str">
        <f ca="1">IFERROR(__xludf.DUMMYFUNCTION("""COMPUTED_VALUE"""),"ĐTPCAYDI")</f>
        <v>ĐTPCAYDI</v>
      </c>
      <c r="C531" s="581" t="str">
        <f ca="1">IFERROR(__xludf.DUMMYFUNCTION("""COMPUTED_VALUE"""),"DOT215015530")</f>
        <v>DOT215015530</v>
      </c>
      <c r="D531" s="582" t="str">
        <f ca="1">IFERROR(__xludf.DUMMYFUNCTION("""COMPUTED_VALUE"""),"Đồng ống thẳng 21.50x1.55x3.0")</f>
        <v>Đồng ống thẳng 21.50x1.55x3.0</v>
      </c>
      <c r="E531" s="583">
        <f ca="1">IFERROR(__xludf.DUMMYFUNCTION("""COMPUTED_VALUE"""),0.1)</f>
        <v>0.1</v>
      </c>
      <c r="F531" s="584" t="str">
        <f ca="1">IFERROR(__xludf.DUMMYFUNCTION("""COMPUTED_VALUE"""),"Cây")</f>
        <v>Cây</v>
      </c>
      <c r="G531" s="584" t="str">
        <f ca="1">IFERROR(__xludf.DUMMYFUNCTION("""COMPUTED_VALUE"""),"Cây 3m")</f>
        <v>Cây 3m</v>
      </c>
      <c r="H531" s="582"/>
      <c r="I531" s="585">
        <f ca="1">IFERROR(__xludf.DUMMYFUNCTION("""COMPUTED_VALUE"""),2.68840215)</f>
        <v>2.6884021499999999</v>
      </c>
      <c r="J531" s="586" t="str">
        <f ca="1">IFERROR(__xludf.DUMMYFUNCTION("""COMPUTED_VALUE""")," 21.50 ")</f>
        <v xml:space="preserve"> 21.50 </v>
      </c>
      <c r="K531" s="584" t="str">
        <f ca="1">IFERROR(__xludf.DUMMYFUNCTION("""COMPUTED_VALUE"""),"1.55")</f>
        <v>1.55</v>
      </c>
      <c r="L531" s="584">
        <f ca="1">IFERROR(__xludf.DUMMYFUNCTION("""COMPUTED_VALUE"""),3)</f>
        <v>3</v>
      </c>
      <c r="M531" s="584"/>
      <c r="N531" s="584" t="str">
        <f ca="1">IFERROR(__xludf.DUMMYFUNCTION("""COMPUTED_VALUE"""),"Dị_D&lt;54")</f>
        <v>Dị_D&lt;54</v>
      </c>
      <c r="O531" s="583"/>
      <c r="P531" s="584"/>
    </row>
    <row r="532" spans="1:16" ht="15.75">
      <c r="A532" s="587" t="str">
        <f ca="1">IFERROR(__xludf.DUMMYFUNCTION("""COMPUTED_VALUE"""),"Toàn Phát - Việt Nam")</f>
        <v>Toàn Phát - Việt Nam</v>
      </c>
      <c r="B532" s="587" t="str">
        <f ca="1">IFERROR(__xludf.DUMMYFUNCTION("""COMPUTED_VALUE"""),"ĐTPCAYDI")</f>
        <v>ĐTPCAYDI</v>
      </c>
      <c r="C532" s="587" t="str">
        <f ca="1">IFERROR(__xludf.DUMMYFUNCTION("""COMPUTED_VALUE"""),"DOT220012030")</f>
        <v>DOT220012030</v>
      </c>
      <c r="D532" s="588" t="str">
        <f ca="1">IFERROR(__xludf.DUMMYFUNCTION("""COMPUTED_VALUE"""),"Đồng ống thẳng 22.00x1.20x3.0")</f>
        <v>Đồng ống thẳng 22.00x1.20x3.0</v>
      </c>
      <c r="E532" s="589">
        <f ca="1">IFERROR(__xludf.DUMMYFUNCTION("""COMPUTED_VALUE"""),0.1)</f>
        <v>0.1</v>
      </c>
      <c r="F532" s="590" t="str">
        <f ca="1">IFERROR(__xludf.DUMMYFUNCTION("""COMPUTED_VALUE"""),"Cây")</f>
        <v>Cây</v>
      </c>
      <c r="G532" s="590" t="str">
        <f ca="1">IFERROR(__xludf.DUMMYFUNCTION("""COMPUTED_VALUE"""),"Cây 3m")</f>
        <v>Cây 3m</v>
      </c>
      <c r="H532" s="588"/>
      <c r="I532" s="591">
        <f ca="1">IFERROR(__xludf.DUMMYFUNCTION("""COMPUTED_VALUE"""),2.204068104)</f>
        <v>2.2040681040000001</v>
      </c>
      <c r="J532" s="592" t="str">
        <f ca="1">IFERROR(__xludf.DUMMYFUNCTION("""COMPUTED_VALUE""")," 22.00 ")</f>
        <v xml:space="preserve"> 22.00 </v>
      </c>
      <c r="K532" s="590" t="str">
        <f ca="1">IFERROR(__xludf.DUMMYFUNCTION("""COMPUTED_VALUE"""),"1.22")</f>
        <v>1.22</v>
      </c>
      <c r="L532" s="590">
        <f ca="1">IFERROR(__xludf.DUMMYFUNCTION("""COMPUTED_VALUE"""),3)</f>
        <v>3</v>
      </c>
      <c r="M532" s="590"/>
      <c r="N532" s="590" t="str">
        <f ca="1">IFERROR(__xludf.DUMMYFUNCTION("""COMPUTED_VALUE"""),"Dị_D&lt;54")</f>
        <v>Dị_D&lt;54</v>
      </c>
      <c r="O532" s="589"/>
      <c r="P532" s="590"/>
    </row>
    <row r="533" spans="1:16" ht="15.75">
      <c r="A533" s="581" t="str">
        <f ca="1">IFERROR(__xludf.DUMMYFUNCTION("""COMPUTED_VALUE"""),"Toàn Phát - Việt Nam")</f>
        <v>Toàn Phát - Việt Nam</v>
      </c>
      <c r="B533" s="581" t="str">
        <f ca="1">IFERROR(__xludf.DUMMYFUNCTION("""COMPUTED_VALUE"""),"ĐTPCAYDI")</f>
        <v>ĐTPCAYDI</v>
      </c>
      <c r="C533" s="581" t="str">
        <f ca="1">IFERROR(__xludf.DUMMYFUNCTION("""COMPUTED_VALUE"""),"DOT220006011")</f>
        <v>DOT220006011</v>
      </c>
      <c r="D533" s="582" t="str">
        <f ca="1">IFERROR(__xludf.DUMMYFUNCTION("""COMPUTED_VALUE"""),"Đồng ống thẳng 22.00x0.60x1.1")</f>
        <v>Đồng ống thẳng 22.00x0.60x1.1</v>
      </c>
      <c r="E533" s="583">
        <f ca="1">IFERROR(__xludf.DUMMYFUNCTION("""COMPUTED_VALUE"""),0.1)</f>
        <v>0.1</v>
      </c>
      <c r="F533" s="584" t="str">
        <f ca="1">IFERROR(__xludf.DUMMYFUNCTION("""COMPUTED_VALUE"""),"Cây")</f>
        <v>Cây</v>
      </c>
      <c r="G533" s="584" t="str">
        <f ca="1">IFERROR(__xludf.DUMMYFUNCTION("""COMPUTED_VALUE"""),"Cây 1.1m")</f>
        <v>Cây 1.1m</v>
      </c>
      <c r="H533" s="582"/>
      <c r="I533" s="585">
        <f ca="1">IFERROR(__xludf.DUMMYFUNCTION("""COMPUTED_VALUE"""),0.409313519999999)</f>
        <v>0.40931351999999899</v>
      </c>
      <c r="J533" s="586" t="str">
        <f ca="1">IFERROR(__xludf.DUMMYFUNCTION("""COMPUTED_VALUE""")," 22.00 ")</f>
        <v xml:space="preserve"> 22.00 </v>
      </c>
      <c r="K533" s="584" t="str">
        <f ca="1">IFERROR(__xludf.DUMMYFUNCTION("""COMPUTED_VALUE"""),"0.60")</f>
        <v>0.60</v>
      </c>
      <c r="L533" s="584">
        <f ca="1">IFERROR(__xludf.DUMMYFUNCTION("""COMPUTED_VALUE"""),1.1)</f>
        <v>1.1000000000000001</v>
      </c>
      <c r="M533" s="584"/>
      <c r="N533" s="584" t="str">
        <f ca="1">IFERROR(__xludf.DUMMYFUNCTION("""COMPUTED_VALUE"""),"Dị_D&lt;54")</f>
        <v>Dị_D&lt;54</v>
      </c>
      <c r="O533" s="583"/>
      <c r="P533" s="584"/>
    </row>
    <row r="534" spans="1:16" ht="15.75">
      <c r="A534" s="587" t="str">
        <f ca="1">IFERROR(__xludf.DUMMYFUNCTION("""COMPUTED_VALUE"""),"Toàn Phát - Việt Nam")</f>
        <v>Toàn Phát - Việt Nam</v>
      </c>
      <c r="B534" s="587" t="str">
        <f ca="1">IFERROR(__xludf.DUMMYFUNCTION("""COMPUTED_VALUE"""),"ĐTPCAYDI")</f>
        <v>ĐTPCAYDI</v>
      </c>
      <c r="C534" s="587" t="str">
        <f ca="1">IFERROR(__xludf.DUMMYFUNCTION("""COMPUTED_VALUE"""),"DOT220006013")</f>
        <v>DOT220006013</v>
      </c>
      <c r="D534" s="588" t="str">
        <f ca="1">IFERROR(__xludf.DUMMYFUNCTION("""COMPUTED_VALUE"""),"Đồng ống thẳng 22.00x0.60x1.3")</f>
        <v>Đồng ống thẳng 22.00x0.60x1.3</v>
      </c>
      <c r="E534" s="589">
        <f ca="1">IFERROR(__xludf.DUMMYFUNCTION("""COMPUTED_VALUE"""),0.1)</f>
        <v>0.1</v>
      </c>
      <c r="F534" s="590" t="str">
        <f ca="1">IFERROR(__xludf.DUMMYFUNCTION("""COMPUTED_VALUE"""),"Cây")</f>
        <v>Cây</v>
      </c>
      <c r="G534" s="590" t="str">
        <f ca="1">IFERROR(__xludf.DUMMYFUNCTION("""COMPUTED_VALUE"""),"Cây 1.3m")</f>
        <v>Cây 1.3m</v>
      </c>
      <c r="H534" s="588"/>
      <c r="I534" s="591">
        <f ca="1">IFERROR(__xludf.DUMMYFUNCTION("""COMPUTED_VALUE"""),0.483734159999999)</f>
        <v>0.48373415999999902</v>
      </c>
      <c r="J534" s="592" t="str">
        <f ca="1">IFERROR(__xludf.DUMMYFUNCTION("""COMPUTED_VALUE""")," 22.00 ")</f>
        <v xml:space="preserve"> 22.00 </v>
      </c>
      <c r="K534" s="590" t="str">
        <f ca="1">IFERROR(__xludf.DUMMYFUNCTION("""COMPUTED_VALUE"""),"0.60")</f>
        <v>0.60</v>
      </c>
      <c r="L534" s="590">
        <f ca="1">IFERROR(__xludf.DUMMYFUNCTION("""COMPUTED_VALUE"""),1.3)</f>
        <v>1.3</v>
      </c>
      <c r="M534" s="590"/>
      <c r="N534" s="590" t="str">
        <f ca="1">IFERROR(__xludf.DUMMYFUNCTION("""COMPUTED_VALUE"""),"Dị_D&lt;54")</f>
        <v>Dị_D&lt;54</v>
      </c>
      <c r="O534" s="589"/>
      <c r="P534" s="590"/>
    </row>
    <row r="535" spans="1:16" ht="15.75">
      <c r="A535" s="581" t="str">
        <f ca="1">IFERROR(__xludf.DUMMYFUNCTION("""COMPUTED_VALUE"""),"Toàn Phát - Việt Nam")</f>
        <v>Toàn Phát - Việt Nam</v>
      </c>
      <c r="B535" s="581" t="str">
        <f ca="1">IFERROR(__xludf.DUMMYFUNCTION("""COMPUTED_VALUE"""),"ĐTPCAYDI")</f>
        <v>ĐTPCAYDI</v>
      </c>
      <c r="C535" s="581" t="str">
        <f ca="1">IFERROR(__xludf.DUMMYFUNCTION("""COMPUTED_VALUE"""),"DOT2200060212")</f>
        <v>DOT2200060212</v>
      </c>
      <c r="D535" s="582" t="str">
        <f ca="1">IFERROR(__xludf.DUMMYFUNCTION("""COMPUTED_VALUE"""),"Đồng ống thẳng 22.00x0.60x2.12")</f>
        <v>Đồng ống thẳng 22.00x0.60x2.12</v>
      </c>
      <c r="E535" s="583">
        <f ca="1">IFERROR(__xludf.DUMMYFUNCTION("""COMPUTED_VALUE"""),0.1)</f>
        <v>0.1</v>
      </c>
      <c r="F535" s="584" t="str">
        <f ca="1">IFERROR(__xludf.DUMMYFUNCTION("""COMPUTED_VALUE"""),"Cây")</f>
        <v>Cây</v>
      </c>
      <c r="G535" s="584" t="str">
        <f ca="1">IFERROR(__xludf.DUMMYFUNCTION("""COMPUTED_VALUE"""),"Cây 2.12m")</f>
        <v>Cây 2.12m</v>
      </c>
      <c r="H535" s="582"/>
      <c r="I535" s="585">
        <f ca="1">IFERROR(__xludf.DUMMYFUNCTION("""COMPUTED_VALUE"""),0.788858783999999)</f>
        <v>0.78885878399999898</v>
      </c>
      <c r="J535" s="586" t="str">
        <f ca="1">IFERROR(__xludf.DUMMYFUNCTION("""COMPUTED_VALUE""")," 22.00 ")</f>
        <v xml:space="preserve"> 22.00 </v>
      </c>
      <c r="K535" s="584" t="str">
        <f ca="1">IFERROR(__xludf.DUMMYFUNCTION("""COMPUTED_VALUE"""),"0.60")</f>
        <v>0.60</v>
      </c>
      <c r="L535" s="584">
        <f ca="1">IFERROR(__xludf.DUMMYFUNCTION("""COMPUTED_VALUE"""),2.12)</f>
        <v>2.12</v>
      </c>
      <c r="M535" s="584"/>
      <c r="N535" s="584" t="str">
        <f ca="1">IFERROR(__xludf.DUMMYFUNCTION("""COMPUTED_VALUE"""),"Dị_D&lt;54")</f>
        <v>Dị_D&lt;54</v>
      </c>
      <c r="O535" s="583"/>
      <c r="P535" s="584"/>
    </row>
    <row r="536" spans="1:16" ht="15.75">
      <c r="A536" s="587" t="str">
        <f ca="1">IFERROR(__xludf.DUMMYFUNCTION("""COMPUTED_VALUE"""),"Toàn Phát - Việt Nam")</f>
        <v>Toàn Phát - Việt Nam</v>
      </c>
      <c r="B536" s="587" t="str">
        <f ca="1">IFERROR(__xludf.DUMMYFUNCTION("""COMPUTED_VALUE"""),"ĐTPCAYDI")</f>
        <v>ĐTPCAYDI</v>
      </c>
      <c r="C536" s="587" t="str">
        <f ca="1">IFERROR(__xludf.DUMMYFUNCTION("""COMPUTED_VALUE"""),"DOT2200060262")</f>
        <v>DOT2200060262</v>
      </c>
      <c r="D536" s="588" t="str">
        <f ca="1">IFERROR(__xludf.DUMMYFUNCTION("""COMPUTED_VALUE"""),"Đồng ống thẳng 22.00x0.60x2.62")</f>
        <v>Đồng ống thẳng 22.00x0.60x2.62</v>
      </c>
      <c r="E536" s="589">
        <f ca="1">IFERROR(__xludf.DUMMYFUNCTION("""COMPUTED_VALUE"""),0.1)</f>
        <v>0.1</v>
      </c>
      <c r="F536" s="590" t="str">
        <f ca="1">IFERROR(__xludf.DUMMYFUNCTION("""COMPUTED_VALUE"""),"Cây")</f>
        <v>Cây</v>
      </c>
      <c r="G536" s="590" t="str">
        <f ca="1">IFERROR(__xludf.DUMMYFUNCTION("""COMPUTED_VALUE"""),"Cây 2.62m")</f>
        <v>Cây 2.62m</v>
      </c>
      <c r="H536" s="588"/>
      <c r="I536" s="591">
        <f ca="1">IFERROR(__xludf.DUMMYFUNCTION("""COMPUTED_VALUE"""),0.974910383999999)</f>
        <v>0.97491038399999896</v>
      </c>
      <c r="J536" s="592" t="str">
        <f ca="1">IFERROR(__xludf.DUMMYFUNCTION("""COMPUTED_VALUE""")," 22.00 ")</f>
        <v xml:space="preserve"> 22.00 </v>
      </c>
      <c r="K536" s="590" t="str">
        <f ca="1">IFERROR(__xludf.DUMMYFUNCTION("""COMPUTED_VALUE"""),"0.60")</f>
        <v>0.60</v>
      </c>
      <c r="L536" s="590">
        <f ca="1">IFERROR(__xludf.DUMMYFUNCTION("""COMPUTED_VALUE"""),2.62)</f>
        <v>2.62</v>
      </c>
      <c r="M536" s="590"/>
      <c r="N536" s="590" t="str">
        <f ca="1">IFERROR(__xludf.DUMMYFUNCTION("""COMPUTED_VALUE"""),"Dị_D&lt;54")</f>
        <v>Dị_D&lt;54</v>
      </c>
      <c r="O536" s="589"/>
      <c r="P536" s="590"/>
    </row>
    <row r="537" spans="1:16" ht="15.75">
      <c r="A537" s="581" t="str">
        <f ca="1">IFERROR(__xludf.DUMMYFUNCTION("""COMPUTED_VALUE"""),"Toàn Phát - Việt Nam")</f>
        <v>Toàn Phát - Việt Nam</v>
      </c>
      <c r="B537" s="581" t="str">
        <f ca="1">IFERROR(__xludf.DUMMYFUNCTION("""COMPUTED_VALUE"""),"ĐTPCAYDI")</f>
        <v>ĐTPCAYDI</v>
      </c>
      <c r="C537" s="581" t="str">
        <f ca="1">IFERROR(__xludf.DUMMYFUNCTION("""COMPUTED_VALUE"""),"DOT220006032")</f>
        <v>DOT220006032</v>
      </c>
      <c r="D537" s="582" t="str">
        <f ca="1">IFERROR(__xludf.DUMMYFUNCTION("""COMPUTED_VALUE"""),"Đồng ống thẳng 22.00x0.60x3.2m")</f>
        <v>Đồng ống thẳng 22.00x0.60x3.2m</v>
      </c>
      <c r="E537" s="583">
        <f ca="1">IFERROR(__xludf.DUMMYFUNCTION("""COMPUTED_VALUE"""),0.1)</f>
        <v>0.1</v>
      </c>
      <c r="F537" s="584" t="str">
        <f ca="1">IFERROR(__xludf.DUMMYFUNCTION("""COMPUTED_VALUE"""),"Cây")</f>
        <v>Cây</v>
      </c>
      <c r="G537" s="584" t="str">
        <f ca="1">IFERROR(__xludf.DUMMYFUNCTION("""COMPUTED_VALUE"""),"Cây 3.2m")</f>
        <v>Cây 3.2m</v>
      </c>
      <c r="H537" s="582"/>
      <c r="I537" s="585">
        <f ca="1">IFERROR(__xludf.DUMMYFUNCTION("""COMPUTED_VALUE"""),1.19073024)</f>
        <v>1.1907302399999999</v>
      </c>
      <c r="J537" s="586" t="str">
        <f ca="1">IFERROR(__xludf.DUMMYFUNCTION("""COMPUTED_VALUE""")," 22.00 ")</f>
        <v xml:space="preserve"> 22.00 </v>
      </c>
      <c r="K537" s="584" t="str">
        <f ca="1">IFERROR(__xludf.DUMMYFUNCTION("""COMPUTED_VALUE"""),"0.60")</f>
        <v>0.60</v>
      </c>
      <c r="L537" s="584">
        <f ca="1">IFERROR(__xludf.DUMMYFUNCTION("""COMPUTED_VALUE"""),3.2)</f>
        <v>3.2</v>
      </c>
      <c r="M537" s="584"/>
      <c r="N537" s="584" t="str">
        <f ca="1">IFERROR(__xludf.DUMMYFUNCTION("""COMPUTED_VALUE"""),"Dị_D&lt;54")</f>
        <v>Dị_D&lt;54</v>
      </c>
      <c r="O537" s="583"/>
      <c r="P537" s="584"/>
    </row>
    <row r="538" spans="1:16" ht="15.75">
      <c r="A538" s="587" t="str">
        <f ca="1">IFERROR(__xludf.DUMMYFUNCTION("""COMPUTED_VALUE"""),"Toàn Phát - Việt Nam")</f>
        <v>Toàn Phát - Việt Nam</v>
      </c>
      <c r="B538" s="587" t="str">
        <f ca="1">IFERROR(__xludf.DUMMYFUNCTION("""COMPUTED_VALUE"""),"ĐTPCAYDI")</f>
        <v>ĐTPCAYDI</v>
      </c>
      <c r="C538" s="587" t="str">
        <f ca="1">IFERROR(__xludf.DUMMYFUNCTION("""COMPUTED_VALUE"""),"DOT220006041")</f>
        <v>DOT220006041</v>
      </c>
      <c r="D538" s="588" t="str">
        <f ca="1">IFERROR(__xludf.DUMMYFUNCTION("""COMPUTED_VALUE"""),"Đồng ống thẳng 22.00x0.60x4.1m")</f>
        <v>Đồng ống thẳng 22.00x0.60x4.1m</v>
      </c>
      <c r="E538" s="589">
        <f ca="1">IFERROR(__xludf.DUMMYFUNCTION("""COMPUTED_VALUE"""),0.1)</f>
        <v>0.1</v>
      </c>
      <c r="F538" s="590" t="str">
        <f ca="1">IFERROR(__xludf.DUMMYFUNCTION("""COMPUTED_VALUE"""),"Cây")</f>
        <v>Cây</v>
      </c>
      <c r="G538" s="590" t="str">
        <f ca="1">IFERROR(__xludf.DUMMYFUNCTION("""COMPUTED_VALUE"""),"Cây 4.1m")</f>
        <v>Cây 4.1m</v>
      </c>
      <c r="H538" s="588"/>
      <c r="I538" s="591">
        <f ca="1">IFERROR(__xludf.DUMMYFUNCTION("""COMPUTED_VALUE"""),1.52562311999999)</f>
        <v>1.5256231199999899</v>
      </c>
      <c r="J538" s="592" t="str">
        <f ca="1">IFERROR(__xludf.DUMMYFUNCTION("""COMPUTED_VALUE""")," 22.00 ")</f>
        <v xml:space="preserve"> 22.00 </v>
      </c>
      <c r="K538" s="590" t="str">
        <f ca="1">IFERROR(__xludf.DUMMYFUNCTION("""COMPUTED_VALUE"""),"0.60")</f>
        <v>0.60</v>
      </c>
      <c r="L538" s="590">
        <f ca="1">IFERROR(__xludf.DUMMYFUNCTION("""COMPUTED_VALUE"""),4.1)</f>
        <v>4.0999999999999996</v>
      </c>
      <c r="M538" s="590"/>
      <c r="N538" s="590" t="str">
        <f ca="1">IFERROR(__xludf.DUMMYFUNCTION("""COMPUTED_VALUE"""),"Dị_D&lt;54")</f>
        <v>Dị_D&lt;54</v>
      </c>
      <c r="O538" s="589"/>
      <c r="P538" s="590"/>
    </row>
    <row r="539" spans="1:16" ht="15.75">
      <c r="A539" s="581" t="str">
        <f ca="1">IFERROR(__xludf.DUMMYFUNCTION("""COMPUTED_VALUE"""),"Toàn Phát - Việt Nam")</f>
        <v>Toàn Phát - Việt Nam</v>
      </c>
      <c r="B539" s="581" t="str">
        <f ca="1">IFERROR(__xludf.DUMMYFUNCTION("""COMPUTED_VALUE"""),"ĐTPCAYDI")</f>
        <v>ĐTPCAYDI</v>
      </c>
      <c r="C539" s="581" t="str">
        <f ca="1">IFERROR(__xludf.DUMMYFUNCTION("""COMPUTED_VALUE"""),"DOT220006113")</f>
        <v>DOT220006113</v>
      </c>
      <c r="D539" s="582" t="str">
        <f ca="1">IFERROR(__xludf.DUMMYFUNCTION("""COMPUTED_VALUE"""),"Đồng ống thẳng 22.00x0.61x1.3")</f>
        <v>Đồng ống thẳng 22.00x0.61x1.3</v>
      </c>
      <c r="E539" s="583">
        <f ca="1">IFERROR(__xludf.DUMMYFUNCTION("""COMPUTED_VALUE"""),0.1)</f>
        <v>0.1</v>
      </c>
      <c r="F539" s="584" t="str">
        <f ca="1">IFERROR(__xludf.DUMMYFUNCTION("""COMPUTED_VALUE"""),"Cây")</f>
        <v>Cây</v>
      </c>
      <c r="G539" s="584" t="str">
        <f ca="1">IFERROR(__xludf.DUMMYFUNCTION("""COMPUTED_VALUE"""),"Cây 1.3m")</f>
        <v>Cây 1.3m</v>
      </c>
      <c r="H539" s="582"/>
      <c r="I539" s="585">
        <f ca="1">IFERROR(__xludf.DUMMYFUNCTION("""COMPUTED_VALUE"""),0.4915665846)</f>
        <v>0.49156658460000002</v>
      </c>
      <c r="J539" s="586" t="str">
        <f ca="1">IFERROR(__xludf.DUMMYFUNCTION("""COMPUTED_VALUE""")," 22.00 ")</f>
        <v xml:space="preserve"> 22.00 </v>
      </c>
      <c r="K539" s="584" t="str">
        <f ca="1">IFERROR(__xludf.DUMMYFUNCTION("""COMPUTED_VALUE"""),"0.61")</f>
        <v>0.61</v>
      </c>
      <c r="L539" s="584">
        <f ca="1">IFERROR(__xludf.DUMMYFUNCTION("""COMPUTED_VALUE"""),1.3)</f>
        <v>1.3</v>
      </c>
      <c r="M539" s="584"/>
      <c r="N539" s="584" t="str">
        <f ca="1">IFERROR(__xludf.DUMMYFUNCTION("""COMPUTED_VALUE"""),"Dị_D&lt;54")</f>
        <v>Dị_D&lt;54</v>
      </c>
      <c r="O539" s="583"/>
      <c r="P539" s="584"/>
    </row>
    <row r="540" spans="1:16" ht="15.75">
      <c r="A540" s="587" t="str">
        <f ca="1">IFERROR(__xludf.DUMMYFUNCTION("""COMPUTED_VALUE"""),"Toàn Phát - Việt Nam")</f>
        <v>Toàn Phát - Việt Nam</v>
      </c>
      <c r="B540" s="587" t="str">
        <f ca="1">IFERROR(__xludf.DUMMYFUNCTION("""COMPUTED_VALUE"""),"ĐTPCAYDI")</f>
        <v>ĐTPCAYDI</v>
      </c>
      <c r="C540" s="587" t="str">
        <f ca="1">IFERROR(__xludf.DUMMYFUNCTION("""COMPUTED_VALUE"""),"DOT2200071212")</f>
        <v>DOT2200071212</v>
      </c>
      <c r="D540" s="588" t="str">
        <f ca="1">IFERROR(__xludf.DUMMYFUNCTION("""COMPUTED_VALUE"""),"Đồng ống thẳng 22.00x0.71x2.12")</f>
        <v>Đồng ống thẳng 22.00x0.71x2.12</v>
      </c>
      <c r="E540" s="589">
        <f ca="1">IFERROR(__xludf.DUMMYFUNCTION("""COMPUTED_VALUE"""),0.1)</f>
        <v>0.1</v>
      </c>
      <c r="F540" s="590" t="str">
        <f ca="1">IFERROR(__xludf.DUMMYFUNCTION("""COMPUTED_VALUE"""),"Cây")</f>
        <v>Cây</v>
      </c>
      <c r="G540" s="590" t="str">
        <f ca="1">IFERROR(__xludf.DUMMYFUNCTION("""COMPUTED_VALUE"""),"Cây 2.12m")</f>
        <v>Cây 2.12m</v>
      </c>
      <c r="H540" s="588"/>
      <c r="I540" s="591">
        <f ca="1">IFERROR(__xludf.DUMMYFUNCTION("""COMPUTED_VALUE"""),0.928684617839999)</f>
        <v>0.928684617839999</v>
      </c>
      <c r="J540" s="592" t="str">
        <f ca="1">IFERROR(__xludf.DUMMYFUNCTION("""COMPUTED_VALUE""")," 22.00 ")</f>
        <v xml:space="preserve"> 22.00 </v>
      </c>
      <c r="K540" s="590" t="str">
        <f ca="1">IFERROR(__xludf.DUMMYFUNCTION("""COMPUTED_VALUE"""),"0.71")</f>
        <v>0.71</v>
      </c>
      <c r="L540" s="590">
        <f ca="1">IFERROR(__xludf.DUMMYFUNCTION("""COMPUTED_VALUE"""),2.12)</f>
        <v>2.12</v>
      </c>
      <c r="M540" s="590"/>
      <c r="N540" s="590" t="str">
        <f ca="1">IFERROR(__xludf.DUMMYFUNCTION("""COMPUTED_VALUE"""),"Dị_D&lt;54")</f>
        <v>Dị_D&lt;54</v>
      </c>
      <c r="O540" s="589"/>
      <c r="P540" s="590"/>
    </row>
    <row r="541" spans="1:16" ht="15.75">
      <c r="A541" s="581" t="str">
        <f ca="1">IFERROR(__xludf.DUMMYFUNCTION("""COMPUTED_VALUE"""),"Toàn Phát - Việt Nam")</f>
        <v>Toàn Phát - Việt Nam</v>
      </c>
      <c r="B541" s="581" t="str">
        <f ca="1">IFERROR(__xludf.DUMMYFUNCTION("""COMPUTED_VALUE"""),"ĐTPCAYDI")</f>
        <v>ĐTPCAYDI</v>
      </c>
      <c r="C541" s="581" t="str">
        <f ca="1">IFERROR(__xludf.DUMMYFUNCTION("""COMPUTED_VALUE"""),"DOT2200071262")</f>
        <v>DOT2200071262</v>
      </c>
      <c r="D541" s="582" t="str">
        <f ca="1">IFERROR(__xludf.DUMMYFUNCTION("""COMPUTED_VALUE"""),"Đồng ống thẳng 22.00x0.71x2.62")</f>
        <v>Đồng ống thẳng 22.00x0.71x2.62</v>
      </c>
      <c r="E541" s="583">
        <f ca="1">IFERROR(__xludf.DUMMYFUNCTION("""COMPUTED_VALUE"""),0.1)</f>
        <v>0.1</v>
      </c>
      <c r="F541" s="584" t="str">
        <f ca="1">IFERROR(__xludf.DUMMYFUNCTION("""COMPUTED_VALUE"""),"Cây")</f>
        <v>Cây</v>
      </c>
      <c r="G541" s="584" t="str">
        <f ca="1">IFERROR(__xludf.DUMMYFUNCTION("""COMPUTED_VALUE"""),"Cây 2.62m")</f>
        <v>Cây 2.62m</v>
      </c>
      <c r="H541" s="582"/>
      <c r="I541" s="585">
        <f ca="1">IFERROR(__xludf.DUMMYFUNCTION("""COMPUTED_VALUE"""),1.14771400883999)</f>
        <v>1.14771400883999</v>
      </c>
      <c r="J541" s="586" t="str">
        <f ca="1">IFERROR(__xludf.DUMMYFUNCTION("""COMPUTED_VALUE""")," 22.00 ")</f>
        <v xml:space="preserve"> 22.00 </v>
      </c>
      <c r="K541" s="584" t="str">
        <f ca="1">IFERROR(__xludf.DUMMYFUNCTION("""COMPUTED_VALUE"""),"0.71")</f>
        <v>0.71</v>
      </c>
      <c r="L541" s="584">
        <f ca="1">IFERROR(__xludf.DUMMYFUNCTION("""COMPUTED_VALUE"""),2.62)</f>
        <v>2.62</v>
      </c>
      <c r="M541" s="584"/>
      <c r="N541" s="584" t="str">
        <f ca="1">IFERROR(__xludf.DUMMYFUNCTION("""COMPUTED_VALUE"""),"Dị_D&lt;54")</f>
        <v>Dị_D&lt;54</v>
      </c>
      <c r="O541" s="583"/>
      <c r="P541" s="584"/>
    </row>
    <row r="542" spans="1:16" ht="15.75">
      <c r="A542" s="587" t="str">
        <f ca="1">IFERROR(__xludf.DUMMYFUNCTION("""COMPUTED_VALUE"""),"Toàn Phát - Việt Nam")</f>
        <v>Toàn Phát - Việt Nam</v>
      </c>
      <c r="B542" s="587" t="str">
        <f ca="1">IFERROR(__xludf.DUMMYFUNCTION("""COMPUTED_VALUE"""),"ĐTPCAYDI")</f>
        <v>ĐTPCAYDI</v>
      </c>
      <c r="C542" s="587" t="str">
        <f ca="1">IFERROR(__xludf.DUMMYFUNCTION("""COMPUTED_VALUE"""),"DOT220008126")</f>
        <v>DOT220008126</v>
      </c>
      <c r="D542" s="588" t="str">
        <f ca="1">IFERROR(__xludf.DUMMYFUNCTION("""COMPUTED_VALUE"""),"Đồng ống thẳng 22.00x0.81x2.6")</f>
        <v>Đồng ống thẳng 22.00x0.81x2.6</v>
      </c>
      <c r="E542" s="589">
        <f ca="1">IFERROR(__xludf.DUMMYFUNCTION("""COMPUTED_VALUE"""),0.1)</f>
        <v>0.1</v>
      </c>
      <c r="F542" s="590" t="str">
        <f ca="1">IFERROR(__xludf.DUMMYFUNCTION("""COMPUTED_VALUE"""),"Cây")</f>
        <v>Cây</v>
      </c>
      <c r="G542" s="590" t="str">
        <f ca="1">IFERROR(__xludf.DUMMYFUNCTION("""COMPUTED_VALUE"""),"Cây 2.6m")</f>
        <v>Cây 2.6m</v>
      </c>
      <c r="H542" s="588"/>
      <c r="I542" s="591">
        <f ca="1">IFERROR(__xludf.DUMMYFUNCTION("""COMPUTED_VALUE"""),1.2932655372)</f>
        <v>1.2932655371999999</v>
      </c>
      <c r="J542" s="592" t="str">
        <f ca="1">IFERROR(__xludf.DUMMYFUNCTION("""COMPUTED_VALUE""")," 22.00 ")</f>
        <v xml:space="preserve"> 22.00 </v>
      </c>
      <c r="K542" s="590" t="str">
        <f ca="1">IFERROR(__xludf.DUMMYFUNCTION("""COMPUTED_VALUE"""),"0.81")</f>
        <v>0.81</v>
      </c>
      <c r="L542" s="590">
        <f ca="1">IFERROR(__xludf.DUMMYFUNCTION("""COMPUTED_VALUE"""),2.6)</f>
        <v>2.6</v>
      </c>
      <c r="M542" s="590"/>
      <c r="N542" s="590" t="str">
        <f ca="1">IFERROR(__xludf.DUMMYFUNCTION("""COMPUTED_VALUE"""),"Dị_D&lt;54")</f>
        <v>Dị_D&lt;54</v>
      </c>
      <c r="O542" s="589"/>
      <c r="P542" s="590"/>
    </row>
    <row r="543" spans="1:16" ht="15.75">
      <c r="A543" s="581" t="str">
        <f ca="1">IFERROR(__xludf.DUMMYFUNCTION("""COMPUTED_VALUE"""),"Toàn Phát - Việt Nam")</f>
        <v>Toàn Phát - Việt Nam</v>
      </c>
      <c r="B543" s="581" t="str">
        <f ca="1">IFERROR(__xludf.DUMMYFUNCTION("""COMPUTED_VALUE"""),"ĐTPCAYDI")</f>
        <v>ĐTPCAYDI</v>
      </c>
      <c r="C543" s="581" t="str">
        <f ca="1">IFERROR(__xludf.DUMMYFUNCTION("""COMPUTED_VALUE"""),"DOT220008132")</f>
        <v>DOT220008132</v>
      </c>
      <c r="D543" s="582" t="str">
        <f ca="1">IFERROR(__xludf.DUMMYFUNCTION("""COMPUTED_VALUE"""),"Đồng ống thẳng 22.00x0.81x3.2")</f>
        <v>Đồng ống thẳng 22.00x0.81x3.2</v>
      </c>
      <c r="E543" s="583">
        <f ca="1">IFERROR(__xludf.DUMMYFUNCTION("""COMPUTED_VALUE"""),0.1)</f>
        <v>0.1</v>
      </c>
      <c r="F543" s="584" t="str">
        <f ca="1">IFERROR(__xludf.DUMMYFUNCTION("""COMPUTED_VALUE"""),"Cây")</f>
        <v>Cây</v>
      </c>
      <c r="G543" s="584" t="str">
        <f ca="1">IFERROR(__xludf.DUMMYFUNCTION("""COMPUTED_VALUE"""),"Cây 3.2m")</f>
        <v>Cây 3.2m</v>
      </c>
      <c r="H543" s="582"/>
      <c r="I543" s="585">
        <f ca="1">IFERROR(__xludf.DUMMYFUNCTION("""COMPUTED_VALUE"""),1.5917114304)</f>
        <v>1.5917114304</v>
      </c>
      <c r="J543" s="586" t="str">
        <f ca="1">IFERROR(__xludf.DUMMYFUNCTION("""COMPUTED_VALUE""")," 22.00 ")</f>
        <v xml:space="preserve"> 22.00 </v>
      </c>
      <c r="K543" s="584" t="str">
        <f ca="1">IFERROR(__xludf.DUMMYFUNCTION("""COMPUTED_VALUE"""),"0.81")</f>
        <v>0.81</v>
      </c>
      <c r="L543" s="584">
        <f ca="1">IFERROR(__xludf.DUMMYFUNCTION("""COMPUTED_VALUE"""),3.2)</f>
        <v>3.2</v>
      </c>
      <c r="M543" s="584"/>
      <c r="N543" s="584" t="str">
        <f ca="1">IFERROR(__xludf.DUMMYFUNCTION("""COMPUTED_VALUE"""),"Dị_D&lt;54")</f>
        <v>Dị_D&lt;54</v>
      </c>
      <c r="O543" s="583"/>
      <c r="P543" s="584"/>
    </row>
    <row r="544" spans="1:16" ht="15.75">
      <c r="A544" s="587" t="str">
        <f ca="1">IFERROR(__xludf.DUMMYFUNCTION("""COMPUTED_VALUE"""),"Toàn Phát - Việt Nam")</f>
        <v>Toàn Phát - Việt Nam</v>
      </c>
      <c r="B544" s="587" t="str">
        <f ca="1">IFERROR(__xludf.DUMMYFUNCTION("""COMPUTED_VALUE"""),"ĐTPCAYDI")</f>
        <v>ĐTPCAYDI</v>
      </c>
      <c r="C544" s="587" t="str">
        <f ca="1">IFERROR(__xludf.DUMMYFUNCTION("""COMPUTED_VALUE"""),"DOT220008141")</f>
        <v>DOT220008141</v>
      </c>
      <c r="D544" s="588" t="str">
        <f ca="1">IFERROR(__xludf.DUMMYFUNCTION("""COMPUTED_VALUE"""),"Đồng ống thẳng 22.00x0.81x4.1")</f>
        <v>Đồng ống thẳng 22.00x0.81x4.1</v>
      </c>
      <c r="E544" s="589">
        <f ca="1">IFERROR(__xludf.DUMMYFUNCTION("""COMPUTED_VALUE"""),0.1)</f>
        <v>0.1</v>
      </c>
      <c r="F544" s="590" t="str">
        <f ca="1">IFERROR(__xludf.DUMMYFUNCTION("""COMPUTED_VALUE"""),"Cây")</f>
        <v>Cây</v>
      </c>
      <c r="G544" s="590" t="str">
        <f ca="1">IFERROR(__xludf.DUMMYFUNCTION("""COMPUTED_VALUE"""),"Cây 4.1m")</f>
        <v>Cây 4.1m</v>
      </c>
      <c r="H544" s="588"/>
      <c r="I544" s="591">
        <f ca="1">IFERROR(__xludf.DUMMYFUNCTION("""COMPUTED_VALUE"""),2.0393802702)</f>
        <v>2.0393802702000001</v>
      </c>
      <c r="J544" s="592" t="str">
        <f ca="1">IFERROR(__xludf.DUMMYFUNCTION("""COMPUTED_VALUE""")," 22.00 ")</f>
        <v xml:space="preserve"> 22.00 </v>
      </c>
      <c r="K544" s="590" t="str">
        <f ca="1">IFERROR(__xludf.DUMMYFUNCTION("""COMPUTED_VALUE"""),"0.81")</f>
        <v>0.81</v>
      </c>
      <c r="L544" s="590">
        <f ca="1">IFERROR(__xludf.DUMMYFUNCTION("""COMPUTED_VALUE"""),4.1)</f>
        <v>4.0999999999999996</v>
      </c>
      <c r="M544" s="590"/>
      <c r="N544" s="590" t="str">
        <f ca="1">IFERROR(__xludf.DUMMYFUNCTION("""COMPUTED_VALUE"""),"Dị_D&lt;54")</f>
        <v>Dị_D&lt;54</v>
      </c>
      <c r="O544" s="589"/>
      <c r="P544" s="590"/>
    </row>
    <row r="545" spans="1:16" ht="15.75">
      <c r="A545" s="581" t="str">
        <f ca="1">IFERROR(__xludf.DUMMYFUNCTION("""COMPUTED_VALUE"""),"Toàn Phát - Việt Nam")</f>
        <v>Toàn Phát - Việt Nam</v>
      </c>
      <c r="B545" s="581" t="str">
        <f ca="1">IFERROR(__xludf.DUMMYFUNCTION("""COMPUTED_VALUE"""),"ĐTPCAYDI")</f>
        <v>ĐTPCAYDI</v>
      </c>
      <c r="C545" s="581" t="str">
        <f ca="1">IFERROR(__xludf.DUMMYFUNCTION("""COMPUTED_VALUE"""),"DOT220001630")</f>
        <v>DOT220001630</v>
      </c>
      <c r="D545" s="582" t="str">
        <f ca="1">IFERROR(__xludf.DUMMYFUNCTION("""COMPUTED_VALUE"""),"Đồng ống thẳng 22.00x1.6x3.0")</f>
        <v>Đồng ống thẳng 22.00x1.6x3.0</v>
      </c>
      <c r="E545" s="583">
        <f ca="1">IFERROR(__xludf.DUMMYFUNCTION("""COMPUTED_VALUE"""),0.1)</f>
        <v>0.1</v>
      </c>
      <c r="F545" s="584" t="str">
        <f ca="1">IFERROR(__xludf.DUMMYFUNCTION("""COMPUTED_VALUE"""),"Cây")</f>
        <v>Cây</v>
      </c>
      <c r="G545" s="584" t="str">
        <f ca="1">IFERROR(__xludf.DUMMYFUNCTION("""COMPUTED_VALUE"""),"Cây 3m")</f>
        <v>Cây 3m</v>
      </c>
      <c r="H545" s="582"/>
      <c r="I545" s="585">
        <f ca="1">IFERROR(__xludf.DUMMYFUNCTION("""COMPUTED_VALUE"""),2.8377216)</f>
        <v>2.8377216000000001</v>
      </c>
      <c r="J545" s="586" t="str">
        <f ca="1">IFERROR(__xludf.DUMMYFUNCTION("""COMPUTED_VALUE""")," 22.00 ")</f>
        <v xml:space="preserve"> 22.00 </v>
      </c>
      <c r="K545" s="584" t="str">
        <f ca="1">IFERROR(__xludf.DUMMYFUNCTION("""COMPUTED_VALUE"""),"1.60")</f>
        <v>1.60</v>
      </c>
      <c r="L545" s="584">
        <f ca="1">IFERROR(__xludf.DUMMYFUNCTION("""COMPUTED_VALUE"""),3)</f>
        <v>3</v>
      </c>
      <c r="M545" s="584"/>
      <c r="N545" s="584" t="str">
        <f ca="1">IFERROR(__xludf.DUMMYFUNCTION("""COMPUTED_VALUE"""),"Dị_D&lt;54")</f>
        <v>Dị_D&lt;54</v>
      </c>
      <c r="O545" s="583"/>
      <c r="P545" s="584"/>
    </row>
    <row r="546" spans="1:16" ht="15.75">
      <c r="A546" s="587" t="str">
        <f ca="1">IFERROR(__xludf.DUMMYFUNCTION("""COMPUTED_VALUE"""),"Toàn Phát - Việt Nam")</f>
        <v>Toàn Phát - Việt Nam</v>
      </c>
      <c r="B546" s="587" t="str">
        <f ca="1">IFERROR(__xludf.DUMMYFUNCTION("""COMPUTED_VALUE"""),"ĐTPCAYDI")</f>
        <v>ĐTPCAYDI</v>
      </c>
      <c r="C546" s="587" t="str">
        <f ca="1">IFERROR(__xludf.DUMMYFUNCTION("""COMPUTED_VALUE"""),"DOT220017030")</f>
        <v>DOT220017030</v>
      </c>
      <c r="D546" s="588" t="str">
        <f ca="1">IFERROR(__xludf.DUMMYFUNCTION("""COMPUTED_VALUE"""),"Đồng ống thẳng 22.00x1.70x3.0")</f>
        <v>Đồng ống thẳng 22.00x1.70x3.0</v>
      </c>
      <c r="E546" s="589">
        <f ca="1">IFERROR(__xludf.DUMMYFUNCTION("""COMPUTED_VALUE"""),0.1)</f>
        <v>0.1</v>
      </c>
      <c r="F546" s="590" t="str">
        <f ca="1">IFERROR(__xludf.DUMMYFUNCTION("""COMPUTED_VALUE"""),"Cây")</f>
        <v>Cây</v>
      </c>
      <c r="G546" s="590" t="str">
        <f ca="1">IFERROR(__xludf.DUMMYFUNCTION("""COMPUTED_VALUE"""),"Cây 3m")</f>
        <v>Cây 3m</v>
      </c>
      <c r="H546" s="588"/>
      <c r="I546" s="591">
        <f ca="1">IFERROR(__xludf.DUMMYFUNCTION("""COMPUTED_VALUE"""),3.0002994)</f>
        <v>3.0002993999999998</v>
      </c>
      <c r="J546" s="592" t="str">
        <f ca="1">IFERROR(__xludf.DUMMYFUNCTION("""COMPUTED_VALUE""")," 22.00 ")</f>
        <v xml:space="preserve"> 22.00 </v>
      </c>
      <c r="K546" s="590" t="str">
        <f ca="1">IFERROR(__xludf.DUMMYFUNCTION("""COMPUTED_VALUE"""),"1.70")</f>
        <v>1.70</v>
      </c>
      <c r="L546" s="590">
        <f ca="1">IFERROR(__xludf.DUMMYFUNCTION("""COMPUTED_VALUE"""),3)</f>
        <v>3</v>
      </c>
      <c r="M546" s="590"/>
      <c r="N546" s="590" t="str">
        <f ca="1">IFERROR(__xludf.DUMMYFUNCTION("""COMPUTED_VALUE"""),"Dị_D&lt;54")</f>
        <v>Dị_D&lt;54</v>
      </c>
      <c r="O546" s="589"/>
      <c r="P546" s="590"/>
    </row>
    <row r="547" spans="1:16" ht="15.75">
      <c r="A547" s="581" t="str">
        <f ca="1">IFERROR(__xludf.DUMMYFUNCTION("""COMPUTED_VALUE"""),"Toàn Phát - Việt Nam")</f>
        <v>Toàn Phát - Việt Nam</v>
      </c>
      <c r="B547" s="581" t="str">
        <f ca="1">IFERROR(__xludf.DUMMYFUNCTION("""COMPUTED_VALUE"""),"ĐTPCAYDI")</f>
        <v>ĐTPCAYDI</v>
      </c>
      <c r="C547" s="581" t="str">
        <f ca="1">IFERROR(__xludf.DUMMYFUNCTION("""COMPUTED_VALUE"""),"DOT220001830")</f>
        <v>DOT220001830</v>
      </c>
      <c r="D547" s="582" t="str">
        <f ca="1">IFERROR(__xludf.DUMMYFUNCTION("""COMPUTED_VALUE"""),"Đồng ống thẳng 22.00x1.8x3.0")</f>
        <v>Đồng ống thẳng 22.00x1.8x3.0</v>
      </c>
      <c r="E547" s="583">
        <f ca="1">IFERROR(__xludf.DUMMYFUNCTION("""COMPUTED_VALUE"""),0.1)</f>
        <v>0.1</v>
      </c>
      <c r="F547" s="584" t="str">
        <f ca="1">IFERROR(__xludf.DUMMYFUNCTION("""COMPUTED_VALUE"""),"Cây")</f>
        <v>Cây</v>
      </c>
      <c r="G547" s="584" t="str">
        <f ca="1">IFERROR(__xludf.DUMMYFUNCTION("""COMPUTED_VALUE"""),"Cây 3m")</f>
        <v>Cây 3m</v>
      </c>
      <c r="H547" s="582"/>
      <c r="I547" s="585">
        <f ca="1">IFERROR(__xludf.DUMMYFUNCTION("""COMPUTED_VALUE"""),3.1611384)</f>
        <v>3.1611384</v>
      </c>
      <c r="J547" s="586" t="str">
        <f ca="1">IFERROR(__xludf.DUMMYFUNCTION("""COMPUTED_VALUE""")," 22.00 ")</f>
        <v xml:space="preserve"> 22.00 </v>
      </c>
      <c r="K547" s="584" t="str">
        <f ca="1">IFERROR(__xludf.DUMMYFUNCTION("""COMPUTED_VALUE"""),"1.80")</f>
        <v>1.80</v>
      </c>
      <c r="L547" s="584">
        <f ca="1">IFERROR(__xludf.DUMMYFUNCTION("""COMPUTED_VALUE"""),3)</f>
        <v>3</v>
      </c>
      <c r="M547" s="584"/>
      <c r="N547" s="584" t="str">
        <f ca="1">IFERROR(__xludf.DUMMYFUNCTION("""COMPUTED_VALUE"""),"Dị_D&lt;54")</f>
        <v>Dị_D&lt;54</v>
      </c>
      <c r="O547" s="583"/>
      <c r="P547" s="584"/>
    </row>
    <row r="548" spans="1:16" ht="15.75">
      <c r="A548" s="587" t="str">
        <f ca="1">IFERROR(__xludf.DUMMYFUNCTION("""COMPUTED_VALUE"""),"Toàn Phát - Việt Nam")</f>
        <v>Toàn Phát - Việt Nam</v>
      </c>
      <c r="B548" s="587" t="str">
        <f ca="1">IFERROR(__xludf.DUMMYFUNCTION("""COMPUTED_VALUE"""),"ĐTPCAYDI")</f>
        <v>ĐTPCAYDI</v>
      </c>
      <c r="C548" s="587" t="str">
        <f ca="1">IFERROR(__xludf.DUMMYFUNCTION("""COMPUTED_VALUE"""),"DOT220001930")</f>
        <v>DOT220001930</v>
      </c>
      <c r="D548" s="588" t="str">
        <f ca="1">IFERROR(__xludf.DUMMYFUNCTION("""COMPUTED_VALUE"""),"Đồng ống thẳng 22.00x1.9x3.0")</f>
        <v>Đồng ống thẳng 22.00x1.9x3.0</v>
      </c>
      <c r="E548" s="589">
        <f ca="1">IFERROR(__xludf.DUMMYFUNCTION("""COMPUTED_VALUE"""),0.1)</f>
        <v>0.1</v>
      </c>
      <c r="F548" s="590" t="str">
        <f ca="1">IFERROR(__xludf.DUMMYFUNCTION("""COMPUTED_VALUE"""),"Cây")</f>
        <v>Cây</v>
      </c>
      <c r="G548" s="590" t="str">
        <f ca="1">IFERROR(__xludf.DUMMYFUNCTION("""COMPUTED_VALUE"""),"Cây 3m")</f>
        <v>Cây 3m</v>
      </c>
      <c r="H548" s="588"/>
      <c r="I548" s="591">
        <f ca="1">IFERROR(__xludf.DUMMYFUNCTION("""COMPUTED_VALUE"""),3.32023859999999)</f>
        <v>3.3202385999999899</v>
      </c>
      <c r="J548" s="592" t="str">
        <f ca="1">IFERROR(__xludf.DUMMYFUNCTION("""COMPUTED_VALUE""")," 22.00 ")</f>
        <v xml:space="preserve"> 22.00 </v>
      </c>
      <c r="K548" s="590" t="str">
        <f ca="1">IFERROR(__xludf.DUMMYFUNCTION("""COMPUTED_VALUE"""),"1.90")</f>
        <v>1.90</v>
      </c>
      <c r="L548" s="590">
        <f ca="1">IFERROR(__xludf.DUMMYFUNCTION("""COMPUTED_VALUE"""),3)</f>
        <v>3</v>
      </c>
      <c r="M548" s="590"/>
      <c r="N548" s="590" t="str">
        <f ca="1">IFERROR(__xludf.DUMMYFUNCTION("""COMPUTED_VALUE"""),"Dị_D&lt;54")</f>
        <v>Dị_D&lt;54</v>
      </c>
      <c r="O548" s="589"/>
      <c r="P548" s="590"/>
    </row>
    <row r="549" spans="1:16" ht="15.75">
      <c r="A549" s="581" t="str">
        <f ca="1">IFERROR(__xludf.DUMMYFUNCTION("""COMPUTED_VALUE"""),"Toàn Phát - Việt Nam")</f>
        <v>Toàn Phát - Việt Nam</v>
      </c>
      <c r="B549" s="581" t="str">
        <f ca="1">IFERROR(__xludf.DUMMYFUNCTION("""COMPUTED_VALUE"""),"ĐTPCAYDI")</f>
        <v>ĐTPCAYDI</v>
      </c>
      <c r="C549" s="581" t="str">
        <f ca="1">IFERROR(__xludf.DUMMYFUNCTION("""COMPUTED_VALUE"""),"DOT2200225030")</f>
        <v>DOT2200225030</v>
      </c>
      <c r="D549" s="582" t="str">
        <f ca="1">IFERROR(__xludf.DUMMYFUNCTION("""COMPUTED_VALUE"""),"Đồng ống thẳng 22.00x2.25x3.0")</f>
        <v>Đồng ống thẳng 22.00x2.25x3.0</v>
      </c>
      <c r="E549" s="583">
        <f ca="1">IFERROR(__xludf.DUMMYFUNCTION("""COMPUTED_VALUE"""),0.1)</f>
        <v>0.1</v>
      </c>
      <c r="F549" s="584" t="str">
        <f ca="1">IFERROR(__xludf.DUMMYFUNCTION("""COMPUTED_VALUE"""),"Cây")</f>
        <v>Cây</v>
      </c>
      <c r="G549" s="584" t="str">
        <f ca="1">IFERROR(__xludf.DUMMYFUNCTION("""COMPUTED_VALUE"""),"Cây 3m")</f>
        <v>Cây 3m</v>
      </c>
      <c r="H549" s="582"/>
      <c r="I549" s="585">
        <f ca="1">IFERROR(__xludf.DUMMYFUNCTION("""COMPUTED_VALUE"""),3.86339625)</f>
        <v>3.8633962500000001</v>
      </c>
      <c r="J549" s="586" t="str">
        <f ca="1">IFERROR(__xludf.DUMMYFUNCTION("""COMPUTED_VALUE""")," 22.00 ")</f>
        <v xml:space="preserve"> 22.00 </v>
      </c>
      <c r="K549" s="584" t="str">
        <f ca="1">IFERROR(__xludf.DUMMYFUNCTION("""COMPUTED_VALUE"""),"2.25")</f>
        <v>2.25</v>
      </c>
      <c r="L549" s="584">
        <f ca="1">IFERROR(__xludf.DUMMYFUNCTION("""COMPUTED_VALUE"""),3)</f>
        <v>3</v>
      </c>
      <c r="M549" s="584"/>
      <c r="N549" s="584" t="str">
        <f ca="1">IFERROR(__xludf.DUMMYFUNCTION("""COMPUTED_VALUE"""),"Dị_D&lt;54")</f>
        <v>Dị_D&lt;54</v>
      </c>
      <c r="O549" s="583"/>
      <c r="P549" s="584"/>
    </row>
    <row r="550" spans="1:16" ht="15.75">
      <c r="A550" s="587" t="str">
        <f ca="1">IFERROR(__xludf.DUMMYFUNCTION("""COMPUTED_VALUE"""),"Toàn Phát - Việt Nam")</f>
        <v>Toàn Phát - Việt Nam</v>
      </c>
      <c r="B550" s="587" t="str">
        <f ca="1">IFERROR(__xludf.DUMMYFUNCTION("""COMPUTED_VALUE"""),"ĐTPCAYDI")</f>
        <v>ĐTPCAYDI</v>
      </c>
      <c r="C550" s="587" t="str">
        <f ca="1">IFERROR(__xludf.DUMMYFUNCTION("""COMPUTED_VALUE"""),"DOT2222095(NM)")</f>
        <v>DOT2222095(NM)</v>
      </c>
      <c r="D550" s="588" t="str">
        <f ca="1">IFERROR(__xludf.DUMMYFUNCTION("""COMPUTED_VALUE"""),"Đồng ống thẳng 22.22x0.95")</f>
        <v>Đồng ống thẳng 22.22x0.95</v>
      </c>
      <c r="E550" s="589">
        <f ca="1">IFERROR(__xludf.DUMMYFUNCTION("""COMPUTED_VALUE"""),0.1)</f>
        <v>0.1</v>
      </c>
      <c r="F550" s="590" t="str">
        <f ca="1">IFERROR(__xludf.DUMMYFUNCTION("""COMPUTED_VALUE"""),"Cây")</f>
        <v>Cây</v>
      </c>
      <c r="G550" s="590" t="str">
        <f ca="1">IFERROR(__xludf.DUMMYFUNCTION("""COMPUTED_VALUE"""),"Cây 2.9m")</f>
        <v>Cây 2.9m</v>
      </c>
      <c r="H550" s="588" t="str">
        <f ca="1">IFERROR(__xludf.DUMMYFUNCTION("""COMPUTED_VALUE"""),"20")</f>
        <v>20</v>
      </c>
      <c r="I550" s="591">
        <f ca="1">IFERROR(__xludf.DUMMYFUNCTION("""COMPUTED_VALUE"""),1.69819467299999)</f>
        <v>1.6981946729999899</v>
      </c>
      <c r="J550" s="592" t="str">
        <f ca="1">IFERROR(__xludf.DUMMYFUNCTION("""COMPUTED_VALUE""")," 22.22 ")</f>
        <v xml:space="preserve"> 22.22 </v>
      </c>
      <c r="K550" s="590" t="str">
        <f ca="1">IFERROR(__xludf.DUMMYFUNCTION("""COMPUTED_VALUE"""),"0.95")</f>
        <v>0.95</v>
      </c>
      <c r="L550" s="590">
        <f ca="1">IFERROR(__xludf.DUMMYFUNCTION("""COMPUTED_VALUE"""),2.9)</f>
        <v>2.9</v>
      </c>
      <c r="M550" s="590"/>
      <c r="N550" s="590" t="str">
        <f ca="1">IFERROR(__xludf.DUMMYFUNCTION("""COMPUTED_VALUE"""),"Dị_D&lt;54")</f>
        <v>Dị_D&lt;54</v>
      </c>
      <c r="O550" s="589"/>
      <c r="P550" s="590"/>
    </row>
    <row r="551" spans="1:16" ht="15.75">
      <c r="A551" s="581" t="str">
        <f ca="1">IFERROR(__xludf.DUMMYFUNCTION("""COMPUTED_VALUE"""),"Toàn Phát - Việt Nam")</f>
        <v>Toàn Phát - Việt Nam</v>
      </c>
      <c r="B551" s="581" t="str">
        <f ca="1">IFERROR(__xludf.DUMMYFUNCTION("""COMPUTED_VALUE"""),"ĐTPCAYDI")</f>
        <v>ĐTPCAYDI</v>
      </c>
      <c r="C551" s="581" t="str">
        <f ca="1">IFERROR(__xludf.DUMMYFUNCTION("""COMPUTED_VALUE"""),"DOT2222060")</f>
        <v>DOT2222060</v>
      </c>
      <c r="D551" s="582" t="str">
        <f ca="1">IFERROR(__xludf.DUMMYFUNCTION("""COMPUTED_VALUE"""),"Đồng ống thẳng 22.22x0.60")</f>
        <v>Đồng ống thẳng 22.22x0.60</v>
      </c>
      <c r="E551" s="583">
        <f ca="1">IFERROR(__xludf.DUMMYFUNCTION("""COMPUTED_VALUE"""),0.1)</f>
        <v>0.1</v>
      </c>
      <c r="F551" s="584" t="str">
        <f ca="1">IFERROR(__xludf.DUMMYFUNCTION("""COMPUTED_VALUE"""),"Cây")</f>
        <v>Cây</v>
      </c>
      <c r="G551" s="584" t="str">
        <f ca="1">IFERROR(__xludf.DUMMYFUNCTION("""COMPUTED_VALUE"""),"Cây 2.9m")</f>
        <v>Cây 2.9m</v>
      </c>
      <c r="H551" s="582" t="str">
        <f ca="1">IFERROR(__xludf.DUMMYFUNCTION("""COMPUTED_VALUE"""),"20")</f>
        <v>20</v>
      </c>
      <c r="I551" s="585">
        <f ca="1">IFERROR(__xludf.DUMMYFUNCTION("""COMPUTED_VALUE"""),1.09019282399999)</f>
        <v>1.0901928239999901</v>
      </c>
      <c r="J551" s="586" t="str">
        <f ca="1">IFERROR(__xludf.DUMMYFUNCTION("""COMPUTED_VALUE""")," 22.22 ")</f>
        <v xml:space="preserve"> 22.22 </v>
      </c>
      <c r="K551" s="584" t="str">
        <f ca="1">IFERROR(__xludf.DUMMYFUNCTION("""COMPUTED_VALUE"""),"0.60")</f>
        <v>0.60</v>
      </c>
      <c r="L551" s="584">
        <f ca="1">IFERROR(__xludf.DUMMYFUNCTION("""COMPUTED_VALUE"""),2.9)</f>
        <v>2.9</v>
      </c>
      <c r="M551" s="584"/>
      <c r="N551" s="584" t="str">
        <f ca="1">IFERROR(__xludf.DUMMYFUNCTION("""COMPUTED_VALUE"""),"Dị_D&lt;54")</f>
        <v>Dị_D&lt;54</v>
      </c>
      <c r="O551" s="583"/>
      <c r="P551" s="584"/>
    </row>
    <row r="552" spans="1:16" ht="15.75">
      <c r="A552" s="587" t="str">
        <f ca="1">IFERROR(__xludf.DUMMYFUNCTION("""COMPUTED_VALUE"""),"Toàn Phát - Việt Nam")</f>
        <v>Toàn Phát - Việt Nam</v>
      </c>
      <c r="B552" s="587" t="str">
        <f ca="1">IFERROR(__xludf.DUMMYFUNCTION("""COMPUTED_VALUE"""),"ĐTPCAYDI")</f>
        <v>ĐTPCAYDI</v>
      </c>
      <c r="C552" s="587" t="str">
        <f ca="1">IFERROR(__xludf.DUMMYFUNCTION("""COMPUTED_VALUE"""),"DOT2222065")</f>
        <v>DOT2222065</v>
      </c>
      <c r="D552" s="588" t="str">
        <f ca="1">IFERROR(__xludf.DUMMYFUNCTION("""COMPUTED_VALUE"""),"Đồng ống thẳng 22.22x0.65")</f>
        <v>Đồng ống thẳng 22.22x0.65</v>
      </c>
      <c r="E552" s="589">
        <f ca="1">IFERROR(__xludf.DUMMYFUNCTION("""COMPUTED_VALUE"""),0.1)</f>
        <v>0.1</v>
      </c>
      <c r="F552" s="590" t="str">
        <f ca="1">IFERROR(__xludf.DUMMYFUNCTION("""COMPUTED_VALUE"""),"Cây")</f>
        <v>Cây</v>
      </c>
      <c r="G552" s="590" t="str">
        <f ca="1">IFERROR(__xludf.DUMMYFUNCTION("""COMPUTED_VALUE"""),"Cây 2.9m")</f>
        <v>Cây 2.9m</v>
      </c>
      <c r="H552" s="588" t="str">
        <f ca="1">IFERROR(__xludf.DUMMYFUNCTION("""COMPUTED_VALUE"""),"20")</f>
        <v>20</v>
      </c>
      <c r="I552" s="591">
        <f ca="1">IFERROR(__xludf.DUMMYFUNCTION("""COMPUTED_VALUE"""),1.178310861)</f>
        <v>1.1783108609999999</v>
      </c>
      <c r="J552" s="592" t="str">
        <f ca="1">IFERROR(__xludf.DUMMYFUNCTION("""COMPUTED_VALUE""")," 22.22 ")</f>
        <v xml:space="preserve"> 22.22 </v>
      </c>
      <c r="K552" s="590" t="str">
        <f ca="1">IFERROR(__xludf.DUMMYFUNCTION("""COMPUTED_VALUE"""),"0.65")</f>
        <v>0.65</v>
      </c>
      <c r="L552" s="590">
        <f ca="1">IFERROR(__xludf.DUMMYFUNCTION("""COMPUTED_VALUE"""),2.9)</f>
        <v>2.9</v>
      </c>
      <c r="M552" s="590"/>
      <c r="N552" s="590" t="str">
        <f ca="1">IFERROR(__xludf.DUMMYFUNCTION("""COMPUTED_VALUE"""),"Dị_D&lt;54")</f>
        <v>Dị_D&lt;54</v>
      </c>
      <c r="O552" s="589"/>
      <c r="P552" s="590"/>
    </row>
    <row r="553" spans="1:16" ht="15.75">
      <c r="A553" s="581" t="str">
        <f ca="1">IFERROR(__xludf.DUMMYFUNCTION("""COMPUTED_VALUE"""),"Toàn Phát - Việt Nam")</f>
        <v>Toàn Phát - Việt Nam</v>
      </c>
      <c r="B553" s="581" t="str">
        <f ca="1">IFERROR(__xludf.DUMMYFUNCTION("""COMPUTED_VALUE"""),"ĐTPCAYDI")</f>
        <v>ĐTPCAYDI</v>
      </c>
      <c r="C553" s="581" t="str">
        <f ca="1">IFERROR(__xludf.DUMMYFUNCTION("""COMPUTED_VALUE"""),"DOT2222070(NM)")</f>
        <v>DOT2222070(NM)</v>
      </c>
      <c r="D553" s="582" t="str">
        <f ca="1">IFERROR(__xludf.DUMMYFUNCTION("""COMPUTED_VALUE"""),"Đồng ống thẳng 22.22x0.70")</f>
        <v>Đồng ống thẳng 22.22x0.70</v>
      </c>
      <c r="E553" s="583">
        <f ca="1">IFERROR(__xludf.DUMMYFUNCTION("""COMPUTED_VALUE"""),0.1)</f>
        <v>0.1</v>
      </c>
      <c r="F553" s="584" t="str">
        <f ca="1">IFERROR(__xludf.DUMMYFUNCTION("""COMPUTED_VALUE"""),"Cây")</f>
        <v>Cây</v>
      </c>
      <c r="G553" s="584" t="str">
        <f ca="1">IFERROR(__xludf.DUMMYFUNCTION("""COMPUTED_VALUE"""),"Cây 2.9m")</f>
        <v>Cây 2.9m</v>
      </c>
      <c r="H553" s="582" t="str">
        <f ca="1">IFERROR(__xludf.DUMMYFUNCTION("""COMPUTED_VALUE"""),"20")</f>
        <v>20</v>
      </c>
      <c r="I553" s="585">
        <f ca="1">IFERROR(__xludf.DUMMYFUNCTION("""COMPUTED_VALUE"""),1.26600868799999)</f>
        <v>1.2660086879999899</v>
      </c>
      <c r="J553" s="586" t="str">
        <f ca="1">IFERROR(__xludf.DUMMYFUNCTION("""COMPUTED_VALUE""")," 22.22 ")</f>
        <v xml:space="preserve"> 22.22 </v>
      </c>
      <c r="K553" s="584" t="str">
        <f ca="1">IFERROR(__xludf.DUMMYFUNCTION("""COMPUTED_VALUE"""),"0.70")</f>
        <v>0.70</v>
      </c>
      <c r="L553" s="584">
        <f ca="1">IFERROR(__xludf.DUMMYFUNCTION("""COMPUTED_VALUE"""),2.9)</f>
        <v>2.9</v>
      </c>
      <c r="M553" s="584"/>
      <c r="N553" s="584" t="str">
        <f ca="1">IFERROR(__xludf.DUMMYFUNCTION("""COMPUTED_VALUE"""),"Dị_D&lt;54")</f>
        <v>Dị_D&lt;54</v>
      </c>
      <c r="O553" s="583"/>
      <c r="P553" s="584"/>
    </row>
    <row r="554" spans="1:16" ht="15.75">
      <c r="A554" s="587" t="str">
        <f ca="1">IFERROR(__xludf.DUMMYFUNCTION("""COMPUTED_VALUE"""),"Toàn Phát - Việt Nam")</f>
        <v>Toàn Phát - Việt Nam</v>
      </c>
      <c r="B554" s="587" t="str">
        <f ca="1">IFERROR(__xludf.DUMMYFUNCTION("""COMPUTED_VALUE"""),"ĐTPCAYDI")</f>
        <v>ĐTPCAYDI</v>
      </c>
      <c r="C554" s="587" t="str">
        <f ca="1">IFERROR(__xludf.DUMMYFUNCTION("""COMPUTED_VALUE"""),"DOT2222071210")</f>
        <v>DOT2222071210</v>
      </c>
      <c r="D554" s="588" t="str">
        <f ca="1">IFERROR(__xludf.DUMMYFUNCTION("""COMPUTED_VALUE"""),"Đồng ống thẳng 22.22x0.71x2.10")</f>
        <v>Đồng ống thẳng 22.22x0.71x2.10</v>
      </c>
      <c r="E554" s="589">
        <f ca="1">IFERROR(__xludf.DUMMYFUNCTION("""COMPUTED_VALUE"""),0.1)</f>
        <v>0.1</v>
      </c>
      <c r="F554" s="590" t="str">
        <f ca="1">IFERROR(__xludf.DUMMYFUNCTION("""COMPUTED_VALUE"""),"Cây")</f>
        <v>Cây</v>
      </c>
      <c r="G554" s="590" t="str">
        <f ca="1">IFERROR(__xludf.DUMMYFUNCTION("""COMPUTED_VALUE"""),"Cây 2.1m")</f>
        <v>Cây 2.1m</v>
      </c>
      <c r="H554" s="588" t="str">
        <f ca="1">IFERROR(__xludf.DUMMYFUNCTION("""COMPUTED_VALUE"""),"20")</f>
        <v>20</v>
      </c>
      <c r="I554" s="591">
        <f ca="1">IFERROR(__xludf.DUMMYFUNCTION("""COMPUTED_VALUE"""),0.929429461799999)</f>
        <v>0.92942946179999897</v>
      </c>
      <c r="J554" s="592" t="str">
        <f ca="1">IFERROR(__xludf.DUMMYFUNCTION("""COMPUTED_VALUE""")," 22.22 ")</f>
        <v xml:space="preserve"> 22.22 </v>
      </c>
      <c r="K554" s="590" t="str">
        <f ca="1">IFERROR(__xludf.DUMMYFUNCTION("""COMPUTED_VALUE"""),"0.71")</f>
        <v>0.71</v>
      </c>
      <c r="L554" s="590">
        <f ca="1">IFERROR(__xludf.DUMMYFUNCTION("""COMPUTED_VALUE"""),2.1)</f>
        <v>2.1</v>
      </c>
      <c r="M554" s="590"/>
      <c r="N554" s="590" t="str">
        <f ca="1">IFERROR(__xludf.DUMMYFUNCTION("""COMPUTED_VALUE"""),"Dị_D&lt;54")</f>
        <v>Dị_D&lt;54</v>
      </c>
      <c r="O554" s="589"/>
      <c r="P554" s="590"/>
    </row>
    <row r="555" spans="1:16" ht="15.75">
      <c r="A555" s="581" t="str">
        <f ca="1">IFERROR(__xludf.DUMMYFUNCTION("""COMPUTED_VALUE"""),"Toàn Phát - Việt Nam")</f>
        <v>Toàn Phát - Việt Nam</v>
      </c>
      <c r="B555" s="581" t="str">
        <f ca="1">IFERROR(__xludf.DUMMYFUNCTION("""COMPUTED_VALUE"""),"ĐTPCAYDI")</f>
        <v>ĐTPCAYDI</v>
      </c>
      <c r="C555" s="581" t="str">
        <f ca="1">IFERROR(__xludf.DUMMYFUNCTION("""COMPUTED_VALUE"""),"DOT2222071212")</f>
        <v>DOT2222071212</v>
      </c>
      <c r="D555" s="582" t="str">
        <f ca="1">IFERROR(__xludf.DUMMYFUNCTION("""COMPUTED_VALUE"""),"Đồng ống thẳng 22.22x0.71x2.12")</f>
        <v>Đồng ống thẳng 22.22x0.71x2.12</v>
      </c>
      <c r="E555" s="583">
        <f ca="1">IFERROR(__xludf.DUMMYFUNCTION("""COMPUTED_VALUE"""),0.1)</f>
        <v>0.1</v>
      </c>
      <c r="F555" s="584" t="str">
        <f ca="1">IFERROR(__xludf.DUMMYFUNCTION("""COMPUTED_VALUE"""),"Cây")</f>
        <v>Cây</v>
      </c>
      <c r="G555" s="584" t="str">
        <f ca="1">IFERROR(__xludf.DUMMYFUNCTION("""COMPUTED_VALUE"""),"Cây 2.12m")</f>
        <v>Cây 2.12m</v>
      </c>
      <c r="H555" s="582" t="str">
        <f ca="1">IFERROR(__xludf.DUMMYFUNCTION("""COMPUTED_VALUE"""),"20")</f>
        <v>20</v>
      </c>
      <c r="I555" s="585">
        <f ca="1">IFERROR(__xludf.DUMMYFUNCTION("""COMPUTED_VALUE"""),0.93828117096)</f>
        <v>0.93828117095999997</v>
      </c>
      <c r="J555" s="586" t="str">
        <f ca="1">IFERROR(__xludf.DUMMYFUNCTION("""COMPUTED_VALUE""")," 22.22 ")</f>
        <v xml:space="preserve"> 22.22 </v>
      </c>
      <c r="K555" s="584" t="str">
        <f ca="1">IFERROR(__xludf.DUMMYFUNCTION("""COMPUTED_VALUE"""),"0.71")</f>
        <v>0.71</v>
      </c>
      <c r="L555" s="584">
        <f ca="1">IFERROR(__xludf.DUMMYFUNCTION("""COMPUTED_VALUE"""),2.12)</f>
        <v>2.12</v>
      </c>
      <c r="M555" s="584"/>
      <c r="N555" s="584" t="str">
        <f ca="1">IFERROR(__xludf.DUMMYFUNCTION("""COMPUTED_VALUE"""),"Dị_D&lt;54")</f>
        <v>Dị_D&lt;54</v>
      </c>
      <c r="O555" s="583"/>
      <c r="P555" s="584"/>
    </row>
    <row r="556" spans="1:16" ht="15.75">
      <c r="A556" s="587" t="str">
        <f ca="1">IFERROR(__xludf.DUMMYFUNCTION("""COMPUTED_VALUE"""),"Toàn Phát - Việt Nam")</f>
        <v>Toàn Phát - Việt Nam</v>
      </c>
      <c r="B556" s="587" t="str">
        <f ca="1">IFERROR(__xludf.DUMMYFUNCTION("""COMPUTED_VALUE"""),"ĐTPCAYDI")</f>
        <v>ĐTPCAYDI</v>
      </c>
      <c r="C556" s="587" t="str">
        <f ca="1">IFERROR(__xludf.DUMMYFUNCTION("""COMPUTED_VALUE"""),"DOT222207158")</f>
        <v>DOT222207158</v>
      </c>
      <c r="D556" s="588" t="str">
        <f ca="1">IFERROR(__xludf.DUMMYFUNCTION("""COMPUTED_VALUE"""),"Đồng ống thẳng 22.22x0.71x5.8")</f>
        <v>Đồng ống thẳng 22.22x0.71x5.8</v>
      </c>
      <c r="E556" s="589">
        <f ca="1">IFERROR(__xludf.DUMMYFUNCTION("""COMPUTED_VALUE"""),0.1)</f>
        <v>0.1</v>
      </c>
      <c r="F556" s="590" t="str">
        <f ca="1">IFERROR(__xludf.DUMMYFUNCTION("""COMPUTED_VALUE"""),"Cây")</f>
        <v>Cây</v>
      </c>
      <c r="G556" s="590" t="str">
        <f ca="1">IFERROR(__xludf.DUMMYFUNCTION("""COMPUTED_VALUE"""),"Cây 5.8m")</f>
        <v>Cây 5.8m</v>
      </c>
      <c r="H556" s="588" t="str">
        <f ca="1">IFERROR(__xludf.DUMMYFUNCTION("""COMPUTED_VALUE"""),"20")</f>
        <v>20</v>
      </c>
      <c r="I556" s="591">
        <f ca="1">IFERROR(__xludf.DUMMYFUNCTION("""COMPUTED_VALUE"""),2.56699565639999)</f>
        <v>2.5669956563999898</v>
      </c>
      <c r="J556" s="592" t="str">
        <f ca="1">IFERROR(__xludf.DUMMYFUNCTION("""COMPUTED_VALUE""")," 22.22 ")</f>
        <v xml:space="preserve"> 22.22 </v>
      </c>
      <c r="K556" s="590" t="str">
        <f ca="1">IFERROR(__xludf.DUMMYFUNCTION("""COMPUTED_VALUE"""),"0.71")</f>
        <v>0.71</v>
      </c>
      <c r="L556" s="590">
        <f ca="1">IFERROR(__xludf.DUMMYFUNCTION("""COMPUTED_VALUE"""),5.8)</f>
        <v>5.8</v>
      </c>
      <c r="M556" s="590"/>
      <c r="N556" s="590" t="str">
        <f ca="1">IFERROR(__xludf.DUMMYFUNCTION("""COMPUTED_VALUE"""),"Dị_D&lt;54")</f>
        <v>Dị_D&lt;54</v>
      </c>
      <c r="O556" s="589"/>
      <c r="P556" s="590"/>
    </row>
    <row r="557" spans="1:16" ht="15.75">
      <c r="A557" s="581" t="str">
        <f ca="1">IFERROR(__xludf.DUMMYFUNCTION("""COMPUTED_VALUE"""),"Toàn Phát - Việt Nam")</f>
        <v>Toàn Phát - Việt Nam</v>
      </c>
      <c r="B557" s="581" t="str">
        <f ca="1">IFERROR(__xludf.DUMMYFUNCTION("""COMPUTED_VALUE"""),"ĐTPCAYDI")</f>
        <v>ĐTPCAYDI</v>
      </c>
      <c r="C557" s="581" t="str">
        <f ca="1">IFERROR(__xludf.DUMMYFUNCTION("""COMPUTED_VALUE"""),"DOT2222071(NM)")</f>
        <v>DOT2222071(NM)</v>
      </c>
      <c r="D557" s="582" t="str">
        <f ca="1">IFERROR(__xludf.DUMMYFUNCTION("""COMPUTED_VALUE"""),"Đồng ống thẳng 22.22x0.71")</f>
        <v>Đồng ống thẳng 22.22x0.71</v>
      </c>
      <c r="E557" s="583">
        <f ca="1">IFERROR(__xludf.DUMMYFUNCTION("""COMPUTED_VALUE"""),0.1)</f>
        <v>0.1</v>
      </c>
      <c r="F557" s="584" t="str">
        <f ca="1">IFERROR(__xludf.DUMMYFUNCTION("""COMPUTED_VALUE"""),"Cây")</f>
        <v>Cây</v>
      </c>
      <c r="G557" s="584" t="str">
        <f ca="1">IFERROR(__xludf.DUMMYFUNCTION("""COMPUTED_VALUE"""),"Cây 2.9m")</f>
        <v>Cây 2.9m</v>
      </c>
      <c r="H557" s="582" t="str">
        <f ca="1">IFERROR(__xludf.DUMMYFUNCTION("""COMPUTED_VALUE"""),"20")</f>
        <v>20</v>
      </c>
      <c r="I557" s="585">
        <f ca="1">IFERROR(__xludf.DUMMYFUNCTION("""COMPUTED_VALUE"""),1.28349782819999)</f>
        <v>1.28349782819999</v>
      </c>
      <c r="J557" s="586" t="str">
        <f ca="1">IFERROR(__xludf.DUMMYFUNCTION("""COMPUTED_VALUE""")," 22.22 ")</f>
        <v xml:space="preserve"> 22.22 </v>
      </c>
      <c r="K557" s="584" t="str">
        <f ca="1">IFERROR(__xludf.DUMMYFUNCTION("""COMPUTED_VALUE"""),"0.71")</f>
        <v>0.71</v>
      </c>
      <c r="L557" s="584">
        <f ca="1">IFERROR(__xludf.DUMMYFUNCTION("""COMPUTED_VALUE"""),2.9)</f>
        <v>2.9</v>
      </c>
      <c r="M557" s="584"/>
      <c r="N557" s="584" t="str">
        <f ca="1">IFERROR(__xludf.DUMMYFUNCTION("""COMPUTED_VALUE"""),"Dị_D&lt;54")</f>
        <v>Dị_D&lt;54</v>
      </c>
      <c r="O557" s="583"/>
      <c r="P557" s="584"/>
    </row>
    <row r="558" spans="1:16" ht="15.75">
      <c r="A558" s="587" t="str">
        <f ca="1">IFERROR(__xludf.DUMMYFUNCTION("""COMPUTED_VALUE"""),"Toàn Phát - Việt Nam")</f>
        <v>Toàn Phát - Việt Nam</v>
      </c>
      <c r="B558" s="587" t="str">
        <f ca="1">IFERROR(__xludf.DUMMYFUNCTION("""COMPUTED_VALUE"""),"ĐTPCAYDI")</f>
        <v>ĐTPCAYDI</v>
      </c>
      <c r="C558" s="587" t="str">
        <f ca="1">IFERROR(__xludf.DUMMYFUNCTION("""COMPUTED_VALUE"""),"DOT2222075(NM)")</f>
        <v>DOT2222075(NM)</v>
      </c>
      <c r="D558" s="588" t="str">
        <f ca="1">IFERROR(__xludf.DUMMYFUNCTION("""COMPUTED_VALUE"""),"Đồng ống thẳng 22.22x0.75")</f>
        <v>Đồng ống thẳng 22.22x0.75</v>
      </c>
      <c r="E558" s="589">
        <f ca="1">IFERROR(__xludf.DUMMYFUNCTION("""COMPUTED_VALUE"""),0.1)</f>
        <v>0.1</v>
      </c>
      <c r="F558" s="590" t="str">
        <f ca="1">IFERROR(__xludf.DUMMYFUNCTION("""COMPUTED_VALUE"""),"Cây")</f>
        <v>Cây</v>
      </c>
      <c r="G558" s="590" t="str">
        <f ca="1">IFERROR(__xludf.DUMMYFUNCTION("""COMPUTED_VALUE"""),"Cây 2.9m")</f>
        <v>Cây 2.9m</v>
      </c>
      <c r="H558" s="588" t="str">
        <f ca="1">IFERROR(__xludf.DUMMYFUNCTION("""COMPUTED_VALUE"""),"20")</f>
        <v>20</v>
      </c>
      <c r="I558" s="591">
        <f ca="1">IFERROR(__xludf.DUMMYFUNCTION("""COMPUTED_VALUE"""),1.353286305)</f>
        <v>1.3532863049999999</v>
      </c>
      <c r="J558" s="592" t="str">
        <f ca="1">IFERROR(__xludf.DUMMYFUNCTION("""COMPUTED_VALUE""")," 22.22 ")</f>
        <v xml:space="preserve"> 22.22 </v>
      </c>
      <c r="K558" s="590" t="str">
        <f ca="1">IFERROR(__xludf.DUMMYFUNCTION("""COMPUTED_VALUE"""),"0.75")</f>
        <v>0.75</v>
      </c>
      <c r="L558" s="590">
        <f ca="1">IFERROR(__xludf.DUMMYFUNCTION("""COMPUTED_VALUE"""),2.9)</f>
        <v>2.9</v>
      </c>
      <c r="M558" s="590"/>
      <c r="N558" s="590" t="str">
        <f ca="1">IFERROR(__xludf.DUMMYFUNCTION("""COMPUTED_VALUE"""),"Dị_D&lt;54")</f>
        <v>Dị_D&lt;54</v>
      </c>
      <c r="O558" s="589"/>
      <c r="P558" s="590"/>
    </row>
    <row r="559" spans="1:16" ht="15.75">
      <c r="A559" s="581" t="str">
        <f ca="1">IFERROR(__xludf.DUMMYFUNCTION("""COMPUTED_VALUE"""),"Toàn Phát - Việt Nam")</f>
        <v>Toàn Phát - Việt Nam</v>
      </c>
      <c r="B559" s="581" t="str">
        <f ca="1">IFERROR(__xludf.DUMMYFUNCTION("""COMPUTED_VALUE"""),"ĐTPCAYDI")</f>
        <v>ĐTPCAYDI</v>
      </c>
      <c r="C559" s="581" t="str">
        <f ca="1">IFERROR(__xludf.DUMMYFUNCTION("""COMPUTED_VALUE"""),"DOT2222080")</f>
        <v>DOT2222080</v>
      </c>
      <c r="D559" s="582" t="str">
        <f ca="1">IFERROR(__xludf.DUMMYFUNCTION("""COMPUTED_VALUE"""),"Đồng ống thẳng 22.22x0.80")</f>
        <v>Đồng ống thẳng 22.22x0.80</v>
      </c>
      <c r="E559" s="583">
        <f ca="1">IFERROR(__xludf.DUMMYFUNCTION("""COMPUTED_VALUE"""),0.1)</f>
        <v>0.1</v>
      </c>
      <c r="F559" s="584" t="str">
        <f ca="1">IFERROR(__xludf.DUMMYFUNCTION("""COMPUTED_VALUE"""),"Cây")</f>
        <v>Cây</v>
      </c>
      <c r="G559" s="584" t="str">
        <f ca="1">IFERROR(__xludf.DUMMYFUNCTION("""COMPUTED_VALUE"""),"Cây 2.9m")</f>
        <v>Cây 2.9m</v>
      </c>
      <c r="H559" s="582" t="str">
        <f ca="1">IFERROR(__xludf.DUMMYFUNCTION("""COMPUTED_VALUE"""),"20")</f>
        <v>20</v>
      </c>
      <c r="I559" s="585">
        <f ca="1">IFERROR(__xludf.DUMMYFUNCTION("""COMPUTED_VALUE"""),1.440143712)</f>
        <v>1.440143712</v>
      </c>
      <c r="J559" s="586" t="str">
        <f ca="1">IFERROR(__xludf.DUMMYFUNCTION("""COMPUTED_VALUE""")," 22.22 ")</f>
        <v xml:space="preserve"> 22.22 </v>
      </c>
      <c r="K559" s="584" t="str">
        <f ca="1">IFERROR(__xludf.DUMMYFUNCTION("""COMPUTED_VALUE"""),"0.80")</f>
        <v>0.80</v>
      </c>
      <c r="L559" s="584">
        <f ca="1">IFERROR(__xludf.DUMMYFUNCTION("""COMPUTED_VALUE"""),2.9)</f>
        <v>2.9</v>
      </c>
      <c r="M559" s="584"/>
      <c r="N559" s="584" t="str">
        <f ca="1">IFERROR(__xludf.DUMMYFUNCTION("""COMPUTED_VALUE"""),"Dị_D&lt;54")</f>
        <v>Dị_D&lt;54</v>
      </c>
      <c r="O559" s="583"/>
      <c r="P559" s="584"/>
    </row>
    <row r="560" spans="1:16" ht="15.75">
      <c r="A560" s="587" t="str">
        <f ca="1">IFERROR(__xludf.DUMMYFUNCTION("""COMPUTED_VALUE"""),"Toàn Phát - Việt Nam")</f>
        <v>Toàn Phát - Việt Nam</v>
      </c>
      <c r="B560" s="587" t="str">
        <f ca="1">IFERROR(__xludf.DUMMYFUNCTION("""COMPUTED_VALUE"""),"ĐTPCAYDI")</f>
        <v>ĐTPCAYDI</v>
      </c>
      <c r="C560" s="587" t="str">
        <f ca="1">IFERROR(__xludf.DUMMYFUNCTION("""COMPUTED_VALUE"""),"DOT222208058")</f>
        <v>DOT222208058</v>
      </c>
      <c r="D560" s="588" t="str">
        <f ca="1">IFERROR(__xludf.DUMMYFUNCTION("""COMPUTED_VALUE"""),"Đồng ống thẳng 22.22x0.80x5.8m")</f>
        <v>Đồng ống thẳng 22.22x0.80x5.8m</v>
      </c>
      <c r="E560" s="589">
        <f ca="1">IFERROR(__xludf.DUMMYFUNCTION("""COMPUTED_VALUE"""),0.1)</f>
        <v>0.1</v>
      </c>
      <c r="F560" s="590" t="str">
        <f ca="1">IFERROR(__xludf.DUMMYFUNCTION("""COMPUTED_VALUE"""),"Cây")</f>
        <v>Cây</v>
      </c>
      <c r="G560" s="590" t="str">
        <f ca="1">IFERROR(__xludf.DUMMYFUNCTION("""COMPUTED_VALUE"""),"Cây 5.8m")</f>
        <v>Cây 5.8m</v>
      </c>
      <c r="H560" s="588" t="str">
        <f ca="1">IFERROR(__xludf.DUMMYFUNCTION("""COMPUTED_VALUE"""),"20")</f>
        <v>20</v>
      </c>
      <c r="I560" s="591">
        <f ca="1">IFERROR(__xludf.DUMMYFUNCTION("""COMPUTED_VALUE"""),2.880287424)</f>
        <v>2.880287424</v>
      </c>
      <c r="J560" s="592" t="str">
        <f ca="1">IFERROR(__xludf.DUMMYFUNCTION("""COMPUTED_VALUE""")," 22.22 ")</f>
        <v xml:space="preserve"> 22.22 </v>
      </c>
      <c r="K560" s="590" t="str">
        <f ca="1">IFERROR(__xludf.DUMMYFUNCTION("""COMPUTED_VALUE"""),"0.80")</f>
        <v>0.80</v>
      </c>
      <c r="L560" s="590">
        <f ca="1">IFERROR(__xludf.DUMMYFUNCTION("""COMPUTED_VALUE"""),5.8)</f>
        <v>5.8</v>
      </c>
      <c r="M560" s="590"/>
      <c r="N560" s="590" t="str">
        <f ca="1">IFERROR(__xludf.DUMMYFUNCTION("""COMPUTED_VALUE"""),"Dị_D&lt;54")</f>
        <v>Dị_D&lt;54</v>
      </c>
      <c r="O560" s="589"/>
      <c r="P560" s="590"/>
    </row>
    <row r="561" spans="1:17" ht="15.75">
      <c r="A561" s="581" t="str">
        <f ca="1">IFERROR(__xludf.DUMMYFUNCTION("""COMPUTED_VALUE"""),"Toàn Phát - Việt Nam")</f>
        <v>Toàn Phát - Việt Nam</v>
      </c>
      <c r="B561" s="581" t="str">
        <f ca="1">IFERROR(__xludf.DUMMYFUNCTION("""COMPUTED_VALUE"""),"ĐTPCAYDI")</f>
        <v>ĐTPCAYDI</v>
      </c>
      <c r="C561" s="581" t="str">
        <f ca="1">IFERROR(__xludf.DUMMYFUNCTION("""COMPUTED_VALUE"""),"DOT222208158")</f>
        <v>DOT222208158</v>
      </c>
      <c r="D561" s="582" t="str">
        <f ca="1">IFERROR(__xludf.DUMMYFUNCTION("""COMPUTED_VALUE"""),"Đồng ống thẳng 22.22x0.81x5.8")</f>
        <v>Đồng ống thẳng 22.22x0.81x5.8</v>
      </c>
      <c r="E561" s="583">
        <f ca="1">IFERROR(__xludf.DUMMYFUNCTION("""COMPUTED_VALUE"""),0.1)</f>
        <v>0.1</v>
      </c>
      <c r="F561" s="584" t="str">
        <f ca="1">IFERROR(__xludf.DUMMYFUNCTION("""COMPUTED_VALUE"""),"Cây")</f>
        <v>Cây</v>
      </c>
      <c r="G561" s="584" t="str">
        <f ca="1">IFERROR(__xludf.DUMMYFUNCTION("""COMPUTED_VALUE"""),"Cây 5.8m")</f>
        <v>Cây 5.8m</v>
      </c>
      <c r="H561" s="582" t="str">
        <f ca="1">IFERROR(__xludf.DUMMYFUNCTION("""COMPUTED_VALUE"""),"20")</f>
        <v>20</v>
      </c>
      <c r="I561" s="585">
        <f ca="1">IFERROR(__xludf.DUMMYFUNCTION("""COMPUTED_VALUE"""),2.9149295364)</f>
        <v>2.9149295363999999</v>
      </c>
      <c r="J561" s="586" t="str">
        <f ca="1">IFERROR(__xludf.DUMMYFUNCTION("""COMPUTED_VALUE""")," 22.22 ")</f>
        <v xml:space="preserve"> 22.22 </v>
      </c>
      <c r="K561" s="584" t="str">
        <f ca="1">IFERROR(__xludf.DUMMYFUNCTION("""COMPUTED_VALUE"""),"0.81")</f>
        <v>0.81</v>
      </c>
      <c r="L561" s="584">
        <f ca="1">IFERROR(__xludf.DUMMYFUNCTION("""COMPUTED_VALUE"""),5.8)</f>
        <v>5.8</v>
      </c>
      <c r="M561" s="584"/>
      <c r="N561" s="584" t="str">
        <f ca="1">IFERROR(__xludf.DUMMYFUNCTION("""COMPUTED_VALUE"""),"Dị_D&lt;54")</f>
        <v>Dị_D&lt;54</v>
      </c>
      <c r="O561" s="583"/>
      <c r="P561" s="584"/>
    </row>
    <row r="562" spans="1:17" ht="15.75">
      <c r="A562" s="587" t="str">
        <f ca="1">IFERROR(__xludf.DUMMYFUNCTION("""COMPUTED_VALUE"""),"Toàn Phát - Việt Nam")</f>
        <v>Toàn Phát - Việt Nam</v>
      </c>
      <c r="B562" s="587" t="str">
        <f ca="1">IFERROR(__xludf.DUMMYFUNCTION("""COMPUTED_VALUE"""),"ĐTPCAYIB")</f>
        <v>ĐTPCAYIB</v>
      </c>
      <c r="C562" s="587" t="str">
        <f ca="1">IFERROR(__xludf.DUMMYFUNCTION("""COMPUTED_VALUE"""),"DOT2222081")</f>
        <v>DOT2222081</v>
      </c>
      <c r="D562" s="588" t="str">
        <f ca="1">IFERROR(__xludf.DUMMYFUNCTION("""COMPUTED_VALUE"""),"Đồng ống thẳng 22.22x0.81")</f>
        <v>Đồng ống thẳng 22.22x0.81</v>
      </c>
      <c r="E562" s="589">
        <f ca="1">IFERROR(__xludf.DUMMYFUNCTION("""COMPUTED_VALUE"""),0.1)</f>
        <v>0.1</v>
      </c>
      <c r="F562" s="590" t="str">
        <f ca="1">IFERROR(__xludf.DUMMYFUNCTION("""COMPUTED_VALUE"""),"Cây")</f>
        <v>Cây</v>
      </c>
      <c r="G562" s="590" t="str">
        <f ca="1">IFERROR(__xludf.DUMMYFUNCTION("""COMPUTED_VALUE"""),"Cây 2.9m")</f>
        <v>Cây 2.9m</v>
      </c>
      <c r="H562" s="588" t="str">
        <f ca="1">IFERROR(__xludf.DUMMYFUNCTION("""COMPUTED_VALUE"""),"20")</f>
        <v>20</v>
      </c>
      <c r="I562" s="591">
        <f ca="1">IFERROR(__xludf.DUMMYFUNCTION("""COMPUTED_VALUE"""),1.4574647682)</f>
        <v>1.4574647681999999</v>
      </c>
      <c r="J562" s="592" t="str">
        <f ca="1">IFERROR(__xludf.DUMMYFUNCTION("""COMPUTED_VALUE""")," 22.22 ")</f>
        <v xml:space="preserve"> 22.22 </v>
      </c>
      <c r="K562" s="590" t="str">
        <f ca="1">IFERROR(__xludf.DUMMYFUNCTION("""COMPUTED_VALUE"""),"0.81")</f>
        <v>0.81</v>
      </c>
      <c r="L562" s="590">
        <f ca="1">IFERROR(__xludf.DUMMYFUNCTION("""COMPUTED_VALUE"""),2.9)</f>
        <v>2.9</v>
      </c>
      <c r="M562" s="590"/>
      <c r="N562" s="590" t="str">
        <f ca="1">IFERROR(__xludf.DUMMYFUNCTION("""COMPUTED_VALUE"""),"Ít bán")</f>
        <v>Ít bán</v>
      </c>
      <c r="O562" s="589"/>
      <c r="P562" s="590"/>
      <c r="Q562" s="885">
        <f ca="1">+$Q$5*I562</f>
        <v>335.21689668599993</v>
      </c>
    </row>
    <row r="563" spans="1:17" ht="15.75">
      <c r="A563" s="581" t="str">
        <f ca="1">IFERROR(__xludf.DUMMYFUNCTION("""COMPUTED_VALUE"""),"Toàn Phát - Việt Nam")</f>
        <v>Toàn Phát - Việt Nam</v>
      </c>
      <c r="B563" s="581" t="str">
        <f ca="1">IFERROR(__xludf.DUMMYFUNCTION("""COMPUTED_VALUE"""),"ĐTPCAYDI")</f>
        <v>ĐTPCAYDI</v>
      </c>
      <c r="C563" s="581" t="str">
        <f ca="1">IFERROR(__xludf.DUMMYFUNCTION("""COMPUTED_VALUE"""),"DOT2222085")</f>
        <v>DOT2222085</v>
      </c>
      <c r="D563" s="582" t="str">
        <f ca="1">IFERROR(__xludf.DUMMYFUNCTION("""COMPUTED_VALUE"""),"Đồng ống thẳng 22.22x0.85")</f>
        <v>Đồng ống thẳng 22.22x0.85</v>
      </c>
      <c r="E563" s="583">
        <f ca="1">IFERROR(__xludf.DUMMYFUNCTION("""COMPUTED_VALUE"""),0.1)</f>
        <v>0.1</v>
      </c>
      <c r="F563" s="584" t="str">
        <f ca="1">IFERROR(__xludf.DUMMYFUNCTION("""COMPUTED_VALUE"""),"Cây")</f>
        <v>Cây</v>
      </c>
      <c r="G563" s="584" t="str">
        <f ca="1">IFERROR(__xludf.DUMMYFUNCTION("""COMPUTED_VALUE"""),"Cây 2.9m")</f>
        <v>Cây 2.9m</v>
      </c>
      <c r="H563" s="582" t="str">
        <f ca="1">IFERROR(__xludf.DUMMYFUNCTION("""COMPUTED_VALUE"""),"20")</f>
        <v>20</v>
      </c>
      <c r="I563" s="585">
        <f ca="1">IFERROR(__xludf.DUMMYFUNCTION("""COMPUTED_VALUE"""),1.52658090899999)</f>
        <v>1.52658090899999</v>
      </c>
      <c r="J563" s="586" t="str">
        <f ca="1">IFERROR(__xludf.DUMMYFUNCTION("""COMPUTED_VALUE""")," 22.22 ")</f>
        <v xml:space="preserve"> 22.22 </v>
      </c>
      <c r="K563" s="584" t="str">
        <f ca="1">IFERROR(__xludf.DUMMYFUNCTION("""COMPUTED_VALUE"""),"0.85")</f>
        <v>0.85</v>
      </c>
      <c r="L563" s="584">
        <f ca="1">IFERROR(__xludf.DUMMYFUNCTION("""COMPUTED_VALUE"""),2.9)</f>
        <v>2.9</v>
      </c>
      <c r="M563" s="584"/>
      <c r="N563" s="584" t="str">
        <f ca="1">IFERROR(__xludf.DUMMYFUNCTION("""COMPUTED_VALUE"""),"Dị_D&lt;54")</f>
        <v>Dị_D&lt;54</v>
      </c>
      <c r="O563" s="583"/>
      <c r="P563" s="584"/>
    </row>
    <row r="564" spans="1:17" ht="15.75">
      <c r="A564" s="587" t="str">
        <f ca="1">IFERROR(__xludf.DUMMYFUNCTION("""COMPUTED_VALUE"""),"Toàn Phát - Việt Nam")</f>
        <v>Toàn Phát - Việt Nam</v>
      </c>
      <c r="B564" s="587" t="str">
        <f ca="1">IFERROR(__xludf.DUMMYFUNCTION("""COMPUTED_VALUE"""),"ĐTPCAYDI")</f>
        <v>ĐTPCAYDI</v>
      </c>
      <c r="C564" s="587" t="str">
        <f ca="1">IFERROR(__xludf.DUMMYFUNCTION("""COMPUTED_VALUE"""),"DOT222208558")</f>
        <v>DOT222208558</v>
      </c>
      <c r="D564" s="588" t="str">
        <f ca="1">IFERROR(__xludf.DUMMYFUNCTION("""COMPUTED_VALUE"""),"Đồng ống thẳng 22.22x0.85x5.8")</f>
        <v>Đồng ống thẳng 22.22x0.85x5.8</v>
      </c>
      <c r="E564" s="589">
        <f ca="1">IFERROR(__xludf.DUMMYFUNCTION("""COMPUTED_VALUE"""),0.1)</f>
        <v>0.1</v>
      </c>
      <c r="F564" s="590" t="str">
        <f ca="1">IFERROR(__xludf.DUMMYFUNCTION("""COMPUTED_VALUE"""),"Cây")</f>
        <v>Cây</v>
      </c>
      <c r="G564" s="590" t="str">
        <f ca="1">IFERROR(__xludf.DUMMYFUNCTION("""COMPUTED_VALUE"""),"Cây 5.8m")</f>
        <v>Cây 5.8m</v>
      </c>
      <c r="H564" s="588" t="str">
        <f ca="1">IFERROR(__xludf.DUMMYFUNCTION("""COMPUTED_VALUE"""),"20")</f>
        <v>20</v>
      </c>
      <c r="I564" s="591">
        <f ca="1">IFERROR(__xludf.DUMMYFUNCTION("""COMPUTED_VALUE"""),3.05316181799999)</f>
        <v>3.0531618179999902</v>
      </c>
      <c r="J564" s="592" t="str">
        <f ca="1">IFERROR(__xludf.DUMMYFUNCTION("""COMPUTED_VALUE""")," 22.22 ")</f>
        <v xml:space="preserve"> 22.22 </v>
      </c>
      <c r="K564" s="590" t="str">
        <f ca="1">IFERROR(__xludf.DUMMYFUNCTION("""COMPUTED_VALUE"""),"0.85")</f>
        <v>0.85</v>
      </c>
      <c r="L564" s="590">
        <f ca="1">IFERROR(__xludf.DUMMYFUNCTION("""COMPUTED_VALUE"""),5.8)</f>
        <v>5.8</v>
      </c>
      <c r="M564" s="590"/>
      <c r="N564" s="590" t="str">
        <f ca="1">IFERROR(__xludf.DUMMYFUNCTION("""COMPUTED_VALUE"""),"Dị_D&lt;54")</f>
        <v>Dị_D&lt;54</v>
      </c>
      <c r="O564" s="589"/>
      <c r="P564" s="590"/>
    </row>
    <row r="565" spans="1:17" ht="15.75">
      <c r="A565" s="581" t="str">
        <f ca="1">IFERROR(__xludf.DUMMYFUNCTION("""COMPUTED_VALUE"""),"Toàn Phát - Việt Nam")</f>
        <v>Toàn Phát - Việt Nam</v>
      </c>
      <c r="B565" s="581" t="str">
        <f ca="1">IFERROR(__xludf.DUMMYFUNCTION("""COMPUTED_VALUE"""),"ĐTPCAYDI")</f>
        <v>ĐTPCAYDI</v>
      </c>
      <c r="C565" s="581" t="str">
        <f ca="1">IFERROR(__xludf.DUMMYFUNCTION("""COMPUTED_VALUE"""),"DOT2222091")</f>
        <v>DOT2222091</v>
      </c>
      <c r="D565" s="582" t="str">
        <f ca="1">IFERROR(__xludf.DUMMYFUNCTION("""COMPUTED_VALUE"""),"Đồng ống thẳng 22.22x0.91")</f>
        <v>Đồng ống thẳng 22.22x0.91</v>
      </c>
      <c r="E565" s="583">
        <f ca="1">IFERROR(__xludf.DUMMYFUNCTION("""COMPUTED_VALUE"""),0.1)</f>
        <v>0.1</v>
      </c>
      <c r="F565" s="584" t="str">
        <f ca="1">IFERROR(__xludf.DUMMYFUNCTION("""COMPUTED_VALUE"""),"Cây")</f>
        <v>Cây</v>
      </c>
      <c r="G565" s="584" t="str">
        <f ca="1">IFERROR(__xludf.DUMMYFUNCTION("""COMPUTED_VALUE"""),"Cây 2.9m")</f>
        <v>Cây 2.9m</v>
      </c>
      <c r="H565" s="582" t="str">
        <f ca="1">IFERROR(__xludf.DUMMYFUNCTION("""COMPUTED_VALUE"""),"20")</f>
        <v>20</v>
      </c>
      <c r="I565" s="585">
        <f ca="1">IFERROR(__xludf.DUMMYFUNCTION("""COMPUTED_VALUE"""),1.62975086819999)</f>
        <v>1.6297508681999899</v>
      </c>
      <c r="J565" s="586" t="str">
        <f ca="1">IFERROR(__xludf.DUMMYFUNCTION("""COMPUTED_VALUE""")," 22.22 ")</f>
        <v xml:space="preserve"> 22.22 </v>
      </c>
      <c r="K565" s="584" t="str">
        <f ca="1">IFERROR(__xludf.DUMMYFUNCTION("""COMPUTED_VALUE"""),"0.91")</f>
        <v>0.91</v>
      </c>
      <c r="L565" s="584">
        <f ca="1">IFERROR(__xludf.DUMMYFUNCTION("""COMPUTED_VALUE"""),2.9)</f>
        <v>2.9</v>
      </c>
      <c r="M565" s="584"/>
      <c r="N565" s="584" t="str">
        <f ca="1">IFERROR(__xludf.DUMMYFUNCTION("""COMPUTED_VALUE"""),"Dị_D&lt;54")</f>
        <v>Dị_D&lt;54</v>
      </c>
      <c r="O565" s="583"/>
      <c r="P565" s="584"/>
    </row>
    <row r="566" spans="1:17" ht="15.75">
      <c r="A566" s="587" t="str">
        <f ca="1">IFERROR(__xludf.DUMMYFUNCTION("""COMPUTED_VALUE"""),"Toàn Phát - Việt Nam")</f>
        <v>Toàn Phát - Việt Nam</v>
      </c>
      <c r="B566" s="587" t="str">
        <f ca="1">IFERROR(__xludf.DUMMYFUNCTION("""COMPUTED_VALUE"""),"ĐTPCAYDI")</f>
        <v>ĐTPCAYDI</v>
      </c>
      <c r="C566" s="587" t="str">
        <f ca="1">IFERROR(__xludf.DUMMYFUNCTION("""COMPUTED_VALUE"""),"DOT222209158")</f>
        <v>DOT222209158</v>
      </c>
      <c r="D566" s="588" t="str">
        <f ca="1">IFERROR(__xludf.DUMMYFUNCTION("""COMPUTED_VALUE"""),"Đồng ống thẳng 22.22x0.91x5.8")</f>
        <v>Đồng ống thẳng 22.22x0.91x5.8</v>
      </c>
      <c r="E566" s="589">
        <f ca="1">IFERROR(__xludf.DUMMYFUNCTION("""COMPUTED_VALUE"""),0.1)</f>
        <v>0.1</v>
      </c>
      <c r="F566" s="590" t="str">
        <f ca="1">IFERROR(__xludf.DUMMYFUNCTION("""COMPUTED_VALUE"""),"Cây")</f>
        <v>Cây</v>
      </c>
      <c r="G566" s="590" t="str">
        <f ca="1">IFERROR(__xludf.DUMMYFUNCTION("""COMPUTED_VALUE"""),"Cây 5.8m")</f>
        <v>Cây 5.8m</v>
      </c>
      <c r="H566" s="588" t="str">
        <f ca="1">IFERROR(__xludf.DUMMYFUNCTION("""COMPUTED_VALUE"""),"20")</f>
        <v>20</v>
      </c>
      <c r="I566" s="591">
        <f ca="1">IFERROR(__xludf.DUMMYFUNCTION("""COMPUTED_VALUE"""),3.25950173639999)</f>
        <v>3.2595017363999901</v>
      </c>
      <c r="J566" s="592" t="str">
        <f ca="1">IFERROR(__xludf.DUMMYFUNCTION("""COMPUTED_VALUE""")," 22.22 ")</f>
        <v xml:space="preserve"> 22.22 </v>
      </c>
      <c r="K566" s="590" t="str">
        <f ca="1">IFERROR(__xludf.DUMMYFUNCTION("""COMPUTED_VALUE"""),"0.91")</f>
        <v>0.91</v>
      </c>
      <c r="L566" s="590">
        <f ca="1">IFERROR(__xludf.DUMMYFUNCTION("""COMPUTED_VALUE"""),5.8)</f>
        <v>5.8</v>
      </c>
      <c r="M566" s="590"/>
      <c r="N566" s="590" t="str">
        <f ca="1">IFERROR(__xludf.DUMMYFUNCTION("""COMPUTED_VALUE"""),"Dị_D&lt;54")</f>
        <v>Dị_D&lt;54</v>
      </c>
      <c r="O566" s="589"/>
      <c r="P566" s="590"/>
    </row>
    <row r="567" spans="1:17" ht="15.75">
      <c r="A567" s="581" t="str">
        <f ca="1">IFERROR(__xludf.DUMMYFUNCTION("""COMPUTED_VALUE"""),"Toàn Phát - Việt Nam")</f>
        <v>Toàn Phát - Việt Nam</v>
      </c>
      <c r="B567" s="581" t="str">
        <f ca="1">IFERROR(__xludf.DUMMYFUNCTION("""COMPUTED_VALUE"""),"ĐTPCAYCT")</f>
        <v>ĐTPCAYCT</v>
      </c>
      <c r="C567" s="581" t="str">
        <f ca="1">IFERROR(__xludf.DUMMYFUNCTION("""COMPUTED_VALUE"""),"DOT2222100")</f>
        <v>DOT2222100</v>
      </c>
      <c r="D567" s="582" t="str">
        <f ca="1">IFERROR(__xludf.DUMMYFUNCTION("""COMPUTED_VALUE"""),"Đồng ống thẳng 22.22x1.00")</f>
        <v>Đồng ống thẳng 22.22x1.00</v>
      </c>
      <c r="E567" s="583">
        <f ca="1">IFERROR(__xludf.DUMMYFUNCTION("""COMPUTED_VALUE"""),0.1)</f>
        <v>0.1</v>
      </c>
      <c r="F567" s="584" t="str">
        <f ca="1">IFERROR(__xludf.DUMMYFUNCTION("""COMPUTED_VALUE"""),"Cây")</f>
        <v>Cây</v>
      </c>
      <c r="G567" s="584" t="str">
        <f ca="1">IFERROR(__xludf.DUMMYFUNCTION("""COMPUTED_VALUE"""),"Cây 2.9m")</f>
        <v>Cây 2.9m</v>
      </c>
      <c r="H567" s="582" t="str">
        <f ca="1">IFERROR(__xludf.DUMMYFUNCTION("""COMPUTED_VALUE"""),"20")</f>
        <v>20</v>
      </c>
      <c r="I567" s="585">
        <f ca="1">IFERROR(__xludf.DUMMYFUNCTION("""COMPUTED_VALUE"""),1.78337123999999)</f>
        <v>1.7833712399999899</v>
      </c>
      <c r="J567" s="586" t="str">
        <f ca="1">IFERROR(__xludf.DUMMYFUNCTION("""COMPUTED_VALUE""")," 22.22 ")</f>
        <v xml:space="preserve"> 22.22 </v>
      </c>
      <c r="K567" s="584" t="str">
        <f ca="1">IFERROR(__xludf.DUMMYFUNCTION("""COMPUTED_VALUE"""),"1.00")</f>
        <v>1.00</v>
      </c>
      <c r="L567" s="584">
        <f ca="1">IFERROR(__xludf.DUMMYFUNCTION("""COMPUTED_VALUE"""),2.9)</f>
        <v>2.9</v>
      </c>
      <c r="M567" s="584"/>
      <c r="N567" s="584" t="str">
        <f ca="1">IFERROR(__xludf.DUMMYFUNCTION("""COMPUTED_VALUE"""),"Không")</f>
        <v>Không</v>
      </c>
      <c r="O567" s="583"/>
      <c r="P567" s="584"/>
      <c r="Q567" s="885">
        <f ca="1">+$Q$5*I567</f>
        <v>410.17538519999761</v>
      </c>
    </row>
    <row r="568" spans="1:17" ht="15.75">
      <c r="A568" s="587" t="str">
        <f ca="1">IFERROR(__xludf.DUMMYFUNCTION("""COMPUTED_VALUE"""),"Toàn Phát - Việt Nam")</f>
        <v>Toàn Phát - Việt Nam</v>
      </c>
      <c r="B568" s="587" t="str">
        <f ca="1">IFERROR(__xludf.DUMMYFUNCTION("""COMPUTED_VALUE"""),"ĐTPCAYDI")</f>
        <v>ĐTPCAYDI</v>
      </c>
      <c r="C568" s="587" t="str">
        <f ca="1">IFERROR(__xludf.DUMMYFUNCTION("""COMPUTED_VALUE"""),"DOT22221058")</f>
        <v>DOT22221058</v>
      </c>
      <c r="D568" s="588" t="str">
        <f ca="1">IFERROR(__xludf.DUMMYFUNCTION("""COMPUTED_VALUE"""),"Đồng ống thẳng 22.22x1.0x5.8")</f>
        <v>Đồng ống thẳng 22.22x1.0x5.8</v>
      </c>
      <c r="E568" s="589">
        <f ca="1">IFERROR(__xludf.DUMMYFUNCTION("""COMPUTED_VALUE"""),0.1)</f>
        <v>0.1</v>
      </c>
      <c r="F568" s="590" t="str">
        <f ca="1">IFERROR(__xludf.DUMMYFUNCTION("""COMPUTED_VALUE"""),"Cây")</f>
        <v>Cây</v>
      </c>
      <c r="G568" s="590" t="str">
        <f ca="1">IFERROR(__xludf.DUMMYFUNCTION("""COMPUTED_VALUE"""),"Cây 5.8m")</f>
        <v>Cây 5.8m</v>
      </c>
      <c r="H568" s="588" t="str">
        <f ca="1">IFERROR(__xludf.DUMMYFUNCTION("""COMPUTED_VALUE"""),"20")</f>
        <v>20</v>
      </c>
      <c r="I568" s="591">
        <f ca="1">IFERROR(__xludf.DUMMYFUNCTION("""COMPUTED_VALUE"""),3.56674247999999)</f>
        <v>3.5667424799999901</v>
      </c>
      <c r="J568" s="592" t="str">
        <f ca="1">IFERROR(__xludf.DUMMYFUNCTION("""COMPUTED_VALUE""")," 22.22 ")</f>
        <v xml:space="preserve"> 22.22 </v>
      </c>
      <c r="K568" s="590" t="str">
        <f ca="1">IFERROR(__xludf.DUMMYFUNCTION("""COMPUTED_VALUE"""),"1.00")</f>
        <v>1.00</v>
      </c>
      <c r="L568" s="590">
        <f ca="1">IFERROR(__xludf.DUMMYFUNCTION("""COMPUTED_VALUE"""),5.8)</f>
        <v>5.8</v>
      </c>
      <c r="M568" s="590"/>
      <c r="N568" s="590" t="str">
        <f ca="1">IFERROR(__xludf.DUMMYFUNCTION("""COMPUTED_VALUE"""),"Dị_D&lt;54")</f>
        <v>Dị_D&lt;54</v>
      </c>
      <c r="O568" s="589"/>
      <c r="P568" s="590"/>
    </row>
    <row r="569" spans="1:17" ht="15.75">
      <c r="A569" s="581" t="str">
        <f ca="1">IFERROR(__xludf.DUMMYFUNCTION("""COMPUTED_VALUE"""),"Toàn Phát - Việt Nam")</f>
        <v>Toàn Phát - Việt Nam</v>
      </c>
      <c r="B569" s="581" t="str">
        <f ca="1">IFERROR(__xludf.DUMMYFUNCTION("""COMPUTED_VALUE"""),"ĐTPCAYDI")</f>
        <v>ĐTPCAYDI</v>
      </c>
      <c r="C569" s="581" t="str">
        <f ca="1">IFERROR(__xludf.DUMMYFUNCTION("""COMPUTED_VALUE"""),"DOT2222102")</f>
        <v>DOT2222102</v>
      </c>
      <c r="D569" s="582" t="str">
        <f ca="1">IFERROR(__xludf.DUMMYFUNCTION("""COMPUTED_VALUE"""),"Đồng ống thẳng 22.22x1.02")</f>
        <v>Đồng ống thẳng 22.22x1.02</v>
      </c>
      <c r="E569" s="583">
        <f ca="1">IFERROR(__xludf.DUMMYFUNCTION("""COMPUTED_VALUE"""),0.1)</f>
        <v>0.1</v>
      </c>
      <c r="F569" s="584" t="str">
        <f ca="1">IFERROR(__xludf.DUMMYFUNCTION("""COMPUTED_VALUE"""),"Cây")</f>
        <v>Cây</v>
      </c>
      <c r="G569" s="584" t="str">
        <f ca="1">IFERROR(__xludf.DUMMYFUNCTION("""COMPUTED_VALUE"""),"Cây 2.9m")</f>
        <v>Cây 2.9m</v>
      </c>
      <c r="H569" s="582" t="str">
        <f ca="1">IFERROR(__xludf.DUMMYFUNCTION("""COMPUTED_VALUE"""),"20")</f>
        <v>20</v>
      </c>
      <c r="I569" s="585">
        <f ca="1">IFERROR(__xludf.DUMMYFUNCTION("""COMPUTED_VALUE"""),1.81732420799999)</f>
        <v>1.8173242079999901</v>
      </c>
      <c r="J569" s="586" t="str">
        <f ca="1">IFERROR(__xludf.DUMMYFUNCTION("""COMPUTED_VALUE""")," 22.22 ")</f>
        <v xml:space="preserve"> 22.22 </v>
      </c>
      <c r="K569" s="584" t="str">
        <f ca="1">IFERROR(__xludf.DUMMYFUNCTION("""COMPUTED_VALUE"""),"1.02")</f>
        <v>1.02</v>
      </c>
      <c r="L569" s="584">
        <f ca="1">IFERROR(__xludf.DUMMYFUNCTION("""COMPUTED_VALUE"""),2.9)</f>
        <v>2.9</v>
      </c>
      <c r="M569" s="584"/>
      <c r="N569" s="584" t="str">
        <f ca="1">IFERROR(__xludf.DUMMYFUNCTION("""COMPUTED_VALUE"""),"Dị_D&lt;54")</f>
        <v>Dị_D&lt;54</v>
      </c>
      <c r="O569" s="583"/>
      <c r="P569" s="584"/>
    </row>
    <row r="570" spans="1:17" ht="15.75">
      <c r="A570" s="587" t="str">
        <f ca="1">IFERROR(__xludf.DUMMYFUNCTION("""COMPUTED_VALUE"""),"Toàn Phát - Việt Nam")</f>
        <v>Toàn Phát - Việt Nam</v>
      </c>
      <c r="B570" s="587" t="str">
        <f ca="1">IFERROR(__xludf.DUMMYFUNCTION("""COMPUTED_VALUE"""),"ĐTPCAYDI")</f>
        <v>ĐTPCAYDI</v>
      </c>
      <c r="C570" s="587" t="str">
        <f ca="1">IFERROR(__xludf.DUMMYFUNCTION("""COMPUTED_VALUE"""),"DOT2222107")</f>
        <v>DOT2222107</v>
      </c>
      <c r="D570" s="588" t="str">
        <f ca="1">IFERROR(__xludf.DUMMYFUNCTION("""COMPUTED_VALUE"""),"Đồng ống thẳng 22.22x1.07")</f>
        <v>Đồng ống thẳng 22.22x1.07</v>
      </c>
      <c r="E570" s="589">
        <f ca="1">IFERROR(__xludf.DUMMYFUNCTION("""COMPUTED_VALUE"""),0.1)</f>
        <v>0.1</v>
      </c>
      <c r="F570" s="590" t="str">
        <f ca="1">IFERROR(__xludf.DUMMYFUNCTION("""COMPUTED_VALUE"""),"Cây")</f>
        <v>Cây</v>
      </c>
      <c r="G570" s="590" t="str">
        <f ca="1">IFERROR(__xludf.DUMMYFUNCTION("""COMPUTED_VALUE"""),"Cây 2.9m")</f>
        <v>Cây 2.9m</v>
      </c>
      <c r="H570" s="588" t="str">
        <f ca="1">IFERROR(__xludf.DUMMYFUNCTION("""COMPUTED_VALUE"""),"20")</f>
        <v>20</v>
      </c>
      <c r="I570" s="591">
        <f ca="1">IFERROR(__xludf.DUMMYFUNCTION("""COMPUTED_VALUE"""),1.901912481)</f>
        <v>1.9019124810000001</v>
      </c>
      <c r="J570" s="592" t="str">
        <f ca="1">IFERROR(__xludf.DUMMYFUNCTION("""COMPUTED_VALUE""")," 22.22 ")</f>
        <v xml:space="preserve"> 22.22 </v>
      </c>
      <c r="K570" s="590" t="str">
        <f ca="1">IFERROR(__xludf.DUMMYFUNCTION("""COMPUTED_VALUE"""),"1.07")</f>
        <v>1.07</v>
      </c>
      <c r="L570" s="590">
        <f ca="1">IFERROR(__xludf.DUMMYFUNCTION("""COMPUTED_VALUE"""),2.9)</f>
        <v>2.9</v>
      </c>
      <c r="M570" s="590"/>
      <c r="N570" s="590" t="str">
        <f ca="1">IFERROR(__xludf.DUMMYFUNCTION("""COMPUTED_VALUE"""),"Dị_D&lt;54")</f>
        <v>Dị_D&lt;54</v>
      </c>
      <c r="O570" s="589"/>
      <c r="P570" s="590"/>
    </row>
    <row r="571" spans="1:17" ht="15.75">
      <c r="A571" s="581" t="str">
        <f ca="1">IFERROR(__xludf.DUMMYFUNCTION("""COMPUTED_VALUE"""),"Toàn Phát - Việt Nam")</f>
        <v>Toàn Phát - Việt Nam</v>
      </c>
      <c r="B571" s="581" t="str">
        <f ca="1">IFERROR(__xludf.DUMMYFUNCTION("""COMPUTED_VALUE"""),"ĐTPCAYDI")</f>
        <v>ĐTPCAYDI</v>
      </c>
      <c r="C571" s="581" t="str">
        <f ca="1">IFERROR(__xludf.DUMMYFUNCTION("""COMPUTED_VALUE"""),"DOT222210729")</f>
        <v>DOT222210729</v>
      </c>
      <c r="D571" s="582" t="str">
        <f ca="1">IFERROR(__xludf.DUMMYFUNCTION("""COMPUTED_VALUE"""),"Đồng ống thẳng 22.22x1.07x2.9")</f>
        <v>Đồng ống thẳng 22.22x1.07x2.9</v>
      </c>
      <c r="E571" s="583">
        <f ca="1">IFERROR(__xludf.DUMMYFUNCTION("""COMPUTED_VALUE"""),0.1)</f>
        <v>0.1</v>
      </c>
      <c r="F571" s="584" t="str">
        <f ca="1">IFERROR(__xludf.DUMMYFUNCTION("""COMPUTED_VALUE"""),"Cây")</f>
        <v>Cây</v>
      </c>
      <c r="G571" s="584" t="str">
        <f ca="1">IFERROR(__xludf.DUMMYFUNCTION("""COMPUTED_VALUE"""),"Cây 2.9m")</f>
        <v>Cây 2.9m</v>
      </c>
      <c r="H571" s="582" t="str">
        <f ca="1">IFERROR(__xludf.DUMMYFUNCTION("""COMPUTED_VALUE"""),"20")</f>
        <v>20</v>
      </c>
      <c r="I571" s="585">
        <f ca="1">IFERROR(__xludf.DUMMYFUNCTION("""COMPUTED_VALUE"""),1.901912481)</f>
        <v>1.9019124810000001</v>
      </c>
      <c r="J571" s="586" t="str">
        <f ca="1">IFERROR(__xludf.DUMMYFUNCTION("""COMPUTED_VALUE""")," 22.22 ")</f>
        <v xml:space="preserve"> 22.22 </v>
      </c>
      <c r="K571" s="584" t="str">
        <f ca="1">IFERROR(__xludf.DUMMYFUNCTION("""COMPUTED_VALUE"""),"1.07")</f>
        <v>1.07</v>
      </c>
      <c r="L571" s="584">
        <f ca="1">IFERROR(__xludf.DUMMYFUNCTION("""COMPUTED_VALUE"""),2.9)</f>
        <v>2.9</v>
      </c>
      <c r="M571" s="584"/>
      <c r="N571" s="584" t="str">
        <f ca="1">IFERROR(__xludf.DUMMYFUNCTION("""COMPUTED_VALUE"""),"Dị_D&lt;54")</f>
        <v>Dị_D&lt;54</v>
      </c>
      <c r="O571" s="583"/>
      <c r="P571" s="584"/>
    </row>
    <row r="572" spans="1:17" ht="15.75">
      <c r="A572" s="587" t="str">
        <f ca="1">IFERROR(__xludf.DUMMYFUNCTION("""COMPUTED_VALUE"""),"Toàn Phát - Việt Nam")</f>
        <v>Toàn Phát - Việt Nam</v>
      </c>
      <c r="B572" s="587" t="str">
        <f ca="1">IFERROR(__xludf.DUMMYFUNCTION("""COMPUTED_VALUE"""),"ĐTPCAYDI")</f>
        <v>ĐTPCAYDI</v>
      </c>
      <c r="C572" s="587" t="str">
        <f ca="1">IFERROR(__xludf.DUMMYFUNCTION("""COMPUTED_VALUE"""),"DOT222211")</f>
        <v>DOT222211</v>
      </c>
      <c r="D572" s="588" t="str">
        <f ca="1">IFERROR(__xludf.DUMMYFUNCTION("""COMPUTED_VALUE"""),"Đồng ống thẳng 22.22x1.1")</f>
        <v>Đồng ống thẳng 22.22x1.1</v>
      </c>
      <c r="E572" s="589">
        <f ca="1">IFERROR(__xludf.DUMMYFUNCTION("""COMPUTED_VALUE"""),0.1)</f>
        <v>0.1</v>
      </c>
      <c r="F572" s="590" t="str">
        <f ca="1">IFERROR(__xludf.DUMMYFUNCTION("""COMPUTED_VALUE"""),"Cây")</f>
        <v>Cây</v>
      </c>
      <c r="G572" s="590" t="str">
        <f ca="1">IFERROR(__xludf.DUMMYFUNCTION("""COMPUTED_VALUE"""),"Cây 2.9m")</f>
        <v>Cây 2.9m</v>
      </c>
      <c r="H572" s="588" t="str">
        <f ca="1">IFERROR(__xludf.DUMMYFUNCTION("""COMPUTED_VALUE"""),"20")</f>
        <v>20</v>
      </c>
      <c r="I572" s="591">
        <f ca="1">IFERROR(__xludf.DUMMYFUNCTION("""COMPUTED_VALUE"""),1.95246374399999)</f>
        <v>1.9524637439999899</v>
      </c>
      <c r="J572" s="592" t="str">
        <f ca="1">IFERROR(__xludf.DUMMYFUNCTION("""COMPUTED_VALUE""")," 22.22 ")</f>
        <v xml:space="preserve"> 22.22 </v>
      </c>
      <c r="K572" s="590" t="str">
        <f ca="1">IFERROR(__xludf.DUMMYFUNCTION("""COMPUTED_VALUE"""),"1.10")</f>
        <v>1.10</v>
      </c>
      <c r="L572" s="590">
        <f ca="1">IFERROR(__xludf.DUMMYFUNCTION("""COMPUTED_VALUE"""),2.9)</f>
        <v>2.9</v>
      </c>
      <c r="M572" s="590"/>
      <c r="N572" s="590" t="str">
        <f ca="1">IFERROR(__xludf.DUMMYFUNCTION("""COMPUTED_VALUE"""),"Dị_D&lt;54")</f>
        <v>Dị_D&lt;54</v>
      </c>
      <c r="O572" s="589"/>
      <c r="P572" s="590"/>
    </row>
    <row r="573" spans="1:17" ht="15.75">
      <c r="A573" s="581" t="str">
        <f ca="1">IFERROR(__xludf.DUMMYFUNCTION("""COMPUTED_VALUE"""),"Toàn Phát - Việt Nam")</f>
        <v>Toàn Phát - Việt Nam</v>
      </c>
      <c r="B573" s="581" t="str">
        <f ca="1">IFERROR(__xludf.DUMMYFUNCTION("""COMPUTED_VALUE"""),"ĐTPCAYDI")</f>
        <v>ĐTPCAYDI</v>
      </c>
      <c r="C573" s="581" t="str">
        <f ca="1">IFERROR(__xludf.DUMMYFUNCTION("""COMPUTED_VALUE"""),"DOT2222114")</f>
        <v>DOT2222114</v>
      </c>
      <c r="D573" s="582" t="str">
        <f ca="1">IFERROR(__xludf.DUMMYFUNCTION("""COMPUTED_VALUE"""),"Đồng ống thẳng 22.22x1.14")</f>
        <v>Đồng ống thẳng 22.22x1.14</v>
      </c>
      <c r="E573" s="583">
        <f ca="1">IFERROR(__xludf.DUMMYFUNCTION("""COMPUTED_VALUE"""),0.1)</f>
        <v>0.1</v>
      </c>
      <c r="F573" s="584" t="str">
        <f ca="1">IFERROR(__xludf.DUMMYFUNCTION("""COMPUTED_VALUE"""),"Cây")</f>
        <v>Cây</v>
      </c>
      <c r="G573" s="584" t="str">
        <f ca="1">IFERROR(__xludf.DUMMYFUNCTION("""COMPUTED_VALUE"""),"Cây 2.9m")</f>
        <v>Cây 2.9m</v>
      </c>
      <c r="H573" s="582" t="str">
        <f ca="1">IFERROR(__xludf.DUMMYFUNCTION("""COMPUTED_VALUE"""),"20")</f>
        <v>20</v>
      </c>
      <c r="I573" s="585">
        <f ca="1">IFERROR(__xludf.DUMMYFUNCTION("""COMPUTED_VALUE"""),2.01963011039999)</f>
        <v>2.0196301103999899</v>
      </c>
      <c r="J573" s="586" t="str">
        <f ca="1">IFERROR(__xludf.DUMMYFUNCTION("""COMPUTED_VALUE""")," 22.22 ")</f>
        <v xml:space="preserve"> 22.22 </v>
      </c>
      <c r="K573" s="584" t="str">
        <f ca="1">IFERROR(__xludf.DUMMYFUNCTION("""COMPUTED_VALUE"""),"1.14")</f>
        <v>1.14</v>
      </c>
      <c r="L573" s="584">
        <f ca="1">IFERROR(__xludf.DUMMYFUNCTION("""COMPUTED_VALUE"""),2.9)</f>
        <v>2.9</v>
      </c>
      <c r="M573" s="584"/>
      <c r="N573" s="584" t="str">
        <f ca="1">IFERROR(__xludf.DUMMYFUNCTION("""COMPUTED_VALUE"""),"Dị_D&lt;54")</f>
        <v>Dị_D&lt;54</v>
      </c>
      <c r="O573" s="583"/>
      <c r="P573" s="584"/>
    </row>
    <row r="574" spans="1:17" ht="15.75">
      <c r="A574" s="587" t="str">
        <f ca="1">IFERROR(__xludf.DUMMYFUNCTION("""COMPUTED_VALUE"""),"Toàn Phát - Việt Nam")</f>
        <v>Toàn Phát - Việt Nam</v>
      </c>
      <c r="B574" s="587" t="str">
        <f ca="1">IFERROR(__xludf.DUMMYFUNCTION("""COMPUTED_VALUE"""),"ĐTPCAYDI")</f>
        <v>ĐTPCAYDI</v>
      </c>
      <c r="C574" s="587" t="str">
        <f ca="1">IFERROR(__xludf.DUMMYFUNCTION("""COMPUTED_VALUE"""),"DOT2222115")</f>
        <v>DOT2222115</v>
      </c>
      <c r="D574" s="588" t="str">
        <f ca="1">IFERROR(__xludf.DUMMYFUNCTION("""COMPUTED_VALUE"""),"Đồng ống thẳng 22.22x1.15")</f>
        <v>Đồng ống thẳng 22.22x1.15</v>
      </c>
      <c r="E574" s="589">
        <f ca="1">IFERROR(__xludf.DUMMYFUNCTION("""COMPUTED_VALUE"""),0.1)</f>
        <v>0.1</v>
      </c>
      <c r="F574" s="590" t="str">
        <f ca="1">IFERROR(__xludf.DUMMYFUNCTION("""COMPUTED_VALUE"""),"Cây")</f>
        <v>Cây</v>
      </c>
      <c r="G574" s="590" t="str">
        <f ca="1">IFERROR(__xludf.DUMMYFUNCTION("""COMPUTED_VALUE"""),"Cây 2.9m")</f>
        <v>Cây 2.9m</v>
      </c>
      <c r="H574" s="588" t="str">
        <f ca="1">IFERROR(__xludf.DUMMYFUNCTION("""COMPUTED_VALUE"""),"20")</f>
        <v>20</v>
      </c>
      <c r="I574" s="591">
        <f ca="1">IFERROR(__xludf.DUMMYFUNCTION("""COMPUTED_VALUE"""),2.03637968099999)</f>
        <v>2.0363796809999899</v>
      </c>
      <c r="J574" s="592" t="str">
        <f ca="1">IFERROR(__xludf.DUMMYFUNCTION("""COMPUTED_VALUE""")," 22.22 ")</f>
        <v xml:space="preserve"> 22.22 </v>
      </c>
      <c r="K574" s="590" t="str">
        <f ca="1">IFERROR(__xludf.DUMMYFUNCTION("""COMPUTED_VALUE"""),"1.15")</f>
        <v>1.15</v>
      </c>
      <c r="L574" s="590">
        <f ca="1">IFERROR(__xludf.DUMMYFUNCTION("""COMPUTED_VALUE"""),2.9)</f>
        <v>2.9</v>
      </c>
      <c r="M574" s="590"/>
      <c r="N574" s="590" t="str">
        <f ca="1">IFERROR(__xludf.DUMMYFUNCTION("""COMPUTED_VALUE"""),"Dị_D&lt;54")</f>
        <v>Dị_D&lt;54</v>
      </c>
      <c r="O574" s="589"/>
      <c r="P574" s="590"/>
    </row>
    <row r="575" spans="1:17" ht="15.75">
      <c r="A575" s="581" t="str">
        <f ca="1">IFERROR(__xludf.DUMMYFUNCTION("""COMPUTED_VALUE"""),"Toàn Phát - Việt Nam")</f>
        <v>Toàn Phát - Việt Nam</v>
      </c>
      <c r="B575" s="581" t="str">
        <f ca="1">IFERROR(__xludf.DUMMYFUNCTION("""COMPUTED_VALUE"""),"ĐTPCAYDI")</f>
        <v>ĐTPCAYDI</v>
      </c>
      <c r="C575" s="581" t="str">
        <f ca="1">IFERROR(__xludf.DUMMYFUNCTION("""COMPUTED_VALUE"""),"DOT222211558")</f>
        <v>DOT222211558</v>
      </c>
      <c r="D575" s="582" t="str">
        <f ca="1">IFERROR(__xludf.DUMMYFUNCTION("""COMPUTED_VALUE"""),"Đồng ống thẳng 22.22x1.15x5.8")</f>
        <v>Đồng ống thẳng 22.22x1.15x5.8</v>
      </c>
      <c r="E575" s="583">
        <f ca="1">IFERROR(__xludf.DUMMYFUNCTION("""COMPUTED_VALUE"""),0.1)</f>
        <v>0.1</v>
      </c>
      <c r="F575" s="584" t="str">
        <f ca="1">IFERROR(__xludf.DUMMYFUNCTION("""COMPUTED_VALUE"""),"Cây")</f>
        <v>Cây</v>
      </c>
      <c r="G575" s="584" t="str">
        <f ca="1">IFERROR(__xludf.DUMMYFUNCTION("""COMPUTED_VALUE"""),"Cây 5.8m")</f>
        <v>Cây 5.8m</v>
      </c>
      <c r="H575" s="582" t="str">
        <f ca="1">IFERROR(__xludf.DUMMYFUNCTION("""COMPUTED_VALUE"""),"20")</f>
        <v>20</v>
      </c>
      <c r="I575" s="585">
        <f ca="1">IFERROR(__xludf.DUMMYFUNCTION("""COMPUTED_VALUE"""),4.07275936199999)</f>
        <v>4.0727593619999896</v>
      </c>
      <c r="J575" s="586" t="str">
        <f ca="1">IFERROR(__xludf.DUMMYFUNCTION("""COMPUTED_VALUE""")," 22.22 ")</f>
        <v xml:space="preserve"> 22.22 </v>
      </c>
      <c r="K575" s="584" t="str">
        <f ca="1">IFERROR(__xludf.DUMMYFUNCTION("""COMPUTED_VALUE"""),"1.15")</f>
        <v>1.15</v>
      </c>
      <c r="L575" s="584">
        <f ca="1">IFERROR(__xludf.DUMMYFUNCTION("""COMPUTED_VALUE"""),5.8)</f>
        <v>5.8</v>
      </c>
      <c r="M575" s="584"/>
      <c r="N575" s="584" t="str">
        <f ca="1">IFERROR(__xludf.DUMMYFUNCTION("""COMPUTED_VALUE"""),"Dị_D&lt;54")</f>
        <v>Dị_D&lt;54</v>
      </c>
      <c r="O575" s="583"/>
      <c r="P575" s="584"/>
    </row>
    <row r="576" spans="1:17" ht="15.75">
      <c r="A576" s="587" t="str">
        <f ca="1">IFERROR(__xludf.DUMMYFUNCTION("""COMPUTED_VALUE"""),"Toàn Phát - Việt Nam")</f>
        <v>Toàn Phát - Việt Nam</v>
      </c>
      <c r="B576" s="587" t="str">
        <f ca="1">IFERROR(__xludf.DUMMYFUNCTION("""COMPUTED_VALUE"""),"ĐTPCAYCT")</f>
        <v>ĐTPCAYCT</v>
      </c>
      <c r="C576" s="587" t="str">
        <f ca="1">IFERROR(__xludf.DUMMYFUNCTION("""COMPUTED_VALUE"""),"DOT2222120")</f>
        <v>DOT2222120</v>
      </c>
      <c r="D576" s="588" t="str">
        <f ca="1">IFERROR(__xludf.DUMMYFUNCTION("""COMPUTED_VALUE"""),"Đồng ống thẳng 22.22x1.20")</f>
        <v>Đồng ống thẳng 22.22x1.20</v>
      </c>
      <c r="E576" s="589">
        <f ca="1">IFERROR(__xludf.DUMMYFUNCTION("""COMPUTED_VALUE"""),0.1)</f>
        <v>0.1</v>
      </c>
      <c r="F576" s="590" t="str">
        <f ca="1">IFERROR(__xludf.DUMMYFUNCTION("""COMPUTED_VALUE"""),"Cây")</f>
        <v>Cây</v>
      </c>
      <c r="G576" s="590" t="str">
        <f ca="1">IFERROR(__xludf.DUMMYFUNCTION("""COMPUTED_VALUE"""),"Cây 2.9m")</f>
        <v>Cây 2.9m</v>
      </c>
      <c r="H576" s="588" t="str">
        <f ca="1">IFERROR(__xludf.DUMMYFUNCTION("""COMPUTED_VALUE"""),"20")</f>
        <v>20</v>
      </c>
      <c r="I576" s="591">
        <f ca="1">IFERROR(__xludf.DUMMYFUNCTION("""COMPUTED_VALUE"""),2.119875408)</f>
        <v>2.119875408</v>
      </c>
      <c r="J576" s="592" t="str">
        <f ca="1">IFERROR(__xludf.DUMMYFUNCTION("""COMPUTED_VALUE""")," 22.22 ")</f>
        <v xml:space="preserve"> 22.22 </v>
      </c>
      <c r="K576" s="590" t="str">
        <f ca="1">IFERROR(__xludf.DUMMYFUNCTION("""COMPUTED_VALUE"""),"1.20")</f>
        <v>1.20</v>
      </c>
      <c r="L576" s="590">
        <f ca="1">IFERROR(__xludf.DUMMYFUNCTION("""COMPUTED_VALUE"""),2.9)</f>
        <v>2.9</v>
      </c>
      <c r="M576" s="590"/>
      <c r="N576" s="590" t="str">
        <f ca="1">IFERROR(__xludf.DUMMYFUNCTION("""COMPUTED_VALUE"""),"Không")</f>
        <v>Không</v>
      </c>
      <c r="O576" s="589"/>
      <c r="P576" s="590"/>
      <c r="Q576" s="885">
        <f ca="1">+$Q$5*I576</f>
        <v>487.57134383999994</v>
      </c>
    </row>
    <row r="577" spans="1:16" ht="15.75">
      <c r="A577" s="581" t="str">
        <f ca="1">IFERROR(__xludf.DUMMYFUNCTION("""COMPUTED_VALUE"""),"Toàn Phát - Việt Nam")</f>
        <v>Toàn Phát - Việt Nam</v>
      </c>
      <c r="B577" s="581" t="str">
        <f ca="1">IFERROR(__xludf.DUMMYFUNCTION("""COMPUTED_VALUE"""),"ĐTPCAYDI")</f>
        <v>ĐTPCAYDI</v>
      </c>
      <c r="C577" s="581" t="str">
        <f ca="1">IFERROR(__xludf.DUMMYFUNCTION("""COMPUTED_VALUE"""),"DOT222212058")</f>
        <v>DOT222212058</v>
      </c>
      <c r="D577" s="582" t="str">
        <f ca="1">IFERROR(__xludf.DUMMYFUNCTION("""COMPUTED_VALUE"""),"Đồng ống thẳng 22.22x1.20x5.8")</f>
        <v>Đồng ống thẳng 22.22x1.20x5.8</v>
      </c>
      <c r="E577" s="583">
        <f ca="1">IFERROR(__xludf.DUMMYFUNCTION("""COMPUTED_VALUE"""),0.1)</f>
        <v>0.1</v>
      </c>
      <c r="F577" s="584" t="str">
        <f ca="1">IFERROR(__xludf.DUMMYFUNCTION("""COMPUTED_VALUE"""),"Cây")</f>
        <v>Cây</v>
      </c>
      <c r="G577" s="584" t="str">
        <f ca="1">IFERROR(__xludf.DUMMYFUNCTION("""COMPUTED_VALUE"""),"Cây 5.8m")</f>
        <v>Cây 5.8m</v>
      </c>
      <c r="H577" s="582" t="str">
        <f ca="1">IFERROR(__xludf.DUMMYFUNCTION("""COMPUTED_VALUE"""),"20")</f>
        <v>20</v>
      </c>
      <c r="I577" s="585">
        <f ca="1">IFERROR(__xludf.DUMMYFUNCTION("""COMPUTED_VALUE"""),4.239750816)</f>
        <v>4.2397508159999999</v>
      </c>
      <c r="J577" s="586" t="str">
        <f ca="1">IFERROR(__xludf.DUMMYFUNCTION("""COMPUTED_VALUE""")," 22.22 ")</f>
        <v xml:space="preserve"> 22.22 </v>
      </c>
      <c r="K577" s="584" t="str">
        <f ca="1">IFERROR(__xludf.DUMMYFUNCTION("""COMPUTED_VALUE"""),"1.20")</f>
        <v>1.20</v>
      </c>
      <c r="L577" s="584">
        <f ca="1">IFERROR(__xludf.DUMMYFUNCTION("""COMPUTED_VALUE"""),5.8)</f>
        <v>5.8</v>
      </c>
      <c r="M577" s="584"/>
      <c r="N577" s="584" t="str">
        <f ca="1">IFERROR(__xludf.DUMMYFUNCTION("""COMPUTED_VALUE"""),"Dị_D&lt;54")</f>
        <v>Dị_D&lt;54</v>
      </c>
      <c r="O577" s="583"/>
      <c r="P577" s="584"/>
    </row>
    <row r="578" spans="1:16" ht="15.75">
      <c r="A578" s="587" t="str">
        <f ca="1">IFERROR(__xludf.DUMMYFUNCTION("""COMPUTED_VALUE"""),"Toàn Phát - Việt Nam")</f>
        <v>Toàn Phát - Việt Nam</v>
      </c>
      <c r="B578" s="587" t="str">
        <f ca="1">IFERROR(__xludf.DUMMYFUNCTION("""COMPUTED_VALUE"""),"ĐTPCAYDI")</f>
        <v>ĐTPCAYDI</v>
      </c>
      <c r="C578" s="587" t="str">
        <f ca="1">IFERROR(__xludf.DUMMYFUNCTION("""COMPUTED_VALUE"""),"DOT2222121")</f>
        <v>DOT2222121</v>
      </c>
      <c r="D578" s="588" t="str">
        <f ca="1">IFERROR(__xludf.DUMMYFUNCTION("""COMPUTED_VALUE"""),"Đồng ống thẳng 22.22x1.21")</f>
        <v>Đồng ống thẳng 22.22x1.21</v>
      </c>
      <c r="E578" s="589">
        <f ca="1">IFERROR(__xludf.DUMMYFUNCTION("""COMPUTED_VALUE"""),0.1)</f>
        <v>0.1</v>
      </c>
      <c r="F578" s="590" t="str">
        <f ca="1">IFERROR(__xludf.DUMMYFUNCTION("""COMPUTED_VALUE"""),"Cây")</f>
        <v>Cây</v>
      </c>
      <c r="G578" s="590" t="str">
        <f ca="1">IFERROR(__xludf.DUMMYFUNCTION("""COMPUTED_VALUE"""),"Cây 2.9m")</f>
        <v>Cây 2.9m</v>
      </c>
      <c r="H578" s="588" t="str">
        <f ca="1">IFERROR(__xludf.DUMMYFUNCTION("""COMPUTED_VALUE"""),"20")</f>
        <v>20</v>
      </c>
      <c r="I578" s="591">
        <f ca="1">IFERROR(__xludf.DUMMYFUNCTION("""COMPUTED_VALUE"""),2.13652412819999)</f>
        <v>2.1365241281999898</v>
      </c>
      <c r="J578" s="592" t="str">
        <f ca="1">IFERROR(__xludf.DUMMYFUNCTION("""COMPUTED_VALUE""")," 22.22 ")</f>
        <v xml:space="preserve"> 22.22 </v>
      </c>
      <c r="K578" s="590" t="str">
        <f ca="1">IFERROR(__xludf.DUMMYFUNCTION("""COMPUTED_VALUE"""),"1.21")</f>
        <v>1.21</v>
      </c>
      <c r="L578" s="590">
        <f ca="1">IFERROR(__xludf.DUMMYFUNCTION("""COMPUTED_VALUE"""),2.9)</f>
        <v>2.9</v>
      </c>
      <c r="M578" s="590"/>
      <c r="N578" s="590" t="str">
        <f ca="1">IFERROR(__xludf.DUMMYFUNCTION("""COMPUTED_VALUE"""),"Dị_D&lt;54")</f>
        <v>Dị_D&lt;54</v>
      </c>
      <c r="O578" s="589"/>
      <c r="P578" s="590"/>
    </row>
    <row r="579" spans="1:16" ht="15.75">
      <c r="A579" s="581" t="str">
        <f ca="1">IFERROR(__xludf.DUMMYFUNCTION("""COMPUTED_VALUE"""),"Toàn Phát - Việt Nam")</f>
        <v>Toàn Phát - Việt Nam</v>
      </c>
      <c r="B579" s="581" t="str">
        <f ca="1">IFERROR(__xludf.DUMMYFUNCTION("""COMPUTED_VALUE"""),"ĐTPCAYDI")</f>
        <v>ĐTPCAYDI</v>
      </c>
      <c r="C579" s="581" t="str">
        <f ca="1">IFERROR(__xludf.DUMMYFUNCTION("""COMPUTED_VALUE"""),"DOT2222122")</f>
        <v>DOT2222122</v>
      </c>
      <c r="D579" s="582" t="str">
        <f ca="1">IFERROR(__xludf.DUMMYFUNCTION("""COMPUTED_VALUE"""),"Đồng ống thẳng 22.22x1.22")</f>
        <v>Đồng ống thẳng 22.22x1.22</v>
      </c>
      <c r="E579" s="583">
        <f ca="1">IFERROR(__xludf.DUMMYFUNCTION("""COMPUTED_VALUE"""),0.1)</f>
        <v>0.1</v>
      </c>
      <c r="F579" s="584" t="str">
        <f ca="1">IFERROR(__xludf.DUMMYFUNCTION("""COMPUTED_VALUE"""),"Cây")</f>
        <v>Cây</v>
      </c>
      <c r="G579" s="584" t="str">
        <f ca="1">IFERROR(__xludf.DUMMYFUNCTION("""COMPUTED_VALUE"""),"Cây 2.9m")</f>
        <v>Cây 2.9m</v>
      </c>
      <c r="H579" s="582" t="str">
        <f ca="1">IFERROR(__xludf.DUMMYFUNCTION("""COMPUTED_VALUE"""),"20")</f>
        <v>20</v>
      </c>
      <c r="I579" s="585">
        <f ca="1">IFERROR(__xludf.DUMMYFUNCTION("""COMPUTED_VALUE"""),2.15315603999999)</f>
        <v>2.1531560399999901</v>
      </c>
      <c r="J579" s="586" t="str">
        <f ca="1">IFERROR(__xludf.DUMMYFUNCTION("""COMPUTED_VALUE""")," 22.22 ")</f>
        <v xml:space="preserve"> 22.22 </v>
      </c>
      <c r="K579" s="584" t="str">
        <f ca="1">IFERROR(__xludf.DUMMYFUNCTION("""COMPUTED_VALUE"""),"1.22")</f>
        <v>1.22</v>
      </c>
      <c r="L579" s="584">
        <f ca="1">IFERROR(__xludf.DUMMYFUNCTION("""COMPUTED_VALUE"""),2.9)</f>
        <v>2.9</v>
      </c>
      <c r="M579" s="584"/>
      <c r="N579" s="584" t="str">
        <f ca="1">IFERROR(__xludf.DUMMYFUNCTION("""COMPUTED_VALUE"""),"Dị_D&lt;54")</f>
        <v>Dị_D&lt;54</v>
      </c>
      <c r="O579" s="583"/>
      <c r="P579" s="584"/>
    </row>
    <row r="580" spans="1:16" ht="15.75">
      <c r="A580" s="587" t="str">
        <f ca="1">IFERROR(__xludf.DUMMYFUNCTION("""COMPUTED_VALUE"""),"Toàn Phát - Việt Nam")</f>
        <v>Toàn Phát - Việt Nam</v>
      </c>
      <c r="B580" s="587" t="str">
        <f ca="1">IFERROR(__xludf.DUMMYFUNCTION("""COMPUTED_VALUE"""),"ĐTPCAYDI")</f>
        <v>ĐTPCAYDI</v>
      </c>
      <c r="C580" s="587" t="str">
        <f ca="1">IFERROR(__xludf.DUMMYFUNCTION("""COMPUTED_VALUE"""),"DOT2222130")</f>
        <v>DOT2222130</v>
      </c>
      <c r="D580" s="588" t="str">
        <f ca="1">IFERROR(__xludf.DUMMYFUNCTION("""COMPUTED_VALUE"""),"Đồng ống thẳng 22.22x1.30")</f>
        <v>Đồng ống thẳng 22.22x1.30</v>
      </c>
      <c r="E580" s="589">
        <f ca="1">IFERROR(__xludf.DUMMYFUNCTION("""COMPUTED_VALUE"""),0.1)</f>
        <v>0.1</v>
      </c>
      <c r="F580" s="590" t="str">
        <f ca="1">IFERROR(__xludf.DUMMYFUNCTION("""COMPUTED_VALUE"""),"Cây")</f>
        <v>Cây</v>
      </c>
      <c r="G580" s="590" t="str">
        <f ca="1">IFERROR(__xludf.DUMMYFUNCTION("""COMPUTED_VALUE"""),"Cây 2.9m")</f>
        <v>Cây 2.9m</v>
      </c>
      <c r="H580" s="588" t="str">
        <f ca="1">IFERROR(__xludf.DUMMYFUNCTION("""COMPUTED_VALUE"""),"20")</f>
        <v>20</v>
      </c>
      <c r="I580" s="591">
        <f ca="1">IFERROR(__xludf.DUMMYFUNCTION("""COMPUTED_VALUE"""),2.28560623199999)</f>
        <v>2.2856062319999899</v>
      </c>
      <c r="J580" s="592" t="str">
        <f ca="1">IFERROR(__xludf.DUMMYFUNCTION("""COMPUTED_VALUE""")," 22.22 ")</f>
        <v xml:space="preserve"> 22.22 </v>
      </c>
      <c r="K580" s="590" t="str">
        <f ca="1">IFERROR(__xludf.DUMMYFUNCTION("""COMPUTED_VALUE"""),"1.30")</f>
        <v>1.30</v>
      </c>
      <c r="L580" s="590">
        <f ca="1">IFERROR(__xludf.DUMMYFUNCTION("""COMPUTED_VALUE"""),2.9)</f>
        <v>2.9</v>
      </c>
      <c r="M580" s="590"/>
      <c r="N580" s="590" t="str">
        <f ca="1">IFERROR(__xludf.DUMMYFUNCTION("""COMPUTED_VALUE"""),"Dị_D&lt;54")</f>
        <v>Dị_D&lt;54</v>
      </c>
      <c r="O580" s="589"/>
      <c r="P580" s="590"/>
    </row>
    <row r="581" spans="1:16" ht="15.75">
      <c r="A581" s="581" t="str">
        <f ca="1">IFERROR(__xludf.DUMMYFUNCTION("""COMPUTED_VALUE"""),"Toàn Phát - Việt Nam")</f>
        <v>Toàn Phát - Việt Nam</v>
      </c>
      <c r="B581" s="581" t="str">
        <f ca="1">IFERROR(__xludf.DUMMYFUNCTION("""COMPUTED_VALUE"""),"ĐTPCAYDI")</f>
        <v>ĐTPCAYDI</v>
      </c>
      <c r="C581" s="581" t="str">
        <f ca="1">IFERROR(__xludf.DUMMYFUNCTION("""COMPUTED_VALUE"""),"DOT2222140")</f>
        <v>DOT2222140</v>
      </c>
      <c r="D581" s="582" t="str">
        <f ca="1">IFERROR(__xludf.DUMMYFUNCTION("""COMPUTED_VALUE"""),"Đồng ống thẳng 22.22x1.4")</f>
        <v>Đồng ống thẳng 22.22x1.4</v>
      </c>
      <c r="E581" s="583">
        <f ca="1">IFERROR(__xludf.DUMMYFUNCTION("""COMPUTED_VALUE"""),0.1)</f>
        <v>0.1</v>
      </c>
      <c r="F581" s="584" t="str">
        <f ca="1">IFERROR(__xludf.DUMMYFUNCTION("""COMPUTED_VALUE"""),"Cây")</f>
        <v>Cây</v>
      </c>
      <c r="G581" s="584" t="str">
        <f ca="1">IFERROR(__xludf.DUMMYFUNCTION("""COMPUTED_VALUE"""),"Cây 2.9m")</f>
        <v>Cây 2.9m</v>
      </c>
      <c r="H581" s="582" t="str">
        <f ca="1">IFERROR(__xludf.DUMMYFUNCTION("""COMPUTED_VALUE"""),"20")</f>
        <v>20</v>
      </c>
      <c r="I581" s="585">
        <f ca="1">IFERROR(__xludf.DUMMYFUNCTION("""COMPUTED_VALUE"""),2.44965621599999)</f>
        <v>2.4496562159999899</v>
      </c>
      <c r="J581" s="586" t="str">
        <f ca="1">IFERROR(__xludf.DUMMYFUNCTION("""COMPUTED_VALUE""")," 22.22 ")</f>
        <v xml:space="preserve"> 22.22 </v>
      </c>
      <c r="K581" s="584" t="str">
        <f ca="1">IFERROR(__xludf.DUMMYFUNCTION("""COMPUTED_VALUE"""),"1.40")</f>
        <v>1.40</v>
      </c>
      <c r="L581" s="584">
        <f ca="1">IFERROR(__xludf.DUMMYFUNCTION("""COMPUTED_VALUE"""),2.9)</f>
        <v>2.9</v>
      </c>
      <c r="M581" s="584"/>
      <c r="N581" s="584" t="str">
        <f ca="1">IFERROR(__xludf.DUMMYFUNCTION("""COMPUTED_VALUE"""),"Dị_D&lt;54")</f>
        <v>Dị_D&lt;54</v>
      </c>
      <c r="O581" s="583"/>
      <c r="P581" s="584"/>
    </row>
    <row r="582" spans="1:16" ht="15.75">
      <c r="A582" s="587" t="str">
        <f ca="1">IFERROR(__xludf.DUMMYFUNCTION("""COMPUTED_VALUE"""),"Toàn Phát - Việt Nam")</f>
        <v>Toàn Phát - Việt Nam</v>
      </c>
      <c r="B582" s="587" t="str">
        <f ca="1">IFERROR(__xludf.DUMMYFUNCTION("""COMPUTED_VALUE"""),"ĐTPCAYDI")</f>
        <v>ĐTPCAYDI</v>
      </c>
      <c r="C582" s="587" t="str">
        <f ca="1">IFERROR(__xludf.DUMMYFUNCTION("""COMPUTED_VALUE"""),"DOT2222165")</f>
        <v>DOT2222165</v>
      </c>
      <c r="D582" s="588" t="str">
        <f ca="1">IFERROR(__xludf.DUMMYFUNCTION("""COMPUTED_VALUE"""),"Đồng ống thẳng 22.22x165")</f>
        <v>Đồng ống thẳng 22.22x165</v>
      </c>
      <c r="E582" s="589">
        <f ca="1">IFERROR(__xludf.DUMMYFUNCTION("""COMPUTED_VALUE"""),0.1)</f>
        <v>0.1</v>
      </c>
      <c r="F582" s="590" t="str">
        <f ca="1">IFERROR(__xludf.DUMMYFUNCTION("""COMPUTED_VALUE"""),"Cây")</f>
        <v>Cây</v>
      </c>
      <c r="G582" s="590" t="str">
        <f ca="1">IFERROR(__xludf.DUMMYFUNCTION("""COMPUTED_VALUE"""),"Cây 2.9m")</f>
        <v>Cây 2.9m</v>
      </c>
      <c r="H582" s="588" t="str">
        <f ca="1">IFERROR(__xludf.DUMMYFUNCTION("""COMPUTED_VALUE"""),"20")</f>
        <v>20</v>
      </c>
      <c r="I582" s="591">
        <f ca="1">IFERROR(__xludf.DUMMYFUNCTION("""COMPUTED_VALUE"""),2.85242750099999)</f>
        <v>2.85242750099999</v>
      </c>
      <c r="J582" s="592" t="str">
        <f ca="1">IFERROR(__xludf.DUMMYFUNCTION("""COMPUTED_VALUE""")," 22.22 ")</f>
        <v xml:space="preserve"> 22.22 </v>
      </c>
      <c r="K582" s="590" t="str">
        <f ca="1">IFERROR(__xludf.DUMMYFUNCTION("""COMPUTED_VALUE"""),"1.65")</f>
        <v>1.65</v>
      </c>
      <c r="L582" s="590">
        <f ca="1">IFERROR(__xludf.DUMMYFUNCTION("""COMPUTED_VALUE"""),2.9)</f>
        <v>2.9</v>
      </c>
      <c r="M582" s="590"/>
      <c r="N582" s="590" t="str">
        <f ca="1">IFERROR(__xludf.DUMMYFUNCTION("""COMPUTED_VALUE"""),"Dị_D&lt;54")</f>
        <v>Dị_D&lt;54</v>
      </c>
      <c r="O582" s="589"/>
      <c r="P582" s="590"/>
    </row>
    <row r="583" spans="1:16" ht="15.75">
      <c r="A583" s="581" t="str">
        <f ca="1">IFERROR(__xludf.DUMMYFUNCTION("""COMPUTED_VALUE"""),"Toàn Phát - Việt Nam")</f>
        <v>Toàn Phát - Việt Nam</v>
      </c>
      <c r="B583" s="581" t="str">
        <f ca="1">IFERROR(__xludf.DUMMYFUNCTION("""COMPUTED_VALUE"""),"ĐTPCAYDI")</f>
        <v>ĐTPCAYDI</v>
      </c>
      <c r="C583" s="581" t="str">
        <f ca="1">IFERROR(__xludf.DUMMYFUNCTION("""COMPUTED_VALUE"""),"DOT230020030")</f>
        <v>DOT230020030</v>
      </c>
      <c r="D583" s="582" t="str">
        <f ca="1">IFERROR(__xludf.DUMMYFUNCTION("""COMPUTED_VALUE"""),"Đồng ống thẳng 23.00x2.00x3.0")</f>
        <v>Đồng ống thẳng 23.00x2.00x3.0</v>
      </c>
      <c r="E583" s="583">
        <f ca="1">IFERROR(__xludf.DUMMYFUNCTION("""COMPUTED_VALUE"""),0.1)</f>
        <v>0.1</v>
      </c>
      <c r="F583" s="584" t="str">
        <f ca="1">IFERROR(__xludf.DUMMYFUNCTION("""COMPUTED_VALUE"""),"Cây")</f>
        <v>Cây</v>
      </c>
      <c r="G583" s="584" t="str">
        <f ca="1">IFERROR(__xludf.DUMMYFUNCTION("""COMPUTED_VALUE"""),"Cây 3m")</f>
        <v>Cây 3m</v>
      </c>
      <c r="H583" s="582"/>
      <c r="I583" s="585">
        <f ca="1">IFERROR(__xludf.DUMMYFUNCTION("""COMPUTED_VALUE"""),3.65147999999999)</f>
        <v>3.6514799999999901</v>
      </c>
      <c r="J583" s="586" t="str">
        <f ca="1">IFERROR(__xludf.DUMMYFUNCTION("""COMPUTED_VALUE""")," 23.00 ")</f>
        <v xml:space="preserve"> 23.00 </v>
      </c>
      <c r="K583" s="584" t="str">
        <f ca="1">IFERROR(__xludf.DUMMYFUNCTION("""COMPUTED_VALUE"""),"2.00")</f>
        <v>2.00</v>
      </c>
      <c r="L583" s="584">
        <f ca="1">IFERROR(__xludf.DUMMYFUNCTION("""COMPUTED_VALUE"""),3)</f>
        <v>3</v>
      </c>
      <c r="M583" s="584"/>
      <c r="N583" s="584" t="str">
        <f ca="1">IFERROR(__xludf.DUMMYFUNCTION("""COMPUTED_VALUE"""),"Dị_D&lt;54")</f>
        <v>Dị_D&lt;54</v>
      </c>
      <c r="O583" s="583"/>
      <c r="P583" s="584"/>
    </row>
    <row r="584" spans="1:16" ht="15.75">
      <c r="A584" s="587" t="str">
        <f ca="1">IFERROR(__xludf.DUMMYFUNCTION("""COMPUTED_VALUE"""),"Toàn Phát - Việt Nam")</f>
        <v>Toàn Phát - Việt Nam</v>
      </c>
      <c r="B584" s="587" t="str">
        <f ca="1">IFERROR(__xludf.DUMMYFUNCTION("""COMPUTED_VALUE"""),"ĐTPCAYDI")</f>
        <v>ĐTPCAYDI</v>
      </c>
      <c r="C584" s="587" t="str">
        <f ca="1">IFERROR(__xludf.DUMMYFUNCTION("""COMPUTED_VALUE"""),"DOT230021030")</f>
        <v>DOT230021030</v>
      </c>
      <c r="D584" s="588" t="str">
        <f ca="1">IFERROR(__xludf.DUMMYFUNCTION("""COMPUTED_VALUE"""),"Đồng ống thẳng 23.00x2.10x3.0")</f>
        <v>Đồng ống thẳng 23.00x2.10x3.0</v>
      </c>
      <c r="E584" s="589">
        <f ca="1">IFERROR(__xludf.DUMMYFUNCTION("""COMPUTED_VALUE"""),0.1)</f>
        <v>0.1</v>
      </c>
      <c r="F584" s="590" t="str">
        <f ca="1">IFERROR(__xludf.DUMMYFUNCTION("""COMPUTED_VALUE"""),"Cây")</f>
        <v>Cây</v>
      </c>
      <c r="G584" s="590" t="str">
        <f ca="1">IFERROR(__xludf.DUMMYFUNCTION("""COMPUTED_VALUE"""),"Cây 3m")</f>
        <v>Cây 3m</v>
      </c>
      <c r="H584" s="588"/>
      <c r="I584" s="591">
        <f ca="1">IFERROR(__xludf.DUMMYFUNCTION("""COMPUTED_VALUE"""),3.81579659999999)</f>
        <v>3.8157965999999899</v>
      </c>
      <c r="J584" s="592" t="str">
        <f ca="1">IFERROR(__xludf.DUMMYFUNCTION("""COMPUTED_VALUE""")," 23.00 ")</f>
        <v xml:space="preserve"> 23.00 </v>
      </c>
      <c r="K584" s="590" t="str">
        <f ca="1">IFERROR(__xludf.DUMMYFUNCTION("""COMPUTED_VALUE"""),"2.10")</f>
        <v>2.10</v>
      </c>
      <c r="L584" s="590">
        <f ca="1">IFERROR(__xludf.DUMMYFUNCTION("""COMPUTED_VALUE"""),3)</f>
        <v>3</v>
      </c>
      <c r="M584" s="590"/>
      <c r="N584" s="590" t="str">
        <f ca="1">IFERROR(__xludf.DUMMYFUNCTION("""COMPUTED_VALUE"""),"Dị_D&lt;54")</f>
        <v>Dị_D&lt;54</v>
      </c>
      <c r="O584" s="589"/>
      <c r="P584" s="590"/>
    </row>
    <row r="585" spans="1:16" ht="15.75">
      <c r="A585" s="581" t="str">
        <f ca="1">IFERROR(__xludf.DUMMYFUNCTION("""COMPUTED_VALUE"""),"Toàn Phát - Việt Nam")</f>
        <v>Toàn Phát - Việt Nam</v>
      </c>
      <c r="B585" s="581" t="str">
        <f ca="1">IFERROR(__xludf.DUMMYFUNCTION("""COMPUTED_VALUE"""),"ĐTPCAYDI")</f>
        <v>ĐTPCAYDI</v>
      </c>
      <c r="C585" s="581" t="str">
        <f ca="1">IFERROR(__xludf.DUMMYFUNCTION("""COMPUTED_VALUE"""),"DOT230023030")</f>
        <v>DOT230023030</v>
      </c>
      <c r="D585" s="582" t="str">
        <f ca="1">IFERROR(__xludf.DUMMYFUNCTION("""COMPUTED_VALUE"""),"Đồng ống thẳng 23.00x2.30x3.0")</f>
        <v>Đồng ống thẳng 23.00x2.30x3.0</v>
      </c>
      <c r="E585" s="583">
        <f ca="1">IFERROR(__xludf.DUMMYFUNCTION("""COMPUTED_VALUE"""),0.1)</f>
        <v>0.1</v>
      </c>
      <c r="F585" s="584" t="str">
        <f ca="1">IFERROR(__xludf.DUMMYFUNCTION("""COMPUTED_VALUE"""),"Cây")</f>
        <v>Cây</v>
      </c>
      <c r="G585" s="584" t="str">
        <f ca="1">IFERROR(__xludf.DUMMYFUNCTION("""COMPUTED_VALUE"""),"Cây 3m")</f>
        <v>Cây 3m</v>
      </c>
      <c r="H585" s="582"/>
      <c r="I585" s="585">
        <f ca="1">IFERROR(__xludf.DUMMYFUNCTION("""COMPUTED_VALUE"""),4.13921339999999)</f>
        <v>4.1392133999999903</v>
      </c>
      <c r="J585" s="586" t="str">
        <f ca="1">IFERROR(__xludf.DUMMYFUNCTION("""COMPUTED_VALUE""")," 23.00 ")</f>
        <v xml:space="preserve"> 23.00 </v>
      </c>
      <c r="K585" s="584" t="str">
        <f ca="1">IFERROR(__xludf.DUMMYFUNCTION("""COMPUTED_VALUE"""),"2.30")</f>
        <v>2.30</v>
      </c>
      <c r="L585" s="584">
        <f ca="1">IFERROR(__xludf.DUMMYFUNCTION("""COMPUTED_VALUE"""),3)</f>
        <v>3</v>
      </c>
      <c r="M585" s="584"/>
      <c r="N585" s="584" t="str">
        <f ca="1">IFERROR(__xludf.DUMMYFUNCTION("""COMPUTED_VALUE"""),"Dị_D&lt;54")</f>
        <v>Dị_D&lt;54</v>
      </c>
      <c r="O585" s="583"/>
      <c r="P585" s="584"/>
    </row>
    <row r="586" spans="1:16" ht="15.75">
      <c r="A586" s="587" t="str">
        <f ca="1">IFERROR(__xludf.DUMMYFUNCTION("""COMPUTED_VALUE"""),"Toàn Phát - Việt Nam")</f>
        <v>Toàn Phát - Việt Nam</v>
      </c>
      <c r="B586" s="587" t="str">
        <f ca="1">IFERROR(__xludf.DUMMYFUNCTION("""COMPUTED_VALUE"""),"ĐTPCAYDI")</f>
        <v>ĐTPCAYDI</v>
      </c>
      <c r="C586" s="587" t="str">
        <f ca="1">IFERROR(__xludf.DUMMYFUNCTION("""COMPUTED_VALUE"""),"DOT230025030")</f>
        <v>DOT230025030</v>
      </c>
      <c r="D586" s="588" t="str">
        <f ca="1">IFERROR(__xludf.DUMMYFUNCTION("""COMPUTED_VALUE"""),"Đồng ống thẳng 23.00x2.50x3.0")</f>
        <v>Đồng ống thẳng 23.00x2.50x3.0</v>
      </c>
      <c r="E586" s="589">
        <f ca="1">IFERROR(__xludf.DUMMYFUNCTION("""COMPUTED_VALUE"""),0.1)</f>
        <v>0.1</v>
      </c>
      <c r="F586" s="590" t="str">
        <f ca="1">IFERROR(__xludf.DUMMYFUNCTION("""COMPUTED_VALUE"""),"Cây")</f>
        <v>Cây</v>
      </c>
      <c r="G586" s="590" t="str">
        <f ca="1">IFERROR(__xludf.DUMMYFUNCTION("""COMPUTED_VALUE"""),"Cây 3m")</f>
        <v>Cây 3m</v>
      </c>
      <c r="H586" s="588"/>
      <c r="I586" s="591">
        <f ca="1">IFERROR(__xludf.DUMMYFUNCTION("""COMPUTED_VALUE"""),4.45567499999999)</f>
        <v>4.4556749999999896</v>
      </c>
      <c r="J586" s="592" t="str">
        <f ca="1">IFERROR(__xludf.DUMMYFUNCTION("""COMPUTED_VALUE""")," 23.00 ")</f>
        <v xml:space="preserve"> 23.00 </v>
      </c>
      <c r="K586" s="590" t="str">
        <f ca="1">IFERROR(__xludf.DUMMYFUNCTION("""COMPUTED_VALUE"""),"2.50")</f>
        <v>2.50</v>
      </c>
      <c r="L586" s="590">
        <f ca="1">IFERROR(__xludf.DUMMYFUNCTION("""COMPUTED_VALUE"""),3)</f>
        <v>3</v>
      </c>
      <c r="M586" s="590"/>
      <c r="N586" s="590" t="str">
        <f ca="1">IFERROR(__xludf.DUMMYFUNCTION("""COMPUTED_VALUE"""),"Dị_D&lt;54")</f>
        <v>Dị_D&lt;54</v>
      </c>
      <c r="O586" s="589"/>
      <c r="P586" s="590"/>
    </row>
    <row r="587" spans="1:16" ht="15.75">
      <c r="A587" s="581" t="str">
        <f ca="1">IFERROR(__xludf.DUMMYFUNCTION("""COMPUTED_VALUE"""),"Toàn Phát - Việt Nam")</f>
        <v>Toàn Phát - Việt Nam</v>
      </c>
      <c r="B587" s="581" t="str">
        <f ca="1">IFERROR(__xludf.DUMMYFUNCTION("""COMPUTED_VALUE"""),"ĐTPCAYDI")</f>
        <v>ĐTPCAYDI</v>
      </c>
      <c r="C587" s="581" t="str">
        <f ca="1">IFERROR(__xludf.DUMMYFUNCTION("""COMPUTED_VALUE"""),"DOT235018030")</f>
        <v>DOT235018030</v>
      </c>
      <c r="D587" s="582" t="str">
        <f ca="1">IFERROR(__xludf.DUMMYFUNCTION("""COMPUTED_VALUE"""),"Đồng ống thẳng 23.50x1.80x3.0")</f>
        <v>Đồng ống thẳng 23.50x1.80x3.0</v>
      </c>
      <c r="E587" s="583">
        <f ca="1">IFERROR(__xludf.DUMMYFUNCTION("""COMPUTED_VALUE"""),0.1)</f>
        <v>0.1</v>
      </c>
      <c r="F587" s="584" t="str">
        <f ca="1">IFERROR(__xludf.DUMMYFUNCTION("""COMPUTED_VALUE"""),"Cây")</f>
        <v>Cây</v>
      </c>
      <c r="G587" s="584" t="str">
        <f ca="1">IFERROR(__xludf.DUMMYFUNCTION("""COMPUTED_VALUE"""),"Cây 3m")</f>
        <v>Cây 3m</v>
      </c>
      <c r="H587" s="582"/>
      <c r="I587" s="585">
        <f ca="1">IFERROR(__xludf.DUMMYFUNCTION("""COMPUTED_VALUE"""),3.39587639999999)</f>
        <v>3.3958763999999899</v>
      </c>
      <c r="J587" s="586" t="str">
        <f ca="1">IFERROR(__xludf.DUMMYFUNCTION("""COMPUTED_VALUE""")," 23.50 ")</f>
        <v xml:space="preserve"> 23.50 </v>
      </c>
      <c r="K587" s="584" t="str">
        <f ca="1">IFERROR(__xludf.DUMMYFUNCTION("""COMPUTED_VALUE"""),"1.80")</f>
        <v>1.80</v>
      </c>
      <c r="L587" s="584">
        <f ca="1">IFERROR(__xludf.DUMMYFUNCTION("""COMPUTED_VALUE"""),3)</f>
        <v>3</v>
      </c>
      <c r="M587" s="584"/>
      <c r="N587" s="584" t="str">
        <f ca="1">IFERROR(__xludf.DUMMYFUNCTION("""COMPUTED_VALUE"""),"Dị_D&lt;54")</f>
        <v>Dị_D&lt;54</v>
      </c>
      <c r="O587" s="583"/>
      <c r="P587" s="584"/>
    </row>
    <row r="588" spans="1:16" ht="15.75">
      <c r="A588" s="587" t="str">
        <f ca="1">IFERROR(__xludf.DUMMYFUNCTION("""COMPUTED_VALUE"""),"Toàn Phát - Việt Nam")</f>
        <v>Toàn Phát - Việt Nam</v>
      </c>
      <c r="B588" s="587" t="str">
        <f ca="1">IFERROR(__xludf.DUMMYFUNCTION("""COMPUTED_VALUE"""),"ĐTPCAYDI")</f>
        <v>ĐTPCAYDI</v>
      </c>
      <c r="C588" s="587" t="str">
        <f ca="1">IFERROR(__xludf.DUMMYFUNCTION("""COMPUTED_VALUE"""),"DOT235019030")</f>
        <v>DOT235019030</v>
      </c>
      <c r="D588" s="588" t="str">
        <f ca="1">IFERROR(__xludf.DUMMYFUNCTION("""COMPUTED_VALUE"""),"Đồng ống thẳng 23.50x1.90x3.0")</f>
        <v>Đồng ống thẳng 23.50x1.90x3.0</v>
      </c>
      <c r="E588" s="589">
        <f ca="1">IFERROR(__xludf.DUMMYFUNCTION("""COMPUTED_VALUE"""),0.1)</f>
        <v>0.1</v>
      </c>
      <c r="F588" s="590" t="str">
        <f ca="1">IFERROR(__xludf.DUMMYFUNCTION("""COMPUTED_VALUE"""),"Cây")</f>
        <v>Cây</v>
      </c>
      <c r="G588" s="590" t="str">
        <f ca="1">IFERROR(__xludf.DUMMYFUNCTION("""COMPUTED_VALUE"""),"Cây 3m")</f>
        <v>Cây 3m</v>
      </c>
      <c r="H588" s="588"/>
      <c r="I588" s="591">
        <f ca="1">IFERROR(__xludf.DUMMYFUNCTION("""COMPUTED_VALUE"""),3.56801759999999)</f>
        <v>3.5680175999999899</v>
      </c>
      <c r="J588" s="592" t="str">
        <f ca="1">IFERROR(__xludf.DUMMYFUNCTION("""COMPUTED_VALUE""")," 23.50 ")</f>
        <v xml:space="preserve"> 23.50 </v>
      </c>
      <c r="K588" s="590" t="str">
        <f ca="1">IFERROR(__xludf.DUMMYFUNCTION("""COMPUTED_VALUE"""),"1.90")</f>
        <v>1.90</v>
      </c>
      <c r="L588" s="590">
        <f ca="1">IFERROR(__xludf.DUMMYFUNCTION("""COMPUTED_VALUE"""),3)</f>
        <v>3</v>
      </c>
      <c r="M588" s="590"/>
      <c r="N588" s="590" t="str">
        <f ca="1">IFERROR(__xludf.DUMMYFUNCTION("""COMPUTED_VALUE"""),"Dị_D&lt;54")</f>
        <v>Dị_D&lt;54</v>
      </c>
      <c r="O588" s="589"/>
      <c r="P588" s="590"/>
    </row>
    <row r="589" spans="1:16" ht="15.75">
      <c r="A589" s="581" t="str">
        <f ca="1">IFERROR(__xludf.DUMMYFUNCTION("""COMPUTED_VALUE"""),"Toàn Phát - Việt Nam")</f>
        <v>Toàn Phát - Việt Nam</v>
      </c>
      <c r="B589" s="581" t="str">
        <f ca="1">IFERROR(__xludf.DUMMYFUNCTION("""COMPUTED_VALUE"""),"ĐTPCAYDI")</f>
        <v>ĐTPCAYDI</v>
      </c>
      <c r="C589" s="581" t="str">
        <f ca="1">IFERROR(__xludf.DUMMYFUNCTION("""COMPUTED_VALUE"""),"DOT235022530")</f>
        <v>DOT235022530</v>
      </c>
      <c r="D589" s="582" t="str">
        <f ca="1">IFERROR(__xludf.DUMMYFUNCTION("""COMPUTED_VALUE"""),"Đồng ống thẳng 23.50x2.25x3.0")</f>
        <v>Đồng ống thẳng 23.50x2.25x3.0</v>
      </c>
      <c r="E589" s="583">
        <f ca="1">IFERROR(__xludf.DUMMYFUNCTION("""COMPUTED_VALUE"""),0.1)</f>
        <v>0.1</v>
      </c>
      <c r="F589" s="584" t="str">
        <f ca="1">IFERROR(__xludf.DUMMYFUNCTION("""COMPUTED_VALUE"""),"Cây")</f>
        <v>Cây</v>
      </c>
      <c r="G589" s="584" t="str">
        <f ca="1">IFERROR(__xludf.DUMMYFUNCTION("""COMPUTED_VALUE"""),"Cây 3m")</f>
        <v>Cây 3m</v>
      </c>
      <c r="H589" s="582"/>
      <c r="I589" s="585">
        <f ca="1">IFERROR(__xludf.DUMMYFUNCTION("""COMPUTED_VALUE"""),4.15681875)</f>
        <v>4.1568187500000002</v>
      </c>
      <c r="J589" s="586" t="str">
        <f ca="1">IFERROR(__xludf.DUMMYFUNCTION("""COMPUTED_VALUE""")," 23.50 ")</f>
        <v xml:space="preserve"> 23.50 </v>
      </c>
      <c r="K589" s="584" t="str">
        <f ca="1">IFERROR(__xludf.DUMMYFUNCTION("""COMPUTED_VALUE"""),"2.25")</f>
        <v>2.25</v>
      </c>
      <c r="L589" s="584">
        <f ca="1">IFERROR(__xludf.DUMMYFUNCTION("""COMPUTED_VALUE"""),3)</f>
        <v>3</v>
      </c>
      <c r="M589" s="584"/>
      <c r="N589" s="584" t="str">
        <f ca="1">IFERROR(__xludf.DUMMYFUNCTION("""COMPUTED_VALUE"""),"Dị_D&lt;54")</f>
        <v>Dị_D&lt;54</v>
      </c>
      <c r="O589" s="583"/>
      <c r="P589" s="584"/>
    </row>
    <row r="590" spans="1:16" ht="15.75">
      <c r="A590" s="587" t="str">
        <f ca="1">IFERROR(__xludf.DUMMYFUNCTION("""COMPUTED_VALUE"""),"Toàn Phát - Việt Nam")</f>
        <v>Toàn Phát - Việt Nam</v>
      </c>
      <c r="B590" s="587" t="str">
        <f ca="1">IFERROR(__xludf.DUMMYFUNCTION("""COMPUTED_VALUE"""),"ĐTPCAYDI")</f>
        <v>ĐTPCAYDI</v>
      </c>
      <c r="C590" s="587" t="str">
        <f ca="1">IFERROR(__xludf.DUMMYFUNCTION("""COMPUTED_VALUE"""),"DOT235025030")</f>
        <v>DOT235025030</v>
      </c>
      <c r="D590" s="588" t="str">
        <f ca="1">IFERROR(__xludf.DUMMYFUNCTION("""COMPUTED_VALUE"""),"Đồng ống thẳng 23.50x2.50x3.0")</f>
        <v>Đồng ống thẳng 23.50x2.50x3.0</v>
      </c>
      <c r="E590" s="589">
        <f ca="1">IFERROR(__xludf.DUMMYFUNCTION("""COMPUTED_VALUE"""),0.1)</f>
        <v>0.1</v>
      </c>
      <c r="F590" s="590" t="str">
        <f ca="1">IFERROR(__xludf.DUMMYFUNCTION("""COMPUTED_VALUE"""),"Cây")</f>
        <v>Cây</v>
      </c>
      <c r="G590" s="590" t="str">
        <f ca="1">IFERROR(__xludf.DUMMYFUNCTION("""COMPUTED_VALUE"""),"Cây 3m")</f>
        <v>Cây 3m</v>
      </c>
      <c r="H590" s="588"/>
      <c r="I590" s="591">
        <f ca="1">IFERROR(__xludf.DUMMYFUNCTION("""COMPUTED_VALUE"""),4.56435)</f>
        <v>4.5643500000000001</v>
      </c>
      <c r="J590" s="592" t="str">
        <f ca="1">IFERROR(__xludf.DUMMYFUNCTION("""COMPUTED_VALUE""")," 23.50 ")</f>
        <v xml:space="preserve"> 23.50 </v>
      </c>
      <c r="K590" s="590" t="str">
        <f ca="1">IFERROR(__xludf.DUMMYFUNCTION("""COMPUTED_VALUE"""),"2.50")</f>
        <v>2.50</v>
      </c>
      <c r="L590" s="590">
        <f ca="1">IFERROR(__xludf.DUMMYFUNCTION("""COMPUTED_VALUE"""),3)</f>
        <v>3</v>
      </c>
      <c r="M590" s="590"/>
      <c r="N590" s="590" t="str">
        <f ca="1">IFERROR(__xludf.DUMMYFUNCTION("""COMPUTED_VALUE"""),"Dị_D&lt;54")</f>
        <v>Dị_D&lt;54</v>
      </c>
      <c r="O590" s="589"/>
      <c r="P590" s="590"/>
    </row>
    <row r="591" spans="1:16" ht="15.75">
      <c r="A591" s="581" t="str">
        <f ca="1">IFERROR(__xludf.DUMMYFUNCTION("""COMPUTED_VALUE"""),"Toàn Phát - Việt Nam")</f>
        <v>Toàn Phát - Việt Nam</v>
      </c>
      <c r="B591" s="581" t="str">
        <f ca="1">IFERROR(__xludf.DUMMYFUNCTION("""COMPUTED_VALUE"""),"ĐTPCAYDI")</f>
        <v>ĐTPCAYDI</v>
      </c>
      <c r="C591" s="581" t="str">
        <f ca="1">IFERROR(__xludf.DUMMYFUNCTION("""COMPUTED_VALUE"""),"DOT240018030")</f>
        <v>DOT240018030</v>
      </c>
      <c r="D591" s="582" t="str">
        <f ca="1">IFERROR(__xludf.DUMMYFUNCTION("""COMPUTED_VALUE"""),"Đồng ống thẳng 24.00x1.80x3.0")</f>
        <v>Đồng ống thẳng 24.00x1.80x3.0</v>
      </c>
      <c r="E591" s="583">
        <f ca="1">IFERROR(__xludf.DUMMYFUNCTION("""COMPUTED_VALUE"""),0.1)</f>
        <v>0.1</v>
      </c>
      <c r="F591" s="584" t="str">
        <f ca="1">IFERROR(__xludf.DUMMYFUNCTION("""COMPUTED_VALUE"""),"Cây")</f>
        <v>Cây</v>
      </c>
      <c r="G591" s="584" t="str">
        <f ca="1">IFERROR(__xludf.DUMMYFUNCTION("""COMPUTED_VALUE"""),"Cây 3m")</f>
        <v>Cây 3m</v>
      </c>
      <c r="H591" s="582"/>
      <c r="I591" s="585">
        <f ca="1">IFERROR(__xludf.DUMMYFUNCTION("""COMPUTED_VALUE"""),3.4741224)</f>
        <v>3.4741224000000002</v>
      </c>
      <c r="J591" s="586" t="str">
        <f ca="1">IFERROR(__xludf.DUMMYFUNCTION("""COMPUTED_VALUE""")," 24.00 ")</f>
        <v xml:space="preserve"> 24.00 </v>
      </c>
      <c r="K591" s="584" t="str">
        <f ca="1">IFERROR(__xludf.DUMMYFUNCTION("""COMPUTED_VALUE"""),"1.80")</f>
        <v>1.80</v>
      </c>
      <c r="L591" s="584">
        <f ca="1">IFERROR(__xludf.DUMMYFUNCTION("""COMPUTED_VALUE"""),3)</f>
        <v>3</v>
      </c>
      <c r="M591" s="584"/>
      <c r="N591" s="584" t="str">
        <f ca="1">IFERROR(__xludf.DUMMYFUNCTION("""COMPUTED_VALUE"""),"Dị_D&lt;54")</f>
        <v>Dị_D&lt;54</v>
      </c>
      <c r="O591" s="583"/>
      <c r="P591" s="584"/>
    </row>
    <row r="592" spans="1:16" ht="15.75">
      <c r="A592" s="587" t="str">
        <f ca="1">IFERROR(__xludf.DUMMYFUNCTION("""COMPUTED_VALUE"""),"Toàn Phát - Việt Nam")</f>
        <v>Toàn Phát - Việt Nam</v>
      </c>
      <c r="B592" s="587" t="str">
        <f ca="1">IFERROR(__xludf.DUMMYFUNCTION("""COMPUTED_VALUE"""),"ĐTPCAYDI")</f>
        <v>ĐTPCAYDI</v>
      </c>
      <c r="C592" s="587" t="str">
        <f ca="1">IFERROR(__xludf.DUMMYFUNCTION("""COMPUTED_VALUE"""),"DOT245018030")</f>
        <v>DOT245018030</v>
      </c>
      <c r="D592" s="588" t="str">
        <f ca="1">IFERROR(__xludf.DUMMYFUNCTION("""COMPUTED_VALUE"""),"Đồng ống thẳng 24.50x1.80x3.0")</f>
        <v>Đồng ống thẳng 24.50x1.80x3.0</v>
      </c>
      <c r="E592" s="589">
        <f ca="1">IFERROR(__xludf.DUMMYFUNCTION("""COMPUTED_VALUE"""),0.1)</f>
        <v>0.1</v>
      </c>
      <c r="F592" s="590" t="str">
        <f ca="1">IFERROR(__xludf.DUMMYFUNCTION("""COMPUTED_VALUE"""),"Cây")</f>
        <v>Cây</v>
      </c>
      <c r="G592" s="590" t="str">
        <f ca="1">IFERROR(__xludf.DUMMYFUNCTION("""COMPUTED_VALUE"""),"Cây 3m")</f>
        <v>Cây 3m</v>
      </c>
      <c r="H592" s="588"/>
      <c r="I592" s="591">
        <f ca="1">IFERROR(__xludf.DUMMYFUNCTION("""COMPUTED_VALUE"""),3.55236839999999)</f>
        <v>3.55236839999999</v>
      </c>
      <c r="J592" s="592" t="str">
        <f ca="1">IFERROR(__xludf.DUMMYFUNCTION("""COMPUTED_VALUE""")," 24.50 ")</f>
        <v xml:space="preserve"> 24.50 </v>
      </c>
      <c r="K592" s="590" t="str">
        <f ca="1">IFERROR(__xludf.DUMMYFUNCTION("""COMPUTED_VALUE"""),"1.80")</f>
        <v>1.80</v>
      </c>
      <c r="L592" s="590">
        <f ca="1">IFERROR(__xludf.DUMMYFUNCTION("""COMPUTED_VALUE"""),3)</f>
        <v>3</v>
      </c>
      <c r="M592" s="590"/>
      <c r="N592" s="590" t="str">
        <f ca="1">IFERROR(__xludf.DUMMYFUNCTION("""COMPUTED_VALUE"""),"Dị_D&lt;54")</f>
        <v>Dị_D&lt;54</v>
      </c>
      <c r="O592" s="589"/>
      <c r="P592" s="590"/>
    </row>
    <row r="593" spans="1:16" ht="15.75">
      <c r="A593" s="581" t="str">
        <f ca="1">IFERROR(__xludf.DUMMYFUNCTION("""COMPUTED_VALUE"""),"Toàn Phát - Việt Nam")</f>
        <v>Toàn Phát - Việt Nam</v>
      </c>
      <c r="B593" s="581" t="str">
        <f ca="1">IFERROR(__xludf.DUMMYFUNCTION("""COMPUTED_VALUE"""),"ĐTPCAYDI")</f>
        <v>ĐTPCAYDI</v>
      </c>
      <c r="C593" s="581" t="str">
        <f ca="1">IFERROR(__xludf.DUMMYFUNCTION("""COMPUTED_VALUE"""),"DOT245019530")</f>
        <v>DOT245019530</v>
      </c>
      <c r="D593" s="582" t="str">
        <f ca="1">IFERROR(__xludf.DUMMYFUNCTION("""COMPUTED_VALUE"""),"Đồng ống thẳng 24.50x1.95x3.0")</f>
        <v>Đồng ống thẳng 24.50x1.95x3.0</v>
      </c>
      <c r="E593" s="583">
        <f ca="1">IFERROR(__xludf.DUMMYFUNCTION("""COMPUTED_VALUE"""),0.1)</f>
        <v>0.1</v>
      </c>
      <c r="F593" s="584" t="str">
        <f ca="1">IFERROR(__xludf.DUMMYFUNCTION("""COMPUTED_VALUE"""),"Cây")</f>
        <v>Cây</v>
      </c>
      <c r="G593" s="584" t="str">
        <f ca="1">IFERROR(__xludf.DUMMYFUNCTION("""COMPUTED_VALUE"""),"Cây 3m")</f>
        <v>Cây 3m</v>
      </c>
      <c r="H593" s="582"/>
      <c r="I593" s="585">
        <f ca="1">IFERROR(__xludf.DUMMYFUNCTION("""COMPUTED_VALUE"""),3.82296915)</f>
        <v>3.82296915</v>
      </c>
      <c r="J593" s="586" t="str">
        <f ca="1">IFERROR(__xludf.DUMMYFUNCTION("""COMPUTED_VALUE""")," 24.50 ")</f>
        <v xml:space="preserve"> 24.50 </v>
      </c>
      <c r="K593" s="584" t="str">
        <f ca="1">IFERROR(__xludf.DUMMYFUNCTION("""COMPUTED_VALUE"""),"1.95")</f>
        <v>1.95</v>
      </c>
      <c r="L593" s="584">
        <f ca="1">IFERROR(__xludf.DUMMYFUNCTION("""COMPUTED_VALUE"""),3)</f>
        <v>3</v>
      </c>
      <c r="M593" s="584"/>
      <c r="N593" s="584" t="str">
        <f ca="1">IFERROR(__xludf.DUMMYFUNCTION("""COMPUTED_VALUE"""),"Dị_D&lt;54")</f>
        <v>Dị_D&lt;54</v>
      </c>
      <c r="O593" s="583"/>
      <c r="P593" s="584"/>
    </row>
    <row r="594" spans="1:16" ht="15.75">
      <c r="A594" s="587" t="str">
        <f ca="1">IFERROR(__xludf.DUMMYFUNCTION("""COMPUTED_VALUE"""),"Toàn Phát - Việt Nam")</f>
        <v>Toàn Phát - Việt Nam</v>
      </c>
      <c r="B594" s="587" t="str">
        <f ca="1">IFERROR(__xludf.DUMMYFUNCTION("""COMPUTED_VALUE"""),"ĐTPCAYDI")</f>
        <v>ĐTPCAYDI</v>
      </c>
      <c r="C594" s="587" t="str">
        <f ca="1">IFERROR(__xludf.DUMMYFUNCTION("""COMPUTED_VALUE"""),"DOT2450275030")</f>
        <v>DOT2450275030</v>
      </c>
      <c r="D594" s="588" t="str">
        <f ca="1">IFERROR(__xludf.DUMMYFUNCTION("""COMPUTED_VALUE"""),"Đồng ống thẳng 24.50x2.75x3.0")</f>
        <v>Đồng ống thẳng 24.50x2.75x3.0</v>
      </c>
      <c r="E594" s="589">
        <f ca="1">IFERROR(__xludf.DUMMYFUNCTION("""COMPUTED_VALUE"""),0.1)</f>
        <v>0.1</v>
      </c>
      <c r="F594" s="590" t="str">
        <f ca="1">IFERROR(__xludf.DUMMYFUNCTION("""COMPUTED_VALUE"""),"Cây")</f>
        <v>Cây</v>
      </c>
      <c r="G594" s="590" t="str">
        <f ca="1">IFERROR(__xludf.DUMMYFUNCTION("""COMPUTED_VALUE"""),"Cây 3m")</f>
        <v>Cây 3m</v>
      </c>
      <c r="H594" s="588"/>
      <c r="I594" s="591">
        <f ca="1">IFERROR(__xludf.DUMMYFUNCTION("""COMPUTED_VALUE"""),5.20009874999999)</f>
        <v>5.2000987499999898</v>
      </c>
      <c r="J594" s="592" t="str">
        <f ca="1">IFERROR(__xludf.DUMMYFUNCTION("""COMPUTED_VALUE""")," 24.50 ")</f>
        <v xml:space="preserve"> 24.50 </v>
      </c>
      <c r="K594" s="590" t="str">
        <f ca="1">IFERROR(__xludf.DUMMYFUNCTION("""COMPUTED_VALUE"""),"2.75")</f>
        <v>2.75</v>
      </c>
      <c r="L594" s="590">
        <f ca="1">IFERROR(__xludf.DUMMYFUNCTION("""COMPUTED_VALUE"""),3)</f>
        <v>3</v>
      </c>
      <c r="M594" s="590"/>
      <c r="N594" s="590" t="str">
        <f ca="1">IFERROR(__xludf.DUMMYFUNCTION("""COMPUTED_VALUE"""),"Dị_D&lt;54")</f>
        <v>Dị_D&lt;54</v>
      </c>
      <c r="O594" s="589"/>
      <c r="P594" s="590"/>
    </row>
    <row r="595" spans="1:16" ht="15.75">
      <c r="A595" s="581" t="str">
        <f ca="1">IFERROR(__xludf.DUMMYFUNCTION("""COMPUTED_VALUE"""),"Toàn Phát - Việt Nam")</f>
        <v>Toàn Phát - Việt Nam</v>
      </c>
      <c r="B595" s="581" t="str">
        <f ca="1">IFERROR(__xludf.DUMMYFUNCTION("""COMPUTED_VALUE"""),"ĐTPCAYDI")</f>
        <v>ĐTPCAYDI</v>
      </c>
      <c r="C595" s="581" t="str">
        <f ca="1">IFERROR(__xludf.DUMMYFUNCTION("""COMPUTED_VALUE"""),"DOT250018030")</f>
        <v>DOT250018030</v>
      </c>
      <c r="D595" s="582" t="str">
        <f ca="1">IFERROR(__xludf.DUMMYFUNCTION("""COMPUTED_VALUE"""),"Đồng ống thẳng 25.00x1.80x3.0")</f>
        <v>Đồng ống thẳng 25.00x1.80x3.0</v>
      </c>
      <c r="E595" s="583">
        <f ca="1">IFERROR(__xludf.DUMMYFUNCTION("""COMPUTED_VALUE"""),0.1)</f>
        <v>0.1</v>
      </c>
      <c r="F595" s="584" t="str">
        <f ca="1">IFERROR(__xludf.DUMMYFUNCTION("""COMPUTED_VALUE"""),"Cây")</f>
        <v>Cây</v>
      </c>
      <c r="G595" s="584" t="str">
        <f ca="1">IFERROR(__xludf.DUMMYFUNCTION("""COMPUTED_VALUE"""),"Cây 3m")</f>
        <v>Cây 3m</v>
      </c>
      <c r="H595" s="582"/>
      <c r="I595" s="585">
        <f ca="1">IFERROR(__xludf.DUMMYFUNCTION("""COMPUTED_VALUE"""),3.63061439999999)</f>
        <v>3.63061439999999</v>
      </c>
      <c r="J595" s="586" t="str">
        <f ca="1">IFERROR(__xludf.DUMMYFUNCTION("""COMPUTED_VALUE""")," 25.00 ")</f>
        <v xml:space="preserve"> 25.00 </v>
      </c>
      <c r="K595" s="584" t="str">
        <f ca="1">IFERROR(__xludf.DUMMYFUNCTION("""COMPUTED_VALUE"""),"1.80")</f>
        <v>1.80</v>
      </c>
      <c r="L595" s="584">
        <f ca="1">IFERROR(__xludf.DUMMYFUNCTION("""COMPUTED_VALUE"""),3)</f>
        <v>3</v>
      </c>
      <c r="M595" s="584"/>
      <c r="N595" s="584" t="str">
        <f ca="1">IFERROR(__xludf.DUMMYFUNCTION("""COMPUTED_VALUE"""),"Dị_D&lt;54")</f>
        <v>Dị_D&lt;54</v>
      </c>
      <c r="O595" s="583"/>
      <c r="P595" s="584"/>
    </row>
    <row r="596" spans="1:16" ht="15.75">
      <c r="A596" s="587" t="str">
        <f ca="1">IFERROR(__xludf.DUMMYFUNCTION("""COMPUTED_VALUE"""),"Toàn Phát - Việt Nam")</f>
        <v>Toàn Phát - Việt Nam</v>
      </c>
      <c r="B596" s="587" t="str">
        <f ca="1">IFERROR(__xludf.DUMMYFUNCTION("""COMPUTED_VALUE"""),"ĐTPCAYDI")</f>
        <v>ĐTPCAYDI</v>
      </c>
      <c r="C596" s="587" t="str">
        <f ca="1">IFERROR(__xludf.DUMMYFUNCTION("""COMPUTED_VALUE"""),"DOT250019030")</f>
        <v>DOT250019030</v>
      </c>
      <c r="D596" s="588" t="str">
        <f ca="1">IFERROR(__xludf.DUMMYFUNCTION("""COMPUTED_VALUE"""),"Đồng ống thẳng 25.00x1.90x3.0")</f>
        <v>Đồng ống thẳng 25.00x1.90x3.0</v>
      </c>
      <c r="E596" s="589">
        <f ca="1">IFERROR(__xludf.DUMMYFUNCTION("""COMPUTED_VALUE"""),0.1)</f>
        <v>0.1</v>
      </c>
      <c r="F596" s="590" t="str">
        <f ca="1">IFERROR(__xludf.DUMMYFUNCTION("""COMPUTED_VALUE"""),"Cây")</f>
        <v>Cây</v>
      </c>
      <c r="G596" s="590" t="str">
        <f ca="1">IFERROR(__xludf.DUMMYFUNCTION("""COMPUTED_VALUE"""),"Cây 3m")</f>
        <v>Cây 3m</v>
      </c>
      <c r="H596" s="588"/>
      <c r="I596" s="591">
        <f ca="1">IFERROR(__xludf.DUMMYFUNCTION("""COMPUTED_VALUE"""),3.81579659999999)</f>
        <v>3.8157965999999899</v>
      </c>
      <c r="J596" s="592" t="str">
        <f ca="1">IFERROR(__xludf.DUMMYFUNCTION("""COMPUTED_VALUE""")," 25.00 ")</f>
        <v xml:space="preserve"> 25.00 </v>
      </c>
      <c r="K596" s="590" t="str">
        <f ca="1">IFERROR(__xludf.DUMMYFUNCTION("""COMPUTED_VALUE"""),"1.90")</f>
        <v>1.90</v>
      </c>
      <c r="L596" s="590">
        <f ca="1">IFERROR(__xludf.DUMMYFUNCTION("""COMPUTED_VALUE"""),3)</f>
        <v>3</v>
      </c>
      <c r="M596" s="590"/>
      <c r="N596" s="590" t="str">
        <f ca="1">IFERROR(__xludf.DUMMYFUNCTION("""COMPUTED_VALUE"""),"Dị_D&lt;54")</f>
        <v>Dị_D&lt;54</v>
      </c>
      <c r="O596" s="589"/>
      <c r="P596" s="590"/>
    </row>
    <row r="597" spans="1:16" ht="15.75">
      <c r="A597" s="581" t="str">
        <f ca="1">IFERROR(__xludf.DUMMYFUNCTION("""COMPUTED_VALUE"""),"Toàn Phát - Việt Nam")</f>
        <v>Toàn Phát - Việt Nam</v>
      </c>
      <c r="B597" s="581" t="str">
        <f ca="1">IFERROR(__xludf.DUMMYFUNCTION("""COMPUTED_VALUE"""),"ĐTPCAYDI")</f>
        <v>ĐTPCAYDI</v>
      </c>
      <c r="C597" s="581" t="str">
        <f ca="1">IFERROR(__xludf.DUMMYFUNCTION("""COMPUTED_VALUE"""),"DOT250019530")</f>
        <v>DOT250019530</v>
      </c>
      <c r="D597" s="582" t="str">
        <f ca="1">IFERROR(__xludf.DUMMYFUNCTION("""COMPUTED_VALUE"""),"Đồng ống thẳng 25.00x1.95x3.0")</f>
        <v>Đồng ống thẳng 25.00x1.95x3.0</v>
      </c>
      <c r="E597" s="583">
        <f ca="1">IFERROR(__xludf.DUMMYFUNCTION("""COMPUTED_VALUE"""),0.1)</f>
        <v>0.1</v>
      </c>
      <c r="F597" s="584" t="str">
        <f ca="1">IFERROR(__xludf.DUMMYFUNCTION("""COMPUTED_VALUE"""),"Cây")</f>
        <v>Cây</v>
      </c>
      <c r="G597" s="584" t="str">
        <f ca="1">IFERROR(__xludf.DUMMYFUNCTION("""COMPUTED_VALUE"""),"Cây 3m")</f>
        <v>Cây 3m</v>
      </c>
      <c r="H597" s="582"/>
      <c r="I597" s="585">
        <f ca="1">IFERROR(__xludf.DUMMYFUNCTION("""COMPUTED_VALUE"""),3.90773564999999)</f>
        <v>3.90773564999999</v>
      </c>
      <c r="J597" s="586" t="str">
        <f ca="1">IFERROR(__xludf.DUMMYFUNCTION("""COMPUTED_VALUE""")," 25.00 ")</f>
        <v xml:space="preserve"> 25.00 </v>
      </c>
      <c r="K597" s="584" t="str">
        <f ca="1">IFERROR(__xludf.DUMMYFUNCTION("""COMPUTED_VALUE"""),"1.95")</f>
        <v>1.95</v>
      </c>
      <c r="L597" s="584">
        <f ca="1">IFERROR(__xludf.DUMMYFUNCTION("""COMPUTED_VALUE"""),3)</f>
        <v>3</v>
      </c>
      <c r="M597" s="584"/>
      <c r="N597" s="584" t="str">
        <f ca="1">IFERROR(__xludf.DUMMYFUNCTION("""COMPUTED_VALUE"""),"Dị_D&lt;54")</f>
        <v>Dị_D&lt;54</v>
      </c>
      <c r="O597" s="583"/>
      <c r="P597" s="584"/>
    </row>
    <row r="598" spans="1:16" ht="15.75">
      <c r="A598" s="587" t="str">
        <f ca="1">IFERROR(__xludf.DUMMYFUNCTION("""COMPUTED_VALUE"""),"Toàn Phát - Việt Nam")</f>
        <v>Toàn Phát - Việt Nam</v>
      </c>
      <c r="B598" s="587" t="str">
        <f ca="1">IFERROR(__xludf.DUMMYFUNCTION("""COMPUTED_VALUE"""),"ĐTPCAYDI")</f>
        <v>ĐTPCAYDI</v>
      </c>
      <c r="C598" s="587" t="str">
        <f ca="1">IFERROR(__xludf.DUMMYFUNCTION("""COMPUTED_VALUE"""),"DOT250020020")</f>
        <v>DOT250020020</v>
      </c>
      <c r="D598" s="588" t="str">
        <f ca="1">IFERROR(__xludf.DUMMYFUNCTION("""COMPUTED_VALUE"""),"Đồng ống thẳng 25.00x2.00x2.0")</f>
        <v>Đồng ống thẳng 25.00x2.00x2.0</v>
      </c>
      <c r="E598" s="589">
        <f ca="1">IFERROR(__xludf.DUMMYFUNCTION("""COMPUTED_VALUE"""),0.1)</f>
        <v>0.1</v>
      </c>
      <c r="F598" s="590" t="str">
        <f ca="1">IFERROR(__xludf.DUMMYFUNCTION("""COMPUTED_VALUE"""),"Cây")</f>
        <v>Cây</v>
      </c>
      <c r="G598" s="590" t="str">
        <f ca="1">IFERROR(__xludf.DUMMYFUNCTION("""COMPUTED_VALUE"""),"Cây 2m")</f>
        <v>Cây 2m</v>
      </c>
      <c r="H598" s="588"/>
      <c r="I598" s="591">
        <f ca="1">IFERROR(__xludf.DUMMYFUNCTION("""COMPUTED_VALUE"""),2.66616)</f>
        <v>2.6661600000000001</v>
      </c>
      <c r="J598" s="592" t="str">
        <f ca="1">IFERROR(__xludf.DUMMYFUNCTION("""COMPUTED_VALUE""")," 25.00 ")</f>
        <v xml:space="preserve"> 25.00 </v>
      </c>
      <c r="K598" s="590" t="str">
        <f ca="1">IFERROR(__xludf.DUMMYFUNCTION("""COMPUTED_VALUE"""),"2.00")</f>
        <v>2.00</v>
      </c>
      <c r="L598" s="590">
        <f ca="1">IFERROR(__xludf.DUMMYFUNCTION("""COMPUTED_VALUE"""),2)</f>
        <v>2</v>
      </c>
      <c r="M598" s="590"/>
      <c r="N598" s="590" t="str">
        <f ca="1">IFERROR(__xludf.DUMMYFUNCTION("""COMPUTED_VALUE"""),"Dị_D&lt;54")</f>
        <v>Dị_D&lt;54</v>
      </c>
      <c r="O598" s="589"/>
      <c r="P598" s="590"/>
    </row>
    <row r="599" spans="1:16" ht="15.75">
      <c r="A599" s="581" t="str">
        <f ca="1">IFERROR(__xludf.DUMMYFUNCTION("""COMPUTED_VALUE"""),"Toàn Phát - Việt Nam")</f>
        <v>Toàn Phát - Việt Nam</v>
      </c>
      <c r="B599" s="581" t="str">
        <f ca="1">IFERROR(__xludf.DUMMYFUNCTION("""COMPUTED_VALUE"""),"ĐTPCAYDI")</f>
        <v>ĐTPCAYDI</v>
      </c>
      <c r="C599" s="581" t="str">
        <f ca="1">IFERROR(__xludf.DUMMYFUNCTION("""COMPUTED_VALUE"""),"DOT250020030")</f>
        <v>DOT250020030</v>
      </c>
      <c r="D599" s="582" t="str">
        <f ca="1">IFERROR(__xludf.DUMMYFUNCTION("""COMPUTED_VALUE"""),"Đồng ống thẳng 25.00x2.00x3.0")</f>
        <v>Đồng ống thẳng 25.00x2.00x3.0</v>
      </c>
      <c r="E599" s="583">
        <f ca="1">IFERROR(__xludf.DUMMYFUNCTION("""COMPUTED_VALUE"""),0.1)</f>
        <v>0.1</v>
      </c>
      <c r="F599" s="584" t="str">
        <f ca="1">IFERROR(__xludf.DUMMYFUNCTION("""COMPUTED_VALUE"""),"Cây")</f>
        <v>Cây</v>
      </c>
      <c r="G599" s="584" t="str">
        <f ca="1">IFERROR(__xludf.DUMMYFUNCTION("""COMPUTED_VALUE"""),"Cây 3m")</f>
        <v>Cây 3m</v>
      </c>
      <c r="H599" s="582"/>
      <c r="I599" s="585">
        <f ca="1">IFERROR(__xludf.DUMMYFUNCTION("""COMPUTED_VALUE"""),3.99923999999999)</f>
        <v>3.9992399999999901</v>
      </c>
      <c r="J599" s="586" t="str">
        <f ca="1">IFERROR(__xludf.DUMMYFUNCTION("""COMPUTED_VALUE""")," 25.00 ")</f>
        <v xml:space="preserve"> 25.00 </v>
      </c>
      <c r="K599" s="584" t="str">
        <f ca="1">IFERROR(__xludf.DUMMYFUNCTION("""COMPUTED_VALUE"""),"2.00")</f>
        <v>2.00</v>
      </c>
      <c r="L599" s="584">
        <f ca="1">IFERROR(__xludf.DUMMYFUNCTION("""COMPUTED_VALUE"""),3)</f>
        <v>3</v>
      </c>
      <c r="M599" s="584"/>
      <c r="N599" s="584" t="str">
        <f ca="1">IFERROR(__xludf.DUMMYFUNCTION("""COMPUTED_VALUE"""),"Dị_D&lt;54")</f>
        <v>Dị_D&lt;54</v>
      </c>
      <c r="O599" s="583"/>
      <c r="P599" s="584"/>
    </row>
    <row r="600" spans="1:16" ht="15.75">
      <c r="A600" s="587" t="str">
        <f ca="1">IFERROR(__xludf.DUMMYFUNCTION("""COMPUTED_VALUE"""),"Toàn Phát - Việt Nam")</f>
        <v>Toàn Phát - Việt Nam</v>
      </c>
      <c r="B600" s="587" t="str">
        <f ca="1">IFERROR(__xludf.DUMMYFUNCTION("""COMPUTED_VALUE"""),"ĐTPCAYDI")</f>
        <v>ĐTPCAYDI</v>
      </c>
      <c r="C600" s="587" t="str">
        <f ca="1">IFERROR(__xludf.DUMMYFUNCTION("""COMPUTED_VALUE"""),"DOT250023030")</f>
        <v>DOT250023030</v>
      </c>
      <c r="D600" s="588" t="str">
        <f ca="1">IFERROR(__xludf.DUMMYFUNCTION("""COMPUTED_VALUE"""),"Đồng ống thẳng 25.00x2.30x3.0")</f>
        <v>Đồng ống thẳng 25.00x2.30x3.0</v>
      </c>
      <c r="E600" s="589">
        <f ca="1">IFERROR(__xludf.DUMMYFUNCTION("""COMPUTED_VALUE"""),0.1)</f>
        <v>0.1</v>
      </c>
      <c r="F600" s="590" t="str">
        <f ca="1">IFERROR(__xludf.DUMMYFUNCTION("""COMPUTED_VALUE"""),"Cây")</f>
        <v>Cây</v>
      </c>
      <c r="G600" s="590" t="str">
        <f ca="1">IFERROR(__xludf.DUMMYFUNCTION("""COMPUTED_VALUE"""),"Cây 3m")</f>
        <v>Cây 3m</v>
      </c>
      <c r="H600" s="588"/>
      <c r="I600" s="591">
        <f ca="1">IFERROR(__xludf.DUMMYFUNCTION("""COMPUTED_VALUE"""),4.53913739999999)</f>
        <v>4.5391373999999898</v>
      </c>
      <c r="J600" s="592" t="str">
        <f ca="1">IFERROR(__xludf.DUMMYFUNCTION("""COMPUTED_VALUE""")," 25.00 ")</f>
        <v xml:space="preserve"> 25.00 </v>
      </c>
      <c r="K600" s="590" t="str">
        <f ca="1">IFERROR(__xludf.DUMMYFUNCTION("""COMPUTED_VALUE"""),"2.30")</f>
        <v>2.30</v>
      </c>
      <c r="L600" s="590">
        <f ca="1">IFERROR(__xludf.DUMMYFUNCTION("""COMPUTED_VALUE"""),3)</f>
        <v>3</v>
      </c>
      <c r="M600" s="590"/>
      <c r="N600" s="590" t="str">
        <f ca="1">IFERROR(__xludf.DUMMYFUNCTION("""COMPUTED_VALUE"""),"Dị_D&lt;54")</f>
        <v>Dị_D&lt;54</v>
      </c>
      <c r="O600" s="589"/>
      <c r="P600" s="590"/>
    </row>
    <row r="601" spans="1:16" ht="15.75">
      <c r="A601" s="581" t="str">
        <f ca="1">IFERROR(__xludf.DUMMYFUNCTION("""COMPUTED_VALUE"""),"Toàn Phát - Việt Nam")</f>
        <v>Toàn Phát - Việt Nam</v>
      </c>
      <c r="B601" s="581" t="str">
        <f ca="1">IFERROR(__xludf.DUMMYFUNCTION("""COMPUTED_VALUE"""),"ĐTPCAYDI")</f>
        <v>ĐTPCAYDI</v>
      </c>
      <c r="C601" s="581" t="str">
        <f ca="1">IFERROR(__xludf.DUMMYFUNCTION("""COMPUTED_VALUE"""),"DOT250025030")</f>
        <v>DOT250025030</v>
      </c>
      <c r="D601" s="582" t="str">
        <f ca="1">IFERROR(__xludf.DUMMYFUNCTION("""COMPUTED_VALUE"""),"Đồng ống thẳng 25.00x2.50x3.0")</f>
        <v>Đồng ống thẳng 25.00x2.50x3.0</v>
      </c>
      <c r="E601" s="583">
        <f ca="1">IFERROR(__xludf.DUMMYFUNCTION("""COMPUTED_VALUE"""),0.1)</f>
        <v>0.1</v>
      </c>
      <c r="F601" s="584" t="str">
        <f ca="1">IFERROR(__xludf.DUMMYFUNCTION("""COMPUTED_VALUE"""),"Cây")</f>
        <v>Cây</v>
      </c>
      <c r="G601" s="584" t="str">
        <f ca="1">IFERROR(__xludf.DUMMYFUNCTION("""COMPUTED_VALUE"""),"Cây 3m")</f>
        <v>Cây 3m</v>
      </c>
      <c r="H601" s="582"/>
      <c r="I601" s="585">
        <f ca="1">IFERROR(__xludf.DUMMYFUNCTION("""COMPUTED_VALUE"""),4.890375)</f>
        <v>4.8903749999999997</v>
      </c>
      <c r="J601" s="586" t="str">
        <f ca="1">IFERROR(__xludf.DUMMYFUNCTION("""COMPUTED_VALUE""")," 25.00 ")</f>
        <v xml:space="preserve"> 25.00 </v>
      </c>
      <c r="K601" s="584" t="str">
        <f ca="1">IFERROR(__xludf.DUMMYFUNCTION("""COMPUTED_VALUE"""),"2.50")</f>
        <v>2.50</v>
      </c>
      <c r="L601" s="584">
        <f ca="1">IFERROR(__xludf.DUMMYFUNCTION("""COMPUTED_VALUE"""),3)</f>
        <v>3</v>
      </c>
      <c r="M601" s="584"/>
      <c r="N601" s="584" t="str">
        <f ca="1">IFERROR(__xludf.DUMMYFUNCTION("""COMPUTED_VALUE"""),"Dị_D&lt;54")</f>
        <v>Dị_D&lt;54</v>
      </c>
      <c r="O601" s="583"/>
      <c r="P601" s="584"/>
    </row>
    <row r="602" spans="1:16" ht="15.75">
      <c r="A602" s="587" t="str">
        <f ca="1">IFERROR(__xludf.DUMMYFUNCTION("""COMPUTED_VALUE"""),"Toàn Phát - Việt Nam")</f>
        <v>Toàn Phát - Việt Nam</v>
      </c>
      <c r="B602" s="587" t="str">
        <f ca="1">IFERROR(__xludf.DUMMYFUNCTION("""COMPUTED_VALUE"""),"ĐTPCAYDI")</f>
        <v>ĐTPCAYDI</v>
      </c>
      <c r="C602" s="587" t="str">
        <f ca="1">IFERROR(__xludf.DUMMYFUNCTION("""COMPUTED_VALUE"""),"DOT250025040")</f>
        <v>DOT250025040</v>
      </c>
      <c r="D602" s="588" t="str">
        <f ca="1">IFERROR(__xludf.DUMMYFUNCTION("""COMPUTED_VALUE"""),"Đồng ống thẳng 25.00x2.50x4.0")</f>
        <v>Đồng ống thẳng 25.00x2.50x4.0</v>
      </c>
      <c r="E602" s="589">
        <f ca="1">IFERROR(__xludf.DUMMYFUNCTION("""COMPUTED_VALUE"""),0.1)</f>
        <v>0.1</v>
      </c>
      <c r="F602" s="590" t="str">
        <f ca="1">IFERROR(__xludf.DUMMYFUNCTION("""COMPUTED_VALUE"""),"Cây")</f>
        <v>Cây</v>
      </c>
      <c r="G602" s="590" t="str">
        <f ca="1">IFERROR(__xludf.DUMMYFUNCTION("""COMPUTED_VALUE"""),"Cây 4m")</f>
        <v>Cây 4m</v>
      </c>
      <c r="H602" s="588"/>
      <c r="I602" s="591">
        <f ca="1">IFERROR(__xludf.DUMMYFUNCTION("""COMPUTED_VALUE"""),6.52049999999999)</f>
        <v>6.5204999999999904</v>
      </c>
      <c r="J602" s="592" t="str">
        <f ca="1">IFERROR(__xludf.DUMMYFUNCTION("""COMPUTED_VALUE""")," 25.00 ")</f>
        <v xml:space="preserve"> 25.00 </v>
      </c>
      <c r="K602" s="590" t="str">
        <f ca="1">IFERROR(__xludf.DUMMYFUNCTION("""COMPUTED_VALUE"""),"2.50")</f>
        <v>2.50</v>
      </c>
      <c r="L602" s="590">
        <f ca="1">IFERROR(__xludf.DUMMYFUNCTION("""COMPUTED_VALUE"""),4)</f>
        <v>4</v>
      </c>
      <c r="M602" s="590"/>
      <c r="N602" s="590" t="str">
        <f ca="1">IFERROR(__xludf.DUMMYFUNCTION("""COMPUTED_VALUE"""),"Dị_D&lt;54")</f>
        <v>Dị_D&lt;54</v>
      </c>
      <c r="O602" s="589"/>
      <c r="P602" s="590"/>
    </row>
    <row r="603" spans="1:16" ht="15.75">
      <c r="A603" s="581" t="str">
        <f ca="1">IFERROR(__xludf.DUMMYFUNCTION("""COMPUTED_VALUE"""),"Toàn Phát - Việt Nam")</f>
        <v>Toàn Phát - Việt Nam</v>
      </c>
      <c r="B603" s="581" t="str">
        <f ca="1">IFERROR(__xludf.DUMMYFUNCTION("""COMPUTED_VALUE"""),"ĐTPCAYDI")</f>
        <v>ĐTPCAYDI</v>
      </c>
      <c r="C603" s="581" t="str">
        <f ca="1">IFERROR(__xludf.DUMMYFUNCTION("""COMPUTED_VALUE"""),"DOT250030030")</f>
        <v>DOT250030030</v>
      </c>
      <c r="D603" s="582" t="str">
        <f ca="1">IFERROR(__xludf.DUMMYFUNCTION("""COMPUTED_VALUE"""),"Đồng ống thẳng 25.00x3.0x3.0")</f>
        <v>Đồng ống thẳng 25.00x3.0x3.0</v>
      </c>
      <c r="E603" s="583">
        <f ca="1">IFERROR(__xludf.DUMMYFUNCTION("""COMPUTED_VALUE"""),0.1)</f>
        <v>0.1</v>
      </c>
      <c r="F603" s="584" t="str">
        <f ca="1">IFERROR(__xludf.DUMMYFUNCTION("""COMPUTED_VALUE"""),"Cây")</f>
        <v>Cây</v>
      </c>
      <c r="G603" s="584" t="str">
        <f ca="1">IFERROR(__xludf.DUMMYFUNCTION("""COMPUTED_VALUE"""),"Cây 3m")</f>
        <v>Cây 3m</v>
      </c>
      <c r="H603" s="582"/>
      <c r="I603" s="585">
        <f ca="1">IFERROR(__xludf.DUMMYFUNCTION("""COMPUTED_VALUE"""),5.73804)</f>
        <v>5.7380399999999998</v>
      </c>
      <c r="J603" s="586" t="str">
        <f ca="1">IFERROR(__xludf.DUMMYFUNCTION("""COMPUTED_VALUE""")," 25.00 ")</f>
        <v xml:space="preserve"> 25.00 </v>
      </c>
      <c r="K603" s="584" t="str">
        <f ca="1">IFERROR(__xludf.DUMMYFUNCTION("""COMPUTED_VALUE"""),"3.00")</f>
        <v>3.00</v>
      </c>
      <c r="L603" s="584">
        <f ca="1">IFERROR(__xludf.DUMMYFUNCTION("""COMPUTED_VALUE"""),3)</f>
        <v>3</v>
      </c>
      <c r="M603" s="584"/>
      <c r="N603" s="584" t="str">
        <f ca="1">IFERROR(__xludf.DUMMYFUNCTION("""COMPUTED_VALUE"""),"Dị_D&lt;54")</f>
        <v>Dị_D&lt;54</v>
      </c>
      <c r="O603" s="583"/>
      <c r="P603" s="584"/>
    </row>
    <row r="604" spans="1:16" ht="15.75">
      <c r="A604" s="587" t="str">
        <f ca="1">IFERROR(__xludf.DUMMYFUNCTION("""COMPUTED_VALUE"""),"Toàn Phát - Việt Nam")</f>
        <v>Toàn Phát - Việt Nam</v>
      </c>
      <c r="B604" s="587" t="str">
        <f ca="1">IFERROR(__xludf.DUMMYFUNCTION("""COMPUTED_VALUE"""),"ĐTPCAYDI")</f>
        <v>ĐTPCAYDI</v>
      </c>
      <c r="C604" s="587" t="str">
        <f ca="1">IFERROR(__xludf.DUMMYFUNCTION("""COMPUTED_VALUE"""),"DOT2540102")</f>
        <v>DOT2540102</v>
      </c>
      <c r="D604" s="588" t="str">
        <f ca="1">IFERROR(__xludf.DUMMYFUNCTION("""COMPUTED_VALUE"""),"Đồng ống thẳng 25.40x1.02")</f>
        <v>Đồng ống thẳng 25.40x1.02</v>
      </c>
      <c r="E604" s="589">
        <f ca="1">IFERROR(__xludf.DUMMYFUNCTION("""COMPUTED_VALUE"""),0.1)</f>
        <v>0.1</v>
      </c>
      <c r="F604" s="590" t="str">
        <f ca="1">IFERROR(__xludf.DUMMYFUNCTION("""COMPUTED_VALUE"""),"Cây")</f>
        <v>Cây</v>
      </c>
      <c r="G604" s="590" t="str">
        <f ca="1">IFERROR(__xludf.DUMMYFUNCTION("""COMPUTED_VALUE"""),"Cây 2.9m")</f>
        <v>Cây 2.9m</v>
      </c>
      <c r="H604" s="588" t="str">
        <f ca="1">IFERROR(__xludf.DUMMYFUNCTION("""COMPUTED_VALUE"""),"15")</f>
        <v>15</v>
      </c>
      <c r="I604" s="591">
        <f ca="1">IFERROR(__xludf.DUMMYFUNCTION("""COMPUTED_VALUE"""),2.08992283919999)</f>
        <v>2.08992283919999</v>
      </c>
      <c r="J604" s="592" t="str">
        <f ca="1">IFERROR(__xludf.DUMMYFUNCTION("""COMPUTED_VALUE""")," 25.40 ")</f>
        <v xml:space="preserve"> 25.40 </v>
      </c>
      <c r="K604" s="590" t="str">
        <f ca="1">IFERROR(__xludf.DUMMYFUNCTION("""COMPUTED_VALUE"""),"1.02")</f>
        <v>1.02</v>
      </c>
      <c r="L604" s="590">
        <f ca="1">IFERROR(__xludf.DUMMYFUNCTION("""COMPUTED_VALUE"""),2.9)</f>
        <v>2.9</v>
      </c>
      <c r="M604" s="590"/>
      <c r="N604" s="590" t="str">
        <f ca="1">IFERROR(__xludf.DUMMYFUNCTION("""COMPUTED_VALUE"""),"Dị_D&lt;54")</f>
        <v>Dị_D&lt;54</v>
      </c>
      <c r="O604" s="589"/>
      <c r="P604" s="590"/>
    </row>
    <row r="605" spans="1:16" ht="15.75">
      <c r="A605" s="581" t="str">
        <f ca="1">IFERROR(__xludf.DUMMYFUNCTION("""COMPUTED_VALUE"""),"Toàn Phát - Việt Nam")</f>
        <v>Toàn Phát - Việt Nam</v>
      </c>
      <c r="B605" s="581" t="str">
        <f ca="1">IFERROR(__xludf.DUMMYFUNCTION("""COMPUTED_VALUE"""),"ĐTPCAYDI")</f>
        <v>ĐTPCAYDI</v>
      </c>
      <c r="C605" s="581" t="str">
        <f ca="1">IFERROR(__xludf.DUMMYFUNCTION("""COMPUTED_VALUE"""),"DOT2540070")</f>
        <v>DOT2540070</v>
      </c>
      <c r="D605" s="582" t="str">
        <f ca="1">IFERROR(__xludf.DUMMYFUNCTION("""COMPUTED_VALUE"""),"Đồng ống thẳng 25.40x0.70")</f>
        <v>Đồng ống thẳng 25.40x0.70</v>
      </c>
      <c r="E605" s="583">
        <f ca="1">IFERROR(__xludf.DUMMYFUNCTION("""COMPUTED_VALUE"""),0.1)</f>
        <v>0.1</v>
      </c>
      <c r="F605" s="584" t="str">
        <f ca="1">IFERROR(__xludf.DUMMYFUNCTION("""COMPUTED_VALUE"""),"Cây")</f>
        <v>Cây</v>
      </c>
      <c r="G605" s="584" t="str">
        <f ca="1">IFERROR(__xludf.DUMMYFUNCTION("""COMPUTED_VALUE"""),"Cây 2.9m")</f>
        <v>Cây 2.9m</v>
      </c>
      <c r="H605" s="582" t="str">
        <f ca="1">IFERROR(__xludf.DUMMYFUNCTION("""COMPUTED_VALUE"""),"15")</f>
        <v>15</v>
      </c>
      <c r="I605" s="585">
        <f ca="1">IFERROR(__xludf.DUMMYFUNCTION("""COMPUTED_VALUE"""),1.45308618)</f>
        <v>1.4530861799999999</v>
      </c>
      <c r="J605" s="586" t="str">
        <f ca="1">IFERROR(__xludf.DUMMYFUNCTION("""COMPUTED_VALUE""")," 25.40 ")</f>
        <v xml:space="preserve"> 25.40 </v>
      </c>
      <c r="K605" s="584" t="str">
        <f ca="1">IFERROR(__xludf.DUMMYFUNCTION("""COMPUTED_VALUE"""),"0.70")</f>
        <v>0.70</v>
      </c>
      <c r="L605" s="584">
        <f ca="1">IFERROR(__xludf.DUMMYFUNCTION("""COMPUTED_VALUE"""),2.9)</f>
        <v>2.9</v>
      </c>
      <c r="M605" s="584"/>
      <c r="N605" s="584" t="str">
        <f ca="1">IFERROR(__xludf.DUMMYFUNCTION("""COMPUTED_VALUE"""),"Dị_D&lt;54")</f>
        <v>Dị_D&lt;54</v>
      </c>
      <c r="O605" s="583"/>
      <c r="P605" s="584"/>
    </row>
    <row r="606" spans="1:16" ht="15.75">
      <c r="A606" s="587" t="str">
        <f ca="1">IFERROR(__xludf.DUMMYFUNCTION("""COMPUTED_VALUE"""),"Toàn Phát - Việt Nam")</f>
        <v>Toàn Phát - Việt Nam</v>
      </c>
      <c r="B606" s="587" t="str">
        <f ca="1">IFERROR(__xludf.DUMMYFUNCTION("""COMPUTED_VALUE"""),"ĐTPCAYDI")</f>
        <v>ĐTPCAYDI</v>
      </c>
      <c r="C606" s="587" t="str">
        <f ca="1">IFERROR(__xludf.DUMMYFUNCTION("""COMPUTED_VALUE"""),"DOT2540071")</f>
        <v>DOT2540071</v>
      </c>
      <c r="D606" s="588" t="str">
        <f ca="1">IFERROR(__xludf.DUMMYFUNCTION("""COMPUTED_VALUE"""),"Đồng ống thẳng 25.40x0.71")</f>
        <v>Đồng ống thẳng 25.40x0.71</v>
      </c>
      <c r="E606" s="589">
        <f ca="1">IFERROR(__xludf.DUMMYFUNCTION("""COMPUTED_VALUE"""),0.1)</f>
        <v>0.1</v>
      </c>
      <c r="F606" s="590" t="str">
        <f ca="1">IFERROR(__xludf.DUMMYFUNCTION("""COMPUTED_VALUE"""),"Cây")</f>
        <v>Cây</v>
      </c>
      <c r="G606" s="590" t="str">
        <f ca="1">IFERROR(__xludf.DUMMYFUNCTION("""COMPUTED_VALUE"""),"Cây 2.9m")</f>
        <v>Cây 2.9m</v>
      </c>
      <c r="H606" s="588" t="str">
        <f ca="1">IFERROR(__xludf.DUMMYFUNCTION("""COMPUTED_VALUE"""),"15")</f>
        <v>15</v>
      </c>
      <c r="I606" s="591">
        <f ca="1">IFERROR(__xludf.DUMMYFUNCTION("""COMPUTED_VALUE"""),1.4732478558)</f>
        <v>1.4732478558</v>
      </c>
      <c r="J606" s="592" t="str">
        <f ca="1">IFERROR(__xludf.DUMMYFUNCTION("""COMPUTED_VALUE""")," 25.40 ")</f>
        <v xml:space="preserve"> 25.40 </v>
      </c>
      <c r="K606" s="590" t="str">
        <f ca="1">IFERROR(__xludf.DUMMYFUNCTION("""COMPUTED_VALUE"""),"0.71")</f>
        <v>0.71</v>
      </c>
      <c r="L606" s="590">
        <f ca="1">IFERROR(__xludf.DUMMYFUNCTION("""COMPUTED_VALUE"""),2.9)</f>
        <v>2.9</v>
      </c>
      <c r="M606" s="590"/>
      <c r="N606" s="590" t="str">
        <f ca="1">IFERROR(__xludf.DUMMYFUNCTION("""COMPUTED_VALUE"""),"Dị_D&lt;54")</f>
        <v>Dị_D&lt;54</v>
      </c>
      <c r="O606" s="589"/>
      <c r="P606" s="590"/>
    </row>
    <row r="607" spans="1:16" ht="15.75">
      <c r="A607" s="581" t="str">
        <f ca="1">IFERROR(__xludf.DUMMYFUNCTION("""COMPUTED_VALUE"""),"Toàn Phát - Việt Nam")</f>
        <v>Toàn Phát - Việt Nam</v>
      </c>
      <c r="B607" s="581" t="str">
        <f ca="1">IFERROR(__xludf.DUMMYFUNCTION("""COMPUTED_VALUE"""),"ĐTPCAYDI")</f>
        <v>ĐTPCAYDI</v>
      </c>
      <c r="C607" s="581" t="str">
        <f ca="1">IFERROR(__xludf.DUMMYFUNCTION("""COMPUTED_VALUE"""),"DOT2540075")</f>
        <v>DOT2540075</v>
      </c>
      <c r="D607" s="582" t="str">
        <f ca="1">IFERROR(__xludf.DUMMYFUNCTION("""COMPUTED_VALUE"""),"Đồng ống thẳng 25.40x0.75")</f>
        <v>Đồng ống thẳng 25.40x0.75</v>
      </c>
      <c r="E607" s="583">
        <f ca="1">IFERROR(__xludf.DUMMYFUNCTION("""COMPUTED_VALUE"""),0.1)</f>
        <v>0.1</v>
      </c>
      <c r="F607" s="584" t="str">
        <f ca="1">IFERROR(__xludf.DUMMYFUNCTION("""COMPUTED_VALUE"""),"Cây")</f>
        <v>Cây</v>
      </c>
      <c r="G607" s="584" t="str">
        <f ca="1">IFERROR(__xludf.DUMMYFUNCTION("""COMPUTED_VALUE"""),"Cây 2.9m")</f>
        <v>Cây 2.9m</v>
      </c>
      <c r="H607" s="582" t="str">
        <f ca="1">IFERROR(__xludf.DUMMYFUNCTION("""COMPUTED_VALUE"""),"15")</f>
        <v>15</v>
      </c>
      <c r="I607" s="585">
        <f ca="1">IFERROR(__xludf.DUMMYFUNCTION("""COMPUTED_VALUE"""),1.55372647499999)</f>
        <v>1.5537264749999899</v>
      </c>
      <c r="J607" s="586" t="str">
        <f ca="1">IFERROR(__xludf.DUMMYFUNCTION("""COMPUTED_VALUE""")," 25.40 ")</f>
        <v xml:space="preserve"> 25.40 </v>
      </c>
      <c r="K607" s="584" t="str">
        <f ca="1">IFERROR(__xludf.DUMMYFUNCTION("""COMPUTED_VALUE"""),"0.75")</f>
        <v>0.75</v>
      </c>
      <c r="L607" s="584">
        <f ca="1">IFERROR(__xludf.DUMMYFUNCTION("""COMPUTED_VALUE"""),2.9)</f>
        <v>2.9</v>
      </c>
      <c r="M607" s="584"/>
      <c r="N607" s="584" t="str">
        <f ca="1">IFERROR(__xludf.DUMMYFUNCTION("""COMPUTED_VALUE"""),"Dị_D&lt;54")</f>
        <v>Dị_D&lt;54</v>
      </c>
      <c r="O607" s="583"/>
      <c r="P607" s="584"/>
    </row>
    <row r="608" spans="1:16" ht="15.75">
      <c r="A608" s="587" t="str">
        <f ca="1">IFERROR(__xludf.DUMMYFUNCTION("""COMPUTED_VALUE"""),"Toàn Phát - Việt Nam")</f>
        <v>Toàn Phát - Việt Nam</v>
      </c>
      <c r="B608" s="587" t="str">
        <f ca="1">IFERROR(__xludf.DUMMYFUNCTION("""COMPUTED_VALUE"""),"ĐTPCAYDI")</f>
        <v>ĐTPCAYDI</v>
      </c>
      <c r="C608" s="587" t="str">
        <f ca="1">IFERROR(__xludf.DUMMYFUNCTION("""COMPUTED_VALUE"""),"DOT2540080")</f>
        <v>DOT2540080</v>
      </c>
      <c r="D608" s="588" t="str">
        <f ca="1">IFERROR(__xludf.DUMMYFUNCTION("""COMPUTED_VALUE"""),"Đồng ống thẳng 25.40x0.80")</f>
        <v>Đồng ống thẳng 25.40x0.80</v>
      </c>
      <c r="E608" s="589">
        <f ca="1">IFERROR(__xludf.DUMMYFUNCTION("""COMPUTED_VALUE"""),0.1)</f>
        <v>0.1</v>
      </c>
      <c r="F608" s="590" t="str">
        <f ca="1">IFERROR(__xludf.DUMMYFUNCTION("""COMPUTED_VALUE"""),"Cây")</f>
        <v>Cây</v>
      </c>
      <c r="G608" s="590" t="str">
        <f ca="1">IFERROR(__xludf.DUMMYFUNCTION("""COMPUTED_VALUE"""),"Cây 2.9m")</f>
        <v>Cây 2.9m</v>
      </c>
      <c r="H608" s="588" t="str">
        <f ca="1">IFERROR(__xludf.DUMMYFUNCTION("""COMPUTED_VALUE"""),"15")</f>
        <v>15</v>
      </c>
      <c r="I608" s="591">
        <f ca="1">IFERROR(__xludf.DUMMYFUNCTION("""COMPUTED_VALUE"""),1.65394655999999)</f>
        <v>1.6539465599999901</v>
      </c>
      <c r="J608" s="592" t="str">
        <f ca="1">IFERROR(__xludf.DUMMYFUNCTION("""COMPUTED_VALUE""")," 25.40 ")</f>
        <v xml:space="preserve"> 25.40 </v>
      </c>
      <c r="K608" s="590" t="str">
        <f ca="1">IFERROR(__xludf.DUMMYFUNCTION("""COMPUTED_VALUE"""),"0.80")</f>
        <v>0.80</v>
      </c>
      <c r="L608" s="590">
        <f ca="1">IFERROR(__xludf.DUMMYFUNCTION("""COMPUTED_VALUE"""),2.9)</f>
        <v>2.9</v>
      </c>
      <c r="M608" s="590"/>
      <c r="N608" s="590" t="str">
        <f ca="1">IFERROR(__xludf.DUMMYFUNCTION("""COMPUTED_VALUE"""),"Dị_D&lt;54")</f>
        <v>Dị_D&lt;54</v>
      </c>
      <c r="O608" s="589"/>
      <c r="P608" s="590"/>
    </row>
    <row r="609" spans="1:17" ht="15.75">
      <c r="A609" s="581" t="str">
        <f ca="1">IFERROR(__xludf.DUMMYFUNCTION("""COMPUTED_VALUE"""),"Toàn Phát - Việt Nam")</f>
        <v>Toàn Phát - Việt Nam</v>
      </c>
      <c r="B609" s="581" t="str">
        <f ca="1">IFERROR(__xludf.DUMMYFUNCTION("""COMPUTED_VALUE"""),"ĐTPCAYDI")</f>
        <v>ĐTPCAYDI</v>
      </c>
      <c r="C609" s="581" t="str">
        <f ca="1">IFERROR(__xludf.DUMMYFUNCTION("""COMPUTED_VALUE"""),"DOT2540081")</f>
        <v>DOT2540081</v>
      </c>
      <c r="D609" s="582" t="str">
        <f ca="1">IFERROR(__xludf.DUMMYFUNCTION("""COMPUTED_VALUE"""),"Đồng ống thẳng 25.40x0.81")</f>
        <v>Đồng ống thẳng 25.40x0.81</v>
      </c>
      <c r="E609" s="583">
        <f ca="1">IFERROR(__xludf.DUMMYFUNCTION("""COMPUTED_VALUE"""),0.1)</f>
        <v>0.1</v>
      </c>
      <c r="F609" s="584" t="str">
        <f ca="1">IFERROR(__xludf.DUMMYFUNCTION("""COMPUTED_VALUE"""),"Cây")</f>
        <v>Cây</v>
      </c>
      <c r="G609" s="584" t="str">
        <f ca="1">IFERROR(__xludf.DUMMYFUNCTION("""COMPUTED_VALUE"""),"Cây 2.9m")</f>
        <v>Cây 2.9m</v>
      </c>
      <c r="H609" s="582" t="str">
        <f ca="1">IFERROR(__xludf.DUMMYFUNCTION("""COMPUTED_VALUE"""),"15")</f>
        <v>15</v>
      </c>
      <c r="I609" s="585">
        <f ca="1">IFERROR(__xludf.DUMMYFUNCTION("""COMPUTED_VALUE"""),1.67394015179999)</f>
        <v>1.6739401517999899</v>
      </c>
      <c r="J609" s="586" t="str">
        <f ca="1">IFERROR(__xludf.DUMMYFUNCTION("""COMPUTED_VALUE""")," 25.40 ")</f>
        <v xml:space="preserve"> 25.40 </v>
      </c>
      <c r="K609" s="584" t="str">
        <f ca="1">IFERROR(__xludf.DUMMYFUNCTION("""COMPUTED_VALUE"""),"0.81")</f>
        <v>0.81</v>
      </c>
      <c r="L609" s="584">
        <f ca="1">IFERROR(__xludf.DUMMYFUNCTION("""COMPUTED_VALUE"""),2.9)</f>
        <v>2.9</v>
      </c>
      <c r="M609" s="584"/>
      <c r="N609" s="584" t="str">
        <f ca="1">IFERROR(__xludf.DUMMYFUNCTION("""COMPUTED_VALUE"""),"Dị_D&lt;54")</f>
        <v>Dị_D&lt;54</v>
      </c>
      <c r="O609" s="583"/>
      <c r="P609" s="584"/>
    </row>
    <row r="610" spans="1:17" ht="15.75">
      <c r="A610" s="587" t="str">
        <f ca="1">IFERROR(__xludf.DUMMYFUNCTION("""COMPUTED_VALUE"""),"Toàn Phát - Việt Nam")</f>
        <v>Toàn Phát - Việt Nam</v>
      </c>
      <c r="B610" s="587" t="str">
        <f ca="1">IFERROR(__xludf.DUMMYFUNCTION("""COMPUTED_VALUE"""),"ĐTPCAYDI")</f>
        <v>ĐTPCAYDI</v>
      </c>
      <c r="C610" s="587" t="str">
        <f ca="1">IFERROR(__xludf.DUMMYFUNCTION("""COMPUTED_VALUE"""),"DOT2540085")</f>
        <v>DOT2540085</v>
      </c>
      <c r="D610" s="588" t="str">
        <f ca="1">IFERROR(__xludf.DUMMYFUNCTION("""COMPUTED_VALUE"""),"Đồng ống thẳng 25.40x0.85")</f>
        <v>Đồng ống thẳng 25.40x0.85</v>
      </c>
      <c r="E610" s="589">
        <f ca="1">IFERROR(__xludf.DUMMYFUNCTION("""COMPUTED_VALUE"""),0.1)</f>
        <v>0.1</v>
      </c>
      <c r="F610" s="590" t="str">
        <f ca="1">IFERROR(__xludf.DUMMYFUNCTION("""COMPUTED_VALUE"""),"Cây")</f>
        <v>Cây</v>
      </c>
      <c r="G610" s="590" t="str">
        <f ca="1">IFERROR(__xludf.DUMMYFUNCTION("""COMPUTED_VALUE"""),"Cây 2.9m")</f>
        <v>Cây 2.9m</v>
      </c>
      <c r="H610" s="588" t="str">
        <f ca="1">IFERROR(__xludf.DUMMYFUNCTION("""COMPUTED_VALUE"""),"15")</f>
        <v>15</v>
      </c>
      <c r="I610" s="591">
        <f ca="1">IFERROR(__xludf.DUMMYFUNCTION("""COMPUTED_VALUE"""),1.75374643499999)</f>
        <v>1.7537464349999901</v>
      </c>
      <c r="J610" s="592" t="str">
        <f ca="1">IFERROR(__xludf.DUMMYFUNCTION("""COMPUTED_VALUE""")," 25.40 ")</f>
        <v xml:space="preserve"> 25.40 </v>
      </c>
      <c r="K610" s="590" t="str">
        <f ca="1">IFERROR(__xludf.DUMMYFUNCTION("""COMPUTED_VALUE"""),"0.85")</f>
        <v>0.85</v>
      </c>
      <c r="L610" s="590">
        <f ca="1">IFERROR(__xludf.DUMMYFUNCTION("""COMPUTED_VALUE"""),2.9)</f>
        <v>2.9</v>
      </c>
      <c r="M610" s="590"/>
      <c r="N610" s="590" t="str">
        <f ca="1">IFERROR(__xludf.DUMMYFUNCTION("""COMPUTED_VALUE"""),"Dị_D&lt;54")</f>
        <v>Dị_D&lt;54</v>
      </c>
      <c r="O610" s="589"/>
      <c r="P610" s="590"/>
    </row>
    <row r="611" spans="1:17" ht="15.75">
      <c r="A611" s="581" t="str">
        <f ca="1">IFERROR(__xludf.DUMMYFUNCTION("""COMPUTED_VALUE"""),"Toàn Phát - Việt Nam")</f>
        <v>Toàn Phát - Việt Nam</v>
      </c>
      <c r="B611" s="581" t="str">
        <f ca="1">IFERROR(__xludf.DUMMYFUNCTION("""COMPUTED_VALUE"""),"ĐTPCAYDI")</f>
        <v>ĐTPCAYDI</v>
      </c>
      <c r="C611" s="581" t="str">
        <f ca="1">IFERROR(__xludf.DUMMYFUNCTION("""COMPUTED_VALUE"""),"DOT2540090")</f>
        <v>DOT2540090</v>
      </c>
      <c r="D611" s="582" t="str">
        <f ca="1">IFERROR(__xludf.DUMMYFUNCTION("""COMPUTED_VALUE"""),"Đồng ống thẳng 25.40x0.90")</f>
        <v>Đồng ống thẳng 25.40x0.90</v>
      </c>
      <c r="E611" s="583">
        <f ca="1">IFERROR(__xludf.DUMMYFUNCTION("""COMPUTED_VALUE"""),0.1)</f>
        <v>0.1</v>
      </c>
      <c r="F611" s="584" t="str">
        <f ca="1">IFERROR(__xludf.DUMMYFUNCTION("""COMPUTED_VALUE"""),"Cây")</f>
        <v>Cây</v>
      </c>
      <c r="G611" s="584" t="str">
        <f ca="1">IFERROR(__xludf.DUMMYFUNCTION("""COMPUTED_VALUE"""),"Cây 2.9m")</f>
        <v>Cây 2.9m</v>
      </c>
      <c r="H611" s="582" t="str">
        <f ca="1">IFERROR(__xludf.DUMMYFUNCTION("""COMPUTED_VALUE"""),"15")</f>
        <v>15</v>
      </c>
      <c r="I611" s="585">
        <f ca="1">IFERROR(__xludf.DUMMYFUNCTION("""COMPUTED_VALUE"""),1.8531261)</f>
        <v>1.8531261000000001</v>
      </c>
      <c r="J611" s="586" t="str">
        <f ca="1">IFERROR(__xludf.DUMMYFUNCTION("""COMPUTED_VALUE""")," 25.40 ")</f>
        <v xml:space="preserve"> 25.40 </v>
      </c>
      <c r="K611" s="584" t="str">
        <f ca="1">IFERROR(__xludf.DUMMYFUNCTION("""COMPUTED_VALUE"""),"0.90")</f>
        <v>0.90</v>
      </c>
      <c r="L611" s="584">
        <f ca="1">IFERROR(__xludf.DUMMYFUNCTION("""COMPUTED_VALUE"""),2.9)</f>
        <v>2.9</v>
      </c>
      <c r="M611" s="584"/>
      <c r="N611" s="584" t="str">
        <f ca="1">IFERROR(__xludf.DUMMYFUNCTION("""COMPUTED_VALUE"""),"Dị_D&lt;54")</f>
        <v>Dị_D&lt;54</v>
      </c>
      <c r="O611" s="583"/>
      <c r="P611" s="584"/>
    </row>
    <row r="612" spans="1:17" ht="15.75">
      <c r="A612" s="587" t="str">
        <f ca="1">IFERROR(__xludf.DUMMYFUNCTION("""COMPUTED_VALUE"""),"Toàn Phát - Việt Nam")</f>
        <v>Toàn Phát - Việt Nam</v>
      </c>
      <c r="B612" s="587" t="str">
        <f ca="1">IFERROR(__xludf.DUMMYFUNCTION("""COMPUTED_VALUE"""),"ĐTPCAYDI")</f>
        <v>ĐTPCAYDI</v>
      </c>
      <c r="C612" s="587" t="str">
        <f ca="1">IFERROR(__xludf.DUMMYFUNCTION("""COMPUTED_VALUE"""),"DOT2540095")</f>
        <v>DOT2540095</v>
      </c>
      <c r="D612" s="588" t="str">
        <f ca="1">IFERROR(__xludf.DUMMYFUNCTION("""COMPUTED_VALUE"""),"Đồng ống thẳng 25.40x0.95")</f>
        <v>Đồng ống thẳng 25.40x0.95</v>
      </c>
      <c r="E612" s="589">
        <f ca="1">IFERROR(__xludf.DUMMYFUNCTION("""COMPUTED_VALUE"""),0.1)</f>
        <v>0.1</v>
      </c>
      <c r="F612" s="590" t="str">
        <f ca="1">IFERROR(__xludf.DUMMYFUNCTION("""COMPUTED_VALUE"""),"Cây")</f>
        <v>Cây</v>
      </c>
      <c r="G612" s="590" t="str">
        <f ca="1">IFERROR(__xludf.DUMMYFUNCTION("""COMPUTED_VALUE"""),"Cây 2.9m")</f>
        <v>Cây 2.9m</v>
      </c>
      <c r="H612" s="588" t="str">
        <f ca="1">IFERROR(__xludf.DUMMYFUNCTION("""COMPUTED_VALUE"""),"15")</f>
        <v>15</v>
      </c>
      <c r="I612" s="591">
        <f ca="1">IFERROR(__xludf.DUMMYFUNCTION("""COMPUTED_VALUE"""),1.95208555499999)</f>
        <v>1.95208555499999</v>
      </c>
      <c r="J612" s="592" t="str">
        <f ca="1">IFERROR(__xludf.DUMMYFUNCTION("""COMPUTED_VALUE""")," 25.40 ")</f>
        <v xml:space="preserve"> 25.40 </v>
      </c>
      <c r="K612" s="590" t="str">
        <f ca="1">IFERROR(__xludf.DUMMYFUNCTION("""COMPUTED_VALUE"""),"0.95")</f>
        <v>0.95</v>
      </c>
      <c r="L612" s="590">
        <f ca="1">IFERROR(__xludf.DUMMYFUNCTION("""COMPUTED_VALUE"""),2.9)</f>
        <v>2.9</v>
      </c>
      <c r="M612" s="590"/>
      <c r="N612" s="590" t="str">
        <f ca="1">IFERROR(__xludf.DUMMYFUNCTION("""COMPUTED_VALUE"""),"Dị_D&lt;54")</f>
        <v>Dị_D&lt;54</v>
      </c>
      <c r="O612" s="589"/>
      <c r="P612" s="590"/>
    </row>
    <row r="613" spans="1:17" ht="15.75">
      <c r="A613" s="581" t="str">
        <f ca="1">IFERROR(__xludf.DUMMYFUNCTION("""COMPUTED_VALUE"""),"Toàn Phát - Việt Nam")</f>
        <v>Toàn Phát - Việt Nam</v>
      </c>
      <c r="B613" s="581" t="str">
        <f ca="1">IFERROR(__xludf.DUMMYFUNCTION("""COMPUTED_VALUE"""),"ĐTPCAYDI")</f>
        <v>ĐTPCAYDI</v>
      </c>
      <c r="C613" s="581" t="str">
        <f ca="1">IFERROR(__xludf.DUMMYFUNCTION("""COMPUTED_VALUE"""),"DOT254009558")</f>
        <v>DOT254009558</v>
      </c>
      <c r="D613" s="582" t="str">
        <f ca="1">IFERROR(__xludf.DUMMYFUNCTION("""COMPUTED_VALUE"""),"Đồng ống thẳng 25.40x0.95x5.8")</f>
        <v>Đồng ống thẳng 25.40x0.95x5.8</v>
      </c>
      <c r="E613" s="583">
        <f ca="1">IFERROR(__xludf.DUMMYFUNCTION("""COMPUTED_VALUE"""),0.1)</f>
        <v>0.1</v>
      </c>
      <c r="F613" s="584" t="str">
        <f ca="1">IFERROR(__xludf.DUMMYFUNCTION("""COMPUTED_VALUE"""),"Cây")</f>
        <v>Cây</v>
      </c>
      <c r="G613" s="584" t="str">
        <f ca="1">IFERROR(__xludf.DUMMYFUNCTION("""COMPUTED_VALUE"""),"Cây 5.8m")</f>
        <v>Cây 5.8m</v>
      </c>
      <c r="H613" s="582" t="str">
        <f ca="1">IFERROR(__xludf.DUMMYFUNCTION("""COMPUTED_VALUE"""),"15")</f>
        <v>15</v>
      </c>
      <c r="I613" s="585">
        <f ca="1">IFERROR(__xludf.DUMMYFUNCTION("""COMPUTED_VALUE"""),3.90417110999999)</f>
        <v>3.9041711099999898</v>
      </c>
      <c r="J613" s="586" t="str">
        <f ca="1">IFERROR(__xludf.DUMMYFUNCTION("""COMPUTED_VALUE""")," 25.40 ")</f>
        <v xml:space="preserve"> 25.40 </v>
      </c>
      <c r="K613" s="584" t="str">
        <f ca="1">IFERROR(__xludf.DUMMYFUNCTION("""COMPUTED_VALUE"""),"0.95")</f>
        <v>0.95</v>
      </c>
      <c r="L613" s="584">
        <f ca="1">IFERROR(__xludf.DUMMYFUNCTION("""COMPUTED_VALUE"""),5.8)</f>
        <v>5.8</v>
      </c>
      <c r="M613" s="584"/>
      <c r="N613" s="584" t="str">
        <f ca="1">IFERROR(__xludf.DUMMYFUNCTION("""COMPUTED_VALUE"""),"Dị_D&lt;54")</f>
        <v>Dị_D&lt;54</v>
      </c>
      <c r="O613" s="583"/>
      <c r="P613" s="584"/>
    </row>
    <row r="614" spans="1:17" ht="15.75">
      <c r="A614" s="587" t="str">
        <f ca="1">IFERROR(__xludf.DUMMYFUNCTION("""COMPUTED_VALUE"""),"Toàn Phát - Việt Nam")</f>
        <v>Toàn Phát - Việt Nam</v>
      </c>
      <c r="B614" s="587" t="str">
        <f ca="1">IFERROR(__xludf.DUMMYFUNCTION("""COMPUTED_VALUE"""),"ĐTPCAYDI")</f>
        <v>ĐTPCAYDI</v>
      </c>
      <c r="C614" s="587" t="str">
        <f ca="1">IFERROR(__xludf.DUMMYFUNCTION("""COMPUTED_VALUE"""),"DOT25401058")</f>
        <v>DOT25401058</v>
      </c>
      <c r="D614" s="588" t="str">
        <f ca="1">IFERROR(__xludf.DUMMYFUNCTION("""COMPUTED_VALUE"""),"Đồng ống thẳng 25.40x1.00x5.8")</f>
        <v>Đồng ống thẳng 25.40x1.00x5.8</v>
      </c>
      <c r="E614" s="589">
        <f ca="1">IFERROR(__xludf.DUMMYFUNCTION("""COMPUTED_VALUE"""),0.1)</f>
        <v>0.1</v>
      </c>
      <c r="F614" s="590" t="str">
        <f ca="1">IFERROR(__xludf.DUMMYFUNCTION("""COMPUTED_VALUE"""),"Cây")</f>
        <v>Cây</v>
      </c>
      <c r="G614" s="590" t="str">
        <f ca="1">IFERROR(__xludf.DUMMYFUNCTION("""COMPUTED_VALUE"""),"Cây 5.8m")</f>
        <v>Cây 5.8m</v>
      </c>
      <c r="H614" s="588" t="str">
        <f ca="1">IFERROR(__xludf.DUMMYFUNCTION("""COMPUTED_VALUE"""),"15")</f>
        <v>15</v>
      </c>
      <c r="I614" s="591">
        <f ca="1">IFERROR(__xludf.DUMMYFUNCTION("""COMPUTED_VALUE"""),4.10124959999999)</f>
        <v>4.1012495999999903</v>
      </c>
      <c r="J614" s="592" t="str">
        <f ca="1">IFERROR(__xludf.DUMMYFUNCTION("""COMPUTED_VALUE""")," 25.40 ")</f>
        <v xml:space="preserve"> 25.40 </v>
      </c>
      <c r="K614" s="590" t="str">
        <f ca="1">IFERROR(__xludf.DUMMYFUNCTION("""COMPUTED_VALUE"""),"1.00")</f>
        <v>1.00</v>
      </c>
      <c r="L614" s="590">
        <f ca="1">IFERROR(__xludf.DUMMYFUNCTION("""COMPUTED_VALUE"""),5.8)</f>
        <v>5.8</v>
      </c>
      <c r="M614" s="590"/>
      <c r="N614" s="590" t="str">
        <f ca="1">IFERROR(__xludf.DUMMYFUNCTION("""COMPUTED_VALUE"""),"Dị_D&lt;54")</f>
        <v>Dị_D&lt;54</v>
      </c>
      <c r="O614" s="589"/>
      <c r="P614" s="590"/>
    </row>
    <row r="615" spans="1:17" ht="15.75">
      <c r="A615" s="581" t="str">
        <f ca="1">IFERROR(__xludf.DUMMYFUNCTION("""COMPUTED_VALUE"""),"Toàn Phát - Việt Nam")</f>
        <v>Toàn Phát - Việt Nam</v>
      </c>
      <c r="B615" s="581" t="str">
        <f ca="1">IFERROR(__xludf.DUMMYFUNCTION("""COMPUTED_VALUE"""),"ĐTPCAYIB")</f>
        <v>ĐTPCAYIB</v>
      </c>
      <c r="C615" s="581" t="str">
        <f ca="1">IFERROR(__xludf.DUMMYFUNCTION("""COMPUTED_VALUE"""),"DOT2540100")</f>
        <v>DOT2540100</v>
      </c>
      <c r="D615" s="582" t="str">
        <f ca="1">IFERROR(__xludf.DUMMYFUNCTION("""COMPUTED_VALUE"""),"Đồng ống thẳng 25.40x1.00")</f>
        <v>Đồng ống thẳng 25.40x1.00</v>
      </c>
      <c r="E615" s="583">
        <f ca="1">IFERROR(__xludf.DUMMYFUNCTION("""COMPUTED_VALUE"""),0.1)</f>
        <v>0.1</v>
      </c>
      <c r="F615" s="584" t="str">
        <f ca="1">IFERROR(__xludf.DUMMYFUNCTION("""COMPUTED_VALUE"""),"Cây")</f>
        <v>Cây</v>
      </c>
      <c r="G615" s="584" t="str">
        <f ca="1">IFERROR(__xludf.DUMMYFUNCTION("""COMPUTED_VALUE"""),"Cây 2.9m")</f>
        <v>Cây 2.9m</v>
      </c>
      <c r="H615" s="582" t="str">
        <f ca="1">IFERROR(__xludf.DUMMYFUNCTION("""COMPUTED_VALUE"""),"15")</f>
        <v>15</v>
      </c>
      <c r="I615" s="585">
        <f ca="1">IFERROR(__xludf.DUMMYFUNCTION("""COMPUTED_VALUE"""),2.05062479999999)</f>
        <v>2.0506247999999898</v>
      </c>
      <c r="J615" s="586" t="str">
        <f ca="1">IFERROR(__xludf.DUMMYFUNCTION("""COMPUTED_VALUE""")," 25.40 ")</f>
        <v xml:space="preserve"> 25.40 </v>
      </c>
      <c r="K615" s="584" t="str">
        <f ca="1">IFERROR(__xludf.DUMMYFUNCTION("""COMPUTED_VALUE"""),"1.00")</f>
        <v>1.00</v>
      </c>
      <c r="L615" s="584">
        <f ca="1">IFERROR(__xludf.DUMMYFUNCTION("""COMPUTED_VALUE"""),2.9)</f>
        <v>2.9</v>
      </c>
      <c r="M615" s="584"/>
      <c r="N615" s="584" t="str">
        <f ca="1">IFERROR(__xludf.DUMMYFUNCTION("""COMPUTED_VALUE"""),"Ít bán")</f>
        <v>Ít bán</v>
      </c>
      <c r="O615" s="583"/>
      <c r="P615" s="584"/>
      <c r="Q615" s="885">
        <f ca="1">+$Q$5*I615</f>
        <v>471.64370399999763</v>
      </c>
    </row>
    <row r="616" spans="1:17" ht="15.75">
      <c r="A616" s="587" t="str">
        <f ca="1">IFERROR(__xludf.DUMMYFUNCTION("""COMPUTED_VALUE"""),"Toàn Phát - Việt Nam")</f>
        <v>Toàn Phát - Việt Nam</v>
      </c>
      <c r="B616" s="587" t="str">
        <f ca="1">IFERROR(__xludf.DUMMYFUNCTION("""COMPUTED_VALUE"""),"ĐTPCAYDI")</f>
        <v>ĐTPCAYDI</v>
      </c>
      <c r="C616" s="587" t="str">
        <f ca="1">IFERROR(__xludf.DUMMYFUNCTION("""COMPUTED_VALUE"""),"DOT2540110")</f>
        <v>DOT2540110</v>
      </c>
      <c r="D616" s="588" t="str">
        <f ca="1">IFERROR(__xludf.DUMMYFUNCTION("""COMPUTED_VALUE"""),"Đồng ống thẳng 25.4x1.10")</f>
        <v>Đồng ống thẳng 25.4x1.10</v>
      </c>
      <c r="E616" s="589">
        <f ca="1">IFERROR(__xludf.DUMMYFUNCTION("""COMPUTED_VALUE"""),0.1)</f>
        <v>0.1</v>
      </c>
      <c r="F616" s="590" t="str">
        <f ca="1">IFERROR(__xludf.DUMMYFUNCTION("""COMPUTED_VALUE"""),"Cây")</f>
        <v>Cây</v>
      </c>
      <c r="G616" s="590" t="str">
        <f ca="1">IFERROR(__xludf.DUMMYFUNCTION("""COMPUTED_VALUE"""),"Cây 2.9m")</f>
        <v>Cây 2.9m</v>
      </c>
      <c r="H616" s="588" t="str">
        <f ca="1">IFERROR(__xludf.DUMMYFUNCTION("""COMPUTED_VALUE"""),"15")</f>
        <v>15</v>
      </c>
      <c r="I616" s="591">
        <f ca="1">IFERROR(__xludf.DUMMYFUNCTION("""COMPUTED_VALUE"""),2.24644265999999)</f>
        <v>2.2464426599999898</v>
      </c>
      <c r="J616" s="592" t="str">
        <f ca="1">IFERROR(__xludf.DUMMYFUNCTION("""COMPUTED_VALUE""")," 25.40 ")</f>
        <v xml:space="preserve"> 25.40 </v>
      </c>
      <c r="K616" s="590" t="str">
        <f ca="1">IFERROR(__xludf.DUMMYFUNCTION("""COMPUTED_VALUE"""),"1.10")</f>
        <v>1.10</v>
      </c>
      <c r="L616" s="590">
        <f ca="1">IFERROR(__xludf.DUMMYFUNCTION("""COMPUTED_VALUE"""),2.9)</f>
        <v>2.9</v>
      </c>
      <c r="M616" s="590"/>
      <c r="N616" s="590" t="str">
        <f ca="1">IFERROR(__xludf.DUMMYFUNCTION("""COMPUTED_VALUE"""),"Dị_D&lt;54")</f>
        <v>Dị_D&lt;54</v>
      </c>
      <c r="O616" s="589"/>
      <c r="P616" s="590"/>
    </row>
    <row r="617" spans="1:17" ht="15.75">
      <c r="A617" s="581" t="str">
        <f ca="1">IFERROR(__xludf.DUMMYFUNCTION("""COMPUTED_VALUE"""),"Toàn Phát - Việt Nam")</f>
        <v>Toàn Phát - Việt Nam</v>
      </c>
      <c r="B617" s="581" t="str">
        <f ca="1">IFERROR(__xludf.DUMMYFUNCTION("""COMPUTED_VALUE"""),"ĐTPCAYDI")</f>
        <v>ĐTPCAYDI</v>
      </c>
      <c r="C617" s="581" t="str">
        <f ca="1">IFERROR(__xludf.DUMMYFUNCTION("""COMPUTED_VALUE"""),"DOT2540114")</f>
        <v>DOT2540114</v>
      </c>
      <c r="D617" s="582" t="str">
        <f ca="1">IFERROR(__xludf.DUMMYFUNCTION("""COMPUTED_VALUE"""),"Đồng ống thẳng 25.4x1.14")</f>
        <v>Đồng ống thẳng 25.4x1.14</v>
      </c>
      <c r="E617" s="583">
        <f ca="1">IFERROR(__xludf.DUMMYFUNCTION("""COMPUTED_VALUE"""),0.1)</f>
        <v>0.1</v>
      </c>
      <c r="F617" s="584" t="str">
        <f ca="1">IFERROR(__xludf.DUMMYFUNCTION("""COMPUTED_VALUE"""),"Cây")</f>
        <v>Cây</v>
      </c>
      <c r="G617" s="584" t="str">
        <f ca="1">IFERROR(__xludf.DUMMYFUNCTION("""COMPUTED_VALUE"""),"Cây 2.9m")</f>
        <v>Cây 2.9m</v>
      </c>
      <c r="H617" s="582" t="str">
        <f ca="1">IFERROR(__xludf.DUMMYFUNCTION("""COMPUTED_VALUE"""),"15")</f>
        <v>15</v>
      </c>
      <c r="I617" s="585">
        <f ca="1">IFERROR(__xludf.DUMMYFUNCTION("""COMPUTED_VALUE"""),2.32429916879999)</f>
        <v>2.3242991687999899</v>
      </c>
      <c r="J617" s="586" t="str">
        <f ca="1">IFERROR(__xludf.DUMMYFUNCTION("""COMPUTED_VALUE""")," 25.40 ")</f>
        <v xml:space="preserve"> 25.40 </v>
      </c>
      <c r="K617" s="584" t="str">
        <f ca="1">IFERROR(__xludf.DUMMYFUNCTION("""COMPUTED_VALUE"""),"1.14")</f>
        <v>1.14</v>
      </c>
      <c r="L617" s="584">
        <f ca="1">IFERROR(__xludf.DUMMYFUNCTION("""COMPUTED_VALUE"""),2.9)</f>
        <v>2.9</v>
      </c>
      <c r="M617" s="584"/>
      <c r="N617" s="584" t="str">
        <f ca="1">IFERROR(__xludf.DUMMYFUNCTION("""COMPUTED_VALUE"""),"Dị_D&lt;54")</f>
        <v>Dị_D&lt;54</v>
      </c>
      <c r="O617" s="583"/>
      <c r="P617" s="584"/>
    </row>
    <row r="618" spans="1:17" ht="15.75">
      <c r="A618" s="587" t="str">
        <f ca="1">IFERROR(__xludf.DUMMYFUNCTION("""COMPUTED_VALUE"""),"Toàn Phát - Việt Nam")</f>
        <v>Toàn Phát - Việt Nam</v>
      </c>
      <c r="B618" s="587" t="str">
        <f ca="1">IFERROR(__xludf.DUMMYFUNCTION("""COMPUTED_VALUE"""),"ĐTPCAYIB")</f>
        <v>ĐTPCAYIB</v>
      </c>
      <c r="C618" s="587" t="str">
        <f ca="1">IFERROR(__xludf.DUMMYFUNCTION("""COMPUTED_VALUE"""),"DOT2540120")</f>
        <v>DOT2540120</v>
      </c>
      <c r="D618" s="588" t="str">
        <f ca="1">IFERROR(__xludf.DUMMYFUNCTION("""COMPUTED_VALUE"""),"Đồng ống thẳng 25.40x1.20")</f>
        <v>Đồng ống thẳng 25.40x1.20</v>
      </c>
      <c r="E618" s="589">
        <f ca="1">IFERROR(__xludf.DUMMYFUNCTION("""COMPUTED_VALUE"""),0.1)</f>
        <v>0.1</v>
      </c>
      <c r="F618" s="590" t="str">
        <f ca="1">IFERROR(__xludf.DUMMYFUNCTION("""COMPUTED_VALUE"""),"Cây")</f>
        <v>Cây</v>
      </c>
      <c r="G618" s="590" t="str">
        <f ca="1">IFERROR(__xludf.DUMMYFUNCTION("""COMPUTED_VALUE"""),"Cây 2.9m")</f>
        <v>Cây 2.9m</v>
      </c>
      <c r="H618" s="588" t="str">
        <f ca="1">IFERROR(__xludf.DUMMYFUNCTION("""COMPUTED_VALUE"""),"15")</f>
        <v>15</v>
      </c>
      <c r="I618" s="591">
        <f ca="1">IFERROR(__xludf.DUMMYFUNCTION("""COMPUTED_VALUE"""),2.44057967999999)</f>
        <v>2.4405796799999901</v>
      </c>
      <c r="J618" s="592" t="str">
        <f ca="1">IFERROR(__xludf.DUMMYFUNCTION("""COMPUTED_VALUE""")," 25.40 ")</f>
        <v xml:space="preserve"> 25.40 </v>
      </c>
      <c r="K618" s="590" t="str">
        <f ca="1">IFERROR(__xludf.DUMMYFUNCTION("""COMPUTED_VALUE"""),"1.20")</f>
        <v>1.20</v>
      </c>
      <c r="L618" s="590">
        <f ca="1">IFERROR(__xludf.DUMMYFUNCTION("""COMPUTED_VALUE"""),2.9)</f>
        <v>2.9</v>
      </c>
      <c r="M618" s="590"/>
      <c r="N618" s="590" t="str">
        <f ca="1">IFERROR(__xludf.DUMMYFUNCTION("""COMPUTED_VALUE"""),"Ít bán")</f>
        <v>Ít bán</v>
      </c>
      <c r="O618" s="589"/>
      <c r="P618" s="590"/>
      <c r="Q618" s="885">
        <f ca="1">+$Q$5*I618</f>
        <v>561.33332639999765</v>
      </c>
    </row>
    <row r="619" spans="1:17" ht="15.75">
      <c r="A619" s="581" t="str">
        <f ca="1">IFERROR(__xludf.DUMMYFUNCTION("""COMPUTED_VALUE"""),"Toàn Phát - Việt Nam")</f>
        <v>Toàn Phát - Việt Nam</v>
      </c>
      <c r="B619" s="581" t="str">
        <f ca="1">IFERROR(__xludf.DUMMYFUNCTION("""COMPUTED_VALUE"""),"ĐTPCAYDI")</f>
        <v>ĐTPCAYDI</v>
      </c>
      <c r="C619" s="581" t="str">
        <f ca="1">IFERROR(__xludf.DUMMYFUNCTION("""COMPUTED_VALUE"""),"DOT2540165")</f>
        <v>DOT2540165</v>
      </c>
      <c r="D619" s="582" t="str">
        <f ca="1">IFERROR(__xludf.DUMMYFUNCTION("""COMPUTED_VALUE"""),"Đồng ống thẳng 25.4x1.65")</f>
        <v>Đồng ống thẳng 25.4x1.65</v>
      </c>
      <c r="E619" s="583">
        <f ca="1">IFERROR(__xludf.DUMMYFUNCTION("""COMPUTED_VALUE"""),0.1)</f>
        <v>0.1</v>
      </c>
      <c r="F619" s="584" t="str">
        <f ca="1">IFERROR(__xludf.DUMMYFUNCTION("""COMPUTED_VALUE"""),"Cây")</f>
        <v>Cây</v>
      </c>
      <c r="G619" s="584" t="str">
        <f ca="1">IFERROR(__xludf.DUMMYFUNCTION("""COMPUTED_VALUE"""),"Cây 2.9m")</f>
        <v>Cây 2.9m</v>
      </c>
      <c r="H619" s="582" t="str">
        <f ca="1">IFERROR(__xludf.DUMMYFUNCTION("""COMPUTED_VALUE"""),"15")</f>
        <v>15</v>
      </c>
      <c r="I619" s="585">
        <f ca="1">IFERROR(__xludf.DUMMYFUNCTION("""COMPUTED_VALUE"""),3.29339587499999)</f>
        <v>3.2933958749999901</v>
      </c>
      <c r="J619" s="586" t="str">
        <f ca="1">IFERROR(__xludf.DUMMYFUNCTION("""COMPUTED_VALUE""")," 25.40 ")</f>
        <v xml:space="preserve"> 25.40 </v>
      </c>
      <c r="K619" s="584" t="str">
        <f ca="1">IFERROR(__xludf.DUMMYFUNCTION("""COMPUTED_VALUE"""),"1.65")</f>
        <v>1.65</v>
      </c>
      <c r="L619" s="584">
        <f ca="1">IFERROR(__xludf.DUMMYFUNCTION("""COMPUTED_VALUE"""),2.9)</f>
        <v>2.9</v>
      </c>
      <c r="M619" s="584"/>
      <c r="N619" s="584" t="str">
        <f ca="1">IFERROR(__xludf.DUMMYFUNCTION("""COMPUTED_VALUE"""),"Dị_D&lt;54")</f>
        <v>Dị_D&lt;54</v>
      </c>
      <c r="O619" s="583"/>
      <c r="P619" s="584"/>
    </row>
    <row r="620" spans="1:17" ht="15.75">
      <c r="A620" s="587" t="str">
        <f ca="1">IFERROR(__xludf.DUMMYFUNCTION("""COMPUTED_VALUE"""),"Toàn Phát - Việt Nam")</f>
        <v>Toàn Phát - Việt Nam</v>
      </c>
      <c r="B620" s="587" t="str">
        <f ca="1">IFERROR(__xludf.DUMMYFUNCTION("""COMPUTED_VALUE"""),"ĐTPCAYDI")</f>
        <v>ĐTPCAYDI</v>
      </c>
      <c r="C620" s="587" t="str">
        <f ca="1">IFERROR(__xludf.DUMMYFUNCTION("""COMPUTED_VALUE"""),"DOT285809558")</f>
        <v>DOT285809558</v>
      </c>
      <c r="D620" s="588" t="str">
        <f ca="1">IFERROR(__xludf.DUMMYFUNCTION("""COMPUTED_VALUE"""),"Đồng ống thẳng 25.58x0.95x5.8")</f>
        <v>Đồng ống thẳng 25.58x0.95x5.8</v>
      </c>
      <c r="E620" s="589">
        <f ca="1">IFERROR(__xludf.DUMMYFUNCTION("""COMPUTED_VALUE"""),0.1)</f>
        <v>0.1</v>
      </c>
      <c r="F620" s="590" t="str">
        <f ca="1">IFERROR(__xludf.DUMMYFUNCTION("""COMPUTED_VALUE"""),"Cây")</f>
        <v>Cây</v>
      </c>
      <c r="G620" s="590" t="str">
        <f ca="1">IFERROR(__xludf.DUMMYFUNCTION("""COMPUTED_VALUE"""),"Cây 5.8m")</f>
        <v>Cây 5.8m</v>
      </c>
      <c r="H620" s="588"/>
      <c r="I620" s="591">
        <f ca="1">IFERROR(__xludf.DUMMYFUNCTION("""COMPUTED_VALUE"""),3.93291347399999)</f>
        <v>3.93291347399999</v>
      </c>
      <c r="J620" s="592" t="str">
        <f ca="1">IFERROR(__xludf.DUMMYFUNCTION("""COMPUTED_VALUE""")," 25.58 ")</f>
        <v xml:space="preserve"> 25.58 </v>
      </c>
      <c r="K620" s="590" t="str">
        <f ca="1">IFERROR(__xludf.DUMMYFUNCTION("""COMPUTED_VALUE"""),"0.95")</f>
        <v>0.95</v>
      </c>
      <c r="L620" s="590">
        <f ca="1">IFERROR(__xludf.DUMMYFUNCTION("""COMPUTED_VALUE"""),5.8)</f>
        <v>5.8</v>
      </c>
      <c r="M620" s="590"/>
      <c r="N620" s="590" t="str">
        <f ca="1">IFERROR(__xludf.DUMMYFUNCTION("""COMPUTED_VALUE"""),"Dị_D&lt;54")</f>
        <v>Dị_D&lt;54</v>
      </c>
      <c r="O620" s="589"/>
      <c r="P620" s="590"/>
    </row>
    <row r="621" spans="1:17" ht="15.75">
      <c r="A621" s="581" t="str">
        <f ca="1">IFERROR(__xludf.DUMMYFUNCTION("""COMPUTED_VALUE"""),"Toàn Phát - Việt Nam")</f>
        <v>Toàn Phát - Việt Nam</v>
      </c>
      <c r="B621" s="581" t="str">
        <f ca="1">IFERROR(__xludf.DUMMYFUNCTION("""COMPUTED_VALUE"""),"ĐTPCAYDI")</f>
        <v>ĐTPCAYDI</v>
      </c>
      <c r="C621" s="581" t="str">
        <f ca="1">IFERROR(__xludf.DUMMYFUNCTION("""COMPUTED_VALUE"""),"DOT28580122")</f>
        <v>DOT28580122</v>
      </c>
      <c r="D621" s="582" t="str">
        <f ca="1">IFERROR(__xludf.DUMMYFUNCTION("""COMPUTED_VALUE"""),"Đồng ống thẳng 28.58x1.22")</f>
        <v>Đồng ống thẳng 28.58x1.22</v>
      </c>
      <c r="E621" s="583">
        <f ca="1">IFERROR(__xludf.DUMMYFUNCTION("""COMPUTED_VALUE"""),0.1)</f>
        <v>0.1</v>
      </c>
      <c r="F621" s="584" t="str">
        <f ca="1">IFERROR(__xludf.DUMMYFUNCTION("""COMPUTED_VALUE"""),"Cây")</f>
        <v>Cây</v>
      </c>
      <c r="G621" s="584" t="str">
        <f ca="1">IFERROR(__xludf.DUMMYFUNCTION("""COMPUTED_VALUE"""),"Cây 2.9m")</f>
        <v>Cây 2.9m</v>
      </c>
      <c r="H621" s="582"/>
      <c r="I621" s="585">
        <f ca="1">IFERROR(__xludf.DUMMYFUNCTION("""COMPUTED_VALUE"""),2.49766100639999)</f>
        <v>2.4976610063999898</v>
      </c>
      <c r="J621" s="586" t="str">
        <f ca="1">IFERROR(__xludf.DUMMYFUNCTION("""COMPUTED_VALUE""")," 25.58 ")</f>
        <v xml:space="preserve"> 25.58 </v>
      </c>
      <c r="K621" s="584" t="str">
        <f ca="1">IFERROR(__xludf.DUMMYFUNCTION("""COMPUTED_VALUE"""),"1.22")</f>
        <v>1.22</v>
      </c>
      <c r="L621" s="584">
        <f ca="1">IFERROR(__xludf.DUMMYFUNCTION("""COMPUTED_VALUE"""),2.9)</f>
        <v>2.9</v>
      </c>
      <c r="M621" s="584"/>
      <c r="N621" s="584" t="str">
        <f ca="1">IFERROR(__xludf.DUMMYFUNCTION("""COMPUTED_VALUE"""),"Dị_D&lt;54")</f>
        <v>Dị_D&lt;54</v>
      </c>
      <c r="O621" s="583"/>
      <c r="P621" s="584"/>
    </row>
    <row r="622" spans="1:17" ht="15.75">
      <c r="A622" s="587" t="str">
        <f ca="1">IFERROR(__xludf.DUMMYFUNCTION("""COMPUTED_VALUE"""),"Toàn Phát - Việt Nam")</f>
        <v>Toàn Phát - Việt Nam</v>
      </c>
      <c r="B622" s="587" t="str">
        <f ca="1">IFERROR(__xludf.DUMMYFUNCTION("""COMPUTED_VALUE"""),"ĐTPCAYDI")</f>
        <v>ĐTPCAYDI</v>
      </c>
      <c r="C622" s="587" t="str">
        <f ca="1">IFERROR(__xludf.DUMMYFUNCTION("""COMPUTED_VALUE"""),"DOT25901058")</f>
        <v>DOT25901058</v>
      </c>
      <c r="D622" s="588" t="str">
        <f ca="1">IFERROR(__xludf.DUMMYFUNCTION("""COMPUTED_VALUE"""),"Đồng ống thẳng 25.90x1.0x5.8")</f>
        <v>Đồng ống thẳng 25.90x1.0x5.8</v>
      </c>
      <c r="E622" s="589">
        <f ca="1">IFERROR(__xludf.DUMMYFUNCTION("""COMPUTED_VALUE"""),0.1)</f>
        <v>0.1</v>
      </c>
      <c r="F622" s="590" t="str">
        <f ca="1">IFERROR(__xludf.DUMMYFUNCTION("""COMPUTED_VALUE"""),"Cây")</f>
        <v>Cây</v>
      </c>
      <c r="G622" s="590" t="str">
        <f ca="1">IFERROR(__xludf.DUMMYFUNCTION("""COMPUTED_VALUE"""),"Cây 5.8m")</f>
        <v>Cây 5.8m</v>
      </c>
      <c r="H622" s="588"/>
      <c r="I622" s="591">
        <f ca="1">IFERROR(__xludf.DUMMYFUNCTION("""COMPUTED_VALUE"""),4.18529159999999)</f>
        <v>4.1852915999999896</v>
      </c>
      <c r="J622" s="592" t="str">
        <f ca="1">IFERROR(__xludf.DUMMYFUNCTION("""COMPUTED_VALUE""")," 25.90 ")</f>
        <v xml:space="preserve"> 25.90 </v>
      </c>
      <c r="K622" s="590" t="str">
        <f ca="1">IFERROR(__xludf.DUMMYFUNCTION("""COMPUTED_VALUE"""),"1.00")</f>
        <v>1.00</v>
      </c>
      <c r="L622" s="590">
        <f ca="1">IFERROR(__xludf.DUMMYFUNCTION("""COMPUTED_VALUE"""),5.8)</f>
        <v>5.8</v>
      </c>
      <c r="M622" s="590"/>
      <c r="N622" s="590" t="str">
        <f ca="1">IFERROR(__xludf.DUMMYFUNCTION("""COMPUTED_VALUE"""),"Dị_D&lt;54")</f>
        <v>Dị_D&lt;54</v>
      </c>
      <c r="O622" s="589"/>
      <c r="P622" s="590"/>
    </row>
    <row r="623" spans="1:17" ht="15.75">
      <c r="A623" s="581" t="str">
        <f ca="1">IFERROR(__xludf.DUMMYFUNCTION("""COMPUTED_VALUE"""),"Toàn Phát - Việt Nam")</f>
        <v>Toàn Phát - Việt Nam</v>
      </c>
      <c r="B623" s="581" t="str">
        <f ca="1">IFERROR(__xludf.DUMMYFUNCTION("""COMPUTED_VALUE"""),"ĐTPCAYDI")</f>
        <v>ĐTPCAYDI</v>
      </c>
      <c r="C623" s="581" t="str">
        <f ca="1">IFERROR(__xludf.DUMMYFUNCTION("""COMPUTED_VALUE"""),"DOT25901059")</f>
        <v>DOT25901059</v>
      </c>
      <c r="D623" s="582" t="str">
        <f ca="1">IFERROR(__xludf.DUMMYFUNCTION("""COMPUTED_VALUE"""),"Đồng ống thẳng 25.90x1.0x5.8")</f>
        <v>Đồng ống thẳng 25.90x1.0x5.8</v>
      </c>
      <c r="E623" s="583">
        <f ca="1">IFERROR(__xludf.DUMMYFUNCTION("""COMPUTED_VALUE"""),0.1)</f>
        <v>0.1</v>
      </c>
      <c r="F623" s="584" t="str">
        <f ca="1">IFERROR(__xludf.DUMMYFUNCTION("""COMPUTED_VALUE"""),"Cây")</f>
        <v>Cây</v>
      </c>
      <c r="G623" s="584" t="str">
        <f ca="1">IFERROR(__xludf.DUMMYFUNCTION("""COMPUTED_VALUE"""),"Cây 5.8m")</f>
        <v>Cây 5.8m</v>
      </c>
      <c r="H623" s="582"/>
      <c r="I623" s="585">
        <f ca="1">IFERROR(__xludf.DUMMYFUNCTION("""COMPUTED_VALUE"""),4.18529159999999)</f>
        <v>4.1852915999999896</v>
      </c>
      <c r="J623" s="586" t="str">
        <f ca="1">IFERROR(__xludf.DUMMYFUNCTION("""COMPUTED_VALUE""")," 25.90 ")</f>
        <v xml:space="preserve"> 25.90 </v>
      </c>
      <c r="K623" s="584" t="str">
        <f ca="1">IFERROR(__xludf.DUMMYFUNCTION("""COMPUTED_VALUE"""),"1.00")</f>
        <v>1.00</v>
      </c>
      <c r="L623" s="584">
        <f ca="1">IFERROR(__xludf.DUMMYFUNCTION("""COMPUTED_VALUE"""),5.8)</f>
        <v>5.8</v>
      </c>
      <c r="M623" s="584"/>
      <c r="N623" s="584" t="str">
        <f ca="1">IFERROR(__xludf.DUMMYFUNCTION("""COMPUTED_VALUE"""),"Dị_D&lt;54")</f>
        <v>Dị_D&lt;54</v>
      </c>
      <c r="O623" s="583"/>
      <c r="P623" s="584"/>
    </row>
    <row r="624" spans="1:17" ht="15.75">
      <c r="A624" s="587" t="str">
        <f ca="1">IFERROR(__xludf.DUMMYFUNCTION("""COMPUTED_VALUE"""),"Toàn Phát - Việt Nam")</f>
        <v>Toàn Phát - Việt Nam</v>
      </c>
      <c r="B624" s="587" t="str">
        <f ca="1">IFERROR(__xludf.DUMMYFUNCTION("""COMPUTED_VALUE"""),"ĐTPCAYDI")</f>
        <v>ĐTPCAYDI</v>
      </c>
      <c r="C624" s="587" t="str">
        <f ca="1">IFERROR(__xludf.DUMMYFUNCTION("""COMPUTED_VALUE"""),"DOT260023030")</f>
        <v>DOT260023030</v>
      </c>
      <c r="D624" s="588" t="str">
        <f ca="1">IFERROR(__xludf.DUMMYFUNCTION("""COMPUTED_VALUE"""),"Đồng ống thẳng 26.00x2.3x3.0")</f>
        <v>Đồng ống thẳng 26.00x2.3x3.0</v>
      </c>
      <c r="E624" s="589">
        <f ca="1">IFERROR(__xludf.DUMMYFUNCTION("""COMPUTED_VALUE"""),0.1)</f>
        <v>0.1</v>
      </c>
      <c r="F624" s="590" t="str">
        <f ca="1">IFERROR(__xludf.DUMMYFUNCTION("""COMPUTED_VALUE"""),"Cây")</f>
        <v>Cây</v>
      </c>
      <c r="G624" s="590" t="str">
        <f ca="1">IFERROR(__xludf.DUMMYFUNCTION("""COMPUTED_VALUE"""),"Cây 3m")</f>
        <v>Cây 3m</v>
      </c>
      <c r="H624" s="588"/>
      <c r="I624" s="591">
        <f ca="1">IFERROR(__xludf.DUMMYFUNCTION("""COMPUTED_VALUE"""),4.73909939999999)</f>
        <v>4.73909939999999</v>
      </c>
      <c r="J624" s="592" t="str">
        <f ca="1">IFERROR(__xludf.DUMMYFUNCTION("""COMPUTED_VALUE""")," 26.00 ")</f>
        <v xml:space="preserve"> 26.00 </v>
      </c>
      <c r="K624" s="590" t="str">
        <f ca="1">IFERROR(__xludf.DUMMYFUNCTION("""COMPUTED_VALUE"""),"2.30")</f>
        <v>2.30</v>
      </c>
      <c r="L624" s="590">
        <f ca="1">IFERROR(__xludf.DUMMYFUNCTION("""COMPUTED_VALUE"""),3)</f>
        <v>3</v>
      </c>
      <c r="M624" s="590"/>
      <c r="N624" s="590" t="str">
        <f ca="1">IFERROR(__xludf.DUMMYFUNCTION("""COMPUTED_VALUE"""),"Dị_D&lt;54")</f>
        <v>Dị_D&lt;54</v>
      </c>
      <c r="O624" s="589"/>
      <c r="P624" s="590"/>
    </row>
    <row r="625" spans="1:16" ht="15.75">
      <c r="A625" s="581" t="str">
        <f ca="1">IFERROR(__xludf.DUMMYFUNCTION("""COMPUTED_VALUE"""),"Toàn Phát - Việt Nam")</f>
        <v>Toàn Phát - Việt Nam</v>
      </c>
      <c r="B625" s="581" t="str">
        <f ca="1">IFERROR(__xludf.DUMMYFUNCTION("""COMPUTED_VALUE"""),"ĐTPCAYDI")</f>
        <v>ĐTPCAYDI</v>
      </c>
      <c r="C625" s="581" t="str">
        <f ca="1">IFERROR(__xludf.DUMMYFUNCTION("""COMPUTED_VALUE"""),"DOT260027030")</f>
        <v>DOT260027030</v>
      </c>
      <c r="D625" s="582" t="str">
        <f ca="1">IFERROR(__xludf.DUMMYFUNCTION("""COMPUTED_VALUE"""),"Đồng ống thẳng 26.00x2.7x3.0")</f>
        <v>Đồng ống thẳng 26.00x2.7x3.0</v>
      </c>
      <c r="E625" s="583">
        <f ca="1">IFERROR(__xludf.DUMMYFUNCTION("""COMPUTED_VALUE"""),0.1)</f>
        <v>0.1</v>
      </c>
      <c r="F625" s="584" t="str">
        <f ca="1">IFERROR(__xludf.DUMMYFUNCTION("""COMPUTED_VALUE"""),"Cây")</f>
        <v>Cây</v>
      </c>
      <c r="G625" s="584" t="str">
        <f ca="1">IFERROR(__xludf.DUMMYFUNCTION("""COMPUTED_VALUE"""),"Cây 3m")</f>
        <v>Cây 3m</v>
      </c>
      <c r="H625" s="582"/>
      <c r="I625" s="585">
        <f ca="1">IFERROR(__xludf.DUMMYFUNCTION("""COMPUTED_VALUE"""),5.4693954)</f>
        <v>5.4693953999999998</v>
      </c>
      <c r="J625" s="586" t="str">
        <f ca="1">IFERROR(__xludf.DUMMYFUNCTION("""COMPUTED_VALUE""")," 26.00 ")</f>
        <v xml:space="preserve"> 26.00 </v>
      </c>
      <c r="K625" s="584" t="str">
        <f ca="1">IFERROR(__xludf.DUMMYFUNCTION("""COMPUTED_VALUE"""),"2.70")</f>
        <v>2.70</v>
      </c>
      <c r="L625" s="584">
        <f ca="1">IFERROR(__xludf.DUMMYFUNCTION("""COMPUTED_VALUE"""),3)</f>
        <v>3</v>
      </c>
      <c r="M625" s="584"/>
      <c r="N625" s="584" t="str">
        <f ca="1">IFERROR(__xludf.DUMMYFUNCTION("""COMPUTED_VALUE"""),"Dị_D&lt;54")</f>
        <v>Dị_D&lt;54</v>
      </c>
      <c r="O625" s="583"/>
      <c r="P625" s="584"/>
    </row>
    <row r="626" spans="1:16" ht="15.75">
      <c r="A626" s="587" t="str">
        <f ca="1">IFERROR(__xludf.DUMMYFUNCTION("""COMPUTED_VALUE"""),"Toàn Phát - Việt Nam")</f>
        <v>Toàn Phát - Việt Nam</v>
      </c>
      <c r="B626" s="587" t="str">
        <f ca="1">IFERROR(__xludf.DUMMYFUNCTION("""COMPUTED_VALUE"""),"ĐTPCAYDI")</f>
        <v>ĐTPCAYDI</v>
      </c>
      <c r="C626" s="587" t="str">
        <f ca="1">IFERROR(__xludf.DUMMYFUNCTION("""COMPUTED_VALUE"""),"DOT265022030")</f>
        <v>DOT265022030</v>
      </c>
      <c r="D626" s="588" t="str">
        <f ca="1">IFERROR(__xludf.DUMMYFUNCTION("""COMPUTED_VALUE"""),"Đồng ống thẳng 26.50x2.2x3.0")</f>
        <v>Đồng ống thẳng 26.50x2.2x3.0</v>
      </c>
      <c r="E626" s="589">
        <f ca="1">IFERROR(__xludf.DUMMYFUNCTION("""COMPUTED_VALUE"""),0.1)</f>
        <v>0.1</v>
      </c>
      <c r="F626" s="590" t="str">
        <f ca="1">IFERROR(__xludf.DUMMYFUNCTION("""COMPUTED_VALUE"""),"Cây")</f>
        <v>Cây</v>
      </c>
      <c r="G626" s="590" t="str">
        <f ca="1">IFERROR(__xludf.DUMMYFUNCTION("""COMPUTED_VALUE"""),"Cây 3m")</f>
        <v>Cây 3m</v>
      </c>
      <c r="H626" s="588"/>
      <c r="I626" s="591">
        <f ca="1">IFERROR(__xludf.DUMMYFUNCTION("""COMPUTED_VALUE"""),4.6478124)</f>
        <v>4.6478124000000003</v>
      </c>
      <c r="J626" s="592" t="str">
        <f ca="1">IFERROR(__xludf.DUMMYFUNCTION("""COMPUTED_VALUE""")," 26.50 ")</f>
        <v xml:space="preserve"> 26.50 </v>
      </c>
      <c r="K626" s="590" t="str">
        <f ca="1">IFERROR(__xludf.DUMMYFUNCTION("""COMPUTED_VALUE"""),"2.20")</f>
        <v>2.20</v>
      </c>
      <c r="L626" s="590">
        <f ca="1">IFERROR(__xludf.DUMMYFUNCTION("""COMPUTED_VALUE"""),3)</f>
        <v>3</v>
      </c>
      <c r="M626" s="590"/>
      <c r="N626" s="590" t="str">
        <f ca="1">IFERROR(__xludf.DUMMYFUNCTION("""COMPUTED_VALUE"""),"Dị_D&lt;54")</f>
        <v>Dị_D&lt;54</v>
      </c>
      <c r="O626" s="589"/>
      <c r="P626" s="590"/>
    </row>
    <row r="627" spans="1:16" ht="15.75">
      <c r="A627" s="581" t="str">
        <f ca="1">IFERROR(__xludf.DUMMYFUNCTION("""COMPUTED_VALUE"""),"Toàn Phát - Việt Nam")</f>
        <v>Toàn Phát - Việt Nam</v>
      </c>
      <c r="B627" s="581" t="str">
        <f ca="1">IFERROR(__xludf.DUMMYFUNCTION("""COMPUTED_VALUE"""),"ĐTPCAYDI")</f>
        <v>ĐTPCAYDI</v>
      </c>
      <c r="C627" s="581" t="str">
        <f ca="1">IFERROR(__xludf.DUMMYFUNCTION("""COMPUTED_VALUE"""),"DOT265025030")</f>
        <v>DOT265025030</v>
      </c>
      <c r="D627" s="582" t="str">
        <f ca="1">IFERROR(__xludf.DUMMYFUNCTION("""COMPUTED_VALUE"""),"Đồng ống thẳng 26.50x2.5x3.0")</f>
        <v>Đồng ống thẳng 26.50x2.5x3.0</v>
      </c>
      <c r="E627" s="583">
        <f ca="1">IFERROR(__xludf.DUMMYFUNCTION("""COMPUTED_VALUE"""),0.1)</f>
        <v>0.1</v>
      </c>
      <c r="F627" s="584" t="str">
        <f ca="1">IFERROR(__xludf.DUMMYFUNCTION("""COMPUTED_VALUE"""),"Cây")</f>
        <v>Cây</v>
      </c>
      <c r="G627" s="584" t="str">
        <f ca="1">IFERROR(__xludf.DUMMYFUNCTION("""COMPUTED_VALUE"""),"Cây 3m")</f>
        <v>Cây 3m</v>
      </c>
      <c r="H627" s="582"/>
      <c r="I627" s="585">
        <f ca="1">IFERROR(__xludf.DUMMYFUNCTION("""COMPUTED_VALUE"""),5.21639999999999)</f>
        <v>5.2163999999999904</v>
      </c>
      <c r="J627" s="586" t="str">
        <f ca="1">IFERROR(__xludf.DUMMYFUNCTION("""COMPUTED_VALUE""")," 26.50 ")</f>
        <v xml:space="preserve"> 26.50 </v>
      </c>
      <c r="K627" s="584" t="str">
        <f ca="1">IFERROR(__xludf.DUMMYFUNCTION("""COMPUTED_VALUE"""),"2.50")</f>
        <v>2.50</v>
      </c>
      <c r="L627" s="584">
        <f ca="1">IFERROR(__xludf.DUMMYFUNCTION("""COMPUTED_VALUE"""),3)</f>
        <v>3</v>
      </c>
      <c r="M627" s="584"/>
      <c r="N627" s="584" t="str">
        <f ca="1">IFERROR(__xludf.DUMMYFUNCTION("""COMPUTED_VALUE"""),"Dị_D&lt;54")</f>
        <v>Dị_D&lt;54</v>
      </c>
      <c r="O627" s="583"/>
      <c r="P627" s="584"/>
    </row>
    <row r="628" spans="1:16" ht="15.75">
      <c r="A628" s="587" t="str">
        <f ca="1">IFERROR(__xludf.DUMMYFUNCTION("""COMPUTED_VALUE"""),"Toàn Phát - Việt Nam")</f>
        <v>Toàn Phát - Việt Nam</v>
      </c>
      <c r="B628" s="587" t="str">
        <f ca="1">IFERROR(__xludf.DUMMYFUNCTION("""COMPUTED_VALUE"""),"ĐTPCAYDI")</f>
        <v>ĐTPCAYDI</v>
      </c>
      <c r="C628" s="587" t="str">
        <f ca="1">IFERROR(__xludf.DUMMYFUNCTION("""COMPUTED_VALUE"""),"DOT265028030")</f>
        <v>DOT265028030</v>
      </c>
      <c r="D628" s="588" t="str">
        <f ca="1">IFERROR(__xludf.DUMMYFUNCTION("""COMPUTED_VALUE"""),"Đồng ống thẳng 26.50x2.80x3.0")</f>
        <v>Đồng ống thẳng 26.50x2.80x3.0</v>
      </c>
      <c r="E628" s="589">
        <f ca="1">IFERROR(__xludf.DUMMYFUNCTION("""COMPUTED_VALUE"""),0.1)</f>
        <v>0.1</v>
      </c>
      <c r="F628" s="590" t="str">
        <f ca="1">IFERROR(__xludf.DUMMYFUNCTION("""COMPUTED_VALUE"""),"Cây")</f>
        <v>Cây</v>
      </c>
      <c r="G628" s="590" t="str">
        <f ca="1">IFERROR(__xludf.DUMMYFUNCTION("""COMPUTED_VALUE"""),"Cây 3m")</f>
        <v>Cây 3m</v>
      </c>
      <c r="H628" s="588"/>
      <c r="I628" s="591">
        <f ca="1">IFERROR(__xludf.DUMMYFUNCTION("""COMPUTED_VALUE"""),5.76933839999999)</f>
        <v>5.7693383999999899</v>
      </c>
      <c r="J628" s="592" t="str">
        <f ca="1">IFERROR(__xludf.DUMMYFUNCTION("""COMPUTED_VALUE""")," 26.50 ")</f>
        <v xml:space="preserve"> 26.50 </v>
      </c>
      <c r="K628" s="590" t="str">
        <f ca="1">IFERROR(__xludf.DUMMYFUNCTION("""COMPUTED_VALUE"""),"2.80")</f>
        <v>2.80</v>
      </c>
      <c r="L628" s="590">
        <f ca="1">IFERROR(__xludf.DUMMYFUNCTION("""COMPUTED_VALUE"""),3)</f>
        <v>3</v>
      </c>
      <c r="M628" s="590"/>
      <c r="N628" s="590" t="str">
        <f ca="1">IFERROR(__xludf.DUMMYFUNCTION("""COMPUTED_VALUE"""),"Dị_D&lt;54")</f>
        <v>Dị_D&lt;54</v>
      </c>
      <c r="O628" s="589"/>
      <c r="P628" s="590"/>
    </row>
    <row r="629" spans="1:16" ht="15.75">
      <c r="A629" s="581" t="str">
        <f ca="1">IFERROR(__xludf.DUMMYFUNCTION("""COMPUTED_VALUE"""),"Toàn Phát - Việt Nam")</f>
        <v>Toàn Phát - Việt Nam</v>
      </c>
      <c r="B629" s="581" t="str">
        <f ca="1">IFERROR(__xludf.DUMMYFUNCTION("""COMPUTED_VALUE"""),"ĐTPCAYDI")</f>
        <v>ĐTPCAYDI</v>
      </c>
      <c r="C629" s="581" t="str">
        <f ca="1">IFERROR(__xludf.DUMMYFUNCTION("""COMPUTED_VALUE"""),"DOT270009060")</f>
        <v>DOT270009060</v>
      </c>
      <c r="D629" s="582" t="str">
        <f ca="1">IFERROR(__xludf.DUMMYFUNCTION("""COMPUTED_VALUE"""),"Đồng ống thẳng 27.00x0.90x6.0")</f>
        <v>Đồng ống thẳng 27.00x0.90x6.0</v>
      </c>
      <c r="E629" s="583">
        <f ca="1">IFERROR(__xludf.DUMMYFUNCTION("""COMPUTED_VALUE"""),0.1)</f>
        <v>0.1</v>
      </c>
      <c r="F629" s="584" t="str">
        <f ca="1">IFERROR(__xludf.DUMMYFUNCTION("""COMPUTED_VALUE"""),"Cây")</f>
        <v>Cây</v>
      </c>
      <c r="G629" s="584" t="str">
        <f ca="1">IFERROR(__xludf.DUMMYFUNCTION("""COMPUTED_VALUE"""),"Cây 6m")</f>
        <v>Cây 6m</v>
      </c>
      <c r="H629" s="582"/>
      <c r="I629" s="585">
        <f ca="1">IFERROR(__xludf.DUMMYFUNCTION("""COMPUTED_VALUE"""),4.0844412)</f>
        <v>4.0844411999999997</v>
      </c>
      <c r="J629" s="586" t="str">
        <f ca="1">IFERROR(__xludf.DUMMYFUNCTION("""COMPUTED_VALUE""")," 27.00 ")</f>
        <v xml:space="preserve"> 27.00 </v>
      </c>
      <c r="K629" s="584" t="str">
        <f ca="1">IFERROR(__xludf.DUMMYFUNCTION("""COMPUTED_VALUE"""),"0.90")</f>
        <v>0.90</v>
      </c>
      <c r="L629" s="584">
        <f ca="1">IFERROR(__xludf.DUMMYFUNCTION("""COMPUTED_VALUE"""),6)</f>
        <v>6</v>
      </c>
      <c r="M629" s="584"/>
      <c r="N629" s="584" t="str">
        <f ca="1">IFERROR(__xludf.DUMMYFUNCTION("""COMPUTED_VALUE"""),"Dị_D&lt;54")</f>
        <v>Dị_D&lt;54</v>
      </c>
      <c r="O629" s="583"/>
      <c r="P629" s="584"/>
    </row>
    <row r="630" spans="1:16" ht="15.75">
      <c r="A630" s="587" t="str">
        <f ca="1">IFERROR(__xludf.DUMMYFUNCTION("""COMPUTED_VALUE"""),"Toàn Phát - Việt Nam")</f>
        <v>Toàn Phát - Việt Nam</v>
      </c>
      <c r="B630" s="587" t="str">
        <f ca="1">IFERROR(__xludf.DUMMYFUNCTION("""COMPUTED_VALUE"""),"ĐTPCAYDI")</f>
        <v>ĐTPCAYDI</v>
      </c>
      <c r="C630" s="587" t="str">
        <f ca="1">IFERROR(__xludf.DUMMYFUNCTION("""COMPUTED_VALUE"""),"DOT270022030")</f>
        <v>DOT270022030</v>
      </c>
      <c r="D630" s="588" t="str">
        <f ca="1">IFERROR(__xludf.DUMMYFUNCTION("""COMPUTED_VALUE"""),"Đồng ống thẳng 27.00x2.20x3.0")</f>
        <v>Đồng ống thẳng 27.00x2.20x3.0</v>
      </c>
      <c r="E630" s="589">
        <f ca="1">IFERROR(__xludf.DUMMYFUNCTION("""COMPUTED_VALUE"""),0.1)</f>
        <v>0.1</v>
      </c>
      <c r="F630" s="590" t="str">
        <f ca="1">IFERROR(__xludf.DUMMYFUNCTION("""COMPUTED_VALUE"""),"Cây")</f>
        <v>Cây</v>
      </c>
      <c r="G630" s="590" t="str">
        <f ca="1">IFERROR(__xludf.DUMMYFUNCTION("""COMPUTED_VALUE"""),"Cây 3m")</f>
        <v>Cây 3m</v>
      </c>
      <c r="H630" s="588"/>
      <c r="I630" s="591">
        <f ca="1">IFERROR(__xludf.DUMMYFUNCTION("""COMPUTED_VALUE"""),4.7434464)</f>
        <v>4.7434463999999998</v>
      </c>
      <c r="J630" s="592" t="str">
        <f ca="1">IFERROR(__xludf.DUMMYFUNCTION("""COMPUTED_VALUE""")," 27.00 ")</f>
        <v xml:space="preserve"> 27.00 </v>
      </c>
      <c r="K630" s="590" t="str">
        <f ca="1">IFERROR(__xludf.DUMMYFUNCTION("""COMPUTED_VALUE"""),"2.20")</f>
        <v>2.20</v>
      </c>
      <c r="L630" s="590">
        <f ca="1">IFERROR(__xludf.DUMMYFUNCTION("""COMPUTED_VALUE"""),3)</f>
        <v>3</v>
      </c>
      <c r="M630" s="590"/>
      <c r="N630" s="590" t="str">
        <f ca="1">IFERROR(__xludf.DUMMYFUNCTION("""COMPUTED_VALUE"""),"Dị_D&lt;54")</f>
        <v>Dị_D&lt;54</v>
      </c>
      <c r="O630" s="589"/>
      <c r="P630" s="590"/>
    </row>
    <row r="631" spans="1:16" ht="15.75">
      <c r="A631" s="581" t="str">
        <f ca="1">IFERROR(__xludf.DUMMYFUNCTION("""COMPUTED_VALUE"""),"Toàn Phát - Việt Nam")</f>
        <v>Toàn Phát - Việt Nam</v>
      </c>
      <c r="B631" s="581" t="str">
        <f ca="1">IFERROR(__xludf.DUMMYFUNCTION("""COMPUTED_VALUE"""),"ĐTPCAYDI")</f>
        <v>ĐTPCAYDI</v>
      </c>
      <c r="C631" s="581" t="str">
        <f ca="1">IFERROR(__xludf.DUMMYFUNCTION("""COMPUTED_VALUE"""),"DOT270024030")</f>
        <v>DOT270024030</v>
      </c>
      <c r="D631" s="582" t="str">
        <f ca="1">IFERROR(__xludf.DUMMYFUNCTION("""COMPUTED_VALUE"""),"Đồng ống thẳng 27.00x2.40x3.0")</f>
        <v>Đồng ống thẳng 27.00x2.40x3.0</v>
      </c>
      <c r="E631" s="583">
        <f ca="1">IFERROR(__xludf.DUMMYFUNCTION("""COMPUTED_VALUE"""),0.1)</f>
        <v>0.1</v>
      </c>
      <c r="F631" s="584" t="str">
        <f ca="1">IFERROR(__xludf.DUMMYFUNCTION("""COMPUTED_VALUE"""),"Cây")</f>
        <v>Cây</v>
      </c>
      <c r="G631" s="584" t="str">
        <f ca="1">IFERROR(__xludf.DUMMYFUNCTION("""COMPUTED_VALUE"""),"Cây 3m")</f>
        <v>Cây 3m</v>
      </c>
      <c r="H631" s="582"/>
      <c r="I631" s="585">
        <f ca="1">IFERROR(__xludf.DUMMYFUNCTION("""COMPUTED_VALUE"""),5.1329376)</f>
        <v>5.1329376</v>
      </c>
      <c r="J631" s="586" t="str">
        <f ca="1">IFERROR(__xludf.DUMMYFUNCTION("""COMPUTED_VALUE""")," 27.00 ")</f>
        <v xml:space="preserve"> 27.00 </v>
      </c>
      <c r="K631" s="584" t="str">
        <f ca="1">IFERROR(__xludf.DUMMYFUNCTION("""COMPUTED_VALUE"""),"2.40")</f>
        <v>2.40</v>
      </c>
      <c r="L631" s="584">
        <f ca="1">IFERROR(__xludf.DUMMYFUNCTION("""COMPUTED_VALUE"""),3)</f>
        <v>3</v>
      </c>
      <c r="M631" s="584"/>
      <c r="N631" s="584" t="str">
        <f ca="1">IFERROR(__xludf.DUMMYFUNCTION("""COMPUTED_VALUE"""),"Dị_D&lt;54")</f>
        <v>Dị_D&lt;54</v>
      </c>
      <c r="O631" s="583"/>
      <c r="P631" s="584"/>
    </row>
    <row r="632" spans="1:16" ht="15.75">
      <c r="A632" s="587" t="str">
        <f ca="1">IFERROR(__xludf.DUMMYFUNCTION("""COMPUTED_VALUE"""),"Toàn Phát - Việt Nam")</f>
        <v>Toàn Phát - Việt Nam</v>
      </c>
      <c r="B632" s="587" t="str">
        <f ca="1">IFERROR(__xludf.DUMMYFUNCTION("""COMPUTED_VALUE"""),"ĐTPCAYDI")</f>
        <v>ĐTPCAYDI</v>
      </c>
      <c r="C632" s="587" t="str">
        <f ca="1">IFERROR(__xludf.DUMMYFUNCTION("""COMPUTED_VALUE"""),"DOT270025030")</f>
        <v>DOT270025030</v>
      </c>
      <c r="D632" s="588" t="str">
        <f ca="1">IFERROR(__xludf.DUMMYFUNCTION("""COMPUTED_VALUE"""),"Đồng ống thẳng 27.00x2.50x3.0")</f>
        <v>Đồng ống thẳng 27.00x2.50x3.0</v>
      </c>
      <c r="E632" s="589">
        <f ca="1">IFERROR(__xludf.DUMMYFUNCTION("""COMPUTED_VALUE"""),0.1)</f>
        <v>0.1</v>
      </c>
      <c r="F632" s="590" t="str">
        <f ca="1">IFERROR(__xludf.DUMMYFUNCTION("""COMPUTED_VALUE"""),"Cây")</f>
        <v>Cây</v>
      </c>
      <c r="G632" s="590" t="str">
        <f ca="1">IFERROR(__xludf.DUMMYFUNCTION("""COMPUTED_VALUE"""),"Cây 3m")</f>
        <v>Cây 3m</v>
      </c>
      <c r="H632" s="588"/>
      <c r="I632" s="591">
        <f ca="1">IFERROR(__xludf.DUMMYFUNCTION("""COMPUTED_VALUE"""),5.325075)</f>
        <v>5.325075</v>
      </c>
      <c r="J632" s="592" t="str">
        <f ca="1">IFERROR(__xludf.DUMMYFUNCTION("""COMPUTED_VALUE""")," 27.00 ")</f>
        <v xml:space="preserve"> 27.00 </v>
      </c>
      <c r="K632" s="590" t="str">
        <f ca="1">IFERROR(__xludf.DUMMYFUNCTION("""COMPUTED_VALUE"""),"2.50")</f>
        <v>2.50</v>
      </c>
      <c r="L632" s="590">
        <f ca="1">IFERROR(__xludf.DUMMYFUNCTION("""COMPUTED_VALUE"""),3)</f>
        <v>3</v>
      </c>
      <c r="M632" s="590"/>
      <c r="N632" s="590" t="str">
        <f ca="1">IFERROR(__xludf.DUMMYFUNCTION("""COMPUTED_VALUE"""),"Dị_D&lt;54")</f>
        <v>Dị_D&lt;54</v>
      </c>
      <c r="O632" s="589"/>
      <c r="P632" s="590"/>
    </row>
    <row r="633" spans="1:16" ht="15.75">
      <c r="A633" s="581" t="str">
        <f ca="1">IFERROR(__xludf.DUMMYFUNCTION("""COMPUTED_VALUE"""),"Toàn Phát - Việt Nam")</f>
        <v>Toàn Phát - Việt Nam</v>
      </c>
      <c r="B633" s="581" t="str">
        <f ca="1">IFERROR(__xludf.DUMMYFUNCTION("""COMPUTED_VALUE"""),"ĐTPCAYDI")</f>
        <v>ĐTPCAYDI</v>
      </c>
      <c r="C633" s="581" t="str">
        <f ca="1">IFERROR(__xludf.DUMMYFUNCTION("""COMPUTED_VALUE"""),"DOT270026030")</f>
        <v>DOT270026030</v>
      </c>
      <c r="D633" s="582" t="str">
        <f ca="1">IFERROR(__xludf.DUMMYFUNCTION("""COMPUTED_VALUE"""),"Đồng ống thẳng 27.00x2.60x3.0")</f>
        <v>Đồng ống thẳng 27.00x2.60x3.0</v>
      </c>
      <c r="E633" s="583">
        <f ca="1">IFERROR(__xludf.DUMMYFUNCTION("""COMPUTED_VALUE"""),0.1)</f>
        <v>0.1</v>
      </c>
      <c r="F633" s="584" t="str">
        <f ca="1">IFERROR(__xludf.DUMMYFUNCTION("""COMPUTED_VALUE"""),"Cây")</f>
        <v>Cây</v>
      </c>
      <c r="G633" s="584" t="str">
        <f ca="1">IFERROR(__xludf.DUMMYFUNCTION("""COMPUTED_VALUE"""),"Cây 3m")</f>
        <v>Cây 3m</v>
      </c>
      <c r="H633" s="582"/>
      <c r="I633" s="585">
        <f ca="1">IFERROR(__xludf.DUMMYFUNCTION("""COMPUTED_VALUE"""),5.51547359999999)</f>
        <v>5.5154735999999902</v>
      </c>
      <c r="J633" s="586" t="str">
        <f ca="1">IFERROR(__xludf.DUMMYFUNCTION("""COMPUTED_VALUE""")," 27.00 ")</f>
        <v xml:space="preserve"> 27.00 </v>
      </c>
      <c r="K633" s="584" t="str">
        <f ca="1">IFERROR(__xludf.DUMMYFUNCTION("""COMPUTED_VALUE"""),"2.60")</f>
        <v>2.60</v>
      </c>
      <c r="L633" s="584">
        <f ca="1">IFERROR(__xludf.DUMMYFUNCTION("""COMPUTED_VALUE"""),3)</f>
        <v>3</v>
      </c>
      <c r="M633" s="584"/>
      <c r="N633" s="584" t="str">
        <f ca="1">IFERROR(__xludf.DUMMYFUNCTION("""COMPUTED_VALUE"""),"Dị_D&lt;54")</f>
        <v>Dị_D&lt;54</v>
      </c>
      <c r="O633" s="583"/>
      <c r="P633" s="584"/>
    </row>
    <row r="634" spans="1:16" ht="15.75">
      <c r="A634" s="587" t="str">
        <f ca="1">IFERROR(__xludf.DUMMYFUNCTION("""COMPUTED_VALUE"""),"Toàn Phát - Việt Nam")</f>
        <v>Toàn Phát - Việt Nam</v>
      </c>
      <c r="B634" s="587" t="str">
        <f ca="1">IFERROR(__xludf.DUMMYFUNCTION("""COMPUTED_VALUE"""),"ĐTPCAYDI")</f>
        <v>ĐTPCAYDI</v>
      </c>
      <c r="C634" s="587" t="str">
        <f ca="1">IFERROR(__xludf.DUMMYFUNCTION("""COMPUTED_VALUE"""),"DOT270027030")</f>
        <v>DOT270027030</v>
      </c>
      <c r="D634" s="588" t="str">
        <f ca="1">IFERROR(__xludf.DUMMYFUNCTION("""COMPUTED_VALUE"""),"Đồng ống thẳng 27.00x2.70x3.0")</f>
        <v>Đồng ống thẳng 27.00x2.70x3.0</v>
      </c>
      <c r="E634" s="589">
        <f ca="1">IFERROR(__xludf.DUMMYFUNCTION("""COMPUTED_VALUE"""),0.1)</f>
        <v>0.1</v>
      </c>
      <c r="F634" s="590" t="str">
        <f ca="1">IFERROR(__xludf.DUMMYFUNCTION("""COMPUTED_VALUE"""),"Cây")</f>
        <v>Cây</v>
      </c>
      <c r="G634" s="590" t="str">
        <f ca="1">IFERROR(__xludf.DUMMYFUNCTION("""COMPUTED_VALUE"""),"Cây 3m")</f>
        <v>Cây 3m</v>
      </c>
      <c r="H634" s="588"/>
      <c r="I634" s="591">
        <f ca="1">IFERROR(__xludf.DUMMYFUNCTION("""COMPUTED_VALUE"""),5.7041334)</f>
        <v>5.7041333999999999</v>
      </c>
      <c r="J634" s="592" t="str">
        <f ca="1">IFERROR(__xludf.DUMMYFUNCTION("""COMPUTED_VALUE""")," 27.00 ")</f>
        <v xml:space="preserve"> 27.00 </v>
      </c>
      <c r="K634" s="590" t="str">
        <f ca="1">IFERROR(__xludf.DUMMYFUNCTION("""COMPUTED_VALUE"""),"2.70")</f>
        <v>2.70</v>
      </c>
      <c r="L634" s="590">
        <f ca="1">IFERROR(__xludf.DUMMYFUNCTION("""COMPUTED_VALUE"""),3)</f>
        <v>3</v>
      </c>
      <c r="M634" s="590"/>
      <c r="N634" s="590" t="str">
        <f ca="1">IFERROR(__xludf.DUMMYFUNCTION("""COMPUTED_VALUE"""),"Dị_D&lt;54")</f>
        <v>Dị_D&lt;54</v>
      </c>
      <c r="O634" s="589"/>
      <c r="P634" s="590"/>
    </row>
    <row r="635" spans="1:16" ht="15.75">
      <c r="A635" s="581" t="str">
        <f ca="1">IFERROR(__xludf.DUMMYFUNCTION("""COMPUTED_VALUE"""),"Toàn Phát - Việt Nam")</f>
        <v>Toàn Phát - Việt Nam</v>
      </c>
      <c r="B635" s="581" t="str">
        <f ca="1">IFERROR(__xludf.DUMMYFUNCTION("""COMPUTED_VALUE"""),"ĐTPCAYDI")</f>
        <v>ĐTPCAYDI</v>
      </c>
      <c r="C635" s="581" t="str">
        <f ca="1">IFERROR(__xludf.DUMMYFUNCTION("""COMPUTED_VALUE"""),"DOT280020030")</f>
        <v>DOT280020030</v>
      </c>
      <c r="D635" s="582" t="str">
        <f ca="1">IFERROR(__xludf.DUMMYFUNCTION("""COMPUTED_VALUE"""),"Đồng ống thẳng 28.00X2.00x3.0")</f>
        <v>Đồng ống thẳng 28.00X2.00x3.0</v>
      </c>
      <c r="E635" s="583">
        <f ca="1">IFERROR(__xludf.DUMMYFUNCTION("""COMPUTED_VALUE"""),0.1)</f>
        <v>0.1</v>
      </c>
      <c r="F635" s="584" t="str">
        <f ca="1">IFERROR(__xludf.DUMMYFUNCTION("""COMPUTED_VALUE"""),"Cây")</f>
        <v>Cây</v>
      </c>
      <c r="G635" s="584" t="str">
        <f ca="1">IFERROR(__xludf.DUMMYFUNCTION("""COMPUTED_VALUE"""),"Cây 3m")</f>
        <v>Cây 3m</v>
      </c>
      <c r="H635" s="582"/>
      <c r="I635" s="585">
        <f ca="1">IFERROR(__xludf.DUMMYFUNCTION("""COMPUTED_VALUE"""),4.52088)</f>
        <v>4.52088</v>
      </c>
      <c r="J635" s="586" t="str">
        <f ca="1">IFERROR(__xludf.DUMMYFUNCTION("""COMPUTED_VALUE""")," 28.00 ")</f>
        <v xml:space="preserve"> 28.00 </v>
      </c>
      <c r="K635" s="584" t="str">
        <f ca="1">IFERROR(__xludf.DUMMYFUNCTION("""COMPUTED_VALUE"""),"2.00")</f>
        <v>2.00</v>
      </c>
      <c r="L635" s="584">
        <f ca="1">IFERROR(__xludf.DUMMYFUNCTION("""COMPUTED_VALUE"""),3)</f>
        <v>3</v>
      </c>
      <c r="M635" s="584"/>
      <c r="N635" s="584" t="str">
        <f ca="1">IFERROR(__xludf.DUMMYFUNCTION("""COMPUTED_VALUE"""),"Dị_D&lt;54")</f>
        <v>Dị_D&lt;54</v>
      </c>
      <c r="O635" s="583"/>
      <c r="P635" s="584"/>
    </row>
    <row r="636" spans="1:16" ht="15.75">
      <c r="A636" s="587" t="str">
        <f ca="1">IFERROR(__xludf.DUMMYFUNCTION("""COMPUTED_VALUE"""),"Toàn Phát - Việt Nam")</f>
        <v>Toàn Phát - Việt Nam</v>
      </c>
      <c r="B636" s="587" t="str">
        <f ca="1">IFERROR(__xludf.DUMMYFUNCTION("""COMPUTED_VALUE"""),"ĐTPCAYDI")</f>
        <v>ĐTPCAYDI</v>
      </c>
      <c r="C636" s="587" t="str">
        <f ca="1">IFERROR(__xludf.DUMMYFUNCTION("""COMPUTED_VALUE"""),"DOT280021030")</f>
        <v>DOT280021030</v>
      </c>
      <c r="D636" s="588" t="str">
        <f ca="1">IFERROR(__xludf.DUMMYFUNCTION("""COMPUTED_VALUE"""),"Đồng ống thẳng 28.00X2.10x3.0")</f>
        <v>Đồng ống thẳng 28.00X2.10x3.0</v>
      </c>
      <c r="E636" s="589">
        <f ca="1">IFERROR(__xludf.DUMMYFUNCTION("""COMPUTED_VALUE"""),0.1)</f>
        <v>0.1</v>
      </c>
      <c r="F636" s="590" t="str">
        <f ca="1">IFERROR(__xludf.DUMMYFUNCTION("""COMPUTED_VALUE"""),"Cây")</f>
        <v>Cây</v>
      </c>
      <c r="G636" s="590" t="str">
        <f ca="1">IFERROR(__xludf.DUMMYFUNCTION("""COMPUTED_VALUE"""),"Cây 3m")</f>
        <v>Cây 3m</v>
      </c>
      <c r="H636" s="588"/>
      <c r="I636" s="591">
        <f ca="1">IFERROR(__xludf.DUMMYFUNCTION("""COMPUTED_VALUE"""),4.72866659999999)</f>
        <v>4.7286665999999897</v>
      </c>
      <c r="J636" s="592" t="str">
        <f ca="1">IFERROR(__xludf.DUMMYFUNCTION("""COMPUTED_VALUE""")," 28.00 ")</f>
        <v xml:space="preserve"> 28.00 </v>
      </c>
      <c r="K636" s="590" t="str">
        <f ca="1">IFERROR(__xludf.DUMMYFUNCTION("""COMPUTED_VALUE"""),"2.10")</f>
        <v>2.10</v>
      </c>
      <c r="L636" s="590">
        <f ca="1">IFERROR(__xludf.DUMMYFUNCTION("""COMPUTED_VALUE"""),3)</f>
        <v>3</v>
      </c>
      <c r="M636" s="590"/>
      <c r="N636" s="590" t="str">
        <f ca="1">IFERROR(__xludf.DUMMYFUNCTION("""COMPUTED_VALUE"""),"Dị_D&lt;54")</f>
        <v>Dị_D&lt;54</v>
      </c>
      <c r="O636" s="589"/>
      <c r="P636" s="590"/>
    </row>
    <row r="637" spans="1:16" ht="15.75">
      <c r="A637" s="581" t="str">
        <f ca="1">IFERROR(__xludf.DUMMYFUNCTION("""COMPUTED_VALUE"""),"Toàn Phát - Việt Nam")</f>
        <v>Toàn Phát - Việt Nam</v>
      </c>
      <c r="B637" s="581" t="str">
        <f ca="1">IFERROR(__xludf.DUMMYFUNCTION("""COMPUTED_VALUE"""),"ĐTPCAYDI")</f>
        <v>ĐTPCAYDI</v>
      </c>
      <c r="C637" s="581" t="str">
        <f ca="1">IFERROR(__xludf.DUMMYFUNCTION("""COMPUTED_VALUE"""),"DOT280022020")</f>
        <v>DOT280022020</v>
      </c>
      <c r="D637" s="582" t="str">
        <f ca="1">IFERROR(__xludf.DUMMYFUNCTION("""COMPUTED_VALUE"""),"Đồng ống thẳng 28.00x2.20x2.0")</f>
        <v>Đồng ống thẳng 28.00x2.20x2.0</v>
      </c>
      <c r="E637" s="583">
        <f ca="1">IFERROR(__xludf.DUMMYFUNCTION("""COMPUTED_VALUE"""),0.1)</f>
        <v>0.1</v>
      </c>
      <c r="F637" s="584" t="str">
        <f ca="1">IFERROR(__xludf.DUMMYFUNCTION("""COMPUTED_VALUE"""),"Cây")</f>
        <v>Cây</v>
      </c>
      <c r="G637" s="584" t="str">
        <f ca="1">IFERROR(__xludf.DUMMYFUNCTION("""COMPUTED_VALUE"""),"Cây 2m")</f>
        <v>Cây 2m</v>
      </c>
      <c r="H637" s="582"/>
      <c r="I637" s="585">
        <f ca="1">IFERROR(__xludf.DUMMYFUNCTION("""COMPUTED_VALUE"""),3.2898096)</f>
        <v>3.2898095999999999</v>
      </c>
      <c r="J637" s="586" t="str">
        <f ca="1">IFERROR(__xludf.DUMMYFUNCTION("""COMPUTED_VALUE""")," 28.00 ")</f>
        <v xml:space="preserve"> 28.00 </v>
      </c>
      <c r="K637" s="584" t="str">
        <f ca="1">IFERROR(__xludf.DUMMYFUNCTION("""COMPUTED_VALUE"""),"2.20")</f>
        <v>2.20</v>
      </c>
      <c r="L637" s="584">
        <f ca="1">IFERROR(__xludf.DUMMYFUNCTION("""COMPUTED_VALUE"""),2)</f>
        <v>2</v>
      </c>
      <c r="M637" s="584"/>
      <c r="N637" s="584" t="str">
        <f ca="1">IFERROR(__xludf.DUMMYFUNCTION("""COMPUTED_VALUE"""),"Dị_D&lt;54")</f>
        <v>Dị_D&lt;54</v>
      </c>
      <c r="O637" s="583"/>
      <c r="P637" s="584"/>
    </row>
    <row r="638" spans="1:16" ht="15.75">
      <c r="A638" s="587" t="str">
        <f ca="1">IFERROR(__xludf.DUMMYFUNCTION("""COMPUTED_VALUE"""),"Toàn Phát - Việt Nam")</f>
        <v>Toàn Phát - Việt Nam</v>
      </c>
      <c r="B638" s="587" t="str">
        <f ca="1">IFERROR(__xludf.DUMMYFUNCTION("""COMPUTED_VALUE"""),"ĐTPCAYDI")</f>
        <v>ĐTPCAYDI</v>
      </c>
      <c r="C638" s="587" t="str">
        <f ca="1">IFERROR(__xludf.DUMMYFUNCTION("""COMPUTED_VALUE"""),"DOT280022030")</f>
        <v>DOT280022030</v>
      </c>
      <c r="D638" s="588" t="str">
        <f ca="1">IFERROR(__xludf.DUMMYFUNCTION("""COMPUTED_VALUE"""),"Đồng ống thẳng 28.00X2.20x3.0")</f>
        <v>Đồng ống thẳng 28.00X2.20x3.0</v>
      </c>
      <c r="E638" s="589">
        <f ca="1">IFERROR(__xludf.DUMMYFUNCTION("""COMPUTED_VALUE"""),0.1)</f>
        <v>0.1</v>
      </c>
      <c r="F638" s="590" t="str">
        <f ca="1">IFERROR(__xludf.DUMMYFUNCTION("""COMPUTED_VALUE"""),"Cây")</f>
        <v>Cây</v>
      </c>
      <c r="G638" s="590" t="str">
        <f ca="1">IFERROR(__xludf.DUMMYFUNCTION("""COMPUTED_VALUE"""),"Cây 3m")</f>
        <v>Cây 3m</v>
      </c>
      <c r="H638" s="588"/>
      <c r="I638" s="591">
        <f ca="1">IFERROR(__xludf.DUMMYFUNCTION("""COMPUTED_VALUE"""),4.9347144)</f>
        <v>4.9347143999999998</v>
      </c>
      <c r="J638" s="592" t="str">
        <f ca="1">IFERROR(__xludf.DUMMYFUNCTION("""COMPUTED_VALUE""")," 28.00 ")</f>
        <v xml:space="preserve"> 28.00 </v>
      </c>
      <c r="K638" s="590" t="str">
        <f ca="1">IFERROR(__xludf.DUMMYFUNCTION("""COMPUTED_VALUE"""),"2.20")</f>
        <v>2.20</v>
      </c>
      <c r="L638" s="590">
        <f ca="1">IFERROR(__xludf.DUMMYFUNCTION("""COMPUTED_VALUE"""),3)</f>
        <v>3</v>
      </c>
      <c r="M638" s="590"/>
      <c r="N638" s="590" t="str">
        <f ca="1">IFERROR(__xludf.DUMMYFUNCTION("""COMPUTED_VALUE"""),"Dị_D&lt;54")</f>
        <v>Dị_D&lt;54</v>
      </c>
      <c r="O638" s="589"/>
      <c r="P638" s="590"/>
    </row>
    <row r="639" spans="1:16" ht="15.75">
      <c r="A639" s="581" t="str">
        <f ca="1">IFERROR(__xludf.DUMMYFUNCTION("""COMPUTED_VALUE"""),"Toàn Phát - Việt Nam")</f>
        <v>Toàn Phát - Việt Nam</v>
      </c>
      <c r="B639" s="581" t="str">
        <f ca="1">IFERROR(__xludf.DUMMYFUNCTION("""COMPUTED_VALUE"""),"ĐTPCAYDI")</f>
        <v>ĐTPCAYDI</v>
      </c>
      <c r="C639" s="581" t="str">
        <f ca="1">IFERROR(__xludf.DUMMYFUNCTION("""COMPUTED_VALUE"""),"DOT280030030")</f>
        <v>DOT280030030</v>
      </c>
      <c r="D639" s="582" t="str">
        <f ca="1">IFERROR(__xludf.DUMMYFUNCTION("""COMPUTED_VALUE"""),"Đồng ống thẳng 28.00X3.00x3.0")</f>
        <v>Đồng ống thẳng 28.00X3.00x3.0</v>
      </c>
      <c r="E639" s="583">
        <f ca="1">IFERROR(__xludf.DUMMYFUNCTION("""COMPUTED_VALUE"""),0.1)</f>
        <v>0.1</v>
      </c>
      <c r="F639" s="584" t="str">
        <f ca="1">IFERROR(__xludf.DUMMYFUNCTION("""COMPUTED_VALUE"""),"Cây")</f>
        <v>Cây</v>
      </c>
      <c r="G639" s="584" t="str">
        <f ca="1">IFERROR(__xludf.DUMMYFUNCTION("""COMPUTED_VALUE"""),"Cây 3m")</f>
        <v>Cây 3m</v>
      </c>
      <c r="H639" s="582"/>
      <c r="I639" s="585">
        <f ca="1">IFERROR(__xludf.DUMMYFUNCTION("""COMPUTED_VALUE"""),6.5205)</f>
        <v>6.5205000000000002</v>
      </c>
      <c r="J639" s="586" t="str">
        <f ca="1">IFERROR(__xludf.DUMMYFUNCTION("""COMPUTED_VALUE""")," 28.00 ")</f>
        <v xml:space="preserve"> 28.00 </v>
      </c>
      <c r="K639" s="584" t="str">
        <f ca="1">IFERROR(__xludf.DUMMYFUNCTION("""COMPUTED_VALUE"""),"3.00")</f>
        <v>3.00</v>
      </c>
      <c r="L639" s="584">
        <f ca="1">IFERROR(__xludf.DUMMYFUNCTION("""COMPUTED_VALUE"""),3)</f>
        <v>3</v>
      </c>
      <c r="M639" s="584"/>
      <c r="N639" s="584" t="str">
        <f ca="1">IFERROR(__xludf.DUMMYFUNCTION("""COMPUTED_VALUE"""),"Dị_D&lt;54")</f>
        <v>Dị_D&lt;54</v>
      </c>
      <c r="O639" s="583"/>
      <c r="P639" s="584"/>
    </row>
    <row r="640" spans="1:16" ht="15.75">
      <c r="A640" s="587" t="str">
        <f ca="1">IFERROR(__xludf.DUMMYFUNCTION("""COMPUTED_VALUE"""),"Toàn Phát - Việt Nam")</f>
        <v>Toàn Phát - Việt Nam</v>
      </c>
      <c r="B640" s="587" t="str">
        <f ca="1">IFERROR(__xludf.DUMMYFUNCTION("""COMPUTED_VALUE"""),"ĐTPCAYDI")</f>
        <v>ĐTPCAYDI</v>
      </c>
      <c r="C640" s="587" t="str">
        <f ca="1">IFERROR(__xludf.DUMMYFUNCTION("""COMPUTED_VALUE"""),"DOT285022030")</f>
        <v>DOT285022030</v>
      </c>
      <c r="D640" s="588" t="str">
        <f ca="1">IFERROR(__xludf.DUMMYFUNCTION("""COMPUTED_VALUE"""),"Đồng ống thẳng 28.50x2.20x3.0")</f>
        <v>Đồng ống thẳng 28.50x2.20x3.0</v>
      </c>
      <c r="E640" s="589">
        <f ca="1">IFERROR(__xludf.DUMMYFUNCTION("""COMPUTED_VALUE"""),0.1)</f>
        <v>0.1</v>
      </c>
      <c r="F640" s="590" t="str">
        <f ca="1">IFERROR(__xludf.DUMMYFUNCTION("""COMPUTED_VALUE"""),"Cây")</f>
        <v>Cây</v>
      </c>
      <c r="G640" s="590" t="str">
        <f ca="1">IFERROR(__xludf.DUMMYFUNCTION("""COMPUTED_VALUE"""),"Cây 3m")</f>
        <v>Cây 3m</v>
      </c>
      <c r="H640" s="588"/>
      <c r="I640" s="591">
        <f ca="1">IFERROR(__xludf.DUMMYFUNCTION("""COMPUTED_VALUE"""),5.0303484)</f>
        <v>5.0303484000000003</v>
      </c>
      <c r="J640" s="592" t="str">
        <f ca="1">IFERROR(__xludf.DUMMYFUNCTION("""COMPUTED_VALUE""")," 28.50 ")</f>
        <v xml:space="preserve"> 28.50 </v>
      </c>
      <c r="K640" s="590" t="str">
        <f ca="1">IFERROR(__xludf.DUMMYFUNCTION("""COMPUTED_VALUE"""),"2.20")</f>
        <v>2.20</v>
      </c>
      <c r="L640" s="590">
        <f ca="1">IFERROR(__xludf.DUMMYFUNCTION("""COMPUTED_VALUE"""),3)</f>
        <v>3</v>
      </c>
      <c r="M640" s="590"/>
      <c r="N640" s="590" t="str">
        <f ca="1">IFERROR(__xludf.DUMMYFUNCTION("""COMPUTED_VALUE"""),"Dị_D&lt;54")</f>
        <v>Dị_D&lt;54</v>
      </c>
      <c r="O640" s="589"/>
      <c r="P640" s="590"/>
    </row>
    <row r="641" spans="1:17" ht="15.75">
      <c r="A641" s="581" t="str">
        <f ca="1">IFERROR(__xludf.DUMMYFUNCTION("""COMPUTED_VALUE"""),"Toàn Phát - Việt Nam")</f>
        <v>Toàn Phát - Việt Nam</v>
      </c>
      <c r="B641" s="581" t="str">
        <f ca="1">IFERROR(__xludf.DUMMYFUNCTION("""COMPUTED_VALUE"""),"ĐTPCAYDI")</f>
        <v>ĐTPCAYDI</v>
      </c>
      <c r="C641" s="581" t="str">
        <f ca="1">IFERROR(__xludf.DUMMYFUNCTION("""COMPUTED_VALUE"""),"DOT2858122")</f>
        <v>DOT2858122</v>
      </c>
      <c r="D641" s="582" t="str">
        <f ca="1">IFERROR(__xludf.DUMMYFUNCTION("""COMPUTED_VALUE"""),"Đồng ống thẳng 28.58x1.22")</f>
        <v>Đồng ống thẳng 28.58x1.22</v>
      </c>
      <c r="E641" s="583">
        <f ca="1">IFERROR(__xludf.DUMMYFUNCTION("""COMPUTED_VALUE"""),0.1)</f>
        <v>0.1</v>
      </c>
      <c r="F641" s="584" t="str">
        <f ca="1">IFERROR(__xludf.DUMMYFUNCTION("""COMPUTED_VALUE"""),"Cây")</f>
        <v>Cây</v>
      </c>
      <c r="G641" s="584" t="str">
        <f ca="1">IFERROR(__xludf.DUMMYFUNCTION("""COMPUTED_VALUE"""),"Cây 2.9m")</f>
        <v>Cây 2.9m</v>
      </c>
      <c r="H641" s="582" t="str">
        <f ca="1">IFERROR(__xludf.DUMMYFUNCTION("""COMPUTED_VALUE"""),"12")</f>
        <v>12</v>
      </c>
      <c r="I641" s="585">
        <f ca="1">IFERROR(__xludf.DUMMYFUNCTION("""COMPUTED_VALUE"""),2.80525472639999)</f>
        <v>2.8052547263999901</v>
      </c>
      <c r="J641" s="586" t="str">
        <f ca="1">IFERROR(__xludf.DUMMYFUNCTION("""COMPUTED_VALUE""")," 28.58 ")</f>
        <v xml:space="preserve"> 28.58 </v>
      </c>
      <c r="K641" s="584" t="str">
        <f ca="1">IFERROR(__xludf.DUMMYFUNCTION("""COMPUTED_VALUE"""),"1.22")</f>
        <v>1.22</v>
      </c>
      <c r="L641" s="584">
        <f ca="1">IFERROR(__xludf.DUMMYFUNCTION("""COMPUTED_VALUE"""),2.9)</f>
        <v>2.9</v>
      </c>
      <c r="M641" s="584"/>
      <c r="N641" s="584" t="str">
        <f ca="1">IFERROR(__xludf.DUMMYFUNCTION("""COMPUTED_VALUE"""),"Dị_D&lt;54")</f>
        <v>Dị_D&lt;54</v>
      </c>
      <c r="O641" s="583"/>
      <c r="P641" s="584"/>
    </row>
    <row r="642" spans="1:17" ht="15.75">
      <c r="A642" s="587" t="str">
        <f ca="1">IFERROR(__xludf.DUMMYFUNCTION("""COMPUTED_VALUE"""),"Toàn Phát - Việt Nam")</f>
        <v>Toàn Phát - Việt Nam</v>
      </c>
      <c r="B642" s="587" t="str">
        <f ca="1">IFERROR(__xludf.DUMMYFUNCTION("""COMPUTED_VALUE"""),"ĐTPCAYDI")</f>
        <v>ĐTPCAYDI</v>
      </c>
      <c r="C642" s="587" t="str">
        <f ca="1">IFERROR(__xludf.DUMMYFUNCTION("""COMPUTED_VALUE"""),"DOT2858125")</f>
        <v>DOT2858125</v>
      </c>
      <c r="D642" s="588" t="str">
        <f ca="1">IFERROR(__xludf.DUMMYFUNCTION("""COMPUTED_VALUE"""),"Đồng ống thẳng 28.58x1.25")</f>
        <v>Đồng ống thẳng 28.58x1.25</v>
      </c>
      <c r="E642" s="589">
        <f ca="1">IFERROR(__xludf.DUMMYFUNCTION("""COMPUTED_VALUE"""),0.1)</f>
        <v>0.1</v>
      </c>
      <c r="F642" s="590" t="str">
        <f ca="1">IFERROR(__xludf.DUMMYFUNCTION("""COMPUTED_VALUE"""),"Cây")</f>
        <v>Cây</v>
      </c>
      <c r="G642" s="590" t="str">
        <f ca="1">IFERROR(__xludf.DUMMYFUNCTION("""COMPUTED_VALUE"""),"Cây 2.9m")</f>
        <v>Cây 2.9m</v>
      </c>
      <c r="H642" s="588" t="str">
        <f ca="1">IFERROR(__xludf.DUMMYFUNCTION("""COMPUTED_VALUE"""),"12")</f>
        <v>12</v>
      </c>
      <c r="I642" s="591">
        <f ca="1">IFERROR(__xludf.DUMMYFUNCTION("""COMPUTED_VALUE"""),2.87108482499999)</f>
        <v>2.8710848249999898</v>
      </c>
      <c r="J642" s="592" t="str">
        <f ca="1">IFERROR(__xludf.DUMMYFUNCTION("""COMPUTED_VALUE""")," 28.58 ")</f>
        <v xml:space="preserve"> 28.58 </v>
      </c>
      <c r="K642" s="590" t="str">
        <f ca="1">IFERROR(__xludf.DUMMYFUNCTION("""COMPUTED_VALUE"""),"1.25")</f>
        <v>1.25</v>
      </c>
      <c r="L642" s="590">
        <f ca="1">IFERROR(__xludf.DUMMYFUNCTION("""COMPUTED_VALUE"""),2.9)</f>
        <v>2.9</v>
      </c>
      <c r="M642" s="590"/>
      <c r="N642" s="590" t="str">
        <f ca="1">IFERROR(__xludf.DUMMYFUNCTION("""COMPUTED_VALUE"""),"Dị_D&lt;54")</f>
        <v>Dị_D&lt;54</v>
      </c>
      <c r="O642" s="589"/>
      <c r="P642" s="590"/>
    </row>
    <row r="643" spans="1:17" ht="15.75">
      <c r="A643" s="581" t="str">
        <f ca="1">IFERROR(__xludf.DUMMYFUNCTION("""COMPUTED_VALUE"""),"Toàn Phát - Việt Nam")</f>
        <v>Toàn Phát - Việt Nam</v>
      </c>
      <c r="B643" s="581" t="str">
        <f ca="1">IFERROR(__xludf.DUMMYFUNCTION("""COMPUTED_VALUE"""),"ĐTPCAYDI")</f>
        <v>ĐTPCAYDI</v>
      </c>
      <c r="C643" s="581" t="str">
        <f ca="1">IFERROR(__xludf.DUMMYFUNCTION("""COMPUTED_VALUE"""),"DOT2858070")</f>
        <v>DOT2858070</v>
      </c>
      <c r="D643" s="582" t="str">
        <f ca="1">IFERROR(__xludf.DUMMYFUNCTION("""COMPUTED_VALUE"""),"Đồng ống thẳng 28.58x0.70")</f>
        <v>Đồng ống thẳng 28.58x0.70</v>
      </c>
      <c r="E643" s="583">
        <f ca="1">IFERROR(__xludf.DUMMYFUNCTION("""COMPUTED_VALUE"""),0.1)</f>
        <v>0.1</v>
      </c>
      <c r="F643" s="584" t="str">
        <f ca="1">IFERROR(__xludf.DUMMYFUNCTION("""COMPUTED_VALUE"""),"Cây")</f>
        <v>Cây</v>
      </c>
      <c r="G643" s="584" t="str">
        <f ca="1">IFERROR(__xludf.DUMMYFUNCTION("""COMPUTED_VALUE"""),"Cây 2.9m")</f>
        <v>Cây 2.9m</v>
      </c>
      <c r="H643" s="582" t="str">
        <f ca="1">IFERROR(__xludf.DUMMYFUNCTION("""COMPUTED_VALUE"""),"12")</f>
        <v>12</v>
      </c>
      <c r="I643" s="585">
        <f ca="1">IFERROR(__xludf.DUMMYFUNCTION("""COMPUTED_VALUE"""),1.64016367199999)</f>
        <v>1.6401636719999899</v>
      </c>
      <c r="J643" s="586" t="str">
        <f ca="1">IFERROR(__xludf.DUMMYFUNCTION("""COMPUTED_VALUE""")," 28.58 ")</f>
        <v xml:space="preserve"> 28.58 </v>
      </c>
      <c r="K643" s="584" t="str">
        <f ca="1">IFERROR(__xludf.DUMMYFUNCTION("""COMPUTED_VALUE"""),"0.70")</f>
        <v>0.70</v>
      </c>
      <c r="L643" s="584">
        <f ca="1">IFERROR(__xludf.DUMMYFUNCTION("""COMPUTED_VALUE"""),2.9)</f>
        <v>2.9</v>
      </c>
      <c r="M643" s="584"/>
      <c r="N643" s="584" t="str">
        <f ca="1">IFERROR(__xludf.DUMMYFUNCTION("""COMPUTED_VALUE"""),"Dị_D&lt;54")</f>
        <v>Dị_D&lt;54</v>
      </c>
      <c r="O643" s="583"/>
      <c r="P643" s="584"/>
    </row>
    <row r="644" spans="1:17" ht="15.75">
      <c r="A644" s="587" t="str">
        <f ca="1">IFERROR(__xludf.DUMMYFUNCTION("""COMPUTED_VALUE"""),"Toàn Phát - Việt Nam")</f>
        <v>Toàn Phát - Việt Nam</v>
      </c>
      <c r="B644" s="587" t="str">
        <f ca="1">IFERROR(__xludf.DUMMYFUNCTION("""COMPUTED_VALUE"""),"ĐTPCAYDI")</f>
        <v>ĐTPCAYDI</v>
      </c>
      <c r="C644" s="587" t="str">
        <f ca="1">IFERROR(__xludf.DUMMYFUNCTION("""COMPUTED_VALUE"""),"DOT2858071")</f>
        <v>DOT2858071</v>
      </c>
      <c r="D644" s="588" t="str">
        <f ca="1">IFERROR(__xludf.DUMMYFUNCTION("""COMPUTED_VALUE"""),"Đồng ống thẳng 28.58x0.71")</f>
        <v>Đồng ống thẳng 28.58x0.71</v>
      </c>
      <c r="E644" s="589">
        <f ca="1">IFERROR(__xludf.DUMMYFUNCTION("""COMPUTED_VALUE"""),0.1)</f>
        <v>0.1</v>
      </c>
      <c r="F644" s="590" t="str">
        <f ca="1">IFERROR(__xludf.DUMMYFUNCTION("""COMPUTED_VALUE"""),"Cây")</f>
        <v>Cây</v>
      </c>
      <c r="G644" s="590" t="str">
        <f ca="1">IFERROR(__xludf.DUMMYFUNCTION("""COMPUTED_VALUE"""),"Cây 2.9m")</f>
        <v>Cây 2.9m</v>
      </c>
      <c r="H644" s="588" t="str">
        <f ca="1">IFERROR(__xludf.DUMMYFUNCTION("""COMPUTED_VALUE"""),"12")</f>
        <v>12</v>
      </c>
      <c r="I644" s="591">
        <f ca="1">IFERROR(__xludf.DUMMYFUNCTION("""COMPUTED_VALUE"""),1.66299788339999)</f>
        <v>1.6629978833999901</v>
      </c>
      <c r="J644" s="592" t="str">
        <f ca="1">IFERROR(__xludf.DUMMYFUNCTION("""COMPUTED_VALUE""")," 28.58 ")</f>
        <v xml:space="preserve"> 28.58 </v>
      </c>
      <c r="K644" s="590" t="str">
        <f ca="1">IFERROR(__xludf.DUMMYFUNCTION("""COMPUTED_VALUE"""),"0.71")</f>
        <v>0.71</v>
      </c>
      <c r="L644" s="590">
        <f ca="1">IFERROR(__xludf.DUMMYFUNCTION("""COMPUTED_VALUE"""),2.9)</f>
        <v>2.9</v>
      </c>
      <c r="M644" s="590"/>
      <c r="N644" s="590" t="str">
        <f ca="1">IFERROR(__xludf.DUMMYFUNCTION("""COMPUTED_VALUE"""),"Dị_D&lt;54")</f>
        <v>Dị_D&lt;54</v>
      </c>
      <c r="O644" s="589"/>
      <c r="P644" s="590"/>
    </row>
    <row r="645" spans="1:17" ht="15.75">
      <c r="A645" s="581" t="str">
        <f ca="1">IFERROR(__xludf.DUMMYFUNCTION("""COMPUTED_VALUE"""),"Toàn Phát - Việt Nam")</f>
        <v>Toàn Phát - Việt Nam</v>
      </c>
      <c r="B645" s="581" t="str">
        <f ca="1">IFERROR(__xludf.DUMMYFUNCTION("""COMPUTED_VALUE"""),"ĐTPCAYDI")</f>
        <v>ĐTPCAYDI</v>
      </c>
      <c r="C645" s="581" t="str">
        <f ca="1">IFERROR(__xludf.DUMMYFUNCTION("""COMPUTED_VALUE"""),"DOT285807158")</f>
        <v>DOT285807158</v>
      </c>
      <c r="D645" s="582" t="str">
        <f ca="1">IFERROR(__xludf.DUMMYFUNCTION("""COMPUTED_VALUE"""),"Đồng ống thẳng 28.58x0.71x5.8")</f>
        <v>Đồng ống thẳng 28.58x0.71x5.8</v>
      </c>
      <c r="E645" s="583">
        <f ca="1">IFERROR(__xludf.DUMMYFUNCTION("""COMPUTED_VALUE"""),0.1)</f>
        <v>0.1</v>
      </c>
      <c r="F645" s="584" t="str">
        <f ca="1">IFERROR(__xludf.DUMMYFUNCTION("""COMPUTED_VALUE"""),"Cây")</f>
        <v>Cây</v>
      </c>
      <c r="G645" s="584" t="str">
        <f ca="1">IFERROR(__xludf.DUMMYFUNCTION("""COMPUTED_VALUE"""),"Cây 5.8m")</f>
        <v>Cây 5.8m</v>
      </c>
      <c r="H645" s="582"/>
      <c r="I645" s="585">
        <f ca="1">IFERROR(__xludf.DUMMYFUNCTION("""COMPUTED_VALUE"""),3.32599576679999)</f>
        <v>3.32599576679999</v>
      </c>
      <c r="J645" s="586" t="str">
        <f ca="1">IFERROR(__xludf.DUMMYFUNCTION("""COMPUTED_VALUE""")," 28.58 ")</f>
        <v xml:space="preserve"> 28.58 </v>
      </c>
      <c r="K645" s="584" t="str">
        <f ca="1">IFERROR(__xludf.DUMMYFUNCTION("""COMPUTED_VALUE"""),"0.71")</f>
        <v>0.71</v>
      </c>
      <c r="L645" s="584">
        <f ca="1">IFERROR(__xludf.DUMMYFUNCTION("""COMPUTED_VALUE"""),5.8)</f>
        <v>5.8</v>
      </c>
      <c r="M645" s="584"/>
      <c r="N645" s="584" t="str">
        <f ca="1">IFERROR(__xludf.DUMMYFUNCTION("""COMPUTED_VALUE"""),"Dị_D&lt;54")</f>
        <v>Dị_D&lt;54</v>
      </c>
      <c r="O645" s="583"/>
      <c r="P645" s="584"/>
    </row>
    <row r="646" spans="1:17" ht="15.75">
      <c r="A646" s="587" t="str">
        <f ca="1">IFERROR(__xludf.DUMMYFUNCTION("""COMPUTED_VALUE"""),"Toàn Phát - Việt Nam")</f>
        <v>Toàn Phát - Việt Nam</v>
      </c>
      <c r="B646" s="587" t="str">
        <f ca="1">IFERROR(__xludf.DUMMYFUNCTION("""COMPUTED_VALUE"""),"ĐTPCAYDI")</f>
        <v>ĐTPCAYDI</v>
      </c>
      <c r="C646" s="587" t="str">
        <f ca="1">IFERROR(__xludf.DUMMYFUNCTION("""COMPUTED_VALUE"""),"DOT2858075")</f>
        <v>DOT2858075</v>
      </c>
      <c r="D646" s="588" t="str">
        <f ca="1">IFERROR(__xludf.DUMMYFUNCTION("""COMPUTED_VALUE"""),"Đồng ống thẳng 28.58x0.75")</f>
        <v>Đồng ống thẳng 28.58x0.75</v>
      </c>
      <c r="E646" s="589">
        <f ca="1">IFERROR(__xludf.DUMMYFUNCTION("""COMPUTED_VALUE"""),0.1)</f>
        <v>0.1</v>
      </c>
      <c r="F646" s="590" t="str">
        <f ca="1">IFERROR(__xludf.DUMMYFUNCTION("""COMPUTED_VALUE"""),"Cây")</f>
        <v>Cây</v>
      </c>
      <c r="G646" s="590" t="str">
        <f ca="1">IFERROR(__xludf.DUMMYFUNCTION("""COMPUTED_VALUE"""),"Cây 2.9m")</f>
        <v>Cây 2.9m</v>
      </c>
      <c r="H646" s="588" t="str">
        <f ca="1">IFERROR(__xludf.DUMMYFUNCTION("""COMPUTED_VALUE"""),"12")</f>
        <v>12</v>
      </c>
      <c r="I646" s="591">
        <f ca="1">IFERROR(__xludf.DUMMYFUNCTION("""COMPUTED_VALUE"""),1.75416664499999)</f>
        <v>1.75416664499999</v>
      </c>
      <c r="J646" s="592" t="str">
        <f ca="1">IFERROR(__xludf.DUMMYFUNCTION("""COMPUTED_VALUE""")," 28.58 ")</f>
        <v xml:space="preserve"> 28.58 </v>
      </c>
      <c r="K646" s="590" t="str">
        <f ca="1">IFERROR(__xludf.DUMMYFUNCTION("""COMPUTED_VALUE"""),"0.75")</f>
        <v>0.75</v>
      </c>
      <c r="L646" s="590">
        <f ca="1">IFERROR(__xludf.DUMMYFUNCTION("""COMPUTED_VALUE"""),2.9)</f>
        <v>2.9</v>
      </c>
      <c r="M646" s="590"/>
      <c r="N646" s="590" t="str">
        <f ca="1">IFERROR(__xludf.DUMMYFUNCTION("""COMPUTED_VALUE"""),"Dị_D&lt;54")</f>
        <v>Dị_D&lt;54</v>
      </c>
      <c r="O646" s="589"/>
      <c r="P646" s="590"/>
    </row>
    <row r="647" spans="1:17" ht="15.75">
      <c r="A647" s="581" t="str">
        <f ca="1">IFERROR(__xludf.DUMMYFUNCTION("""COMPUTED_VALUE"""),"Toàn Phát - Việt Nam")</f>
        <v>Toàn Phát - Việt Nam</v>
      </c>
      <c r="B647" s="581" t="str">
        <f ca="1">IFERROR(__xludf.DUMMYFUNCTION("""COMPUTED_VALUE"""),"ĐTPCAYDI")</f>
        <v>ĐTPCAYDI</v>
      </c>
      <c r="C647" s="581" t="str">
        <f ca="1">IFERROR(__xludf.DUMMYFUNCTION("""COMPUTED_VALUE"""),"DOT2858080")</f>
        <v>DOT2858080</v>
      </c>
      <c r="D647" s="582" t="str">
        <f ca="1">IFERROR(__xludf.DUMMYFUNCTION("""COMPUTED_VALUE"""),"Đồng ống thẳng 28.58x0.80")</f>
        <v>Đồng ống thẳng 28.58x0.80</v>
      </c>
      <c r="E647" s="583">
        <f ca="1">IFERROR(__xludf.DUMMYFUNCTION("""COMPUTED_VALUE"""),0.1)</f>
        <v>0.1</v>
      </c>
      <c r="F647" s="584" t="str">
        <f ca="1">IFERROR(__xludf.DUMMYFUNCTION("""COMPUTED_VALUE"""),"Cây")</f>
        <v>Cây</v>
      </c>
      <c r="G647" s="584" t="str">
        <f ca="1">IFERROR(__xludf.DUMMYFUNCTION("""COMPUTED_VALUE"""),"Cây 2.9m")</f>
        <v>Cây 2.9m</v>
      </c>
      <c r="H647" s="582" t="str">
        <f ca="1">IFERROR(__xludf.DUMMYFUNCTION("""COMPUTED_VALUE"""),"12")</f>
        <v>12</v>
      </c>
      <c r="I647" s="585">
        <f ca="1">IFERROR(__xludf.DUMMYFUNCTION("""COMPUTED_VALUE"""),1.86774940799999)</f>
        <v>1.8677494079999899</v>
      </c>
      <c r="J647" s="586" t="str">
        <f ca="1">IFERROR(__xludf.DUMMYFUNCTION("""COMPUTED_VALUE""")," 28.58 ")</f>
        <v xml:space="preserve"> 28.58 </v>
      </c>
      <c r="K647" s="584" t="str">
        <f ca="1">IFERROR(__xludf.DUMMYFUNCTION("""COMPUTED_VALUE"""),"0.80")</f>
        <v>0.80</v>
      </c>
      <c r="L647" s="584">
        <f ca="1">IFERROR(__xludf.DUMMYFUNCTION("""COMPUTED_VALUE"""),2.9)</f>
        <v>2.9</v>
      </c>
      <c r="M647" s="584"/>
      <c r="N647" s="584" t="str">
        <f ca="1">IFERROR(__xludf.DUMMYFUNCTION("""COMPUTED_VALUE"""),"Dị_D&lt;54")</f>
        <v>Dị_D&lt;54</v>
      </c>
      <c r="O647" s="583"/>
      <c r="P647" s="584"/>
    </row>
    <row r="648" spans="1:17" ht="15.75">
      <c r="A648" s="587" t="str">
        <f ca="1">IFERROR(__xludf.DUMMYFUNCTION("""COMPUTED_VALUE"""),"Toàn Phát - Việt Nam")</f>
        <v>Toàn Phát - Việt Nam</v>
      </c>
      <c r="B648" s="587" t="str">
        <f ca="1">IFERROR(__xludf.DUMMYFUNCTION("""COMPUTED_VALUE"""),"ĐTPCAYDI")</f>
        <v>ĐTPCAYDI</v>
      </c>
      <c r="C648" s="587" t="str">
        <f ca="1">IFERROR(__xludf.DUMMYFUNCTION("""COMPUTED_VALUE"""),"DOT285808158")</f>
        <v>DOT285808158</v>
      </c>
      <c r="D648" s="588" t="str">
        <f ca="1">IFERROR(__xludf.DUMMYFUNCTION("""COMPUTED_VALUE"""),"Đồng ống thẳng 28.58x0.81x5.8")</f>
        <v>Đồng ống thẳng 28.58x0.81x5.8</v>
      </c>
      <c r="E648" s="589">
        <f ca="1">IFERROR(__xludf.DUMMYFUNCTION("""COMPUTED_VALUE"""),0.1)</f>
        <v>0.1</v>
      </c>
      <c r="F648" s="590" t="str">
        <f ca="1">IFERROR(__xludf.DUMMYFUNCTION("""COMPUTED_VALUE"""),"Cây")</f>
        <v>Cây</v>
      </c>
      <c r="G648" s="590" t="str">
        <f ca="1">IFERROR(__xludf.DUMMYFUNCTION("""COMPUTED_VALUE"""),"Cây 5.8m")</f>
        <v>Cây 5.8m</v>
      </c>
      <c r="H648" s="588"/>
      <c r="I648" s="591">
        <f ca="1">IFERROR(__xludf.DUMMYFUNCTION("""COMPUTED_VALUE"""),3.7808310708)</f>
        <v>3.7808310708000001</v>
      </c>
      <c r="J648" s="592" t="str">
        <f ca="1">IFERROR(__xludf.DUMMYFUNCTION("""COMPUTED_VALUE""")," 28.58 ")</f>
        <v xml:space="preserve"> 28.58 </v>
      </c>
      <c r="K648" s="590" t="str">
        <f ca="1">IFERROR(__xludf.DUMMYFUNCTION("""COMPUTED_VALUE"""),"0.81")</f>
        <v>0.81</v>
      </c>
      <c r="L648" s="590">
        <f ca="1">IFERROR(__xludf.DUMMYFUNCTION("""COMPUTED_VALUE"""),5.8)</f>
        <v>5.8</v>
      </c>
      <c r="M648" s="590"/>
      <c r="N648" s="590" t="str">
        <f ca="1">IFERROR(__xludf.DUMMYFUNCTION("""COMPUTED_VALUE"""),"Dị_D&lt;54")</f>
        <v>Dị_D&lt;54</v>
      </c>
      <c r="O648" s="589"/>
      <c r="P648" s="590"/>
    </row>
    <row r="649" spans="1:17" ht="15.75">
      <c r="A649" s="581" t="str">
        <f ca="1">IFERROR(__xludf.DUMMYFUNCTION("""COMPUTED_VALUE"""),"Toàn Phát - Việt Nam")</f>
        <v>Toàn Phát - Việt Nam</v>
      </c>
      <c r="B649" s="581" t="str">
        <f ca="1">IFERROR(__xludf.DUMMYFUNCTION("""COMPUTED_VALUE"""),"ĐTPCAYIB")</f>
        <v>ĐTPCAYIB</v>
      </c>
      <c r="C649" s="581" t="str">
        <f ca="1">IFERROR(__xludf.DUMMYFUNCTION("""COMPUTED_VALUE"""),"DOT2858081")</f>
        <v>DOT2858081</v>
      </c>
      <c r="D649" s="582" t="str">
        <f ca="1">IFERROR(__xludf.DUMMYFUNCTION("""COMPUTED_VALUE"""),"Đồng ống thẳng 28.58x0.81")</f>
        <v>Đồng ống thẳng 28.58x0.81</v>
      </c>
      <c r="E649" s="583">
        <f ca="1">IFERROR(__xludf.DUMMYFUNCTION("""COMPUTED_VALUE"""),0.1)</f>
        <v>0.1</v>
      </c>
      <c r="F649" s="584" t="str">
        <f ca="1">IFERROR(__xludf.DUMMYFUNCTION("""COMPUTED_VALUE"""),"Cây")</f>
        <v>Cây</v>
      </c>
      <c r="G649" s="584" t="str">
        <f ca="1">IFERROR(__xludf.DUMMYFUNCTION("""COMPUTED_VALUE"""),"Cây 2.9m")</f>
        <v>Cây 2.9m</v>
      </c>
      <c r="H649" s="582" t="str">
        <f ca="1">IFERROR(__xludf.DUMMYFUNCTION("""COMPUTED_VALUE"""),"12")</f>
        <v>12</v>
      </c>
      <c r="I649" s="585">
        <f ca="1">IFERROR(__xludf.DUMMYFUNCTION("""COMPUTED_VALUE"""),1.8904155354)</f>
        <v>1.8904155354000001</v>
      </c>
      <c r="J649" s="586" t="str">
        <f ca="1">IFERROR(__xludf.DUMMYFUNCTION("""COMPUTED_VALUE""")," 28.58 ")</f>
        <v xml:space="preserve"> 28.58 </v>
      </c>
      <c r="K649" s="584" t="str">
        <f ca="1">IFERROR(__xludf.DUMMYFUNCTION("""COMPUTED_VALUE"""),"0.81")</f>
        <v>0.81</v>
      </c>
      <c r="L649" s="584">
        <f ca="1">IFERROR(__xludf.DUMMYFUNCTION("""COMPUTED_VALUE"""),2.9)</f>
        <v>2.9</v>
      </c>
      <c r="M649" s="584"/>
      <c r="N649" s="584" t="str">
        <f ca="1">IFERROR(__xludf.DUMMYFUNCTION("""COMPUTED_VALUE"""),"Ít bán")</f>
        <v>Ít bán</v>
      </c>
      <c r="O649" s="583"/>
      <c r="P649" s="584"/>
      <c r="Q649" s="885">
        <f ca="1">+$Q$5*I649</f>
        <v>434.79557314199997</v>
      </c>
    </row>
    <row r="650" spans="1:17" ht="15.75">
      <c r="A650" s="587" t="str">
        <f ca="1">IFERROR(__xludf.DUMMYFUNCTION("""COMPUTED_VALUE"""),"Toàn Phát - Việt Nam")</f>
        <v>Toàn Phát - Việt Nam</v>
      </c>
      <c r="B650" s="587" t="str">
        <f ca="1">IFERROR(__xludf.DUMMYFUNCTION("""COMPUTED_VALUE"""),"ĐTPCAYDI")</f>
        <v>ĐTPCAYDI</v>
      </c>
      <c r="C650" s="587" t="str">
        <f ca="1">IFERROR(__xludf.DUMMYFUNCTION("""COMPUTED_VALUE"""),"DOT2858085")</f>
        <v>DOT2858085</v>
      </c>
      <c r="D650" s="588" t="str">
        <f ca="1">IFERROR(__xludf.DUMMYFUNCTION("""COMPUTED_VALUE"""),"Đồng ống thẳng 28.58x0.85")</f>
        <v>Đồng ống thẳng 28.58x0.85</v>
      </c>
      <c r="E650" s="589">
        <f ca="1">IFERROR(__xludf.DUMMYFUNCTION("""COMPUTED_VALUE"""),0.1)</f>
        <v>0.1</v>
      </c>
      <c r="F650" s="590" t="str">
        <f ca="1">IFERROR(__xludf.DUMMYFUNCTION("""COMPUTED_VALUE"""),"Cây")</f>
        <v>Cây</v>
      </c>
      <c r="G650" s="590" t="str">
        <f ca="1">IFERROR(__xludf.DUMMYFUNCTION("""COMPUTED_VALUE"""),"Cây 2.9m")</f>
        <v>Cây 2.9m</v>
      </c>
      <c r="H650" s="588" t="str">
        <f ca="1">IFERROR(__xludf.DUMMYFUNCTION("""COMPUTED_VALUE"""),"12")</f>
        <v>12</v>
      </c>
      <c r="I650" s="591">
        <f ca="1">IFERROR(__xludf.DUMMYFUNCTION("""COMPUTED_VALUE"""),1.98091196099999)</f>
        <v>1.9809119609999899</v>
      </c>
      <c r="J650" s="592" t="str">
        <f ca="1">IFERROR(__xludf.DUMMYFUNCTION("""COMPUTED_VALUE""")," 28.58 ")</f>
        <v xml:space="preserve"> 28.58 </v>
      </c>
      <c r="K650" s="590" t="str">
        <f ca="1">IFERROR(__xludf.DUMMYFUNCTION("""COMPUTED_VALUE"""),"0.85")</f>
        <v>0.85</v>
      </c>
      <c r="L650" s="590">
        <f ca="1">IFERROR(__xludf.DUMMYFUNCTION("""COMPUTED_VALUE"""),2.9)</f>
        <v>2.9</v>
      </c>
      <c r="M650" s="590"/>
      <c r="N650" s="590" t="str">
        <f ca="1">IFERROR(__xludf.DUMMYFUNCTION("""COMPUTED_VALUE"""),"Dị_D&lt;54")</f>
        <v>Dị_D&lt;54</v>
      </c>
      <c r="O650" s="589"/>
      <c r="P650" s="590"/>
    </row>
    <row r="651" spans="1:17" ht="15.75">
      <c r="A651" s="581" t="str">
        <f ca="1">IFERROR(__xludf.DUMMYFUNCTION("""COMPUTED_VALUE"""),"Toàn Phát - Việt Nam")</f>
        <v>Toàn Phát - Việt Nam</v>
      </c>
      <c r="B651" s="581" t="str">
        <f ca="1">IFERROR(__xludf.DUMMYFUNCTION("""COMPUTED_VALUE"""),"ĐTPCAYDI")</f>
        <v>ĐTPCAYDI</v>
      </c>
      <c r="C651" s="581" t="str">
        <f ca="1">IFERROR(__xludf.DUMMYFUNCTION("""COMPUTED_VALUE"""),"DOT285808558")</f>
        <v>DOT285808558</v>
      </c>
      <c r="D651" s="582" t="str">
        <f ca="1">IFERROR(__xludf.DUMMYFUNCTION("""COMPUTED_VALUE"""),"Đồng ống thẳng 28.58x0.85x5.8")</f>
        <v>Đồng ống thẳng 28.58x0.85x5.8</v>
      </c>
      <c r="E651" s="583">
        <f ca="1">IFERROR(__xludf.DUMMYFUNCTION("""COMPUTED_VALUE"""),0.1)</f>
        <v>0.1</v>
      </c>
      <c r="F651" s="584" t="str">
        <f ca="1">IFERROR(__xludf.DUMMYFUNCTION("""COMPUTED_VALUE"""),"Cây")</f>
        <v>Cây</v>
      </c>
      <c r="G651" s="584" t="str">
        <f ca="1">IFERROR(__xludf.DUMMYFUNCTION("""COMPUTED_VALUE"""),"Cây 5.8m")</f>
        <v>Cây 5.8m</v>
      </c>
      <c r="H651" s="582"/>
      <c r="I651" s="585">
        <f ca="1">IFERROR(__xludf.DUMMYFUNCTION("""COMPUTED_VALUE"""),3.96182392199999)</f>
        <v>3.96182392199999</v>
      </c>
      <c r="J651" s="586" t="str">
        <f ca="1">IFERROR(__xludf.DUMMYFUNCTION("""COMPUTED_VALUE""")," 28.58 ")</f>
        <v xml:space="preserve"> 28.58 </v>
      </c>
      <c r="K651" s="584" t="str">
        <f ca="1">IFERROR(__xludf.DUMMYFUNCTION("""COMPUTED_VALUE"""),"0.85")</f>
        <v>0.85</v>
      </c>
      <c r="L651" s="584">
        <f ca="1">IFERROR(__xludf.DUMMYFUNCTION("""COMPUTED_VALUE"""),5.8)</f>
        <v>5.8</v>
      </c>
      <c r="M651" s="584"/>
      <c r="N651" s="584" t="str">
        <f ca="1">IFERROR(__xludf.DUMMYFUNCTION("""COMPUTED_VALUE"""),"Dị_D&lt;54")</f>
        <v>Dị_D&lt;54</v>
      </c>
      <c r="O651" s="583"/>
      <c r="P651" s="584"/>
    </row>
    <row r="652" spans="1:17" ht="15.75">
      <c r="A652" s="587" t="str">
        <f ca="1">IFERROR(__xludf.DUMMYFUNCTION("""COMPUTED_VALUE"""),"Toàn Phát - Việt Nam")</f>
        <v>Toàn Phát - Việt Nam</v>
      </c>
      <c r="B652" s="587" t="str">
        <f ca="1">IFERROR(__xludf.DUMMYFUNCTION("""COMPUTED_VALUE"""),"ĐTPCAYDI")</f>
        <v>ĐTPCAYDI</v>
      </c>
      <c r="C652" s="587" t="str">
        <f ca="1">IFERROR(__xludf.DUMMYFUNCTION("""COMPUTED_VALUE"""),"DOT2858090")</f>
        <v>DOT2858090</v>
      </c>
      <c r="D652" s="588" t="str">
        <f ca="1">IFERROR(__xludf.DUMMYFUNCTION("""COMPUTED_VALUE"""),"Đồng ống thẳng 28.58x0.90")</f>
        <v>Đồng ống thẳng 28.58x0.90</v>
      </c>
      <c r="E652" s="589">
        <f ca="1">IFERROR(__xludf.DUMMYFUNCTION("""COMPUTED_VALUE"""),0.1)</f>
        <v>0.1</v>
      </c>
      <c r="F652" s="590" t="str">
        <f ca="1">IFERROR(__xludf.DUMMYFUNCTION("""COMPUTED_VALUE"""),"Cây")</f>
        <v>Cây</v>
      </c>
      <c r="G652" s="590" t="str">
        <f ca="1">IFERROR(__xludf.DUMMYFUNCTION("""COMPUTED_VALUE"""),"Cây 2.9m")</f>
        <v>Cây 2.9m</v>
      </c>
      <c r="H652" s="588" t="str">
        <f ca="1">IFERROR(__xludf.DUMMYFUNCTION("""COMPUTED_VALUE"""),"12")</f>
        <v>12</v>
      </c>
      <c r="I652" s="591">
        <f ca="1">IFERROR(__xludf.DUMMYFUNCTION("""COMPUTED_VALUE"""),2.09365430399999)</f>
        <v>2.09365430399999</v>
      </c>
      <c r="J652" s="592" t="str">
        <f ca="1">IFERROR(__xludf.DUMMYFUNCTION("""COMPUTED_VALUE""")," 28.58 ")</f>
        <v xml:space="preserve"> 28.58 </v>
      </c>
      <c r="K652" s="590" t="str">
        <f ca="1">IFERROR(__xludf.DUMMYFUNCTION("""COMPUTED_VALUE"""),"0.90")</f>
        <v>0.90</v>
      </c>
      <c r="L652" s="590">
        <f ca="1">IFERROR(__xludf.DUMMYFUNCTION("""COMPUTED_VALUE"""),2.9)</f>
        <v>2.9</v>
      </c>
      <c r="M652" s="590"/>
      <c r="N652" s="590" t="str">
        <f ca="1">IFERROR(__xludf.DUMMYFUNCTION("""COMPUTED_VALUE"""),"Dị_D&lt;54")</f>
        <v>Dị_D&lt;54</v>
      </c>
      <c r="O652" s="589"/>
      <c r="P652" s="590"/>
    </row>
    <row r="653" spans="1:17" ht="15.75">
      <c r="A653" s="581" t="str">
        <f ca="1">IFERROR(__xludf.DUMMYFUNCTION("""COMPUTED_VALUE"""),"Toàn Phát - Việt Nam")</f>
        <v>Toàn Phát - Việt Nam</v>
      </c>
      <c r="B653" s="581" t="str">
        <f ca="1">IFERROR(__xludf.DUMMYFUNCTION("""COMPUTED_VALUE"""),"ĐTPCAYDI")</f>
        <v>ĐTPCAYDI</v>
      </c>
      <c r="C653" s="581" t="str">
        <f ca="1">IFERROR(__xludf.DUMMYFUNCTION("""COMPUTED_VALUE"""),"DOT285809158")</f>
        <v>DOT285809158</v>
      </c>
      <c r="D653" s="582" t="str">
        <f ca="1">IFERROR(__xludf.DUMMYFUNCTION("""COMPUTED_VALUE"""),"Đồng ống thẳng 28.58x0.91x5.8")</f>
        <v>Đồng ống thẳng 28.58x0.91x5.8</v>
      </c>
      <c r="E653" s="583">
        <f ca="1">IFERROR(__xludf.DUMMYFUNCTION("""COMPUTED_VALUE"""),0.1)</f>
        <v>0.1</v>
      </c>
      <c r="F653" s="584" t="str">
        <f ca="1">IFERROR(__xludf.DUMMYFUNCTION("""COMPUTED_VALUE"""),"Cây")</f>
        <v>Cây</v>
      </c>
      <c r="G653" s="584" t="str">
        <f ca="1">IFERROR(__xludf.DUMMYFUNCTION("""COMPUTED_VALUE"""),"Cây 5.8m")</f>
        <v>Cây 5.8m</v>
      </c>
      <c r="H653" s="582"/>
      <c r="I653" s="585">
        <f ca="1">IFERROR(__xludf.DUMMYFUNCTION("""COMPUTED_VALUE"""),4.23230469479999)</f>
        <v>4.2323046947999901</v>
      </c>
      <c r="J653" s="586" t="str">
        <f ca="1">IFERROR(__xludf.DUMMYFUNCTION("""COMPUTED_VALUE""")," 28.58 ")</f>
        <v xml:space="preserve"> 28.58 </v>
      </c>
      <c r="K653" s="584" t="str">
        <f ca="1">IFERROR(__xludf.DUMMYFUNCTION("""COMPUTED_VALUE"""),"0.91")</f>
        <v>0.91</v>
      </c>
      <c r="L653" s="584">
        <f ca="1">IFERROR(__xludf.DUMMYFUNCTION("""COMPUTED_VALUE"""),5.8)</f>
        <v>5.8</v>
      </c>
      <c r="M653" s="584"/>
      <c r="N653" s="584" t="str">
        <f ca="1">IFERROR(__xludf.DUMMYFUNCTION("""COMPUTED_VALUE"""),"Dị_D&lt;54")</f>
        <v>Dị_D&lt;54</v>
      </c>
      <c r="O653" s="583"/>
      <c r="P653" s="584"/>
    </row>
    <row r="654" spans="1:17" ht="15.75">
      <c r="A654" s="587" t="str">
        <f ca="1">IFERROR(__xludf.DUMMYFUNCTION("""COMPUTED_VALUE"""),"Toàn Phát - Việt Nam")</f>
        <v>Toàn Phát - Việt Nam</v>
      </c>
      <c r="B654" s="587" t="str">
        <f ca="1">IFERROR(__xludf.DUMMYFUNCTION("""COMPUTED_VALUE"""),"ĐTPCAYDI")</f>
        <v>ĐTPCAYDI</v>
      </c>
      <c r="C654" s="587" t="str">
        <f ca="1">IFERROR(__xludf.DUMMYFUNCTION("""COMPUTED_VALUE"""),"DOT2858095")</f>
        <v>DOT2858095</v>
      </c>
      <c r="D654" s="588" t="str">
        <f ca="1">IFERROR(__xludf.DUMMYFUNCTION("""COMPUTED_VALUE"""),"Đồng ống thẳng 28.58x0.95")</f>
        <v>Đồng ống thẳng 28.58x0.95</v>
      </c>
      <c r="E654" s="589">
        <f ca="1">IFERROR(__xludf.DUMMYFUNCTION("""COMPUTED_VALUE"""),0.1)</f>
        <v>0.1</v>
      </c>
      <c r="F654" s="590" t="str">
        <f ca="1">IFERROR(__xludf.DUMMYFUNCTION("""COMPUTED_VALUE"""),"Cây")</f>
        <v>Cây</v>
      </c>
      <c r="G654" s="590" t="str">
        <f ca="1">IFERROR(__xludf.DUMMYFUNCTION("""COMPUTED_VALUE"""),"Cây 2.9m")</f>
        <v>Cây 2.9m</v>
      </c>
      <c r="H654" s="588" t="str">
        <f ca="1">IFERROR(__xludf.DUMMYFUNCTION("""COMPUTED_VALUE"""),"12")</f>
        <v>12</v>
      </c>
      <c r="I654" s="591">
        <f ca="1">IFERROR(__xludf.DUMMYFUNCTION("""COMPUTED_VALUE"""),2.20597643699999)</f>
        <v>2.2059764369999901</v>
      </c>
      <c r="J654" s="592" t="str">
        <f ca="1">IFERROR(__xludf.DUMMYFUNCTION("""COMPUTED_VALUE""")," 28.58 ")</f>
        <v xml:space="preserve"> 28.58 </v>
      </c>
      <c r="K654" s="590" t="str">
        <f ca="1">IFERROR(__xludf.DUMMYFUNCTION("""COMPUTED_VALUE"""),"0.95")</f>
        <v>0.95</v>
      </c>
      <c r="L654" s="590">
        <f ca="1">IFERROR(__xludf.DUMMYFUNCTION("""COMPUTED_VALUE"""),2.9)</f>
        <v>2.9</v>
      </c>
      <c r="M654" s="590"/>
      <c r="N654" s="590" t="str">
        <f ca="1">IFERROR(__xludf.DUMMYFUNCTION("""COMPUTED_VALUE"""),"Dị_D&lt;54")</f>
        <v>Dị_D&lt;54</v>
      </c>
      <c r="O654" s="589"/>
      <c r="P654" s="590"/>
    </row>
    <row r="655" spans="1:17" ht="15.75">
      <c r="A655" s="581" t="str">
        <f ca="1">IFERROR(__xludf.DUMMYFUNCTION("""COMPUTED_VALUE"""),"Toàn Phát - Việt Nam")</f>
        <v>Toàn Phát - Việt Nam</v>
      </c>
      <c r="B655" s="581" t="str">
        <f ca="1">IFERROR(__xludf.DUMMYFUNCTION("""COMPUTED_VALUE"""),"ĐTPCAYDI")</f>
        <v>ĐTPCAYDI</v>
      </c>
      <c r="C655" s="581" t="str">
        <f ca="1">IFERROR(__xludf.DUMMYFUNCTION("""COMPUTED_VALUE"""),"DOT28580955.8")</f>
        <v>DOT28580955.8</v>
      </c>
      <c r="D655" s="582" t="str">
        <f ca="1">IFERROR(__xludf.DUMMYFUNCTION("""COMPUTED_VALUE"""),"Đồng ống thẳng 28.58x0.95x5.8")</f>
        <v>Đồng ống thẳng 28.58x0.95x5.8</v>
      </c>
      <c r="E655" s="583">
        <f ca="1">IFERROR(__xludf.DUMMYFUNCTION("""COMPUTED_VALUE"""),0.1)</f>
        <v>0.1</v>
      </c>
      <c r="F655" s="584" t="str">
        <f ca="1">IFERROR(__xludf.DUMMYFUNCTION("""COMPUTED_VALUE"""),"Cây")</f>
        <v>Cây</v>
      </c>
      <c r="G655" s="584" t="str">
        <f ca="1">IFERROR(__xludf.DUMMYFUNCTION("""COMPUTED_VALUE"""),"Cây 5.8m")</f>
        <v>Cây 5.8m</v>
      </c>
      <c r="H655" s="582"/>
      <c r="I655" s="585">
        <f ca="1">IFERROR(__xludf.DUMMYFUNCTION("""COMPUTED_VALUE"""),4.41195287399999)</f>
        <v>4.41195287399999</v>
      </c>
      <c r="J655" s="586" t="str">
        <f ca="1">IFERROR(__xludf.DUMMYFUNCTION("""COMPUTED_VALUE""")," 28.58 ")</f>
        <v xml:space="preserve"> 28.58 </v>
      </c>
      <c r="K655" s="584" t="str">
        <f ca="1">IFERROR(__xludf.DUMMYFUNCTION("""COMPUTED_VALUE"""),"0.95")</f>
        <v>0.95</v>
      </c>
      <c r="L655" s="584">
        <f ca="1">IFERROR(__xludf.DUMMYFUNCTION("""COMPUTED_VALUE"""),5.8)</f>
        <v>5.8</v>
      </c>
      <c r="M655" s="584"/>
      <c r="N655" s="584" t="str">
        <f ca="1">IFERROR(__xludf.DUMMYFUNCTION("""COMPUTED_VALUE"""),"Dị_D&lt;54")</f>
        <v>Dị_D&lt;54</v>
      </c>
      <c r="O655" s="583"/>
      <c r="P655" s="584"/>
    </row>
    <row r="656" spans="1:17" ht="15.75">
      <c r="A656" s="587" t="str">
        <f ca="1">IFERROR(__xludf.DUMMYFUNCTION("""COMPUTED_VALUE"""),"Toàn Phát - Việt Nam")</f>
        <v>Toàn Phát - Việt Nam</v>
      </c>
      <c r="B656" s="587" t="str">
        <f ca="1">IFERROR(__xludf.DUMMYFUNCTION("""COMPUTED_VALUE"""),"ĐTPCAYCT")</f>
        <v>ĐTPCAYCT</v>
      </c>
      <c r="C656" s="587" t="str">
        <f ca="1">IFERROR(__xludf.DUMMYFUNCTION("""COMPUTED_VALUE"""),"DOT2858100")</f>
        <v>DOT2858100</v>
      </c>
      <c r="D656" s="588" t="str">
        <f ca="1">IFERROR(__xludf.DUMMYFUNCTION("""COMPUTED_VALUE"""),"Đồng ống thẳng 28.58x1.00")</f>
        <v>Đồng ống thẳng 28.58x1.00</v>
      </c>
      <c r="E656" s="589">
        <f ca="1">IFERROR(__xludf.DUMMYFUNCTION("""COMPUTED_VALUE"""),0.1)</f>
        <v>0.1</v>
      </c>
      <c r="F656" s="590" t="str">
        <f ca="1">IFERROR(__xludf.DUMMYFUNCTION("""COMPUTED_VALUE"""),"Cây")</f>
        <v>Cây</v>
      </c>
      <c r="G656" s="590" t="str">
        <f ca="1">IFERROR(__xludf.DUMMYFUNCTION("""COMPUTED_VALUE"""),"Cây 2.9m")</f>
        <v>Cây 2.9m</v>
      </c>
      <c r="H656" s="588" t="str">
        <f ca="1">IFERROR(__xludf.DUMMYFUNCTION("""COMPUTED_VALUE"""),"12")</f>
        <v>12</v>
      </c>
      <c r="I656" s="591">
        <f ca="1">IFERROR(__xludf.DUMMYFUNCTION("""COMPUTED_VALUE"""),2.31787836)</f>
        <v>2.3178783599999999</v>
      </c>
      <c r="J656" s="592" t="str">
        <f ca="1">IFERROR(__xludf.DUMMYFUNCTION("""COMPUTED_VALUE""")," 28.58 ")</f>
        <v xml:space="preserve"> 28.58 </v>
      </c>
      <c r="K656" s="590" t="str">
        <f ca="1">IFERROR(__xludf.DUMMYFUNCTION("""COMPUTED_VALUE"""),"1.00")</f>
        <v>1.00</v>
      </c>
      <c r="L656" s="590">
        <f ca="1">IFERROR(__xludf.DUMMYFUNCTION("""COMPUTED_VALUE"""),2.9)</f>
        <v>2.9</v>
      </c>
      <c r="M656" s="590"/>
      <c r="N656" s="590" t="str">
        <f ca="1">IFERROR(__xludf.DUMMYFUNCTION("""COMPUTED_VALUE"""),"Không")</f>
        <v>Không</v>
      </c>
      <c r="O656" s="589"/>
      <c r="P656" s="590"/>
      <c r="Q656" s="885">
        <f ca="1">+$Q$5*I656</f>
        <v>533.11202279999986</v>
      </c>
    </row>
    <row r="657" spans="1:17" ht="15.75">
      <c r="A657" s="581" t="str">
        <f ca="1">IFERROR(__xludf.DUMMYFUNCTION("""COMPUTED_VALUE"""),"Toàn Phát - Việt Nam")</f>
        <v>Toàn Phát - Việt Nam</v>
      </c>
      <c r="B657" s="581" t="str">
        <f ca="1">IFERROR(__xludf.DUMMYFUNCTION("""COMPUTED_VALUE"""),"ĐTPCAYDI")</f>
        <v>ĐTPCAYDI</v>
      </c>
      <c r="C657" s="581" t="str">
        <f ca="1">IFERROR(__xludf.DUMMYFUNCTION("""COMPUTED_VALUE"""),"DOT285810058")</f>
        <v>DOT285810058</v>
      </c>
      <c r="D657" s="582" t="str">
        <f ca="1">IFERROR(__xludf.DUMMYFUNCTION("""COMPUTED_VALUE"""),"Đồng ống thẳng 28.58x1.00x5.8")</f>
        <v>Đồng ống thẳng 28.58x1.00x5.8</v>
      </c>
      <c r="E657" s="583">
        <f ca="1">IFERROR(__xludf.DUMMYFUNCTION("""COMPUTED_VALUE"""),0.1)</f>
        <v>0.1</v>
      </c>
      <c r="F657" s="584" t="str">
        <f ca="1">IFERROR(__xludf.DUMMYFUNCTION("""COMPUTED_VALUE"""),"Cây")</f>
        <v>Cây</v>
      </c>
      <c r="G657" s="584" t="str">
        <f ca="1">IFERROR(__xludf.DUMMYFUNCTION("""COMPUTED_VALUE"""),"Cây 5.8m")</f>
        <v>Cây 5.8m</v>
      </c>
      <c r="H657" s="582"/>
      <c r="I657" s="585">
        <f ca="1">IFERROR(__xludf.DUMMYFUNCTION("""COMPUTED_VALUE"""),4.63575672)</f>
        <v>4.6357567199999998</v>
      </c>
      <c r="J657" s="586" t="str">
        <f ca="1">IFERROR(__xludf.DUMMYFUNCTION("""COMPUTED_VALUE""")," 28.58 ")</f>
        <v xml:space="preserve"> 28.58 </v>
      </c>
      <c r="K657" s="584" t="str">
        <f ca="1">IFERROR(__xludf.DUMMYFUNCTION("""COMPUTED_VALUE"""),"1.00")</f>
        <v>1.00</v>
      </c>
      <c r="L657" s="584">
        <f ca="1">IFERROR(__xludf.DUMMYFUNCTION("""COMPUTED_VALUE"""),5.8)</f>
        <v>5.8</v>
      </c>
      <c r="M657" s="584"/>
      <c r="N657" s="584" t="str">
        <f ca="1">IFERROR(__xludf.DUMMYFUNCTION("""COMPUTED_VALUE"""),"Dị_D&lt;54")</f>
        <v>Dị_D&lt;54</v>
      </c>
      <c r="O657" s="583"/>
      <c r="P657" s="584"/>
    </row>
    <row r="658" spans="1:17" ht="15.75">
      <c r="A658" s="587" t="str">
        <f ca="1">IFERROR(__xludf.DUMMYFUNCTION("""COMPUTED_VALUE"""),"Toàn Phát - Việt Nam")</f>
        <v>Toàn Phát - Việt Nam</v>
      </c>
      <c r="B658" s="587" t="str">
        <f ca="1">IFERROR(__xludf.DUMMYFUNCTION("""COMPUTED_VALUE"""),"ĐTPCAYDI")</f>
        <v>ĐTPCAYDI</v>
      </c>
      <c r="C658" s="587" t="str">
        <f ca="1">IFERROR(__xludf.DUMMYFUNCTION("""COMPUTED_VALUE"""),"DOT2858103")</f>
        <v>DOT2858103</v>
      </c>
      <c r="D658" s="588" t="str">
        <f ca="1">IFERROR(__xludf.DUMMYFUNCTION("""COMPUTED_VALUE"""),"Đồng ống thẳng 28.58x1.0x3")</f>
        <v>Đồng ống thẳng 28.58x1.0x3</v>
      </c>
      <c r="E658" s="589">
        <f ca="1">IFERROR(__xludf.DUMMYFUNCTION("""COMPUTED_VALUE"""),0.1)</f>
        <v>0.1</v>
      </c>
      <c r="F658" s="590" t="str">
        <f ca="1">IFERROR(__xludf.DUMMYFUNCTION("""COMPUTED_VALUE"""),"Cây")</f>
        <v>Cây</v>
      </c>
      <c r="G658" s="590" t="str">
        <f ca="1">IFERROR(__xludf.DUMMYFUNCTION("""COMPUTED_VALUE"""),"Cây 3m")</f>
        <v>Cây 3m</v>
      </c>
      <c r="H658" s="588" t="str">
        <f ca="1">IFERROR(__xludf.DUMMYFUNCTION("""COMPUTED_VALUE"""),"12")</f>
        <v>12</v>
      </c>
      <c r="I658" s="591">
        <f ca="1">IFERROR(__xludf.DUMMYFUNCTION("""COMPUTED_VALUE"""),2.39780519999999)</f>
        <v>2.3978051999999899</v>
      </c>
      <c r="J658" s="592" t="str">
        <f ca="1">IFERROR(__xludf.DUMMYFUNCTION("""COMPUTED_VALUE""")," 28.58 ")</f>
        <v xml:space="preserve"> 28.58 </v>
      </c>
      <c r="K658" s="590" t="str">
        <f ca="1">IFERROR(__xludf.DUMMYFUNCTION("""COMPUTED_VALUE"""),"1.00")</f>
        <v>1.00</v>
      </c>
      <c r="L658" s="590">
        <f ca="1">IFERROR(__xludf.DUMMYFUNCTION("""COMPUTED_VALUE"""),3)</f>
        <v>3</v>
      </c>
      <c r="M658" s="590"/>
      <c r="N658" s="590" t="str">
        <f ca="1">IFERROR(__xludf.DUMMYFUNCTION("""COMPUTED_VALUE"""),"Dị_D&lt;54")</f>
        <v>Dị_D&lt;54</v>
      </c>
      <c r="O658" s="589"/>
      <c r="P658" s="590"/>
    </row>
    <row r="659" spans="1:17" ht="15.75">
      <c r="A659" s="581" t="str">
        <f ca="1">IFERROR(__xludf.DUMMYFUNCTION("""COMPUTED_VALUE"""),"Toàn Phát - Việt Nam")</f>
        <v>Toàn Phát - Việt Nam</v>
      </c>
      <c r="B659" s="581" t="str">
        <f ca="1">IFERROR(__xludf.DUMMYFUNCTION("""COMPUTED_VALUE"""),"ĐTPCAYDI")</f>
        <v>ĐTPCAYDI</v>
      </c>
      <c r="C659" s="581" t="str">
        <f ca="1">IFERROR(__xludf.DUMMYFUNCTION("""COMPUTED_VALUE"""),"DOT2858107")</f>
        <v>DOT2858107</v>
      </c>
      <c r="D659" s="582" t="str">
        <f ca="1">IFERROR(__xludf.DUMMYFUNCTION("""COMPUTED_VALUE"""),"Đồng ống thẳng 28.58x1.07")</f>
        <v>Đồng ống thẳng 28.58x1.07</v>
      </c>
      <c r="E659" s="583">
        <f ca="1">IFERROR(__xludf.DUMMYFUNCTION("""COMPUTED_VALUE"""),0.1)</f>
        <v>0.1</v>
      </c>
      <c r="F659" s="584" t="str">
        <f ca="1">IFERROR(__xludf.DUMMYFUNCTION("""COMPUTED_VALUE"""),"Cây")</f>
        <v>Cây</v>
      </c>
      <c r="G659" s="584" t="str">
        <f ca="1">IFERROR(__xludf.DUMMYFUNCTION("""COMPUTED_VALUE"""),"Cây 2.9m")</f>
        <v>Cây 2.9m</v>
      </c>
      <c r="H659" s="582" t="str">
        <f ca="1">IFERROR(__xludf.DUMMYFUNCTION("""COMPUTED_VALUE"""),"12")</f>
        <v>12</v>
      </c>
      <c r="I659" s="585">
        <f ca="1">IFERROR(__xludf.DUMMYFUNCTION("""COMPUTED_VALUE"""),2.47383509939999)</f>
        <v>2.4738350993999898</v>
      </c>
      <c r="J659" s="586" t="str">
        <f ca="1">IFERROR(__xludf.DUMMYFUNCTION("""COMPUTED_VALUE""")," 28.58 ")</f>
        <v xml:space="preserve"> 28.58 </v>
      </c>
      <c r="K659" s="584" t="str">
        <f ca="1">IFERROR(__xludf.DUMMYFUNCTION("""COMPUTED_VALUE"""),"1.07")</f>
        <v>1.07</v>
      </c>
      <c r="L659" s="584">
        <f ca="1">IFERROR(__xludf.DUMMYFUNCTION("""COMPUTED_VALUE"""),2.9)</f>
        <v>2.9</v>
      </c>
      <c r="M659" s="584"/>
      <c r="N659" s="584" t="str">
        <f ca="1">IFERROR(__xludf.DUMMYFUNCTION("""COMPUTED_VALUE"""),"Dị_D&lt;54")</f>
        <v>Dị_D&lt;54</v>
      </c>
      <c r="O659" s="583"/>
      <c r="P659" s="584"/>
    </row>
    <row r="660" spans="1:17" ht="15.75">
      <c r="A660" s="587" t="str">
        <f ca="1">IFERROR(__xludf.DUMMYFUNCTION("""COMPUTED_VALUE"""),"Toàn Phát - Việt Nam")</f>
        <v>Toàn Phát - Việt Nam</v>
      </c>
      <c r="B660" s="587" t="str">
        <f ca="1">IFERROR(__xludf.DUMMYFUNCTION("""COMPUTED_VALUE"""),"ĐTPCAYDI")</f>
        <v>ĐTPCAYDI</v>
      </c>
      <c r="C660" s="587" t="str">
        <f ca="1">IFERROR(__xludf.DUMMYFUNCTION("""COMPUTED_VALUE"""),"DOT285801158")</f>
        <v>DOT285801158</v>
      </c>
      <c r="D660" s="588" t="str">
        <f ca="1">IFERROR(__xludf.DUMMYFUNCTION("""COMPUTED_VALUE"""),"Đồng ống thẳng 28.58x1.1x5.8")</f>
        <v>Đồng ống thẳng 28.58x1.1x5.8</v>
      </c>
      <c r="E660" s="589">
        <f ca="1">IFERROR(__xludf.DUMMYFUNCTION("""COMPUTED_VALUE"""),0.1)</f>
        <v>0.1</v>
      </c>
      <c r="F660" s="590" t="str">
        <f ca="1">IFERROR(__xludf.DUMMYFUNCTION("""COMPUTED_VALUE"""),"Cây")</f>
        <v>Cây</v>
      </c>
      <c r="G660" s="590" t="str">
        <f ca="1">IFERROR(__xludf.DUMMYFUNCTION("""COMPUTED_VALUE"""),"Cây 5.8m")</f>
        <v>Cây 5.8m</v>
      </c>
      <c r="H660" s="588"/>
      <c r="I660" s="591">
        <f ca="1">IFERROR(__xludf.DUMMYFUNCTION("""COMPUTED_VALUE"""),5.08084315199999)</f>
        <v>5.0808431519999901</v>
      </c>
      <c r="J660" s="592" t="str">
        <f ca="1">IFERROR(__xludf.DUMMYFUNCTION("""COMPUTED_VALUE""")," 28.58 ")</f>
        <v xml:space="preserve"> 28.58 </v>
      </c>
      <c r="K660" s="590" t="str">
        <f ca="1">IFERROR(__xludf.DUMMYFUNCTION("""COMPUTED_VALUE"""),"1.10")</f>
        <v>1.10</v>
      </c>
      <c r="L660" s="590">
        <f ca="1">IFERROR(__xludf.DUMMYFUNCTION("""COMPUTED_VALUE"""),5.8)</f>
        <v>5.8</v>
      </c>
      <c r="M660" s="590"/>
      <c r="N660" s="590" t="str">
        <f ca="1">IFERROR(__xludf.DUMMYFUNCTION("""COMPUTED_VALUE"""),"Dị_D&lt;54")</f>
        <v>Dị_D&lt;54</v>
      </c>
      <c r="O660" s="589"/>
      <c r="P660" s="590"/>
    </row>
    <row r="661" spans="1:17" ht="15.75">
      <c r="A661" s="581" t="str">
        <f ca="1">IFERROR(__xludf.DUMMYFUNCTION("""COMPUTED_VALUE"""),"Toàn Phát - Việt Nam")</f>
        <v>Toàn Phát - Việt Nam</v>
      </c>
      <c r="B661" s="581" t="str">
        <f ca="1">IFERROR(__xludf.DUMMYFUNCTION("""COMPUTED_VALUE"""),"ĐTPCAYDI")</f>
        <v>ĐTPCAYDI</v>
      </c>
      <c r="C661" s="581" t="str">
        <f ca="1">IFERROR(__xludf.DUMMYFUNCTION("""COMPUTED_VALUE"""),"DOT2858110")</f>
        <v>DOT2858110</v>
      </c>
      <c r="D661" s="582" t="str">
        <f ca="1">IFERROR(__xludf.DUMMYFUNCTION("""COMPUTED_VALUE"""),"Đồng ống thẳng 28.58x1.10")</f>
        <v>Đồng ống thẳng 28.58x1.10</v>
      </c>
      <c r="E661" s="583">
        <f ca="1">IFERROR(__xludf.DUMMYFUNCTION("""COMPUTED_VALUE"""),0.1)</f>
        <v>0.1</v>
      </c>
      <c r="F661" s="584" t="str">
        <f ca="1">IFERROR(__xludf.DUMMYFUNCTION("""COMPUTED_VALUE"""),"Cây")</f>
        <v>Cây</v>
      </c>
      <c r="G661" s="584" t="str">
        <f ca="1">IFERROR(__xludf.DUMMYFUNCTION("""COMPUTED_VALUE"""),"Cây 2.9m")</f>
        <v>Cây 2.9m</v>
      </c>
      <c r="H661" s="582" t="str">
        <f ca="1">IFERROR(__xludf.DUMMYFUNCTION("""COMPUTED_VALUE"""),"12")</f>
        <v>12</v>
      </c>
      <c r="I661" s="585">
        <f ca="1">IFERROR(__xludf.DUMMYFUNCTION("""COMPUTED_VALUE"""),2.54042157599999)</f>
        <v>2.5404215759999902</v>
      </c>
      <c r="J661" s="586" t="str">
        <f ca="1">IFERROR(__xludf.DUMMYFUNCTION("""COMPUTED_VALUE""")," 28.58 ")</f>
        <v xml:space="preserve"> 28.58 </v>
      </c>
      <c r="K661" s="584" t="str">
        <f ca="1">IFERROR(__xludf.DUMMYFUNCTION("""COMPUTED_VALUE"""),"1.10")</f>
        <v>1.10</v>
      </c>
      <c r="L661" s="584">
        <f ca="1">IFERROR(__xludf.DUMMYFUNCTION("""COMPUTED_VALUE"""),2.9)</f>
        <v>2.9</v>
      </c>
      <c r="M661" s="584"/>
      <c r="N661" s="584" t="str">
        <f ca="1">IFERROR(__xludf.DUMMYFUNCTION("""COMPUTED_VALUE"""),"Dị_D&lt;54")</f>
        <v>Dị_D&lt;54</v>
      </c>
      <c r="O661" s="583"/>
      <c r="P661" s="584"/>
    </row>
    <row r="662" spans="1:17" ht="15.75">
      <c r="A662" s="587" t="str">
        <f ca="1">IFERROR(__xludf.DUMMYFUNCTION("""COMPUTED_VALUE"""),"Toàn Phát - Việt Nam")</f>
        <v>Toàn Phát - Việt Nam</v>
      </c>
      <c r="B662" s="587" t="str">
        <f ca="1">IFERROR(__xludf.DUMMYFUNCTION("""COMPUTED_VALUE"""),"ĐTPCAYDI")</f>
        <v>ĐTPCAYDI</v>
      </c>
      <c r="C662" s="587" t="str">
        <f ca="1">IFERROR(__xludf.DUMMYFUNCTION("""COMPUTED_VALUE"""),"DOT285811058")</f>
        <v>DOT285811058</v>
      </c>
      <c r="D662" s="588" t="str">
        <f ca="1">IFERROR(__xludf.DUMMYFUNCTION("""COMPUTED_VALUE"""),"Đồng ống thẳng 28.58x1.10x5.8")</f>
        <v>Đồng ống thẳng 28.58x1.10x5.8</v>
      </c>
      <c r="E662" s="589">
        <f ca="1">IFERROR(__xludf.DUMMYFUNCTION("""COMPUTED_VALUE"""),0.1)</f>
        <v>0.1</v>
      </c>
      <c r="F662" s="590" t="str">
        <f ca="1">IFERROR(__xludf.DUMMYFUNCTION("""COMPUTED_VALUE"""),"Cây")</f>
        <v>Cây</v>
      </c>
      <c r="G662" s="590" t="str">
        <f ca="1">IFERROR(__xludf.DUMMYFUNCTION("""COMPUTED_VALUE"""),"Cây 5.8m")</f>
        <v>Cây 5.8m</v>
      </c>
      <c r="H662" s="588"/>
      <c r="I662" s="591">
        <f ca="1">IFERROR(__xludf.DUMMYFUNCTION("""COMPUTED_VALUE"""),5.08084315199999)</f>
        <v>5.0808431519999901</v>
      </c>
      <c r="J662" s="592" t="str">
        <f ca="1">IFERROR(__xludf.DUMMYFUNCTION("""COMPUTED_VALUE""")," 28.58 ")</f>
        <v xml:space="preserve"> 28.58 </v>
      </c>
      <c r="K662" s="590" t="str">
        <f ca="1">IFERROR(__xludf.DUMMYFUNCTION("""COMPUTED_VALUE"""),"1.10")</f>
        <v>1.10</v>
      </c>
      <c r="L662" s="590">
        <f ca="1">IFERROR(__xludf.DUMMYFUNCTION("""COMPUTED_VALUE"""),5.8)</f>
        <v>5.8</v>
      </c>
      <c r="M662" s="590"/>
      <c r="N662" s="590" t="str">
        <f ca="1">IFERROR(__xludf.DUMMYFUNCTION("""COMPUTED_VALUE"""),"Dị_D&lt;54")</f>
        <v>Dị_D&lt;54</v>
      </c>
      <c r="O662" s="589"/>
      <c r="P662" s="590"/>
    </row>
    <row r="663" spans="1:17" ht="15.75">
      <c r="A663" s="581" t="str">
        <f ca="1">IFERROR(__xludf.DUMMYFUNCTION("""COMPUTED_VALUE"""),"Toàn Phát - Việt Nam")</f>
        <v>Toàn Phát - Việt Nam</v>
      </c>
      <c r="B663" s="581" t="str">
        <f ca="1">IFERROR(__xludf.DUMMYFUNCTION("""COMPUTED_VALUE"""),"ĐTPCAYDI")</f>
        <v>ĐTPCAYDI</v>
      </c>
      <c r="C663" s="581" t="str">
        <f ca="1">IFERROR(__xludf.DUMMYFUNCTION("""COMPUTED_VALUE"""),"DOT2858115")</f>
        <v>DOT2858115</v>
      </c>
      <c r="D663" s="582" t="str">
        <f ca="1">IFERROR(__xludf.DUMMYFUNCTION("""COMPUTED_VALUE"""),"Đồng ống thẳng 28.58x1.15")</f>
        <v>Đồng ống thẳng 28.58x1.15</v>
      </c>
      <c r="E663" s="583">
        <f ca="1">IFERROR(__xludf.DUMMYFUNCTION("""COMPUTED_VALUE"""),0.1)</f>
        <v>0.1</v>
      </c>
      <c r="F663" s="584" t="str">
        <f ca="1">IFERROR(__xludf.DUMMYFUNCTION("""COMPUTED_VALUE"""),"Cây")</f>
        <v>Cây</v>
      </c>
      <c r="G663" s="584" t="str">
        <f ca="1">IFERROR(__xludf.DUMMYFUNCTION("""COMPUTED_VALUE"""),"Cây 2.9m")</f>
        <v>Cây 2.9m</v>
      </c>
      <c r="H663" s="582" t="str">
        <f ca="1">IFERROR(__xludf.DUMMYFUNCTION("""COMPUTED_VALUE"""),"12")</f>
        <v>12</v>
      </c>
      <c r="I663" s="585">
        <f ca="1">IFERROR(__xludf.DUMMYFUNCTION("""COMPUTED_VALUE"""),2.65106286899999)</f>
        <v>2.6510628689999902</v>
      </c>
      <c r="J663" s="586" t="str">
        <f ca="1">IFERROR(__xludf.DUMMYFUNCTION("""COMPUTED_VALUE""")," 28.58 ")</f>
        <v xml:space="preserve"> 28.58 </v>
      </c>
      <c r="K663" s="584" t="str">
        <f ca="1">IFERROR(__xludf.DUMMYFUNCTION("""COMPUTED_VALUE"""),"1.15")</f>
        <v>1.15</v>
      </c>
      <c r="L663" s="584">
        <f ca="1">IFERROR(__xludf.DUMMYFUNCTION("""COMPUTED_VALUE"""),2.9)</f>
        <v>2.9</v>
      </c>
      <c r="M663" s="584"/>
      <c r="N663" s="584" t="str">
        <f ca="1">IFERROR(__xludf.DUMMYFUNCTION("""COMPUTED_VALUE"""),"Dị_D&lt;54")</f>
        <v>Dị_D&lt;54</v>
      </c>
      <c r="O663" s="583"/>
      <c r="P663" s="584"/>
    </row>
    <row r="664" spans="1:17" ht="15.75">
      <c r="A664" s="587" t="str">
        <f ca="1">IFERROR(__xludf.DUMMYFUNCTION("""COMPUTED_VALUE"""),"Toàn Phát - Việt Nam")</f>
        <v>Toàn Phát - Việt Nam</v>
      </c>
      <c r="B664" s="587" t="str">
        <f ca="1">IFERROR(__xludf.DUMMYFUNCTION("""COMPUTED_VALUE"""),"ĐTPCAYDI")</f>
        <v>ĐTPCAYDI</v>
      </c>
      <c r="C664" s="587" t="str">
        <f ca="1">IFERROR(__xludf.DUMMYFUNCTION("""COMPUTED_VALUE"""),"DOT285811558")</f>
        <v>DOT285811558</v>
      </c>
      <c r="D664" s="588" t="str">
        <f ca="1">IFERROR(__xludf.DUMMYFUNCTION("""COMPUTED_VALUE"""),"Đồng ống thẳng 28.58x1.15x5.8")</f>
        <v>Đồng ống thẳng 28.58x1.15x5.8</v>
      </c>
      <c r="E664" s="589">
        <f ca="1">IFERROR(__xludf.DUMMYFUNCTION("""COMPUTED_VALUE"""),0.1)</f>
        <v>0.1</v>
      </c>
      <c r="F664" s="590" t="str">
        <f ca="1">IFERROR(__xludf.DUMMYFUNCTION("""COMPUTED_VALUE"""),"Cây")</f>
        <v>Cây</v>
      </c>
      <c r="G664" s="590" t="str">
        <f ca="1">IFERROR(__xludf.DUMMYFUNCTION("""COMPUTED_VALUE"""),"Cây 5.8m")</f>
        <v>Cây 5.8m</v>
      </c>
      <c r="H664" s="588"/>
      <c r="I664" s="591">
        <f ca="1">IFERROR(__xludf.DUMMYFUNCTION("""COMPUTED_VALUE"""),5.30212573799999)</f>
        <v>5.3021257379999902</v>
      </c>
      <c r="J664" s="592" t="str">
        <f ca="1">IFERROR(__xludf.DUMMYFUNCTION("""COMPUTED_VALUE""")," 28.58 ")</f>
        <v xml:space="preserve"> 28.58 </v>
      </c>
      <c r="K664" s="590" t="str">
        <f ca="1">IFERROR(__xludf.DUMMYFUNCTION("""COMPUTED_VALUE"""),"1.15")</f>
        <v>1.15</v>
      </c>
      <c r="L664" s="590">
        <f ca="1">IFERROR(__xludf.DUMMYFUNCTION("""COMPUTED_VALUE"""),5.8)</f>
        <v>5.8</v>
      </c>
      <c r="M664" s="590"/>
      <c r="N664" s="590" t="str">
        <f ca="1">IFERROR(__xludf.DUMMYFUNCTION("""COMPUTED_VALUE"""),"Dị_D&lt;54")</f>
        <v>Dị_D&lt;54</v>
      </c>
      <c r="O664" s="589"/>
      <c r="P664" s="590"/>
    </row>
    <row r="665" spans="1:17" ht="15.75">
      <c r="A665" s="581" t="str">
        <f ca="1">IFERROR(__xludf.DUMMYFUNCTION("""COMPUTED_VALUE"""),"Toàn Phát - Việt Nam")</f>
        <v>Toàn Phát - Việt Nam</v>
      </c>
      <c r="B665" s="581" t="str">
        <f ca="1">IFERROR(__xludf.DUMMYFUNCTION("""COMPUTED_VALUE"""),"ĐTPCAYCT")</f>
        <v>ĐTPCAYCT</v>
      </c>
      <c r="C665" s="581" t="str">
        <f ca="1">IFERROR(__xludf.DUMMYFUNCTION("""COMPUTED_VALUE"""),"DOT2858120")</f>
        <v>DOT2858120</v>
      </c>
      <c r="D665" s="582" t="str">
        <f ca="1">IFERROR(__xludf.DUMMYFUNCTION("""COMPUTED_VALUE"""),"Đồng ống thẳng 28.58x1.20")</f>
        <v>Đồng ống thẳng 28.58x1.20</v>
      </c>
      <c r="E665" s="583">
        <f ca="1">IFERROR(__xludf.DUMMYFUNCTION("""COMPUTED_VALUE"""),0.1)</f>
        <v>0.1</v>
      </c>
      <c r="F665" s="584" t="str">
        <f ca="1">IFERROR(__xludf.DUMMYFUNCTION("""COMPUTED_VALUE"""),"Cây")</f>
        <v>Cây</v>
      </c>
      <c r="G665" s="584" t="str">
        <f ca="1">IFERROR(__xludf.DUMMYFUNCTION("""COMPUTED_VALUE"""),"Cây 2.9m")</f>
        <v>Cây 2.9m</v>
      </c>
      <c r="H665" s="582" t="str">
        <f ca="1">IFERROR(__xludf.DUMMYFUNCTION("""COMPUTED_VALUE"""),"12")</f>
        <v>12</v>
      </c>
      <c r="I665" s="585">
        <f ca="1">IFERROR(__xludf.DUMMYFUNCTION("""COMPUTED_VALUE"""),2.76128395199999)</f>
        <v>2.7612839519999901</v>
      </c>
      <c r="J665" s="586" t="str">
        <f ca="1">IFERROR(__xludf.DUMMYFUNCTION("""COMPUTED_VALUE""")," 28.58 ")</f>
        <v xml:space="preserve"> 28.58 </v>
      </c>
      <c r="K665" s="584" t="str">
        <f ca="1">IFERROR(__xludf.DUMMYFUNCTION("""COMPUTED_VALUE"""),"1.20")</f>
        <v>1.20</v>
      </c>
      <c r="L665" s="584">
        <f ca="1">IFERROR(__xludf.DUMMYFUNCTION("""COMPUTED_VALUE"""),2.9)</f>
        <v>2.9</v>
      </c>
      <c r="M665" s="584"/>
      <c r="N665" s="584" t="str">
        <f ca="1">IFERROR(__xludf.DUMMYFUNCTION("""COMPUTED_VALUE"""),"Không")</f>
        <v>Không</v>
      </c>
      <c r="O665" s="583"/>
      <c r="P665" s="584"/>
      <c r="Q665" s="885">
        <f ca="1">+$Q$5*I665</f>
        <v>635.09530895999762</v>
      </c>
    </row>
    <row r="666" spans="1:17" ht="15.75">
      <c r="A666" s="587" t="str">
        <f ca="1">IFERROR(__xludf.DUMMYFUNCTION("""COMPUTED_VALUE"""),"Toàn Phát - Việt Nam")</f>
        <v>Toàn Phát - Việt Nam</v>
      </c>
      <c r="B666" s="587" t="str">
        <f ca="1">IFERROR(__xludf.DUMMYFUNCTION("""COMPUTED_VALUE"""),"ĐTPCAYDI")</f>
        <v>ĐTPCAYDI</v>
      </c>
      <c r="C666" s="587" t="str">
        <f ca="1">IFERROR(__xludf.DUMMYFUNCTION("""COMPUTED_VALUE"""),"DOT285812058")</f>
        <v>DOT285812058</v>
      </c>
      <c r="D666" s="588" t="str">
        <f ca="1">IFERROR(__xludf.DUMMYFUNCTION("""COMPUTED_VALUE"""),"Đồng ống thẳng 28.58x1.2x5.8")</f>
        <v>Đồng ống thẳng 28.58x1.2x5.8</v>
      </c>
      <c r="E666" s="589">
        <f ca="1">IFERROR(__xludf.DUMMYFUNCTION("""COMPUTED_VALUE"""),0.1)</f>
        <v>0.1</v>
      </c>
      <c r="F666" s="590" t="str">
        <f ca="1">IFERROR(__xludf.DUMMYFUNCTION("""COMPUTED_VALUE"""),"Cây")</f>
        <v>Cây</v>
      </c>
      <c r="G666" s="590" t="str">
        <f ca="1">IFERROR(__xludf.DUMMYFUNCTION("""COMPUTED_VALUE"""),"Cây 5.8m")</f>
        <v>Cây 5.8m</v>
      </c>
      <c r="H666" s="588"/>
      <c r="I666" s="591">
        <f ca="1">IFERROR(__xludf.DUMMYFUNCTION("""COMPUTED_VALUE"""),5.52256790399999)</f>
        <v>5.52256790399999</v>
      </c>
      <c r="J666" s="592" t="str">
        <f ca="1">IFERROR(__xludf.DUMMYFUNCTION("""COMPUTED_VALUE""")," 28.58 ")</f>
        <v xml:space="preserve"> 28.58 </v>
      </c>
      <c r="K666" s="590" t="str">
        <f ca="1">IFERROR(__xludf.DUMMYFUNCTION("""COMPUTED_VALUE"""),"1.20")</f>
        <v>1.20</v>
      </c>
      <c r="L666" s="590">
        <f ca="1">IFERROR(__xludf.DUMMYFUNCTION("""COMPUTED_VALUE"""),5.8)</f>
        <v>5.8</v>
      </c>
      <c r="M666" s="590"/>
      <c r="N666" s="590" t="str">
        <f ca="1">IFERROR(__xludf.DUMMYFUNCTION("""COMPUTED_VALUE"""),"Dị_D&lt;54")</f>
        <v>Dị_D&lt;54</v>
      </c>
      <c r="O666" s="589"/>
      <c r="P666" s="590"/>
    </row>
    <row r="667" spans="1:17" ht="15.75">
      <c r="A667" s="581" t="str">
        <f ca="1">IFERROR(__xludf.DUMMYFUNCTION("""COMPUTED_VALUE"""),"Toàn Phát - Việt Nam")</f>
        <v>Toàn Phát - Việt Nam</v>
      </c>
      <c r="B667" s="581" t="str">
        <f ca="1">IFERROR(__xludf.DUMMYFUNCTION("""COMPUTED_VALUE"""),"ĐTPCAYDI")</f>
        <v>ĐTPCAYDI</v>
      </c>
      <c r="C667" s="581" t="str">
        <f ca="1">IFERROR(__xludf.DUMMYFUNCTION("""COMPUTED_VALUE"""),"DOT28580125")</f>
        <v>DOT28580125</v>
      </c>
      <c r="D667" s="582" t="str">
        <f ca="1">IFERROR(__xludf.DUMMYFUNCTION("""COMPUTED_VALUE"""),"Đồng ống thẳng 28.58x1.25")</f>
        <v>Đồng ống thẳng 28.58x1.25</v>
      </c>
      <c r="E667" s="583">
        <f ca="1">IFERROR(__xludf.DUMMYFUNCTION("""COMPUTED_VALUE"""),0.1)</f>
        <v>0.1</v>
      </c>
      <c r="F667" s="584" t="str">
        <f ca="1">IFERROR(__xludf.DUMMYFUNCTION("""COMPUTED_VALUE"""),"Cây")</f>
        <v>Cây</v>
      </c>
      <c r="G667" s="584" t="str">
        <f ca="1">IFERROR(__xludf.DUMMYFUNCTION("""COMPUTED_VALUE"""),"Cây 2.9m")</f>
        <v>Cây 2.9m</v>
      </c>
      <c r="H667" s="582" t="str">
        <f ca="1">IFERROR(__xludf.DUMMYFUNCTION("""COMPUTED_VALUE"""),"12")</f>
        <v>12</v>
      </c>
      <c r="I667" s="585">
        <f ca="1">IFERROR(__xludf.DUMMYFUNCTION("""COMPUTED_VALUE"""),2.87108482499999)</f>
        <v>2.8710848249999898</v>
      </c>
      <c r="J667" s="586" t="str">
        <f ca="1">IFERROR(__xludf.DUMMYFUNCTION("""COMPUTED_VALUE""")," 28.58 ")</f>
        <v xml:space="preserve"> 28.58 </v>
      </c>
      <c r="K667" s="584" t="str">
        <f ca="1">IFERROR(__xludf.DUMMYFUNCTION("""COMPUTED_VALUE"""),"1.25")</f>
        <v>1.25</v>
      </c>
      <c r="L667" s="584">
        <f ca="1">IFERROR(__xludf.DUMMYFUNCTION("""COMPUTED_VALUE"""),2.9)</f>
        <v>2.9</v>
      </c>
      <c r="M667" s="584"/>
      <c r="N667" s="584" t="str">
        <f ca="1">IFERROR(__xludf.DUMMYFUNCTION("""COMPUTED_VALUE"""),"Dị_D&lt;54")</f>
        <v>Dị_D&lt;54</v>
      </c>
      <c r="O667" s="583"/>
      <c r="P667" s="584"/>
    </row>
    <row r="668" spans="1:17" ht="15.75">
      <c r="A668" s="587" t="str">
        <f ca="1">IFERROR(__xludf.DUMMYFUNCTION("""COMPUTED_VALUE"""),"Toàn Phát - Việt Nam")</f>
        <v>Toàn Phát - Việt Nam</v>
      </c>
      <c r="B668" s="587" t="str">
        <f ca="1">IFERROR(__xludf.DUMMYFUNCTION("""COMPUTED_VALUE"""),"ĐTPCAYDI")</f>
        <v>ĐTPCAYDI</v>
      </c>
      <c r="C668" s="587" t="str">
        <f ca="1">IFERROR(__xludf.DUMMYFUNCTION("""COMPUTED_VALUE"""),"DOT285812729")</f>
        <v>DOT285812729</v>
      </c>
      <c r="D668" s="588" t="str">
        <f ca="1">IFERROR(__xludf.DUMMYFUNCTION("""COMPUTED_VALUE"""),"Đồng ống thẳng 28.58x1.27x2.9")</f>
        <v>Đồng ống thẳng 28.58x1.27x2.9</v>
      </c>
      <c r="E668" s="589">
        <f ca="1">IFERROR(__xludf.DUMMYFUNCTION("""COMPUTED_VALUE"""),0.1)</f>
        <v>0.1</v>
      </c>
      <c r="F668" s="590" t="str">
        <f ca="1">IFERROR(__xludf.DUMMYFUNCTION("""COMPUTED_VALUE"""),"Cây")</f>
        <v>Cây</v>
      </c>
      <c r="G668" s="590" t="str">
        <f ca="1">IFERROR(__xludf.DUMMYFUNCTION("""COMPUTED_VALUE"""),"Cây 2.9m")</f>
        <v>Cây 2.9m</v>
      </c>
      <c r="H668" s="588" t="str">
        <f ca="1">IFERROR(__xludf.DUMMYFUNCTION("""COMPUTED_VALUE"""),"12")</f>
        <v>12</v>
      </c>
      <c r="I668" s="591">
        <f ca="1">IFERROR(__xludf.DUMMYFUNCTION("""COMPUTED_VALUE"""),2.9148875154)</f>
        <v>2.9148875153999998</v>
      </c>
      <c r="J668" s="592" t="str">
        <f ca="1">IFERROR(__xludf.DUMMYFUNCTION("""COMPUTED_VALUE""")," 28.58 ")</f>
        <v xml:space="preserve"> 28.58 </v>
      </c>
      <c r="K668" s="590" t="str">
        <f ca="1">IFERROR(__xludf.DUMMYFUNCTION("""COMPUTED_VALUE"""),"1.27")</f>
        <v>1.27</v>
      </c>
      <c r="L668" s="590">
        <f ca="1">IFERROR(__xludf.DUMMYFUNCTION("""COMPUTED_VALUE"""),2.9)</f>
        <v>2.9</v>
      </c>
      <c r="M668" s="590"/>
      <c r="N668" s="590" t="str">
        <f ca="1">IFERROR(__xludf.DUMMYFUNCTION("""COMPUTED_VALUE"""),"Dị_D&lt;54")</f>
        <v>Dị_D&lt;54</v>
      </c>
      <c r="O668" s="589"/>
      <c r="P668" s="590"/>
    </row>
    <row r="669" spans="1:17" ht="15.75">
      <c r="A669" s="581" t="str">
        <f ca="1">IFERROR(__xludf.DUMMYFUNCTION("""COMPUTED_VALUE"""),"Toàn Phát - Việt Nam")</f>
        <v>Toàn Phát - Việt Nam</v>
      </c>
      <c r="B669" s="581" t="str">
        <f ca="1">IFERROR(__xludf.DUMMYFUNCTION("""COMPUTED_VALUE"""),"ĐTPCAYDI")</f>
        <v>ĐTPCAYDI</v>
      </c>
      <c r="C669" s="581" t="str">
        <f ca="1">IFERROR(__xludf.DUMMYFUNCTION("""COMPUTED_VALUE"""),"DOT285813")</f>
        <v>DOT285813</v>
      </c>
      <c r="D669" s="582" t="str">
        <f ca="1">IFERROR(__xludf.DUMMYFUNCTION("""COMPUTED_VALUE"""),"Đồng ống thẳng 28.58x1.3")</f>
        <v>Đồng ống thẳng 28.58x1.3</v>
      </c>
      <c r="E669" s="583">
        <f ca="1">IFERROR(__xludf.DUMMYFUNCTION("""COMPUTED_VALUE"""),0.1)</f>
        <v>0.1</v>
      </c>
      <c r="F669" s="584" t="str">
        <f ca="1">IFERROR(__xludf.DUMMYFUNCTION("""COMPUTED_VALUE"""),"Cây")</f>
        <v>Cây</v>
      </c>
      <c r="G669" s="584" t="str">
        <f ca="1">IFERROR(__xludf.DUMMYFUNCTION("""COMPUTED_VALUE"""),"Cây 2.9m")</f>
        <v>Cây 2.9m</v>
      </c>
      <c r="H669" s="582" t="str">
        <f ca="1">IFERROR(__xludf.DUMMYFUNCTION("""COMPUTED_VALUE"""),"12")</f>
        <v>12</v>
      </c>
      <c r="I669" s="585">
        <f ca="1">IFERROR(__xludf.DUMMYFUNCTION("""COMPUTED_VALUE"""),2.98046548799999)</f>
        <v>2.9804654879999899</v>
      </c>
      <c r="J669" s="586" t="str">
        <f ca="1">IFERROR(__xludf.DUMMYFUNCTION("""COMPUTED_VALUE""")," 28.58 ")</f>
        <v xml:space="preserve"> 28.58 </v>
      </c>
      <c r="K669" s="584" t="str">
        <f ca="1">IFERROR(__xludf.DUMMYFUNCTION("""COMPUTED_VALUE"""),"1.30")</f>
        <v>1.30</v>
      </c>
      <c r="L669" s="584">
        <f ca="1">IFERROR(__xludf.DUMMYFUNCTION("""COMPUTED_VALUE"""),2.9)</f>
        <v>2.9</v>
      </c>
      <c r="M669" s="584"/>
      <c r="N669" s="584" t="str">
        <f ca="1">IFERROR(__xludf.DUMMYFUNCTION("""COMPUTED_VALUE"""),"Dị_D&lt;54")</f>
        <v>Dị_D&lt;54</v>
      </c>
      <c r="O669" s="583"/>
      <c r="P669" s="584"/>
    </row>
    <row r="670" spans="1:17" ht="15.75">
      <c r="A670" s="587" t="str">
        <f ca="1">IFERROR(__xludf.DUMMYFUNCTION("""COMPUTED_VALUE"""),"Toàn Phát - Việt Nam")</f>
        <v>Toàn Phát - Việt Nam</v>
      </c>
      <c r="B670" s="587" t="str">
        <f ca="1">IFERROR(__xludf.DUMMYFUNCTION("""COMPUTED_VALUE"""),"ĐTPCAYDI")</f>
        <v>ĐTPCAYDI</v>
      </c>
      <c r="C670" s="587" t="str">
        <f ca="1">IFERROR(__xludf.DUMMYFUNCTION("""COMPUTED_VALUE"""),"DOT2858135")</f>
        <v>DOT2858135</v>
      </c>
      <c r="D670" s="588" t="str">
        <f ca="1">IFERROR(__xludf.DUMMYFUNCTION("""COMPUTED_VALUE"""),"Đồng ống thẳng 28.58x1.35")</f>
        <v>Đồng ống thẳng 28.58x1.35</v>
      </c>
      <c r="E670" s="589">
        <f ca="1">IFERROR(__xludf.DUMMYFUNCTION("""COMPUTED_VALUE"""),0.1)</f>
        <v>0.1</v>
      </c>
      <c r="F670" s="590" t="str">
        <f ca="1">IFERROR(__xludf.DUMMYFUNCTION("""COMPUTED_VALUE"""),"Cây")</f>
        <v>Cây</v>
      </c>
      <c r="G670" s="590" t="str">
        <f ca="1">IFERROR(__xludf.DUMMYFUNCTION("""COMPUTED_VALUE"""),"Cây 2.9m")</f>
        <v>Cây 2.9m</v>
      </c>
      <c r="H670" s="588" t="str">
        <f ca="1">IFERROR(__xludf.DUMMYFUNCTION("""COMPUTED_VALUE"""),"12")</f>
        <v>12</v>
      </c>
      <c r="I670" s="591">
        <f ca="1">IFERROR(__xludf.DUMMYFUNCTION("""COMPUTED_VALUE"""),3.08942594099999)</f>
        <v>3.0894259409999898</v>
      </c>
      <c r="J670" s="592" t="str">
        <f ca="1">IFERROR(__xludf.DUMMYFUNCTION("""COMPUTED_VALUE""")," 28.58 ")</f>
        <v xml:space="preserve"> 28.58 </v>
      </c>
      <c r="K670" s="590" t="str">
        <f ca="1">IFERROR(__xludf.DUMMYFUNCTION("""COMPUTED_VALUE"""),"1.35")</f>
        <v>1.35</v>
      </c>
      <c r="L670" s="590">
        <f ca="1">IFERROR(__xludf.DUMMYFUNCTION("""COMPUTED_VALUE"""),2.9)</f>
        <v>2.9</v>
      </c>
      <c r="M670" s="590"/>
      <c r="N670" s="590" t="str">
        <f ca="1">IFERROR(__xludf.DUMMYFUNCTION("""COMPUTED_VALUE"""),"Dị_D&lt;54")</f>
        <v>Dị_D&lt;54</v>
      </c>
      <c r="O670" s="589"/>
      <c r="P670" s="590"/>
    </row>
    <row r="671" spans="1:17" ht="15.75">
      <c r="A671" s="581" t="str">
        <f ca="1">IFERROR(__xludf.DUMMYFUNCTION("""COMPUTED_VALUE"""),"Toàn Phát - Việt Nam")</f>
        <v>Toàn Phát - Việt Nam</v>
      </c>
      <c r="B671" s="581" t="str">
        <f ca="1">IFERROR(__xludf.DUMMYFUNCTION("""COMPUTED_VALUE"""),"ĐTPCAYDI")</f>
        <v>ĐTPCAYDI</v>
      </c>
      <c r="C671" s="581" t="str">
        <f ca="1">IFERROR(__xludf.DUMMYFUNCTION("""COMPUTED_VALUE"""),"DOT2858140")</f>
        <v>DOT2858140</v>
      </c>
      <c r="D671" s="582" t="str">
        <f ca="1">IFERROR(__xludf.DUMMYFUNCTION("""COMPUTED_VALUE"""),"Đồng ống thẳng 28.58x1.40")</f>
        <v>Đồng ống thẳng 28.58x1.40</v>
      </c>
      <c r="E671" s="583">
        <f ca="1">IFERROR(__xludf.DUMMYFUNCTION("""COMPUTED_VALUE"""),0.1)</f>
        <v>0.1</v>
      </c>
      <c r="F671" s="584" t="str">
        <f ca="1">IFERROR(__xludf.DUMMYFUNCTION("""COMPUTED_VALUE"""),"Cây")</f>
        <v>Cây</v>
      </c>
      <c r="G671" s="584" t="str">
        <f ca="1">IFERROR(__xludf.DUMMYFUNCTION("""COMPUTED_VALUE"""),"Cây 2.9m")</f>
        <v>Cây 2.9m</v>
      </c>
      <c r="H671" s="582" t="str">
        <f ca="1">IFERROR(__xludf.DUMMYFUNCTION("""COMPUTED_VALUE"""),"12")</f>
        <v>12</v>
      </c>
      <c r="I671" s="585">
        <f ca="1">IFERROR(__xludf.DUMMYFUNCTION("""COMPUTED_VALUE"""),3.19796618399999)</f>
        <v>3.19796618399999</v>
      </c>
      <c r="J671" s="586" t="str">
        <f ca="1">IFERROR(__xludf.DUMMYFUNCTION("""COMPUTED_VALUE""")," 28.58 ")</f>
        <v xml:space="preserve"> 28.58 </v>
      </c>
      <c r="K671" s="584" t="str">
        <f ca="1">IFERROR(__xludf.DUMMYFUNCTION("""COMPUTED_VALUE"""),"1.40")</f>
        <v>1.40</v>
      </c>
      <c r="L671" s="584">
        <f ca="1">IFERROR(__xludf.DUMMYFUNCTION("""COMPUTED_VALUE"""),2.9)</f>
        <v>2.9</v>
      </c>
      <c r="M671" s="584"/>
      <c r="N671" s="584" t="str">
        <f ca="1">IFERROR(__xludf.DUMMYFUNCTION("""COMPUTED_VALUE"""),"Dị_D&lt;54")</f>
        <v>Dị_D&lt;54</v>
      </c>
      <c r="O671" s="583"/>
      <c r="P671" s="584"/>
    </row>
    <row r="672" spans="1:17" ht="15.75">
      <c r="A672" s="587" t="str">
        <f ca="1">IFERROR(__xludf.DUMMYFUNCTION("""COMPUTED_VALUE"""),"Toàn Phát - Việt Nam")</f>
        <v>Toàn Phát - Việt Nam</v>
      </c>
      <c r="B672" s="587" t="str">
        <f ca="1">IFERROR(__xludf.DUMMYFUNCTION("""COMPUTED_VALUE"""),"ĐTPCAYDI")</f>
        <v>ĐTPCAYDI</v>
      </c>
      <c r="C672" s="587" t="str">
        <f ca="1">IFERROR(__xludf.DUMMYFUNCTION("""COMPUTED_VALUE"""),"DOT285814058")</f>
        <v>DOT285814058</v>
      </c>
      <c r="D672" s="588" t="str">
        <f ca="1">IFERROR(__xludf.DUMMYFUNCTION("""COMPUTED_VALUE"""),"Đồng ống thẳng 28.58x1.40x5.8")</f>
        <v>Đồng ống thẳng 28.58x1.40x5.8</v>
      </c>
      <c r="E672" s="589">
        <f ca="1">IFERROR(__xludf.DUMMYFUNCTION("""COMPUTED_VALUE"""),0.1)</f>
        <v>0.1</v>
      </c>
      <c r="F672" s="590" t="str">
        <f ca="1">IFERROR(__xludf.DUMMYFUNCTION("""COMPUTED_VALUE"""),"Cây")</f>
        <v>Cây</v>
      </c>
      <c r="G672" s="590" t="str">
        <f ca="1">IFERROR(__xludf.DUMMYFUNCTION("""COMPUTED_VALUE"""),"Cây 5.8m")</f>
        <v>Cây 5.8m</v>
      </c>
      <c r="H672" s="588"/>
      <c r="I672" s="591">
        <f ca="1">IFERROR(__xludf.DUMMYFUNCTION("""COMPUTED_VALUE"""),6.39593236799999)</f>
        <v>6.3959323679999898</v>
      </c>
      <c r="J672" s="592" t="str">
        <f ca="1">IFERROR(__xludf.DUMMYFUNCTION("""COMPUTED_VALUE""")," 28.58 ")</f>
        <v xml:space="preserve"> 28.58 </v>
      </c>
      <c r="K672" s="590" t="str">
        <f ca="1">IFERROR(__xludf.DUMMYFUNCTION("""COMPUTED_VALUE"""),"1.40")</f>
        <v>1.40</v>
      </c>
      <c r="L672" s="590">
        <f ca="1">IFERROR(__xludf.DUMMYFUNCTION("""COMPUTED_VALUE"""),5.8)</f>
        <v>5.8</v>
      </c>
      <c r="M672" s="590"/>
      <c r="N672" s="590" t="str">
        <f ca="1">IFERROR(__xludf.DUMMYFUNCTION("""COMPUTED_VALUE"""),"Dị_D&lt;54")</f>
        <v>Dị_D&lt;54</v>
      </c>
      <c r="O672" s="589"/>
      <c r="P672" s="590"/>
    </row>
    <row r="673" spans="1:16" ht="15.75">
      <c r="A673" s="581" t="str">
        <f ca="1">IFERROR(__xludf.DUMMYFUNCTION("""COMPUTED_VALUE"""),"Toàn Phát - Việt Nam")</f>
        <v>Toàn Phát - Việt Nam</v>
      </c>
      <c r="B673" s="581" t="str">
        <f ca="1">IFERROR(__xludf.DUMMYFUNCTION("""COMPUTED_VALUE"""),"ĐTPCAYDI")</f>
        <v>ĐTPCAYDI</v>
      </c>
      <c r="C673" s="581" t="str">
        <f ca="1">IFERROR(__xludf.DUMMYFUNCTION("""COMPUTED_VALUE"""),"DOT285815")</f>
        <v>DOT285815</v>
      </c>
      <c r="D673" s="582" t="str">
        <f ca="1">IFERROR(__xludf.DUMMYFUNCTION("""COMPUTED_VALUE"""),"Đồng ống thẳng 28.58x1.5")</f>
        <v>Đồng ống thẳng 28.58x1.5</v>
      </c>
      <c r="E673" s="583">
        <f ca="1">IFERROR(__xludf.DUMMYFUNCTION("""COMPUTED_VALUE"""),0.1)</f>
        <v>0.1</v>
      </c>
      <c r="F673" s="584" t="str">
        <f ca="1">IFERROR(__xludf.DUMMYFUNCTION("""COMPUTED_VALUE"""),"Cây")</f>
        <v>Cây</v>
      </c>
      <c r="G673" s="584" t="str">
        <f ca="1">IFERROR(__xludf.DUMMYFUNCTION("""COMPUTED_VALUE"""),"Cây 2.9m")</f>
        <v>Cây 2.9m</v>
      </c>
      <c r="H673" s="582" t="str">
        <f ca="1">IFERROR(__xludf.DUMMYFUNCTION("""COMPUTED_VALUE"""),"12")</f>
        <v>12</v>
      </c>
      <c r="I673" s="585">
        <f ca="1">IFERROR(__xludf.DUMMYFUNCTION("""COMPUTED_VALUE"""),3.41378603999999)</f>
        <v>3.41378603999999</v>
      </c>
      <c r="J673" s="586" t="str">
        <f ca="1">IFERROR(__xludf.DUMMYFUNCTION("""COMPUTED_VALUE""")," 28.58 ")</f>
        <v xml:space="preserve"> 28.58 </v>
      </c>
      <c r="K673" s="584" t="str">
        <f ca="1">IFERROR(__xludf.DUMMYFUNCTION("""COMPUTED_VALUE"""),"1.50")</f>
        <v>1.50</v>
      </c>
      <c r="L673" s="584">
        <f ca="1">IFERROR(__xludf.DUMMYFUNCTION("""COMPUTED_VALUE"""),2.9)</f>
        <v>2.9</v>
      </c>
      <c r="M673" s="584"/>
      <c r="N673" s="584" t="str">
        <f ca="1">IFERROR(__xludf.DUMMYFUNCTION("""COMPUTED_VALUE"""),"Dị_D&lt;54")</f>
        <v>Dị_D&lt;54</v>
      </c>
      <c r="O673" s="583"/>
      <c r="P673" s="584"/>
    </row>
    <row r="674" spans="1:16" ht="15.75">
      <c r="A674" s="587" t="str">
        <f ca="1">IFERROR(__xludf.DUMMYFUNCTION("""COMPUTED_VALUE"""),"Toàn Phát - Việt Nam")</f>
        <v>Toàn Phát - Việt Nam</v>
      </c>
      <c r="B674" s="587" t="str">
        <f ca="1">IFERROR(__xludf.DUMMYFUNCTION("""COMPUTED_VALUE"""),"ĐTPCAYDI")</f>
        <v>ĐTPCAYDI</v>
      </c>
      <c r="C674" s="587" t="str">
        <f ca="1">IFERROR(__xludf.DUMMYFUNCTION("""COMPUTED_VALUE"""),"DOT2858165")</f>
        <v>DOT2858165</v>
      </c>
      <c r="D674" s="588" t="str">
        <f ca="1">IFERROR(__xludf.DUMMYFUNCTION("""COMPUTED_VALUE"""),"Đồng ống thẳng 28.58x1.65")</f>
        <v>Đồng ống thẳng 28.58x1.65</v>
      </c>
      <c r="E674" s="589">
        <f ca="1">IFERROR(__xludf.DUMMYFUNCTION("""COMPUTED_VALUE"""),0.1)</f>
        <v>0.1</v>
      </c>
      <c r="F674" s="590" t="str">
        <f ca="1">IFERROR(__xludf.DUMMYFUNCTION("""COMPUTED_VALUE"""),"Cây")</f>
        <v>Cây</v>
      </c>
      <c r="G674" s="590" t="str">
        <f ca="1">IFERROR(__xludf.DUMMYFUNCTION("""COMPUTED_VALUE"""),"Cây 2.9m")</f>
        <v>Cây 2.9m</v>
      </c>
      <c r="H674" s="588" t="str">
        <f ca="1">IFERROR(__xludf.DUMMYFUNCTION("""COMPUTED_VALUE"""),"12")</f>
        <v>12</v>
      </c>
      <c r="I674" s="591">
        <f ca="1">IFERROR(__xludf.DUMMYFUNCTION("""COMPUTED_VALUE"""),3.734364249)</f>
        <v>3.734364249</v>
      </c>
      <c r="J674" s="592" t="str">
        <f ca="1">IFERROR(__xludf.DUMMYFUNCTION("""COMPUTED_VALUE""")," 28.58 ")</f>
        <v xml:space="preserve"> 28.58 </v>
      </c>
      <c r="K674" s="590" t="str">
        <f ca="1">IFERROR(__xludf.DUMMYFUNCTION("""COMPUTED_VALUE"""),"1.65")</f>
        <v>1.65</v>
      </c>
      <c r="L674" s="590">
        <f ca="1">IFERROR(__xludf.DUMMYFUNCTION("""COMPUTED_VALUE"""),2.9)</f>
        <v>2.9</v>
      </c>
      <c r="M674" s="590"/>
      <c r="N674" s="590" t="str">
        <f ca="1">IFERROR(__xludf.DUMMYFUNCTION("""COMPUTED_VALUE"""),"Dị_D&lt;54")</f>
        <v>Dị_D&lt;54</v>
      </c>
      <c r="O674" s="589"/>
      <c r="P674" s="590"/>
    </row>
    <row r="675" spans="1:16" ht="15.75">
      <c r="A675" s="581" t="str">
        <f ca="1">IFERROR(__xludf.DUMMYFUNCTION("""COMPUTED_VALUE"""),"Toàn Phát - Việt Nam")</f>
        <v>Toàn Phát - Việt Nam</v>
      </c>
      <c r="B675" s="581" t="str">
        <f ca="1">IFERROR(__xludf.DUMMYFUNCTION("""COMPUTED_VALUE"""),"ĐTPCAYDI")</f>
        <v>ĐTPCAYDI</v>
      </c>
      <c r="C675" s="581" t="str">
        <f ca="1">IFERROR(__xludf.DUMMYFUNCTION("""COMPUTED_VALUE"""),"DOT285828020")</f>
        <v>DOT285828020</v>
      </c>
      <c r="D675" s="582" t="str">
        <f ca="1">IFERROR(__xludf.DUMMYFUNCTION("""COMPUTED_VALUE"""),"Đồng ống thẳng 28.58x2.80x2.0")</f>
        <v>Đồng ống thẳng 28.58x2.80x2.0</v>
      </c>
      <c r="E675" s="583">
        <f ca="1">IFERROR(__xludf.DUMMYFUNCTION("""COMPUTED_VALUE"""),0.1)</f>
        <v>0.1</v>
      </c>
      <c r="F675" s="584" t="str">
        <f ca="1">IFERROR(__xludf.DUMMYFUNCTION("""COMPUTED_VALUE"""),"Cây")</f>
        <v>Cây</v>
      </c>
      <c r="G675" s="584" t="str">
        <f ca="1">IFERROR(__xludf.DUMMYFUNCTION("""COMPUTED_VALUE"""),"Cây 2m")</f>
        <v>Cây 2m</v>
      </c>
      <c r="H675" s="582"/>
      <c r="I675" s="585">
        <f ca="1">IFERROR(__xludf.DUMMYFUNCTION("""COMPUTED_VALUE"""),4.18378463999999)</f>
        <v>4.1837846399999901</v>
      </c>
      <c r="J675" s="586" t="str">
        <f ca="1">IFERROR(__xludf.DUMMYFUNCTION("""COMPUTED_VALUE""")," 28.58 ")</f>
        <v xml:space="preserve"> 28.58 </v>
      </c>
      <c r="K675" s="584" t="str">
        <f ca="1">IFERROR(__xludf.DUMMYFUNCTION("""COMPUTED_VALUE"""),"2.80")</f>
        <v>2.80</v>
      </c>
      <c r="L675" s="584">
        <f ca="1">IFERROR(__xludf.DUMMYFUNCTION("""COMPUTED_VALUE"""),2)</f>
        <v>2</v>
      </c>
      <c r="M675" s="584"/>
      <c r="N675" s="584" t="str">
        <f ca="1">IFERROR(__xludf.DUMMYFUNCTION("""COMPUTED_VALUE"""),"Dị_D&lt;54")</f>
        <v>Dị_D&lt;54</v>
      </c>
      <c r="O675" s="583"/>
      <c r="P675" s="584"/>
    </row>
    <row r="676" spans="1:16" ht="15.75">
      <c r="A676" s="587" t="str">
        <f ca="1">IFERROR(__xludf.DUMMYFUNCTION("""COMPUTED_VALUE"""),"Toàn Phát - Việt Nam")</f>
        <v>Toàn Phát - Việt Nam</v>
      </c>
      <c r="B676" s="587" t="str">
        <f ca="1">IFERROR(__xludf.DUMMYFUNCTION("""COMPUTED_VALUE"""),"ĐTPCAYDI")</f>
        <v>ĐTPCAYDI</v>
      </c>
      <c r="C676" s="587" t="str">
        <f ca="1">IFERROR(__xludf.DUMMYFUNCTION("""COMPUTED_VALUE"""),"DOT290022030")</f>
        <v>DOT290022030</v>
      </c>
      <c r="D676" s="588" t="str">
        <f ca="1">IFERROR(__xludf.DUMMYFUNCTION("""COMPUTED_VALUE"""),"Đồng ống thẳng 29.00x2.20x3.0")</f>
        <v>Đồng ống thẳng 29.00x2.20x3.0</v>
      </c>
      <c r="E676" s="589">
        <f ca="1">IFERROR(__xludf.DUMMYFUNCTION("""COMPUTED_VALUE"""),0.1)</f>
        <v>0.1</v>
      </c>
      <c r="F676" s="590" t="str">
        <f ca="1">IFERROR(__xludf.DUMMYFUNCTION("""COMPUTED_VALUE"""),"Cây")</f>
        <v>Cây</v>
      </c>
      <c r="G676" s="590" t="str">
        <f ca="1">IFERROR(__xludf.DUMMYFUNCTION("""COMPUTED_VALUE"""),"Cây 3m")</f>
        <v>Cây 3m</v>
      </c>
      <c r="H676" s="588"/>
      <c r="I676" s="591">
        <f ca="1">IFERROR(__xludf.DUMMYFUNCTION("""COMPUTED_VALUE"""),5.1259824)</f>
        <v>5.1259823999999998</v>
      </c>
      <c r="J676" s="592" t="str">
        <f ca="1">IFERROR(__xludf.DUMMYFUNCTION("""COMPUTED_VALUE""")," 29.00 ")</f>
        <v xml:space="preserve"> 29.00 </v>
      </c>
      <c r="K676" s="590" t="str">
        <f ca="1">IFERROR(__xludf.DUMMYFUNCTION("""COMPUTED_VALUE"""),"2.20")</f>
        <v>2.20</v>
      </c>
      <c r="L676" s="590">
        <f ca="1">IFERROR(__xludf.DUMMYFUNCTION("""COMPUTED_VALUE"""),3)</f>
        <v>3</v>
      </c>
      <c r="M676" s="590"/>
      <c r="N676" s="590" t="str">
        <f ca="1">IFERROR(__xludf.DUMMYFUNCTION("""COMPUTED_VALUE"""),"Dị_D&lt;54")</f>
        <v>Dị_D&lt;54</v>
      </c>
      <c r="O676" s="589"/>
      <c r="P676" s="590"/>
    </row>
    <row r="677" spans="1:16" ht="15.75">
      <c r="A677" s="581" t="str">
        <f ca="1">IFERROR(__xludf.DUMMYFUNCTION("""COMPUTED_VALUE"""),"Toàn Phát - Việt Nam")</f>
        <v>Toàn Phát - Việt Nam</v>
      </c>
      <c r="B677" s="581" t="str">
        <f ca="1">IFERROR(__xludf.DUMMYFUNCTION("""COMPUTED_VALUE"""),"ĐTPCAYDI")</f>
        <v>ĐTPCAYDI</v>
      </c>
      <c r="C677" s="581" t="str">
        <f ca="1">IFERROR(__xludf.DUMMYFUNCTION("""COMPUTED_VALUE"""),"DOT290022530")</f>
        <v>DOT290022530</v>
      </c>
      <c r="D677" s="582" t="str">
        <f ca="1">IFERROR(__xludf.DUMMYFUNCTION("""COMPUTED_VALUE"""),"Đồng ống thẳng 29.00x2.25x3.0")</f>
        <v>Đồng ống thẳng 29.00x2.25x3.0</v>
      </c>
      <c r="E677" s="583">
        <f ca="1">IFERROR(__xludf.DUMMYFUNCTION("""COMPUTED_VALUE"""),0.1)</f>
        <v>0.1</v>
      </c>
      <c r="F677" s="584" t="str">
        <f ca="1">IFERROR(__xludf.DUMMYFUNCTION("""COMPUTED_VALUE"""),"Cây")</f>
        <v>Cây</v>
      </c>
      <c r="G677" s="584" t="str">
        <f ca="1">IFERROR(__xludf.DUMMYFUNCTION("""COMPUTED_VALUE"""),"Cây 3m")</f>
        <v>Cây 3m</v>
      </c>
      <c r="H677" s="582"/>
      <c r="I677" s="585">
        <f ca="1">IFERROR(__xludf.DUMMYFUNCTION("""COMPUTED_VALUE"""),5.23270125)</f>
        <v>5.2327012499999999</v>
      </c>
      <c r="J677" s="586" t="str">
        <f ca="1">IFERROR(__xludf.DUMMYFUNCTION("""COMPUTED_VALUE""")," 29.00 ")</f>
        <v xml:space="preserve"> 29.00 </v>
      </c>
      <c r="K677" s="584" t="str">
        <f ca="1">IFERROR(__xludf.DUMMYFUNCTION("""COMPUTED_VALUE"""),"2.25")</f>
        <v>2.25</v>
      </c>
      <c r="L677" s="584">
        <f ca="1">IFERROR(__xludf.DUMMYFUNCTION("""COMPUTED_VALUE"""),3)</f>
        <v>3</v>
      </c>
      <c r="M677" s="584"/>
      <c r="N677" s="584" t="str">
        <f ca="1">IFERROR(__xludf.DUMMYFUNCTION("""COMPUTED_VALUE"""),"Dị_D&lt;54")</f>
        <v>Dị_D&lt;54</v>
      </c>
      <c r="O677" s="583"/>
      <c r="P677" s="584"/>
    </row>
    <row r="678" spans="1:16" ht="15.75">
      <c r="A678" s="587" t="str">
        <f ca="1">IFERROR(__xludf.DUMMYFUNCTION("""COMPUTED_VALUE"""),"Toàn Phát - Việt Nam")</f>
        <v>Toàn Phát - Việt Nam</v>
      </c>
      <c r="B678" s="587" t="str">
        <f ca="1">IFERROR(__xludf.DUMMYFUNCTION("""COMPUTED_VALUE"""),"ĐTPCAYDI")</f>
        <v>ĐTPCAYDI</v>
      </c>
      <c r="C678" s="587" t="str">
        <f ca="1">IFERROR(__xludf.DUMMYFUNCTION("""COMPUTED_VALUE"""),"DOT290023030")</f>
        <v>DOT290023030</v>
      </c>
      <c r="D678" s="588" t="str">
        <f ca="1">IFERROR(__xludf.DUMMYFUNCTION("""COMPUTED_VALUE"""),"Đồng ống thẳng 29.00x2.30x3.0")</f>
        <v>Đồng ống thẳng 29.00x2.30x3.0</v>
      </c>
      <c r="E678" s="589">
        <f ca="1">IFERROR(__xludf.DUMMYFUNCTION("""COMPUTED_VALUE"""),0.1)</f>
        <v>0.1</v>
      </c>
      <c r="F678" s="590" t="str">
        <f ca="1">IFERROR(__xludf.DUMMYFUNCTION("""COMPUTED_VALUE"""),"Cây")</f>
        <v>Cây</v>
      </c>
      <c r="G678" s="590" t="str">
        <f ca="1">IFERROR(__xludf.DUMMYFUNCTION("""COMPUTED_VALUE"""),"Cây 3m")</f>
        <v>Cây 3m</v>
      </c>
      <c r="H678" s="588"/>
      <c r="I678" s="591">
        <f ca="1">IFERROR(__xludf.DUMMYFUNCTION("""COMPUTED_VALUE"""),5.33898539999999)</f>
        <v>5.3389853999999897</v>
      </c>
      <c r="J678" s="592" t="str">
        <f ca="1">IFERROR(__xludf.DUMMYFUNCTION("""COMPUTED_VALUE""")," 29.00 ")</f>
        <v xml:space="preserve"> 29.00 </v>
      </c>
      <c r="K678" s="590" t="str">
        <f ca="1">IFERROR(__xludf.DUMMYFUNCTION("""COMPUTED_VALUE"""),"2.30")</f>
        <v>2.30</v>
      </c>
      <c r="L678" s="590">
        <f ca="1">IFERROR(__xludf.DUMMYFUNCTION("""COMPUTED_VALUE"""),3)</f>
        <v>3</v>
      </c>
      <c r="M678" s="590"/>
      <c r="N678" s="590" t="str">
        <f ca="1">IFERROR(__xludf.DUMMYFUNCTION("""COMPUTED_VALUE"""),"Dị_D&lt;54")</f>
        <v>Dị_D&lt;54</v>
      </c>
      <c r="O678" s="589"/>
      <c r="P678" s="590"/>
    </row>
    <row r="679" spans="1:16" ht="15.75">
      <c r="A679" s="581" t="str">
        <f ca="1">IFERROR(__xludf.DUMMYFUNCTION("""COMPUTED_VALUE"""),"Toàn Phát - Việt Nam")</f>
        <v>Toàn Phát - Việt Nam</v>
      </c>
      <c r="B679" s="581" t="str">
        <f ca="1">IFERROR(__xludf.DUMMYFUNCTION("""COMPUTED_VALUE"""),"ĐTPCAYDI")</f>
        <v>ĐTPCAYDI</v>
      </c>
      <c r="C679" s="581" t="str">
        <f ca="1">IFERROR(__xludf.DUMMYFUNCTION("""COMPUTED_VALUE"""),"DOT290023530")</f>
        <v>DOT290023530</v>
      </c>
      <c r="D679" s="582" t="str">
        <f ca="1">IFERROR(__xludf.DUMMYFUNCTION("""COMPUTED_VALUE"""),"Đồng ống thẳng 29.00x2.35x3.0")</f>
        <v>Đồng ống thẳng 29.00x2.35x3.0</v>
      </c>
      <c r="E679" s="583">
        <f ca="1">IFERROR(__xludf.DUMMYFUNCTION("""COMPUTED_VALUE"""),0.1)</f>
        <v>0.1</v>
      </c>
      <c r="F679" s="584" t="str">
        <f ca="1">IFERROR(__xludf.DUMMYFUNCTION("""COMPUTED_VALUE"""),"Cây")</f>
        <v>Cây</v>
      </c>
      <c r="G679" s="584" t="str">
        <f ca="1">IFERROR(__xludf.DUMMYFUNCTION("""COMPUTED_VALUE"""),"Cây 3m")</f>
        <v>Cây 3m</v>
      </c>
      <c r="H679" s="582"/>
      <c r="I679" s="585">
        <f ca="1">IFERROR(__xludf.DUMMYFUNCTION("""COMPUTED_VALUE"""),5.44483485)</f>
        <v>5.4448348500000003</v>
      </c>
      <c r="J679" s="586" t="str">
        <f ca="1">IFERROR(__xludf.DUMMYFUNCTION("""COMPUTED_VALUE""")," 29.00 ")</f>
        <v xml:space="preserve"> 29.00 </v>
      </c>
      <c r="K679" s="584" t="str">
        <f ca="1">IFERROR(__xludf.DUMMYFUNCTION("""COMPUTED_VALUE"""),"2.35")</f>
        <v>2.35</v>
      </c>
      <c r="L679" s="584">
        <f ca="1">IFERROR(__xludf.DUMMYFUNCTION("""COMPUTED_VALUE"""),3)</f>
        <v>3</v>
      </c>
      <c r="M679" s="584"/>
      <c r="N679" s="584" t="str">
        <f ca="1">IFERROR(__xludf.DUMMYFUNCTION("""COMPUTED_VALUE"""),"Dị_D&lt;54")</f>
        <v>Dị_D&lt;54</v>
      </c>
      <c r="O679" s="583"/>
      <c r="P679" s="584"/>
    </row>
    <row r="680" spans="1:16" ht="15.75">
      <c r="A680" s="587" t="str">
        <f ca="1">IFERROR(__xludf.DUMMYFUNCTION("""COMPUTED_VALUE"""),"Toàn Phát - Việt Nam")</f>
        <v>Toàn Phát - Việt Nam</v>
      </c>
      <c r="B680" s="587" t="str">
        <f ca="1">IFERROR(__xludf.DUMMYFUNCTION("""COMPUTED_VALUE"""),"ĐTPCAYDI")</f>
        <v>ĐTPCAYDI</v>
      </c>
      <c r="C680" s="587" t="str">
        <f ca="1">IFERROR(__xludf.DUMMYFUNCTION("""COMPUTED_VALUE"""),"DOT290024030")</f>
        <v>DOT290024030</v>
      </c>
      <c r="D680" s="588" t="str">
        <f ca="1">IFERROR(__xludf.DUMMYFUNCTION("""COMPUTED_VALUE"""),"Đồng ống thẳng 29.00x2.40x3.0")</f>
        <v>Đồng ống thẳng 29.00x2.40x3.0</v>
      </c>
      <c r="E680" s="589">
        <f ca="1">IFERROR(__xludf.DUMMYFUNCTION("""COMPUTED_VALUE"""),0.1)</f>
        <v>0.1</v>
      </c>
      <c r="F680" s="590" t="str">
        <f ca="1">IFERROR(__xludf.DUMMYFUNCTION("""COMPUTED_VALUE"""),"Cây")</f>
        <v>Cây</v>
      </c>
      <c r="G680" s="590" t="str">
        <f ca="1">IFERROR(__xludf.DUMMYFUNCTION("""COMPUTED_VALUE"""),"Cây 3m")</f>
        <v>Cây 3m</v>
      </c>
      <c r="H680" s="588"/>
      <c r="I680" s="591">
        <f ca="1">IFERROR(__xludf.DUMMYFUNCTION("""COMPUTED_VALUE"""),5.5502496)</f>
        <v>5.5502495999999999</v>
      </c>
      <c r="J680" s="592" t="str">
        <f ca="1">IFERROR(__xludf.DUMMYFUNCTION("""COMPUTED_VALUE""")," 29.00 ")</f>
        <v xml:space="preserve"> 29.00 </v>
      </c>
      <c r="K680" s="590" t="str">
        <f ca="1">IFERROR(__xludf.DUMMYFUNCTION("""COMPUTED_VALUE"""),"2.40")</f>
        <v>2.40</v>
      </c>
      <c r="L680" s="590">
        <f ca="1">IFERROR(__xludf.DUMMYFUNCTION("""COMPUTED_VALUE"""),3)</f>
        <v>3</v>
      </c>
      <c r="M680" s="590"/>
      <c r="N680" s="590" t="str">
        <f ca="1">IFERROR(__xludf.DUMMYFUNCTION("""COMPUTED_VALUE"""),"Dị_D&lt;54")</f>
        <v>Dị_D&lt;54</v>
      </c>
      <c r="O680" s="589"/>
      <c r="P680" s="590"/>
    </row>
    <row r="681" spans="1:16" ht="15.75">
      <c r="A681" s="581" t="str">
        <f ca="1">IFERROR(__xludf.DUMMYFUNCTION("""COMPUTED_VALUE"""),"Toàn Phát - Việt Nam")</f>
        <v>Toàn Phát - Việt Nam</v>
      </c>
      <c r="B681" s="581" t="str">
        <f ca="1">IFERROR(__xludf.DUMMYFUNCTION("""COMPUTED_VALUE"""),"ĐTPCAYDI")</f>
        <v>ĐTPCAYDI</v>
      </c>
      <c r="C681" s="581" t="str">
        <f ca="1">IFERROR(__xludf.DUMMYFUNCTION("""COMPUTED_VALUE"""),"DOT2900243")</f>
        <v>DOT2900243</v>
      </c>
      <c r="D681" s="582" t="str">
        <f ca="1">IFERROR(__xludf.DUMMYFUNCTION("""COMPUTED_VALUE"""),"Đồng ống thẳng 29.00x2.4x3")</f>
        <v>Đồng ống thẳng 29.00x2.4x3</v>
      </c>
      <c r="E681" s="583">
        <f ca="1">IFERROR(__xludf.DUMMYFUNCTION("""COMPUTED_VALUE"""),0.1)</f>
        <v>0.1</v>
      </c>
      <c r="F681" s="584" t="str">
        <f ca="1">IFERROR(__xludf.DUMMYFUNCTION("""COMPUTED_VALUE"""),"Cây")</f>
        <v>Cây</v>
      </c>
      <c r="G681" s="584" t="str">
        <f ca="1">IFERROR(__xludf.DUMMYFUNCTION("""COMPUTED_VALUE"""),"Cây 3m")</f>
        <v>Cây 3m</v>
      </c>
      <c r="H681" s="582"/>
      <c r="I681" s="585">
        <f ca="1">IFERROR(__xludf.DUMMYFUNCTION("""COMPUTED_VALUE"""),5.5502496)</f>
        <v>5.5502495999999999</v>
      </c>
      <c r="J681" s="586" t="str">
        <f ca="1">IFERROR(__xludf.DUMMYFUNCTION("""COMPUTED_VALUE""")," 29.00 ")</f>
        <v xml:space="preserve"> 29.00 </v>
      </c>
      <c r="K681" s="584" t="str">
        <f ca="1">IFERROR(__xludf.DUMMYFUNCTION("""COMPUTED_VALUE"""),"2.40")</f>
        <v>2.40</v>
      </c>
      <c r="L681" s="584">
        <f ca="1">IFERROR(__xludf.DUMMYFUNCTION("""COMPUTED_VALUE"""),3)</f>
        <v>3</v>
      </c>
      <c r="M681" s="584"/>
      <c r="N681" s="584" t="str">
        <f ca="1">IFERROR(__xludf.DUMMYFUNCTION("""COMPUTED_VALUE"""),"Dị_D&lt;54")</f>
        <v>Dị_D&lt;54</v>
      </c>
      <c r="O681" s="583"/>
      <c r="P681" s="584"/>
    </row>
    <row r="682" spans="1:16" ht="15.75">
      <c r="A682" s="587" t="str">
        <f ca="1">IFERROR(__xludf.DUMMYFUNCTION("""COMPUTED_VALUE"""),"Toàn Phát - Việt Nam")</f>
        <v>Toàn Phát - Việt Nam</v>
      </c>
      <c r="B682" s="587" t="str">
        <f ca="1">IFERROR(__xludf.DUMMYFUNCTION("""COMPUTED_VALUE"""),"ĐTPCAYDI")</f>
        <v>ĐTPCAYDI</v>
      </c>
      <c r="C682" s="587" t="str">
        <f ca="1">IFERROR(__xludf.DUMMYFUNCTION("""COMPUTED_VALUE"""),"DOT29002453")</f>
        <v>DOT29002453</v>
      </c>
      <c r="D682" s="588" t="str">
        <f ca="1">IFERROR(__xludf.DUMMYFUNCTION("""COMPUTED_VALUE"""),"Đồng ống thẳng 29.00x2.45x3.0")</f>
        <v>Đồng ống thẳng 29.00x2.45x3.0</v>
      </c>
      <c r="E682" s="589">
        <f ca="1">IFERROR(__xludf.DUMMYFUNCTION("""COMPUTED_VALUE"""),0.1)</f>
        <v>0.1</v>
      </c>
      <c r="F682" s="590" t="str">
        <f ca="1">IFERROR(__xludf.DUMMYFUNCTION("""COMPUTED_VALUE"""),"Cây")</f>
        <v>Cây</v>
      </c>
      <c r="G682" s="590" t="str">
        <f ca="1">IFERROR(__xludf.DUMMYFUNCTION("""COMPUTED_VALUE"""),"Cây 3m")</f>
        <v>Cây 3m</v>
      </c>
      <c r="H682" s="588"/>
      <c r="I682" s="591">
        <f ca="1">IFERROR(__xludf.DUMMYFUNCTION("""COMPUTED_VALUE"""),5.65522965)</f>
        <v>5.6552296499999999</v>
      </c>
      <c r="J682" s="592" t="str">
        <f ca="1">IFERROR(__xludf.DUMMYFUNCTION("""COMPUTED_VALUE""")," 29.00 ")</f>
        <v xml:space="preserve"> 29.00 </v>
      </c>
      <c r="K682" s="590" t="str">
        <f ca="1">IFERROR(__xludf.DUMMYFUNCTION("""COMPUTED_VALUE"""),"2.45")</f>
        <v>2.45</v>
      </c>
      <c r="L682" s="590">
        <f ca="1">IFERROR(__xludf.DUMMYFUNCTION("""COMPUTED_VALUE"""),3)</f>
        <v>3</v>
      </c>
      <c r="M682" s="590"/>
      <c r="N682" s="590" t="str">
        <f ca="1">IFERROR(__xludf.DUMMYFUNCTION("""COMPUTED_VALUE"""),"Dị_D&lt;54")</f>
        <v>Dị_D&lt;54</v>
      </c>
      <c r="O682" s="589"/>
      <c r="P682" s="590"/>
    </row>
    <row r="683" spans="1:16" ht="15.75">
      <c r="A683" s="581" t="str">
        <f ca="1">IFERROR(__xludf.DUMMYFUNCTION("""COMPUTED_VALUE"""),"Toàn Phát - Việt Nam")</f>
        <v>Toàn Phát - Việt Nam</v>
      </c>
      <c r="B683" s="581" t="str">
        <f ca="1">IFERROR(__xludf.DUMMYFUNCTION("""COMPUTED_VALUE"""),"ĐTPCAYDI")</f>
        <v>ĐTPCAYDI</v>
      </c>
      <c r="C683" s="581" t="str">
        <f ca="1">IFERROR(__xludf.DUMMYFUNCTION("""COMPUTED_VALUE"""),"DOT290028030")</f>
        <v>DOT290028030</v>
      </c>
      <c r="D683" s="582" t="str">
        <f ca="1">IFERROR(__xludf.DUMMYFUNCTION("""COMPUTED_VALUE"""),"Đồng ống thẳng 29.00x2.80x3.0")</f>
        <v>Đồng ống thẳng 29.00x2.80x3.0</v>
      </c>
      <c r="E683" s="583">
        <f ca="1">IFERROR(__xludf.DUMMYFUNCTION("""COMPUTED_VALUE"""),0.1)</f>
        <v>0.1</v>
      </c>
      <c r="F683" s="584" t="str">
        <f ca="1">IFERROR(__xludf.DUMMYFUNCTION("""COMPUTED_VALUE"""),"Cây")</f>
        <v>Cây</v>
      </c>
      <c r="G683" s="584" t="str">
        <f ca="1">IFERROR(__xludf.DUMMYFUNCTION("""COMPUTED_VALUE"""),"Cây 3m")</f>
        <v>Cây 3m</v>
      </c>
      <c r="H683" s="582"/>
      <c r="I683" s="585">
        <f ca="1">IFERROR(__xludf.DUMMYFUNCTION("""COMPUTED_VALUE"""),6.37791839999999)</f>
        <v>6.3779183999999898</v>
      </c>
      <c r="J683" s="586" t="str">
        <f ca="1">IFERROR(__xludf.DUMMYFUNCTION("""COMPUTED_VALUE""")," 29.00 ")</f>
        <v xml:space="preserve"> 29.00 </v>
      </c>
      <c r="K683" s="584" t="str">
        <f ca="1">IFERROR(__xludf.DUMMYFUNCTION("""COMPUTED_VALUE"""),"2.80")</f>
        <v>2.80</v>
      </c>
      <c r="L683" s="584">
        <f ca="1">IFERROR(__xludf.DUMMYFUNCTION("""COMPUTED_VALUE"""),3)</f>
        <v>3</v>
      </c>
      <c r="M683" s="584"/>
      <c r="N683" s="584" t="str">
        <f ca="1">IFERROR(__xludf.DUMMYFUNCTION("""COMPUTED_VALUE"""),"Dị_D&lt;54")</f>
        <v>Dị_D&lt;54</v>
      </c>
      <c r="O683" s="583"/>
      <c r="P683" s="584"/>
    </row>
    <row r="684" spans="1:16" ht="15.75">
      <c r="A684" s="587" t="str">
        <f ca="1">IFERROR(__xludf.DUMMYFUNCTION("""COMPUTED_VALUE"""),"Toàn Phát - Việt Nam")</f>
        <v>Toàn Phát - Việt Nam</v>
      </c>
      <c r="B684" s="587" t="str">
        <f ca="1">IFERROR(__xludf.DUMMYFUNCTION("""COMPUTED_VALUE"""),"ĐTPCAYDI")</f>
        <v>ĐTPCAYDI</v>
      </c>
      <c r="C684" s="587" t="str">
        <f ca="1">IFERROR(__xludf.DUMMYFUNCTION("""COMPUTED_VALUE"""),"DOT290030030")</f>
        <v>DOT290030030</v>
      </c>
      <c r="D684" s="588" t="str">
        <f ca="1">IFERROR(__xludf.DUMMYFUNCTION("""COMPUTED_VALUE"""),"Đồng ống thẳng 29.00x3.00x3.0")</f>
        <v>Đồng ống thẳng 29.00x3.00x3.0</v>
      </c>
      <c r="E684" s="589">
        <f ca="1">IFERROR(__xludf.DUMMYFUNCTION("""COMPUTED_VALUE"""),0.1)</f>
        <v>0.1</v>
      </c>
      <c r="F684" s="590" t="str">
        <f ca="1">IFERROR(__xludf.DUMMYFUNCTION("""COMPUTED_VALUE"""),"Cây")</f>
        <v>Cây</v>
      </c>
      <c r="G684" s="590" t="str">
        <f ca="1">IFERROR(__xludf.DUMMYFUNCTION("""COMPUTED_VALUE"""),"Cây 3m")</f>
        <v>Cây 3m</v>
      </c>
      <c r="H684" s="588"/>
      <c r="I684" s="591">
        <f ca="1">IFERROR(__xludf.DUMMYFUNCTION("""COMPUTED_VALUE"""),6.78132)</f>
        <v>6.78132</v>
      </c>
      <c r="J684" s="592" t="str">
        <f ca="1">IFERROR(__xludf.DUMMYFUNCTION("""COMPUTED_VALUE""")," 29.00 ")</f>
        <v xml:space="preserve"> 29.00 </v>
      </c>
      <c r="K684" s="590" t="str">
        <f ca="1">IFERROR(__xludf.DUMMYFUNCTION("""COMPUTED_VALUE"""),"3.00")</f>
        <v>3.00</v>
      </c>
      <c r="L684" s="590">
        <f ca="1">IFERROR(__xludf.DUMMYFUNCTION("""COMPUTED_VALUE"""),3)</f>
        <v>3</v>
      </c>
      <c r="M684" s="590"/>
      <c r="N684" s="590" t="str">
        <f ca="1">IFERROR(__xludf.DUMMYFUNCTION("""COMPUTED_VALUE"""),"Dị_D&lt;54")</f>
        <v>Dị_D&lt;54</v>
      </c>
      <c r="O684" s="589"/>
      <c r="P684" s="590"/>
    </row>
    <row r="685" spans="1:16" ht="15.75">
      <c r="A685" s="581" t="str">
        <f ca="1">IFERROR(__xludf.DUMMYFUNCTION("""COMPUTED_VALUE"""),"Toàn Phát - Việt Nam")</f>
        <v>Toàn Phát - Việt Nam</v>
      </c>
      <c r="B685" s="581" t="str">
        <f ca="1">IFERROR(__xludf.DUMMYFUNCTION("""COMPUTED_VALUE"""),"ĐTPCAYDI")</f>
        <v>ĐTPCAYDI</v>
      </c>
      <c r="C685" s="581" t="str">
        <f ca="1">IFERROR(__xludf.DUMMYFUNCTION("""COMPUTED_VALUE"""),"DOT290031030")</f>
        <v>DOT290031030</v>
      </c>
      <c r="D685" s="582" t="str">
        <f ca="1">IFERROR(__xludf.DUMMYFUNCTION("""COMPUTED_VALUE"""),"Đồng ống thẳng 29.00x3.10x3.0 ")</f>
        <v xml:space="preserve">Đồng ống thẳng 29.00x3.10x3.0 </v>
      </c>
      <c r="E685" s="583">
        <f ca="1">IFERROR(__xludf.DUMMYFUNCTION("""COMPUTED_VALUE"""),0.1)</f>
        <v>0.1</v>
      </c>
      <c r="F685" s="584" t="str">
        <f ca="1">IFERROR(__xludf.DUMMYFUNCTION("""COMPUTED_VALUE"""),"Cây")</f>
        <v>Cây</v>
      </c>
      <c r="G685" s="584" t="str">
        <f ca="1">IFERROR(__xludf.DUMMYFUNCTION("""COMPUTED_VALUE"""),"Cây 3m")</f>
        <v>Cây 3m</v>
      </c>
      <c r="H685" s="582"/>
      <c r="I685" s="585">
        <f ca="1">IFERROR(__xludf.DUMMYFUNCTION("""COMPUTED_VALUE"""),6.98041259999999)</f>
        <v>6.9804125999999904</v>
      </c>
      <c r="J685" s="586" t="str">
        <f ca="1">IFERROR(__xludf.DUMMYFUNCTION("""COMPUTED_VALUE""")," 29.00 ")</f>
        <v xml:space="preserve"> 29.00 </v>
      </c>
      <c r="K685" s="584" t="str">
        <f ca="1">IFERROR(__xludf.DUMMYFUNCTION("""COMPUTED_VALUE"""),"3.10")</f>
        <v>3.10</v>
      </c>
      <c r="L685" s="584">
        <f ca="1">IFERROR(__xludf.DUMMYFUNCTION("""COMPUTED_VALUE"""),3)</f>
        <v>3</v>
      </c>
      <c r="M685" s="584"/>
      <c r="N685" s="584" t="str">
        <f ca="1">IFERROR(__xludf.DUMMYFUNCTION("""COMPUTED_VALUE"""),"Dị_D&lt;54")</f>
        <v>Dị_D&lt;54</v>
      </c>
      <c r="O685" s="583"/>
      <c r="P685" s="584"/>
    </row>
    <row r="686" spans="1:16" ht="15.75">
      <c r="A686" s="587" t="str">
        <f ca="1">IFERROR(__xludf.DUMMYFUNCTION("""COMPUTED_VALUE"""),"Toàn Phát - Việt Nam")</f>
        <v>Toàn Phát - Việt Nam</v>
      </c>
      <c r="B686" s="587" t="str">
        <f ca="1">IFERROR(__xludf.DUMMYFUNCTION("""COMPUTED_VALUE"""),"ĐTPCAYDI")</f>
        <v>ĐTPCAYDI</v>
      </c>
      <c r="C686" s="587" t="str">
        <f ca="1">IFERROR(__xludf.DUMMYFUNCTION("""COMPUTED_VALUE"""),"DOT295031030")</f>
        <v>DOT295031030</v>
      </c>
      <c r="D686" s="588" t="str">
        <f ca="1">IFERROR(__xludf.DUMMYFUNCTION("""COMPUTED_VALUE"""),"Đồng ống thẳng 29.50x3.10x3.0")</f>
        <v>Đồng ống thẳng 29.50x3.10x3.0</v>
      </c>
      <c r="E686" s="589">
        <f ca="1">IFERROR(__xludf.DUMMYFUNCTION("""COMPUTED_VALUE"""),0.1)</f>
        <v>0.1</v>
      </c>
      <c r="F686" s="590" t="str">
        <f ca="1">IFERROR(__xludf.DUMMYFUNCTION("""COMPUTED_VALUE"""),"Cây")</f>
        <v>Cây</v>
      </c>
      <c r="G686" s="590" t="str">
        <f ca="1">IFERROR(__xludf.DUMMYFUNCTION("""COMPUTED_VALUE"""),"Cây 3m")</f>
        <v>Cây 3m</v>
      </c>
      <c r="H686" s="588"/>
      <c r="I686" s="591">
        <f ca="1">IFERROR(__xludf.DUMMYFUNCTION("""COMPUTED_VALUE"""),7.1151696)</f>
        <v>7.1151695999999998</v>
      </c>
      <c r="J686" s="592" t="str">
        <f ca="1">IFERROR(__xludf.DUMMYFUNCTION("""COMPUTED_VALUE""")," 29.50 ")</f>
        <v xml:space="preserve"> 29.50 </v>
      </c>
      <c r="K686" s="590" t="str">
        <f ca="1">IFERROR(__xludf.DUMMYFUNCTION("""COMPUTED_VALUE"""),"3.10")</f>
        <v>3.10</v>
      </c>
      <c r="L686" s="590">
        <f ca="1">IFERROR(__xludf.DUMMYFUNCTION("""COMPUTED_VALUE"""),3)</f>
        <v>3</v>
      </c>
      <c r="M686" s="590"/>
      <c r="N686" s="590" t="str">
        <f ca="1">IFERROR(__xludf.DUMMYFUNCTION("""COMPUTED_VALUE"""),"Dị_D&lt;54")</f>
        <v>Dị_D&lt;54</v>
      </c>
      <c r="O686" s="589"/>
      <c r="P686" s="590"/>
    </row>
    <row r="687" spans="1:16" ht="15.75">
      <c r="A687" s="581" t="str">
        <f ca="1">IFERROR(__xludf.DUMMYFUNCTION("""COMPUTED_VALUE"""),"Toàn Phát - Việt Nam")</f>
        <v>Toàn Phát - Việt Nam</v>
      </c>
      <c r="B687" s="581" t="str">
        <f ca="1">IFERROR(__xludf.DUMMYFUNCTION("""COMPUTED_VALUE"""),"ĐTPCAYDI")</f>
        <v>ĐTPCAYDI</v>
      </c>
      <c r="C687" s="581" t="str">
        <f ca="1">IFERROR(__xludf.DUMMYFUNCTION("""COMPUTED_VALUE"""),"DOT300015030")</f>
        <v>DOT300015030</v>
      </c>
      <c r="D687" s="582" t="str">
        <f ca="1">IFERROR(__xludf.DUMMYFUNCTION("""COMPUTED_VALUE"""),"Đồng ống thẳng 30.00x1.50x3.0")</f>
        <v>Đồng ống thẳng 30.00x1.50x3.0</v>
      </c>
      <c r="E687" s="583">
        <f ca="1">IFERROR(__xludf.DUMMYFUNCTION("""COMPUTED_VALUE"""),0.1)</f>
        <v>0.1</v>
      </c>
      <c r="F687" s="584" t="str">
        <f ca="1">IFERROR(__xludf.DUMMYFUNCTION("""COMPUTED_VALUE"""),"Cây")</f>
        <v>Cây</v>
      </c>
      <c r="G687" s="584" t="str">
        <f ca="1">IFERROR(__xludf.DUMMYFUNCTION("""COMPUTED_VALUE"""),"Cây 3m")</f>
        <v>Cây 3m</v>
      </c>
      <c r="H687" s="582"/>
      <c r="I687" s="585">
        <f ca="1">IFERROR(__xludf.DUMMYFUNCTION("""COMPUTED_VALUE"""),3.716685)</f>
        <v>3.716685</v>
      </c>
      <c r="J687" s="586" t="str">
        <f ca="1">IFERROR(__xludf.DUMMYFUNCTION("""COMPUTED_VALUE""")," 30.00 ")</f>
        <v xml:space="preserve"> 30.00 </v>
      </c>
      <c r="K687" s="584" t="str">
        <f ca="1">IFERROR(__xludf.DUMMYFUNCTION("""COMPUTED_VALUE"""),"1.50")</f>
        <v>1.50</v>
      </c>
      <c r="L687" s="584">
        <f ca="1">IFERROR(__xludf.DUMMYFUNCTION("""COMPUTED_VALUE"""),3)</f>
        <v>3</v>
      </c>
      <c r="M687" s="584"/>
      <c r="N687" s="584" t="str">
        <f ca="1">IFERROR(__xludf.DUMMYFUNCTION("""COMPUTED_VALUE"""),"Dị_D&lt;54")</f>
        <v>Dị_D&lt;54</v>
      </c>
      <c r="O687" s="583"/>
      <c r="P687" s="584"/>
    </row>
    <row r="688" spans="1:16" ht="15.75">
      <c r="A688" s="587" t="str">
        <f ca="1">IFERROR(__xludf.DUMMYFUNCTION("""COMPUTED_VALUE"""),"Toàn Phát - Việt Nam")</f>
        <v>Toàn Phát - Việt Nam</v>
      </c>
      <c r="B688" s="587" t="str">
        <f ca="1">IFERROR(__xludf.DUMMYFUNCTION("""COMPUTED_VALUE"""),"ĐTPCAYDI")</f>
        <v>ĐTPCAYDI</v>
      </c>
      <c r="C688" s="587" t="str">
        <f ca="1">IFERROR(__xludf.DUMMYFUNCTION("""COMPUTED_VALUE"""),"DOT300020030")</f>
        <v>DOT300020030</v>
      </c>
      <c r="D688" s="588" t="str">
        <f ca="1">IFERROR(__xludf.DUMMYFUNCTION("""COMPUTED_VALUE"""),"Đồng ống thẳng 30.00x2.00x3.0")</f>
        <v>Đồng ống thẳng 30.00x2.00x3.0</v>
      </c>
      <c r="E688" s="589">
        <f ca="1">IFERROR(__xludf.DUMMYFUNCTION("""COMPUTED_VALUE"""),0.1)</f>
        <v>0.1</v>
      </c>
      <c r="F688" s="590" t="str">
        <f ca="1">IFERROR(__xludf.DUMMYFUNCTION("""COMPUTED_VALUE"""),"Cây")</f>
        <v>Cây</v>
      </c>
      <c r="G688" s="590" t="str">
        <f ca="1">IFERROR(__xludf.DUMMYFUNCTION("""COMPUTED_VALUE"""),"Cây 3m")</f>
        <v>Cây 3m</v>
      </c>
      <c r="H688" s="588"/>
      <c r="I688" s="591">
        <f ca="1">IFERROR(__xludf.DUMMYFUNCTION("""COMPUTED_VALUE"""),4.86864)</f>
        <v>4.8686400000000001</v>
      </c>
      <c r="J688" s="592" t="str">
        <f ca="1">IFERROR(__xludf.DUMMYFUNCTION("""COMPUTED_VALUE""")," 30.00 ")</f>
        <v xml:space="preserve"> 30.00 </v>
      </c>
      <c r="K688" s="590" t="str">
        <f ca="1">IFERROR(__xludf.DUMMYFUNCTION("""COMPUTED_VALUE"""),"2.00")</f>
        <v>2.00</v>
      </c>
      <c r="L688" s="590">
        <f ca="1">IFERROR(__xludf.DUMMYFUNCTION("""COMPUTED_VALUE"""),3)</f>
        <v>3</v>
      </c>
      <c r="M688" s="590"/>
      <c r="N688" s="590" t="str">
        <f ca="1">IFERROR(__xludf.DUMMYFUNCTION("""COMPUTED_VALUE"""),"Dị_D&lt;54")</f>
        <v>Dị_D&lt;54</v>
      </c>
      <c r="O688" s="589"/>
      <c r="P688" s="590"/>
    </row>
    <row r="689" spans="1:16" ht="15.75">
      <c r="A689" s="581" t="str">
        <f ca="1">IFERROR(__xludf.DUMMYFUNCTION("""COMPUTED_VALUE"""),"Toàn Phát - Việt Nam")</f>
        <v>Toàn Phát - Việt Nam</v>
      </c>
      <c r="B689" s="581" t="str">
        <f ca="1">IFERROR(__xludf.DUMMYFUNCTION("""COMPUTED_VALUE"""),"ĐTPCAYDI")</f>
        <v>ĐTPCAYDI</v>
      </c>
      <c r="C689" s="581" t="str">
        <f ca="1">IFERROR(__xludf.DUMMYFUNCTION("""COMPUTED_VALUE"""),"DOT300025030")</f>
        <v>DOT300025030</v>
      </c>
      <c r="D689" s="582" t="str">
        <f ca="1">IFERROR(__xludf.DUMMYFUNCTION("""COMPUTED_VALUE"""),"Đồng ống thẳng 30.00x2.50x3.0")</f>
        <v>Đồng ống thẳng 30.00x2.50x3.0</v>
      </c>
      <c r="E689" s="583">
        <f ca="1">IFERROR(__xludf.DUMMYFUNCTION("""COMPUTED_VALUE"""),0.1)</f>
        <v>0.1</v>
      </c>
      <c r="F689" s="584" t="str">
        <f ca="1">IFERROR(__xludf.DUMMYFUNCTION("""COMPUTED_VALUE"""),"Cây")</f>
        <v>Cây</v>
      </c>
      <c r="G689" s="584" t="str">
        <f ca="1">IFERROR(__xludf.DUMMYFUNCTION("""COMPUTED_VALUE"""),"Cây 3m")</f>
        <v>Cây 3m</v>
      </c>
      <c r="H689" s="582"/>
      <c r="I689" s="585">
        <f ca="1">IFERROR(__xludf.DUMMYFUNCTION("""COMPUTED_VALUE"""),5.977125)</f>
        <v>5.977125</v>
      </c>
      <c r="J689" s="586" t="str">
        <f ca="1">IFERROR(__xludf.DUMMYFUNCTION("""COMPUTED_VALUE""")," 30.00 ")</f>
        <v xml:space="preserve"> 30.00 </v>
      </c>
      <c r="K689" s="584" t="str">
        <f ca="1">IFERROR(__xludf.DUMMYFUNCTION("""COMPUTED_VALUE"""),"2.50")</f>
        <v>2.50</v>
      </c>
      <c r="L689" s="584">
        <f ca="1">IFERROR(__xludf.DUMMYFUNCTION("""COMPUTED_VALUE"""),3)</f>
        <v>3</v>
      </c>
      <c r="M689" s="584"/>
      <c r="N689" s="584" t="str">
        <f ca="1">IFERROR(__xludf.DUMMYFUNCTION("""COMPUTED_VALUE"""),"Dị_D&lt;54")</f>
        <v>Dị_D&lt;54</v>
      </c>
      <c r="O689" s="583"/>
      <c r="P689" s="584"/>
    </row>
    <row r="690" spans="1:16" ht="15.75">
      <c r="A690" s="587" t="str">
        <f ca="1">IFERROR(__xludf.DUMMYFUNCTION("""COMPUTED_VALUE"""),"Toàn Phát - Việt Nam")</f>
        <v>Toàn Phát - Việt Nam</v>
      </c>
      <c r="B690" s="587" t="str">
        <f ca="1">IFERROR(__xludf.DUMMYFUNCTION("""COMPUTED_VALUE"""),"ĐTPCAYDI")</f>
        <v>ĐTPCAYDI</v>
      </c>
      <c r="C690" s="587" t="str">
        <f ca="1">IFERROR(__xludf.DUMMYFUNCTION("""COMPUTED_VALUE"""),"DOT300028030")</f>
        <v>DOT300028030</v>
      </c>
      <c r="D690" s="588" t="str">
        <f ca="1">IFERROR(__xludf.DUMMYFUNCTION("""COMPUTED_VALUE"""),"Đồng ống thẳng 30.00x2.80x3.0")</f>
        <v>Đồng ống thẳng 30.00x2.80x3.0</v>
      </c>
      <c r="E690" s="589">
        <f ca="1">IFERROR(__xludf.DUMMYFUNCTION("""COMPUTED_VALUE"""),0.1)</f>
        <v>0.1</v>
      </c>
      <c r="F690" s="590" t="str">
        <f ca="1">IFERROR(__xludf.DUMMYFUNCTION("""COMPUTED_VALUE"""),"Cây")</f>
        <v>Cây</v>
      </c>
      <c r="G690" s="590" t="str">
        <f ca="1">IFERROR(__xludf.DUMMYFUNCTION("""COMPUTED_VALUE"""),"Cây 3m")</f>
        <v>Cây 3m</v>
      </c>
      <c r="H690" s="588"/>
      <c r="I690" s="591">
        <f ca="1">IFERROR(__xludf.DUMMYFUNCTION("""COMPUTED_VALUE"""),6.6213504)</f>
        <v>6.6213503999999999</v>
      </c>
      <c r="J690" s="592" t="str">
        <f ca="1">IFERROR(__xludf.DUMMYFUNCTION("""COMPUTED_VALUE""")," 30.00 ")</f>
        <v xml:space="preserve"> 30.00 </v>
      </c>
      <c r="K690" s="590" t="str">
        <f ca="1">IFERROR(__xludf.DUMMYFUNCTION("""COMPUTED_VALUE"""),"2.80")</f>
        <v>2.80</v>
      </c>
      <c r="L690" s="590">
        <f ca="1">IFERROR(__xludf.DUMMYFUNCTION("""COMPUTED_VALUE"""),3)</f>
        <v>3</v>
      </c>
      <c r="M690" s="590"/>
      <c r="N690" s="590" t="str">
        <f ca="1">IFERROR(__xludf.DUMMYFUNCTION("""COMPUTED_VALUE"""),"Dị_D&lt;54")</f>
        <v>Dị_D&lt;54</v>
      </c>
      <c r="O690" s="589"/>
      <c r="P690" s="590"/>
    </row>
    <row r="691" spans="1:16" ht="15.75">
      <c r="A691" s="581" t="str">
        <f ca="1">IFERROR(__xludf.DUMMYFUNCTION("""COMPUTED_VALUE"""),"Toàn Phát - Việt Nam")</f>
        <v>Toàn Phát - Việt Nam</v>
      </c>
      <c r="B691" s="581" t="str">
        <f ca="1">IFERROR(__xludf.DUMMYFUNCTION("""COMPUTED_VALUE"""),"ĐTPCAYDI")</f>
        <v>ĐTPCAYDI</v>
      </c>
      <c r="C691" s="581" t="str">
        <f ca="1">IFERROR(__xludf.DUMMYFUNCTION("""COMPUTED_VALUE"""),"DOT300030030")</f>
        <v>DOT300030030</v>
      </c>
      <c r="D691" s="582" t="str">
        <f ca="1">IFERROR(__xludf.DUMMYFUNCTION("""COMPUTED_VALUE"""),"Đồng ống thẳng 30.00x3.00x3.0")</f>
        <v>Đồng ống thẳng 30.00x3.00x3.0</v>
      </c>
      <c r="E691" s="583">
        <f ca="1">IFERROR(__xludf.DUMMYFUNCTION("""COMPUTED_VALUE"""),0.1)</f>
        <v>0.1</v>
      </c>
      <c r="F691" s="584" t="str">
        <f ca="1">IFERROR(__xludf.DUMMYFUNCTION("""COMPUTED_VALUE"""),"Cây")</f>
        <v>Cây</v>
      </c>
      <c r="G691" s="584" t="str">
        <f ca="1">IFERROR(__xludf.DUMMYFUNCTION("""COMPUTED_VALUE"""),"Cây 3m")</f>
        <v>Cây 3m</v>
      </c>
      <c r="H691" s="582"/>
      <c r="I691" s="585">
        <f ca="1">IFERROR(__xludf.DUMMYFUNCTION("""COMPUTED_VALUE"""),7.04214)</f>
        <v>7.0421399999999998</v>
      </c>
      <c r="J691" s="586" t="str">
        <f ca="1">IFERROR(__xludf.DUMMYFUNCTION("""COMPUTED_VALUE""")," 30.00 ")</f>
        <v xml:space="preserve"> 30.00 </v>
      </c>
      <c r="K691" s="584" t="str">
        <f ca="1">IFERROR(__xludf.DUMMYFUNCTION("""COMPUTED_VALUE"""),"3.00")</f>
        <v>3.00</v>
      </c>
      <c r="L691" s="584">
        <f ca="1">IFERROR(__xludf.DUMMYFUNCTION("""COMPUTED_VALUE"""),3)</f>
        <v>3</v>
      </c>
      <c r="M691" s="584"/>
      <c r="N691" s="584" t="str">
        <f ca="1">IFERROR(__xludf.DUMMYFUNCTION("""COMPUTED_VALUE"""),"Dị_D&lt;54")</f>
        <v>Dị_D&lt;54</v>
      </c>
      <c r="O691" s="583"/>
      <c r="P691" s="584"/>
    </row>
    <row r="692" spans="1:16" ht="15.75">
      <c r="A692" s="587" t="str">
        <f ca="1">IFERROR(__xludf.DUMMYFUNCTION("""COMPUTED_VALUE"""),"Toàn Phát - Việt Nam")</f>
        <v>Toàn Phát - Việt Nam</v>
      </c>
      <c r="B692" s="587" t="str">
        <f ca="1">IFERROR(__xludf.DUMMYFUNCTION("""COMPUTED_VALUE"""),"ĐTPCAYDI")</f>
        <v>ĐTPCAYDI</v>
      </c>
      <c r="C692" s="587" t="str">
        <f ca="1">IFERROR(__xludf.DUMMYFUNCTION("""COMPUTED_VALUE"""),"DOT300032030")</f>
        <v>DOT300032030</v>
      </c>
      <c r="D692" s="588" t="str">
        <f ca="1">IFERROR(__xludf.DUMMYFUNCTION("""COMPUTED_VALUE"""),"Đồng ống thẳng 30.00x3.20x3.0")</f>
        <v>Đồng ống thẳng 30.00x3.20x3.0</v>
      </c>
      <c r="E692" s="589">
        <f ca="1">IFERROR(__xludf.DUMMYFUNCTION("""COMPUTED_VALUE"""),0.1)</f>
        <v>0.1</v>
      </c>
      <c r="F692" s="590" t="str">
        <f ca="1">IFERROR(__xludf.DUMMYFUNCTION("""COMPUTED_VALUE"""),"Cây")</f>
        <v>Cây</v>
      </c>
      <c r="G692" s="590" t="str">
        <f ca="1">IFERROR(__xludf.DUMMYFUNCTION("""COMPUTED_VALUE"""),"Cây 3m")</f>
        <v>Cây 3m</v>
      </c>
      <c r="H692" s="588"/>
      <c r="I692" s="591">
        <f ca="1">IFERROR(__xludf.DUMMYFUNCTION("""COMPUTED_VALUE"""),7.4559744)</f>
        <v>7.4559743999999997</v>
      </c>
      <c r="J692" s="592" t="str">
        <f ca="1">IFERROR(__xludf.DUMMYFUNCTION("""COMPUTED_VALUE""")," 30.00 ")</f>
        <v xml:space="preserve"> 30.00 </v>
      </c>
      <c r="K692" s="590" t="str">
        <f ca="1">IFERROR(__xludf.DUMMYFUNCTION("""COMPUTED_VALUE"""),"3.20")</f>
        <v>3.20</v>
      </c>
      <c r="L692" s="590">
        <f ca="1">IFERROR(__xludf.DUMMYFUNCTION("""COMPUTED_VALUE"""),3)</f>
        <v>3</v>
      </c>
      <c r="M692" s="590"/>
      <c r="N692" s="590" t="str">
        <f ca="1">IFERROR(__xludf.DUMMYFUNCTION("""COMPUTED_VALUE"""),"Dị_D&lt;54")</f>
        <v>Dị_D&lt;54</v>
      </c>
      <c r="O692" s="589"/>
      <c r="P692" s="590"/>
    </row>
    <row r="693" spans="1:16" ht="15.75">
      <c r="A693" s="581" t="str">
        <f ca="1">IFERROR(__xludf.DUMMYFUNCTION("""COMPUTED_VALUE"""),"Toàn Phát - Việt Nam")</f>
        <v>Toàn Phát - Việt Nam</v>
      </c>
      <c r="B693" s="581" t="str">
        <f ca="1">IFERROR(__xludf.DUMMYFUNCTION("""COMPUTED_VALUE"""),"ĐTPCAYDI")</f>
        <v>ĐTPCAYDI</v>
      </c>
      <c r="C693" s="581" t="str">
        <f ca="1">IFERROR(__xludf.DUMMYFUNCTION("""COMPUTED_VALUE"""),"DOT300032530")</f>
        <v>DOT300032530</v>
      </c>
      <c r="D693" s="582" t="str">
        <f ca="1">IFERROR(__xludf.DUMMYFUNCTION("""COMPUTED_VALUE"""),"Đồng ống thẳng 30.00x3.25x3.0")</f>
        <v>Đồng ống thẳng 30.00x3.25x3.0</v>
      </c>
      <c r="E693" s="583">
        <f ca="1">IFERROR(__xludf.DUMMYFUNCTION("""COMPUTED_VALUE"""),0.1)</f>
        <v>0.1</v>
      </c>
      <c r="F693" s="584" t="str">
        <f ca="1">IFERROR(__xludf.DUMMYFUNCTION("""COMPUTED_VALUE"""),"Cây")</f>
        <v>Cây</v>
      </c>
      <c r="G693" s="584" t="str">
        <f ca="1">IFERROR(__xludf.DUMMYFUNCTION("""COMPUTED_VALUE"""),"Cây 3m")</f>
        <v>Cây 3m</v>
      </c>
      <c r="H693" s="582"/>
      <c r="I693" s="585">
        <f ca="1">IFERROR(__xludf.DUMMYFUNCTION("""COMPUTED_VALUE"""),7.55834624999999)</f>
        <v>7.5583462499999898</v>
      </c>
      <c r="J693" s="586" t="str">
        <f ca="1">IFERROR(__xludf.DUMMYFUNCTION("""COMPUTED_VALUE""")," 30.00 ")</f>
        <v xml:space="preserve"> 30.00 </v>
      </c>
      <c r="K693" s="584" t="str">
        <f ca="1">IFERROR(__xludf.DUMMYFUNCTION("""COMPUTED_VALUE"""),"3.25")</f>
        <v>3.25</v>
      </c>
      <c r="L693" s="584">
        <f ca="1">IFERROR(__xludf.DUMMYFUNCTION("""COMPUTED_VALUE"""),3)</f>
        <v>3</v>
      </c>
      <c r="M693" s="584"/>
      <c r="N693" s="584" t="str">
        <f ca="1">IFERROR(__xludf.DUMMYFUNCTION("""COMPUTED_VALUE"""),"Dị_D&lt;54")</f>
        <v>Dị_D&lt;54</v>
      </c>
      <c r="O693" s="583"/>
      <c r="P693" s="584"/>
    </row>
    <row r="694" spans="1:16" ht="15.75">
      <c r="A694" s="587" t="str">
        <f ca="1">IFERROR(__xludf.DUMMYFUNCTION("""COMPUTED_VALUE"""),"Toàn Phát - Việt Nam")</f>
        <v>Toàn Phát - Việt Nam</v>
      </c>
      <c r="B694" s="587" t="str">
        <f ca="1">IFERROR(__xludf.DUMMYFUNCTION("""COMPUTED_VALUE"""),"ĐTPCAYDI")</f>
        <v>ĐTPCAYDI</v>
      </c>
      <c r="C694" s="587" t="str">
        <f ca="1">IFERROR(__xludf.DUMMYFUNCTION("""COMPUTED_VALUE"""),"DOT300035020")</f>
        <v>DOT300035020</v>
      </c>
      <c r="D694" s="588" t="str">
        <f ca="1">IFERROR(__xludf.DUMMYFUNCTION("""COMPUTED_VALUE"""),"Đồng ống thẳng 30.00x3.50x2.0")</f>
        <v>Đồng ống thẳng 30.00x3.50x2.0</v>
      </c>
      <c r="E694" s="589">
        <f ca="1">IFERROR(__xludf.DUMMYFUNCTION("""COMPUTED_VALUE"""),0.1)</f>
        <v>0.1</v>
      </c>
      <c r="F694" s="590" t="str">
        <f ca="1">IFERROR(__xludf.DUMMYFUNCTION("""COMPUTED_VALUE"""),"Cây")</f>
        <v>Cây</v>
      </c>
      <c r="G694" s="590" t="str">
        <f ca="1">IFERROR(__xludf.DUMMYFUNCTION("""COMPUTED_VALUE"""),"Cây 2m")</f>
        <v>Cây 2m</v>
      </c>
      <c r="H694" s="588"/>
      <c r="I694" s="591">
        <f ca="1">IFERROR(__xludf.DUMMYFUNCTION("""COMPUTED_VALUE"""),5.37578999999999)</f>
        <v>5.3757899999999896</v>
      </c>
      <c r="J694" s="592" t="str">
        <f ca="1">IFERROR(__xludf.DUMMYFUNCTION("""COMPUTED_VALUE""")," 30.00 ")</f>
        <v xml:space="preserve"> 30.00 </v>
      </c>
      <c r="K694" s="590" t="str">
        <f ca="1">IFERROR(__xludf.DUMMYFUNCTION("""COMPUTED_VALUE"""),"3.50")</f>
        <v>3.50</v>
      </c>
      <c r="L694" s="590">
        <f ca="1">IFERROR(__xludf.DUMMYFUNCTION("""COMPUTED_VALUE"""),2)</f>
        <v>2</v>
      </c>
      <c r="M694" s="590"/>
      <c r="N694" s="590" t="str">
        <f ca="1">IFERROR(__xludf.DUMMYFUNCTION("""COMPUTED_VALUE"""),"Dị_D&lt;54")</f>
        <v>Dị_D&lt;54</v>
      </c>
      <c r="O694" s="589"/>
      <c r="P694" s="590"/>
    </row>
    <row r="695" spans="1:16" ht="15.75">
      <c r="A695" s="581" t="str">
        <f ca="1">IFERROR(__xludf.DUMMYFUNCTION("""COMPUTED_VALUE"""),"Toàn Phát - Việt Nam")</f>
        <v>Toàn Phát - Việt Nam</v>
      </c>
      <c r="B695" s="581" t="str">
        <f ca="1">IFERROR(__xludf.DUMMYFUNCTION("""COMPUTED_VALUE"""),"ĐTPCAYDI")</f>
        <v>ĐTPCAYDI</v>
      </c>
      <c r="C695" s="581" t="str">
        <f ca="1">IFERROR(__xludf.DUMMYFUNCTION("""COMPUTED_VALUE"""),"DOT305024030")</f>
        <v>DOT305024030</v>
      </c>
      <c r="D695" s="582" t="str">
        <f ca="1">IFERROR(__xludf.DUMMYFUNCTION("""COMPUTED_VALUE"""),"Đồng ống thẳng 30.50x2.40x3.0")</f>
        <v>Đồng ống thẳng 30.50x2.40x3.0</v>
      </c>
      <c r="E695" s="583">
        <f ca="1">IFERROR(__xludf.DUMMYFUNCTION("""COMPUTED_VALUE"""),0.1)</f>
        <v>0.1</v>
      </c>
      <c r="F695" s="584" t="str">
        <f ca="1">IFERROR(__xludf.DUMMYFUNCTION("""COMPUTED_VALUE"""),"Cây")</f>
        <v>Cây</v>
      </c>
      <c r="G695" s="584" t="str">
        <f ca="1">IFERROR(__xludf.DUMMYFUNCTION("""COMPUTED_VALUE"""),"Cây 3m")</f>
        <v>Cây 3m</v>
      </c>
      <c r="H695" s="582"/>
      <c r="I695" s="585">
        <f ca="1">IFERROR(__xludf.DUMMYFUNCTION("""COMPUTED_VALUE"""),5.86323359999999)</f>
        <v>5.8632335999999903</v>
      </c>
      <c r="J695" s="586" t="str">
        <f ca="1">IFERROR(__xludf.DUMMYFUNCTION("""COMPUTED_VALUE""")," 30.50 ")</f>
        <v xml:space="preserve"> 30.50 </v>
      </c>
      <c r="K695" s="584" t="str">
        <f ca="1">IFERROR(__xludf.DUMMYFUNCTION("""COMPUTED_VALUE"""),"2.40")</f>
        <v>2.40</v>
      </c>
      <c r="L695" s="584">
        <f ca="1">IFERROR(__xludf.DUMMYFUNCTION("""COMPUTED_VALUE"""),3)</f>
        <v>3</v>
      </c>
      <c r="M695" s="584"/>
      <c r="N695" s="584" t="str">
        <f ca="1">IFERROR(__xludf.DUMMYFUNCTION("""COMPUTED_VALUE"""),"Dị_D&lt;54")</f>
        <v>Dị_D&lt;54</v>
      </c>
      <c r="O695" s="583"/>
      <c r="P695" s="584"/>
    </row>
    <row r="696" spans="1:16" ht="15.75">
      <c r="A696" s="587" t="str">
        <f ca="1">IFERROR(__xludf.DUMMYFUNCTION("""COMPUTED_VALUE"""),"Toàn Phát - Việt Nam")</f>
        <v>Toàn Phát - Việt Nam</v>
      </c>
      <c r="B696" s="587" t="str">
        <f ca="1">IFERROR(__xludf.DUMMYFUNCTION("""COMPUTED_VALUE"""),"ĐTPCAYDI")</f>
        <v>ĐTPCAYDI</v>
      </c>
      <c r="C696" s="587" t="str">
        <f ca="1">IFERROR(__xludf.DUMMYFUNCTION("""COMPUTED_VALUE"""),"DOT305032530")</f>
        <v>DOT305032530</v>
      </c>
      <c r="D696" s="588" t="str">
        <f ca="1">IFERROR(__xludf.DUMMYFUNCTION("""COMPUTED_VALUE"""),"Đồng ống thẳng 30.50x3.25x3.0")</f>
        <v>Đồng ống thẳng 30.50x3.25x3.0</v>
      </c>
      <c r="E696" s="589">
        <f ca="1">IFERROR(__xludf.DUMMYFUNCTION("""COMPUTED_VALUE"""),0.1)</f>
        <v>0.1</v>
      </c>
      <c r="F696" s="590" t="str">
        <f ca="1">IFERROR(__xludf.DUMMYFUNCTION("""COMPUTED_VALUE"""),"Cây")</f>
        <v>Cây</v>
      </c>
      <c r="G696" s="590" t="str">
        <f ca="1">IFERROR(__xludf.DUMMYFUNCTION("""COMPUTED_VALUE"""),"Cây 3m")</f>
        <v>Cây 3m</v>
      </c>
      <c r="H696" s="588"/>
      <c r="I696" s="591">
        <f ca="1">IFERROR(__xludf.DUMMYFUNCTION("""COMPUTED_VALUE"""),7.69962375)</f>
        <v>7.6996237499999998</v>
      </c>
      <c r="J696" s="592" t="str">
        <f ca="1">IFERROR(__xludf.DUMMYFUNCTION("""COMPUTED_VALUE""")," 30.50 ")</f>
        <v xml:space="preserve"> 30.50 </v>
      </c>
      <c r="K696" s="590" t="str">
        <f ca="1">IFERROR(__xludf.DUMMYFUNCTION("""COMPUTED_VALUE"""),"3.25")</f>
        <v>3.25</v>
      </c>
      <c r="L696" s="590">
        <f ca="1">IFERROR(__xludf.DUMMYFUNCTION("""COMPUTED_VALUE"""),3)</f>
        <v>3</v>
      </c>
      <c r="M696" s="590"/>
      <c r="N696" s="590" t="str">
        <f ca="1">IFERROR(__xludf.DUMMYFUNCTION("""COMPUTED_VALUE"""),"Dị_D&lt;54")</f>
        <v>Dị_D&lt;54</v>
      </c>
      <c r="O696" s="589"/>
      <c r="P696" s="590"/>
    </row>
    <row r="697" spans="1:16" ht="15.75">
      <c r="A697" s="581" t="str">
        <f ca="1">IFERROR(__xludf.DUMMYFUNCTION("""COMPUTED_VALUE"""),"Toàn Phát - Việt Nam")</f>
        <v>Toàn Phát - Việt Nam</v>
      </c>
      <c r="B697" s="581" t="str">
        <f ca="1">IFERROR(__xludf.DUMMYFUNCTION("""COMPUTED_VALUE"""),"ĐTPCAYDI")</f>
        <v>ĐTPCAYDI</v>
      </c>
      <c r="C697" s="581" t="str">
        <f ca="1">IFERROR(__xludf.DUMMYFUNCTION("""COMPUTED_VALUE"""),"DOT3175070")</f>
        <v>DOT3175070</v>
      </c>
      <c r="D697" s="582" t="str">
        <f ca="1">IFERROR(__xludf.DUMMYFUNCTION("""COMPUTED_VALUE"""),"Đồng ống thẳng 31.75x0.70")</f>
        <v>Đồng ống thẳng 31.75x0.70</v>
      </c>
      <c r="E697" s="583">
        <f ca="1">IFERROR(__xludf.DUMMYFUNCTION("""COMPUTED_VALUE"""),0.1)</f>
        <v>0.1</v>
      </c>
      <c r="F697" s="584" t="str">
        <f ca="1">IFERROR(__xludf.DUMMYFUNCTION("""COMPUTED_VALUE"""),"Cây")</f>
        <v>Cây</v>
      </c>
      <c r="G697" s="584" t="str">
        <f ca="1">IFERROR(__xludf.DUMMYFUNCTION("""COMPUTED_VALUE"""),"Cây 2.9m")</f>
        <v>Cây 2.9m</v>
      </c>
      <c r="H697" s="582" t="str">
        <f ca="1">IFERROR(__xludf.DUMMYFUNCTION("""COMPUTED_VALUE"""),"9")</f>
        <v>9</v>
      </c>
      <c r="I697" s="585">
        <f ca="1">IFERROR(__xludf.DUMMYFUNCTION("""COMPUTED_VALUE"""),1.82665287)</f>
        <v>1.82665287</v>
      </c>
      <c r="J697" s="586" t="str">
        <f ca="1">IFERROR(__xludf.DUMMYFUNCTION("""COMPUTED_VALUE""")," 31.75 ")</f>
        <v xml:space="preserve"> 31.75 </v>
      </c>
      <c r="K697" s="584" t="str">
        <f ca="1">IFERROR(__xludf.DUMMYFUNCTION("""COMPUTED_VALUE"""),"0.70")</f>
        <v>0.70</v>
      </c>
      <c r="L697" s="584">
        <f ca="1">IFERROR(__xludf.DUMMYFUNCTION("""COMPUTED_VALUE"""),2.9)</f>
        <v>2.9</v>
      </c>
      <c r="M697" s="584"/>
      <c r="N697" s="584" t="str">
        <f ca="1">IFERROR(__xludf.DUMMYFUNCTION("""COMPUTED_VALUE"""),"Dị_D&lt;54")</f>
        <v>Dị_D&lt;54</v>
      </c>
      <c r="O697" s="583"/>
      <c r="P697" s="584"/>
    </row>
    <row r="698" spans="1:16" ht="15.75">
      <c r="A698" s="587" t="str">
        <f ca="1">IFERROR(__xludf.DUMMYFUNCTION("""COMPUTED_VALUE"""),"Toàn Phát - Việt Nam")</f>
        <v>Toàn Phát - Việt Nam</v>
      </c>
      <c r="B698" s="587" t="str">
        <f ca="1">IFERROR(__xludf.DUMMYFUNCTION("""COMPUTED_VALUE"""),"ĐTPCAYDI")</f>
        <v>ĐTPCAYDI</v>
      </c>
      <c r="C698" s="587" t="str">
        <f ca="1">IFERROR(__xludf.DUMMYFUNCTION("""COMPUTED_VALUE"""),"DOT158806142")</f>
        <v>DOT158806142</v>
      </c>
      <c r="D698" s="588" t="str">
        <f ca="1">IFERROR(__xludf.DUMMYFUNCTION("""COMPUTED_VALUE"""),"Đồng ống thẳng 31.75x0.71x2.8")</f>
        <v>Đồng ống thẳng 31.75x0.71x2.8</v>
      </c>
      <c r="E698" s="589">
        <f ca="1">IFERROR(__xludf.DUMMYFUNCTION("""COMPUTED_VALUE"""),0.1)</f>
        <v>0.1</v>
      </c>
      <c r="F698" s="590" t="str">
        <f ca="1">IFERROR(__xludf.DUMMYFUNCTION("""COMPUTED_VALUE"""),"Cây")</f>
        <v>Cây</v>
      </c>
      <c r="G698" s="590" t="str">
        <f ca="1">IFERROR(__xludf.DUMMYFUNCTION("""COMPUTED_VALUE"""),"Cây 2.8m")</f>
        <v>Cây 2.8m</v>
      </c>
      <c r="H698" s="588" t="str">
        <f ca="1">IFERROR(__xludf.DUMMYFUNCTION("""COMPUTED_VALUE"""),"9")</f>
        <v>9</v>
      </c>
      <c r="I698" s="591">
        <f ca="1">IFERROR(__xludf.DUMMYFUNCTION("""COMPUTED_VALUE"""),1.7882839296)</f>
        <v>1.7882839295999999</v>
      </c>
      <c r="J698" s="592" t="str">
        <f ca="1">IFERROR(__xludf.DUMMYFUNCTION("""COMPUTED_VALUE""")," 31.75 ")</f>
        <v xml:space="preserve"> 31.75 </v>
      </c>
      <c r="K698" s="590" t="str">
        <f ca="1">IFERROR(__xludf.DUMMYFUNCTION("""COMPUTED_VALUE"""),"0.71")</f>
        <v>0.71</v>
      </c>
      <c r="L698" s="590">
        <f ca="1">IFERROR(__xludf.DUMMYFUNCTION("""COMPUTED_VALUE"""),2.8)</f>
        <v>2.8</v>
      </c>
      <c r="M698" s="590"/>
      <c r="N698" s="590" t="str">
        <f ca="1">IFERROR(__xludf.DUMMYFUNCTION("""COMPUTED_VALUE"""),"Dị_D&lt;54")</f>
        <v>Dị_D&lt;54</v>
      </c>
      <c r="O698" s="589"/>
      <c r="P698" s="590"/>
    </row>
    <row r="699" spans="1:16" ht="15.75">
      <c r="A699" s="581" t="str">
        <f ca="1">IFERROR(__xludf.DUMMYFUNCTION("""COMPUTED_VALUE"""),"Toàn Phát - Việt Nam")</f>
        <v>Toàn Phát - Việt Nam</v>
      </c>
      <c r="B699" s="581" t="str">
        <f ca="1">IFERROR(__xludf.DUMMYFUNCTION("""COMPUTED_VALUE"""),"ĐTPCAYDI")</f>
        <v>ĐTPCAYDI</v>
      </c>
      <c r="C699" s="581" t="str">
        <f ca="1">IFERROR(__xludf.DUMMYFUNCTION("""COMPUTED_VALUE"""),"DOT317507128")</f>
        <v>DOT317507128</v>
      </c>
      <c r="D699" s="582" t="str">
        <f ca="1">IFERROR(__xludf.DUMMYFUNCTION("""COMPUTED_VALUE"""),"Đồng ống thẳng 31.75x0.71x2.8")</f>
        <v>Đồng ống thẳng 31.75x0.71x2.8</v>
      </c>
      <c r="E699" s="583">
        <f ca="1">IFERROR(__xludf.DUMMYFUNCTION("""COMPUTED_VALUE"""),0.1)</f>
        <v>0.1</v>
      </c>
      <c r="F699" s="584" t="str">
        <f ca="1">IFERROR(__xludf.DUMMYFUNCTION("""COMPUTED_VALUE"""),"Cây")</f>
        <v>Cây</v>
      </c>
      <c r="G699" s="584" t="str">
        <f ca="1">IFERROR(__xludf.DUMMYFUNCTION("""COMPUTED_VALUE"""),"Cây 2.8m")</f>
        <v>Cây 2.8m</v>
      </c>
      <c r="H699" s="582" t="str">
        <f ca="1">IFERROR(__xludf.DUMMYFUNCTION("""COMPUTED_VALUE"""),"9")</f>
        <v>9</v>
      </c>
      <c r="I699" s="585">
        <f ca="1">IFERROR(__xludf.DUMMYFUNCTION("""COMPUTED_VALUE"""),1.7882839296)</f>
        <v>1.7882839295999999</v>
      </c>
      <c r="J699" s="586" t="str">
        <f ca="1">IFERROR(__xludf.DUMMYFUNCTION("""COMPUTED_VALUE""")," 31.75 ")</f>
        <v xml:space="preserve"> 31.75 </v>
      </c>
      <c r="K699" s="584" t="str">
        <f ca="1">IFERROR(__xludf.DUMMYFUNCTION("""COMPUTED_VALUE"""),"0.71")</f>
        <v>0.71</v>
      </c>
      <c r="L699" s="584">
        <f ca="1">IFERROR(__xludf.DUMMYFUNCTION("""COMPUTED_VALUE"""),2.8)</f>
        <v>2.8</v>
      </c>
      <c r="M699" s="584"/>
      <c r="N699" s="584" t="str">
        <f ca="1">IFERROR(__xludf.DUMMYFUNCTION("""COMPUTED_VALUE"""),"Dị_D&lt;54")</f>
        <v>Dị_D&lt;54</v>
      </c>
      <c r="O699" s="583"/>
      <c r="P699" s="584"/>
    </row>
    <row r="700" spans="1:16" ht="15.75">
      <c r="A700" s="587" t="str">
        <f ca="1">IFERROR(__xludf.DUMMYFUNCTION("""COMPUTED_VALUE"""),"Toàn Phát - Việt Nam")</f>
        <v>Toàn Phát - Việt Nam</v>
      </c>
      <c r="B700" s="587" t="str">
        <f ca="1">IFERROR(__xludf.DUMMYFUNCTION("""COMPUTED_VALUE"""),"ĐTPCAYDI")</f>
        <v>ĐTPCAYDI</v>
      </c>
      <c r="C700" s="587" t="str">
        <f ca="1">IFERROR(__xludf.DUMMYFUNCTION("""COMPUTED_VALUE"""),"DOT3175075")</f>
        <v>DOT3175075</v>
      </c>
      <c r="D700" s="588" t="str">
        <f ca="1">IFERROR(__xludf.DUMMYFUNCTION("""COMPUTED_VALUE"""),"Đồng ống thẳng 31.75x0.75")</f>
        <v>Đồng ống thẳng 31.75x0.75</v>
      </c>
      <c r="E700" s="589">
        <f ca="1">IFERROR(__xludf.DUMMYFUNCTION("""COMPUTED_VALUE"""),0.1)</f>
        <v>0.1</v>
      </c>
      <c r="F700" s="590" t="str">
        <f ca="1">IFERROR(__xludf.DUMMYFUNCTION("""COMPUTED_VALUE"""),"Cây")</f>
        <v>Cây</v>
      </c>
      <c r="G700" s="590" t="str">
        <f ca="1">IFERROR(__xludf.DUMMYFUNCTION("""COMPUTED_VALUE"""),"Cây 2.9m")</f>
        <v>Cây 2.9m</v>
      </c>
      <c r="H700" s="588" t="str">
        <f ca="1">IFERROR(__xludf.DUMMYFUNCTION("""COMPUTED_VALUE"""),"9")</f>
        <v>9</v>
      </c>
      <c r="I700" s="591">
        <f ca="1">IFERROR(__xludf.DUMMYFUNCTION("""COMPUTED_VALUE"""),1.95397649999999)</f>
        <v>1.95397649999999</v>
      </c>
      <c r="J700" s="592" t="str">
        <f ca="1">IFERROR(__xludf.DUMMYFUNCTION("""COMPUTED_VALUE""")," 31.75 ")</f>
        <v xml:space="preserve"> 31.75 </v>
      </c>
      <c r="K700" s="590" t="str">
        <f ca="1">IFERROR(__xludf.DUMMYFUNCTION("""COMPUTED_VALUE"""),"0.75")</f>
        <v>0.75</v>
      </c>
      <c r="L700" s="590">
        <f ca="1">IFERROR(__xludf.DUMMYFUNCTION("""COMPUTED_VALUE"""),2.9)</f>
        <v>2.9</v>
      </c>
      <c r="M700" s="590"/>
      <c r="N700" s="590" t="str">
        <f ca="1">IFERROR(__xludf.DUMMYFUNCTION("""COMPUTED_VALUE"""),"Dị_D&lt;54")</f>
        <v>Dị_D&lt;54</v>
      </c>
      <c r="O700" s="589"/>
      <c r="P700" s="590"/>
    </row>
    <row r="701" spans="1:16" ht="15.75">
      <c r="A701" s="581" t="str">
        <f ca="1">IFERROR(__xludf.DUMMYFUNCTION("""COMPUTED_VALUE"""),"Toàn Phát - Việt Nam")</f>
        <v>Toàn Phát - Việt Nam</v>
      </c>
      <c r="B701" s="581" t="str">
        <f ca="1">IFERROR(__xludf.DUMMYFUNCTION("""COMPUTED_VALUE"""),"ĐTPCAYDI")</f>
        <v>ĐTPCAYDI</v>
      </c>
      <c r="C701" s="581" t="str">
        <f ca="1">IFERROR(__xludf.DUMMYFUNCTION("""COMPUTED_VALUE"""),"DOT3175080")</f>
        <v>DOT3175080</v>
      </c>
      <c r="D701" s="582" t="str">
        <f ca="1">IFERROR(__xludf.DUMMYFUNCTION("""COMPUTED_VALUE"""),"Đồng ống thẳng 31.75x0.80")</f>
        <v>Đồng ống thẳng 31.75x0.80</v>
      </c>
      <c r="E701" s="583">
        <f ca="1">IFERROR(__xludf.DUMMYFUNCTION("""COMPUTED_VALUE"""),0.1)</f>
        <v>0.1</v>
      </c>
      <c r="F701" s="584" t="str">
        <f ca="1">IFERROR(__xludf.DUMMYFUNCTION("""COMPUTED_VALUE"""),"Cây")</f>
        <v>Cây</v>
      </c>
      <c r="G701" s="584" t="str">
        <f ca="1">IFERROR(__xludf.DUMMYFUNCTION("""COMPUTED_VALUE"""),"Cây 2.9m")</f>
        <v>Cây 2.9m</v>
      </c>
      <c r="H701" s="582" t="str">
        <f ca="1">IFERROR(__xludf.DUMMYFUNCTION("""COMPUTED_VALUE"""),"9")</f>
        <v>9</v>
      </c>
      <c r="I701" s="585">
        <f ca="1">IFERROR(__xludf.DUMMYFUNCTION("""COMPUTED_VALUE"""),2.08087991999999)</f>
        <v>2.0808799199999899</v>
      </c>
      <c r="J701" s="586" t="str">
        <f ca="1">IFERROR(__xludf.DUMMYFUNCTION("""COMPUTED_VALUE""")," 31.75 ")</f>
        <v xml:space="preserve"> 31.75 </v>
      </c>
      <c r="K701" s="584" t="str">
        <f ca="1">IFERROR(__xludf.DUMMYFUNCTION("""COMPUTED_VALUE"""),"0.80")</f>
        <v>0.80</v>
      </c>
      <c r="L701" s="584">
        <f ca="1">IFERROR(__xludf.DUMMYFUNCTION("""COMPUTED_VALUE"""),2.9)</f>
        <v>2.9</v>
      </c>
      <c r="M701" s="584"/>
      <c r="N701" s="584" t="str">
        <f ca="1">IFERROR(__xludf.DUMMYFUNCTION("""COMPUTED_VALUE"""),"Dị_D&lt;54")</f>
        <v>Dị_D&lt;54</v>
      </c>
      <c r="O701" s="583"/>
      <c r="P701" s="584"/>
    </row>
    <row r="702" spans="1:16" ht="15.75">
      <c r="A702" s="587" t="str">
        <f ca="1">IFERROR(__xludf.DUMMYFUNCTION("""COMPUTED_VALUE"""),"Toàn Phát - Việt Nam")</f>
        <v>Toàn Phát - Việt Nam</v>
      </c>
      <c r="B702" s="587" t="str">
        <f ca="1">IFERROR(__xludf.DUMMYFUNCTION("""COMPUTED_VALUE"""),"ĐTPCAYDI")</f>
        <v>ĐTPCAYDI</v>
      </c>
      <c r="C702" s="587" t="str">
        <f ca="1">IFERROR(__xludf.DUMMYFUNCTION("""COMPUTED_VALUE"""),"DOT3175085")</f>
        <v>DOT3175085</v>
      </c>
      <c r="D702" s="588" t="str">
        <f ca="1">IFERROR(__xludf.DUMMYFUNCTION("""COMPUTED_VALUE"""),"Đồng ống thẳng 31.75x0.85")</f>
        <v>Đồng ống thẳng 31.75x0.85</v>
      </c>
      <c r="E702" s="589">
        <f ca="1">IFERROR(__xludf.DUMMYFUNCTION("""COMPUTED_VALUE"""),0.1)</f>
        <v>0.1</v>
      </c>
      <c r="F702" s="590" t="str">
        <f ca="1">IFERROR(__xludf.DUMMYFUNCTION("""COMPUTED_VALUE"""),"Cây")</f>
        <v>Cây</v>
      </c>
      <c r="G702" s="590" t="str">
        <f ca="1">IFERROR(__xludf.DUMMYFUNCTION("""COMPUTED_VALUE"""),"Cây 2.9m")</f>
        <v>Cây 2.9m</v>
      </c>
      <c r="H702" s="588" t="str">
        <f ca="1">IFERROR(__xludf.DUMMYFUNCTION("""COMPUTED_VALUE"""),"9")</f>
        <v>9</v>
      </c>
      <c r="I702" s="591">
        <f ca="1">IFERROR(__xludf.DUMMYFUNCTION("""COMPUTED_VALUE"""),2.20736312999999)</f>
        <v>2.2073631299999898</v>
      </c>
      <c r="J702" s="592" t="str">
        <f ca="1">IFERROR(__xludf.DUMMYFUNCTION("""COMPUTED_VALUE""")," 31.75 ")</f>
        <v xml:space="preserve"> 31.75 </v>
      </c>
      <c r="K702" s="590" t="str">
        <f ca="1">IFERROR(__xludf.DUMMYFUNCTION("""COMPUTED_VALUE"""),"0.85")</f>
        <v>0.85</v>
      </c>
      <c r="L702" s="590">
        <f ca="1">IFERROR(__xludf.DUMMYFUNCTION("""COMPUTED_VALUE"""),2.9)</f>
        <v>2.9</v>
      </c>
      <c r="M702" s="590"/>
      <c r="N702" s="590" t="str">
        <f ca="1">IFERROR(__xludf.DUMMYFUNCTION("""COMPUTED_VALUE"""),"Dị_D&lt;54")</f>
        <v>Dị_D&lt;54</v>
      </c>
      <c r="O702" s="589"/>
      <c r="P702" s="590"/>
    </row>
    <row r="703" spans="1:16" ht="15.75">
      <c r="A703" s="581" t="str">
        <f ca="1">IFERROR(__xludf.DUMMYFUNCTION("""COMPUTED_VALUE"""),"Toàn Phát - Việt Nam")</f>
        <v>Toàn Phát - Việt Nam</v>
      </c>
      <c r="B703" s="581" t="str">
        <f ca="1">IFERROR(__xludf.DUMMYFUNCTION("""COMPUTED_VALUE"""),"ĐTPCAYDI")</f>
        <v>ĐTPCAYDI</v>
      </c>
      <c r="C703" s="581" t="str">
        <f ca="1">IFERROR(__xludf.DUMMYFUNCTION("""COMPUTED_VALUE"""),"DOT3175090")</f>
        <v>DOT3175090</v>
      </c>
      <c r="D703" s="582" t="str">
        <f ca="1">IFERROR(__xludf.DUMMYFUNCTION("""COMPUTED_VALUE"""),"Đồng ống thẳng 31.75x0.90")</f>
        <v>Đồng ống thẳng 31.75x0.90</v>
      </c>
      <c r="E703" s="583">
        <f ca="1">IFERROR(__xludf.DUMMYFUNCTION("""COMPUTED_VALUE"""),0.1)</f>
        <v>0.1</v>
      </c>
      <c r="F703" s="584" t="str">
        <f ca="1">IFERROR(__xludf.DUMMYFUNCTION("""COMPUTED_VALUE"""),"Cây")</f>
        <v>Cây</v>
      </c>
      <c r="G703" s="584" t="str">
        <f ca="1">IFERROR(__xludf.DUMMYFUNCTION("""COMPUTED_VALUE"""),"Cây 2.9m")</f>
        <v>Cây 2.9m</v>
      </c>
      <c r="H703" s="582" t="str">
        <f ca="1">IFERROR(__xludf.DUMMYFUNCTION("""COMPUTED_VALUE"""),"9")</f>
        <v>9</v>
      </c>
      <c r="I703" s="585">
        <f ca="1">IFERROR(__xludf.DUMMYFUNCTION("""COMPUTED_VALUE"""),2.33342613)</f>
        <v>2.3334261299999999</v>
      </c>
      <c r="J703" s="586" t="str">
        <f ca="1">IFERROR(__xludf.DUMMYFUNCTION("""COMPUTED_VALUE""")," 31.75 ")</f>
        <v xml:space="preserve"> 31.75 </v>
      </c>
      <c r="K703" s="584" t="str">
        <f ca="1">IFERROR(__xludf.DUMMYFUNCTION("""COMPUTED_VALUE"""),"0.90")</f>
        <v>0.90</v>
      </c>
      <c r="L703" s="584">
        <f ca="1">IFERROR(__xludf.DUMMYFUNCTION("""COMPUTED_VALUE"""),2.9)</f>
        <v>2.9</v>
      </c>
      <c r="M703" s="584"/>
      <c r="N703" s="584" t="str">
        <f ca="1">IFERROR(__xludf.DUMMYFUNCTION("""COMPUTED_VALUE"""),"Dị_D&lt;54")</f>
        <v>Dị_D&lt;54</v>
      </c>
      <c r="O703" s="583"/>
      <c r="P703" s="584"/>
    </row>
    <row r="704" spans="1:16" ht="15.75">
      <c r="A704" s="587" t="str">
        <f ca="1">IFERROR(__xludf.DUMMYFUNCTION("""COMPUTED_VALUE"""),"Toàn Phát - Việt Nam")</f>
        <v>Toàn Phát - Việt Nam</v>
      </c>
      <c r="B704" s="587" t="str">
        <f ca="1">IFERROR(__xludf.DUMMYFUNCTION("""COMPUTED_VALUE"""),"ĐTPCAYDI")</f>
        <v>ĐTPCAYDI</v>
      </c>
      <c r="C704" s="587" t="str">
        <f ca="1">IFERROR(__xludf.DUMMYFUNCTION("""COMPUTED_VALUE"""),"DOT3175095")</f>
        <v>DOT3175095</v>
      </c>
      <c r="D704" s="588" t="str">
        <f ca="1">IFERROR(__xludf.DUMMYFUNCTION("""COMPUTED_VALUE"""),"Đồng ống thẳng 31.75x0.95")</f>
        <v>Đồng ống thẳng 31.75x0.95</v>
      </c>
      <c r="E704" s="589">
        <f ca="1">IFERROR(__xludf.DUMMYFUNCTION("""COMPUTED_VALUE"""),0.1)</f>
        <v>0.1</v>
      </c>
      <c r="F704" s="590" t="str">
        <f ca="1">IFERROR(__xludf.DUMMYFUNCTION("""COMPUTED_VALUE"""),"Cây")</f>
        <v>Cây</v>
      </c>
      <c r="G704" s="590" t="str">
        <f ca="1">IFERROR(__xludf.DUMMYFUNCTION("""COMPUTED_VALUE"""),"Cây 2.9m")</f>
        <v>Cây 2.9m</v>
      </c>
      <c r="H704" s="588" t="str">
        <f ca="1">IFERROR(__xludf.DUMMYFUNCTION("""COMPUTED_VALUE"""),"9")</f>
        <v>9</v>
      </c>
      <c r="I704" s="591">
        <f ca="1">IFERROR(__xludf.DUMMYFUNCTION("""COMPUTED_VALUE"""),2.45906892)</f>
        <v>2.45906892</v>
      </c>
      <c r="J704" s="592" t="str">
        <f ca="1">IFERROR(__xludf.DUMMYFUNCTION("""COMPUTED_VALUE""")," 31.75 ")</f>
        <v xml:space="preserve"> 31.75 </v>
      </c>
      <c r="K704" s="590" t="str">
        <f ca="1">IFERROR(__xludf.DUMMYFUNCTION("""COMPUTED_VALUE"""),"0.95")</f>
        <v>0.95</v>
      </c>
      <c r="L704" s="590">
        <f ca="1">IFERROR(__xludf.DUMMYFUNCTION("""COMPUTED_VALUE"""),2.9)</f>
        <v>2.9</v>
      </c>
      <c r="M704" s="590"/>
      <c r="N704" s="590" t="str">
        <f ca="1">IFERROR(__xludf.DUMMYFUNCTION("""COMPUTED_VALUE"""),"Dị_D&lt;54")</f>
        <v>Dị_D&lt;54</v>
      </c>
      <c r="O704" s="589"/>
      <c r="P704" s="590"/>
    </row>
    <row r="705" spans="1:17" ht="15.75">
      <c r="A705" s="581" t="str">
        <f ca="1">IFERROR(__xludf.DUMMYFUNCTION("""COMPUTED_VALUE"""),"Toàn Phát - Việt Nam")</f>
        <v>Toàn Phát - Việt Nam</v>
      </c>
      <c r="B705" s="581" t="str">
        <f ca="1">IFERROR(__xludf.DUMMYFUNCTION("""COMPUTED_VALUE"""),"ĐTPCAYDI")</f>
        <v>ĐTPCAYDI</v>
      </c>
      <c r="C705" s="581" t="str">
        <f ca="1">IFERROR(__xludf.DUMMYFUNCTION("""COMPUTED_VALUE"""),"DOT317510058")</f>
        <v>DOT317510058</v>
      </c>
      <c r="D705" s="582" t="str">
        <f ca="1">IFERROR(__xludf.DUMMYFUNCTION("""COMPUTED_VALUE"""),"Đồng ống thẳng 31.75x1.00x5.8")</f>
        <v>Đồng ống thẳng 31.75x1.00x5.8</v>
      </c>
      <c r="E705" s="583">
        <f ca="1">IFERROR(__xludf.DUMMYFUNCTION("""COMPUTED_VALUE"""),0.1)</f>
        <v>0.1</v>
      </c>
      <c r="F705" s="584" t="str">
        <f ca="1">IFERROR(__xludf.DUMMYFUNCTION("""COMPUTED_VALUE"""),"Cây")</f>
        <v>Cây</v>
      </c>
      <c r="G705" s="584" t="str">
        <f ca="1">IFERROR(__xludf.DUMMYFUNCTION("""COMPUTED_VALUE"""),"Cây 5.8m")</f>
        <v>Cây 5.8m</v>
      </c>
      <c r="H705" s="582"/>
      <c r="I705" s="585">
        <f ca="1">IFERROR(__xludf.DUMMYFUNCTION("""COMPUTED_VALUE"""),5.16858299999999)</f>
        <v>5.1685829999999902</v>
      </c>
      <c r="J705" s="586" t="str">
        <f ca="1">IFERROR(__xludf.DUMMYFUNCTION("""COMPUTED_VALUE""")," 31.75 ")</f>
        <v xml:space="preserve"> 31.75 </v>
      </c>
      <c r="K705" s="584" t="str">
        <f ca="1">IFERROR(__xludf.DUMMYFUNCTION("""COMPUTED_VALUE"""),"1.00")</f>
        <v>1.00</v>
      </c>
      <c r="L705" s="584">
        <f ca="1">IFERROR(__xludf.DUMMYFUNCTION("""COMPUTED_VALUE"""),5.8)</f>
        <v>5.8</v>
      </c>
      <c r="M705" s="584"/>
      <c r="N705" s="584" t="str">
        <f ca="1">IFERROR(__xludf.DUMMYFUNCTION("""COMPUTED_VALUE"""),"Dị_D&lt;54")</f>
        <v>Dị_D&lt;54</v>
      </c>
      <c r="O705" s="583"/>
      <c r="P705" s="584"/>
    </row>
    <row r="706" spans="1:17" ht="15.75">
      <c r="A706" s="587" t="str">
        <f ca="1">IFERROR(__xludf.DUMMYFUNCTION("""COMPUTED_VALUE"""),"Toàn Phát - Việt Nam")</f>
        <v>Toàn Phát - Việt Nam</v>
      </c>
      <c r="B706" s="587" t="str">
        <f ca="1">IFERROR(__xludf.DUMMYFUNCTION("""COMPUTED_VALUE"""),"ĐTPCAYIB")</f>
        <v>ĐTPCAYIB</v>
      </c>
      <c r="C706" s="587" t="str">
        <f ca="1">IFERROR(__xludf.DUMMYFUNCTION("""COMPUTED_VALUE"""),"DOT3175100")</f>
        <v>DOT3175100</v>
      </c>
      <c r="D706" s="588" t="str">
        <f ca="1">IFERROR(__xludf.DUMMYFUNCTION("""COMPUTED_VALUE"""),"Đồng ống thẳng 31.75x1.00")</f>
        <v>Đồng ống thẳng 31.75x1.00</v>
      </c>
      <c r="E706" s="589">
        <f ca="1">IFERROR(__xludf.DUMMYFUNCTION("""COMPUTED_VALUE"""),0.1)</f>
        <v>0.1</v>
      </c>
      <c r="F706" s="590" t="str">
        <f ca="1">IFERROR(__xludf.DUMMYFUNCTION("""COMPUTED_VALUE"""),"Cây")</f>
        <v>Cây</v>
      </c>
      <c r="G706" s="590" t="str">
        <f ca="1">IFERROR(__xludf.DUMMYFUNCTION("""COMPUTED_VALUE"""),"Cây 2.9m")</f>
        <v>Cây 2.9m</v>
      </c>
      <c r="H706" s="588" t="str">
        <f ca="1">IFERROR(__xludf.DUMMYFUNCTION("""COMPUTED_VALUE"""),"9")</f>
        <v>9</v>
      </c>
      <c r="I706" s="591">
        <f ca="1">IFERROR(__xludf.DUMMYFUNCTION("""COMPUTED_VALUE"""),2.58429149999999)</f>
        <v>2.5842914999999902</v>
      </c>
      <c r="J706" s="592" t="str">
        <f ca="1">IFERROR(__xludf.DUMMYFUNCTION("""COMPUTED_VALUE""")," 31.75 ")</f>
        <v xml:space="preserve"> 31.75 </v>
      </c>
      <c r="K706" s="590" t="str">
        <f ca="1">IFERROR(__xludf.DUMMYFUNCTION("""COMPUTED_VALUE"""),"1.00")</f>
        <v>1.00</v>
      </c>
      <c r="L706" s="590">
        <f ca="1">IFERROR(__xludf.DUMMYFUNCTION("""COMPUTED_VALUE"""),2.9)</f>
        <v>2.9</v>
      </c>
      <c r="M706" s="590"/>
      <c r="N706" s="590" t="str">
        <f ca="1">IFERROR(__xludf.DUMMYFUNCTION("""COMPUTED_VALUE"""),"Ít bán")</f>
        <v>Ít bán</v>
      </c>
      <c r="O706" s="589"/>
      <c r="P706" s="590"/>
      <c r="Q706" s="885">
        <f ca="1">+$Q$5*I706</f>
        <v>594.38704499999767</v>
      </c>
    </row>
    <row r="707" spans="1:17" ht="15.75">
      <c r="A707" s="581" t="str">
        <f ca="1">IFERROR(__xludf.DUMMYFUNCTION("""COMPUTED_VALUE"""),"Toàn Phát - Việt Nam")</f>
        <v>Toàn Phát - Việt Nam</v>
      </c>
      <c r="B707" s="581" t="str">
        <f ca="1">IFERROR(__xludf.DUMMYFUNCTION("""COMPUTED_VALUE"""),"ĐTPCAYDI")</f>
        <v>ĐTPCAYDI</v>
      </c>
      <c r="C707" s="581" t="str">
        <f ca="1">IFERROR(__xludf.DUMMYFUNCTION("""COMPUTED_VALUE"""),"DOT3175110")</f>
        <v>DOT3175110</v>
      </c>
      <c r="D707" s="582" t="str">
        <f ca="1">IFERROR(__xludf.DUMMYFUNCTION("""COMPUTED_VALUE"""),"Đồng ống thẳng 31.75x1.1")</f>
        <v>Đồng ống thẳng 31.75x1.1</v>
      </c>
      <c r="E707" s="583">
        <f ca="1">IFERROR(__xludf.DUMMYFUNCTION("""COMPUTED_VALUE"""),0.1)</f>
        <v>0.1</v>
      </c>
      <c r="F707" s="584" t="str">
        <f ca="1">IFERROR(__xludf.DUMMYFUNCTION("""COMPUTED_VALUE"""),"Cây")</f>
        <v>Cây</v>
      </c>
      <c r="G707" s="584" t="str">
        <f ca="1">IFERROR(__xludf.DUMMYFUNCTION("""COMPUTED_VALUE"""),"Cây 2.9m")</f>
        <v>Cây 2.9m</v>
      </c>
      <c r="H707" s="582" t="str">
        <f ca="1">IFERROR(__xludf.DUMMYFUNCTION("""COMPUTED_VALUE"""),"9")</f>
        <v>9</v>
      </c>
      <c r="I707" s="585">
        <f ca="1">IFERROR(__xludf.DUMMYFUNCTION("""COMPUTED_VALUE"""),2.83347603)</f>
        <v>2.8334760299999999</v>
      </c>
      <c r="J707" s="586" t="str">
        <f ca="1">IFERROR(__xludf.DUMMYFUNCTION("""COMPUTED_VALUE""")," 31.75 ")</f>
        <v xml:space="preserve"> 31.75 </v>
      </c>
      <c r="K707" s="584" t="str">
        <f ca="1">IFERROR(__xludf.DUMMYFUNCTION("""COMPUTED_VALUE"""),"1.10")</f>
        <v>1.10</v>
      </c>
      <c r="L707" s="584">
        <f ca="1">IFERROR(__xludf.DUMMYFUNCTION("""COMPUTED_VALUE"""),2.9)</f>
        <v>2.9</v>
      </c>
      <c r="M707" s="584"/>
      <c r="N707" s="584" t="str">
        <f ca="1">IFERROR(__xludf.DUMMYFUNCTION("""COMPUTED_VALUE"""),"Dị_D&lt;54")</f>
        <v>Dị_D&lt;54</v>
      </c>
      <c r="O707" s="583"/>
      <c r="P707" s="584"/>
    </row>
    <row r="708" spans="1:17" ht="15.75">
      <c r="A708" s="587" t="str">
        <f ca="1">IFERROR(__xludf.DUMMYFUNCTION("""COMPUTED_VALUE"""),"Toàn Phát - Việt Nam")</f>
        <v>Toàn Phát - Việt Nam</v>
      </c>
      <c r="B708" s="587" t="str">
        <f ca="1">IFERROR(__xludf.DUMMYFUNCTION("""COMPUTED_VALUE"""),"ĐTPCAYDI")</f>
        <v>ĐTPCAYDI</v>
      </c>
      <c r="C708" s="587" t="str">
        <f ca="1">IFERROR(__xludf.DUMMYFUNCTION("""COMPUTED_VALUE"""),"DOT31751158")</f>
        <v>DOT31751158</v>
      </c>
      <c r="D708" s="588" t="str">
        <f ca="1">IFERROR(__xludf.DUMMYFUNCTION("""COMPUTED_VALUE"""),"Đồng ống thẳng 31.75x1.1x5.8")</f>
        <v>Đồng ống thẳng 31.75x1.1x5.8</v>
      </c>
      <c r="E708" s="589">
        <f ca="1">IFERROR(__xludf.DUMMYFUNCTION("""COMPUTED_VALUE"""),0.1)</f>
        <v>0.1</v>
      </c>
      <c r="F708" s="590" t="str">
        <f ca="1">IFERROR(__xludf.DUMMYFUNCTION("""COMPUTED_VALUE"""),"Cây")</f>
        <v>Cây</v>
      </c>
      <c r="G708" s="590" t="str">
        <f ca="1">IFERROR(__xludf.DUMMYFUNCTION("""COMPUTED_VALUE"""),"Cây 5.8m")</f>
        <v>Cây 5.8m</v>
      </c>
      <c r="H708" s="588"/>
      <c r="I708" s="591">
        <f ca="1">IFERROR(__xludf.DUMMYFUNCTION("""COMPUTED_VALUE"""),5.66695206)</f>
        <v>5.6669520599999998</v>
      </c>
      <c r="J708" s="592" t="str">
        <f ca="1">IFERROR(__xludf.DUMMYFUNCTION("""COMPUTED_VALUE""")," 31.75 ")</f>
        <v xml:space="preserve"> 31.75 </v>
      </c>
      <c r="K708" s="590" t="str">
        <f ca="1">IFERROR(__xludf.DUMMYFUNCTION("""COMPUTED_VALUE"""),"1.10")</f>
        <v>1.10</v>
      </c>
      <c r="L708" s="590">
        <f ca="1">IFERROR(__xludf.DUMMYFUNCTION("""COMPUTED_VALUE"""),5.8)</f>
        <v>5.8</v>
      </c>
      <c r="M708" s="590"/>
      <c r="N708" s="590" t="str">
        <f ca="1">IFERROR(__xludf.DUMMYFUNCTION("""COMPUTED_VALUE"""),"Dị_D&lt;54")</f>
        <v>Dị_D&lt;54</v>
      </c>
      <c r="O708" s="589"/>
      <c r="P708" s="590"/>
    </row>
    <row r="709" spans="1:17" ht="15.75">
      <c r="A709" s="581" t="str">
        <f ca="1">IFERROR(__xludf.DUMMYFUNCTION("""COMPUTED_VALUE"""),"Toàn Phát - Việt Nam")</f>
        <v>Toàn Phát - Việt Nam</v>
      </c>
      <c r="B709" s="581" t="str">
        <f ca="1">IFERROR(__xludf.DUMMYFUNCTION("""COMPUTED_VALUE"""),"ĐTPCAYDI")</f>
        <v>ĐTPCAYDI</v>
      </c>
      <c r="C709" s="581" t="str">
        <f ca="1">IFERROR(__xludf.DUMMYFUNCTION("""COMPUTED_VALUE"""),"DOT3175115")</f>
        <v>DOT3175115</v>
      </c>
      <c r="D709" s="582" t="str">
        <f ca="1">IFERROR(__xludf.DUMMYFUNCTION("""COMPUTED_VALUE"""),"Đồng ống thẳng 31.75x1.15")</f>
        <v>Đồng ống thẳng 31.75x1.15</v>
      </c>
      <c r="E709" s="583">
        <f ca="1">IFERROR(__xludf.DUMMYFUNCTION("""COMPUTED_VALUE"""),0.1)</f>
        <v>0.1</v>
      </c>
      <c r="F709" s="584" t="str">
        <f ca="1">IFERROR(__xludf.DUMMYFUNCTION("""COMPUTED_VALUE"""),"Cây")</f>
        <v>Cây</v>
      </c>
      <c r="G709" s="584" t="str">
        <f ca="1">IFERROR(__xludf.DUMMYFUNCTION("""COMPUTED_VALUE"""),"Cây 2.9m")</f>
        <v>Cây 2.9m</v>
      </c>
      <c r="H709" s="582" t="str">
        <f ca="1">IFERROR(__xludf.DUMMYFUNCTION("""COMPUTED_VALUE"""),"9")</f>
        <v>9</v>
      </c>
      <c r="I709" s="585">
        <f ca="1">IFERROR(__xludf.DUMMYFUNCTION("""COMPUTED_VALUE"""),2.95743797999999)</f>
        <v>2.9574379799999901</v>
      </c>
      <c r="J709" s="586" t="str">
        <f ca="1">IFERROR(__xludf.DUMMYFUNCTION("""COMPUTED_VALUE""")," 31.75 ")</f>
        <v xml:space="preserve"> 31.75 </v>
      </c>
      <c r="K709" s="584" t="str">
        <f ca="1">IFERROR(__xludf.DUMMYFUNCTION("""COMPUTED_VALUE"""),"1.15")</f>
        <v>1.15</v>
      </c>
      <c r="L709" s="584">
        <f ca="1">IFERROR(__xludf.DUMMYFUNCTION("""COMPUTED_VALUE"""),2.9)</f>
        <v>2.9</v>
      </c>
      <c r="M709" s="584"/>
      <c r="N709" s="584" t="str">
        <f ca="1">IFERROR(__xludf.DUMMYFUNCTION("""COMPUTED_VALUE"""),"Dị_D&lt;54")</f>
        <v>Dị_D&lt;54</v>
      </c>
      <c r="O709" s="583"/>
      <c r="P709" s="584"/>
    </row>
    <row r="710" spans="1:17" ht="15.75">
      <c r="A710" s="587" t="str">
        <f ca="1">IFERROR(__xludf.DUMMYFUNCTION("""COMPUTED_VALUE"""),"Toàn Phát - Việt Nam")</f>
        <v>Toàn Phát - Việt Nam</v>
      </c>
      <c r="B710" s="587" t="str">
        <f ca="1">IFERROR(__xludf.DUMMYFUNCTION("""COMPUTED_VALUE"""),"ĐTPCAYDI")</f>
        <v>ĐTPCAYDI</v>
      </c>
      <c r="C710" s="587" t="str">
        <f ca="1">IFERROR(__xludf.DUMMYFUNCTION("""COMPUTED_VALUE"""),"DOT317512058")</f>
        <v>DOT317512058</v>
      </c>
      <c r="D710" s="588" t="str">
        <f ca="1">IFERROR(__xludf.DUMMYFUNCTION("""COMPUTED_VALUE"""),"Đồng ống thẳng 31.75x1.20x5.8")</f>
        <v>Đồng ống thẳng 31.75x1.20x5.8</v>
      </c>
      <c r="E710" s="589">
        <f ca="1">IFERROR(__xludf.DUMMYFUNCTION("""COMPUTED_VALUE"""),0.1)</f>
        <v>0.1</v>
      </c>
      <c r="F710" s="590" t="str">
        <f ca="1">IFERROR(__xludf.DUMMYFUNCTION("""COMPUTED_VALUE"""),"Cây")</f>
        <v>Cây</v>
      </c>
      <c r="G710" s="590" t="str">
        <f ca="1">IFERROR(__xludf.DUMMYFUNCTION("""COMPUTED_VALUE"""),"Cây 5.8m")</f>
        <v>Cây 5.8m</v>
      </c>
      <c r="H710" s="588"/>
      <c r="I710" s="591">
        <f ca="1">IFERROR(__xludf.DUMMYFUNCTION("""COMPUTED_VALUE"""),6.16195943999999)</f>
        <v>6.1619594399999897</v>
      </c>
      <c r="J710" s="592" t="str">
        <f ca="1">IFERROR(__xludf.DUMMYFUNCTION("""COMPUTED_VALUE""")," 31.75 ")</f>
        <v xml:space="preserve"> 31.75 </v>
      </c>
      <c r="K710" s="590" t="str">
        <f ca="1">IFERROR(__xludf.DUMMYFUNCTION("""COMPUTED_VALUE"""),"1.20")</f>
        <v>1.20</v>
      </c>
      <c r="L710" s="590">
        <f ca="1">IFERROR(__xludf.DUMMYFUNCTION("""COMPUTED_VALUE"""),5.8)</f>
        <v>5.8</v>
      </c>
      <c r="M710" s="590"/>
      <c r="N710" s="590" t="str">
        <f ca="1">IFERROR(__xludf.DUMMYFUNCTION("""COMPUTED_VALUE"""),"Dị_D&lt;54")</f>
        <v>Dị_D&lt;54</v>
      </c>
      <c r="O710" s="589"/>
      <c r="P710" s="590"/>
    </row>
    <row r="711" spans="1:17" ht="15.75">
      <c r="A711" s="581" t="str">
        <f ca="1">IFERROR(__xludf.DUMMYFUNCTION("""COMPUTED_VALUE"""),"Toàn Phát - Việt Nam")</f>
        <v>Toàn Phát - Việt Nam</v>
      </c>
      <c r="B711" s="581" t="str">
        <f ca="1">IFERROR(__xludf.DUMMYFUNCTION("""COMPUTED_VALUE"""),"ĐTPCAYIB")</f>
        <v>ĐTPCAYIB</v>
      </c>
      <c r="C711" s="581" t="str">
        <f ca="1">IFERROR(__xludf.DUMMYFUNCTION("""COMPUTED_VALUE"""),"DOT3175120")</f>
        <v>DOT3175120</v>
      </c>
      <c r="D711" s="582" t="str">
        <f ca="1">IFERROR(__xludf.DUMMYFUNCTION("""COMPUTED_VALUE"""),"Đồng ống thẳng 31.75x1.20")</f>
        <v>Đồng ống thẳng 31.75x1.20</v>
      </c>
      <c r="E711" s="583">
        <f ca="1">IFERROR(__xludf.DUMMYFUNCTION("""COMPUTED_VALUE"""),0.1)</f>
        <v>0.1</v>
      </c>
      <c r="F711" s="584" t="str">
        <f ca="1">IFERROR(__xludf.DUMMYFUNCTION("""COMPUTED_VALUE"""),"Cây")</f>
        <v>Cây</v>
      </c>
      <c r="G711" s="584" t="str">
        <f ca="1">IFERROR(__xludf.DUMMYFUNCTION("""COMPUTED_VALUE"""),"Cây 2.9m")</f>
        <v>Cây 2.9m</v>
      </c>
      <c r="H711" s="582" t="str">
        <f ca="1">IFERROR(__xludf.DUMMYFUNCTION("""COMPUTED_VALUE"""),"9")</f>
        <v>9</v>
      </c>
      <c r="I711" s="585">
        <f ca="1">IFERROR(__xludf.DUMMYFUNCTION("""COMPUTED_VALUE"""),3.08097971999999)</f>
        <v>3.08097971999999</v>
      </c>
      <c r="J711" s="586" t="str">
        <f ca="1">IFERROR(__xludf.DUMMYFUNCTION("""COMPUTED_VALUE""")," 31.75 ")</f>
        <v xml:space="preserve"> 31.75 </v>
      </c>
      <c r="K711" s="584" t="str">
        <f ca="1">IFERROR(__xludf.DUMMYFUNCTION("""COMPUTED_VALUE"""),"1.20")</f>
        <v>1.20</v>
      </c>
      <c r="L711" s="584">
        <f ca="1">IFERROR(__xludf.DUMMYFUNCTION("""COMPUTED_VALUE"""),2.9)</f>
        <v>2.9</v>
      </c>
      <c r="M711" s="584"/>
      <c r="N711" s="584" t="str">
        <f ca="1">IFERROR(__xludf.DUMMYFUNCTION("""COMPUTED_VALUE"""),"Ít bán")</f>
        <v>Ít bán</v>
      </c>
      <c r="O711" s="583"/>
      <c r="P711" s="584"/>
      <c r="Q711" s="885">
        <f ca="1">+$Q$5*I711</f>
        <v>708.62533559999758</v>
      </c>
    </row>
    <row r="712" spans="1:17" ht="15.75">
      <c r="A712" s="587" t="str">
        <f ca="1">IFERROR(__xludf.DUMMYFUNCTION("""COMPUTED_VALUE"""),"Toàn Phát - Việt Nam")</f>
        <v>Toàn Phát - Việt Nam</v>
      </c>
      <c r="B712" s="587" t="str">
        <f ca="1">IFERROR(__xludf.DUMMYFUNCTION("""COMPUTED_VALUE"""),"ĐTPCAYDI")</f>
        <v>ĐTPCAYDI</v>
      </c>
      <c r="C712" s="587" t="str">
        <f ca="1">IFERROR(__xludf.DUMMYFUNCTION("""COMPUTED_VALUE"""),"DOT3175122")</f>
        <v>DOT3175122</v>
      </c>
      <c r="D712" s="588" t="str">
        <f ca="1">IFERROR(__xludf.DUMMYFUNCTION("""COMPUTED_VALUE"""),"Đồng ống thẳng 31.75x1.22")</f>
        <v>Đồng ống thẳng 31.75x1.22</v>
      </c>
      <c r="E712" s="589">
        <f ca="1">IFERROR(__xludf.DUMMYFUNCTION("""COMPUTED_VALUE"""),0.1)</f>
        <v>0.1</v>
      </c>
      <c r="F712" s="590" t="str">
        <f ca="1">IFERROR(__xludf.DUMMYFUNCTION("""COMPUTED_VALUE"""),"Cây")</f>
        <v>Cây</v>
      </c>
      <c r="G712" s="590" t="str">
        <f ca="1">IFERROR(__xludf.DUMMYFUNCTION("""COMPUTED_VALUE"""),"Cây 2.9m")</f>
        <v>Cây 2.9m</v>
      </c>
      <c r="H712" s="588" t="str">
        <f ca="1">IFERROR(__xludf.DUMMYFUNCTION("""COMPUTED_VALUE"""),"9")</f>
        <v>9</v>
      </c>
      <c r="I712" s="591">
        <f ca="1">IFERROR(__xludf.DUMMYFUNCTION("""COMPUTED_VALUE"""),3.1302787572)</f>
        <v>3.1302787572000002</v>
      </c>
      <c r="J712" s="592" t="str">
        <f ca="1">IFERROR(__xludf.DUMMYFUNCTION("""COMPUTED_VALUE""")," 31.75 ")</f>
        <v xml:space="preserve"> 31.75 </v>
      </c>
      <c r="K712" s="590" t="str">
        <f ca="1">IFERROR(__xludf.DUMMYFUNCTION("""COMPUTED_VALUE"""),"1.22")</f>
        <v>1.22</v>
      </c>
      <c r="L712" s="590">
        <f ca="1">IFERROR(__xludf.DUMMYFUNCTION("""COMPUTED_VALUE"""),2.9)</f>
        <v>2.9</v>
      </c>
      <c r="M712" s="590"/>
      <c r="N712" s="590" t="str">
        <f ca="1">IFERROR(__xludf.DUMMYFUNCTION("""COMPUTED_VALUE"""),"Dị_D&lt;54")</f>
        <v>Dị_D&lt;54</v>
      </c>
      <c r="O712" s="589"/>
      <c r="P712" s="590"/>
    </row>
    <row r="713" spans="1:17" ht="15.75">
      <c r="A713" s="581" t="str">
        <f ca="1">IFERROR(__xludf.DUMMYFUNCTION("""COMPUTED_VALUE"""),"Toàn Phát - Việt Nam")</f>
        <v>Toàn Phát - Việt Nam</v>
      </c>
      <c r="B713" s="581" t="str">
        <f ca="1">IFERROR(__xludf.DUMMYFUNCTION("""COMPUTED_VALUE"""),"ĐTPCAYDI")</f>
        <v>ĐTPCAYDI</v>
      </c>
      <c r="C713" s="581" t="str">
        <f ca="1">IFERROR(__xludf.DUMMYFUNCTION("""COMPUTED_VALUE"""),"DOT3175127")</f>
        <v>DOT3175127</v>
      </c>
      <c r="D713" s="582" t="str">
        <f ca="1">IFERROR(__xludf.DUMMYFUNCTION("""COMPUTED_VALUE"""),"Đồng ống thẳng 31.75x1.27")</f>
        <v>Đồng ống thẳng 31.75x1.27</v>
      </c>
      <c r="E713" s="583">
        <f ca="1">IFERROR(__xludf.DUMMYFUNCTION("""COMPUTED_VALUE"""),0.1)</f>
        <v>0.1</v>
      </c>
      <c r="F713" s="584" t="str">
        <f ca="1">IFERROR(__xludf.DUMMYFUNCTION("""COMPUTED_VALUE"""),"Cây")</f>
        <v>Cây</v>
      </c>
      <c r="G713" s="584" t="str">
        <f ca="1">IFERROR(__xludf.DUMMYFUNCTION("""COMPUTED_VALUE"""),"Cây 2.9m")</f>
        <v>Cây 2.9m</v>
      </c>
      <c r="H713" s="582" t="str">
        <f ca="1">IFERROR(__xludf.DUMMYFUNCTION("""COMPUTED_VALUE"""),"9")</f>
        <v>9</v>
      </c>
      <c r="I713" s="585">
        <f ca="1">IFERROR(__xludf.DUMMYFUNCTION("""COMPUTED_VALUE"""),3.2532322032)</f>
        <v>3.2532322032000001</v>
      </c>
      <c r="J713" s="586" t="str">
        <f ca="1">IFERROR(__xludf.DUMMYFUNCTION("""COMPUTED_VALUE""")," 31.75 ")</f>
        <v xml:space="preserve"> 31.75 </v>
      </c>
      <c r="K713" s="584" t="str">
        <f ca="1">IFERROR(__xludf.DUMMYFUNCTION("""COMPUTED_VALUE"""),"1.27")</f>
        <v>1.27</v>
      </c>
      <c r="L713" s="584">
        <f ca="1">IFERROR(__xludf.DUMMYFUNCTION("""COMPUTED_VALUE"""),2.9)</f>
        <v>2.9</v>
      </c>
      <c r="M713" s="584"/>
      <c r="N713" s="584" t="str">
        <f ca="1">IFERROR(__xludf.DUMMYFUNCTION("""COMPUTED_VALUE"""),"Dị_D&lt;54")</f>
        <v>Dị_D&lt;54</v>
      </c>
      <c r="O713" s="583"/>
      <c r="P713" s="584"/>
    </row>
    <row r="714" spans="1:17" ht="15.75">
      <c r="A714" s="587" t="str">
        <f ca="1">IFERROR(__xludf.DUMMYFUNCTION("""COMPUTED_VALUE"""),"Toàn Phát - Việt Nam")</f>
        <v>Toàn Phát - Việt Nam</v>
      </c>
      <c r="B714" s="587" t="str">
        <f ca="1">IFERROR(__xludf.DUMMYFUNCTION("""COMPUTED_VALUE"""),"ĐTPCAYDI")</f>
        <v>ĐTPCAYDI</v>
      </c>
      <c r="C714" s="587" t="str">
        <f ca="1">IFERROR(__xludf.DUMMYFUNCTION("""COMPUTED_VALUE"""),"DOT3175113")</f>
        <v>DOT3175113</v>
      </c>
      <c r="D714" s="588" t="str">
        <f ca="1">IFERROR(__xludf.DUMMYFUNCTION("""COMPUTED_VALUE"""),"Đồng ống thẳng 31.75x1.3")</f>
        <v>Đồng ống thẳng 31.75x1.3</v>
      </c>
      <c r="E714" s="589">
        <f ca="1">IFERROR(__xludf.DUMMYFUNCTION("""COMPUTED_VALUE"""),0.1)</f>
        <v>0.1</v>
      </c>
      <c r="F714" s="590" t="str">
        <f ca="1">IFERROR(__xludf.DUMMYFUNCTION("""COMPUTED_VALUE"""),"Cây")</f>
        <v>Cây</v>
      </c>
      <c r="G714" s="590" t="str">
        <f ca="1">IFERROR(__xludf.DUMMYFUNCTION("""COMPUTED_VALUE"""),"Cây 2.9m")</f>
        <v>Cây 2.9m</v>
      </c>
      <c r="H714" s="588" t="str">
        <f ca="1">IFERROR(__xludf.DUMMYFUNCTION("""COMPUTED_VALUE"""),"9")</f>
        <v>9</v>
      </c>
      <c r="I714" s="591">
        <f ca="1">IFERROR(__xludf.DUMMYFUNCTION("""COMPUTED_VALUE"""),3.32680257)</f>
        <v>3.3268025699999999</v>
      </c>
      <c r="J714" s="592" t="str">
        <f ca="1">IFERROR(__xludf.DUMMYFUNCTION("""COMPUTED_VALUE""")," 31.75 ")</f>
        <v xml:space="preserve"> 31.75 </v>
      </c>
      <c r="K714" s="590" t="str">
        <f ca="1">IFERROR(__xludf.DUMMYFUNCTION("""COMPUTED_VALUE"""),"1.30")</f>
        <v>1.30</v>
      </c>
      <c r="L714" s="590">
        <f ca="1">IFERROR(__xludf.DUMMYFUNCTION("""COMPUTED_VALUE"""),2.9)</f>
        <v>2.9</v>
      </c>
      <c r="M714" s="590"/>
      <c r="N714" s="590" t="str">
        <f ca="1">IFERROR(__xludf.DUMMYFUNCTION("""COMPUTED_VALUE"""),"Dị_D&lt;54")</f>
        <v>Dị_D&lt;54</v>
      </c>
      <c r="O714" s="589"/>
      <c r="P714" s="590"/>
    </row>
    <row r="715" spans="1:17" ht="15.75">
      <c r="A715" s="581" t="str">
        <f ca="1">IFERROR(__xludf.DUMMYFUNCTION("""COMPUTED_VALUE"""),"Toàn Phát - Việt Nam")</f>
        <v>Toàn Phát - Việt Nam</v>
      </c>
      <c r="B715" s="581" t="str">
        <f ca="1">IFERROR(__xludf.DUMMYFUNCTION("""COMPUTED_VALUE"""),"ĐTPCAYDI")</f>
        <v>ĐTPCAYDI</v>
      </c>
      <c r="C715" s="581" t="str">
        <f ca="1">IFERROR(__xludf.DUMMYFUNCTION("""COMPUTED_VALUE"""),"DOT3175135")</f>
        <v>DOT3175135</v>
      </c>
      <c r="D715" s="582" t="str">
        <f ca="1">IFERROR(__xludf.DUMMYFUNCTION("""COMPUTED_VALUE"""),"Đồng ống thẳng 31.75x1.35")</f>
        <v>Đồng ống thẳng 31.75x1.35</v>
      </c>
      <c r="E715" s="583">
        <f ca="1">IFERROR(__xludf.DUMMYFUNCTION("""COMPUTED_VALUE"""),0.1)</f>
        <v>0.1</v>
      </c>
      <c r="F715" s="584" t="str">
        <f ca="1">IFERROR(__xludf.DUMMYFUNCTION("""COMPUTED_VALUE"""),"Cây")</f>
        <v>Cây</v>
      </c>
      <c r="G715" s="584" t="str">
        <f ca="1">IFERROR(__xludf.DUMMYFUNCTION("""COMPUTED_VALUE"""),"Cây 2.9m")</f>
        <v>Cây 2.9m</v>
      </c>
      <c r="H715" s="582" t="str">
        <f ca="1">IFERROR(__xludf.DUMMYFUNCTION("""COMPUTED_VALUE"""),"9")</f>
        <v>9</v>
      </c>
      <c r="I715" s="585">
        <f ca="1">IFERROR(__xludf.DUMMYFUNCTION("""COMPUTED_VALUE"""),3.44908367999999)</f>
        <v>3.44908367999999</v>
      </c>
      <c r="J715" s="586" t="str">
        <f ca="1">IFERROR(__xludf.DUMMYFUNCTION("""COMPUTED_VALUE""")," 31.75 ")</f>
        <v xml:space="preserve"> 31.75 </v>
      </c>
      <c r="K715" s="584" t="str">
        <f ca="1">IFERROR(__xludf.DUMMYFUNCTION("""COMPUTED_VALUE"""),"1.35")</f>
        <v>1.35</v>
      </c>
      <c r="L715" s="584">
        <f ca="1">IFERROR(__xludf.DUMMYFUNCTION("""COMPUTED_VALUE"""),2.9)</f>
        <v>2.9</v>
      </c>
      <c r="M715" s="584"/>
      <c r="N715" s="584" t="str">
        <f ca="1">IFERROR(__xludf.DUMMYFUNCTION("""COMPUTED_VALUE"""),"Dị_D&lt;54")</f>
        <v>Dị_D&lt;54</v>
      </c>
      <c r="O715" s="583"/>
      <c r="P715" s="584"/>
    </row>
    <row r="716" spans="1:17" ht="15.75">
      <c r="A716" s="587" t="str">
        <f ca="1">IFERROR(__xludf.DUMMYFUNCTION("""COMPUTED_VALUE"""),"Toàn Phát - Việt Nam")</f>
        <v>Toàn Phát - Việt Nam</v>
      </c>
      <c r="B716" s="587" t="str">
        <f ca="1">IFERROR(__xludf.DUMMYFUNCTION("""COMPUTED_VALUE"""),"ĐTPCAYDI")</f>
        <v>ĐTPCAYDI</v>
      </c>
      <c r="C716" s="587" t="str">
        <f ca="1">IFERROR(__xludf.DUMMYFUNCTION("""COMPUTED_VALUE"""),"DOT3175140")</f>
        <v>DOT3175140</v>
      </c>
      <c r="D716" s="588" t="str">
        <f ca="1">IFERROR(__xludf.DUMMYFUNCTION("""COMPUTED_VALUE"""),"Đồng ống thẳng 31.75x1.4")</f>
        <v>Đồng ống thẳng 31.75x1.4</v>
      </c>
      <c r="E716" s="589">
        <f ca="1">IFERROR(__xludf.DUMMYFUNCTION("""COMPUTED_VALUE"""),0.1)</f>
        <v>0.1</v>
      </c>
      <c r="F716" s="590" t="str">
        <f ca="1">IFERROR(__xludf.DUMMYFUNCTION("""COMPUTED_VALUE"""),"Cây")</f>
        <v>Cây</v>
      </c>
      <c r="G716" s="590" t="str">
        <f ca="1">IFERROR(__xludf.DUMMYFUNCTION("""COMPUTED_VALUE"""),"Cây 2.9m")</f>
        <v>Cây 2.9m</v>
      </c>
      <c r="H716" s="588" t="str">
        <f ca="1">IFERROR(__xludf.DUMMYFUNCTION("""COMPUTED_VALUE"""),"9")</f>
        <v>9</v>
      </c>
      <c r="I716" s="591">
        <f ca="1">IFERROR(__xludf.DUMMYFUNCTION("""COMPUTED_VALUE"""),3.57094458)</f>
        <v>3.5709445799999999</v>
      </c>
      <c r="J716" s="592" t="str">
        <f ca="1">IFERROR(__xludf.DUMMYFUNCTION("""COMPUTED_VALUE""")," 31.75 ")</f>
        <v xml:space="preserve"> 31.75 </v>
      </c>
      <c r="K716" s="590" t="str">
        <f ca="1">IFERROR(__xludf.DUMMYFUNCTION("""COMPUTED_VALUE"""),"1.40")</f>
        <v>1.40</v>
      </c>
      <c r="L716" s="590">
        <f ca="1">IFERROR(__xludf.DUMMYFUNCTION("""COMPUTED_VALUE"""),2.9)</f>
        <v>2.9</v>
      </c>
      <c r="M716" s="590"/>
      <c r="N716" s="590" t="str">
        <f ca="1">IFERROR(__xludf.DUMMYFUNCTION("""COMPUTED_VALUE"""),"Dị_D&lt;54")</f>
        <v>Dị_D&lt;54</v>
      </c>
      <c r="O716" s="589"/>
      <c r="P716" s="590"/>
    </row>
    <row r="717" spans="1:17" ht="15.75">
      <c r="A717" s="581" t="str">
        <f ca="1">IFERROR(__xludf.DUMMYFUNCTION("""COMPUTED_VALUE"""),"Toàn Phát - Việt Nam")</f>
        <v>Toàn Phát - Việt Nam</v>
      </c>
      <c r="B717" s="581" t="str">
        <f ca="1">IFERROR(__xludf.DUMMYFUNCTION("""COMPUTED_VALUE"""),"ĐTPCAYDI")</f>
        <v>ĐTPCAYDI</v>
      </c>
      <c r="C717" s="581" t="str">
        <f ca="1">IFERROR(__xludf.DUMMYFUNCTION("""COMPUTED_VALUE"""),"DOT3175165")</f>
        <v>DOT3175165</v>
      </c>
      <c r="D717" s="582" t="str">
        <f ca="1">IFERROR(__xludf.DUMMYFUNCTION("""COMPUTED_VALUE"""),"Đồng ống thẳng 31.75x1.65")</f>
        <v>Đồng ống thẳng 31.75x1.65</v>
      </c>
      <c r="E717" s="583">
        <f ca="1">IFERROR(__xludf.DUMMYFUNCTION("""COMPUTED_VALUE"""),0.1)</f>
        <v>0.1</v>
      </c>
      <c r="F717" s="584" t="str">
        <f ca="1">IFERROR(__xludf.DUMMYFUNCTION("""COMPUTED_VALUE"""),"Cây")</f>
        <v>Cây</v>
      </c>
      <c r="G717" s="584" t="str">
        <f ca="1">IFERROR(__xludf.DUMMYFUNCTION("""COMPUTED_VALUE"""),"Cây 2.9m")</f>
        <v>Cây 2.9m</v>
      </c>
      <c r="H717" s="582" t="str">
        <f ca="1">IFERROR(__xludf.DUMMYFUNCTION("""COMPUTED_VALUE"""),"9")</f>
        <v>9</v>
      </c>
      <c r="I717" s="585">
        <f ca="1">IFERROR(__xludf.DUMMYFUNCTION("""COMPUTED_VALUE"""),4.17394592999999)</f>
        <v>4.1739459299999897</v>
      </c>
      <c r="J717" s="586" t="str">
        <f ca="1">IFERROR(__xludf.DUMMYFUNCTION("""COMPUTED_VALUE""")," 31.75 ")</f>
        <v xml:space="preserve"> 31.75 </v>
      </c>
      <c r="K717" s="584" t="str">
        <f ca="1">IFERROR(__xludf.DUMMYFUNCTION("""COMPUTED_VALUE"""),"1.65")</f>
        <v>1.65</v>
      </c>
      <c r="L717" s="584">
        <f ca="1">IFERROR(__xludf.DUMMYFUNCTION("""COMPUTED_VALUE"""),2.9)</f>
        <v>2.9</v>
      </c>
      <c r="M717" s="584"/>
      <c r="N717" s="584" t="str">
        <f ca="1">IFERROR(__xludf.DUMMYFUNCTION("""COMPUTED_VALUE"""),"Dị_D&lt;54")</f>
        <v>Dị_D&lt;54</v>
      </c>
      <c r="O717" s="583"/>
      <c r="P717" s="584"/>
    </row>
    <row r="718" spans="1:17" ht="15.75">
      <c r="A718" s="587" t="str">
        <f ca="1">IFERROR(__xludf.DUMMYFUNCTION("""COMPUTED_VALUE"""),"Toàn Phát - Việt Nam")</f>
        <v>Toàn Phát - Việt Nam</v>
      </c>
      <c r="B718" s="587" t="str">
        <f ca="1">IFERROR(__xludf.DUMMYFUNCTION("""COMPUTED_VALUE"""),"ĐTPCAYDI")</f>
        <v>ĐTPCAYDI</v>
      </c>
      <c r="C718" s="587" t="str">
        <f ca="1">IFERROR(__xludf.DUMMYFUNCTION("""COMPUTED_VALUE"""),"DOT318075")</f>
        <v>DOT318075</v>
      </c>
      <c r="D718" s="588" t="str">
        <f ca="1">IFERROR(__xludf.DUMMYFUNCTION("""COMPUTED_VALUE"""),"Đồng ống thẳng 31.8x0.75")</f>
        <v>Đồng ống thẳng 31.8x0.75</v>
      </c>
      <c r="E718" s="589">
        <f ca="1">IFERROR(__xludf.DUMMYFUNCTION("""COMPUTED_VALUE"""),0.1)</f>
        <v>0.1</v>
      </c>
      <c r="F718" s="590" t="str">
        <f ca="1">IFERROR(__xludf.DUMMYFUNCTION("""COMPUTED_VALUE"""),"Cây")</f>
        <v>Cây</v>
      </c>
      <c r="G718" s="590" t="str">
        <f ca="1">IFERROR(__xludf.DUMMYFUNCTION("""COMPUTED_VALUE"""),"Cây 2.9m")</f>
        <v>Cây 2.9m</v>
      </c>
      <c r="H718" s="588"/>
      <c r="I718" s="591">
        <f ca="1">IFERROR(__xludf.DUMMYFUNCTION("""COMPUTED_VALUE"""),1.957128075)</f>
        <v>1.957128075</v>
      </c>
      <c r="J718" s="592" t="str">
        <f ca="1">IFERROR(__xludf.DUMMYFUNCTION("""COMPUTED_VALUE""")," 31.80 ")</f>
        <v xml:space="preserve"> 31.80 </v>
      </c>
      <c r="K718" s="590" t="str">
        <f ca="1">IFERROR(__xludf.DUMMYFUNCTION("""COMPUTED_VALUE"""),"0.75")</f>
        <v>0.75</v>
      </c>
      <c r="L718" s="590">
        <f ca="1">IFERROR(__xludf.DUMMYFUNCTION("""COMPUTED_VALUE"""),2.9)</f>
        <v>2.9</v>
      </c>
      <c r="M718" s="590"/>
      <c r="N718" s="590" t="str">
        <f ca="1">IFERROR(__xludf.DUMMYFUNCTION("""COMPUTED_VALUE"""),"Dị_D&lt;54")</f>
        <v>Dị_D&lt;54</v>
      </c>
      <c r="O718" s="589"/>
      <c r="P718" s="590"/>
    </row>
    <row r="719" spans="1:17" ht="15.75">
      <c r="A719" s="581" t="str">
        <f ca="1">IFERROR(__xludf.DUMMYFUNCTION("""COMPUTED_VALUE"""),"Toàn Phát - Việt Nam")</f>
        <v>Toàn Phát - Việt Nam</v>
      </c>
      <c r="B719" s="581" t="str">
        <f ca="1">IFERROR(__xludf.DUMMYFUNCTION("""COMPUTED_VALUE"""),"ĐTPCAYDI")</f>
        <v>ĐTPCAYDI</v>
      </c>
      <c r="C719" s="581" t="str">
        <f ca="1">IFERROR(__xludf.DUMMYFUNCTION("""COMPUTED_VALUE"""),"DOT32002430")</f>
        <v>DOT32002430</v>
      </c>
      <c r="D719" s="582" t="str">
        <f ca="1">IFERROR(__xludf.DUMMYFUNCTION("""COMPUTED_VALUE"""),"Đồng ống thẳng 32.00x2.4x3.0")</f>
        <v>Đồng ống thẳng 32.00x2.4x3.0</v>
      </c>
      <c r="E719" s="583">
        <f ca="1">IFERROR(__xludf.DUMMYFUNCTION("""COMPUTED_VALUE"""),0.1)</f>
        <v>0.1</v>
      </c>
      <c r="F719" s="584" t="str">
        <f ca="1">IFERROR(__xludf.DUMMYFUNCTION("""COMPUTED_VALUE"""),"Cây")</f>
        <v>Cây</v>
      </c>
      <c r="G719" s="584" t="str">
        <f ca="1">IFERROR(__xludf.DUMMYFUNCTION("""COMPUTED_VALUE"""),"Cây 3m")</f>
        <v>Cây 3m</v>
      </c>
      <c r="H719" s="582"/>
      <c r="I719" s="585">
        <f ca="1">IFERROR(__xludf.DUMMYFUNCTION("""COMPUTED_VALUE"""),6.1762176)</f>
        <v>6.1762176000000002</v>
      </c>
      <c r="J719" s="586" t="str">
        <f ca="1">IFERROR(__xludf.DUMMYFUNCTION("""COMPUTED_VALUE""")," 32.00 ")</f>
        <v xml:space="preserve"> 32.00 </v>
      </c>
      <c r="K719" s="584" t="str">
        <f ca="1">IFERROR(__xludf.DUMMYFUNCTION("""COMPUTED_VALUE"""),"2.40")</f>
        <v>2.40</v>
      </c>
      <c r="L719" s="584">
        <f ca="1">IFERROR(__xludf.DUMMYFUNCTION("""COMPUTED_VALUE"""),3)</f>
        <v>3</v>
      </c>
      <c r="M719" s="584"/>
      <c r="N719" s="584" t="str">
        <f ca="1">IFERROR(__xludf.DUMMYFUNCTION("""COMPUTED_VALUE"""),"Dị_D&lt;54")</f>
        <v>Dị_D&lt;54</v>
      </c>
      <c r="O719" s="583"/>
      <c r="P719" s="584"/>
    </row>
    <row r="720" spans="1:17" ht="15.75">
      <c r="A720" s="587" t="str">
        <f ca="1">IFERROR(__xludf.DUMMYFUNCTION("""COMPUTED_VALUE"""),"Toàn Phát - Việt Nam")</f>
        <v>Toàn Phát - Việt Nam</v>
      </c>
      <c r="B720" s="587" t="str">
        <f ca="1">IFERROR(__xludf.DUMMYFUNCTION("""COMPUTED_VALUE"""),"ĐTPCAYDI")</f>
        <v>ĐTPCAYDI</v>
      </c>
      <c r="C720" s="587" t="str">
        <f ca="1">IFERROR(__xludf.DUMMYFUNCTION("""COMPUTED_VALUE"""),"DOT33002230")</f>
        <v>DOT33002230</v>
      </c>
      <c r="D720" s="588" t="str">
        <f ca="1">IFERROR(__xludf.DUMMYFUNCTION("""COMPUTED_VALUE"""),"Đồng ống thẳng 33.00x2.2x3.0")</f>
        <v>Đồng ống thẳng 33.00x2.2x3.0</v>
      </c>
      <c r="E720" s="589">
        <f ca="1">IFERROR(__xludf.DUMMYFUNCTION("""COMPUTED_VALUE"""),0.1)</f>
        <v>0.1</v>
      </c>
      <c r="F720" s="590" t="str">
        <f ca="1">IFERROR(__xludf.DUMMYFUNCTION("""COMPUTED_VALUE"""),"Cây")</f>
        <v>Cây</v>
      </c>
      <c r="G720" s="590" t="str">
        <f ca="1">IFERROR(__xludf.DUMMYFUNCTION("""COMPUTED_VALUE"""),"Cây 3m")</f>
        <v>Cây 3m</v>
      </c>
      <c r="H720" s="588"/>
      <c r="I720" s="591">
        <f ca="1">IFERROR(__xludf.DUMMYFUNCTION("""COMPUTED_VALUE"""),5.8910544)</f>
        <v>5.8910543999999998</v>
      </c>
      <c r="J720" s="592" t="str">
        <f ca="1">IFERROR(__xludf.DUMMYFUNCTION("""COMPUTED_VALUE""")," 33.00 ")</f>
        <v xml:space="preserve"> 33.00 </v>
      </c>
      <c r="K720" s="590" t="str">
        <f ca="1">IFERROR(__xludf.DUMMYFUNCTION("""COMPUTED_VALUE"""),"2.20")</f>
        <v>2.20</v>
      </c>
      <c r="L720" s="590">
        <f ca="1">IFERROR(__xludf.DUMMYFUNCTION("""COMPUTED_VALUE"""),3)</f>
        <v>3</v>
      </c>
      <c r="M720" s="590"/>
      <c r="N720" s="590" t="str">
        <f ca="1">IFERROR(__xludf.DUMMYFUNCTION("""COMPUTED_VALUE"""),"Dị_D&lt;54")</f>
        <v>Dị_D&lt;54</v>
      </c>
      <c r="O720" s="589"/>
      <c r="P720" s="590"/>
    </row>
    <row r="721" spans="1:16" ht="15.75">
      <c r="A721" s="581" t="str">
        <f ca="1">IFERROR(__xludf.DUMMYFUNCTION("""COMPUTED_VALUE"""),"Toàn Phát - Việt Nam")</f>
        <v>Toàn Phát - Việt Nam</v>
      </c>
      <c r="B721" s="581" t="str">
        <f ca="1">IFERROR(__xludf.DUMMYFUNCTION("""COMPUTED_VALUE"""),"ĐTPCAYDI")</f>
        <v>ĐTPCAYDI</v>
      </c>
      <c r="C721" s="581" t="str">
        <f ca="1">IFERROR(__xludf.DUMMYFUNCTION("""COMPUTED_VALUE"""),"DOT330023030")</f>
        <v>DOT330023030</v>
      </c>
      <c r="D721" s="582" t="str">
        <f ca="1">IFERROR(__xludf.DUMMYFUNCTION("""COMPUTED_VALUE"""),"Đồng ống thẳng 33.00x2.30x3.0")</f>
        <v>Đồng ống thẳng 33.00x2.30x3.0</v>
      </c>
      <c r="E721" s="583">
        <f ca="1">IFERROR(__xludf.DUMMYFUNCTION("""COMPUTED_VALUE"""),0.1)</f>
        <v>0.1</v>
      </c>
      <c r="F721" s="584" t="str">
        <f ca="1">IFERROR(__xludf.DUMMYFUNCTION("""COMPUTED_VALUE"""),"Cây")</f>
        <v>Cây</v>
      </c>
      <c r="G721" s="584" t="str">
        <f ca="1">IFERROR(__xludf.DUMMYFUNCTION("""COMPUTED_VALUE"""),"Cây 3m")</f>
        <v>Cây 3m</v>
      </c>
      <c r="H721" s="582"/>
      <c r="I721" s="585">
        <f ca="1">IFERROR(__xludf.DUMMYFUNCTION("""COMPUTED_VALUE"""),6.13883339999999)</f>
        <v>6.1388333999999896</v>
      </c>
      <c r="J721" s="586" t="str">
        <f ca="1">IFERROR(__xludf.DUMMYFUNCTION("""COMPUTED_VALUE""")," 33.00 ")</f>
        <v xml:space="preserve"> 33.00 </v>
      </c>
      <c r="K721" s="584" t="str">
        <f ca="1">IFERROR(__xludf.DUMMYFUNCTION("""COMPUTED_VALUE"""),"2.30")</f>
        <v>2.30</v>
      </c>
      <c r="L721" s="584">
        <f ca="1">IFERROR(__xludf.DUMMYFUNCTION("""COMPUTED_VALUE"""),3)</f>
        <v>3</v>
      </c>
      <c r="M721" s="584"/>
      <c r="N721" s="584" t="str">
        <f ca="1">IFERROR(__xludf.DUMMYFUNCTION("""COMPUTED_VALUE"""),"Dị_D&lt;54")</f>
        <v>Dị_D&lt;54</v>
      </c>
      <c r="O721" s="583"/>
      <c r="P721" s="584"/>
    </row>
    <row r="722" spans="1:16" ht="15.75">
      <c r="A722" s="587" t="str">
        <f ca="1">IFERROR(__xludf.DUMMYFUNCTION("""COMPUTED_VALUE"""),"Toàn Phát - Việt Nam")</f>
        <v>Toàn Phát - Việt Nam</v>
      </c>
      <c r="B722" s="587" t="str">
        <f ca="1">IFERROR(__xludf.DUMMYFUNCTION("""COMPUTED_VALUE"""),"ĐTPCAYDI")</f>
        <v>ĐTPCAYDI</v>
      </c>
      <c r="C722" s="587" t="str">
        <f ca="1">IFERROR(__xludf.DUMMYFUNCTION("""COMPUTED_VALUE"""),"DOT33002530")</f>
        <v>DOT33002530</v>
      </c>
      <c r="D722" s="588" t="str">
        <f ca="1">IFERROR(__xludf.DUMMYFUNCTION("""COMPUTED_VALUE"""),"Đồng ống thẳng 33.00x2.50x3.0")</f>
        <v>Đồng ống thẳng 33.00x2.50x3.0</v>
      </c>
      <c r="E722" s="589">
        <f ca="1">IFERROR(__xludf.DUMMYFUNCTION("""COMPUTED_VALUE"""),0.1)</f>
        <v>0.1</v>
      </c>
      <c r="F722" s="590" t="str">
        <f ca="1">IFERROR(__xludf.DUMMYFUNCTION("""COMPUTED_VALUE"""),"Cây")</f>
        <v>Cây</v>
      </c>
      <c r="G722" s="590" t="str">
        <f ca="1">IFERROR(__xludf.DUMMYFUNCTION("""COMPUTED_VALUE"""),"Cây 3m")</f>
        <v>Cây 3m</v>
      </c>
      <c r="H722" s="588"/>
      <c r="I722" s="591">
        <f ca="1">IFERROR(__xludf.DUMMYFUNCTION("""COMPUTED_VALUE"""),6.629175)</f>
        <v>6.629175</v>
      </c>
      <c r="J722" s="592" t="str">
        <f ca="1">IFERROR(__xludf.DUMMYFUNCTION("""COMPUTED_VALUE""")," 33.00 ")</f>
        <v xml:space="preserve"> 33.00 </v>
      </c>
      <c r="K722" s="590" t="str">
        <f ca="1">IFERROR(__xludf.DUMMYFUNCTION("""COMPUTED_VALUE"""),"2.50")</f>
        <v>2.50</v>
      </c>
      <c r="L722" s="590">
        <f ca="1">IFERROR(__xludf.DUMMYFUNCTION("""COMPUTED_VALUE"""),3)</f>
        <v>3</v>
      </c>
      <c r="M722" s="590"/>
      <c r="N722" s="590" t="str">
        <f ca="1">IFERROR(__xludf.DUMMYFUNCTION("""COMPUTED_VALUE"""),"Dị_D&lt;54")</f>
        <v>Dị_D&lt;54</v>
      </c>
      <c r="O722" s="589"/>
      <c r="P722" s="590"/>
    </row>
    <row r="723" spans="1:16" ht="15.75">
      <c r="A723" s="581" t="str">
        <f ca="1">IFERROR(__xludf.DUMMYFUNCTION("""COMPUTED_VALUE"""),"Toàn Phát - Việt Nam")</f>
        <v>Toàn Phát - Việt Nam</v>
      </c>
      <c r="B723" s="581" t="str">
        <f ca="1">IFERROR(__xludf.DUMMYFUNCTION("""COMPUTED_VALUE"""),"ĐTPCAYDI")</f>
        <v>ĐTPCAYDI</v>
      </c>
      <c r="C723" s="581" t="str">
        <f ca="1">IFERROR(__xludf.DUMMYFUNCTION("""COMPUTED_VALUE"""),"DOT330026030")</f>
        <v>DOT330026030</v>
      </c>
      <c r="D723" s="582" t="str">
        <f ca="1">IFERROR(__xludf.DUMMYFUNCTION("""COMPUTED_VALUE"""),"Đồng ống thẳng 33.00x2.60x3.0")</f>
        <v>Đồng ống thẳng 33.00x2.60x3.0</v>
      </c>
      <c r="E723" s="583">
        <f ca="1">IFERROR(__xludf.DUMMYFUNCTION("""COMPUTED_VALUE"""),0.1)</f>
        <v>0.1</v>
      </c>
      <c r="F723" s="584" t="str">
        <f ca="1">IFERROR(__xludf.DUMMYFUNCTION("""COMPUTED_VALUE"""),"Cây")</f>
        <v>Cây</v>
      </c>
      <c r="G723" s="584" t="str">
        <f ca="1">IFERROR(__xludf.DUMMYFUNCTION("""COMPUTED_VALUE"""),"Cây 3m")</f>
        <v>Cây 3m</v>
      </c>
      <c r="H723" s="582"/>
      <c r="I723" s="585">
        <f ca="1">IFERROR(__xludf.DUMMYFUNCTION("""COMPUTED_VALUE"""),6.87173759999999)</f>
        <v>6.8717375999999897</v>
      </c>
      <c r="J723" s="586" t="str">
        <f ca="1">IFERROR(__xludf.DUMMYFUNCTION("""COMPUTED_VALUE""")," 33.00 ")</f>
        <v xml:space="preserve"> 33.00 </v>
      </c>
      <c r="K723" s="584" t="str">
        <f ca="1">IFERROR(__xludf.DUMMYFUNCTION("""COMPUTED_VALUE"""),"2.60")</f>
        <v>2.60</v>
      </c>
      <c r="L723" s="584">
        <f ca="1">IFERROR(__xludf.DUMMYFUNCTION("""COMPUTED_VALUE"""),3)</f>
        <v>3</v>
      </c>
      <c r="M723" s="584"/>
      <c r="N723" s="584" t="str">
        <f ca="1">IFERROR(__xludf.DUMMYFUNCTION("""COMPUTED_VALUE"""),"Dị_D&lt;54")</f>
        <v>Dị_D&lt;54</v>
      </c>
      <c r="O723" s="583"/>
      <c r="P723" s="584"/>
    </row>
    <row r="724" spans="1:16" ht="15.75">
      <c r="A724" s="587" t="str">
        <f ca="1">IFERROR(__xludf.DUMMYFUNCTION("""COMPUTED_VALUE"""),"Toàn Phát - Việt Nam")</f>
        <v>Toàn Phát - Việt Nam</v>
      </c>
      <c r="B724" s="587" t="str">
        <f ca="1">IFERROR(__xludf.DUMMYFUNCTION("""COMPUTED_VALUE"""),"ĐTPCAYDI")</f>
        <v>ĐTPCAYDI</v>
      </c>
      <c r="C724" s="587" t="str">
        <f ca="1">IFERROR(__xludf.DUMMYFUNCTION("""COMPUTED_VALUE"""),"DOT330027030")</f>
        <v>DOT330027030</v>
      </c>
      <c r="D724" s="588" t="str">
        <f ca="1">IFERROR(__xludf.DUMMYFUNCTION("""COMPUTED_VALUE"""),"Đồng ống thẳng 33.00x2.70x3.0")</f>
        <v>Đồng ống thẳng 33.00x2.70x3.0</v>
      </c>
      <c r="E724" s="589">
        <f ca="1">IFERROR(__xludf.DUMMYFUNCTION("""COMPUTED_VALUE"""),0.1)</f>
        <v>0.1</v>
      </c>
      <c r="F724" s="590" t="str">
        <f ca="1">IFERROR(__xludf.DUMMYFUNCTION("""COMPUTED_VALUE"""),"Cây")</f>
        <v>Cây</v>
      </c>
      <c r="G724" s="590" t="str">
        <f ca="1">IFERROR(__xludf.DUMMYFUNCTION("""COMPUTED_VALUE"""),"Cây 3m")</f>
        <v>Cây 3m</v>
      </c>
      <c r="H724" s="588"/>
      <c r="I724" s="591">
        <f ca="1">IFERROR(__xludf.DUMMYFUNCTION("""COMPUTED_VALUE"""),7.1125614)</f>
        <v>7.1125613999999997</v>
      </c>
      <c r="J724" s="592" t="str">
        <f ca="1">IFERROR(__xludf.DUMMYFUNCTION("""COMPUTED_VALUE""")," 33.00 ")</f>
        <v xml:space="preserve"> 33.00 </v>
      </c>
      <c r="K724" s="590" t="str">
        <f ca="1">IFERROR(__xludf.DUMMYFUNCTION("""COMPUTED_VALUE"""),"2.70")</f>
        <v>2.70</v>
      </c>
      <c r="L724" s="590">
        <f ca="1">IFERROR(__xludf.DUMMYFUNCTION("""COMPUTED_VALUE"""),3)</f>
        <v>3</v>
      </c>
      <c r="M724" s="590"/>
      <c r="N724" s="590" t="str">
        <f ca="1">IFERROR(__xludf.DUMMYFUNCTION("""COMPUTED_VALUE"""),"Dị_D&lt;54")</f>
        <v>Dị_D&lt;54</v>
      </c>
      <c r="O724" s="589"/>
      <c r="P724" s="590"/>
    </row>
    <row r="725" spans="1:16" ht="15.75">
      <c r="A725" s="581" t="str">
        <f ca="1">IFERROR(__xludf.DUMMYFUNCTION("""COMPUTED_VALUE"""),"Toàn Phát - Việt Nam")</f>
        <v>Toàn Phát - Việt Nam</v>
      </c>
      <c r="B725" s="581" t="str">
        <f ca="1">IFERROR(__xludf.DUMMYFUNCTION("""COMPUTED_VALUE"""),"ĐTPCAYDI")</f>
        <v>ĐTPCAYDI</v>
      </c>
      <c r="C725" s="581" t="str">
        <f ca="1">IFERROR(__xludf.DUMMYFUNCTION("""COMPUTED_VALUE"""),"DOT33003030")</f>
        <v>DOT33003030</v>
      </c>
      <c r="D725" s="582" t="str">
        <f ca="1">IFERROR(__xludf.DUMMYFUNCTION("""COMPUTED_VALUE"""),"Đồng ống thẳng 33.00x3.0x3.0")</f>
        <v>Đồng ống thẳng 33.00x3.0x3.0</v>
      </c>
      <c r="E725" s="583">
        <f ca="1">IFERROR(__xludf.DUMMYFUNCTION("""COMPUTED_VALUE"""),0.1)</f>
        <v>0.1</v>
      </c>
      <c r="F725" s="584" t="str">
        <f ca="1">IFERROR(__xludf.DUMMYFUNCTION("""COMPUTED_VALUE"""),"Cây")</f>
        <v>Cây</v>
      </c>
      <c r="G725" s="584" t="str">
        <f ca="1">IFERROR(__xludf.DUMMYFUNCTION("""COMPUTED_VALUE"""),"Cây 3m")</f>
        <v>Cây 3m</v>
      </c>
      <c r="H725" s="582"/>
      <c r="I725" s="585">
        <f ca="1">IFERROR(__xludf.DUMMYFUNCTION("""COMPUTED_VALUE"""),7.8246)</f>
        <v>7.8246000000000002</v>
      </c>
      <c r="J725" s="586" t="str">
        <f ca="1">IFERROR(__xludf.DUMMYFUNCTION("""COMPUTED_VALUE""")," 33.00 ")</f>
        <v xml:space="preserve"> 33.00 </v>
      </c>
      <c r="K725" s="584" t="str">
        <f ca="1">IFERROR(__xludf.DUMMYFUNCTION("""COMPUTED_VALUE"""),"3.00")</f>
        <v>3.00</v>
      </c>
      <c r="L725" s="584">
        <f ca="1">IFERROR(__xludf.DUMMYFUNCTION("""COMPUTED_VALUE"""),3)</f>
        <v>3</v>
      </c>
      <c r="M725" s="584"/>
      <c r="N725" s="584" t="str">
        <f ca="1">IFERROR(__xludf.DUMMYFUNCTION("""COMPUTED_VALUE"""),"Dị_D&lt;54")</f>
        <v>Dị_D&lt;54</v>
      </c>
      <c r="O725" s="583"/>
      <c r="P725" s="584"/>
    </row>
    <row r="726" spans="1:16" ht="15.75">
      <c r="A726" s="587" t="str">
        <f ca="1">IFERROR(__xludf.DUMMYFUNCTION("""COMPUTED_VALUE"""),"Toàn Phát - Việt Nam")</f>
        <v>Toàn Phát - Việt Nam</v>
      </c>
      <c r="B726" s="587" t="str">
        <f ca="1">IFERROR(__xludf.DUMMYFUNCTION("""COMPUTED_VALUE"""),"ĐTPCAYDI")</f>
        <v>ĐTPCAYDI</v>
      </c>
      <c r="C726" s="587" t="str">
        <f ca="1">IFERROR(__xludf.DUMMYFUNCTION("""COMPUTED_VALUE"""),"DOT340032030")</f>
        <v>DOT340032030</v>
      </c>
      <c r="D726" s="588" t="str">
        <f ca="1">IFERROR(__xludf.DUMMYFUNCTION("""COMPUTED_VALUE"""),"Đồng ống thẳng 34.00x3.20x3.0")</f>
        <v>Đồng ống thẳng 34.00x3.20x3.0</v>
      </c>
      <c r="E726" s="589">
        <f ca="1">IFERROR(__xludf.DUMMYFUNCTION("""COMPUTED_VALUE"""),0.1)</f>
        <v>0.1</v>
      </c>
      <c r="F726" s="590" t="str">
        <f ca="1">IFERROR(__xludf.DUMMYFUNCTION("""COMPUTED_VALUE"""),"Cây")</f>
        <v>Cây</v>
      </c>
      <c r="G726" s="590" t="str">
        <f ca="1">IFERROR(__xludf.DUMMYFUNCTION("""COMPUTED_VALUE"""),"Cây 3m")</f>
        <v>Cây 3m</v>
      </c>
      <c r="H726" s="588"/>
      <c r="I726" s="591">
        <f ca="1">IFERROR(__xludf.DUMMYFUNCTION("""COMPUTED_VALUE"""),8.5688064)</f>
        <v>8.5688063999999997</v>
      </c>
      <c r="J726" s="592" t="str">
        <f ca="1">IFERROR(__xludf.DUMMYFUNCTION("""COMPUTED_VALUE""")," 34.00 ")</f>
        <v xml:space="preserve"> 34.00 </v>
      </c>
      <c r="K726" s="590" t="str">
        <f ca="1">IFERROR(__xludf.DUMMYFUNCTION("""COMPUTED_VALUE"""),"3.20")</f>
        <v>3.20</v>
      </c>
      <c r="L726" s="590">
        <f ca="1">IFERROR(__xludf.DUMMYFUNCTION("""COMPUTED_VALUE"""),3)</f>
        <v>3</v>
      </c>
      <c r="M726" s="590"/>
      <c r="N726" s="590" t="str">
        <f ca="1">IFERROR(__xludf.DUMMYFUNCTION("""COMPUTED_VALUE"""),"Dị_D&lt;54")</f>
        <v>Dị_D&lt;54</v>
      </c>
      <c r="O726" s="589"/>
      <c r="P726" s="590"/>
    </row>
    <row r="727" spans="1:16" ht="15.75">
      <c r="A727" s="581" t="str">
        <f ca="1">IFERROR(__xludf.DUMMYFUNCTION("""COMPUTED_VALUE"""),"Toàn Phát - Việt Nam")</f>
        <v>Toàn Phát - Việt Nam</v>
      </c>
      <c r="B727" s="581" t="str">
        <f ca="1">IFERROR(__xludf.DUMMYFUNCTION("""COMPUTED_VALUE"""),"ĐTPCAYDI")</f>
        <v>ĐTPCAYDI</v>
      </c>
      <c r="C727" s="581" t="str">
        <f ca="1">IFERROR(__xludf.DUMMYFUNCTION("""COMPUTED_VALUE"""),"DOT34909558")</f>
        <v>DOT34909558</v>
      </c>
      <c r="D727" s="582" t="str">
        <f ca="1">IFERROR(__xludf.DUMMYFUNCTION("""COMPUTED_VALUE"""),"Đồng ống thẳng 34.9x0.95x5.8")</f>
        <v>Đồng ống thẳng 34.9x0.95x5.8</v>
      </c>
      <c r="E727" s="583">
        <f ca="1">IFERROR(__xludf.DUMMYFUNCTION("""COMPUTED_VALUE"""),0.1)</f>
        <v>0.1</v>
      </c>
      <c r="F727" s="584" t="str">
        <f ca="1">IFERROR(__xludf.DUMMYFUNCTION("""COMPUTED_VALUE"""),"Cây")</f>
        <v>Cây</v>
      </c>
      <c r="G727" s="584" t="str">
        <f ca="1">IFERROR(__xludf.DUMMYFUNCTION("""COMPUTED_VALUE"""),"Cây 5.8m")</f>
        <v>Cây 5.8m</v>
      </c>
      <c r="H727" s="582"/>
      <c r="I727" s="585">
        <f ca="1">IFERROR(__xludf.DUMMYFUNCTION("""COMPUTED_VALUE"""),5.42112920999999)</f>
        <v>5.4211292099999904</v>
      </c>
      <c r="J727" s="586" t="str">
        <f ca="1">IFERROR(__xludf.DUMMYFUNCTION("""COMPUTED_VALUE""")," 34.90 ")</f>
        <v xml:space="preserve"> 34.90 </v>
      </c>
      <c r="K727" s="584" t="str">
        <f ca="1">IFERROR(__xludf.DUMMYFUNCTION("""COMPUTED_VALUE"""),"0.95")</f>
        <v>0.95</v>
      </c>
      <c r="L727" s="584">
        <f ca="1">IFERROR(__xludf.DUMMYFUNCTION("""COMPUTED_VALUE"""),5.8)</f>
        <v>5.8</v>
      </c>
      <c r="M727" s="584"/>
      <c r="N727" s="584" t="str">
        <f ca="1">IFERROR(__xludf.DUMMYFUNCTION("""COMPUTED_VALUE"""),"Dị_D&lt;54")</f>
        <v>Dị_D&lt;54</v>
      </c>
      <c r="O727" s="583"/>
      <c r="P727" s="584"/>
    </row>
    <row r="728" spans="1:16" ht="15.75">
      <c r="A728" s="587" t="str">
        <f ca="1">IFERROR(__xludf.DUMMYFUNCTION("""COMPUTED_VALUE"""),"Toàn Phát - Việt Nam")</f>
        <v>Toàn Phát - Việt Nam</v>
      </c>
      <c r="B728" s="587" t="str">
        <f ca="1">IFERROR(__xludf.DUMMYFUNCTION("""COMPUTED_VALUE"""),"ĐTPCAYDI")</f>
        <v>ĐTPCAYDI</v>
      </c>
      <c r="C728" s="587" t="str">
        <f ca="1">IFERROR(__xludf.DUMMYFUNCTION("""COMPUTED_VALUE"""),"DOT349011558")</f>
        <v>DOT349011558</v>
      </c>
      <c r="D728" s="588" t="str">
        <f ca="1">IFERROR(__xludf.DUMMYFUNCTION("""COMPUTED_VALUE"""),"Đồng ống thẳng 34.9x1.15x5.8")</f>
        <v>Đồng ống thẳng 34.9x1.15x5.8</v>
      </c>
      <c r="E728" s="589">
        <f ca="1">IFERROR(__xludf.DUMMYFUNCTION("""COMPUTED_VALUE"""),0.1)</f>
        <v>0.1</v>
      </c>
      <c r="F728" s="590" t="str">
        <f ca="1">IFERROR(__xludf.DUMMYFUNCTION("""COMPUTED_VALUE"""),"Cây")</f>
        <v>Cây</v>
      </c>
      <c r="G728" s="590" t="str">
        <f ca="1">IFERROR(__xludf.DUMMYFUNCTION("""COMPUTED_VALUE"""),"Cây 5.8m")</f>
        <v>Cây 5.8m</v>
      </c>
      <c r="H728" s="588"/>
      <c r="I728" s="591">
        <f ca="1">IFERROR(__xludf.DUMMYFUNCTION("""COMPUTED_VALUE"""),6.52376025)</f>
        <v>6.5237602499999996</v>
      </c>
      <c r="J728" s="592" t="str">
        <f ca="1">IFERROR(__xludf.DUMMYFUNCTION("""COMPUTED_VALUE""")," 34.90 ")</f>
        <v xml:space="preserve"> 34.90 </v>
      </c>
      <c r="K728" s="590" t="str">
        <f ca="1">IFERROR(__xludf.DUMMYFUNCTION("""COMPUTED_VALUE"""),"1.15")</f>
        <v>1.15</v>
      </c>
      <c r="L728" s="590">
        <f ca="1">IFERROR(__xludf.DUMMYFUNCTION("""COMPUTED_VALUE"""),5.8)</f>
        <v>5.8</v>
      </c>
      <c r="M728" s="590"/>
      <c r="N728" s="590" t="str">
        <f ca="1">IFERROR(__xludf.DUMMYFUNCTION("""COMPUTED_VALUE"""),"Dị_D&lt;54")</f>
        <v>Dị_D&lt;54</v>
      </c>
      <c r="O728" s="589"/>
      <c r="P728" s="590"/>
    </row>
    <row r="729" spans="1:16" ht="15.75">
      <c r="A729" s="581" t="str">
        <f ca="1">IFERROR(__xludf.DUMMYFUNCTION("""COMPUTED_VALUE"""),"Toàn Phát - Việt Nam")</f>
        <v>Toàn Phát - Việt Nam</v>
      </c>
      <c r="B729" s="581" t="str">
        <f ca="1">IFERROR(__xludf.DUMMYFUNCTION("""COMPUTED_VALUE"""),"ĐTPCAYDI")</f>
        <v>ĐTPCAYDI</v>
      </c>
      <c r="C729" s="581" t="str">
        <f ca="1">IFERROR(__xludf.DUMMYFUNCTION("""COMPUTED_VALUE"""),"DOT349123")</f>
        <v>DOT349123</v>
      </c>
      <c r="D729" s="582" t="str">
        <f ca="1">IFERROR(__xludf.DUMMYFUNCTION("""COMPUTED_VALUE"""),"Đồng ống thẳng 34.9x1.2x3.0")</f>
        <v>Đồng ống thẳng 34.9x1.2x3.0</v>
      </c>
      <c r="E729" s="583">
        <f ca="1">IFERROR(__xludf.DUMMYFUNCTION("""COMPUTED_VALUE"""),0.1)</f>
        <v>0.1</v>
      </c>
      <c r="F729" s="584" t="str">
        <f ca="1">IFERROR(__xludf.DUMMYFUNCTION("""COMPUTED_VALUE"""),"Cây")</f>
        <v>Cây</v>
      </c>
      <c r="G729" s="584" t="str">
        <f ca="1">IFERROR(__xludf.DUMMYFUNCTION("""COMPUTED_VALUE"""),"Cây 3m")</f>
        <v>Cây 3m</v>
      </c>
      <c r="H729" s="582"/>
      <c r="I729" s="585">
        <f ca="1">IFERROR(__xludf.DUMMYFUNCTION("""COMPUTED_VALUE"""),3.51585359999999)</f>
        <v>3.51585359999999</v>
      </c>
      <c r="J729" s="586" t="str">
        <f ca="1">IFERROR(__xludf.DUMMYFUNCTION("""COMPUTED_VALUE""")," 34.90 ")</f>
        <v xml:space="preserve"> 34.90 </v>
      </c>
      <c r="K729" s="584" t="str">
        <f ca="1">IFERROR(__xludf.DUMMYFUNCTION("""COMPUTED_VALUE"""),"1.20")</f>
        <v>1.20</v>
      </c>
      <c r="L729" s="584">
        <f ca="1">IFERROR(__xludf.DUMMYFUNCTION("""COMPUTED_VALUE"""),3)</f>
        <v>3</v>
      </c>
      <c r="M729" s="584"/>
      <c r="N729" s="584" t="str">
        <f ca="1">IFERROR(__xludf.DUMMYFUNCTION("""COMPUTED_VALUE"""),"Dị_D&lt;54")</f>
        <v>Dị_D&lt;54</v>
      </c>
      <c r="O729" s="583"/>
      <c r="P729" s="584"/>
    </row>
    <row r="730" spans="1:16" ht="15.75">
      <c r="A730" s="587" t="str">
        <f ca="1">IFERROR(__xludf.DUMMYFUNCTION("""COMPUTED_VALUE"""),"Toàn Phát - Việt Nam")</f>
        <v>Toàn Phát - Việt Nam</v>
      </c>
      <c r="B730" s="587" t="str">
        <f ca="1">IFERROR(__xludf.DUMMYFUNCTION("""COMPUTED_VALUE"""),"ĐTPCAYDI")</f>
        <v>ĐTPCAYDI</v>
      </c>
      <c r="C730" s="587" t="str">
        <f ca="1">IFERROR(__xludf.DUMMYFUNCTION("""COMPUTED_VALUE"""),"DOT34901358")</f>
        <v>DOT34901358</v>
      </c>
      <c r="D730" s="588" t="str">
        <f ca="1">IFERROR(__xludf.DUMMYFUNCTION("""COMPUTED_VALUE"""),"Đồng ống thẳng 34.90x1.3x5.8")</f>
        <v>Đồng ống thẳng 34.90x1.3x5.8</v>
      </c>
      <c r="E730" s="589">
        <f ca="1">IFERROR(__xludf.DUMMYFUNCTION("""COMPUTED_VALUE"""),0.1)</f>
        <v>0.1</v>
      </c>
      <c r="F730" s="590" t="str">
        <f ca="1">IFERROR(__xludf.DUMMYFUNCTION("""COMPUTED_VALUE"""),"Cây")</f>
        <v>Cây</v>
      </c>
      <c r="G730" s="590" t="str">
        <f ca="1">IFERROR(__xludf.DUMMYFUNCTION("""COMPUTED_VALUE"""),"Cây 5.8m")</f>
        <v>Cây 5.8m</v>
      </c>
      <c r="H730" s="588"/>
      <c r="I730" s="591">
        <f ca="1">IFERROR(__xludf.DUMMYFUNCTION("""COMPUTED_VALUE"""),7.34190911999999)</f>
        <v>7.3419091199999897</v>
      </c>
      <c r="J730" s="592" t="str">
        <f ca="1">IFERROR(__xludf.DUMMYFUNCTION("""COMPUTED_VALUE""")," 34.90 ")</f>
        <v xml:space="preserve"> 34.90 </v>
      </c>
      <c r="K730" s="590" t="str">
        <f ca="1">IFERROR(__xludf.DUMMYFUNCTION("""COMPUTED_VALUE"""),"1.30")</f>
        <v>1.30</v>
      </c>
      <c r="L730" s="590">
        <f ca="1">IFERROR(__xludf.DUMMYFUNCTION("""COMPUTED_VALUE"""),5.8)</f>
        <v>5.8</v>
      </c>
      <c r="M730" s="590"/>
      <c r="N730" s="590" t="str">
        <f ca="1">IFERROR(__xludf.DUMMYFUNCTION("""COMPUTED_VALUE"""),"Dị_D&lt;54")</f>
        <v>Dị_D&lt;54</v>
      </c>
      <c r="O730" s="589"/>
      <c r="P730" s="590"/>
    </row>
    <row r="731" spans="1:16" ht="15.75">
      <c r="A731" s="581" t="str">
        <f ca="1">IFERROR(__xludf.DUMMYFUNCTION("""COMPUTED_VALUE"""),"Toàn Phát - Việt Nam")</f>
        <v>Toàn Phát - Việt Nam</v>
      </c>
      <c r="B731" s="581" t="str">
        <f ca="1">IFERROR(__xludf.DUMMYFUNCTION("""COMPUTED_VALUE"""),"ĐTPCAYDI")</f>
        <v>ĐTPCAYDI</v>
      </c>
      <c r="C731" s="581" t="str">
        <f ca="1">IFERROR(__xludf.DUMMYFUNCTION("""COMPUTED_VALUE"""),"DOT349016")</f>
        <v>DOT349016</v>
      </c>
      <c r="D731" s="582" t="str">
        <f ca="1">IFERROR(__xludf.DUMMYFUNCTION("""COMPUTED_VALUE"""),"Đồng ống thẳng 34.9x1.6")</f>
        <v>Đồng ống thẳng 34.9x1.6</v>
      </c>
      <c r="E731" s="583">
        <f ca="1">IFERROR(__xludf.DUMMYFUNCTION("""COMPUTED_VALUE"""),0.1)</f>
        <v>0.1</v>
      </c>
      <c r="F731" s="584" t="str">
        <f ca="1">IFERROR(__xludf.DUMMYFUNCTION("""COMPUTED_VALUE"""),"Cây")</f>
        <v>Cây</v>
      </c>
      <c r="G731" s="584" t="str">
        <f ca="1">IFERROR(__xludf.DUMMYFUNCTION("""COMPUTED_VALUE"""),"Cây 2.9m")</f>
        <v>Cây 2.9m</v>
      </c>
      <c r="H731" s="582"/>
      <c r="I731" s="585">
        <f ca="1">IFERROR(__xludf.DUMMYFUNCTION("""COMPUTED_VALUE"""),4.47775776)</f>
        <v>4.4777577600000003</v>
      </c>
      <c r="J731" s="586" t="str">
        <f ca="1">IFERROR(__xludf.DUMMYFUNCTION("""COMPUTED_VALUE""")," 34.90 ")</f>
        <v xml:space="preserve"> 34.90 </v>
      </c>
      <c r="K731" s="584" t="str">
        <f ca="1">IFERROR(__xludf.DUMMYFUNCTION("""COMPUTED_VALUE"""),"1.60")</f>
        <v>1.60</v>
      </c>
      <c r="L731" s="584">
        <f ca="1">IFERROR(__xludf.DUMMYFUNCTION("""COMPUTED_VALUE"""),2.9)</f>
        <v>2.9</v>
      </c>
      <c r="M731" s="584"/>
      <c r="N731" s="584" t="str">
        <f ca="1">IFERROR(__xludf.DUMMYFUNCTION("""COMPUTED_VALUE"""),"Dị_D&lt;54")</f>
        <v>Dị_D&lt;54</v>
      </c>
      <c r="O731" s="583"/>
      <c r="P731" s="584"/>
    </row>
    <row r="732" spans="1:16" ht="15.75">
      <c r="A732" s="587" t="str">
        <f ca="1">IFERROR(__xludf.DUMMYFUNCTION("""COMPUTED_VALUE"""),"Toàn Phát - Việt Nam")</f>
        <v>Toàn Phát - Việt Nam</v>
      </c>
      <c r="B732" s="587" t="str">
        <f ca="1">IFERROR(__xludf.DUMMYFUNCTION("""COMPUTED_VALUE"""),"ĐTPCAYDI")</f>
        <v>ĐTPCAYDI</v>
      </c>
      <c r="C732" s="587" t="str">
        <f ca="1">IFERROR(__xludf.DUMMYFUNCTION("""COMPUTED_VALUE"""),"DOT3490142")</f>
        <v>DOT3490142</v>
      </c>
      <c r="D732" s="588" t="str">
        <f ca="1">IFERROR(__xludf.DUMMYFUNCTION("""COMPUTED_VALUE"""),"Đồng ống thẳng 34.93x1.42")</f>
        <v>Đồng ống thẳng 34.93x1.42</v>
      </c>
      <c r="E732" s="589">
        <f ca="1">IFERROR(__xludf.DUMMYFUNCTION("""COMPUTED_VALUE"""),0.1)</f>
        <v>0.1</v>
      </c>
      <c r="F732" s="590" t="str">
        <f ca="1">IFERROR(__xludf.DUMMYFUNCTION("""COMPUTED_VALUE"""),"Cây")</f>
        <v>Cây</v>
      </c>
      <c r="G732" s="590" t="str">
        <f ca="1">IFERROR(__xludf.DUMMYFUNCTION("""COMPUTED_VALUE"""),"Cây 2.9m")</f>
        <v>Cây 2.9m</v>
      </c>
      <c r="H732" s="588" t="str">
        <f ca="1">IFERROR(__xludf.DUMMYFUNCTION("""COMPUTED_VALUE"""),"7")</f>
        <v>7</v>
      </c>
      <c r="I732" s="591">
        <f ca="1">IFERROR(__xludf.DUMMYFUNCTION("""COMPUTED_VALUE"""),3.99907133639999)</f>
        <v>3.9990713363999899</v>
      </c>
      <c r="J732" s="592" t="str">
        <f ca="1">IFERROR(__xludf.DUMMYFUNCTION("""COMPUTED_VALUE""")," 34.93 ")</f>
        <v xml:space="preserve"> 34.93 </v>
      </c>
      <c r="K732" s="590" t="str">
        <f ca="1">IFERROR(__xludf.DUMMYFUNCTION("""COMPUTED_VALUE"""),"1.42")</f>
        <v>1.42</v>
      </c>
      <c r="L732" s="590">
        <f ca="1">IFERROR(__xludf.DUMMYFUNCTION("""COMPUTED_VALUE"""),2.9)</f>
        <v>2.9</v>
      </c>
      <c r="M732" s="590"/>
      <c r="N732" s="590" t="str">
        <f ca="1">IFERROR(__xludf.DUMMYFUNCTION("""COMPUTED_VALUE"""),"Dị_D&lt;54")</f>
        <v>Dị_D&lt;54</v>
      </c>
      <c r="O732" s="589"/>
      <c r="P732" s="590"/>
    </row>
    <row r="733" spans="1:16" ht="15.75">
      <c r="A733" s="581" t="str">
        <f ca="1">IFERROR(__xludf.DUMMYFUNCTION("""COMPUTED_VALUE"""),"Toàn Phát - Việt Nam")</f>
        <v>Toàn Phát - Việt Nam</v>
      </c>
      <c r="B733" s="581" t="str">
        <f ca="1">IFERROR(__xludf.DUMMYFUNCTION("""COMPUTED_VALUE"""),"ĐTPCAYDI")</f>
        <v>ĐTPCAYDI</v>
      </c>
      <c r="C733" s="581" t="str">
        <f ca="1">IFERROR(__xludf.DUMMYFUNCTION("""COMPUTED_VALUE"""),"DOT3490070")</f>
        <v>DOT3490070</v>
      </c>
      <c r="D733" s="582" t="str">
        <f ca="1">IFERROR(__xludf.DUMMYFUNCTION("""COMPUTED_VALUE"""),"Đồng ống thẳng 34.93x0.70")</f>
        <v>Đồng ống thẳng 34.93x0.70</v>
      </c>
      <c r="E733" s="583">
        <f ca="1">IFERROR(__xludf.DUMMYFUNCTION("""COMPUTED_VALUE"""),0.1)</f>
        <v>0.1</v>
      </c>
      <c r="F733" s="584" t="str">
        <f ca="1">IFERROR(__xludf.DUMMYFUNCTION("""COMPUTED_VALUE"""),"Cây")</f>
        <v>Cây</v>
      </c>
      <c r="G733" s="584" t="str">
        <f ca="1">IFERROR(__xludf.DUMMYFUNCTION("""COMPUTED_VALUE"""),"Cây 2.9m")</f>
        <v>Cây 2.9m</v>
      </c>
      <c r="H733" s="582" t="str">
        <f ca="1">IFERROR(__xludf.DUMMYFUNCTION("""COMPUTED_VALUE"""),"7")</f>
        <v>7</v>
      </c>
      <c r="I733" s="585">
        <f ca="1">IFERROR(__xludf.DUMMYFUNCTION("""COMPUTED_VALUE"""),2.01373036199999)</f>
        <v>2.0137303619999898</v>
      </c>
      <c r="J733" s="586" t="str">
        <f ca="1">IFERROR(__xludf.DUMMYFUNCTION("""COMPUTED_VALUE""")," 34.93 ")</f>
        <v xml:space="preserve"> 34.93 </v>
      </c>
      <c r="K733" s="584" t="str">
        <f ca="1">IFERROR(__xludf.DUMMYFUNCTION("""COMPUTED_VALUE"""),"0.70")</f>
        <v>0.70</v>
      </c>
      <c r="L733" s="584">
        <f ca="1">IFERROR(__xludf.DUMMYFUNCTION("""COMPUTED_VALUE"""),2.9)</f>
        <v>2.9</v>
      </c>
      <c r="M733" s="584"/>
      <c r="N733" s="584" t="str">
        <f ca="1">IFERROR(__xludf.DUMMYFUNCTION("""COMPUTED_VALUE"""),"Dị_D&lt;54")</f>
        <v>Dị_D&lt;54</v>
      </c>
      <c r="O733" s="583"/>
      <c r="P733" s="584"/>
    </row>
    <row r="734" spans="1:16" ht="15.75">
      <c r="A734" s="587" t="str">
        <f ca="1">IFERROR(__xludf.DUMMYFUNCTION("""COMPUTED_VALUE"""),"Toàn Phát - Việt Nam")</f>
        <v>Toàn Phát - Việt Nam</v>
      </c>
      <c r="B734" s="587" t="str">
        <f ca="1">IFERROR(__xludf.DUMMYFUNCTION("""COMPUTED_VALUE"""),"ĐTPCAYDI")</f>
        <v>ĐTPCAYDI</v>
      </c>
      <c r="C734" s="587" t="str">
        <f ca="1">IFERROR(__xludf.DUMMYFUNCTION("""COMPUTED_VALUE"""),"DOT3493071")</f>
        <v>DOT3493071</v>
      </c>
      <c r="D734" s="588" t="str">
        <f ca="1">IFERROR(__xludf.DUMMYFUNCTION("""COMPUTED_VALUE"""),"Đồng ống thẳng 34.93x0.71")</f>
        <v>Đồng ống thẳng 34.93x0.71</v>
      </c>
      <c r="E734" s="589">
        <f ca="1">IFERROR(__xludf.DUMMYFUNCTION("""COMPUTED_VALUE"""),0.1)</f>
        <v>0.1</v>
      </c>
      <c r="F734" s="590" t="str">
        <f ca="1">IFERROR(__xludf.DUMMYFUNCTION("""COMPUTED_VALUE"""),"Cây")</f>
        <v>Cây</v>
      </c>
      <c r="G734" s="590" t="str">
        <f ca="1">IFERROR(__xludf.DUMMYFUNCTION("""COMPUTED_VALUE"""),"Cây 2.9m")</f>
        <v>Cây 2.9m</v>
      </c>
      <c r="H734" s="588" t="str">
        <f ca="1">IFERROR(__xludf.DUMMYFUNCTION("""COMPUTED_VALUE"""),"7")</f>
        <v>7</v>
      </c>
      <c r="I734" s="591">
        <f ca="1">IFERROR(__xludf.DUMMYFUNCTION("""COMPUTED_VALUE"""),2.04190124039999)</f>
        <v>2.0419012403999899</v>
      </c>
      <c r="J734" s="592" t="str">
        <f ca="1">IFERROR(__xludf.DUMMYFUNCTION("""COMPUTED_VALUE""")," 34.93 ")</f>
        <v xml:space="preserve"> 34.93 </v>
      </c>
      <c r="K734" s="590" t="str">
        <f ca="1">IFERROR(__xludf.DUMMYFUNCTION("""COMPUTED_VALUE"""),"0.71")</f>
        <v>0.71</v>
      </c>
      <c r="L734" s="590">
        <f ca="1">IFERROR(__xludf.DUMMYFUNCTION("""COMPUTED_VALUE"""),2.9)</f>
        <v>2.9</v>
      </c>
      <c r="M734" s="590"/>
      <c r="N734" s="590" t="str">
        <f ca="1">IFERROR(__xludf.DUMMYFUNCTION("""COMPUTED_VALUE"""),"Dị_D&lt;54")</f>
        <v>Dị_D&lt;54</v>
      </c>
      <c r="O734" s="589"/>
      <c r="P734" s="590"/>
    </row>
    <row r="735" spans="1:16" ht="15.75">
      <c r="A735" s="581" t="str">
        <f ca="1">IFERROR(__xludf.DUMMYFUNCTION("""COMPUTED_VALUE"""),"Toàn Phát - Việt Nam")</f>
        <v>Toàn Phát - Việt Nam</v>
      </c>
      <c r="B735" s="581" t="str">
        <f ca="1">IFERROR(__xludf.DUMMYFUNCTION("""COMPUTED_VALUE"""),"ĐTPCAYDI")</f>
        <v>ĐTPCAYDI</v>
      </c>
      <c r="C735" s="581" t="str">
        <f ca="1">IFERROR(__xludf.DUMMYFUNCTION("""COMPUTED_VALUE"""),"DOT3490075")</f>
        <v>DOT3490075</v>
      </c>
      <c r="D735" s="582" t="str">
        <f ca="1">IFERROR(__xludf.DUMMYFUNCTION("""COMPUTED_VALUE"""),"Đồng ống thẳng 34.93x0.75")</f>
        <v>Đồng ống thẳng 34.93x0.75</v>
      </c>
      <c r="E735" s="583">
        <f ca="1">IFERROR(__xludf.DUMMYFUNCTION("""COMPUTED_VALUE"""),0.1)</f>
        <v>0.1</v>
      </c>
      <c r="F735" s="584" t="str">
        <f ca="1">IFERROR(__xludf.DUMMYFUNCTION("""COMPUTED_VALUE"""),"Cây")</f>
        <v>Cây</v>
      </c>
      <c r="G735" s="584" t="str">
        <f ca="1">IFERROR(__xludf.DUMMYFUNCTION("""COMPUTED_VALUE"""),"Cây 2.9m")</f>
        <v>Cây 2.9m</v>
      </c>
      <c r="H735" s="582" t="str">
        <f ca="1">IFERROR(__xludf.DUMMYFUNCTION("""COMPUTED_VALUE"""),"7")</f>
        <v>7</v>
      </c>
      <c r="I735" s="585">
        <f ca="1">IFERROR(__xludf.DUMMYFUNCTION("""COMPUTED_VALUE"""),2.15441667)</f>
        <v>2.1544166699999998</v>
      </c>
      <c r="J735" s="586" t="str">
        <f ca="1">IFERROR(__xludf.DUMMYFUNCTION("""COMPUTED_VALUE""")," 34.93 ")</f>
        <v xml:space="preserve"> 34.93 </v>
      </c>
      <c r="K735" s="584" t="str">
        <f ca="1">IFERROR(__xludf.DUMMYFUNCTION("""COMPUTED_VALUE"""),"0.75")</f>
        <v>0.75</v>
      </c>
      <c r="L735" s="584">
        <f ca="1">IFERROR(__xludf.DUMMYFUNCTION("""COMPUTED_VALUE"""),2.9)</f>
        <v>2.9</v>
      </c>
      <c r="M735" s="584"/>
      <c r="N735" s="584" t="str">
        <f ca="1">IFERROR(__xludf.DUMMYFUNCTION("""COMPUTED_VALUE"""),"Dị_D&lt;54")</f>
        <v>Dị_D&lt;54</v>
      </c>
      <c r="O735" s="583"/>
      <c r="P735" s="584"/>
    </row>
    <row r="736" spans="1:16" ht="15.75">
      <c r="A736" s="587" t="str">
        <f ca="1">IFERROR(__xludf.DUMMYFUNCTION("""COMPUTED_VALUE"""),"Toàn Phát - Việt Nam")</f>
        <v>Toàn Phát - Việt Nam</v>
      </c>
      <c r="B736" s="587" t="str">
        <f ca="1">IFERROR(__xludf.DUMMYFUNCTION("""COMPUTED_VALUE"""),"ĐTPCAYDI")</f>
        <v>ĐTPCAYDI</v>
      </c>
      <c r="C736" s="587" t="str">
        <f ca="1">IFERROR(__xludf.DUMMYFUNCTION("""COMPUTED_VALUE"""),"DOT3490080")</f>
        <v>DOT3490080</v>
      </c>
      <c r="D736" s="588" t="str">
        <f ca="1">IFERROR(__xludf.DUMMYFUNCTION("""COMPUTED_VALUE"""),"Đồng ống thẳng 34.93x0.80")</f>
        <v>Đồng ống thẳng 34.93x0.80</v>
      </c>
      <c r="E736" s="589">
        <f ca="1">IFERROR(__xludf.DUMMYFUNCTION("""COMPUTED_VALUE"""),0.1)</f>
        <v>0.1</v>
      </c>
      <c r="F736" s="590" t="str">
        <f ca="1">IFERROR(__xludf.DUMMYFUNCTION("""COMPUTED_VALUE"""),"Cây")</f>
        <v>Cây</v>
      </c>
      <c r="G736" s="590" t="str">
        <f ca="1">IFERROR(__xludf.DUMMYFUNCTION("""COMPUTED_VALUE"""),"Cây 2.9m")</f>
        <v>Cây 2.9m</v>
      </c>
      <c r="H736" s="588" t="str">
        <f ca="1">IFERROR(__xludf.DUMMYFUNCTION("""COMPUTED_VALUE"""),"7")</f>
        <v>7</v>
      </c>
      <c r="I736" s="591">
        <f ca="1">IFERROR(__xludf.DUMMYFUNCTION("""COMPUTED_VALUE"""),2.294682768)</f>
        <v>2.2946827679999999</v>
      </c>
      <c r="J736" s="592" t="str">
        <f ca="1">IFERROR(__xludf.DUMMYFUNCTION("""COMPUTED_VALUE""")," 34.93 ")</f>
        <v xml:space="preserve"> 34.93 </v>
      </c>
      <c r="K736" s="590" t="str">
        <f ca="1">IFERROR(__xludf.DUMMYFUNCTION("""COMPUTED_VALUE"""),"0.80")</f>
        <v>0.80</v>
      </c>
      <c r="L736" s="590">
        <f ca="1">IFERROR(__xludf.DUMMYFUNCTION("""COMPUTED_VALUE"""),2.9)</f>
        <v>2.9</v>
      </c>
      <c r="M736" s="590"/>
      <c r="N736" s="590" t="str">
        <f ca="1">IFERROR(__xludf.DUMMYFUNCTION("""COMPUTED_VALUE"""),"Dị_D&lt;54")</f>
        <v>Dị_D&lt;54</v>
      </c>
      <c r="O736" s="589"/>
      <c r="P736" s="590"/>
    </row>
    <row r="737" spans="1:17" ht="15.75">
      <c r="A737" s="581" t="str">
        <f ca="1">IFERROR(__xludf.DUMMYFUNCTION("""COMPUTED_VALUE"""),"Toàn Phát - Việt Nam")</f>
        <v>Toàn Phát - Việt Nam</v>
      </c>
      <c r="B737" s="581" t="str">
        <f ca="1">IFERROR(__xludf.DUMMYFUNCTION("""COMPUTED_VALUE"""),"ĐTPCAYDI")</f>
        <v>ĐTPCAYDI</v>
      </c>
      <c r="C737" s="581" t="str">
        <f ca="1">IFERROR(__xludf.DUMMYFUNCTION("""COMPUTED_VALUE"""),"DOT3493081")</f>
        <v>DOT3493081</v>
      </c>
      <c r="D737" s="582" t="str">
        <f ca="1">IFERROR(__xludf.DUMMYFUNCTION("""COMPUTED_VALUE"""),"Đồng ống thẳng 34.93x0.81")</f>
        <v>Đồng ống thẳng 34.93x0.81</v>
      </c>
      <c r="E737" s="583">
        <f ca="1">IFERROR(__xludf.DUMMYFUNCTION("""COMPUTED_VALUE"""),0.1)</f>
        <v>0.1</v>
      </c>
      <c r="F737" s="584" t="str">
        <f ca="1">IFERROR(__xludf.DUMMYFUNCTION("""COMPUTED_VALUE"""),"Cây")</f>
        <v>Cây</v>
      </c>
      <c r="G737" s="584" t="str">
        <f ca="1">IFERROR(__xludf.DUMMYFUNCTION("""COMPUTED_VALUE"""),"Cây 2.9m")</f>
        <v>Cây 2.9m</v>
      </c>
      <c r="H737" s="582" t="str">
        <f ca="1">IFERROR(__xludf.DUMMYFUNCTION("""COMPUTED_VALUE"""),"7")</f>
        <v>7</v>
      </c>
      <c r="I737" s="585">
        <f ca="1">IFERROR(__xludf.DUMMYFUNCTION("""COMPUTED_VALUE"""),2.3226855624)</f>
        <v>2.3226855623999998</v>
      </c>
      <c r="J737" s="586" t="str">
        <f ca="1">IFERROR(__xludf.DUMMYFUNCTION("""COMPUTED_VALUE""")," 34.93 ")</f>
        <v xml:space="preserve"> 34.93 </v>
      </c>
      <c r="K737" s="584" t="str">
        <f ca="1">IFERROR(__xludf.DUMMYFUNCTION("""COMPUTED_VALUE"""),"0.81")</f>
        <v>0.81</v>
      </c>
      <c r="L737" s="584">
        <f ca="1">IFERROR(__xludf.DUMMYFUNCTION("""COMPUTED_VALUE"""),2.9)</f>
        <v>2.9</v>
      </c>
      <c r="M737" s="584"/>
      <c r="N737" s="584" t="str">
        <f ca="1">IFERROR(__xludf.DUMMYFUNCTION("""COMPUTED_VALUE"""),"Dị_D&lt;54")</f>
        <v>Dị_D&lt;54</v>
      </c>
      <c r="O737" s="583"/>
      <c r="P737" s="584"/>
    </row>
    <row r="738" spans="1:17" ht="15.75">
      <c r="A738" s="587" t="str">
        <f ca="1">IFERROR(__xludf.DUMMYFUNCTION("""COMPUTED_VALUE"""),"Toàn Phát - Việt Nam")</f>
        <v>Toàn Phát - Việt Nam</v>
      </c>
      <c r="B738" s="587" t="str">
        <f ca="1">IFERROR(__xludf.DUMMYFUNCTION("""COMPUTED_VALUE"""),"ĐTPCAYDI")</f>
        <v>ĐTPCAYDI</v>
      </c>
      <c r="C738" s="587" t="str">
        <f ca="1">IFERROR(__xludf.DUMMYFUNCTION("""COMPUTED_VALUE"""),"DOT3490090")</f>
        <v>DOT3490090</v>
      </c>
      <c r="D738" s="588" t="str">
        <f ca="1">IFERROR(__xludf.DUMMYFUNCTION("""COMPUTED_VALUE"""),"Đồng ống thẳng 34.93x0.90")</f>
        <v>Đồng ống thẳng 34.93x0.90</v>
      </c>
      <c r="E738" s="589">
        <f ca="1">IFERROR(__xludf.DUMMYFUNCTION("""COMPUTED_VALUE"""),0.1)</f>
        <v>0.1</v>
      </c>
      <c r="F738" s="590" t="str">
        <f ca="1">IFERROR(__xludf.DUMMYFUNCTION("""COMPUTED_VALUE"""),"Cây")</f>
        <v>Cây</v>
      </c>
      <c r="G738" s="590" t="str">
        <f ca="1">IFERROR(__xludf.DUMMYFUNCTION("""COMPUTED_VALUE"""),"Cây 2.9m")</f>
        <v>Cây 2.9m</v>
      </c>
      <c r="H738" s="588" t="str">
        <f ca="1">IFERROR(__xludf.DUMMYFUNCTION("""COMPUTED_VALUE"""),"7")</f>
        <v>7</v>
      </c>
      <c r="I738" s="591">
        <f ca="1">IFERROR(__xludf.DUMMYFUNCTION("""COMPUTED_VALUE"""),2.57395433399999)</f>
        <v>2.57395433399999</v>
      </c>
      <c r="J738" s="592" t="str">
        <f ca="1">IFERROR(__xludf.DUMMYFUNCTION("""COMPUTED_VALUE""")," 34.93 ")</f>
        <v xml:space="preserve"> 34.93 </v>
      </c>
      <c r="K738" s="590" t="str">
        <f ca="1">IFERROR(__xludf.DUMMYFUNCTION("""COMPUTED_VALUE"""),"0.90")</f>
        <v>0.90</v>
      </c>
      <c r="L738" s="590">
        <f ca="1">IFERROR(__xludf.DUMMYFUNCTION("""COMPUTED_VALUE"""),2.9)</f>
        <v>2.9</v>
      </c>
      <c r="M738" s="590"/>
      <c r="N738" s="590" t="str">
        <f ca="1">IFERROR(__xludf.DUMMYFUNCTION("""COMPUTED_VALUE"""),"Dị_D&lt;54")</f>
        <v>Dị_D&lt;54</v>
      </c>
      <c r="O738" s="589"/>
      <c r="P738" s="590"/>
    </row>
    <row r="739" spans="1:17" ht="15.75">
      <c r="A739" s="581" t="str">
        <f ca="1">IFERROR(__xludf.DUMMYFUNCTION("""COMPUTED_VALUE"""),"Toàn Phát - Việt Nam")</f>
        <v>Toàn Phát - Việt Nam</v>
      </c>
      <c r="B739" s="581" t="str">
        <f ca="1">IFERROR(__xludf.DUMMYFUNCTION("""COMPUTED_VALUE"""),"ĐTPCAYDI")</f>
        <v>ĐTPCAYDI</v>
      </c>
      <c r="C739" s="581" t="str">
        <f ca="1">IFERROR(__xludf.DUMMYFUNCTION("""COMPUTED_VALUE"""),"DOT3490095")</f>
        <v>DOT3490095</v>
      </c>
      <c r="D739" s="582" t="str">
        <f ca="1">IFERROR(__xludf.DUMMYFUNCTION("""COMPUTED_VALUE"""),"Đồng ống thẳng 34.93x0.95")</f>
        <v>Đồng ống thẳng 34.93x0.95</v>
      </c>
      <c r="E739" s="583">
        <f ca="1">IFERROR(__xludf.DUMMYFUNCTION("""COMPUTED_VALUE"""),0.1)</f>
        <v>0.1</v>
      </c>
      <c r="F739" s="584" t="str">
        <f ca="1">IFERROR(__xludf.DUMMYFUNCTION("""COMPUTED_VALUE"""),"Cây")</f>
        <v>Cây</v>
      </c>
      <c r="G739" s="584" t="str">
        <f ca="1">IFERROR(__xludf.DUMMYFUNCTION("""COMPUTED_VALUE"""),"Cây 2.9m")</f>
        <v>Cây 2.9m</v>
      </c>
      <c r="H739" s="582" t="str">
        <f ca="1">IFERROR(__xludf.DUMMYFUNCTION("""COMPUTED_VALUE"""),"7")</f>
        <v>7</v>
      </c>
      <c r="I739" s="585">
        <f ca="1">IFERROR(__xludf.DUMMYFUNCTION("""COMPUTED_VALUE"""),2.71295980199999)</f>
        <v>2.7129598019999901</v>
      </c>
      <c r="J739" s="586" t="str">
        <f ca="1">IFERROR(__xludf.DUMMYFUNCTION("""COMPUTED_VALUE""")," 34.93 ")</f>
        <v xml:space="preserve"> 34.93 </v>
      </c>
      <c r="K739" s="584" t="str">
        <f ca="1">IFERROR(__xludf.DUMMYFUNCTION("""COMPUTED_VALUE"""),"0.95")</f>
        <v>0.95</v>
      </c>
      <c r="L739" s="584">
        <f ca="1">IFERROR(__xludf.DUMMYFUNCTION("""COMPUTED_VALUE"""),2.9)</f>
        <v>2.9</v>
      </c>
      <c r="M739" s="584"/>
      <c r="N739" s="584" t="str">
        <f ca="1">IFERROR(__xludf.DUMMYFUNCTION("""COMPUTED_VALUE"""),"Dị_D&lt;54")</f>
        <v>Dị_D&lt;54</v>
      </c>
      <c r="O739" s="583"/>
      <c r="P739" s="584"/>
    </row>
    <row r="740" spans="1:17" ht="15.75">
      <c r="A740" s="587" t="str">
        <f ca="1">IFERROR(__xludf.DUMMYFUNCTION("""COMPUTED_VALUE"""),"Toàn Phát - Việt Nam")</f>
        <v>Toàn Phát - Việt Nam</v>
      </c>
      <c r="B740" s="587" t="str">
        <f ca="1">IFERROR(__xludf.DUMMYFUNCTION("""COMPUTED_VALUE"""),"ĐTPCAYCT")</f>
        <v>ĐTPCAYCT</v>
      </c>
      <c r="C740" s="587" t="str">
        <f ca="1">IFERROR(__xludf.DUMMYFUNCTION("""COMPUTED_VALUE"""),"DOT3493100")</f>
        <v>DOT3493100</v>
      </c>
      <c r="D740" s="588" t="str">
        <f ca="1">IFERROR(__xludf.DUMMYFUNCTION("""COMPUTED_VALUE"""),"Đồng ống thẳng 34.93x1.00")</f>
        <v>Đồng ống thẳng 34.93x1.00</v>
      </c>
      <c r="E740" s="589">
        <f ca="1">IFERROR(__xludf.DUMMYFUNCTION("""COMPUTED_VALUE"""),0.1)</f>
        <v>0.1</v>
      </c>
      <c r="F740" s="590" t="str">
        <f ca="1">IFERROR(__xludf.DUMMYFUNCTION("""COMPUTED_VALUE"""),"Cây")</f>
        <v>Cây</v>
      </c>
      <c r="G740" s="590" t="str">
        <f ca="1">IFERROR(__xludf.DUMMYFUNCTION("""COMPUTED_VALUE"""),"Cây 2.9m")</f>
        <v>Cây 2.9m</v>
      </c>
      <c r="H740" s="588" t="str">
        <f ca="1">IFERROR(__xludf.DUMMYFUNCTION("""COMPUTED_VALUE"""),"7")</f>
        <v>7</v>
      </c>
      <c r="I740" s="591">
        <f ca="1">IFERROR(__xludf.DUMMYFUNCTION("""COMPUTED_VALUE"""),2.85154506)</f>
        <v>2.8515450599999999</v>
      </c>
      <c r="J740" s="592" t="str">
        <f ca="1">IFERROR(__xludf.DUMMYFUNCTION("""COMPUTED_VALUE""")," 34.93 ")</f>
        <v xml:space="preserve"> 34.93 </v>
      </c>
      <c r="K740" s="590" t="str">
        <f ca="1">IFERROR(__xludf.DUMMYFUNCTION("""COMPUTED_VALUE"""),"1.00")</f>
        <v>1.00</v>
      </c>
      <c r="L740" s="590">
        <f ca="1">IFERROR(__xludf.DUMMYFUNCTION("""COMPUTED_VALUE"""),2.9)</f>
        <v>2.9</v>
      </c>
      <c r="M740" s="590"/>
      <c r="N740" s="590" t="str">
        <f ca="1">IFERROR(__xludf.DUMMYFUNCTION("""COMPUTED_VALUE"""),"Không")</f>
        <v>Không</v>
      </c>
      <c r="O740" s="589"/>
      <c r="P740" s="590"/>
      <c r="Q740" s="885">
        <f ca="1">+$Q$5*I740</f>
        <v>655.85536379999985</v>
      </c>
    </row>
    <row r="741" spans="1:17" ht="15.75">
      <c r="A741" s="581" t="str">
        <f ca="1">IFERROR(__xludf.DUMMYFUNCTION("""COMPUTED_VALUE"""),"Toàn Phát - Việt Nam")</f>
        <v>Toàn Phát - Việt Nam</v>
      </c>
      <c r="B741" s="581" t="str">
        <f ca="1">IFERROR(__xludf.DUMMYFUNCTION("""COMPUTED_VALUE"""),"ĐTPCAYDI")</f>
        <v>ĐTPCAYDI</v>
      </c>
      <c r="C741" s="581" t="str">
        <f ca="1">IFERROR(__xludf.DUMMYFUNCTION("""COMPUTED_VALUE"""),"DOT3493103")</f>
        <v>DOT3493103</v>
      </c>
      <c r="D741" s="582" t="str">
        <f ca="1">IFERROR(__xludf.DUMMYFUNCTION("""COMPUTED_VALUE"""),"Đồng ống thẳng 34.93x1.00x3.0")</f>
        <v>Đồng ống thẳng 34.93x1.00x3.0</v>
      </c>
      <c r="E741" s="583">
        <f ca="1">IFERROR(__xludf.DUMMYFUNCTION("""COMPUTED_VALUE"""),0.1)</f>
        <v>0.1</v>
      </c>
      <c r="F741" s="584" t="str">
        <f ca="1">IFERROR(__xludf.DUMMYFUNCTION("""COMPUTED_VALUE"""),"Cây")</f>
        <v>Cây</v>
      </c>
      <c r="G741" s="584" t="str">
        <f ca="1">IFERROR(__xludf.DUMMYFUNCTION("""COMPUTED_VALUE"""),"Cây 3m")</f>
        <v>Cây 3m</v>
      </c>
      <c r="H741" s="582"/>
      <c r="I741" s="585">
        <f ca="1">IFERROR(__xludf.DUMMYFUNCTION("""COMPUTED_VALUE"""),2.94987419999999)</f>
        <v>2.9498741999999898</v>
      </c>
      <c r="J741" s="586" t="str">
        <f ca="1">IFERROR(__xludf.DUMMYFUNCTION("""COMPUTED_VALUE""")," 34.93 ")</f>
        <v xml:space="preserve"> 34.93 </v>
      </c>
      <c r="K741" s="584" t="str">
        <f ca="1">IFERROR(__xludf.DUMMYFUNCTION("""COMPUTED_VALUE"""),"1.00")</f>
        <v>1.00</v>
      </c>
      <c r="L741" s="584">
        <f ca="1">IFERROR(__xludf.DUMMYFUNCTION("""COMPUTED_VALUE"""),3)</f>
        <v>3</v>
      </c>
      <c r="M741" s="584"/>
      <c r="N741" s="584" t="str">
        <f ca="1">IFERROR(__xludf.DUMMYFUNCTION("""COMPUTED_VALUE"""),"Dị_D&lt;54")</f>
        <v>Dị_D&lt;54</v>
      </c>
      <c r="O741" s="583"/>
      <c r="P741" s="584"/>
    </row>
    <row r="742" spans="1:17" ht="15.75">
      <c r="A742" s="587" t="str">
        <f ca="1">IFERROR(__xludf.DUMMYFUNCTION("""COMPUTED_VALUE"""),"Toàn Phát - Việt Nam")</f>
        <v>Toàn Phát - Việt Nam</v>
      </c>
      <c r="B742" s="587" t="str">
        <f ca="1">IFERROR(__xludf.DUMMYFUNCTION("""COMPUTED_VALUE"""),"ĐTPCAYDI")</f>
        <v>ĐTPCAYDI</v>
      </c>
      <c r="C742" s="587" t="str">
        <f ca="1">IFERROR(__xludf.DUMMYFUNCTION("""COMPUTED_VALUE"""),"DOT349010058")</f>
        <v>DOT349010058</v>
      </c>
      <c r="D742" s="588" t="str">
        <f ca="1">IFERROR(__xludf.DUMMYFUNCTION("""COMPUTED_VALUE"""),"Đồng ống thẳng 34.93x1.00x5.8")</f>
        <v>Đồng ống thẳng 34.93x1.00x5.8</v>
      </c>
      <c r="E742" s="589">
        <f ca="1">IFERROR(__xludf.DUMMYFUNCTION("""COMPUTED_VALUE"""),0.1)</f>
        <v>0.1</v>
      </c>
      <c r="F742" s="590" t="str">
        <f ca="1">IFERROR(__xludf.DUMMYFUNCTION("""COMPUTED_VALUE"""),"Cây")</f>
        <v>Cây</v>
      </c>
      <c r="G742" s="590" t="str">
        <f ca="1">IFERROR(__xludf.DUMMYFUNCTION("""COMPUTED_VALUE"""),"Cây 5.8m")</f>
        <v>Cây 5.8m</v>
      </c>
      <c r="H742" s="588"/>
      <c r="I742" s="591">
        <f ca="1">IFERROR(__xludf.DUMMYFUNCTION("""COMPUTED_VALUE"""),5.70309012)</f>
        <v>5.7030901199999997</v>
      </c>
      <c r="J742" s="592" t="str">
        <f ca="1">IFERROR(__xludf.DUMMYFUNCTION("""COMPUTED_VALUE""")," 34.93 ")</f>
        <v xml:space="preserve"> 34.93 </v>
      </c>
      <c r="K742" s="590" t="str">
        <f ca="1">IFERROR(__xludf.DUMMYFUNCTION("""COMPUTED_VALUE"""),"1.00")</f>
        <v>1.00</v>
      </c>
      <c r="L742" s="590">
        <f ca="1">IFERROR(__xludf.DUMMYFUNCTION("""COMPUTED_VALUE"""),5.8)</f>
        <v>5.8</v>
      </c>
      <c r="M742" s="590"/>
      <c r="N742" s="590" t="str">
        <f ca="1">IFERROR(__xludf.DUMMYFUNCTION("""COMPUTED_VALUE"""),"Dị_D&lt;54")</f>
        <v>Dị_D&lt;54</v>
      </c>
      <c r="O742" s="589"/>
      <c r="P742" s="590"/>
    </row>
    <row r="743" spans="1:17" ht="15.75">
      <c r="A743" s="581" t="str">
        <f ca="1">IFERROR(__xludf.DUMMYFUNCTION("""COMPUTED_VALUE"""),"Toàn Phát - Việt Nam")</f>
        <v>Toàn Phát - Việt Nam</v>
      </c>
      <c r="B743" s="581" t="str">
        <f ca="1">IFERROR(__xludf.DUMMYFUNCTION("""COMPUTED_VALUE"""),"ĐTPCAYDI")</f>
        <v>ĐTPCAYDI</v>
      </c>
      <c r="C743" s="581" t="str">
        <f ca="1">IFERROR(__xludf.DUMMYFUNCTION("""COMPUTED_VALUE"""),"DOT3493107")</f>
        <v>DOT3493107</v>
      </c>
      <c r="D743" s="582" t="str">
        <f ca="1">IFERROR(__xludf.DUMMYFUNCTION("""COMPUTED_VALUE"""),"Đồng ống thẳng 34.93x1.07")</f>
        <v>Đồng ống thẳng 34.93x1.07</v>
      </c>
      <c r="E743" s="583">
        <f ca="1">IFERROR(__xludf.DUMMYFUNCTION("""COMPUTED_VALUE"""),0.1)</f>
        <v>0.1</v>
      </c>
      <c r="F743" s="584" t="str">
        <f ca="1">IFERROR(__xludf.DUMMYFUNCTION("""COMPUTED_VALUE"""),"Cây")</f>
        <v>Cây</v>
      </c>
      <c r="G743" s="584" t="str">
        <f ca="1">IFERROR(__xludf.DUMMYFUNCTION("""COMPUTED_VALUE"""),"Cây 2.9m")</f>
        <v>Cây 2.9m</v>
      </c>
      <c r="H743" s="582" t="str">
        <f ca="1">IFERROR(__xludf.DUMMYFUNCTION("""COMPUTED_VALUE"""),"7")</f>
        <v>7</v>
      </c>
      <c r="I743" s="585">
        <f ca="1">IFERROR(__xludf.DUMMYFUNCTION("""COMPUTED_VALUE"""),3.0448584684)</f>
        <v>3.0448584684000002</v>
      </c>
      <c r="J743" s="586" t="str">
        <f ca="1">IFERROR(__xludf.DUMMYFUNCTION("""COMPUTED_VALUE""")," 34.93 ")</f>
        <v xml:space="preserve"> 34.93 </v>
      </c>
      <c r="K743" s="584" t="str">
        <f ca="1">IFERROR(__xludf.DUMMYFUNCTION("""COMPUTED_VALUE"""),"1.07")</f>
        <v>1.07</v>
      </c>
      <c r="L743" s="584">
        <f ca="1">IFERROR(__xludf.DUMMYFUNCTION("""COMPUTED_VALUE"""),2.9)</f>
        <v>2.9</v>
      </c>
      <c r="M743" s="584"/>
      <c r="N743" s="584" t="str">
        <f ca="1">IFERROR(__xludf.DUMMYFUNCTION("""COMPUTED_VALUE"""),"Dị_D&lt;54")</f>
        <v>Dị_D&lt;54</v>
      </c>
      <c r="O743" s="583"/>
      <c r="P743" s="584"/>
    </row>
    <row r="744" spans="1:17" ht="15.75">
      <c r="A744" s="587" t="str">
        <f ca="1">IFERROR(__xludf.DUMMYFUNCTION("""COMPUTED_VALUE"""),"Toàn Phát - Việt Nam")</f>
        <v>Toàn Phát - Việt Nam</v>
      </c>
      <c r="B744" s="587" t="str">
        <f ca="1">IFERROR(__xludf.DUMMYFUNCTION("""COMPUTED_VALUE"""),"ĐTPCAYDI")</f>
        <v>ĐTPCAYDI</v>
      </c>
      <c r="C744" s="587" t="str">
        <f ca="1">IFERROR(__xludf.DUMMYFUNCTION("""COMPUTED_VALUE"""),"DOT3493110")</f>
        <v>DOT3493110</v>
      </c>
      <c r="D744" s="588" t="str">
        <f ca="1">IFERROR(__xludf.DUMMYFUNCTION("""COMPUTED_VALUE"""),"Đồng ống thẳng 34.93x1.10")</f>
        <v>Đồng ống thẳng 34.93x1.10</v>
      </c>
      <c r="E744" s="589">
        <f ca="1">IFERROR(__xludf.DUMMYFUNCTION("""COMPUTED_VALUE"""),0.1)</f>
        <v>0.1</v>
      </c>
      <c r="F744" s="590" t="str">
        <f ca="1">IFERROR(__xludf.DUMMYFUNCTION("""COMPUTED_VALUE"""),"Cây")</f>
        <v>Cây</v>
      </c>
      <c r="G744" s="590" t="str">
        <f ca="1">IFERROR(__xludf.DUMMYFUNCTION("""COMPUTED_VALUE"""),"Cây 2.9m")</f>
        <v>Cây 2.9m</v>
      </c>
      <c r="H744" s="588" t="str">
        <f ca="1">IFERROR(__xludf.DUMMYFUNCTION("""COMPUTED_VALUE"""),"7")</f>
        <v>7</v>
      </c>
      <c r="I744" s="591">
        <f ca="1">IFERROR(__xludf.DUMMYFUNCTION("""COMPUTED_VALUE"""),3.127454946)</f>
        <v>3.1274549459999998</v>
      </c>
      <c r="J744" s="592" t="str">
        <f ca="1">IFERROR(__xludf.DUMMYFUNCTION("""COMPUTED_VALUE""")," 34.93 ")</f>
        <v xml:space="preserve"> 34.93 </v>
      </c>
      <c r="K744" s="590" t="str">
        <f ca="1">IFERROR(__xludf.DUMMYFUNCTION("""COMPUTED_VALUE"""),"1.10")</f>
        <v>1.10</v>
      </c>
      <c r="L744" s="590">
        <f ca="1">IFERROR(__xludf.DUMMYFUNCTION("""COMPUTED_VALUE"""),2.9)</f>
        <v>2.9</v>
      </c>
      <c r="M744" s="590"/>
      <c r="N744" s="590" t="str">
        <f ca="1">IFERROR(__xludf.DUMMYFUNCTION("""COMPUTED_VALUE"""),"Dị_D&lt;54")</f>
        <v>Dị_D&lt;54</v>
      </c>
      <c r="O744" s="589"/>
      <c r="P744" s="590"/>
    </row>
    <row r="745" spans="1:17" ht="15.75">
      <c r="A745" s="581" t="str">
        <f ca="1">IFERROR(__xludf.DUMMYFUNCTION("""COMPUTED_VALUE"""),"Toàn Phát - Việt Nam")</f>
        <v>Toàn Phát - Việt Nam</v>
      </c>
      <c r="B745" s="581" t="str">
        <f ca="1">IFERROR(__xludf.DUMMYFUNCTION("""COMPUTED_VALUE"""),"ĐTPCAYDI")</f>
        <v>ĐTPCAYDI</v>
      </c>
      <c r="C745" s="581" t="str">
        <f ca="1">IFERROR(__xludf.DUMMYFUNCTION("""COMPUTED_VALUE"""),"DOT349011058")</f>
        <v>DOT349011058</v>
      </c>
      <c r="D745" s="582" t="str">
        <f ca="1">IFERROR(__xludf.DUMMYFUNCTION("""COMPUTED_VALUE"""),"Đồng ống thẳng 34.93x1.10x5.8")</f>
        <v>Đồng ống thẳng 34.93x1.10x5.8</v>
      </c>
      <c r="E745" s="583">
        <f ca="1">IFERROR(__xludf.DUMMYFUNCTION("""COMPUTED_VALUE"""),0.1)</f>
        <v>0.1</v>
      </c>
      <c r="F745" s="584" t="str">
        <f ca="1">IFERROR(__xludf.DUMMYFUNCTION("""COMPUTED_VALUE"""),"Cây")</f>
        <v>Cây</v>
      </c>
      <c r="G745" s="584" t="str">
        <f ca="1">IFERROR(__xludf.DUMMYFUNCTION("""COMPUTED_VALUE"""),"Cây 5.8m")</f>
        <v>Cây 5.8m</v>
      </c>
      <c r="H745" s="582"/>
      <c r="I745" s="585">
        <f ca="1">IFERROR(__xludf.DUMMYFUNCTION("""COMPUTED_VALUE"""),6.254909892)</f>
        <v>6.2549098919999997</v>
      </c>
      <c r="J745" s="586" t="str">
        <f ca="1">IFERROR(__xludf.DUMMYFUNCTION("""COMPUTED_VALUE""")," 34.93 ")</f>
        <v xml:space="preserve"> 34.93 </v>
      </c>
      <c r="K745" s="584" t="str">
        <f ca="1">IFERROR(__xludf.DUMMYFUNCTION("""COMPUTED_VALUE"""),"1.10")</f>
        <v>1.10</v>
      </c>
      <c r="L745" s="584">
        <f ca="1">IFERROR(__xludf.DUMMYFUNCTION("""COMPUTED_VALUE"""),5.8)</f>
        <v>5.8</v>
      </c>
      <c r="M745" s="584"/>
      <c r="N745" s="584" t="str">
        <f ca="1">IFERROR(__xludf.DUMMYFUNCTION("""COMPUTED_VALUE"""),"Dị_D&lt;54")</f>
        <v>Dị_D&lt;54</v>
      </c>
      <c r="O745" s="583"/>
      <c r="P745" s="584"/>
    </row>
    <row r="746" spans="1:17" ht="15.75">
      <c r="A746" s="587" t="str">
        <f ca="1">IFERROR(__xludf.DUMMYFUNCTION("""COMPUTED_VALUE"""),"Toàn Phát - Việt Nam")</f>
        <v>Toàn Phát - Việt Nam</v>
      </c>
      <c r="B746" s="587" t="str">
        <f ca="1">IFERROR(__xludf.DUMMYFUNCTION("""COMPUTED_VALUE"""),"ĐTPCAYDI")</f>
        <v>ĐTPCAYDI</v>
      </c>
      <c r="C746" s="587" t="str">
        <f ca="1">IFERROR(__xludf.DUMMYFUNCTION("""COMPUTED_VALUE"""),"DOT3490115")</f>
        <v>DOT3490115</v>
      </c>
      <c r="D746" s="588" t="str">
        <f ca="1">IFERROR(__xludf.DUMMYFUNCTION("""COMPUTED_VALUE"""),"Đồng ống thẳng 34.93x1.15")</f>
        <v>Đồng ống thẳng 34.93x1.15</v>
      </c>
      <c r="E746" s="589">
        <f ca="1">IFERROR(__xludf.DUMMYFUNCTION("""COMPUTED_VALUE"""),0.1)</f>
        <v>0.1</v>
      </c>
      <c r="F746" s="590" t="str">
        <f ca="1">IFERROR(__xludf.DUMMYFUNCTION("""COMPUTED_VALUE"""),"Cây")</f>
        <v>Cây</v>
      </c>
      <c r="G746" s="590" t="str">
        <f ca="1">IFERROR(__xludf.DUMMYFUNCTION("""COMPUTED_VALUE"""),"Cây 2.9m")</f>
        <v>Cây 2.9m</v>
      </c>
      <c r="H746" s="588" t="str">
        <f ca="1">IFERROR(__xludf.DUMMYFUNCTION("""COMPUTED_VALUE"""),"7")</f>
        <v>7</v>
      </c>
      <c r="I746" s="591">
        <f ca="1">IFERROR(__xludf.DUMMYFUNCTION("""COMPUTED_VALUE"""),3.264779574)</f>
        <v>3.2647795739999999</v>
      </c>
      <c r="J746" s="592" t="str">
        <f ca="1">IFERROR(__xludf.DUMMYFUNCTION("""COMPUTED_VALUE""")," 34.93 ")</f>
        <v xml:space="preserve"> 34.93 </v>
      </c>
      <c r="K746" s="590" t="str">
        <f ca="1">IFERROR(__xludf.DUMMYFUNCTION("""COMPUTED_VALUE"""),"1.15")</f>
        <v>1.15</v>
      </c>
      <c r="L746" s="590">
        <f ca="1">IFERROR(__xludf.DUMMYFUNCTION("""COMPUTED_VALUE"""),2.9)</f>
        <v>2.9</v>
      </c>
      <c r="M746" s="590"/>
      <c r="N746" s="590" t="str">
        <f ca="1">IFERROR(__xludf.DUMMYFUNCTION("""COMPUTED_VALUE"""),"Dị_D&lt;54")</f>
        <v>Dị_D&lt;54</v>
      </c>
      <c r="O746" s="589"/>
      <c r="P746" s="590"/>
    </row>
    <row r="747" spans="1:17" ht="15.75">
      <c r="A747" s="581" t="str">
        <f ca="1">IFERROR(__xludf.DUMMYFUNCTION("""COMPUTED_VALUE"""),"Toàn Phát - Việt Nam")</f>
        <v>Toàn Phát - Việt Nam</v>
      </c>
      <c r="B747" s="581" t="str">
        <f ca="1">IFERROR(__xludf.DUMMYFUNCTION("""COMPUTED_VALUE"""),"ĐTPCAYDI")</f>
        <v>ĐTPCAYDI</v>
      </c>
      <c r="C747" s="581" t="str">
        <f ca="1">IFERROR(__xludf.DUMMYFUNCTION("""COMPUTED_VALUE"""),"DOT3493115")</f>
        <v>DOT3493115</v>
      </c>
      <c r="D747" s="582" t="str">
        <f ca="1">IFERROR(__xludf.DUMMYFUNCTION("""COMPUTED_VALUE"""),"Đồng ống thẳng 34.93x1.15x2.9")</f>
        <v>Đồng ống thẳng 34.93x1.15x2.9</v>
      </c>
      <c r="E747" s="583">
        <f ca="1">IFERROR(__xludf.DUMMYFUNCTION("""COMPUTED_VALUE"""),0.1)</f>
        <v>0.1</v>
      </c>
      <c r="F747" s="584" t="str">
        <f ca="1">IFERROR(__xludf.DUMMYFUNCTION("""COMPUTED_VALUE"""),"Cây")</f>
        <v>Cây</v>
      </c>
      <c r="G747" s="584" t="str">
        <f ca="1">IFERROR(__xludf.DUMMYFUNCTION("""COMPUTED_VALUE"""),"Cây 2.9m")</f>
        <v>Cây 2.9m</v>
      </c>
      <c r="H747" s="582" t="str">
        <f ca="1">IFERROR(__xludf.DUMMYFUNCTION("""COMPUTED_VALUE"""),"7")</f>
        <v>7</v>
      </c>
      <c r="I747" s="585">
        <f ca="1">IFERROR(__xludf.DUMMYFUNCTION("""COMPUTED_VALUE"""),3.264779574)</f>
        <v>3.2647795739999999</v>
      </c>
      <c r="J747" s="586" t="str">
        <f ca="1">IFERROR(__xludf.DUMMYFUNCTION("""COMPUTED_VALUE""")," 34.93 ")</f>
        <v xml:space="preserve"> 34.93 </v>
      </c>
      <c r="K747" s="584" t="str">
        <f ca="1">IFERROR(__xludf.DUMMYFUNCTION("""COMPUTED_VALUE"""),"1.15")</f>
        <v>1.15</v>
      </c>
      <c r="L747" s="584">
        <f ca="1">IFERROR(__xludf.DUMMYFUNCTION("""COMPUTED_VALUE"""),2.9)</f>
        <v>2.9</v>
      </c>
      <c r="M747" s="584"/>
      <c r="N747" s="584" t="str">
        <f ca="1">IFERROR(__xludf.DUMMYFUNCTION("""COMPUTED_VALUE"""),"Dị_D&lt;54")</f>
        <v>Dị_D&lt;54</v>
      </c>
      <c r="O747" s="583"/>
      <c r="P747" s="584"/>
    </row>
    <row r="748" spans="1:17" ht="15.75">
      <c r="A748" s="587" t="str">
        <f ca="1">IFERROR(__xludf.DUMMYFUNCTION("""COMPUTED_VALUE"""),"Toàn Phát - Việt Nam")</f>
        <v>Toàn Phát - Việt Nam</v>
      </c>
      <c r="B748" s="587" t="str">
        <f ca="1">IFERROR(__xludf.DUMMYFUNCTION("""COMPUTED_VALUE"""),"ĐTPCAYCT")</f>
        <v>ĐTPCAYCT</v>
      </c>
      <c r="C748" s="587" t="str">
        <f ca="1">IFERROR(__xludf.DUMMYFUNCTION("""COMPUTED_VALUE"""),"DOT3493120")</f>
        <v>DOT3493120</v>
      </c>
      <c r="D748" s="588" t="str">
        <f ca="1">IFERROR(__xludf.DUMMYFUNCTION("""COMPUTED_VALUE"""),"Đồng ống thẳng 34.93x1.20")</f>
        <v>Đồng ống thẳng 34.93x1.20</v>
      </c>
      <c r="E748" s="589">
        <f ca="1">IFERROR(__xludf.DUMMYFUNCTION("""COMPUTED_VALUE"""),0.1)</f>
        <v>0.1</v>
      </c>
      <c r="F748" s="590" t="str">
        <f ca="1">IFERROR(__xludf.DUMMYFUNCTION("""COMPUTED_VALUE"""),"Cây")</f>
        <v>Cây</v>
      </c>
      <c r="G748" s="590" t="str">
        <f ca="1">IFERROR(__xludf.DUMMYFUNCTION("""COMPUTED_VALUE"""),"Cây 2.9m")</f>
        <v>Cây 2.9m</v>
      </c>
      <c r="H748" s="588" t="str">
        <f ca="1">IFERROR(__xludf.DUMMYFUNCTION("""COMPUTED_VALUE"""),"7")</f>
        <v>7</v>
      </c>
      <c r="I748" s="591">
        <f ca="1">IFERROR(__xludf.DUMMYFUNCTION("""COMPUTED_VALUE"""),3.40168399199999)</f>
        <v>3.4016839919999899</v>
      </c>
      <c r="J748" s="592" t="str">
        <f ca="1">IFERROR(__xludf.DUMMYFUNCTION("""COMPUTED_VALUE""")," 34.93 ")</f>
        <v xml:space="preserve"> 34.93 </v>
      </c>
      <c r="K748" s="590" t="str">
        <f ca="1">IFERROR(__xludf.DUMMYFUNCTION("""COMPUTED_VALUE"""),"1.20")</f>
        <v>1.20</v>
      </c>
      <c r="L748" s="590">
        <f ca="1">IFERROR(__xludf.DUMMYFUNCTION("""COMPUTED_VALUE"""),2.9)</f>
        <v>2.9</v>
      </c>
      <c r="M748" s="590"/>
      <c r="N748" s="590" t="str">
        <f ca="1">IFERROR(__xludf.DUMMYFUNCTION("""COMPUTED_VALUE"""),"Không")</f>
        <v>Không</v>
      </c>
      <c r="O748" s="589"/>
      <c r="P748" s="590"/>
      <c r="Q748" s="885">
        <f ca="1">+$Q$5*I748</f>
        <v>782.38731815999756</v>
      </c>
    </row>
    <row r="749" spans="1:17" ht="15.75">
      <c r="A749" s="581" t="str">
        <f ca="1">IFERROR(__xludf.DUMMYFUNCTION("""COMPUTED_VALUE"""),"Toàn Phát - Việt Nam")</f>
        <v>Toàn Phát - Việt Nam</v>
      </c>
      <c r="B749" s="581" t="str">
        <f ca="1">IFERROR(__xludf.DUMMYFUNCTION("""COMPUTED_VALUE"""),"ĐTPCAYDI")</f>
        <v>ĐTPCAYDI</v>
      </c>
      <c r="C749" s="581" t="str">
        <f ca="1">IFERROR(__xludf.DUMMYFUNCTION("""COMPUTED_VALUE"""),"DOT349012058")</f>
        <v>DOT349012058</v>
      </c>
      <c r="D749" s="582" t="str">
        <f ca="1">IFERROR(__xludf.DUMMYFUNCTION("""COMPUTED_VALUE"""),"Đồng ống thẳng 34.93x1.20x5.8")</f>
        <v>Đồng ống thẳng 34.93x1.20x5.8</v>
      </c>
      <c r="E749" s="583">
        <f ca="1">IFERROR(__xludf.DUMMYFUNCTION("""COMPUTED_VALUE"""),0.1)</f>
        <v>0.1</v>
      </c>
      <c r="F749" s="584" t="str">
        <f ca="1">IFERROR(__xludf.DUMMYFUNCTION("""COMPUTED_VALUE"""),"Cây")</f>
        <v>Cây</v>
      </c>
      <c r="G749" s="584" t="str">
        <f ca="1">IFERROR(__xludf.DUMMYFUNCTION("""COMPUTED_VALUE"""),"Cây 5.8m")</f>
        <v>Cây 5.8m</v>
      </c>
      <c r="H749" s="582"/>
      <c r="I749" s="585">
        <f ca="1">IFERROR(__xludf.DUMMYFUNCTION("""COMPUTED_VALUE"""),6.80336798399999)</f>
        <v>6.8033679839999897</v>
      </c>
      <c r="J749" s="586" t="str">
        <f ca="1">IFERROR(__xludf.DUMMYFUNCTION("""COMPUTED_VALUE""")," 34.93 ")</f>
        <v xml:space="preserve"> 34.93 </v>
      </c>
      <c r="K749" s="584" t="str">
        <f ca="1">IFERROR(__xludf.DUMMYFUNCTION("""COMPUTED_VALUE"""),"1.20")</f>
        <v>1.20</v>
      </c>
      <c r="L749" s="584">
        <f ca="1">IFERROR(__xludf.DUMMYFUNCTION("""COMPUTED_VALUE"""),5.8)</f>
        <v>5.8</v>
      </c>
      <c r="M749" s="584"/>
      <c r="N749" s="584" t="str">
        <f ca="1">IFERROR(__xludf.DUMMYFUNCTION("""COMPUTED_VALUE"""),"Dị_D&lt;54")</f>
        <v>Dị_D&lt;54</v>
      </c>
      <c r="O749" s="583"/>
      <c r="P749" s="584"/>
    </row>
    <row r="750" spans="1:17" ht="15.75">
      <c r="A750" s="587" t="str">
        <f ca="1">IFERROR(__xludf.DUMMYFUNCTION("""COMPUTED_VALUE"""),"Toàn Phát - Việt Nam")</f>
        <v>Toàn Phát - Việt Nam</v>
      </c>
      <c r="B750" s="587" t="str">
        <f ca="1">IFERROR(__xludf.DUMMYFUNCTION("""COMPUTED_VALUE"""),"ĐTPCAYDI")</f>
        <v>ĐTPCAYDI</v>
      </c>
      <c r="C750" s="587" t="str">
        <f ca="1">IFERROR(__xludf.DUMMYFUNCTION("""COMPUTED_VALUE"""),"DOT3490122")</f>
        <v>DOT3490122</v>
      </c>
      <c r="D750" s="588" t="str">
        <f ca="1">IFERROR(__xludf.DUMMYFUNCTION("""COMPUTED_VALUE"""),"Đồng ống thẳng 34.93x1.22")</f>
        <v>Đồng ống thẳng 34.93x1.22</v>
      </c>
      <c r="E750" s="589">
        <f ca="1">IFERROR(__xludf.DUMMYFUNCTION("""COMPUTED_VALUE"""),0.1)</f>
        <v>0.1</v>
      </c>
      <c r="F750" s="590" t="str">
        <f ca="1">IFERROR(__xludf.DUMMYFUNCTION("""COMPUTED_VALUE"""),"Cây")</f>
        <v>Cây</v>
      </c>
      <c r="G750" s="590" t="str">
        <f ca="1">IFERROR(__xludf.DUMMYFUNCTION("""COMPUTED_VALUE"""),"Cây 2.9m")</f>
        <v>Cây 2.9m</v>
      </c>
      <c r="H750" s="588" t="str">
        <f ca="1">IFERROR(__xludf.DUMMYFUNCTION("""COMPUTED_VALUE"""),"7")</f>
        <v>7</v>
      </c>
      <c r="I750" s="591">
        <f ca="1">IFERROR(__xludf.DUMMYFUNCTION("""COMPUTED_VALUE"""),3.45632810039999)</f>
        <v>3.4563281003999902</v>
      </c>
      <c r="J750" s="592" t="str">
        <f ca="1">IFERROR(__xludf.DUMMYFUNCTION("""COMPUTED_VALUE""")," 34.93 ")</f>
        <v xml:space="preserve"> 34.93 </v>
      </c>
      <c r="K750" s="590" t="str">
        <f ca="1">IFERROR(__xludf.DUMMYFUNCTION("""COMPUTED_VALUE"""),"1.22")</f>
        <v>1.22</v>
      </c>
      <c r="L750" s="590">
        <f ca="1">IFERROR(__xludf.DUMMYFUNCTION("""COMPUTED_VALUE"""),2.9)</f>
        <v>2.9</v>
      </c>
      <c r="M750" s="590"/>
      <c r="N750" s="590" t="str">
        <f ca="1">IFERROR(__xludf.DUMMYFUNCTION("""COMPUTED_VALUE"""),"Dị_D&lt;54")</f>
        <v>Dị_D&lt;54</v>
      </c>
      <c r="O750" s="589"/>
      <c r="P750" s="590"/>
    </row>
    <row r="751" spans="1:17" ht="15.75">
      <c r="A751" s="581" t="str">
        <f ca="1">IFERROR(__xludf.DUMMYFUNCTION("""COMPUTED_VALUE"""),"Toàn Phát - Việt Nam")</f>
        <v>Toàn Phát - Việt Nam</v>
      </c>
      <c r="B751" s="581" t="str">
        <f ca="1">IFERROR(__xludf.DUMMYFUNCTION("""COMPUTED_VALUE"""),"ĐTPCAYDI")</f>
        <v>ĐTPCAYDI</v>
      </c>
      <c r="C751" s="581" t="str">
        <f ca="1">IFERROR(__xludf.DUMMYFUNCTION("""COMPUTED_VALUE"""),"DOT3493127")</f>
        <v>DOT3493127</v>
      </c>
      <c r="D751" s="582" t="str">
        <f ca="1">IFERROR(__xludf.DUMMYFUNCTION("""COMPUTED_VALUE"""),"Đồng ống thẳng 34.93x1.27")</f>
        <v>Đồng ống thẳng 34.93x1.27</v>
      </c>
      <c r="E751" s="583">
        <f ca="1">IFERROR(__xludf.DUMMYFUNCTION("""COMPUTED_VALUE"""),0.1)</f>
        <v>0.1</v>
      </c>
      <c r="F751" s="584" t="str">
        <f ca="1">IFERROR(__xludf.DUMMYFUNCTION("""COMPUTED_VALUE"""),"Cây")</f>
        <v>Cây</v>
      </c>
      <c r="G751" s="584" t="str">
        <f ca="1">IFERROR(__xludf.DUMMYFUNCTION("""COMPUTED_VALUE"""),"Cây 2.9m")</f>
        <v>Cây 2.9m</v>
      </c>
      <c r="H751" s="582" t="str">
        <f ca="1">IFERROR(__xludf.DUMMYFUNCTION("""COMPUTED_VALUE"""),"7")</f>
        <v>7</v>
      </c>
      <c r="I751" s="585">
        <f ca="1">IFERROR(__xludf.DUMMYFUNCTION("""COMPUTED_VALUE"""),3.5926442244)</f>
        <v>3.5926442243999999</v>
      </c>
      <c r="J751" s="586" t="str">
        <f ca="1">IFERROR(__xludf.DUMMYFUNCTION("""COMPUTED_VALUE""")," 34.93 ")</f>
        <v xml:space="preserve"> 34.93 </v>
      </c>
      <c r="K751" s="584" t="str">
        <f ca="1">IFERROR(__xludf.DUMMYFUNCTION("""COMPUTED_VALUE"""),"1.27")</f>
        <v>1.27</v>
      </c>
      <c r="L751" s="584">
        <f ca="1">IFERROR(__xludf.DUMMYFUNCTION("""COMPUTED_VALUE"""),2.9)</f>
        <v>2.9</v>
      </c>
      <c r="M751" s="584"/>
      <c r="N751" s="584" t="str">
        <f ca="1">IFERROR(__xludf.DUMMYFUNCTION("""COMPUTED_VALUE"""),"Dị_D&lt;54")</f>
        <v>Dị_D&lt;54</v>
      </c>
      <c r="O751" s="583"/>
      <c r="P751" s="584"/>
    </row>
    <row r="752" spans="1:17" ht="15.75">
      <c r="A752" s="587" t="str">
        <f ca="1">IFERROR(__xludf.DUMMYFUNCTION("""COMPUTED_VALUE"""),"Toàn Phát - Việt Nam")</f>
        <v>Toàn Phát - Việt Nam</v>
      </c>
      <c r="B752" s="587" t="str">
        <f ca="1">IFERROR(__xludf.DUMMYFUNCTION("""COMPUTED_VALUE"""),"ĐTPCAYDI")</f>
        <v>ĐTPCAYDI</v>
      </c>
      <c r="C752" s="587" t="str">
        <f ca="1">IFERROR(__xludf.DUMMYFUNCTION("""COMPUTED_VALUE"""),"DOT3493130")</f>
        <v>DOT3493130</v>
      </c>
      <c r="D752" s="588" t="str">
        <f ca="1">IFERROR(__xludf.DUMMYFUNCTION("""COMPUTED_VALUE"""),"Đồng ống thẳng 34.93x1.3")</f>
        <v>Đồng ống thẳng 34.93x1.3</v>
      </c>
      <c r="E752" s="589">
        <f ca="1">IFERROR(__xludf.DUMMYFUNCTION("""COMPUTED_VALUE"""),0.1)</f>
        <v>0.1</v>
      </c>
      <c r="F752" s="590" t="str">
        <f ca="1">IFERROR(__xludf.DUMMYFUNCTION("""COMPUTED_VALUE"""),"Cây")</f>
        <v>Cây</v>
      </c>
      <c r="G752" s="590" t="str">
        <f ca="1">IFERROR(__xludf.DUMMYFUNCTION("""COMPUTED_VALUE"""),"Cây 2.9m")</f>
        <v>Cây 2.9m</v>
      </c>
      <c r="H752" s="588" t="str">
        <f ca="1">IFERROR(__xludf.DUMMYFUNCTION("""COMPUTED_VALUE"""),"7")</f>
        <v>7</v>
      </c>
      <c r="I752" s="591">
        <f ca="1">IFERROR(__xludf.DUMMYFUNCTION("""COMPUTED_VALUE"""),3.674232198)</f>
        <v>3.6742321979999999</v>
      </c>
      <c r="J752" s="592" t="str">
        <f ca="1">IFERROR(__xludf.DUMMYFUNCTION("""COMPUTED_VALUE""")," 34.93 ")</f>
        <v xml:space="preserve"> 34.93 </v>
      </c>
      <c r="K752" s="590" t="str">
        <f ca="1">IFERROR(__xludf.DUMMYFUNCTION("""COMPUTED_VALUE"""),"1.30")</f>
        <v>1.30</v>
      </c>
      <c r="L752" s="590">
        <f ca="1">IFERROR(__xludf.DUMMYFUNCTION("""COMPUTED_VALUE"""),2.9)</f>
        <v>2.9</v>
      </c>
      <c r="M752" s="590"/>
      <c r="N752" s="590" t="str">
        <f ca="1">IFERROR(__xludf.DUMMYFUNCTION("""COMPUTED_VALUE"""),"Dị_D&lt;54")</f>
        <v>Dị_D&lt;54</v>
      </c>
      <c r="O752" s="589"/>
      <c r="P752" s="590"/>
    </row>
    <row r="753" spans="1:17" ht="15.75">
      <c r="A753" s="581" t="str">
        <f ca="1">IFERROR(__xludf.DUMMYFUNCTION("""COMPUTED_VALUE"""),"Toàn Phát - Việt Nam")</f>
        <v>Toàn Phát - Việt Nam</v>
      </c>
      <c r="B753" s="581" t="str">
        <f ca="1">IFERROR(__xludf.DUMMYFUNCTION("""COMPUTED_VALUE"""),"ĐTPCAYDI")</f>
        <v>ĐTPCAYDI</v>
      </c>
      <c r="C753" s="581" t="str">
        <f ca="1">IFERROR(__xludf.DUMMYFUNCTION("""COMPUTED_VALUE"""),"DOT3490135")</f>
        <v>DOT3490135</v>
      </c>
      <c r="D753" s="582" t="str">
        <f ca="1">IFERROR(__xludf.DUMMYFUNCTION("""COMPUTED_VALUE"""),"Đồng ống thẳng 34.93x1.35")</f>
        <v>Đồng ống thẳng 34.93x1.35</v>
      </c>
      <c r="E753" s="583">
        <f ca="1">IFERROR(__xludf.DUMMYFUNCTION("""COMPUTED_VALUE"""),0.1)</f>
        <v>0.1</v>
      </c>
      <c r="F753" s="584" t="str">
        <f ca="1">IFERROR(__xludf.DUMMYFUNCTION("""COMPUTED_VALUE"""),"Cây")</f>
        <v>Cây</v>
      </c>
      <c r="G753" s="584" t="str">
        <f ca="1">IFERROR(__xludf.DUMMYFUNCTION("""COMPUTED_VALUE"""),"Cây 2.9m")</f>
        <v>Cây 2.9m</v>
      </c>
      <c r="H753" s="582" t="str">
        <f ca="1">IFERROR(__xludf.DUMMYFUNCTION("""COMPUTED_VALUE"""),"7")</f>
        <v>7</v>
      </c>
      <c r="I753" s="585">
        <f ca="1">IFERROR(__xludf.DUMMYFUNCTION("""COMPUTED_VALUE"""),3.80987598599999)</f>
        <v>3.80987598599999</v>
      </c>
      <c r="J753" s="586" t="str">
        <f ca="1">IFERROR(__xludf.DUMMYFUNCTION("""COMPUTED_VALUE""")," 34.93 ")</f>
        <v xml:space="preserve"> 34.93 </v>
      </c>
      <c r="K753" s="584" t="str">
        <f ca="1">IFERROR(__xludf.DUMMYFUNCTION("""COMPUTED_VALUE"""),"1.35")</f>
        <v>1.35</v>
      </c>
      <c r="L753" s="584">
        <f ca="1">IFERROR(__xludf.DUMMYFUNCTION("""COMPUTED_VALUE"""),2.9)</f>
        <v>2.9</v>
      </c>
      <c r="M753" s="584"/>
      <c r="N753" s="584" t="str">
        <f ca="1">IFERROR(__xludf.DUMMYFUNCTION("""COMPUTED_VALUE"""),"Dị_D&lt;54")</f>
        <v>Dị_D&lt;54</v>
      </c>
      <c r="O753" s="583"/>
      <c r="P753" s="584"/>
    </row>
    <row r="754" spans="1:17" ht="15.75">
      <c r="A754" s="587" t="str">
        <f ca="1">IFERROR(__xludf.DUMMYFUNCTION("""COMPUTED_VALUE"""),"Toàn Phát - Việt Nam")</f>
        <v>Toàn Phát - Việt Nam</v>
      </c>
      <c r="B754" s="587" t="str">
        <f ca="1">IFERROR(__xludf.DUMMYFUNCTION("""COMPUTED_VALUE"""),"ĐTPCAYDI")</f>
        <v>ĐTPCAYDI</v>
      </c>
      <c r="C754" s="587" t="str">
        <f ca="1">IFERROR(__xludf.DUMMYFUNCTION("""COMPUTED_VALUE"""),"DOT349013558")</f>
        <v>DOT349013558</v>
      </c>
      <c r="D754" s="588" t="str">
        <f ca="1">IFERROR(__xludf.DUMMYFUNCTION("""COMPUTED_VALUE"""),"Đồng ống thẳng 34.93x1.35x5.8")</f>
        <v>Đồng ống thẳng 34.93x1.35x5.8</v>
      </c>
      <c r="E754" s="589">
        <f ca="1">IFERROR(__xludf.DUMMYFUNCTION("""COMPUTED_VALUE"""),0.1)</f>
        <v>0.1</v>
      </c>
      <c r="F754" s="590" t="str">
        <f ca="1">IFERROR(__xludf.DUMMYFUNCTION("""COMPUTED_VALUE"""),"Cây")</f>
        <v>Cây</v>
      </c>
      <c r="G754" s="590" t="str">
        <f ca="1">IFERROR(__xludf.DUMMYFUNCTION("""COMPUTED_VALUE"""),"Cây 5.8m")</f>
        <v>Cây 5.8m</v>
      </c>
      <c r="H754" s="588"/>
      <c r="I754" s="591">
        <f ca="1">IFERROR(__xludf.DUMMYFUNCTION("""COMPUTED_VALUE"""),7.61975197199999)</f>
        <v>7.6197519719999898</v>
      </c>
      <c r="J754" s="592" t="str">
        <f ca="1">IFERROR(__xludf.DUMMYFUNCTION("""COMPUTED_VALUE""")," 34.93 ")</f>
        <v xml:space="preserve"> 34.93 </v>
      </c>
      <c r="K754" s="590" t="str">
        <f ca="1">IFERROR(__xludf.DUMMYFUNCTION("""COMPUTED_VALUE"""),"1.35")</f>
        <v>1.35</v>
      </c>
      <c r="L754" s="590">
        <f ca="1">IFERROR(__xludf.DUMMYFUNCTION("""COMPUTED_VALUE"""),5.8)</f>
        <v>5.8</v>
      </c>
      <c r="M754" s="590"/>
      <c r="N754" s="590" t="str">
        <f ca="1">IFERROR(__xludf.DUMMYFUNCTION("""COMPUTED_VALUE"""),"Dị_D&lt;54")</f>
        <v>Dị_D&lt;54</v>
      </c>
      <c r="O754" s="589"/>
      <c r="P754" s="590"/>
    </row>
    <row r="755" spans="1:17" ht="15.75">
      <c r="A755" s="581" t="str">
        <f ca="1">IFERROR(__xludf.DUMMYFUNCTION("""COMPUTED_VALUE"""),"Toàn Phát - Việt Nam")</f>
        <v>Toàn Phát - Việt Nam</v>
      </c>
      <c r="B755" s="581" t="str">
        <f ca="1">IFERROR(__xludf.DUMMYFUNCTION("""COMPUTED_VALUE"""),"ĐTPCAYDI")</f>
        <v>ĐTPCAYDI</v>
      </c>
      <c r="C755" s="581" t="str">
        <f ca="1">IFERROR(__xludf.DUMMYFUNCTION("""COMPUTED_VALUE"""),"DOT349014058")</f>
        <v>DOT349014058</v>
      </c>
      <c r="D755" s="582" t="str">
        <f ca="1">IFERROR(__xludf.DUMMYFUNCTION("""COMPUTED_VALUE"""),"Đồng ống thẳng 34.93x1.40x5.8")</f>
        <v>Đồng ống thẳng 34.93x1.40x5.8</v>
      </c>
      <c r="E755" s="583">
        <f ca="1">IFERROR(__xludf.DUMMYFUNCTION("""COMPUTED_VALUE"""),0.1)</f>
        <v>0.1</v>
      </c>
      <c r="F755" s="584" t="str">
        <f ca="1">IFERROR(__xludf.DUMMYFUNCTION("""COMPUTED_VALUE"""),"Cây")</f>
        <v>Cây</v>
      </c>
      <c r="G755" s="584" t="str">
        <f ca="1">IFERROR(__xludf.DUMMYFUNCTION("""COMPUTED_VALUE"""),"Cây 5.8m")</f>
        <v>Cây 5.8m</v>
      </c>
      <c r="H755" s="582"/>
      <c r="I755" s="585">
        <f ca="1">IFERROR(__xludf.DUMMYFUNCTION("""COMPUTED_VALUE"""),7.89019912799999)</f>
        <v>7.8901991279999901</v>
      </c>
      <c r="J755" s="586" t="str">
        <f ca="1">IFERROR(__xludf.DUMMYFUNCTION("""COMPUTED_VALUE""")," 34.93 ")</f>
        <v xml:space="preserve"> 34.93 </v>
      </c>
      <c r="K755" s="584" t="str">
        <f ca="1">IFERROR(__xludf.DUMMYFUNCTION("""COMPUTED_VALUE"""),"1.40")</f>
        <v>1.40</v>
      </c>
      <c r="L755" s="584">
        <f ca="1">IFERROR(__xludf.DUMMYFUNCTION("""COMPUTED_VALUE"""),5.8)</f>
        <v>5.8</v>
      </c>
      <c r="M755" s="584"/>
      <c r="N755" s="584" t="str">
        <f ca="1">IFERROR(__xludf.DUMMYFUNCTION("""COMPUTED_VALUE"""),"Dị_D&lt;54")</f>
        <v>Dị_D&lt;54</v>
      </c>
      <c r="O755" s="583"/>
      <c r="P755" s="584"/>
    </row>
    <row r="756" spans="1:17" ht="15.75">
      <c r="A756" s="587" t="str">
        <f ca="1">IFERROR(__xludf.DUMMYFUNCTION("""COMPUTED_VALUE"""),"Toàn Phát - Việt Nam")</f>
        <v>Toàn Phát - Việt Nam</v>
      </c>
      <c r="B756" s="587" t="str">
        <f ca="1">IFERROR(__xludf.DUMMYFUNCTION("""COMPUTED_VALUE"""),"ĐTPCAYIB")</f>
        <v>ĐTPCAYIB</v>
      </c>
      <c r="C756" s="587" t="str">
        <f ca="1">IFERROR(__xludf.DUMMYFUNCTION("""COMPUTED_VALUE"""),"DOT3493140")</f>
        <v>DOT3493140</v>
      </c>
      <c r="D756" s="588" t="str">
        <f ca="1">IFERROR(__xludf.DUMMYFUNCTION("""COMPUTED_VALUE"""),"Đồng ống thẳng 34.93x1.40")</f>
        <v>Đồng ống thẳng 34.93x1.40</v>
      </c>
      <c r="E756" s="589">
        <f ca="1">IFERROR(__xludf.DUMMYFUNCTION("""COMPUTED_VALUE"""),0.1)</f>
        <v>0.1</v>
      </c>
      <c r="F756" s="590" t="str">
        <f ca="1">IFERROR(__xludf.DUMMYFUNCTION("""COMPUTED_VALUE"""),"Cây")</f>
        <v>Cây</v>
      </c>
      <c r="G756" s="590" t="str">
        <f ca="1">IFERROR(__xludf.DUMMYFUNCTION("""COMPUTED_VALUE"""),"Cây 2.9m")</f>
        <v>Cây 2.9m</v>
      </c>
      <c r="H756" s="588" t="str">
        <f ca="1">IFERROR(__xludf.DUMMYFUNCTION("""COMPUTED_VALUE"""),"7")</f>
        <v>7</v>
      </c>
      <c r="I756" s="591">
        <f ca="1">IFERROR(__xludf.DUMMYFUNCTION("""COMPUTED_VALUE"""),3.94509956399999)</f>
        <v>3.9450995639999902</v>
      </c>
      <c r="J756" s="592" t="str">
        <f ca="1">IFERROR(__xludf.DUMMYFUNCTION("""COMPUTED_VALUE""")," 34.93 ")</f>
        <v xml:space="preserve"> 34.93 </v>
      </c>
      <c r="K756" s="590" t="str">
        <f ca="1">IFERROR(__xludf.DUMMYFUNCTION("""COMPUTED_VALUE"""),"1.40")</f>
        <v>1.40</v>
      </c>
      <c r="L756" s="590">
        <f ca="1">IFERROR(__xludf.DUMMYFUNCTION("""COMPUTED_VALUE"""),2.9)</f>
        <v>2.9</v>
      </c>
      <c r="M756" s="590"/>
      <c r="N756" s="590" t="str">
        <f ca="1">IFERROR(__xludf.DUMMYFUNCTION("""COMPUTED_VALUE"""),"Ít bán")</f>
        <v>Ít bán</v>
      </c>
      <c r="O756" s="589"/>
      <c r="P756" s="590"/>
      <c r="Q756" s="885">
        <f ca="1">+$Q$5*I756</f>
        <v>907.37289971999758</v>
      </c>
    </row>
    <row r="757" spans="1:17" ht="15.75">
      <c r="A757" s="581" t="str">
        <f ca="1">IFERROR(__xludf.DUMMYFUNCTION("""COMPUTED_VALUE"""),"Toàn Phát - Việt Nam")</f>
        <v>Toàn Phát - Việt Nam</v>
      </c>
      <c r="B757" s="581" t="str">
        <f ca="1">IFERROR(__xludf.DUMMYFUNCTION("""COMPUTED_VALUE"""),"ĐTPCAYDI")</f>
        <v>ĐTPCAYDI</v>
      </c>
      <c r="C757" s="581" t="str">
        <f ca="1">IFERROR(__xludf.DUMMYFUNCTION("""COMPUTED_VALUE"""),"DOT3493143")</f>
        <v>DOT3493143</v>
      </c>
      <c r="D757" s="582" t="str">
        <f ca="1">IFERROR(__xludf.DUMMYFUNCTION("""COMPUTED_VALUE"""),"Đồng ống thẳng 34.93x1.43")</f>
        <v>Đồng ống thẳng 34.93x1.43</v>
      </c>
      <c r="E757" s="583">
        <f ca="1">IFERROR(__xludf.DUMMYFUNCTION("""COMPUTED_VALUE"""),0.1)</f>
        <v>0.1</v>
      </c>
      <c r="F757" s="584" t="str">
        <f ca="1">IFERROR(__xludf.DUMMYFUNCTION("""COMPUTED_VALUE"""),"Cây")</f>
        <v>Cây</v>
      </c>
      <c r="G757" s="584" t="str">
        <f ca="1">IFERROR(__xludf.DUMMYFUNCTION("""COMPUTED_VALUE"""),"Cây 2.9m")</f>
        <v>Cây 2.9m</v>
      </c>
      <c r="H757" s="582" t="str">
        <f ca="1">IFERROR(__xludf.DUMMYFUNCTION("""COMPUTED_VALUE"""),"7")</f>
        <v>7</v>
      </c>
      <c r="I757" s="585">
        <f ca="1">IFERROR(__xludf.DUMMYFUNCTION("""COMPUTED_VALUE"""),4.02603201)</f>
        <v>4.0260320099999998</v>
      </c>
      <c r="J757" s="586" t="str">
        <f ca="1">IFERROR(__xludf.DUMMYFUNCTION("""COMPUTED_VALUE""")," 34.93 ")</f>
        <v xml:space="preserve"> 34.93 </v>
      </c>
      <c r="K757" s="584" t="str">
        <f ca="1">IFERROR(__xludf.DUMMYFUNCTION("""COMPUTED_VALUE"""),"1.43")</f>
        <v>1.43</v>
      </c>
      <c r="L757" s="584">
        <f ca="1">IFERROR(__xludf.DUMMYFUNCTION("""COMPUTED_VALUE"""),2.9)</f>
        <v>2.9</v>
      </c>
      <c r="M757" s="584"/>
      <c r="N757" s="584" t="str">
        <f ca="1">IFERROR(__xludf.DUMMYFUNCTION("""COMPUTED_VALUE"""),"Dị_D&lt;54")</f>
        <v>Dị_D&lt;54</v>
      </c>
      <c r="O757" s="583"/>
      <c r="P757" s="584"/>
    </row>
    <row r="758" spans="1:17" ht="15.75">
      <c r="A758" s="587" t="str">
        <f ca="1">IFERROR(__xludf.DUMMYFUNCTION("""COMPUTED_VALUE"""),"Toàn Phát - Việt Nam")</f>
        <v>Toàn Phát - Việt Nam</v>
      </c>
      <c r="B758" s="587" t="str">
        <f ca="1">IFERROR(__xludf.DUMMYFUNCTION("""COMPUTED_VALUE"""),"ĐTPCAYDI")</f>
        <v>ĐTPCAYDI</v>
      </c>
      <c r="C758" s="587" t="str">
        <f ca="1">IFERROR(__xludf.DUMMYFUNCTION("""COMPUTED_VALUE"""),"DOT3490150")</f>
        <v>DOT3490150</v>
      </c>
      <c r="D758" s="588" t="str">
        <f ca="1">IFERROR(__xludf.DUMMYFUNCTION("""COMPUTED_VALUE"""),"Đồng ống thẳng 34.93x1.50")</f>
        <v>Đồng ống thẳng 34.93x1.50</v>
      </c>
      <c r="E758" s="589">
        <f ca="1">IFERROR(__xludf.DUMMYFUNCTION("""COMPUTED_VALUE"""),0.1)</f>
        <v>0.1</v>
      </c>
      <c r="F758" s="590" t="str">
        <f ca="1">IFERROR(__xludf.DUMMYFUNCTION("""COMPUTED_VALUE"""),"Cây")</f>
        <v>Cây</v>
      </c>
      <c r="G758" s="590" t="str">
        <f ca="1">IFERROR(__xludf.DUMMYFUNCTION("""COMPUTED_VALUE"""),"Cây 2.9m")</f>
        <v>Cây 2.9m</v>
      </c>
      <c r="H758" s="588" t="str">
        <f ca="1">IFERROR(__xludf.DUMMYFUNCTION("""COMPUTED_VALUE"""),"7")</f>
        <v>7</v>
      </c>
      <c r="I758" s="591">
        <f ca="1">IFERROR(__xludf.DUMMYFUNCTION("""COMPUTED_VALUE"""),4.21428608999999)</f>
        <v>4.2142860899999901</v>
      </c>
      <c r="J758" s="592" t="str">
        <f ca="1">IFERROR(__xludf.DUMMYFUNCTION("""COMPUTED_VALUE""")," 34.93 ")</f>
        <v xml:space="preserve"> 34.93 </v>
      </c>
      <c r="K758" s="590" t="str">
        <f ca="1">IFERROR(__xludf.DUMMYFUNCTION("""COMPUTED_VALUE"""),"1.50")</f>
        <v>1.50</v>
      </c>
      <c r="L758" s="590">
        <f ca="1">IFERROR(__xludf.DUMMYFUNCTION("""COMPUTED_VALUE"""),2.9)</f>
        <v>2.9</v>
      </c>
      <c r="M758" s="590"/>
      <c r="N758" s="590" t="str">
        <f ca="1">IFERROR(__xludf.DUMMYFUNCTION("""COMPUTED_VALUE"""),"Dị_D&lt;54")</f>
        <v>Dị_D&lt;54</v>
      </c>
      <c r="O758" s="589"/>
      <c r="P758" s="590"/>
    </row>
    <row r="759" spans="1:17" ht="15.75">
      <c r="A759" s="581" t="str">
        <f ca="1">IFERROR(__xludf.DUMMYFUNCTION("""COMPUTED_VALUE"""),"Toàn Phát - Việt Nam")</f>
        <v>Toàn Phát - Việt Nam</v>
      </c>
      <c r="B759" s="581" t="str">
        <f ca="1">IFERROR(__xludf.DUMMYFUNCTION("""COMPUTED_VALUE"""),"ĐTPCAYDI")</f>
        <v>ĐTPCAYDI</v>
      </c>
      <c r="C759" s="581" t="str">
        <f ca="1">IFERROR(__xludf.DUMMYFUNCTION("""COMPUTED_VALUE"""),"DOT34931503")</f>
        <v>DOT34931503</v>
      </c>
      <c r="D759" s="582" t="str">
        <f ca="1">IFERROR(__xludf.DUMMYFUNCTION("""COMPUTED_VALUE"""),"Đồng ống thẳng 34.93x1.50x3.0")</f>
        <v>Đồng ống thẳng 34.93x1.50x3.0</v>
      </c>
      <c r="E759" s="583">
        <f ca="1">IFERROR(__xludf.DUMMYFUNCTION("""COMPUTED_VALUE"""),0.1)</f>
        <v>0.1</v>
      </c>
      <c r="F759" s="584" t="str">
        <f ca="1">IFERROR(__xludf.DUMMYFUNCTION("""COMPUTED_VALUE"""),"Cây")</f>
        <v>Cây</v>
      </c>
      <c r="G759" s="584" t="str">
        <f ca="1">IFERROR(__xludf.DUMMYFUNCTION("""COMPUTED_VALUE"""),"Cây 3m")</f>
        <v>Cây 3m</v>
      </c>
      <c r="H759" s="582"/>
      <c r="I759" s="585">
        <f ca="1">IFERROR(__xludf.DUMMYFUNCTION("""COMPUTED_VALUE"""),4.35960629999999)</f>
        <v>4.3596062999999896</v>
      </c>
      <c r="J759" s="586" t="str">
        <f ca="1">IFERROR(__xludf.DUMMYFUNCTION("""COMPUTED_VALUE""")," 34.93 ")</f>
        <v xml:space="preserve"> 34.93 </v>
      </c>
      <c r="K759" s="584" t="str">
        <f ca="1">IFERROR(__xludf.DUMMYFUNCTION("""COMPUTED_VALUE"""),"1.50")</f>
        <v>1.50</v>
      </c>
      <c r="L759" s="584">
        <f ca="1">IFERROR(__xludf.DUMMYFUNCTION("""COMPUTED_VALUE"""),3)</f>
        <v>3</v>
      </c>
      <c r="M759" s="584"/>
      <c r="N759" s="584" t="str">
        <f ca="1">IFERROR(__xludf.DUMMYFUNCTION("""COMPUTED_VALUE"""),"Dị_D&lt;54")</f>
        <v>Dị_D&lt;54</v>
      </c>
      <c r="O759" s="583"/>
      <c r="P759" s="584"/>
    </row>
    <row r="760" spans="1:17" ht="15.75">
      <c r="A760" s="587" t="str">
        <f ca="1">IFERROR(__xludf.DUMMYFUNCTION("""COMPUTED_VALUE"""),"Toàn Phát - Việt Nam")</f>
        <v>Toàn Phát - Việt Nam</v>
      </c>
      <c r="B760" s="587" t="str">
        <f ca="1">IFERROR(__xludf.DUMMYFUNCTION("""COMPUTED_VALUE"""),"ĐTPCAYDI")</f>
        <v>ĐTPCAYDI</v>
      </c>
      <c r="C760" s="587" t="str">
        <f ca="1">IFERROR(__xludf.DUMMYFUNCTION("""COMPUTED_VALUE"""),"DOT3493160")</f>
        <v>DOT3493160</v>
      </c>
      <c r="D760" s="588" t="str">
        <f ca="1">IFERROR(__xludf.DUMMYFUNCTION("""COMPUTED_VALUE"""),"Đồng ống thẳng 34.93x1.60")</f>
        <v>Đồng ống thẳng 34.93x1.60</v>
      </c>
      <c r="E760" s="589">
        <f ca="1">IFERROR(__xludf.DUMMYFUNCTION("""COMPUTED_VALUE"""),0.1)</f>
        <v>0.1</v>
      </c>
      <c r="F760" s="590" t="str">
        <f ca="1">IFERROR(__xludf.DUMMYFUNCTION("""COMPUTED_VALUE"""),"Cây")</f>
        <v>Cây</v>
      </c>
      <c r="G760" s="590" t="str">
        <f ca="1">IFERROR(__xludf.DUMMYFUNCTION("""COMPUTED_VALUE"""),"Cây 2.9m")</f>
        <v>Cây 2.9m</v>
      </c>
      <c r="H760" s="588" t="str">
        <f ca="1">IFERROR(__xludf.DUMMYFUNCTION("""COMPUTED_VALUE"""),"7")</f>
        <v>7</v>
      </c>
      <c r="I760" s="591">
        <f ca="1">IFERROR(__xludf.DUMMYFUNCTION("""COMPUTED_VALUE"""),4.481791776)</f>
        <v>4.4817917759999997</v>
      </c>
      <c r="J760" s="592" t="str">
        <f ca="1">IFERROR(__xludf.DUMMYFUNCTION("""COMPUTED_VALUE""")," 34.93 ")</f>
        <v xml:space="preserve"> 34.93 </v>
      </c>
      <c r="K760" s="590" t="str">
        <f ca="1">IFERROR(__xludf.DUMMYFUNCTION("""COMPUTED_VALUE"""),"1.60")</f>
        <v>1.60</v>
      </c>
      <c r="L760" s="590">
        <f ca="1">IFERROR(__xludf.DUMMYFUNCTION("""COMPUTED_VALUE"""),2.9)</f>
        <v>2.9</v>
      </c>
      <c r="M760" s="590"/>
      <c r="N760" s="590" t="str">
        <f ca="1">IFERROR(__xludf.DUMMYFUNCTION("""COMPUTED_VALUE"""),"Dị_D&lt;54")</f>
        <v>Dị_D&lt;54</v>
      </c>
      <c r="O760" s="589"/>
      <c r="P760" s="590"/>
    </row>
    <row r="761" spans="1:17" ht="15.75">
      <c r="A761" s="581" t="str">
        <f ca="1">IFERROR(__xludf.DUMMYFUNCTION("""COMPUTED_VALUE"""),"Toàn Phát - Việt Nam")</f>
        <v>Toàn Phát - Việt Nam</v>
      </c>
      <c r="B761" s="581" t="str">
        <f ca="1">IFERROR(__xludf.DUMMYFUNCTION("""COMPUTED_VALUE"""),"ĐTPCAYDI")</f>
        <v>ĐTPCAYDI</v>
      </c>
      <c r="C761" s="581" t="str">
        <f ca="1">IFERROR(__xludf.DUMMYFUNCTION("""COMPUTED_VALUE"""),"DOT3493165")</f>
        <v>DOT3493165</v>
      </c>
      <c r="D761" s="582" t="str">
        <f ca="1">IFERROR(__xludf.DUMMYFUNCTION("""COMPUTED_VALUE"""),"Đồng ống thẳng 34.93x1.65")</f>
        <v>Đồng ống thẳng 34.93x1.65</v>
      </c>
      <c r="E761" s="583">
        <f ca="1">IFERROR(__xludf.DUMMYFUNCTION("""COMPUTED_VALUE"""),0.1)</f>
        <v>0.1</v>
      </c>
      <c r="F761" s="584" t="str">
        <f ca="1">IFERROR(__xludf.DUMMYFUNCTION("""COMPUTED_VALUE"""),"Cây")</f>
        <v>Cây</v>
      </c>
      <c r="G761" s="584" t="str">
        <f ca="1">IFERROR(__xludf.DUMMYFUNCTION("""COMPUTED_VALUE"""),"Cây 2.9m")</f>
        <v>Cây 2.9m</v>
      </c>
      <c r="H761" s="582" t="str">
        <f ca="1">IFERROR(__xludf.DUMMYFUNCTION("""COMPUTED_VALUE"""),"7")</f>
        <v>7</v>
      </c>
      <c r="I761" s="585">
        <f ca="1">IFERROR(__xludf.DUMMYFUNCTION("""COMPUTED_VALUE"""),4.61491430399999)</f>
        <v>4.6149143039999903</v>
      </c>
      <c r="J761" s="586" t="str">
        <f ca="1">IFERROR(__xludf.DUMMYFUNCTION("""COMPUTED_VALUE""")," 34.93 ")</f>
        <v xml:space="preserve"> 34.93 </v>
      </c>
      <c r="K761" s="584" t="str">
        <f ca="1">IFERROR(__xludf.DUMMYFUNCTION("""COMPUTED_VALUE"""),"1.65")</f>
        <v>1.65</v>
      </c>
      <c r="L761" s="584">
        <f ca="1">IFERROR(__xludf.DUMMYFUNCTION("""COMPUTED_VALUE"""),2.9)</f>
        <v>2.9</v>
      </c>
      <c r="M761" s="584"/>
      <c r="N761" s="584" t="str">
        <f ca="1">IFERROR(__xludf.DUMMYFUNCTION("""COMPUTED_VALUE"""),"Dị_D&lt;54")</f>
        <v>Dị_D&lt;54</v>
      </c>
      <c r="O761" s="583"/>
      <c r="P761" s="584"/>
    </row>
    <row r="762" spans="1:17" ht="15.75">
      <c r="A762" s="587" t="str">
        <f ca="1">IFERROR(__xludf.DUMMYFUNCTION("""COMPUTED_VALUE"""),"Toàn Phát - Việt Nam")</f>
        <v>Toàn Phát - Việt Nam</v>
      </c>
      <c r="B762" s="587" t="str">
        <f ca="1">IFERROR(__xludf.DUMMYFUNCTION("""COMPUTED_VALUE"""),"ĐTPCAYDI")</f>
        <v>ĐTPCAYDI</v>
      </c>
      <c r="C762" s="587" t="str">
        <f ca="1">IFERROR(__xludf.DUMMYFUNCTION("""COMPUTED_VALUE"""),"DOT350032030")</f>
        <v>DOT350032030</v>
      </c>
      <c r="D762" s="588" t="str">
        <f ca="1">IFERROR(__xludf.DUMMYFUNCTION("""COMPUTED_VALUE"""),"Đồng ống thẳng 35.00x3.00x3.0")</f>
        <v>Đồng ống thẳng 35.00x3.00x3.0</v>
      </c>
      <c r="E762" s="589">
        <f ca="1">IFERROR(__xludf.DUMMYFUNCTION("""COMPUTED_VALUE"""),0.1)</f>
        <v>0.1</v>
      </c>
      <c r="F762" s="590" t="str">
        <f ca="1">IFERROR(__xludf.DUMMYFUNCTION("""COMPUTED_VALUE"""),"Cây")</f>
        <v>Cây</v>
      </c>
      <c r="G762" s="590" t="str">
        <f ca="1">IFERROR(__xludf.DUMMYFUNCTION("""COMPUTED_VALUE"""),"Cây 3m")</f>
        <v>Cây 3m</v>
      </c>
      <c r="H762" s="588"/>
      <c r="I762" s="591">
        <f ca="1">IFERROR(__xludf.DUMMYFUNCTION("""COMPUTED_VALUE"""),8.34624)</f>
        <v>8.3462399999999999</v>
      </c>
      <c r="J762" s="592" t="str">
        <f ca="1">IFERROR(__xludf.DUMMYFUNCTION("""COMPUTED_VALUE""")," 35.00 ")</f>
        <v xml:space="preserve"> 35.00 </v>
      </c>
      <c r="K762" s="590" t="str">
        <f ca="1">IFERROR(__xludf.DUMMYFUNCTION("""COMPUTED_VALUE"""),"3.00")</f>
        <v>3.00</v>
      </c>
      <c r="L762" s="590">
        <f ca="1">IFERROR(__xludf.DUMMYFUNCTION("""COMPUTED_VALUE"""),3)</f>
        <v>3</v>
      </c>
      <c r="M762" s="590"/>
      <c r="N762" s="590" t="str">
        <f ca="1">IFERROR(__xludf.DUMMYFUNCTION("""COMPUTED_VALUE"""),"Dị_D&lt;54")</f>
        <v>Dị_D&lt;54</v>
      </c>
      <c r="O762" s="589"/>
      <c r="P762" s="590"/>
    </row>
    <row r="763" spans="1:17" ht="15.75">
      <c r="A763" s="581" t="str">
        <f ca="1">IFERROR(__xludf.DUMMYFUNCTION("""COMPUTED_VALUE"""),"Toàn Phát - Việt Nam")</f>
        <v>Toàn Phát - Việt Nam</v>
      </c>
      <c r="B763" s="581" t="str">
        <f ca="1">IFERROR(__xludf.DUMMYFUNCTION("""COMPUTED_VALUE"""),"ĐTPCAYDI")</f>
        <v>ĐTPCAYDI</v>
      </c>
      <c r="C763" s="581" t="str">
        <f ca="1">IFERROR(__xludf.DUMMYFUNCTION("""COMPUTED_VALUE"""),"DOT380030030")</f>
        <v>DOT380030030</v>
      </c>
      <c r="D763" s="582" t="str">
        <f ca="1">IFERROR(__xludf.DUMMYFUNCTION("""COMPUTED_VALUE"""),"Đồng ống thẳng 38.00x3.0x3.0")</f>
        <v>Đồng ống thẳng 38.00x3.0x3.0</v>
      </c>
      <c r="E763" s="583">
        <f ca="1">IFERROR(__xludf.DUMMYFUNCTION("""COMPUTED_VALUE"""),0.1)</f>
        <v>0.1</v>
      </c>
      <c r="F763" s="584" t="str">
        <f ca="1">IFERROR(__xludf.DUMMYFUNCTION("""COMPUTED_VALUE"""),"Cây")</f>
        <v>Cây</v>
      </c>
      <c r="G763" s="584" t="str">
        <f ca="1">IFERROR(__xludf.DUMMYFUNCTION("""COMPUTED_VALUE"""),"Cây 3m")</f>
        <v>Cây 3m</v>
      </c>
      <c r="H763" s="582"/>
      <c r="I763" s="585">
        <f ca="1">IFERROR(__xludf.DUMMYFUNCTION("""COMPUTED_VALUE"""),9.1287)</f>
        <v>9.1287000000000003</v>
      </c>
      <c r="J763" s="586" t="str">
        <f ca="1">IFERROR(__xludf.DUMMYFUNCTION("""COMPUTED_VALUE""")," 38.00 ")</f>
        <v xml:space="preserve"> 38.00 </v>
      </c>
      <c r="K763" s="584" t="str">
        <f ca="1">IFERROR(__xludf.DUMMYFUNCTION("""COMPUTED_VALUE"""),"3.00")</f>
        <v>3.00</v>
      </c>
      <c r="L763" s="584">
        <f ca="1">IFERROR(__xludf.DUMMYFUNCTION("""COMPUTED_VALUE"""),3)</f>
        <v>3</v>
      </c>
      <c r="M763" s="584"/>
      <c r="N763" s="584" t="str">
        <f ca="1">IFERROR(__xludf.DUMMYFUNCTION("""COMPUTED_VALUE"""),"Dị_D&lt;54")</f>
        <v>Dị_D&lt;54</v>
      </c>
      <c r="O763" s="583"/>
      <c r="P763" s="584"/>
    </row>
    <row r="764" spans="1:17" ht="15.75">
      <c r="A764" s="587" t="str">
        <f ca="1">IFERROR(__xludf.DUMMYFUNCTION("""COMPUTED_VALUE"""),"Toàn Phát - Việt Nam")</f>
        <v>Toàn Phát - Việt Nam</v>
      </c>
      <c r="B764" s="587" t="str">
        <f ca="1">IFERROR(__xludf.DUMMYFUNCTION("""COMPUTED_VALUE"""),"ĐTPCAYDI")</f>
        <v>ĐTPCAYDI</v>
      </c>
      <c r="C764" s="587" t="str">
        <f ca="1">IFERROR(__xludf.DUMMYFUNCTION("""COMPUTED_VALUE"""),"DOT3810070(NM)")</f>
        <v>DOT3810070(NM)</v>
      </c>
      <c r="D764" s="588" t="str">
        <f ca="1">IFERROR(__xludf.DUMMYFUNCTION("""COMPUTED_VALUE"""),"Đồng ống thẳng 38.10x0.70")</f>
        <v>Đồng ống thẳng 38.10x0.70</v>
      </c>
      <c r="E764" s="589">
        <f ca="1">IFERROR(__xludf.DUMMYFUNCTION("""COMPUTED_VALUE"""),0.1)</f>
        <v>0.1</v>
      </c>
      <c r="F764" s="590" t="str">
        <f ca="1">IFERROR(__xludf.DUMMYFUNCTION("""COMPUTED_VALUE"""),"Cây")</f>
        <v>Cây</v>
      </c>
      <c r="G764" s="590" t="str">
        <f ca="1">IFERROR(__xludf.DUMMYFUNCTION("""COMPUTED_VALUE"""),"Cây 2.9m")</f>
        <v>Cây 2.9m</v>
      </c>
      <c r="H764" s="588" t="str">
        <f ca="1">IFERROR(__xludf.DUMMYFUNCTION("""COMPUTED_VALUE"""),"7")</f>
        <v>7</v>
      </c>
      <c r="I764" s="591">
        <f ca="1">IFERROR(__xludf.DUMMYFUNCTION("""COMPUTED_VALUE"""),2.20021955999999)</f>
        <v>2.2002195599999901</v>
      </c>
      <c r="J764" s="592" t="str">
        <f ca="1">IFERROR(__xludf.DUMMYFUNCTION("""COMPUTED_VALUE""")," 38.10 ")</f>
        <v xml:space="preserve"> 38.10 </v>
      </c>
      <c r="K764" s="590" t="str">
        <f ca="1">IFERROR(__xludf.DUMMYFUNCTION("""COMPUTED_VALUE"""),"0.70")</f>
        <v>0.70</v>
      </c>
      <c r="L764" s="590">
        <f ca="1">IFERROR(__xludf.DUMMYFUNCTION("""COMPUTED_VALUE"""),2.9)</f>
        <v>2.9</v>
      </c>
      <c r="M764" s="590"/>
      <c r="N764" s="590" t="str">
        <f ca="1">IFERROR(__xludf.DUMMYFUNCTION("""COMPUTED_VALUE"""),"Dị_D&lt;54")</f>
        <v>Dị_D&lt;54</v>
      </c>
      <c r="O764" s="589"/>
      <c r="P764" s="590"/>
    </row>
    <row r="765" spans="1:17" ht="15.75">
      <c r="A765" s="581" t="str">
        <f ca="1">IFERROR(__xludf.DUMMYFUNCTION("""COMPUTED_VALUE"""),"Toàn Phát - Việt Nam")</f>
        <v>Toàn Phát - Việt Nam</v>
      </c>
      <c r="B765" s="581" t="str">
        <f ca="1">IFERROR(__xludf.DUMMYFUNCTION("""COMPUTED_VALUE"""),"ĐTPCAYDI")</f>
        <v>ĐTPCAYDI</v>
      </c>
      <c r="C765" s="581" t="str">
        <f ca="1">IFERROR(__xludf.DUMMYFUNCTION("""COMPUTED_VALUE"""),"DOT3810081")</f>
        <v>DOT3810081</v>
      </c>
      <c r="D765" s="582" t="str">
        <f ca="1">IFERROR(__xludf.DUMMYFUNCTION("""COMPUTED_VALUE"""),"Đồng ống thẳng 38.10x0.81")</f>
        <v>Đồng ống thẳng 38.10x0.81</v>
      </c>
      <c r="E765" s="583">
        <f ca="1">IFERROR(__xludf.DUMMYFUNCTION("""COMPUTED_VALUE"""),0.1)</f>
        <v>0.1</v>
      </c>
      <c r="F765" s="584" t="str">
        <f ca="1">IFERROR(__xludf.DUMMYFUNCTION("""COMPUTED_VALUE"""),"Cây")</f>
        <v>Cây</v>
      </c>
      <c r="G765" s="584" t="str">
        <f ca="1">IFERROR(__xludf.DUMMYFUNCTION("""COMPUTED_VALUE"""),"Cây 2.9m")</f>
        <v>Cây 2.9m</v>
      </c>
      <c r="H765" s="582" t="str">
        <f ca="1">IFERROR(__xludf.DUMMYFUNCTION("""COMPUTED_VALUE"""),"7")</f>
        <v>7</v>
      </c>
      <c r="I765" s="585">
        <f ca="1">IFERROR(__xludf.DUMMYFUNCTION("""COMPUTED_VALUE"""),2.5384802058)</f>
        <v>2.5384802058</v>
      </c>
      <c r="J765" s="586" t="str">
        <f ca="1">IFERROR(__xludf.DUMMYFUNCTION("""COMPUTED_VALUE""")," 38.10 ")</f>
        <v xml:space="preserve"> 38.10 </v>
      </c>
      <c r="K765" s="584" t="str">
        <f ca="1">IFERROR(__xludf.DUMMYFUNCTION("""COMPUTED_VALUE"""),"0.81")</f>
        <v>0.81</v>
      </c>
      <c r="L765" s="584">
        <f ca="1">IFERROR(__xludf.DUMMYFUNCTION("""COMPUTED_VALUE"""),2.9)</f>
        <v>2.9</v>
      </c>
      <c r="M765" s="584"/>
      <c r="N765" s="584" t="str">
        <f ca="1">IFERROR(__xludf.DUMMYFUNCTION("""COMPUTED_VALUE"""),"Dị_D&lt;54")</f>
        <v>Dị_D&lt;54</v>
      </c>
      <c r="O765" s="583"/>
      <c r="P765" s="584"/>
    </row>
    <row r="766" spans="1:17" ht="15.75">
      <c r="A766" s="587" t="str">
        <f ca="1">IFERROR(__xludf.DUMMYFUNCTION("""COMPUTED_VALUE"""),"Toàn Phát - Việt Nam")</f>
        <v>Toàn Phát - Việt Nam</v>
      </c>
      <c r="B766" s="587" t="str">
        <f ca="1">IFERROR(__xludf.DUMMYFUNCTION("""COMPUTED_VALUE"""),"ĐTPCAYDI")</f>
        <v>ĐTPCAYDI</v>
      </c>
      <c r="C766" s="587" t="str">
        <f ca="1">IFERROR(__xludf.DUMMYFUNCTION("""COMPUTED_VALUE"""),"DOT3810095")</f>
        <v>DOT3810095</v>
      </c>
      <c r="D766" s="588" t="str">
        <f ca="1">IFERROR(__xludf.DUMMYFUNCTION("""COMPUTED_VALUE"""),"Đồng ống thẳng 38.10x0.95")</f>
        <v>Đồng ống thẳng 38.10x0.95</v>
      </c>
      <c r="E766" s="589">
        <f ca="1">IFERROR(__xludf.DUMMYFUNCTION("""COMPUTED_VALUE"""),0.1)</f>
        <v>0.1</v>
      </c>
      <c r="F766" s="590" t="str">
        <f ca="1">IFERROR(__xludf.DUMMYFUNCTION("""COMPUTED_VALUE"""),"Cây")</f>
        <v>Cây</v>
      </c>
      <c r="G766" s="590" t="str">
        <f ca="1">IFERROR(__xludf.DUMMYFUNCTION("""COMPUTED_VALUE"""),"Cây 2.9m")</f>
        <v>Cây 2.9m</v>
      </c>
      <c r="H766" s="588" t="str">
        <f ca="1">IFERROR(__xludf.DUMMYFUNCTION("""COMPUTED_VALUE"""),"7")</f>
        <v>7</v>
      </c>
      <c r="I766" s="591">
        <f ca="1">IFERROR(__xludf.DUMMYFUNCTION("""COMPUTED_VALUE"""),2.96605228499999)</f>
        <v>2.9660522849999902</v>
      </c>
      <c r="J766" s="592" t="str">
        <f ca="1">IFERROR(__xludf.DUMMYFUNCTION("""COMPUTED_VALUE""")," 38.10 ")</f>
        <v xml:space="preserve"> 38.10 </v>
      </c>
      <c r="K766" s="590" t="str">
        <f ca="1">IFERROR(__xludf.DUMMYFUNCTION("""COMPUTED_VALUE"""),"0.95")</f>
        <v>0.95</v>
      </c>
      <c r="L766" s="590">
        <f ca="1">IFERROR(__xludf.DUMMYFUNCTION("""COMPUTED_VALUE"""),2.9)</f>
        <v>2.9</v>
      </c>
      <c r="M766" s="590"/>
      <c r="N766" s="590" t="str">
        <f ca="1">IFERROR(__xludf.DUMMYFUNCTION("""COMPUTED_VALUE"""),"Dị_D&lt;54")</f>
        <v>Dị_D&lt;54</v>
      </c>
      <c r="O766" s="589"/>
      <c r="P766" s="590"/>
    </row>
    <row r="767" spans="1:17" ht="15.75">
      <c r="A767" s="581" t="str">
        <f ca="1">IFERROR(__xludf.DUMMYFUNCTION("""COMPUTED_VALUE"""),"Toàn Phát - Việt Nam")</f>
        <v>Toàn Phát - Việt Nam</v>
      </c>
      <c r="B767" s="581" t="str">
        <f ca="1">IFERROR(__xludf.DUMMYFUNCTION("""COMPUTED_VALUE"""),"ĐTPCAYDI")</f>
        <v>ĐTPCAYDI</v>
      </c>
      <c r="C767" s="581" t="str">
        <f ca="1">IFERROR(__xludf.DUMMYFUNCTION("""COMPUTED_VALUE"""),"DOT3810100")</f>
        <v>DOT3810100</v>
      </c>
      <c r="D767" s="582" t="str">
        <f ca="1">IFERROR(__xludf.DUMMYFUNCTION("""COMPUTED_VALUE"""),"Đồng ống thẳng 38.10x1.00")</f>
        <v>Đồng ống thẳng 38.10x1.00</v>
      </c>
      <c r="E767" s="583">
        <f ca="1">IFERROR(__xludf.DUMMYFUNCTION("""COMPUTED_VALUE"""),0.1)</f>
        <v>0.1</v>
      </c>
      <c r="F767" s="584" t="str">
        <f ca="1">IFERROR(__xludf.DUMMYFUNCTION("""COMPUTED_VALUE"""),"Cây")</f>
        <v>Cây</v>
      </c>
      <c r="G767" s="584" t="str">
        <f ca="1">IFERROR(__xludf.DUMMYFUNCTION("""COMPUTED_VALUE"""),"Cây 2.9m")</f>
        <v>Cây 2.9m</v>
      </c>
      <c r="H767" s="582" t="str">
        <f ca="1">IFERROR(__xludf.DUMMYFUNCTION("""COMPUTED_VALUE"""),"7")</f>
        <v>7</v>
      </c>
      <c r="I767" s="585">
        <f ca="1">IFERROR(__xludf.DUMMYFUNCTION("""COMPUTED_VALUE"""),3.1179582)</f>
        <v>3.1179581999999999</v>
      </c>
      <c r="J767" s="586" t="str">
        <f ca="1">IFERROR(__xludf.DUMMYFUNCTION("""COMPUTED_VALUE""")," 38.10 ")</f>
        <v xml:space="preserve"> 38.10 </v>
      </c>
      <c r="K767" s="584" t="str">
        <f ca="1">IFERROR(__xludf.DUMMYFUNCTION("""COMPUTED_VALUE"""),"1.00")</f>
        <v>1.00</v>
      </c>
      <c r="L767" s="584">
        <f ca="1">IFERROR(__xludf.DUMMYFUNCTION("""COMPUTED_VALUE"""),2.9)</f>
        <v>2.9</v>
      </c>
      <c r="M767" s="584"/>
      <c r="N767" s="584" t="str">
        <f ca="1">IFERROR(__xludf.DUMMYFUNCTION("""COMPUTED_VALUE"""),"Dị_D&lt;54")</f>
        <v>Dị_D&lt;54</v>
      </c>
      <c r="O767" s="583"/>
      <c r="P767" s="584"/>
    </row>
    <row r="768" spans="1:17" ht="15.75">
      <c r="A768" s="587" t="str">
        <f ca="1">IFERROR(__xludf.DUMMYFUNCTION("""COMPUTED_VALUE"""),"Toàn Phát - Việt Nam")</f>
        <v>Toàn Phát - Việt Nam</v>
      </c>
      <c r="B768" s="587" t="str">
        <f ca="1">IFERROR(__xludf.DUMMYFUNCTION("""COMPUTED_VALUE"""),"ĐTPCAYDI")</f>
        <v>ĐTPCAYDI</v>
      </c>
      <c r="C768" s="587" t="str">
        <f ca="1">IFERROR(__xludf.DUMMYFUNCTION("""COMPUTED_VALUE"""),"DOT381010058")</f>
        <v>DOT381010058</v>
      </c>
      <c r="D768" s="588" t="str">
        <f ca="1">IFERROR(__xludf.DUMMYFUNCTION("""COMPUTED_VALUE"""),"Đồng ống thẳng 38.10x1.00x5.8")</f>
        <v>Đồng ống thẳng 38.10x1.00x5.8</v>
      </c>
      <c r="E768" s="589">
        <f ca="1">IFERROR(__xludf.DUMMYFUNCTION("""COMPUTED_VALUE"""),0.1)</f>
        <v>0.1</v>
      </c>
      <c r="F768" s="590" t="str">
        <f ca="1">IFERROR(__xludf.DUMMYFUNCTION("""COMPUTED_VALUE"""),"Cây")</f>
        <v>Cây</v>
      </c>
      <c r="G768" s="590" t="str">
        <f ca="1">IFERROR(__xludf.DUMMYFUNCTION("""COMPUTED_VALUE"""),"Cây 5.8m")</f>
        <v>Cây 5.8m</v>
      </c>
      <c r="H768" s="588"/>
      <c r="I768" s="591">
        <f ca="1">IFERROR(__xludf.DUMMYFUNCTION("""COMPUTED_VALUE"""),6.2359164)</f>
        <v>6.2359163999999998</v>
      </c>
      <c r="J768" s="592" t="str">
        <f ca="1">IFERROR(__xludf.DUMMYFUNCTION("""COMPUTED_VALUE""")," 38.10 ")</f>
        <v xml:space="preserve"> 38.10 </v>
      </c>
      <c r="K768" s="590" t="str">
        <f ca="1">IFERROR(__xludf.DUMMYFUNCTION("""COMPUTED_VALUE"""),"1.00")</f>
        <v>1.00</v>
      </c>
      <c r="L768" s="590">
        <f ca="1">IFERROR(__xludf.DUMMYFUNCTION("""COMPUTED_VALUE"""),5.8)</f>
        <v>5.8</v>
      </c>
      <c r="M768" s="590"/>
      <c r="N768" s="590" t="str">
        <f ca="1">IFERROR(__xludf.DUMMYFUNCTION("""COMPUTED_VALUE"""),"Dị_D&lt;54")</f>
        <v>Dị_D&lt;54</v>
      </c>
      <c r="O768" s="589"/>
      <c r="P768" s="590"/>
    </row>
    <row r="769" spans="1:17" ht="15.75">
      <c r="A769" s="581" t="str">
        <f ca="1">IFERROR(__xludf.DUMMYFUNCTION("""COMPUTED_VALUE"""),"Toàn Phát - Việt Nam")</f>
        <v>Toàn Phát - Việt Nam</v>
      </c>
      <c r="B769" s="581" t="str">
        <f ca="1">IFERROR(__xludf.DUMMYFUNCTION("""COMPUTED_VALUE"""),"ĐTPCAYDI")</f>
        <v>ĐTPCAYDI</v>
      </c>
      <c r="C769" s="581" t="str">
        <f ca="1">IFERROR(__xludf.DUMMYFUNCTION("""COMPUTED_VALUE"""),"DOT3810110")</f>
        <v>DOT3810110</v>
      </c>
      <c r="D769" s="582" t="str">
        <f ca="1">IFERROR(__xludf.DUMMYFUNCTION("""COMPUTED_VALUE"""),"Đồng ống thẳng 38.10x1.10")</f>
        <v>Đồng ống thẳng 38.10x1.10</v>
      </c>
      <c r="E769" s="583">
        <f ca="1">IFERROR(__xludf.DUMMYFUNCTION("""COMPUTED_VALUE"""),0.1)</f>
        <v>0.1</v>
      </c>
      <c r="F769" s="584" t="str">
        <f ca="1">IFERROR(__xludf.DUMMYFUNCTION("""COMPUTED_VALUE"""),"Cây")</f>
        <v>Cây</v>
      </c>
      <c r="G769" s="584" t="str">
        <f ca="1">IFERROR(__xludf.DUMMYFUNCTION("""COMPUTED_VALUE"""),"Cây 2.9m")</f>
        <v>Cây 2.9m</v>
      </c>
      <c r="H769" s="582" t="str">
        <f ca="1">IFERROR(__xludf.DUMMYFUNCTION("""COMPUTED_VALUE"""),"7")</f>
        <v>7</v>
      </c>
      <c r="I769" s="585">
        <f ca="1">IFERROR(__xludf.DUMMYFUNCTION("""COMPUTED_VALUE"""),3.4205094)</f>
        <v>3.4205093999999998</v>
      </c>
      <c r="J769" s="586" t="str">
        <f ca="1">IFERROR(__xludf.DUMMYFUNCTION("""COMPUTED_VALUE""")," 38.10 ")</f>
        <v xml:space="preserve"> 38.10 </v>
      </c>
      <c r="K769" s="584" t="str">
        <f ca="1">IFERROR(__xludf.DUMMYFUNCTION("""COMPUTED_VALUE"""),"1.10")</f>
        <v>1.10</v>
      </c>
      <c r="L769" s="584">
        <f ca="1">IFERROR(__xludf.DUMMYFUNCTION("""COMPUTED_VALUE"""),2.9)</f>
        <v>2.9</v>
      </c>
      <c r="M769" s="584"/>
      <c r="N769" s="584" t="str">
        <f ca="1">IFERROR(__xludf.DUMMYFUNCTION("""COMPUTED_VALUE"""),"Dị_D&lt;54")</f>
        <v>Dị_D&lt;54</v>
      </c>
      <c r="O769" s="583"/>
      <c r="P769" s="584"/>
    </row>
    <row r="770" spans="1:17" ht="15.75">
      <c r="A770" s="587" t="str">
        <f ca="1">IFERROR(__xludf.DUMMYFUNCTION("""COMPUTED_VALUE"""),"Toàn Phát - Việt Nam")</f>
        <v>Toàn Phát - Việt Nam</v>
      </c>
      <c r="B770" s="587" t="str">
        <f ca="1">IFERROR(__xludf.DUMMYFUNCTION("""COMPUTED_VALUE"""),"ĐTPCAYDI")</f>
        <v>ĐTPCAYDI</v>
      </c>
      <c r="C770" s="587" t="str">
        <f ca="1">IFERROR(__xludf.DUMMYFUNCTION("""COMPUTED_VALUE"""),"DOT3810115")</f>
        <v>DOT3810115</v>
      </c>
      <c r="D770" s="588" t="str">
        <f ca="1">IFERROR(__xludf.DUMMYFUNCTION("""COMPUTED_VALUE"""),"Đồng ống thẳng 38.10x1.15")</f>
        <v>Đồng ống thẳng 38.10x1.15</v>
      </c>
      <c r="E770" s="589">
        <f ca="1">IFERROR(__xludf.DUMMYFUNCTION("""COMPUTED_VALUE"""),0.1)</f>
        <v>0.1</v>
      </c>
      <c r="F770" s="590" t="str">
        <f ca="1">IFERROR(__xludf.DUMMYFUNCTION("""COMPUTED_VALUE"""),"Cây")</f>
        <v>Cây</v>
      </c>
      <c r="G770" s="590" t="str">
        <f ca="1">IFERROR(__xludf.DUMMYFUNCTION("""COMPUTED_VALUE"""),"Cây 2.9m")</f>
        <v>Cây 2.9m</v>
      </c>
      <c r="H770" s="588" t="str">
        <f ca="1">IFERROR(__xludf.DUMMYFUNCTION("""COMPUTED_VALUE"""),"7")</f>
        <v>7</v>
      </c>
      <c r="I770" s="591">
        <f ca="1">IFERROR(__xludf.DUMMYFUNCTION("""COMPUTED_VALUE"""),3.57115468499999)</f>
        <v>3.57115468499999</v>
      </c>
      <c r="J770" s="592" t="str">
        <f ca="1">IFERROR(__xludf.DUMMYFUNCTION("""COMPUTED_VALUE""")," 38.10 ")</f>
        <v xml:space="preserve"> 38.10 </v>
      </c>
      <c r="K770" s="590" t="str">
        <f ca="1">IFERROR(__xludf.DUMMYFUNCTION("""COMPUTED_VALUE"""),"1.15")</f>
        <v>1.15</v>
      </c>
      <c r="L770" s="590">
        <f ca="1">IFERROR(__xludf.DUMMYFUNCTION("""COMPUTED_VALUE"""),2.9)</f>
        <v>2.9</v>
      </c>
      <c r="M770" s="590"/>
      <c r="N770" s="590" t="str">
        <f ca="1">IFERROR(__xludf.DUMMYFUNCTION("""COMPUTED_VALUE"""),"Dị_D&lt;54")</f>
        <v>Dị_D&lt;54</v>
      </c>
      <c r="O770" s="589"/>
      <c r="P770" s="590"/>
    </row>
    <row r="771" spans="1:17" ht="15.75">
      <c r="A771" s="581" t="str">
        <f ca="1">IFERROR(__xludf.DUMMYFUNCTION("""COMPUTED_VALUE"""),"Toàn Phát - Việt Nam")</f>
        <v>Toàn Phát - Việt Nam</v>
      </c>
      <c r="B771" s="581" t="str">
        <f ca="1">IFERROR(__xludf.DUMMYFUNCTION("""COMPUTED_VALUE"""),"ĐTPCAYIB")</f>
        <v>ĐTPCAYIB</v>
      </c>
      <c r="C771" s="581" t="str">
        <f ca="1">IFERROR(__xludf.DUMMYFUNCTION("""COMPUTED_VALUE"""),"DOT3810120(NM)")</f>
        <v>DOT3810120(NM)</v>
      </c>
      <c r="D771" s="582" t="str">
        <f ca="1">IFERROR(__xludf.DUMMYFUNCTION("""COMPUTED_VALUE"""),"Đồng ống thẳng 38.10x1.20")</f>
        <v>Đồng ống thẳng 38.10x1.20</v>
      </c>
      <c r="E771" s="583">
        <f ca="1">IFERROR(__xludf.DUMMYFUNCTION("""COMPUTED_VALUE"""),0.1)</f>
        <v>0.1</v>
      </c>
      <c r="F771" s="584" t="str">
        <f ca="1">IFERROR(__xludf.DUMMYFUNCTION("""COMPUTED_VALUE"""),"Cây")</f>
        <v>Cây</v>
      </c>
      <c r="G771" s="584" t="str">
        <f ca="1">IFERROR(__xludf.DUMMYFUNCTION("""COMPUTED_VALUE"""),"Cây 2.9m")</f>
        <v>Cây 2.9m</v>
      </c>
      <c r="H771" s="582" t="str">
        <f ca="1">IFERROR(__xludf.DUMMYFUNCTION("""COMPUTED_VALUE"""),"7")</f>
        <v>7</v>
      </c>
      <c r="I771" s="585">
        <f ca="1">IFERROR(__xludf.DUMMYFUNCTION("""COMPUTED_VALUE"""),3.72137975999999)</f>
        <v>3.7213797599999898</v>
      </c>
      <c r="J771" s="586" t="str">
        <f ca="1">IFERROR(__xludf.DUMMYFUNCTION("""COMPUTED_VALUE""")," 38.10 ")</f>
        <v xml:space="preserve"> 38.10 </v>
      </c>
      <c r="K771" s="584" t="str">
        <f ca="1">IFERROR(__xludf.DUMMYFUNCTION("""COMPUTED_VALUE"""),"1.20")</f>
        <v>1.20</v>
      </c>
      <c r="L771" s="584">
        <f ca="1">IFERROR(__xludf.DUMMYFUNCTION("""COMPUTED_VALUE"""),2.9)</f>
        <v>2.9</v>
      </c>
      <c r="M771" s="584"/>
      <c r="N771" s="584" t="str">
        <f ca="1">IFERROR(__xludf.DUMMYFUNCTION("""COMPUTED_VALUE"""),"Ít bán")</f>
        <v>Ít bán</v>
      </c>
      <c r="O771" s="583"/>
      <c r="P771" s="584"/>
      <c r="Q771" s="885">
        <f ca="1">+$Q$5*I771</f>
        <v>855.91734479999752</v>
      </c>
    </row>
    <row r="772" spans="1:17" ht="15.75">
      <c r="A772" s="587" t="str">
        <f ca="1">IFERROR(__xludf.DUMMYFUNCTION("""COMPUTED_VALUE"""),"Toàn Phát - Việt Nam")</f>
        <v>Toàn Phát - Việt Nam</v>
      </c>
      <c r="B772" s="587" t="str">
        <f ca="1">IFERROR(__xludf.DUMMYFUNCTION("""COMPUTED_VALUE"""),"ĐTPCAYDI")</f>
        <v>ĐTPCAYDI</v>
      </c>
      <c r="C772" s="587" t="str">
        <f ca="1">IFERROR(__xludf.DUMMYFUNCTION("""COMPUTED_VALUE"""),"DOT3810130")</f>
        <v>DOT3810130</v>
      </c>
      <c r="D772" s="588" t="str">
        <f ca="1">IFERROR(__xludf.DUMMYFUNCTION("""COMPUTED_VALUE"""),"Đồng ống thẳng 38.10x1.30")</f>
        <v>Đồng ống thẳng 38.10x1.30</v>
      </c>
      <c r="E772" s="589">
        <f ca="1">IFERROR(__xludf.DUMMYFUNCTION("""COMPUTED_VALUE"""),0.1)</f>
        <v>0.1</v>
      </c>
      <c r="F772" s="590" t="str">
        <f ca="1">IFERROR(__xludf.DUMMYFUNCTION("""COMPUTED_VALUE"""),"Cây")</f>
        <v>Cây</v>
      </c>
      <c r="G772" s="590" t="str">
        <f ca="1">IFERROR(__xludf.DUMMYFUNCTION("""COMPUTED_VALUE"""),"Cây 2.9m")</f>
        <v>Cây 2.9m</v>
      </c>
      <c r="H772" s="588" t="str">
        <f ca="1">IFERROR(__xludf.DUMMYFUNCTION("""COMPUTED_VALUE"""),"7")</f>
        <v>7</v>
      </c>
      <c r="I772" s="591">
        <f ca="1">IFERROR(__xludf.DUMMYFUNCTION("""COMPUTED_VALUE"""),4.02056928)</f>
        <v>4.0205692800000001</v>
      </c>
      <c r="J772" s="592" t="str">
        <f ca="1">IFERROR(__xludf.DUMMYFUNCTION("""COMPUTED_VALUE""")," 38.10 ")</f>
        <v xml:space="preserve"> 38.10 </v>
      </c>
      <c r="K772" s="590" t="str">
        <f ca="1">IFERROR(__xludf.DUMMYFUNCTION("""COMPUTED_VALUE"""),"1.30")</f>
        <v>1.30</v>
      </c>
      <c r="L772" s="590">
        <f ca="1">IFERROR(__xludf.DUMMYFUNCTION("""COMPUTED_VALUE"""),2.9)</f>
        <v>2.9</v>
      </c>
      <c r="M772" s="590"/>
      <c r="N772" s="590" t="str">
        <f ca="1">IFERROR(__xludf.DUMMYFUNCTION("""COMPUTED_VALUE"""),"Dị_D&lt;54")</f>
        <v>Dị_D&lt;54</v>
      </c>
      <c r="O772" s="589"/>
      <c r="P772" s="590"/>
    </row>
    <row r="773" spans="1:17" ht="15.75">
      <c r="A773" s="581" t="str">
        <f ca="1">IFERROR(__xludf.DUMMYFUNCTION("""COMPUTED_VALUE"""),"Toàn Phát - Việt Nam")</f>
        <v>Toàn Phát - Việt Nam</v>
      </c>
      <c r="B773" s="581" t="str">
        <f ca="1">IFERROR(__xludf.DUMMYFUNCTION("""COMPUTED_VALUE"""),"ĐTPCAYDI")</f>
        <v>ĐTPCAYDI</v>
      </c>
      <c r="C773" s="581" t="str">
        <f ca="1">IFERROR(__xludf.DUMMYFUNCTION("""COMPUTED_VALUE"""),"DOT381013058")</f>
        <v>DOT381013058</v>
      </c>
      <c r="D773" s="582" t="str">
        <f ca="1">IFERROR(__xludf.DUMMYFUNCTION("""COMPUTED_VALUE"""),"Đồng ống thẳng 38.10x1.30x5.8")</f>
        <v>Đồng ống thẳng 38.10x1.30x5.8</v>
      </c>
      <c r="E773" s="583">
        <f ca="1">IFERROR(__xludf.DUMMYFUNCTION("""COMPUTED_VALUE"""),0.1)</f>
        <v>0.1</v>
      </c>
      <c r="F773" s="584" t="str">
        <f ca="1">IFERROR(__xludf.DUMMYFUNCTION("""COMPUTED_VALUE"""),"Cây")</f>
        <v>Cây</v>
      </c>
      <c r="G773" s="584" t="str">
        <f ca="1">IFERROR(__xludf.DUMMYFUNCTION("""COMPUTED_VALUE"""),"Cây 5.8m")</f>
        <v>Cây 5.8m</v>
      </c>
      <c r="H773" s="582"/>
      <c r="I773" s="585">
        <f ca="1">IFERROR(__xludf.DUMMYFUNCTION("""COMPUTED_VALUE"""),8.04113856)</f>
        <v>8.0411385600000003</v>
      </c>
      <c r="J773" s="586" t="str">
        <f ca="1">IFERROR(__xludf.DUMMYFUNCTION("""COMPUTED_VALUE""")," 38.10 ")</f>
        <v xml:space="preserve"> 38.10 </v>
      </c>
      <c r="K773" s="584" t="str">
        <f ca="1">IFERROR(__xludf.DUMMYFUNCTION("""COMPUTED_VALUE"""),"1.30")</f>
        <v>1.30</v>
      </c>
      <c r="L773" s="584">
        <f ca="1">IFERROR(__xludf.DUMMYFUNCTION("""COMPUTED_VALUE"""),5.8)</f>
        <v>5.8</v>
      </c>
      <c r="M773" s="584"/>
      <c r="N773" s="584" t="str">
        <f ca="1">IFERROR(__xludf.DUMMYFUNCTION("""COMPUTED_VALUE"""),"Dị_D&lt;54")</f>
        <v>Dị_D&lt;54</v>
      </c>
      <c r="O773" s="583"/>
      <c r="P773" s="584"/>
    </row>
    <row r="774" spans="1:17" ht="15.75">
      <c r="A774" s="587" t="str">
        <f ca="1">IFERROR(__xludf.DUMMYFUNCTION("""COMPUTED_VALUE"""),"Toàn Phát - Việt Nam")</f>
        <v>Toàn Phát - Việt Nam</v>
      </c>
      <c r="B774" s="587" t="str">
        <f ca="1">IFERROR(__xludf.DUMMYFUNCTION("""COMPUTED_VALUE"""),"ĐTPCAYDI")</f>
        <v>ĐTPCAYDI</v>
      </c>
      <c r="C774" s="587" t="str">
        <f ca="1">IFERROR(__xludf.DUMMYFUNCTION("""COMPUTED_VALUE"""),"DOT3811358")</f>
        <v>DOT3811358</v>
      </c>
      <c r="D774" s="588" t="str">
        <f ca="1">IFERROR(__xludf.DUMMYFUNCTION("""COMPUTED_VALUE"""),"Đồng ống thẳng 38.1x1.3x5.8")</f>
        <v>Đồng ống thẳng 38.1x1.3x5.8</v>
      </c>
      <c r="E774" s="589">
        <f ca="1">IFERROR(__xludf.DUMMYFUNCTION("""COMPUTED_VALUE"""),0.1)</f>
        <v>0.1</v>
      </c>
      <c r="F774" s="590" t="str">
        <f ca="1">IFERROR(__xludf.DUMMYFUNCTION("""COMPUTED_VALUE"""),"Cây")</f>
        <v>Cây</v>
      </c>
      <c r="G774" s="590" t="str">
        <f ca="1">IFERROR(__xludf.DUMMYFUNCTION("""COMPUTED_VALUE"""),"Cây 5.8m")</f>
        <v>Cây 5.8m</v>
      </c>
      <c r="H774" s="588"/>
      <c r="I774" s="591">
        <f ca="1">IFERROR(__xludf.DUMMYFUNCTION("""COMPUTED_VALUE"""),8.04113856)</f>
        <v>8.0411385600000003</v>
      </c>
      <c r="J774" s="592" t="str">
        <f ca="1">IFERROR(__xludf.DUMMYFUNCTION("""COMPUTED_VALUE""")," 38.10 ")</f>
        <v xml:space="preserve"> 38.10 </v>
      </c>
      <c r="K774" s="590" t="str">
        <f ca="1">IFERROR(__xludf.DUMMYFUNCTION("""COMPUTED_VALUE"""),"1.30")</f>
        <v>1.30</v>
      </c>
      <c r="L774" s="590">
        <f ca="1">IFERROR(__xludf.DUMMYFUNCTION("""COMPUTED_VALUE"""),5.8)</f>
        <v>5.8</v>
      </c>
      <c r="M774" s="590"/>
      <c r="N774" s="590" t="str">
        <f ca="1">IFERROR(__xludf.DUMMYFUNCTION("""COMPUTED_VALUE"""),"Dị_D&lt;54")</f>
        <v>Dị_D&lt;54</v>
      </c>
      <c r="O774" s="589"/>
      <c r="P774" s="590"/>
    </row>
    <row r="775" spans="1:17" ht="15.75">
      <c r="A775" s="581" t="str">
        <f ca="1">IFERROR(__xludf.DUMMYFUNCTION("""COMPUTED_VALUE"""),"Toàn Phát - Việt Nam")</f>
        <v>Toàn Phát - Việt Nam</v>
      </c>
      <c r="B775" s="581" t="str">
        <f ca="1">IFERROR(__xludf.DUMMYFUNCTION("""COMPUTED_VALUE"""),"ĐTPCAYDI")</f>
        <v>ĐTPCAYDI</v>
      </c>
      <c r="C775" s="581" t="str">
        <f ca="1">IFERROR(__xludf.DUMMYFUNCTION("""COMPUTED_VALUE"""),"DOT3810135")</f>
        <v>DOT3810135</v>
      </c>
      <c r="D775" s="582" t="str">
        <f ca="1">IFERROR(__xludf.DUMMYFUNCTION("""COMPUTED_VALUE"""),"Đồng ống thẳng 38.10x1.35")</f>
        <v>Đồng ống thẳng 38.10x1.35</v>
      </c>
      <c r="E775" s="583">
        <f ca="1">IFERROR(__xludf.DUMMYFUNCTION("""COMPUTED_VALUE"""),0.1)</f>
        <v>0.1</v>
      </c>
      <c r="F775" s="584" t="str">
        <f ca="1">IFERROR(__xludf.DUMMYFUNCTION("""COMPUTED_VALUE"""),"Cây")</f>
        <v>Cây</v>
      </c>
      <c r="G775" s="584" t="str">
        <f ca="1">IFERROR(__xludf.DUMMYFUNCTION("""COMPUTED_VALUE"""),"Cây 2.9m")</f>
        <v>Cây 2.9m</v>
      </c>
      <c r="H775" s="582" t="str">
        <f ca="1">IFERROR(__xludf.DUMMYFUNCTION("""COMPUTED_VALUE"""),"7")</f>
        <v>7</v>
      </c>
      <c r="I775" s="585">
        <f ca="1">IFERROR(__xludf.DUMMYFUNCTION("""COMPUTED_VALUE"""),4.16953372499999)</f>
        <v>4.1695337249999902</v>
      </c>
      <c r="J775" s="586" t="str">
        <f ca="1">IFERROR(__xludf.DUMMYFUNCTION("""COMPUTED_VALUE""")," 38.10 ")</f>
        <v xml:space="preserve"> 38.10 </v>
      </c>
      <c r="K775" s="584" t="str">
        <f ca="1">IFERROR(__xludf.DUMMYFUNCTION("""COMPUTED_VALUE"""),"1.35")</f>
        <v>1.35</v>
      </c>
      <c r="L775" s="584">
        <f ca="1">IFERROR(__xludf.DUMMYFUNCTION("""COMPUTED_VALUE"""),2.9)</f>
        <v>2.9</v>
      </c>
      <c r="M775" s="584"/>
      <c r="N775" s="584" t="str">
        <f ca="1">IFERROR(__xludf.DUMMYFUNCTION("""COMPUTED_VALUE"""),"Dị_D&lt;54")</f>
        <v>Dị_D&lt;54</v>
      </c>
      <c r="O775" s="583"/>
      <c r="P775" s="584"/>
    </row>
    <row r="776" spans="1:17" ht="15.75">
      <c r="A776" s="587" t="str">
        <f ca="1">IFERROR(__xludf.DUMMYFUNCTION("""COMPUTED_VALUE"""),"Toàn Phát - Việt Nam")</f>
        <v>Toàn Phát - Việt Nam</v>
      </c>
      <c r="B776" s="587" t="str">
        <f ca="1">IFERROR(__xludf.DUMMYFUNCTION("""COMPUTED_VALUE"""),"ĐTPCAYDI")</f>
        <v>ĐTPCAYDI</v>
      </c>
      <c r="C776" s="587" t="str">
        <f ca="1">IFERROR(__xludf.DUMMYFUNCTION("""COMPUTED_VALUE"""),"DOT381013558")</f>
        <v>DOT381013558</v>
      </c>
      <c r="D776" s="588" t="str">
        <f ca="1">IFERROR(__xludf.DUMMYFUNCTION("""COMPUTED_VALUE"""),"Đồng ống thẳng 38.10x1.35x5.8")</f>
        <v>Đồng ống thẳng 38.10x1.35x5.8</v>
      </c>
      <c r="E776" s="589">
        <f ca="1">IFERROR(__xludf.DUMMYFUNCTION("""COMPUTED_VALUE"""),0.1)</f>
        <v>0.1</v>
      </c>
      <c r="F776" s="590" t="str">
        <f ca="1">IFERROR(__xludf.DUMMYFUNCTION("""COMPUTED_VALUE"""),"Cây")</f>
        <v>Cây</v>
      </c>
      <c r="G776" s="590" t="str">
        <f ca="1">IFERROR(__xludf.DUMMYFUNCTION("""COMPUTED_VALUE"""),"Cây 5.8m")</f>
        <v>Cây 5.8m</v>
      </c>
      <c r="H776" s="588"/>
      <c r="I776" s="591">
        <f ca="1">IFERROR(__xludf.DUMMYFUNCTION("""COMPUTED_VALUE"""),8.33906744999999)</f>
        <v>8.3390674499999893</v>
      </c>
      <c r="J776" s="592" t="str">
        <f ca="1">IFERROR(__xludf.DUMMYFUNCTION("""COMPUTED_VALUE""")," 38.10 ")</f>
        <v xml:space="preserve"> 38.10 </v>
      </c>
      <c r="K776" s="590" t="str">
        <f ca="1">IFERROR(__xludf.DUMMYFUNCTION("""COMPUTED_VALUE"""),"1.35")</f>
        <v>1.35</v>
      </c>
      <c r="L776" s="590">
        <f ca="1">IFERROR(__xludf.DUMMYFUNCTION("""COMPUTED_VALUE"""),5.8)</f>
        <v>5.8</v>
      </c>
      <c r="M776" s="590"/>
      <c r="N776" s="590" t="str">
        <f ca="1">IFERROR(__xludf.DUMMYFUNCTION("""COMPUTED_VALUE"""),"Dị_D&lt;54")</f>
        <v>Dị_D&lt;54</v>
      </c>
      <c r="O776" s="589"/>
      <c r="P776" s="590"/>
    </row>
    <row r="777" spans="1:17" ht="15.75">
      <c r="A777" s="581" t="str">
        <f ca="1">IFERROR(__xludf.DUMMYFUNCTION("""COMPUTED_VALUE"""),"Toàn Phát - Việt Nam")</f>
        <v>Toàn Phát - Việt Nam</v>
      </c>
      <c r="B777" s="581" t="str">
        <f ca="1">IFERROR(__xludf.DUMMYFUNCTION("""COMPUTED_VALUE"""),"ĐTPCAYDI")</f>
        <v>ĐTPCAYDI</v>
      </c>
      <c r="C777" s="581" t="str">
        <f ca="1">IFERROR(__xludf.DUMMYFUNCTION("""COMPUTED_VALUE"""),"DOT381014058")</f>
        <v>DOT381014058</v>
      </c>
      <c r="D777" s="582" t="str">
        <f ca="1">IFERROR(__xludf.DUMMYFUNCTION("""COMPUTED_VALUE"""),"Đồng ống thẳng 38.10x1.40x5.8")</f>
        <v>Đồng ống thẳng 38.10x1.40x5.8</v>
      </c>
      <c r="E777" s="583">
        <f ca="1">IFERROR(__xludf.DUMMYFUNCTION("""COMPUTED_VALUE"""),0.1)</f>
        <v>0.1</v>
      </c>
      <c r="F777" s="584" t="str">
        <f ca="1">IFERROR(__xludf.DUMMYFUNCTION("""COMPUTED_VALUE"""),"Cây")</f>
        <v>Cây</v>
      </c>
      <c r="G777" s="584" t="str">
        <f ca="1">IFERROR(__xludf.DUMMYFUNCTION("""COMPUTED_VALUE"""),"Cây 5.8m")</f>
        <v>Cây 5.8m</v>
      </c>
      <c r="H777" s="582"/>
      <c r="I777" s="585">
        <f ca="1">IFERROR(__xludf.DUMMYFUNCTION("""COMPUTED_VALUE"""),8.63615592)</f>
        <v>8.6361559200000002</v>
      </c>
      <c r="J777" s="586" t="str">
        <f ca="1">IFERROR(__xludf.DUMMYFUNCTION("""COMPUTED_VALUE""")," 38.10 ")</f>
        <v xml:space="preserve"> 38.10 </v>
      </c>
      <c r="K777" s="584" t="str">
        <f ca="1">IFERROR(__xludf.DUMMYFUNCTION("""COMPUTED_VALUE"""),"1.40")</f>
        <v>1.40</v>
      </c>
      <c r="L777" s="584">
        <f ca="1">IFERROR(__xludf.DUMMYFUNCTION("""COMPUTED_VALUE"""),5.8)</f>
        <v>5.8</v>
      </c>
      <c r="M777" s="584"/>
      <c r="N777" s="584" t="str">
        <f ca="1">IFERROR(__xludf.DUMMYFUNCTION("""COMPUTED_VALUE"""),"Dị_D&lt;54")</f>
        <v>Dị_D&lt;54</v>
      </c>
      <c r="O777" s="583"/>
      <c r="P777" s="584"/>
    </row>
    <row r="778" spans="1:17" ht="15.75">
      <c r="A778" s="587" t="str">
        <f ca="1">IFERROR(__xludf.DUMMYFUNCTION("""COMPUTED_VALUE"""),"Toàn Phát - Việt Nam")</f>
        <v>Toàn Phát - Việt Nam</v>
      </c>
      <c r="B778" s="587" t="str">
        <f ca="1">IFERROR(__xludf.DUMMYFUNCTION("""COMPUTED_VALUE"""),"ĐTPCAYIB")</f>
        <v>ĐTPCAYIB</v>
      </c>
      <c r="C778" s="587" t="str">
        <f ca="1">IFERROR(__xludf.DUMMYFUNCTION("""COMPUTED_VALUE"""),"DOT3810140")</f>
        <v>DOT3810140</v>
      </c>
      <c r="D778" s="588" t="str">
        <f ca="1">IFERROR(__xludf.DUMMYFUNCTION("""COMPUTED_VALUE"""),"Đồng ống thẳng 38.10x1.40")</f>
        <v>Đồng ống thẳng 38.10x1.40</v>
      </c>
      <c r="E778" s="589">
        <f ca="1">IFERROR(__xludf.DUMMYFUNCTION("""COMPUTED_VALUE"""),0.1)</f>
        <v>0.1</v>
      </c>
      <c r="F778" s="590" t="str">
        <f ca="1">IFERROR(__xludf.DUMMYFUNCTION("""COMPUTED_VALUE"""),"Cây")</f>
        <v>Cây</v>
      </c>
      <c r="G778" s="590" t="str">
        <f ca="1">IFERROR(__xludf.DUMMYFUNCTION("""COMPUTED_VALUE"""),"Cây 2.9m")</f>
        <v>Cây 2.9m</v>
      </c>
      <c r="H778" s="588" t="str">
        <f ca="1">IFERROR(__xludf.DUMMYFUNCTION("""COMPUTED_VALUE"""),"7")</f>
        <v>7</v>
      </c>
      <c r="I778" s="591">
        <f ca="1">IFERROR(__xludf.DUMMYFUNCTION("""COMPUTED_VALUE"""),4.31807796)</f>
        <v>4.3180779600000001</v>
      </c>
      <c r="J778" s="592" t="str">
        <f ca="1">IFERROR(__xludf.DUMMYFUNCTION("""COMPUTED_VALUE""")," 38.10 ")</f>
        <v xml:space="preserve"> 38.10 </v>
      </c>
      <c r="K778" s="590" t="str">
        <f ca="1">IFERROR(__xludf.DUMMYFUNCTION("""COMPUTED_VALUE"""),"1.40")</f>
        <v>1.40</v>
      </c>
      <c r="L778" s="590">
        <f ca="1">IFERROR(__xludf.DUMMYFUNCTION("""COMPUTED_VALUE"""),2.9)</f>
        <v>2.9</v>
      </c>
      <c r="M778" s="590"/>
      <c r="N778" s="590" t="str">
        <f ca="1">IFERROR(__xludf.DUMMYFUNCTION("""COMPUTED_VALUE"""),"Ít bán")</f>
        <v>Ít bán</v>
      </c>
      <c r="O778" s="589"/>
      <c r="P778" s="590"/>
      <c r="Q778" s="885">
        <f ca="1">+$Q$5*I778</f>
        <v>993.15793079999992</v>
      </c>
    </row>
    <row r="779" spans="1:17" ht="15.75">
      <c r="A779" s="581" t="str">
        <f ca="1">IFERROR(__xludf.DUMMYFUNCTION("""COMPUTED_VALUE"""),"Toàn Phát - Việt Nam")</f>
        <v>Toàn Phát - Việt Nam</v>
      </c>
      <c r="B779" s="581" t="str">
        <f ca="1">IFERROR(__xludf.DUMMYFUNCTION("""COMPUTED_VALUE"""),"ĐTPCAYIB")</f>
        <v>ĐTPCAYIB</v>
      </c>
      <c r="C779" s="581" t="str">
        <f ca="1">IFERROR(__xludf.DUMMYFUNCTION("""COMPUTED_VALUE"""),"DOT3810150")</f>
        <v>DOT3810150</v>
      </c>
      <c r="D779" s="582" t="str">
        <f ca="1">IFERROR(__xludf.DUMMYFUNCTION("""COMPUTED_VALUE"""),"Đồng ống thẳng 38.10x1.50")</f>
        <v>Đồng ống thẳng 38.10x1.50</v>
      </c>
      <c r="E779" s="583">
        <f ca="1">IFERROR(__xludf.DUMMYFUNCTION("""COMPUTED_VALUE"""),0.1)</f>
        <v>0.1</v>
      </c>
      <c r="F779" s="584" t="str">
        <f ca="1">IFERROR(__xludf.DUMMYFUNCTION("""COMPUTED_VALUE"""),"Cây")</f>
        <v>Cây</v>
      </c>
      <c r="G779" s="584" t="str">
        <f ca="1">IFERROR(__xludf.DUMMYFUNCTION("""COMPUTED_VALUE"""),"Cây 2.9m")</f>
        <v>Cây 2.9m</v>
      </c>
      <c r="H779" s="582" t="str">
        <f ca="1">IFERROR(__xludf.DUMMYFUNCTION("""COMPUTED_VALUE"""),"7")</f>
        <v>7</v>
      </c>
      <c r="I779" s="585">
        <f ca="1">IFERROR(__xludf.DUMMYFUNCTION("""COMPUTED_VALUE"""),4.61390579999999)</f>
        <v>4.6139057999999897</v>
      </c>
      <c r="J779" s="586" t="str">
        <f ca="1">IFERROR(__xludf.DUMMYFUNCTION("""COMPUTED_VALUE""")," 38.10 ")</f>
        <v xml:space="preserve"> 38.10 </v>
      </c>
      <c r="K779" s="584" t="str">
        <f ca="1">IFERROR(__xludf.DUMMYFUNCTION("""COMPUTED_VALUE"""),"1.50")</f>
        <v>1.50</v>
      </c>
      <c r="L779" s="584">
        <f ca="1">IFERROR(__xludf.DUMMYFUNCTION("""COMPUTED_VALUE"""),2.9)</f>
        <v>2.9</v>
      </c>
      <c r="M779" s="584"/>
      <c r="N779" s="584" t="str">
        <f ca="1">IFERROR(__xludf.DUMMYFUNCTION("""COMPUTED_VALUE"""),"Dị_D&lt;54")</f>
        <v>Dị_D&lt;54</v>
      </c>
      <c r="O779" s="583"/>
      <c r="P779" s="584"/>
    </row>
    <row r="780" spans="1:17" ht="15.75">
      <c r="A780" s="587" t="str">
        <f ca="1">IFERROR(__xludf.DUMMYFUNCTION("""COMPUTED_VALUE"""),"Toàn Phát - Việt Nam")</f>
        <v>Toàn Phát - Việt Nam</v>
      </c>
      <c r="B780" s="587" t="str">
        <f ca="1">IFERROR(__xludf.DUMMYFUNCTION("""COMPUTED_VALUE"""),"ĐTPCAYDI")</f>
        <v>ĐTPCAYDI</v>
      </c>
      <c r="C780" s="587" t="str">
        <f ca="1">IFERROR(__xludf.DUMMYFUNCTION("""COMPUTED_VALUE"""),"DOT4128080(NM)")</f>
        <v>DOT4128080(NM)</v>
      </c>
      <c r="D780" s="588" t="str">
        <f ca="1">IFERROR(__xludf.DUMMYFUNCTION("""COMPUTED_VALUE"""),"Đồng ống thẳng 41.28x0.80")</f>
        <v>Đồng ống thẳng 41.28x0.80</v>
      </c>
      <c r="E780" s="589">
        <f ca="1">IFERROR(__xludf.DUMMYFUNCTION("""COMPUTED_VALUE"""),0.1)</f>
        <v>0.1</v>
      </c>
      <c r="F780" s="590" t="str">
        <f ca="1">IFERROR(__xludf.DUMMYFUNCTION("""COMPUTED_VALUE"""),"Cây")</f>
        <v>Cây</v>
      </c>
      <c r="G780" s="590" t="str">
        <f ca="1">IFERROR(__xludf.DUMMYFUNCTION("""COMPUTED_VALUE"""),"Cây 2.9m")</f>
        <v>Cây 2.9m</v>
      </c>
      <c r="H780" s="588" t="str">
        <f ca="1">IFERROR(__xludf.DUMMYFUNCTION("""COMPUTED_VALUE"""),"7")</f>
        <v>7</v>
      </c>
      <c r="I780" s="591">
        <f ca="1">IFERROR(__xludf.DUMMYFUNCTION("""COMPUTED_VALUE"""),2.721616128)</f>
        <v>2.721616128</v>
      </c>
      <c r="J780" s="592" t="str">
        <f ca="1">IFERROR(__xludf.DUMMYFUNCTION("""COMPUTED_VALUE""")," 41.28 ")</f>
        <v xml:space="preserve"> 41.28 </v>
      </c>
      <c r="K780" s="590" t="str">
        <f ca="1">IFERROR(__xludf.DUMMYFUNCTION("""COMPUTED_VALUE"""),"0.80")</f>
        <v>0.80</v>
      </c>
      <c r="L780" s="590">
        <f ca="1">IFERROR(__xludf.DUMMYFUNCTION("""COMPUTED_VALUE"""),2.9)</f>
        <v>2.9</v>
      </c>
      <c r="M780" s="590"/>
      <c r="N780" s="590" t="str">
        <f ca="1">IFERROR(__xludf.DUMMYFUNCTION("""COMPUTED_VALUE"""),"Dị_D&lt;54")</f>
        <v>Dị_D&lt;54</v>
      </c>
      <c r="O780" s="589"/>
      <c r="P780" s="590"/>
    </row>
    <row r="781" spans="1:17" ht="15.75">
      <c r="A781" s="581" t="str">
        <f ca="1">IFERROR(__xludf.DUMMYFUNCTION("""COMPUTED_VALUE"""),"Toàn Phát - Việt Nam")</f>
        <v>Toàn Phát - Việt Nam</v>
      </c>
      <c r="B781" s="581" t="str">
        <f ca="1">IFERROR(__xludf.DUMMYFUNCTION("""COMPUTED_VALUE"""),"ĐTPCAYDI")</f>
        <v>ĐTPCAYDI</v>
      </c>
      <c r="C781" s="581" t="str">
        <f ca="1">IFERROR(__xludf.DUMMYFUNCTION("""COMPUTED_VALUE"""),"DOT4128081")</f>
        <v>DOT4128081</v>
      </c>
      <c r="D781" s="582" t="str">
        <f ca="1">IFERROR(__xludf.DUMMYFUNCTION("""COMPUTED_VALUE"""),"Đồng ống thẳng 41.28x0.81")</f>
        <v>Đồng ống thẳng 41.28x0.81</v>
      </c>
      <c r="E781" s="583">
        <f ca="1">IFERROR(__xludf.DUMMYFUNCTION("""COMPUTED_VALUE"""),0.1)</f>
        <v>0.1</v>
      </c>
      <c r="F781" s="584" t="str">
        <f ca="1">IFERROR(__xludf.DUMMYFUNCTION("""COMPUTED_VALUE"""),"Cây")</f>
        <v>Cây</v>
      </c>
      <c r="G781" s="584" t="str">
        <f ca="1">IFERROR(__xludf.DUMMYFUNCTION("""COMPUTED_VALUE"""),"Cây 2.9m")</f>
        <v>Cây 2.9m</v>
      </c>
      <c r="H781" s="582" t="str">
        <f ca="1">IFERROR(__xludf.DUMMYFUNCTION("""COMPUTED_VALUE"""),"7")</f>
        <v>7</v>
      </c>
      <c r="I781" s="585">
        <f ca="1">IFERROR(__xludf.DUMMYFUNCTION("""COMPUTED_VALUE"""),2.7549555894)</f>
        <v>2.7549555894000002</v>
      </c>
      <c r="J781" s="586" t="str">
        <f ca="1">IFERROR(__xludf.DUMMYFUNCTION("""COMPUTED_VALUE""")," 41.28 ")</f>
        <v xml:space="preserve"> 41.28 </v>
      </c>
      <c r="K781" s="584" t="str">
        <f ca="1">IFERROR(__xludf.DUMMYFUNCTION("""COMPUTED_VALUE"""),"0.81")</f>
        <v>0.81</v>
      </c>
      <c r="L781" s="584">
        <f ca="1">IFERROR(__xludf.DUMMYFUNCTION("""COMPUTED_VALUE"""),2.9)</f>
        <v>2.9</v>
      </c>
      <c r="M781" s="584"/>
      <c r="N781" s="584" t="str">
        <f ca="1">IFERROR(__xludf.DUMMYFUNCTION("""COMPUTED_VALUE"""),"Dị_D&lt;54")</f>
        <v>Dị_D&lt;54</v>
      </c>
      <c r="O781" s="583"/>
      <c r="P781" s="584"/>
    </row>
    <row r="782" spans="1:17" ht="15.75">
      <c r="A782" s="587" t="str">
        <f ca="1">IFERROR(__xludf.DUMMYFUNCTION("""COMPUTED_VALUE"""),"Toàn Phát - Việt Nam")</f>
        <v>Toàn Phát - Việt Nam</v>
      </c>
      <c r="B782" s="587" t="str">
        <f ca="1">IFERROR(__xludf.DUMMYFUNCTION("""COMPUTED_VALUE"""),"ĐTPCAYDI")</f>
        <v>ĐTPCAYDI</v>
      </c>
      <c r="C782" s="587" t="str">
        <f ca="1">IFERROR(__xludf.DUMMYFUNCTION("""COMPUTED_VALUE"""),"DOT412808158")</f>
        <v>DOT412808158</v>
      </c>
      <c r="D782" s="588" t="str">
        <f ca="1">IFERROR(__xludf.DUMMYFUNCTION("""COMPUTED_VALUE"""),"Đồng ống thẳng 41.28x0.81x5.8")</f>
        <v>Đồng ống thẳng 41.28x0.81x5.8</v>
      </c>
      <c r="E782" s="589">
        <f ca="1">IFERROR(__xludf.DUMMYFUNCTION("""COMPUTED_VALUE"""),0.1)</f>
        <v>0.1</v>
      </c>
      <c r="F782" s="590" t="str">
        <f ca="1">IFERROR(__xludf.DUMMYFUNCTION("""COMPUTED_VALUE"""),"Cây")</f>
        <v>Cây</v>
      </c>
      <c r="G782" s="590" t="str">
        <f ca="1">IFERROR(__xludf.DUMMYFUNCTION("""COMPUTED_VALUE"""),"Cây 5.8m")</f>
        <v>Cây 5.8m</v>
      </c>
      <c r="H782" s="588"/>
      <c r="I782" s="591">
        <f ca="1">IFERROR(__xludf.DUMMYFUNCTION("""COMPUTED_VALUE"""),5.5099111788)</f>
        <v>5.5099111788000004</v>
      </c>
      <c r="J782" s="592" t="str">
        <f ca="1">IFERROR(__xludf.DUMMYFUNCTION("""COMPUTED_VALUE""")," 41.28 ")</f>
        <v xml:space="preserve"> 41.28 </v>
      </c>
      <c r="K782" s="590" t="str">
        <f ca="1">IFERROR(__xludf.DUMMYFUNCTION("""COMPUTED_VALUE"""),"0.81")</f>
        <v>0.81</v>
      </c>
      <c r="L782" s="590">
        <f ca="1">IFERROR(__xludf.DUMMYFUNCTION("""COMPUTED_VALUE"""),5.8)</f>
        <v>5.8</v>
      </c>
      <c r="M782" s="590"/>
      <c r="N782" s="590" t="str">
        <f ca="1">IFERROR(__xludf.DUMMYFUNCTION("""COMPUTED_VALUE"""),"Dị_D&lt;54")</f>
        <v>Dị_D&lt;54</v>
      </c>
      <c r="O782" s="589"/>
      <c r="P782" s="590"/>
    </row>
    <row r="783" spans="1:17" ht="15.75">
      <c r="A783" s="581" t="str">
        <f ca="1">IFERROR(__xludf.DUMMYFUNCTION("""COMPUTED_VALUE"""),"Toàn Phát - Việt Nam")</f>
        <v>Toàn Phát - Việt Nam</v>
      </c>
      <c r="B783" s="581" t="str">
        <f ca="1">IFERROR(__xludf.DUMMYFUNCTION("""COMPUTED_VALUE"""),"ĐTPCAYDI")</f>
        <v>ĐTPCAYDI</v>
      </c>
      <c r="C783" s="581" t="str">
        <f ca="1">IFERROR(__xludf.DUMMYFUNCTION("""COMPUTED_VALUE"""),"DOT4128085")</f>
        <v>DOT4128085</v>
      </c>
      <c r="D783" s="582" t="str">
        <f ca="1">IFERROR(__xludf.DUMMYFUNCTION("""COMPUTED_VALUE"""),"Đồng ống thẳng 41.28x0.85")</f>
        <v>Đồng ống thẳng 41.28x0.85</v>
      </c>
      <c r="E783" s="583">
        <f ca="1">IFERROR(__xludf.DUMMYFUNCTION("""COMPUTED_VALUE"""),0.1)</f>
        <v>0.1</v>
      </c>
      <c r="F783" s="584" t="str">
        <f ca="1">IFERROR(__xludf.DUMMYFUNCTION("""COMPUTED_VALUE"""),"Cây")</f>
        <v>Cây</v>
      </c>
      <c r="G783" s="584" t="str">
        <f ca="1">IFERROR(__xludf.DUMMYFUNCTION("""COMPUTED_VALUE"""),"Cây 2.9m")</f>
        <v>Cây 2.9m</v>
      </c>
      <c r="H783" s="582" t="str">
        <f ca="1">IFERROR(__xludf.DUMMYFUNCTION("""COMPUTED_VALUE"""),"7")</f>
        <v>7</v>
      </c>
      <c r="I783" s="585">
        <f ca="1">IFERROR(__xludf.DUMMYFUNCTION("""COMPUTED_VALUE"""),2.88814535099999)</f>
        <v>2.8881453509999901</v>
      </c>
      <c r="J783" s="586" t="str">
        <f ca="1">IFERROR(__xludf.DUMMYFUNCTION("""COMPUTED_VALUE""")," 41.28 ")</f>
        <v xml:space="preserve"> 41.28 </v>
      </c>
      <c r="K783" s="584" t="str">
        <f ca="1">IFERROR(__xludf.DUMMYFUNCTION("""COMPUTED_VALUE"""),"0.85")</f>
        <v>0.85</v>
      </c>
      <c r="L783" s="584">
        <f ca="1">IFERROR(__xludf.DUMMYFUNCTION("""COMPUTED_VALUE"""),2.9)</f>
        <v>2.9</v>
      </c>
      <c r="M783" s="584"/>
      <c r="N783" s="584" t="str">
        <f ca="1">IFERROR(__xludf.DUMMYFUNCTION("""COMPUTED_VALUE"""),"Dị_D&lt;54")</f>
        <v>Dị_D&lt;54</v>
      </c>
      <c r="O783" s="583"/>
      <c r="P783" s="584"/>
    </row>
    <row r="784" spans="1:17" ht="15.75">
      <c r="A784" s="587" t="str">
        <f ca="1">IFERROR(__xludf.DUMMYFUNCTION("""COMPUTED_VALUE"""),"Toàn Phát - Việt Nam")</f>
        <v>Toàn Phát - Việt Nam</v>
      </c>
      <c r="B784" s="587" t="str">
        <f ca="1">IFERROR(__xludf.DUMMYFUNCTION("""COMPUTED_VALUE"""),"ĐTPCAYDI")</f>
        <v>ĐTPCAYDI</v>
      </c>
      <c r="C784" s="587" t="str">
        <f ca="1">IFERROR(__xludf.DUMMYFUNCTION("""COMPUTED_VALUE"""),"DOT4128095")</f>
        <v>DOT4128095</v>
      </c>
      <c r="D784" s="588" t="str">
        <f ca="1">IFERROR(__xludf.DUMMYFUNCTION("""COMPUTED_VALUE"""),"Đồng ống thẳng 41.28x0.95")</f>
        <v>Đồng ống thẳng 41.28x0.95</v>
      </c>
      <c r="E784" s="589">
        <f ca="1">IFERROR(__xludf.DUMMYFUNCTION("""COMPUTED_VALUE"""),0.1)</f>
        <v>0.1</v>
      </c>
      <c r="F784" s="590" t="str">
        <f ca="1">IFERROR(__xludf.DUMMYFUNCTION("""COMPUTED_VALUE"""),"Cây")</f>
        <v>Cây</v>
      </c>
      <c r="G784" s="590" t="str">
        <f ca="1">IFERROR(__xludf.DUMMYFUNCTION("""COMPUTED_VALUE"""),"Cây 2.9m")</f>
        <v>Cây 2.9m</v>
      </c>
      <c r="H784" s="588" t="str">
        <f ca="1">IFERROR(__xludf.DUMMYFUNCTION("""COMPUTED_VALUE"""),"7")</f>
        <v>7</v>
      </c>
      <c r="I784" s="591">
        <f ca="1">IFERROR(__xludf.DUMMYFUNCTION("""COMPUTED_VALUE"""),3.21994316699999)</f>
        <v>3.2199431669999901</v>
      </c>
      <c r="J784" s="592" t="str">
        <f ca="1">IFERROR(__xludf.DUMMYFUNCTION("""COMPUTED_VALUE""")," 41.28 ")</f>
        <v xml:space="preserve"> 41.28 </v>
      </c>
      <c r="K784" s="590" t="str">
        <f ca="1">IFERROR(__xludf.DUMMYFUNCTION("""COMPUTED_VALUE"""),"0.95")</f>
        <v>0.95</v>
      </c>
      <c r="L784" s="590">
        <f ca="1">IFERROR(__xludf.DUMMYFUNCTION("""COMPUTED_VALUE"""),2.9)</f>
        <v>2.9</v>
      </c>
      <c r="M784" s="590"/>
      <c r="N784" s="590" t="str">
        <f ca="1">IFERROR(__xludf.DUMMYFUNCTION("""COMPUTED_VALUE"""),"Dị_D&lt;54")</f>
        <v>Dị_D&lt;54</v>
      </c>
      <c r="O784" s="589"/>
      <c r="P784" s="590"/>
    </row>
    <row r="785" spans="1:17" ht="15.75">
      <c r="A785" s="581" t="str">
        <f ca="1">IFERROR(__xludf.DUMMYFUNCTION("""COMPUTED_VALUE"""),"Toàn Phát - Việt Nam")</f>
        <v>Toàn Phát - Việt Nam</v>
      </c>
      <c r="B785" s="581" t="str">
        <f ca="1">IFERROR(__xludf.DUMMYFUNCTION("""COMPUTED_VALUE"""),"ĐTPCAYDI")</f>
        <v>ĐTPCAYDI</v>
      </c>
      <c r="C785" s="581" t="str">
        <f ca="1">IFERROR(__xludf.DUMMYFUNCTION("""COMPUTED_VALUE"""),"DOT41281058")</f>
        <v>DOT41281058</v>
      </c>
      <c r="D785" s="582" t="str">
        <f ca="1">IFERROR(__xludf.DUMMYFUNCTION("""COMPUTED_VALUE"""),"Đồng ống thẳng 41.28x1.0x5.8")</f>
        <v>Đồng ống thẳng 41.28x1.0x5.8</v>
      </c>
      <c r="E785" s="583">
        <f ca="1">IFERROR(__xludf.DUMMYFUNCTION("""COMPUTED_VALUE"""),0.1)</f>
        <v>0.1</v>
      </c>
      <c r="F785" s="584" t="str">
        <f ca="1">IFERROR(__xludf.DUMMYFUNCTION("""COMPUTED_VALUE"""),"Cây")</f>
        <v>Cây</v>
      </c>
      <c r="G785" s="584" t="str">
        <f ca="1">IFERROR(__xludf.DUMMYFUNCTION("""COMPUTED_VALUE"""),"Cây 5.8m")</f>
        <v>Cây 5.8m</v>
      </c>
      <c r="H785" s="582"/>
      <c r="I785" s="585">
        <f ca="1">IFERROR(__xludf.DUMMYFUNCTION("""COMPUTED_VALUE"""),6.77042352)</f>
        <v>6.7704235199999996</v>
      </c>
      <c r="J785" s="586" t="str">
        <f ca="1">IFERROR(__xludf.DUMMYFUNCTION("""COMPUTED_VALUE""")," 41.28 ")</f>
        <v xml:space="preserve"> 41.28 </v>
      </c>
      <c r="K785" s="584" t="str">
        <f ca="1">IFERROR(__xludf.DUMMYFUNCTION("""COMPUTED_VALUE"""),"1.00")</f>
        <v>1.00</v>
      </c>
      <c r="L785" s="584">
        <f ca="1">IFERROR(__xludf.DUMMYFUNCTION("""COMPUTED_VALUE"""),5.8)</f>
        <v>5.8</v>
      </c>
      <c r="M785" s="584"/>
      <c r="N785" s="584" t="str">
        <f ca="1">IFERROR(__xludf.DUMMYFUNCTION("""COMPUTED_VALUE"""),"Dị_D&lt;54")</f>
        <v>Dị_D&lt;54</v>
      </c>
      <c r="O785" s="583"/>
      <c r="P785" s="584"/>
    </row>
    <row r="786" spans="1:17" ht="15.75">
      <c r="A786" s="587" t="str">
        <f ca="1">IFERROR(__xludf.DUMMYFUNCTION("""COMPUTED_VALUE"""),"Toàn Phát - Việt Nam")</f>
        <v>Toàn Phát - Việt Nam</v>
      </c>
      <c r="B786" s="587" t="str">
        <f ca="1">IFERROR(__xludf.DUMMYFUNCTION("""COMPUTED_VALUE"""),"ĐTPCAYIB")</f>
        <v>ĐTPCAYIB</v>
      </c>
      <c r="C786" s="587" t="str">
        <f ca="1">IFERROR(__xludf.DUMMYFUNCTION("""COMPUTED_VALUE"""),"DOT4128100")</f>
        <v>DOT4128100</v>
      </c>
      <c r="D786" s="588" t="str">
        <f ca="1">IFERROR(__xludf.DUMMYFUNCTION("""COMPUTED_VALUE"""),"Đồng ống thẳng 41.28x1.00")</f>
        <v>Đồng ống thẳng 41.28x1.00</v>
      </c>
      <c r="E786" s="589">
        <f ca="1">IFERROR(__xludf.DUMMYFUNCTION("""COMPUTED_VALUE"""),0.1)</f>
        <v>0.1</v>
      </c>
      <c r="F786" s="590" t="str">
        <f ca="1">IFERROR(__xludf.DUMMYFUNCTION("""COMPUTED_VALUE"""),"Cây")</f>
        <v>Cây</v>
      </c>
      <c r="G786" s="590" t="str">
        <f ca="1">IFERROR(__xludf.DUMMYFUNCTION("""COMPUTED_VALUE"""),"Cây 2.9m")</f>
        <v>Cây 2.9m</v>
      </c>
      <c r="H786" s="588" t="str">
        <f ca="1">IFERROR(__xludf.DUMMYFUNCTION("""COMPUTED_VALUE"""),"7")</f>
        <v>7</v>
      </c>
      <c r="I786" s="591">
        <f ca="1">IFERROR(__xludf.DUMMYFUNCTION("""COMPUTED_VALUE"""),3.38521176)</f>
        <v>3.3852117599999998</v>
      </c>
      <c r="J786" s="592" t="str">
        <f ca="1">IFERROR(__xludf.DUMMYFUNCTION("""COMPUTED_VALUE""")," 41.28 ")</f>
        <v xml:space="preserve"> 41.28 </v>
      </c>
      <c r="K786" s="590" t="str">
        <f ca="1">IFERROR(__xludf.DUMMYFUNCTION("""COMPUTED_VALUE"""),"1.00")</f>
        <v>1.00</v>
      </c>
      <c r="L786" s="590">
        <f ca="1">IFERROR(__xludf.DUMMYFUNCTION("""COMPUTED_VALUE"""),2.9)</f>
        <v>2.9</v>
      </c>
      <c r="M786" s="590"/>
      <c r="N786" s="590" t="str">
        <f ca="1">IFERROR(__xludf.DUMMYFUNCTION("""COMPUTED_VALUE"""),"Ít bán")</f>
        <v>Ít bán</v>
      </c>
      <c r="O786" s="589"/>
      <c r="P786" s="590"/>
      <c r="Q786" s="885">
        <f ca="1">+$Q$5*I786</f>
        <v>778.59870479999984</v>
      </c>
    </row>
    <row r="787" spans="1:17" ht="15.75">
      <c r="A787" s="581" t="str">
        <f ca="1">IFERROR(__xludf.DUMMYFUNCTION("""COMPUTED_VALUE"""),"Toàn Phát - Việt Nam")</f>
        <v>Toàn Phát - Việt Nam</v>
      </c>
      <c r="B787" s="581" t="str">
        <f ca="1">IFERROR(__xludf.DUMMYFUNCTION("""COMPUTED_VALUE"""),"ĐTPCAYDI")</f>
        <v>ĐTPCAYDI</v>
      </c>
      <c r="C787" s="581" t="str">
        <f ca="1">IFERROR(__xludf.DUMMYFUNCTION("""COMPUTED_VALUE"""),"DOT4128107")</f>
        <v>DOT4128107</v>
      </c>
      <c r="D787" s="582" t="str">
        <f ca="1">IFERROR(__xludf.DUMMYFUNCTION("""COMPUTED_VALUE"""),"Đồng ống thẳng 41.28x1.07")</f>
        <v>Đồng ống thẳng 41.28x1.07</v>
      </c>
      <c r="E787" s="583">
        <f ca="1">IFERROR(__xludf.DUMMYFUNCTION("""COMPUTED_VALUE"""),0.1)</f>
        <v>0.1</v>
      </c>
      <c r="F787" s="584" t="str">
        <f ca="1">IFERROR(__xludf.DUMMYFUNCTION("""COMPUTED_VALUE"""),"Cây")</f>
        <v>Cây</v>
      </c>
      <c r="G787" s="584" t="str">
        <f ca="1">IFERROR(__xludf.DUMMYFUNCTION("""COMPUTED_VALUE"""),"Cây 2.9m")</f>
        <v>Cây 2.9m</v>
      </c>
      <c r="H787" s="582" t="str">
        <f ca="1">IFERROR(__xludf.DUMMYFUNCTION("""COMPUTED_VALUE"""),"7")</f>
        <v>7</v>
      </c>
      <c r="I787" s="585">
        <f ca="1">IFERROR(__xludf.DUMMYFUNCTION("""COMPUTED_VALUE"""),3.6158818374)</f>
        <v>3.6158818373999999</v>
      </c>
      <c r="J787" s="586" t="str">
        <f ca="1">IFERROR(__xludf.DUMMYFUNCTION("""COMPUTED_VALUE""")," 41.28 ")</f>
        <v xml:space="preserve"> 41.28 </v>
      </c>
      <c r="K787" s="584" t="str">
        <f ca="1">IFERROR(__xludf.DUMMYFUNCTION("""COMPUTED_VALUE"""),"1.07")</f>
        <v>1.07</v>
      </c>
      <c r="L787" s="584">
        <f ca="1">IFERROR(__xludf.DUMMYFUNCTION("""COMPUTED_VALUE"""),2.9)</f>
        <v>2.9</v>
      </c>
      <c r="M787" s="584"/>
      <c r="N787" s="584" t="str">
        <f ca="1">IFERROR(__xludf.DUMMYFUNCTION("""COMPUTED_VALUE"""),"Dị_D&lt;54")</f>
        <v>Dị_D&lt;54</v>
      </c>
      <c r="O787" s="583"/>
      <c r="P787" s="584"/>
    </row>
    <row r="788" spans="1:17" ht="15.75">
      <c r="A788" s="587" t="str">
        <f ca="1">IFERROR(__xludf.DUMMYFUNCTION("""COMPUTED_VALUE"""),"Toàn Phát - Việt Nam")</f>
        <v>Toàn Phát - Việt Nam</v>
      </c>
      <c r="B788" s="587" t="str">
        <f ca="1">IFERROR(__xludf.DUMMYFUNCTION("""COMPUTED_VALUE"""),"ĐTPCAYDI")</f>
        <v>ĐTPCAYDI</v>
      </c>
      <c r="C788" s="587" t="str">
        <f ca="1">IFERROR(__xludf.DUMMYFUNCTION("""COMPUTED_VALUE"""),"DOT4128110")</f>
        <v>DOT4128110</v>
      </c>
      <c r="D788" s="588" t="str">
        <f ca="1">IFERROR(__xludf.DUMMYFUNCTION("""COMPUTED_VALUE"""),"Đồng ống thẳng 41.28x1.10")</f>
        <v>Đồng ống thẳng 41.28x1.10</v>
      </c>
      <c r="E788" s="589">
        <f ca="1">IFERROR(__xludf.DUMMYFUNCTION("""COMPUTED_VALUE"""),0.1)</f>
        <v>0.1</v>
      </c>
      <c r="F788" s="590" t="str">
        <f ca="1">IFERROR(__xludf.DUMMYFUNCTION("""COMPUTED_VALUE"""),"Cây")</f>
        <v>Cây</v>
      </c>
      <c r="G788" s="590" t="str">
        <f ca="1">IFERROR(__xludf.DUMMYFUNCTION("""COMPUTED_VALUE"""),"Cây 2.9m")</f>
        <v>Cây 2.9m</v>
      </c>
      <c r="H788" s="588" t="str">
        <f ca="1">IFERROR(__xludf.DUMMYFUNCTION("""COMPUTED_VALUE"""),"7")</f>
        <v>7</v>
      </c>
      <c r="I788" s="591">
        <f ca="1">IFERROR(__xludf.DUMMYFUNCTION("""COMPUTED_VALUE"""),3.71448831599999)</f>
        <v>3.71448831599999</v>
      </c>
      <c r="J788" s="592" t="str">
        <f ca="1">IFERROR(__xludf.DUMMYFUNCTION("""COMPUTED_VALUE""")," 41.28 ")</f>
        <v xml:space="preserve"> 41.28 </v>
      </c>
      <c r="K788" s="590" t="str">
        <f ca="1">IFERROR(__xludf.DUMMYFUNCTION("""COMPUTED_VALUE"""),"1.10")</f>
        <v>1.10</v>
      </c>
      <c r="L788" s="590">
        <f ca="1">IFERROR(__xludf.DUMMYFUNCTION("""COMPUTED_VALUE"""),2.9)</f>
        <v>2.9</v>
      </c>
      <c r="M788" s="590"/>
      <c r="N788" s="590" t="str">
        <f ca="1">IFERROR(__xludf.DUMMYFUNCTION("""COMPUTED_VALUE"""),"Dị_D&lt;54")</f>
        <v>Dị_D&lt;54</v>
      </c>
      <c r="O788" s="589"/>
      <c r="P788" s="590"/>
    </row>
    <row r="789" spans="1:17" ht="15.75">
      <c r="A789" s="581" t="str">
        <f ca="1">IFERROR(__xludf.DUMMYFUNCTION("""COMPUTED_VALUE"""),"Toàn Phát - Việt Nam")</f>
        <v>Toàn Phát - Việt Nam</v>
      </c>
      <c r="B789" s="581" t="str">
        <f ca="1">IFERROR(__xludf.DUMMYFUNCTION("""COMPUTED_VALUE"""),"ĐTPCAYDI")</f>
        <v>ĐTPCAYDI</v>
      </c>
      <c r="C789" s="581" t="str">
        <f ca="1">IFERROR(__xludf.DUMMYFUNCTION("""COMPUTED_VALUE"""),"DOT4128115")</f>
        <v>DOT4128115</v>
      </c>
      <c r="D789" s="582" t="str">
        <f ca="1">IFERROR(__xludf.DUMMYFUNCTION("""COMPUTED_VALUE"""),"Đồng ống thẳng 41.28x1.15")</f>
        <v>Đồng ống thẳng 41.28x1.15</v>
      </c>
      <c r="E789" s="583">
        <f ca="1">IFERROR(__xludf.DUMMYFUNCTION("""COMPUTED_VALUE"""),0.1)</f>
        <v>0.1</v>
      </c>
      <c r="F789" s="584" t="str">
        <f ca="1">IFERROR(__xludf.DUMMYFUNCTION("""COMPUTED_VALUE"""),"Cây")</f>
        <v>Cây</v>
      </c>
      <c r="G789" s="584" t="str">
        <f ca="1">IFERROR(__xludf.DUMMYFUNCTION("""COMPUTED_VALUE"""),"Cây 2.9m")</f>
        <v>Cây 2.9m</v>
      </c>
      <c r="H789" s="582" t="str">
        <f ca="1">IFERROR(__xludf.DUMMYFUNCTION("""COMPUTED_VALUE"""),"7")</f>
        <v>7</v>
      </c>
      <c r="I789" s="585">
        <f ca="1">IFERROR(__xludf.DUMMYFUNCTION("""COMPUTED_VALUE"""),3.87849627899999)</f>
        <v>3.8784962789999899</v>
      </c>
      <c r="J789" s="586" t="str">
        <f ca="1">IFERROR(__xludf.DUMMYFUNCTION("""COMPUTED_VALUE""")," 41.28 ")</f>
        <v xml:space="preserve"> 41.28 </v>
      </c>
      <c r="K789" s="584" t="str">
        <f ca="1">IFERROR(__xludf.DUMMYFUNCTION("""COMPUTED_VALUE"""),"1.15")</f>
        <v>1.15</v>
      </c>
      <c r="L789" s="584">
        <f ca="1">IFERROR(__xludf.DUMMYFUNCTION("""COMPUTED_VALUE"""),2.9)</f>
        <v>2.9</v>
      </c>
      <c r="M789" s="584"/>
      <c r="N789" s="584" t="str">
        <f ca="1">IFERROR(__xludf.DUMMYFUNCTION("""COMPUTED_VALUE"""),"Dị_D&lt;54")</f>
        <v>Dị_D&lt;54</v>
      </c>
      <c r="O789" s="583"/>
      <c r="P789" s="584"/>
    </row>
    <row r="790" spans="1:17" ht="15.75">
      <c r="A790" s="587" t="str">
        <f ca="1">IFERROR(__xludf.DUMMYFUNCTION("""COMPUTED_VALUE"""),"Toàn Phát - Việt Nam")</f>
        <v>Toàn Phát - Việt Nam</v>
      </c>
      <c r="B790" s="587" t="str">
        <f ca="1">IFERROR(__xludf.DUMMYFUNCTION("""COMPUTED_VALUE"""),"ĐTPCAYCT")</f>
        <v>ĐTPCAYCT</v>
      </c>
      <c r="C790" s="587" t="str">
        <f ca="1">IFERROR(__xludf.DUMMYFUNCTION("""COMPUTED_VALUE"""),"DOT4128120(NM)")</f>
        <v>DOT4128120(NM)</v>
      </c>
      <c r="D790" s="588" t="str">
        <f ca="1">IFERROR(__xludf.DUMMYFUNCTION("""COMPUTED_VALUE"""),"Đồng ống thẳng 41.28x1.20")</f>
        <v>Đồng ống thẳng 41.28x1.20</v>
      </c>
      <c r="E790" s="589">
        <f ca="1">IFERROR(__xludf.DUMMYFUNCTION("""COMPUTED_VALUE"""),0.1)</f>
        <v>0.1</v>
      </c>
      <c r="F790" s="590" t="str">
        <f ca="1">IFERROR(__xludf.DUMMYFUNCTION("""COMPUTED_VALUE"""),"Cây")</f>
        <v>Cây</v>
      </c>
      <c r="G790" s="590" t="str">
        <f ca="1">IFERROR(__xludf.DUMMYFUNCTION("""COMPUTED_VALUE"""),"Cây 2.9m")</f>
        <v>Cây 2.9m</v>
      </c>
      <c r="H790" s="588" t="str">
        <f ca="1">IFERROR(__xludf.DUMMYFUNCTION("""COMPUTED_VALUE"""),"7")</f>
        <v>7</v>
      </c>
      <c r="I790" s="591">
        <f ca="1">IFERROR(__xludf.DUMMYFUNCTION("""COMPUTED_VALUE"""),4.04208403199999)</f>
        <v>4.0420840319999902</v>
      </c>
      <c r="J790" s="592" t="str">
        <f ca="1">IFERROR(__xludf.DUMMYFUNCTION("""COMPUTED_VALUE""")," 41.28 ")</f>
        <v xml:space="preserve"> 41.28 </v>
      </c>
      <c r="K790" s="590" t="str">
        <f ca="1">IFERROR(__xludf.DUMMYFUNCTION("""COMPUTED_VALUE"""),"1.20")</f>
        <v>1.20</v>
      </c>
      <c r="L790" s="590">
        <f ca="1">IFERROR(__xludf.DUMMYFUNCTION("""COMPUTED_VALUE"""),2.9)</f>
        <v>2.9</v>
      </c>
      <c r="M790" s="590"/>
      <c r="N790" s="590" t="str">
        <f ca="1">IFERROR(__xludf.DUMMYFUNCTION("""COMPUTED_VALUE"""),"Không")</f>
        <v>Không</v>
      </c>
      <c r="O790" s="589"/>
      <c r="P790" s="590"/>
      <c r="Q790" s="885">
        <f ca="1">+$Q$5*I790</f>
        <v>929.67932735999761</v>
      </c>
    </row>
    <row r="791" spans="1:17" ht="15.75">
      <c r="A791" s="581" t="str">
        <f ca="1">IFERROR(__xludf.DUMMYFUNCTION("""COMPUTED_VALUE"""),"Toàn Phát - Việt Nam")</f>
        <v>Toàn Phát - Việt Nam</v>
      </c>
      <c r="B791" s="581" t="str">
        <f ca="1">IFERROR(__xludf.DUMMYFUNCTION("""COMPUTED_VALUE"""),"ĐTPCAYDI")</f>
        <v>ĐTPCAYDI</v>
      </c>
      <c r="C791" s="581" t="str">
        <f ca="1">IFERROR(__xludf.DUMMYFUNCTION("""COMPUTED_VALUE"""),"DOT412812058")</f>
        <v>DOT412812058</v>
      </c>
      <c r="D791" s="582" t="str">
        <f ca="1">IFERROR(__xludf.DUMMYFUNCTION("""COMPUTED_VALUE"""),"Đồng ống thẳng 41.28x1.20x5.8")</f>
        <v>Đồng ống thẳng 41.28x1.20x5.8</v>
      </c>
      <c r="E791" s="583">
        <f ca="1">IFERROR(__xludf.DUMMYFUNCTION("""COMPUTED_VALUE"""),0.1)</f>
        <v>0.1</v>
      </c>
      <c r="F791" s="584" t="str">
        <f ca="1">IFERROR(__xludf.DUMMYFUNCTION("""COMPUTED_VALUE"""),"Cây")</f>
        <v>Cây</v>
      </c>
      <c r="G791" s="584" t="str">
        <f ca="1">IFERROR(__xludf.DUMMYFUNCTION("""COMPUTED_VALUE"""),"Cây 5.8m")</f>
        <v>Cây 5.8m</v>
      </c>
      <c r="H791" s="582"/>
      <c r="I791" s="585">
        <f ca="1">IFERROR(__xludf.DUMMYFUNCTION("""COMPUTED_VALUE"""),8.08416806399999)</f>
        <v>8.0841680639999893</v>
      </c>
      <c r="J791" s="586" t="str">
        <f ca="1">IFERROR(__xludf.DUMMYFUNCTION("""COMPUTED_VALUE""")," 41.28 ")</f>
        <v xml:space="preserve"> 41.28 </v>
      </c>
      <c r="K791" s="584" t="str">
        <f ca="1">IFERROR(__xludf.DUMMYFUNCTION("""COMPUTED_VALUE"""),"1.20")</f>
        <v>1.20</v>
      </c>
      <c r="L791" s="584">
        <f ca="1">IFERROR(__xludf.DUMMYFUNCTION("""COMPUTED_VALUE"""),5.8)</f>
        <v>5.8</v>
      </c>
      <c r="M791" s="584"/>
      <c r="N791" s="584" t="str">
        <f ca="1">IFERROR(__xludf.DUMMYFUNCTION("""COMPUTED_VALUE"""),"Dị_D&lt;54")</f>
        <v>Dị_D&lt;54</v>
      </c>
      <c r="O791" s="583"/>
      <c r="P791" s="584"/>
    </row>
    <row r="792" spans="1:17" ht="15.75">
      <c r="A792" s="587" t="str">
        <f ca="1">IFERROR(__xludf.DUMMYFUNCTION("""COMPUTED_VALUE"""),"Toàn Phát - Việt Nam")</f>
        <v>Toàn Phát - Việt Nam</v>
      </c>
      <c r="B792" s="587" t="str">
        <f ca="1">IFERROR(__xludf.DUMMYFUNCTION("""COMPUTED_VALUE"""),"ĐTPCAYDI")</f>
        <v>ĐTPCAYDI</v>
      </c>
      <c r="C792" s="587" t="str">
        <f ca="1">IFERROR(__xludf.DUMMYFUNCTION("""COMPUTED_VALUE"""),"DOT412813")</f>
        <v>DOT412813</v>
      </c>
      <c r="D792" s="588" t="str">
        <f ca="1">IFERROR(__xludf.DUMMYFUNCTION("""COMPUTED_VALUE"""),"Đồng ống thẳng 41.28x1.3")</f>
        <v>Đồng ống thẳng 41.28x1.3</v>
      </c>
      <c r="E792" s="589">
        <f ca="1">IFERROR(__xludf.DUMMYFUNCTION("""COMPUTED_VALUE"""),0.1)</f>
        <v>0.1</v>
      </c>
      <c r="F792" s="590" t="str">
        <f ca="1">IFERROR(__xludf.DUMMYFUNCTION("""COMPUTED_VALUE"""),"Cây")</f>
        <v>Cây</v>
      </c>
      <c r="G792" s="590" t="str">
        <f ca="1">IFERROR(__xludf.DUMMYFUNCTION("""COMPUTED_VALUE"""),"Cây 2.9m")</f>
        <v>Cây 2.9m</v>
      </c>
      <c r="H792" s="588" t="str">
        <f ca="1">IFERROR(__xludf.DUMMYFUNCTION("""COMPUTED_VALUE"""),"7")</f>
        <v>7</v>
      </c>
      <c r="I792" s="591">
        <f ca="1">IFERROR(__xludf.DUMMYFUNCTION("""COMPUTED_VALUE"""),4.367998908)</f>
        <v>4.3679989079999997</v>
      </c>
      <c r="J792" s="592" t="str">
        <f ca="1">IFERROR(__xludf.DUMMYFUNCTION("""COMPUTED_VALUE""")," 41.28 ")</f>
        <v xml:space="preserve"> 41.28 </v>
      </c>
      <c r="K792" s="590" t="str">
        <f ca="1">IFERROR(__xludf.DUMMYFUNCTION("""COMPUTED_VALUE"""),"1.30")</f>
        <v>1.30</v>
      </c>
      <c r="L792" s="590">
        <f ca="1">IFERROR(__xludf.DUMMYFUNCTION("""COMPUTED_VALUE"""),2.9)</f>
        <v>2.9</v>
      </c>
      <c r="M792" s="590"/>
      <c r="N792" s="590" t="str">
        <f ca="1">IFERROR(__xludf.DUMMYFUNCTION("""COMPUTED_VALUE"""),"Dị_D&lt;54")</f>
        <v>Dị_D&lt;54</v>
      </c>
      <c r="O792" s="589"/>
      <c r="P792" s="590"/>
    </row>
    <row r="793" spans="1:17" ht="15.75">
      <c r="A793" s="581" t="str">
        <f ca="1">IFERROR(__xludf.DUMMYFUNCTION("""COMPUTED_VALUE"""),"Toàn Phát - Việt Nam")</f>
        <v>Toàn Phát - Việt Nam</v>
      </c>
      <c r="B793" s="581" t="str">
        <f ca="1">IFERROR(__xludf.DUMMYFUNCTION("""COMPUTED_VALUE"""),"ĐTPCAYDI")</f>
        <v>ĐTPCAYDI</v>
      </c>
      <c r="C793" s="581" t="str">
        <f ca="1">IFERROR(__xludf.DUMMYFUNCTION("""COMPUTED_VALUE"""),"DOT4128135(NM)")</f>
        <v>DOT4128135(NM)</v>
      </c>
      <c r="D793" s="582" t="str">
        <f ca="1">IFERROR(__xludf.DUMMYFUNCTION("""COMPUTED_VALUE"""),"Đồng ống thẳng 41.28x1.35")</f>
        <v>Đồng ống thẳng 41.28x1.35</v>
      </c>
      <c r="E793" s="583">
        <f ca="1">IFERROR(__xludf.DUMMYFUNCTION("""COMPUTED_VALUE"""),0.1)</f>
        <v>0.1</v>
      </c>
      <c r="F793" s="584" t="str">
        <f ca="1">IFERROR(__xludf.DUMMYFUNCTION("""COMPUTED_VALUE"""),"Cây")</f>
        <v>Cây</v>
      </c>
      <c r="G793" s="584" t="str">
        <f ca="1">IFERROR(__xludf.DUMMYFUNCTION("""COMPUTED_VALUE"""),"Cây 2.9m")</f>
        <v>Cây 2.9m</v>
      </c>
      <c r="H793" s="582" t="str">
        <f ca="1">IFERROR(__xludf.DUMMYFUNCTION("""COMPUTED_VALUE"""),"7")</f>
        <v>7</v>
      </c>
      <c r="I793" s="585">
        <f ca="1">IFERROR(__xludf.DUMMYFUNCTION("""COMPUTED_VALUE"""),4.530326031)</f>
        <v>4.5303260310000004</v>
      </c>
      <c r="J793" s="586" t="str">
        <f ca="1">IFERROR(__xludf.DUMMYFUNCTION("""COMPUTED_VALUE""")," 41.28 ")</f>
        <v xml:space="preserve"> 41.28 </v>
      </c>
      <c r="K793" s="584" t="str">
        <f ca="1">IFERROR(__xludf.DUMMYFUNCTION("""COMPUTED_VALUE"""),"1.35")</f>
        <v>1.35</v>
      </c>
      <c r="L793" s="584">
        <f ca="1">IFERROR(__xludf.DUMMYFUNCTION("""COMPUTED_VALUE"""),2.9)</f>
        <v>2.9</v>
      </c>
      <c r="M793" s="584"/>
      <c r="N793" s="584" t="str">
        <f ca="1">IFERROR(__xludf.DUMMYFUNCTION("""COMPUTED_VALUE"""),"Dị_D&lt;54")</f>
        <v>Dị_D&lt;54</v>
      </c>
      <c r="O793" s="583"/>
      <c r="P793" s="584"/>
    </row>
    <row r="794" spans="1:17" ht="15.75">
      <c r="A794" s="587" t="str">
        <f ca="1">IFERROR(__xludf.DUMMYFUNCTION("""COMPUTED_VALUE"""),"Toàn Phát - Việt Nam")</f>
        <v>Toàn Phát - Việt Nam</v>
      </c>
      <c r="B794" s="587" t="str">
        <f ca="1">IFERROR(__xludf.DUMMYFUNCTION("""COMPUTED_VALUE"""),"ĐTPCAYCT")</f>
        <v>ĐTPCAYCT</v>
      </c>
      <c r="C794" s="587" t="str">
        <f ca="1">IFERROR(__xludf.DUMMYFUNCTION("""COMPUTED_VALUE"""),"DOT4128140")</f>
        <v>DOT4128140</v>
      </c>
      <c r="D794" s="588" t="str">
        <f ca="1">IFERROR(__xludf.DUMMYFUNCTION("""COMPUTED_VALUE"""),"Đồng ống thẳng 41.28x1.40")</f>
        <v>Đồng ống thẳng 41.28x1.40</v>
      </c>
      <c r="E794" s="589">
        <f ca="1">IFERROR(__xludf.DUMMYFUNCTION("""COMPUTED_VALUE"""),0.1)</f>
        <v>0.1</v>
      </c>
      <c r="F794" s="590" t="str">
        <f ca="1">IFERROR(__xludf.DUMMYFUNCTION("""COMPUTED_VALUE"""),"Cây")</f>
        <v>Cây</v>
      </c>
      <c r="G794" s="590" t="str">
        <f ca="1">IFERROR(__xludf.DUMMYFUNCTION("""COMPUTED_VALUE"""),"Cây 2.9m")</f>
        <v>Cây 2.9m</v>
      </c>
      <c r="H794" s="588" t="str">
        <f ca="1">IFERROR(__xludf.DUMMYFUNCTION("""COMPUTED_VALUE"""),"7")</f>
        <v>7</v>
      </c>
      <c r="I794" s="591">
        <f ca="1">IFERROR(__xludf.DUMMYFUNCTION("""COMPUTED_VALUE"""),4.69223294399999)</f>
        <v>4.6922329439999899</v>
      </c>
      <c r="J794" s="592" t="str">
        <f ca="1">IFERROR(__xludf.DUMMYFUNCTION("""COMPUTED_VALUE""")," 41.28 ")</f>
        <v xml:space="preserve"> 41.28 </v>
      </c>
      <c r="K794" s="590" t="str">
        <f ca="1">IFERROR(__xludf.DUMMYFUNCTION("""COMPUTED_VALUE"""),"1.40")</f>
        <v>1.40</v>
      </c>
      <c r="L794" s="590">
        <f ca="1">IFERROR(__xludf.DUMMYFUNCTION("""COMPUTED_VALUE"""),2.9)</f>
        <v>2.9</v>
      </c>
      <c r="M794" s="590"/>
      <c r="N794" s="590" t="str">
        <f ca="1">IFERROR(__xludf.DUMMYFUNCTION("""COMPUTED_VALUE"""),"Không")</f>
        <v>Không</v>
      </c>
      <c r="O794" s="589"/>
      <c r="P794" s="590"/>
      <c r="Q794" s="885">
        <f ca="1">+$Q$5*I794</f>
        <v>1079.2135771199976</v>
      </c>
    </row>
    <row r="795" spans="1:17" ht="15.75">
      <c r="A795" s="581" t="str">
        <f ca="1">IFERROR(__xludf.DUMMYFUNCTION("""COMPUTED_VALUE"""),"Toàn Phát - Việt Nam")</f>
        <v>Toàn Phát - Việt Nam</v>
      </c>
      <c r="B795" s="581" t="str">
        <f ca="1">IFERROR(__xludf.DUMMYFUNCTION("""COMPUTED_VALUE"""),"ĐTPCAYDI")</f>
        <v>ĐTPCAYDI</v>
      </c>
      <c r="C795" s="581" t="str">
        <f ca="1">IFERROR(__xludf.DUMMYFUNCTION("""COMPUTED_VALUE"""),"DOT412814058")</f>
        <v>DOT412814058</v>
      </c>
      <c r="D795" s="582" t="str">
        <f ca="1">IFERROR(__xludf.DUMMYFUNCTION("""COMPUTED_VALUE"""),"Đồng ống thẳng 41.28x1.40x5.8")</f>
        <v>Đồng ống thẳng 41.28x1.40x5.8</v>
      </c>
      <c r="E795" s="583">
        <f ca="1">IFERROR(__xludf.DUMMYFUNCTION("""COMPUTED_VALUE"""),0.1)</f>
        <v>0.1</v>
      </c>
      <c r="F795" s="584" t="str">
        <f ca="1">IFERROR(__xludf.DUMMYFUNCTION("""COMPUTED_VALUE"""),"Cây")</f>
        <v>Cây</v>
      </c>
      <c r="G795" s="584" t="str">
        <f ca="1">IFERROR(__xludf.DUMMYFUNCTION("""COMPUTED_VALUE"""),"Cây 5.8m")</f>
        <v>Cây 5.8m</v>
      </c>
      <c r="H795" s="582"/>
      <c r="I795" s="585">
        <f ca="1">IFERROR(__xludf.DUMMYFUNCTION("""COMPUTED_VALUE"""),9.38446588799999)</f>
        <v>9.3844658879999905</v>
      </c>
      <c r="J795" s="586" t="str">
        <f ca="1">IFERROR(__xludf.DUMMYFUNCTION("""COMPUTED_VALUE""")," 41.28 ")</f>
        <v xml:space="preserve"> 41.28 </v>
      </c>
      <c r="K795" s="584" t="str">
        <f ca="1">IFERROR(__xludf.DUMMYFUNCTION("""COMPUTED_VALUE"""),"1.40")</f>
        <v>1.40</v>
      </c>
      <c r="L795" s="584">
        <f ca="1">IFERROR(__xludf.DUMMYFUNCTION("""COMPUTED_VALUE"""),5.8)</f>
        <v>5.8</v>
      </c>
      <c r="M795" s="584"/>
      <c r="N795" s="584" t="str">
        <f ca="1">IFERROR(__xludf.DUMMYFUNCTION("""COMPUTED_VALUE"""),"Dị_D&lt;54")</f>
        <v>Dị_D&lt;54</v>
      </c>
      <c r="O795" s="583"/>
      <c r="P795" s="584"/>
    </row>
    <row r="796" spans="1:17" ht="15.75">
      <c r="A796" s="587" t="str">
        <f ca="1">IFERROR(__xludf.DUMMYFUNCTION("""COMPUTED_VALUE"""),"Toàn Phát - Việt Nam")</f>
        <v>Toàn Phát - Việt Nam</v>
      </c>
      <c r="B796" s="587" t="str">
        <f ca="1">IFERROR(__xludf.DUMMYFUNCTION("""COMPUTED_VALUE"""),"ĐTPCAYDI")</f>
        <v>ĐTPCAYDI</v>
      </c>
      <c r="C796" s="587" t="str">
        <f ca="1">IFERROR(__xludf.DUMMYFUNCTION("""COMPUTED_VALUE"""),"DOT4128142")</f>
        <v>DOT4128142</v>
      </c>
      <c r="D796" s="588" t="str">
        <f ca="1">IFERROR(__xludf.DUMMYFUNCTION("""COMPUTED_VALUE"""),"Đồng ống thẳng 41.28x1.42")</f>
        <v>Đồng ống thẳng 41.28x1.42</v>
      </c>
      <c r="E796" s="589">
        <f ca="1">IFERROR(__xludf.DUMMYFUNCTION("""COMPUTED_VALUE"""),0.1)</f>
        <v>0.1</v>
      </c>
      <c r="F796" s="590" t="str">
        <f ca="1">IFERROR(__xludf.DUMMYFUNCTION("""COMPUTED_VALUE"""),"Cây")</f>
        <v>Cây</v>
      </c>
      <c r="G796" s="590" t="str">
        <f ca="1">IFERROR(__xludf.DUMMYFUNCTION("""COMPUTED_VALUE"""),"Cây 2.9m")</f>
        <v>Cây 2.9m</v>
      </c>
      <c r="H796" s="588" t="str">
        <f ca="1">IFERROR(__xludf.DUMMYFUNCTION("""COMPUTED_VALUE"""),"7")</f>
        <v>7</v>
      </c>
      <c r="I796" s="591">
        <f ca="1">IFERROR(__xludf.DUMMYFUNCTION("""COMPUTED_VALUE"""),4.75687805039999)</f>
        <v>4.7568780503999903</v>
      </c>
      <c r="J796" s="592" t="str">
        <f ca="1">IFERROR(__xludf.DUMMYFUNCTION("""COMPUTED_VALUE""")," 41.28 ")</f>
        <v xml:space="preserve"> 41.28 </v>
      </c>
      <c r="K796" s="590" t="str">
        <f ca="1">IFERROR(__xludf.DUMMYFUNCTION("""COMPUTED_VALUE"""),"1.42")</f>
        <v>1.42</v>
      </c>
      <c r="L796" s="590">
        <f ca="1">IFERROR(__xludf.DUMMYFUNCTION("""COMPUTED_VALUE"""),2.9)</f>
        <v>2.9</v>
      </c>
      <c r="M796" s="590"/>
      <c r="N796" s="590" t="str">
        <f ca="1">IFERROR(__xludf.DUMMYFUNCTION("""COMPUTED_VALUE"""),"Dị_D&lt;54")</f>
        <v>Dị_D&lt;54</v>
      </c>
      <c r="O796" s="589"/>
      <c r="P796" s="590"/>
    </row>
    <row r="797" spans="1:17" ht="15.75">
      <c r="A797" s="581" t="str">
        <f ca="1">IFERROR(__xludf.DUMMYFUNCTION("""COMPUTED_VALUE"""),"Toàn Phát - Việt Nam")</f>
        <v>Toàn Phát - Việt Nam</v>
      </c>
      <c r="B797" s="581" t="str">
        <f ca="1">IFERROR(__xludf.DUMMYFUNCTION("""COMPUTED_VALUE"""),"ĐTPCAYDI")</f>
        <v>ĐTPCAYDI</v>
      </c>
      <c r="C797" s="581" t="str">
        <f ca="1">IFERROR(__xludf.DUMMYFUNCTION("""COMPUTED_VALUE"""),"DOT4128143")</f>
        <v>DOT4128143</v>
      </c>
      <c r="D797" s="582" t="str">
        <f ca="1">IFERROR(__xludf.DUMMYFUNCTION("""COMPUTED_VALUE"""),"Đồng ống thẳng 41.28x1.43")</f>
        <v>Đồng ống thẳng 41.28x1.43</v>
      </c>
      <c r="E797" s="583">
        <f ca="1">IFERROR(__xludf.DUMMYFUNCTION("""COMPUTED_VALUE"""),0.1)</f>
        <v>0.1</v>
      </c>
      <c r="F797" s="584" t="str">
        <f ca="1">IFERROR(__xludf.DUMMYFUNCTION("""COMPUTED_VALUE"""),"Cây")</f>
        <v>Cây</v>
      </c>
      <c r="G797" s="584" t="str">
        <f ca="1">IFERROR(__xludf.DUMMYFUNCTION("""COMPUTED_VALUE"""),"Cây 2.9m")</f>
        <v>Cây 2.9m</v>
      </c>
      <c r="H797" s="582" t="str">
        <f ca="1">IFERROR(__xludf.DUMMYFUNCTION("""COMPUTED_VALUE"""),"7")</f>
        <v>7</v>
      </c>
      <c r="I797" s="585">
        <f ca="1">IFERROR(__xludf.DUMMYFUNCTION("""COMPUTED_VALUE"""),4.789175391)</f>
        <v>4.7891753909999997</v>
      </c>
      <c r="J797" s="586" t="str">
        <f ca="1">IFERROR(__xludf.DUMMYFUNCTION("""COMPUTED_VALUE""")," 41.28 ")</f>
        <v xml:space="preserve"> 41.28 </v>
      </c>
      <c r="K797" s="584" t="str">
        <f ca="1">IFERROR(__xludf.DUMMYFUNCTION("""COMPUTED_VALUE"""),"1.43")</f>
        <v>1.43</v>
      </c>
      <c r="L797" s="584">
        <f ca="1">IFERROR(__xludf.DUMMYFUNCTION("""COMPUTED_VALUE"""),2.9)</f>
        <v>2.9</v>
      </c>
      <c r="M797" s="584"/>
      <c r="N797" s="584" t="str">
        <f ca="1">IFERROR(__xludf.DUMMYFUNCTION("""COMPUTED_VALUE"""),"Dị_D&lt;54")</f>
        <v>Dị_D&lt;54</v>
      </c>
      <c r="O797" s="583"/>
      <c r="P797" s="584"/>
    </row>
    <row r="798" spans="1:17" ht="15.75">
      <c r="A798" s="587" t="str">
        <f ca="1">IFERROR(__xludf.DUMMYFUNCTION("""COMPUTED_VALUE"""),"Toàn Phát - Việt Nam")</f>
        <v>Toàn Phát - Việt Nam</v>
      </c>
      <c r="B798" s="587" t="str">
        <f ca="1">IFERROR(__xludf.DUMMYFUNCTION("""COMPUTED_VALUE"""),"ĐTPCAYDI")</f>
        <v>ĐTPCAYDI</v>
      </c>
      <c r="C798" s="587" t="str">
        <f ca="1">IFERROR(__xludf.DUMMYFUNCTION("""COMPUTED_VALUE"""),"DOT4128145")</f>
        <v>DOT4128145</v>
      </c>
      <c r="D798" s="588" t="str">
        <f ca="1">IFERROR(__xludf.DUMMYFUNCTION("""COMPUTED_VALUE"""),"Đồng ống thẳng 41.28x1.45")</f>
        <v>Đồng ống thẳng 41.28x1.45</v>
      </c>
      <c r="E798" s="589">
        <f ca="1">IFERROR(__xludf.DUMMYFUNCTION("""COMPUTED_VALUE"""),0.1)</f>
        <v>0.1</v>
      </c>
      <c r="F798" s="590" t="str">
        <f ca="1">IFERROR(__xludf.DUMMYFUNCTION("""COMPUTED_VALUE"""),"Cây")</f>
        <v>Cây</v>
      </c>
      <c r="G798" s="590" t="str">
        <f ca="1">IFERROR(__xludf.DUMMYFUNCTION("""COMPUTED_VALUE"""),"Cây 2.9m")</f>
        <v>Cây 2.9m</v>
      </c>
      <c r="H798" s="588" t="str">
        <f ca="1">IFERROR(__xludf.DUMMYFUNCTION("""COMPUTED_VALUE"""),"7")</f>
        <v>7</v>
      </c>
      <c r="I798" s="591">
        <f ca="1">IFERROR(__xludf.DUMMYFUNCTION("""COMPUTED_VALUE"""),4.85371964699999)</f>
        <v>4.8537196469999904</v>
      </c>
      <c r="J798" s="592" t="str">
        <f ca="1">IFERROR(__xludf.DUMMYFUNCTION("""COMPUTED_VALUE""")," 41.28 ")</f>
        <v xml:space="preserve"> 41.28 </v>
      </c>
      <c r="K798" s="590" t="str">
        <f ca="1">IFERROR(__xludf.DUMMYFUNCTION("""COMPUTED_VALUE"""),"1.45")</f>
        <v>1.45</v>
      </c>
      <c r="L798" s="590">
        <f ca="1">IFERROR(__xludf.DUMMYFUNCTION("""COMPUTED_VALUE"""),2.9)</f>
        <v>2.9</v>
      </c>
      <c r="M798" s="590"/>
      <c r="N798" s="590" t="str">
        <f ca="1">IFERROR(__xludf.DUMMYFUNCTION("""COMPUTED_VALUE"""),"Dị_D&lt;54")</f>
        <v>Dị_D&lt;54</v>
      </c>
      <c r="O798" s="589"/>
      <c r="P798" s="590"/>
    </row>
    <row r="799" spans="1:17" ht="15.75">
      <c r="A799" s="581" t="str">
        <f ca="1">IFERROR(__xludf.DUMMYFUNCTION("""COMPUTED_VALUE"""),"Toàn Phát - Việt Nam")</f>
        <v>Toàn Phát - Việt Nam</v>
      </c>
      <c r="B799" s="581" t="str">
        <f ca="1">IFERROR(__xludf.DUMMYFUNCTION("""COMPUTED_VALUE"""),"ĐTPCAYDI")</f>
        <v>ĐTPCAYDI</v>
      </c>
      <c r="C799" s="581" t="str">
        <f ca="1">IFERROR(__xludf.DUMMYFUNCTION("""COMPUTED_VALUE"""),"DOT412814558")</f>
        <v>DOT412814558</v>
      </c>
      <c r="D799" s="582" t="str">
        <f ca="1">IFERROR(__xludf.DUMMYFUNCTION("""COMPUTED_VALUE"""),"Đồng ống thẳng 41.28x1.45x5.8")</f>
        <v>Đồng ống thẳng 41.28x1.45x5.8</v>
      </c>
      <c r="E799" s="583">
        <f ca="1">IFERROR(__xludf.DUMMYFUNCTION("""COMPUTED_VALUE"""),0.1)</f>
        <v>0.1</v>
      </c>
      <c r="F799" s="584" t="str">
        <f ca="1">IFERROR(__xludf.DUMMYFUNCTION("""COMPUTED_VALUE"""),"Cây")</f>
        <v>Cây</v>
      </c>
      <c r="G799" s="584" t="str">
        <f ca="1">IFERROR(__xludf.DUMMYFUNCTION("""COMPUTED_VALUE"""),"Cây 5.8m")</f>
        <v>Cây 5.8m</v>
      </c>
      <c r="H799" s="582"/>
      <c r="I799" s="585">
        <f ca="1">IFERROR(__xludf.DUMMYFUNCTION("""COMPUTED_VALUE"""),9.70743929399999)</f>
        <v>9.7074392939999896</v>
      </c>
      <c r="J799" s="586" t="str">
        <f ca="1">IFERROR(__xludf.DUMMYFUNCTION("""COMPUTED_VALUE""")," 41.28 ")</f>
        <v xml:space="preserve"> 41.28 </v>
      </c>
      <c r="K799" s="584" t="str">
        <f ca="1">IFERROR(__xludf.DUMMYFUNCTION("""COMPUTED_VALUE"""),"1.45")</f>
        <v>1.45</v>
      </c>
      <c r="L799" s="584">
        <f ca="1">IFERROR(__xludf.DUMMYFUNCTION("""COMPUTED_VALUE"""),5.8)</f>
        <v>5.8</v>
      </c>
      <c r="M799" s="584"/>
      <c r="N799" s="584" t="str">
        <f ca="1">IFERROR(__xludf.DUMMYFUNCTION("""COMPUTED_VALUE"""),"Dị_D&lt;54")</f>
        <v>Dị_D&lt;54</v>
      </c>
      <c r="O799" s="583"/>
      <c r="P799" s="584"/>
    </row>
    <row r="800" spans="1:17" ht="15.75">
      <c r="A800" s="587" t="str">
        <f ca="1">IFERROR(__xludf.DUMMYFUNCTION("""COMPUTED_VALUE"""),"Toàn Phát - Việt Nam")</f>
        <v>Toàn Phát - Việt Nam</v>
      </c>
      <c r="B800" s="587" t="str">
        <f ca="1">IFERROR(__xludf.DUMMYFUNCTION("""COMPUTED_VALUE"""),"ĐTPCAYDI")</f>
        <v>ĐTPCAYDI</v>
      </c>
      <c r="C800" s="587" t="str">
        <f ca="1">IFERROR(__xludf.DUMMYFUNCTION("""COMPUTED_VALUE"""),"DOT4128150")</f>
        <v>DOT4128150</v>
      </c>
      <c r="D800" s="588" t="str">
        <f ca="1">IFERROR(__xludf.DUMMYFUNCTION("""COMPUTED_VALUE"""),"Đồng ống thẳng 41.28x1.50")</f>
        <v>Đồng ống thẳng 41.28x1.50</v>
      </c>
      <c r="E800" s="589">
        <f ca="1">IFERROR(__xludf.DUMMYFUNCTION("""COMPUTED_VALUE"""),0.1)</f>
        <v>0.1</v>
      </c>
      <c r="F800" s="590" t="str">
        <f ca="1">IFERROR(__xludf.DUMMYFUNCTION("""COMPUTED_VALUE"""),"Cây")</f>
        <v>Cây</v>
      </c>
      <c r="G800" s="590" t="str">
        <f ca="1">IFERROR(__xludf.DUMMYFUNCTION("""COMPUTED_VALUE"""),"Cây 2.9m")</f>
        <v>Cây 2.9m</v>
      </c>
      <c r="H800" s="588" t="str">
        <f ca="1">IFERROR(__xludf.DUMMYFUNCTION("""COMPUTED_VALUE"""),"7")</f>
        <v>7</v>
      </c>
      <c r="I800" s="591">
        <f ca="1">IFERROR(__xludf.DUMMYFUNCTION("""COMPUTED_VALUE"""),5.01478613999999)</f>
        <v>5.0147861399999902</v>
      </c>
      <c r="J800" s="592" t="str">
        <f ca="1">IFERROR(__xludf.DUMMYFUNCTION("""COMPUTED_VALUE""")," 41.28 ")</f>
        <v xml:space="preserve"> 41.28 </v>
      </c>
      <c r="K800" s="590" t="str">
        <f ca="1">IFERROR(__xludf.DUMMYFUNCTION("""COMPUTED_VALUE"""),"1.50")</f>
        <v>1.50</v>
      </c>
      <c r="L800" s="590">
        <f ca="1">IFERROR(__xludf.DUMMYFUNCTION("""COMPUTED_VALUE"""),2.9)</f>
        <v>2.9</v>
      </c>
      <c r="M800" s="590"/>
      <c r="N800" s="590" t="str">
        <f ca="1">IFERROR(__xludf.DUMMYFUNCTION("""COMPUTED_VALUE"""),"Dị_D&lt;54")</f>
        <v>Dị_D&lt;54</v>
      </c>
      <c r="O800" s="589"/>
      <c r="P800" s="590"/>
    </row>
    <row r="801" spans="1:16" ht="15.75">
      <c r="A801" s="581" t="str">
        <f ca="1">IFERROR(__xludf.DUMMYFUNCTION("""COMPUTED_VALUE"""),"Toàn Phát - Việt Nam")</f>
        <v>Toàn Phát - Việt Nam</v>
      </c>
      <c r="B801" s="581" t="str">
        <f ca="1">IFERROR(__xludf.DUMMYFUNCTION("""COMPUTED_VALUE"""),"ĐTPCAYDI")</f>
        <v>ĐTPCAYDI</v>
      </c>
      <c r="C801" s="581" t="str">
        <f ca="1">IFERROR(__xludf.DUMMYFUNCTION("""COMPUTED_VALUE"""),"DOT41281558")</f>
        <v>DOT41281558</v>
      </c>
      <c r="D801" s="582" t="str">
        <f ca="1">IFERROR(__xludf.DUMMYFUNCTION("""COMPUTED_VALUE"""),"Đồng ống thẳng 41.28x1.5x5.8")</f>
        <v>Đồng ống thẳng 41.28x1.5x5.8</v>
      </c>
      <c r="E801" s="583">
        <f ca="1">IFERROR(__xludf.DUMMYFUNCTION("""COMPUTED_VALUE"""),0.1)</f>
        <v>0.1</v>
      </c>
      <c r="F801" s="584" t="str">
        <f ca="1">IFERROR(__xludf.DUMMYFUNCTION("""COMPUTED_VALUE"""),"Cây")</f>
        <v>Cây</v>
      </c>
      <c r="G801" s="584" t="str">
        <f ca="1">IFERROR(__xludf.DUMMYFUNCTION("""COMPUTED_VALUE"""),"Cây 5.8m")</f>
        <v>Cây 5.8m</v>
      </c>
      <c r="H801" s="582"/>
      <c r="I801" s="585">
        <f ca="1">IFERROR(__xludf.DUMMYFUNCTION("""COMPUTED_VALUE"""),10.0295722799999)</f>
        <v>10.029572279999901</v>
      </c>
      <c r="J801" s="586" t="str">
        <f ca="1">IFERROR(__xludf.DUMMYFUNCTION("""COMPUTED_VALUE""")," 41.28 ")</f>
        <v xml:space="preserve"> 41.28 </v>
      </c>
      <c r="K801" s="584" t="str">
        <f ca="1">IFERROR(__xludf.DUMMYFUNCTION("""COMPUTED_VALUE"""),"1.50")</f>
        <v>1.50</v>
      </c>
      <c r="L801" s="584">
        <f ca="1">IFERROR(__xludf.DUMMYFUNCTION("""COMPUTED_VALUE"""),5.8)</f>
        <v>5.8</v>
      </c>
      <c r="M801" s="584"/>
      <c r="N801" s="584" t="str">
        <f ca="1">IFERROR(__xludf.DUMMYFUNCTION("""COMPUTED_VALUE"""),"Dị_D&lt;54")</f>
        <v>Dị_D&lt;54</v>
      </c>
      <c r="O801" s="583"/>
      <c r="P801" s="584"/>
    </row>
    <row r="802" spans="1:16" ht="15.75">
      <c r="A802" s="587" t="str">
        <f ca="1">IFERROR(__xludf.DUMMYFUNCTION("""COMPUTED_VALUE"""),"Toàn Phát - Việt Nam")</f>
        <v>Toàn Phát - Việt Nam</v>
      </c>
      <c r="B802" s="587" t="str">
        <f ca="1">IFERROR(__xludf.DUMMYFUNCTION("""COMPUTED_VALUE"""),"ĐTPCAYDI")</f>
        <v>ĐTPCAYDI</v>
      </c>
      <c r="C802" s="587" t="str">
        <f ca="1">IFERROR(__xludf.DUMMYFUNCTION("""COMPUTED_VALUE"""),"DOT4128152")</f>
        <v>DOT4128152</v>
      </c>
      <c r="D802" s="588" t="str">
        <f ca="1">IFERROR(__xludf.DUMMYFUNCTION("""COMPUTED_VALUE"""),"Đồng ống thẳng 41.28x1.52 ")</f>
        <v xml:space="preserve">Đồng ống thẳng 41.28x1.52 </v>
      </c>
      <c r="E802" s="589">
        <f ca="1">IFERROR(__xludf.DUMMYFUNCTION("""COMPUTED_VALUE"""),0.1)</f>
        <v>0.1</v>
      </c>
      <c r="F802" s="590" t="str">
        <f ca="1">IFERROR(__xludf.DUMMYFUNCTION("""COMPUTED_VALUE"""),"Cây")</f>
        <v>Cây</v>
      </c>
      <c r="G802" s="590" t="str">
        <f ca="1">IFERROR(__xludf.DUMMYFUNCTION("""COMPUTED_VALUE"""),"Cây 2.9m")</f>
        <v>Cây 2.9m</v>
      </c>
      <c r="H802" s="588" t="str">
        <f ca="1">IFERROR(__xludf.DUMMYFUNCTION("""COMPUTED_VALUE"""),"7")</f>
        <v>7</v>
      </c>
      <c r="I802" s="591">
        <f ca="1">IFERROR(__xludf.DUMMYFUNCTION("""COMPUTED_VALUE"""),5.07909507839999)</f>
        <v>5.0790950783999902</v>
      </c>
      <c r="J802" s="592" t="str">
        <f ca="1">IFERROR(__xludf.DUMMYFUNCTION("""COMPUTED_VALUE""")," 41.28 ")</f>
        <v xml:space="preserve"> 41.28 </v>
      </c>
      <c r="K802" s="590" t="str">
        <f ca="1">IFERROR(__xludf.DUMMYFUNCTION("""COMPUTED_VALUE"""),"1.52")</f>
        <v>1.52</v>
      </c>
      <c r="L802" s="590">
        <f ca="1">IFERROR(__xludf.DUMMYFUNCTION("""COMPUTED_VALUE"""),2.9)</f>
        <v>2.9</v>
      </c>
      <c r="M802" s="590"/>
      <c r="N802" s="590" t="str">
        <f ca="1">IFERROR(__xludf.DUMMYFUNCTION("""COMPUTED_VALUE"""),"Dị_D&lt;54")</f>
        <v>Dị_D&lt;54</v>
      </c>
      <c r="O802" s="589"/>
      <c r="P802" s="590"/>
    </row>
    <row r="803" spans="1:16" ht="15.75">
      <c r="A803" s="581" t="str">
        <f ca="1">IFERROR(__xludf.DUMMYFUNCTION("""COMPUTED_VALUE"""),"Toàn Phát - Việt Nam")</f>
        <v>Toàn Phát - Việt Nam</v>
      </c>
      <c r="B803" s="581" t="str">
        <f ca="1">IFERROR(__xludf.DUMMYFUNCTION("""COMPUTED_VALUE"""),"ĐTPCAYDI")</f>
        <v>ĐTPCAYDI</v>
      </c>
      <c r="C803" s="581" t="str">
        <f ca="1">IFERROR(__xludf.DUMMYFUNCTION("""COMPUTED_VALUE"""),"DOT4128153")</f>
        <v>DOT4128153</v>
      </c>
      <c r="D803" s="582" t="str">
        <f ca="1">IFERROR(__xludf.DUMMYFUNCTION("""COMPUTED_VALUE"""),"Đồng ống thẳng 41.28x1.53")</f>
        <v>Đồng ống thẳng 41.28x1.53</v>
      </c>
      <c r="E803" s="583">
        <f ca="1">IFERROR(__xludf.DUMMYFUNCTION("""COMPUTED_VALUE"""),0.1)</f>
        <v>0.1</v>
      </c>
      <c r="F803" s="584" t="str">
        <f ca="1">IFERROR(__xludf.DUMMYFUNCTION("""COMPUTED_VALUE"""),"Cây")</f>
        <v>Cây</v>
      </c>
      <c r="G803" s="584" t="str">
        <f ca="1">IFERROR(__xludf.DUMMYFUNCTION("""COMPUTED_VALUE"""),"Cây 2.9m")</f>
        <v>Cây 2.9m</v>
      </c>
      <c r="H803" s="582" t="str">
        <f ca="1">IFERROR(__xludf.DUMMYFUNCTION("""COMPUTED_VALUE"""),"7")</f>
        <v>7</v>
      </c>
      <c r="I803" s="585">
        <f ca="1">IFERROR(__xludf.DUMMYFUNCTION("""COMPUTED_VALUE"""),5.11122433499999)</f>
        <v>5.1112243349999904</v>
      </c>
      <c r="J803" s="586" t="str">
        <f ca="1">IFERROR(__xludf.DUMMYFUNCTION("""COMPUTED_VALUE""")," 41.28 ")</f>
        <v xml:space="preserve"> 41.28 </v>
      </c>
      <c r="K803" s="584" t="str">
        <f ca="1">IFERROR(__xludf.DUMMYFUNCTION("""COMPUTED_VALUE"""),"1.53")</f>
        <v>1.53</v>
      </c>
      <c r="L803" s="584">
        <f ca="1">IFERROR(__xludf.DUMMYFUNCTION("""COMPUTED_VALUE"""),2.9)</f>
        <v>2.9</v>
      </c>
      <c r="M803" s="584"/>
      <c r="N803" s="584" t="str">
        <f ca="1">IFERROR(__xludf.DUMMYFUNCTION("""COMPUTED_VALUE"""),"Dị_D&lt;54")</f>
        <v>Dị_D&lt;54</v>
      </c>
      <c r="O803" s="583"/>
      <c r="P803" s="584"/>
    </row>
    <row r="804" spans="1:16" ht="15.75">
      <c r="A804" s="587" t="str">
        <f ca="1">IFERROR(__xludf.DUMMYFUNCTION("""COMPUTED_VALUE"""),"Toàn Phát - Việt Nam")</f>
        <v>Toàn Phát - Việt Nam</v>
      </c>
      <c r="B804" s="587" t="str">
        <f ca="1">IFERROR(__xludf.DUMMYFUNCTION("""COMPUTED_VALUE"""),"ĐTPCAYDI")</f>
        <v>ĐTPCAYDI</v>
      </c>
      <c r="C804" s="587" t="str">
        <f ca="1">IFERROR(__xludf.DUMMYFUNCTION("""COMPUTED_VALUE"""),"DOT4128155")</f>
        <v>DOT4128155</v>
      </c>
      <c r="D804" s="588" t="str">
        <f ca="1">IFERROR(__xludf.DUMMYFUNCTION("""COMPUTED_VALUE"""),"Đồng ống thẳng 41.28x1.55")</f>
        <v>Đồng ống thẳng 41.28x1.55</v>
      </c>
      <c r="E804" s="589">
        <f ca="1">IFERROR(__xludf.DUMMYFUNCTION("""COMPUTED_VALUE"""),0.1)</f>
        <v>0.1</v>
      </c>
      <c r="F804" s="590" t="str">
        <f ca="1">IFERROR(__xludf.DUMMYFUNCTION("""COMPUTED_VALUE"""),"Cây")</f>
        <v>Cây</v>
      </c>
      <c r="G804" s="590" t="str">
        <f ca="1">IFERROR(__xludf.DUMMYFUNCTION("""COMPUTED_VALUE"""),"Cây 2.9m")</f>
        <v>Cây 2.9m</v>
      </c>
      <c r="H804" s="588" t="str">
        <f ca="1">IFERROR(__xludf.DUMMYFUNCTION("""COMPUTED_VALUE"""),"7")</f>
        <v>7</v>
      </c>
      <c r="I804" s="591">
        <f ca="1">IFERROR(__xludf.DUMMYFUNCTION("""COMPUTED_VALUE"""),5.175432423)</f>
        <v>5.1754324230000002</v>
      </c>
      <c r="J804" s="592" t="str">
        <f ca="1">IFERROR(__xludf.DUMMYFUNCTION("""COMPUTED_VALUE""")," 41.28 ")</f>
        <v xml:space="preserve"> 41.28 </v>
      </c>
      <c r="K804" s="590" t="str">
        <f ca="1">IFERROR(__xludf.DUMMYFUNCTION("""COMPUTED_VALUE"""),"1.55")</f>
        <v>1.55</v>
      </c>
      <c r="L804" s="590">
        <f ca="1">IFERROR(__xludf.DUMMYFUNCTION("""COMPUTED_VALUE"""),2.9)</f>
        <v>2.9</v>
      </c>
      <c r="M804" s="590"/>
      <c r="N804" s="590" t="str">
        <f ca="1">IFERROR(__xludf.DUMMYFUNCTION("""COMPUTED_VALUE"""),"Dị_D&lt;54")</f>
        <v>Dị_D&lt;54</v>
      </c>
      <c r="O804" s="589"/>
      <c r="P804" s="590"/>
    </row>
    <row r="805" spans="1:16" ht="15.75">
      <c r="A805" s="581" t="str">
        <f ca="1">IFERROR(__xludf.DUMMYFUNCTION("""COMPUTED_VALUE"""),"Toàn Phát - Việt Nam")</f>
        <v>Toàn Phát - Việt Nam</v>
      </c>
      <c r="B805" s="581" t="str">
        <f ca="1">IFERROR(__xludf.DUMMYFUNCTION("""COMPUTED_VALUE"""),"ĐTPCAYDI")</f>
        <v>ĐTPCAYDI</v>
      </c>
      <c r="C805" s="581" t="str">
        <f ca="1">IFERROR(__xludf.DUMMYFUNCTION("""COMPUTED_VALUE"""),"DOT4128160")</f>
        <v>DOT4128160</v>
      </c>
      <c r="D805" s="582" t="str">
        <f ca="1">IFERROR(__xludf.DUMMYFUNCTION("""COMPUTED_VALUE"""),"Đồng ống thẳng 41.28x1.60")</f>
        <v>Đồng ống thẳng 41.28x1.60</v>
      </c>
      <c r="E805" s="583">
        <f ca="1">IFERROR(__xludf.DUMMYFUNCTION("""COMPUTED_VALUE"""),0.1)</f>
        <v>0.1</v>
      </c>
      <c r="F805" s="584" t="str">
        <f ca="1">IFERROR(__xludf.DUMMYFUNCTION("""COMPUTED_VALUE"""),"Cây")</f>
        <v>Cây</v>
      </c>
      <c r="G805" s="584" t="str">
        <f ca="1">IFERROR(__xludf.DUMMYFUNCTION("""COMPUTED_VALUE"""),"Cây 2.9m")</f>
        <v>Cây 2.9m</v>
      </c>
      <c r="H805" s="582" t="str">
        <f ca="1">IFERROR(__xludf.DUMMYFUNCTION("""COMPUTED_VALUE"""),"7")</f>
        <v>7</v>
      </c>
      <c r="I805" s="585">
        <f ca="1">IFERROR(__xludf.DUMMYFUNCTION("""COMPUTED_VALUE"""),5.335658496)</f>
        <v>5.3356584959999998</v>
      </c>
      <c r="J805" s="586" t="str">
        <f ca="1">IFERROR(__xludf.DUMMYFUNCTION("""COMPUTED_VALUE""")," 41.28 ")</f>
        <v xml:space="preserve"> 41.28 </v>
      </c>
      <c r="K805" s="584" t="str">
        <f ca="1">IFERROR(__xludf.DUMMYFUNCTION("""COMPUTED_VALUE"""),"1.60")</f>
        <v>1.60</v>
      </c>
      <c r="L805" s="584">
        <f ca="1">IFERROR(__xludf.DUMMYFUNCTION("""COMPUTED_VALUE"""),2.9)</f>
        <v>2.9</v>
      </c>
      <c r="M805" s="584"/>
      <c r="N805" s="584" t="str">
        <f ca="1">IFERROR(__xludf.DUMMYFUNCTION("""COMPUTED_VALUE"""),"Dị_D&lt;54")</f>
        <v>Dị_D&lt;54</v>
      </c>
      <c r="O805" s="583"/>
      <c r="P805" s="584"/>
    </row>
    <row r="806" spans="1:16" ht="15.75">
      <c r="A806" s="587" t="str">
        <f ca="1">IFERROR(__xludf.DUMMYFUNCTION("""COMPUTED_VALUE"""),"Toàn Phát - Việt Nam")</f>
        <v>Toàn Phát - Việt Nam</v>
      </c>
      <c r="B806" s="587" t="str">
        <f ca="1">IFERROR(__xludf.DUMMYFUNCTION("""COMPUTED_VALUE"""),"ĐTPCAYDI")</f>
        <v>ĐTPCAYDI</v>
      </c>
      <c r="C806" s="587" t="str">
        <f ca="1">IFERROR(__xludf.DUMMYFUNCTION("""COMPUTED_VALUE"""),"DOT4128180")</f>
        <v>DOT4128180</v>
      </c>
      <c r="D806" s="588" t="str">
        <f ca="1">IFERROR(__xludf.DUMMYFUNCTION("""COMPUTED_VALUE"""),"Đồng ống thẳng 41.28x1.80")</f>
        <v>Đồng ống thẳng 41.28x1.80</v>
      </c>
      <c r="E806" s="589">
        <f ca="1">IFERROR(__xludf.DUMMYFUNCTION("""COMPUTED_VALUE"""),0.1)</f>
        <v>0.1</v>
      </c>
      <c r="F806" s="590" t="str">
        <f ca="1">IFERROR(__xludf.DUMMYFUNCTION("""COMPUTED_VALUE"""),"Cây")</f>
        <v>Cây</v>
      </c>
      <c r="G806" s="590" t="str">
        <f ca="1">IFERROR(__xludf.DUMMYFUNCTION("""COMPUTED_VALUE"""),"Cây 2.9m")</f>
        <v>Cây 2.9m</v>
      </c>
      <c r="H806" s="588" t="str">
        <f ca="1">IFERROR(__xludf.DUMMYFUNCTION("""COMPUTED_VALUE"""),"7")</f>
        <v>7</v>
      </c>
      <c r="I806" s="591">
        <f ca="1">IFERROR(__xludf.DUMMYFUNCTION("""COMPUTED_VALUE"""),5.972360688)</f>
        <v>5.9723606880000002</v>
      </c>
      <c r="J806" s="592" t="str">
        <f ca="1">IFERROR(__xludf.DUMMYFUNCTION("""COMPUTED_VALUE""")," 41.28 ")</f>
        <v xml:space="preserve"> 41.28 </v>
      </c>
      <c r="K806" s="590" t="str">
        <f ca="1">IFERROR(__xludf.DUMMYFUNCTION("""COMPUTED_VALUE"""),"1.80")</f>
        <v>1.80</v>
      </c>
      <c r="L806" s="590">
        <f ca="1">IFERROR(__xludf.DUMMYFUNCTION("""COMPUTED_VALUE"""),2.9)</f>
        <v>2.9</v>
      </c>
      <c r="M806" s="590"/>
      <c r="N806" s="590" t="str">
        <f ca="1">IFERROR(__xludf.DUMMYFUNCTION("""COMPUTED_VALUE"""),"Dị_D&lt;54")</f>
        <v>Dị_D&lt;54</v>
      </c>
      <c r="O806" s="589"/>
      <c r="P806" s="590"/>
    </row>
    <row r="807" spans="1:16" ht="15.75">
      <c r="A807" s="581" t="str">
        <f ca="1">IFERROR(__xludf.DUMMYFUNCTION("""COMPUTED_VALUE"""),"Toàn Phát - Việt Nam")</f>
        <v>Toàn Phát - Việt Nam</v>
      </c>
      <c r="B807" s="581" t="str">
        <f ca="1">IFERROR(__xludf.DUMMYFUNCTION("""COMPUTED_VALUE"""),"ĐTPCAYDI")</f>
        <v>ĐTPCAYDI</v>
      </c>
      <c r="C807" s="581" t="str">
        <f ca="1">IFERROR(__xludf.DUMMYFUNCTION("""COMPUTED_VALUE"""),"DOT412818030")</f>
        <v>DOT412818030</v>
      </c>
      <c r="D807" s="582" t="str">
        <f ca="1">IFERROR(__xludf.DUMMYFUNCTION("""COMPUTED_VALUE"""),"Đồng ống thẳng 41.28x1.80x3.0")</f>
        <v>Đồng ống thẳng 41.28x1.80x3.0</v>
      </c>
      <c r="E807" s="583">
        <f ca="1">IFERROR(__xludf.DUMMYFUNCTION("""COMPUTED_VALUE"""),0.1)</f>
        <v>0.1</v>
      </c>
      <c r="F807" s="584" t="str">
        <f ca="1">IFERROR(__xludf.DUMMYFUNCTION("""COMPUTED_VALUE"""),"Cây")</f>
        <v>Cây</v>
      </c>
      <c r="G807" s="584" t="str">
        <f ca="1">IFERROR(__xludf.DUMMYFUNCTION("""COMPUTED_VALUE"""),"Cây 3m")</f>
        <v>Cây 3m</v>
      </c>
      <c r="H807" s="582"/>
      <c r="I807" s="585">
        <f ca="1">IFERROR(__xludf.DUMMYFUNCTION("""COMPUTED_VALUE"""),6.17830416)</f>
        <v>6.1783041599999997</v>
      </c>
      <c r="J807" s="586" t="str">
        <f ca="1">IFERROR(__xludf.DUMMYFUNCTION("""COMPUTED_VALUE""")," 41.28 ")</f>
        <v xml:space="preserve"> 41.28 </v>
      </c>
      <c r="K807" s="584" t="str">
        <f ca="1">IFERROR(__xludf.DUMMYFUNCTION("""COMPUTED_VALUE"""),"1.80")</f>
        <v>1.80</v>
      </c>
      <c r="L807" s="584">
        <f ca="1">IFERROR(__xludf.DUMMYFUNCTION("""COMPUTED_VALUE"""),3)</f>
        <v>3</v>
      </c>
      <c r="M807" s="584"/>
      <c r="N807" s="584" t="str">
        <f ca="1">IFERROR(__xludf.DUMMYFUNCTION("""COMPUTED_VALUE"""),"Dị_D&lt;54")</f>
        <v>Dị_D&lt;54</v>
      </c>
      <c r="O807" s="583"/>
      <c r="P807" s="584"/>
    </row>
    <row r="808" spans="1:16" ht="15.75">
      <c r="A808" s="587" t="str">
        <f ca="1">IFERROR(__xludf.DUMMYFUNCTION("""COMPUTED_VALUE"""),"Toàn Phát - Việt Nam")</f>
        <v>Toàn Phát - Việt Nam</v>
      </c>
      <c r="B808" s="587" t="str">
        <f ca="1">IFERROR(__xludf.DUMMYFUNCTION("""COMPUTED_VALUE"""),"ĐTPCAYDI")</f>
        <v>ĐTPCAYDI</v>
      </c>
      <c r="C808" s="587" t="str">
        <f ca="1">IFERROR(__xludf.DUMMYFUNCTION("""COMPUTED_VALUE"""),"DOT4128183")</f>
        <v>DOT4128183</v>
      </c>
      <c r="D808" s="588" t="str">
        <f ca="1">IFERROR(__xludf.DUMMYFUNCTION("""COMPUTED_VALUE"""),"Đồng ống thẳng 41.28x1.83")</f>
        <v>Đồng ống thẳng 41.28x1.83</v>
      </c>
      <c r="E808" s="589">
        <f ca="1">IFERROR(__xludf.DUMMYFUNCTION("""COMPUTED_VALUE"""),0.1)</f>
        <v>0.1</v>
      </c>
      <c r="F808" s="590" t="str">
        <f ca="1">IFERROR(__xludf.DUMMYFUNCTION("""COMPUTED_VALUE"""),"Cây")</f>
        <v>Cây</v>
      </c>
      <c r="G808" s="590" t="str">
        <f ca="1">IFERROR(__xludf.DUMMYFUNCTION("""COMPUTED_VALUE"""),"Cây 2.9m")</f>
        <v>Cây 2.9m</v>
      </c>
      <c r="H808" s="588" t="str">
        <f ca="1">IFERROR(__xludf.DUMMYFUNCTION("""COMPUTED_VALUE"""),"7")</f>
        <v>7</v>
      </c>
      <c r="I808" s="591">
        <f ca="1">IFERROR(__xludf.DUMMYFUNCTION("""COMPUTED_VALUE"""),6.067286127)</f>
        <v>6.067286127</v>
      </c>
      <c r="J808" s="592" t="str">
        <f ca="1">IFERROR(__xludf.DUMMYFUNCTION("""COMPUTED_VALUE""")," 41.28 ")</f>
        <v xml:space="preserve"> 41.28 </v>
      </c>
      <c r="K808" s="590" t="str">
        <f ca="1">IFERROR(__xludf.DUMMYFUNCTION("""COMPUTED_VALUE"""),"1.83")</f>
        <v>1.83</v>
      </c>
      <c r="L808" s="590">
        <f ca="1">IFERROR(__xludf.DUMMYFUNCTION("""COMPUTED_VALUE"""),2.9)</f>
        <v>2.9</v>
      </c>
      <c r="M808" s="590"/>
      <c r="N808" s="590" t="str">
        <f ca="1">IFERROR(__xludf.DUMMYFUNCTION("""COMPUTED_VALUE"""),"Dị_D&lt;54")</f>
        <v>Dị_D&lt;54</v>
      </c>
      <c r="O808" s="589"/>
      <c r="P808" s="590"/>
    </row>
    <row r="809" spans="1:16" ht="15.75">
      <c r="A809" s="581" t="str">
        <f ca="1">IFERROR(__xludf.DUMMYFUNCTION("""COMPUTED_VALUE"""),"Toàn Phát - Việt Nam")</f>
        <v>Toàn Phát - Việt Nam</v>
      </c>
      <c r="B809" s="581" t="str">
        <f ca="1">IFERROR(__xludf.DUMMYFUNCTION("""COMPUTED_VALUE"""),"ĐTPCAYDI")</f>
        <v>ĐTPCAYDI</v>
      </c>
      <c r="C809" s="581" t="str">
        <f ca="1">IFERROR(__xludf.DUMMYFUNCTION("""COMPUTED_VALUE"""),"DOT412820029")</f>
        <v>DOT412820029</v>
      </c>
      <c r="D809" s="582" t="str">
        <f ca="1">IFERROR(__xludf.DUMMYFUNCTION("""COMPUTED_VALUE"""),"Đồng ống thẳng 41.28x2.00")</f>
        <v>Đồng ống thẳng 41.28x2.00</v>
      </c>
      <c r="E809" s="583">
        <f ca="1">IFERROR(__xludf.DUMMYFUNCTION("""COMPUTED_VALUE"""),0.1)</f>
        <v>0.1</v>
      </c>
      <c r="F809" s="584" t="str">
        <f ca="1">IFERROR(__xludf.DUMMYFUNCTION("""COMPUTED_VALUE"""),"Cây")</f>
        <v>Cây</v>
      </c>
      <c r="G809" s="584" t="str">
        <f ca="1">IFERROR(__xludf.DUMMYFUNCTION("""COMPUTED_VALUE"""),"Cây 2.9m")</f>
        <v>Cây 2.9m</v>
      </c>
      <c r="H809" s="582" t="str">
        <f ca="1">IFERROR(__xludf.DUMMYFUNCTION("""COMPUTED_VALUE"""),"7")</f>
        <v>7</v>
      </c>
      <c r="I809" s="585">
        <f ca="1">IFERROR(__xludf.DUMMYFUNCTION("""COMPUTED_VALUE"""),6.60233952)</f>
        <v>6.6023395200000001</v>
      </c>
      <c r="J809" s="586" t="str">
        <f ca="1">IFERROR(__xludf.DUMMYFUNCTION("""COMPUTED_VALUE""")," 41.28 ")</f>
        <v xml:space="preserve"> 41.28 </v>
      </c>
      <c r="K809" s="584" t="str">
        <f ca="1">IFERROR(__xludf.DUMMYFUNCTION("""COMPUTED_VALUE"""),"2.00")</f>
        <v>2.00</v>
      </c>
      <c r="L809" s="584">
        <f ca="1">IFERROR(__xludf.DUMMYFUNCTION("""COMPUTED_VALUE"""),2.9)</f>
        <v>2.9</v>
      </c>
      <c r="M809" s="584"/>
      <c r="N809" s="584" t="str">
        <f ca="1">IFERROR(__xludf.DUMMYFUNCTION("""COMPUTED_VALUE"""),"Dị_D&lt;54")</f>
        <v>Dị_D&lt;54</v>
      </c>
      <c r="O809" s="583"/>
      <c r="P809" s="584"/>
    </row>
    <row r="810" spans="1:16" ht="15.75">
      <c r="A810" s="587" t="str">
        <f ca="1">IFERROR(__xludf.DUMMYFUNCTION("""COMPUTED_VALUE"""),"Toàn Phát - Việt Nam")</f>
        <v>Toàn Phát - Việt Nam</v>
      </c>
      <c r="B810" s="587" t="str">
        <f ca="1">IFERROR(__xludf.DUMMYFUNCTION("""COMPUTED_VALUE"""),"ĐTPCAYDI")</f>
        <v>ĐTPCAYDI</v>
      </c>
      <c r="C810" s="587" t="str">
        <f ca="1">IFERROR(__xludf.DUMMYFUNCTION("""COMPUTED_VALUE"""),"DOT42001829")</f>
        <v>DOT42001829</v>
      </c>
      <c r="D810" s="588" t="str">
        <f ca="1">IFERROR(__xludf.DUMMYFUNCTION("""COMPUTED_VALUE"""),"Đồng ống thẳng 42.00x1.80x2.9")</f>
        <v>Đồng ống thẳng 42.00x1.80x2.9</v>
      </c>
      <c r="E810" s="589">
        <f ca="1">IFERROR(__xludf.DUMMYFUNCTION("""COMPUTED_VALUE"""),0.1)</f>
        <v>0.1</v>
      </c>
      <c r="F810" s="590" t="str">
        <f ca="1">IFERROR(__xludf.DUMMYFUNCTION("""COMPUTED_VALUE"""),"Cây")</f>
        <v>Cây</v>
      </c>
      <c r="G810" s="590" t="str">
        <f ca="1">IFERROR(__xludf.DUMMYFUNCTION("""COMPUTED_VALUE"""),"Cây 2.9m")</f>
        <v>Cây 2.9m</v>
      </c>
      <c r="H810" s="588"/>
      <c r="I810" s="591">
        <f ca="1">IFERROR(__xludf.DUMMYFUNCTION("""COMPUTED_VALUE"""),6.08127912)</f>
        <v>6.0812791199999996</v>
      </c>
      <c r="J810" s="592" t="str">
        <f ca="1">IFERROR(__xludf.DUMMYFUNCTION("""COMPUTED_VALUE""")," 42.00 ")</f>
        <v xml:space="preserve"> 42.00 </v>
      </c>
      <c r="K810" s="590" t="str">
        <f ca="1">IFERROR(__xludf.DUMMYFUNCTION("""COMPUTED_VALUE"""),"1.80")</f>
        <v>1.80</v>
      </c>
      <c r="L810" s="590">
        <f ca="1">IFERROR(__xludf.DUMMYFUNCTION("""COMPUTED_VALUE"""),2.9)</f>
        <v>2.9</v>
      </c>
      <c r="M810" s="590"/>
      <c r="N810" s="590" t="str">
        <f ca="1">IFERROR(__xludf.DUMMYFUNCTION("""COMPUTED_VALUE"""),"Dị_D&lt;54")</f>
        <v>Dị_D&lt;54</v>
      </c>
      <c r="O810" s="589"/>
      <c r="P810" s="590"/>
    </row>
    <row r="811" spans="1:16" ht="15.75">
      <c r="A811" s="581" t="str">
        <f ca="1">IFERROR(__xludf.DUMMYFUNCTION("""COMPUTED_VALUE"""),"Toàn Phát - Việt Nam")</f>
        <v>Toàn Phát - Việt Nam</v>
      </c>
      <c r="B811" s="581" t="str">
        <f ca="1">IFERROR(__xludf.DUMMYFUNCTION("""COMPUTED_VALUE"""),"ĐTPCAYDI")</f>
        <v>ĐTPCAYDI</v>
      </c>
      <c r="C811" s="581" t="str">
        <f ca="1">IFERROR(__xludf.DUMMYFUNCTION("""COMPUTED_VALUE"""),"DOT42001830")</f>
        <v>DOT42001830</v>
      </c>
      <c r="D811" s="582" t="str">
        <f ca="1">IFERROR(__xludf.DUMMYFUNCTION("""COMPUTED_VALUE"""),"Đồng ống thẳng 42.00x1.80x3.0")</f>
        <v>Đồng ống thẳng 42.00x1.80x3.0</v>
      </c>
      <c r="E811" s="583">
        <f ca="1">IFERROR(__xludf.DUMMYFUNCTION("""COMPUTED_VALUE"""),0.1)</f>
        <v>0.1</v>
      </c>
      <c r="F811" s="584" t="str">
        <f ca="1">IFERROR(__xludf.DUMMYFUNCTION("""COMPUTED_VALUE"""),"Cây")</f>
        <v>Cây</v>
      </c>
      <c r="G811" s="584" t="str">
        <f ca="1">IFERROR(__xludf.DUMMYFUNCTION("""COMPUTED_VALUE"""),"Cây 3m")</f>
        <v>Cây 3m</v>
      </c>
      <c r="H811" s="582"/>
      <c r="I811" s="585">
        <f ca="1">IFERROR(__xludf.DUMMYFUNCTION("""COMPUTED_VALUE"""),6.2909784)</f>
        <v>6.2909784000000002</v>
      </c>
      <c r="J811" s="586" t="str">
        <f ca="1">IFERROR(__xludf.DUMMYFUNCTION("""COMPUTED_VALUE""")," 42.00 ")</f>
        <v xml:space="preserve"> 42.00 </v>
      </c>
      <c r="K811" s="584" t="str">
        <f ca="1">IFERROR(__xludf.DUMMYFUNCTION("""COMPUTED_VALUE"""),"1.80")</f>
        <v>1.80</v>
      </c>
      <c r="L811" s="584">
        <f ca="1">IFERROR(__xludf.DUMMYFUNCTION("""COMPUTED_VALUE"""),3)</f>
        <v>3</v>
      </c>
      <c r="M811" s="584"/>
      <c r="N811" s="584" t="str">
        <f ca="1">IFERROR(__xludf.DUMMYFUNCTION("""COMPUTED_VALUE"""),"Dị_D&lt;54")</f>
        <v>Dị_D&lt;54</v>
      </c>
      <c r="O811" s="583"/>
      <c r="P811" s="584"/>
    </row>
    <row r="812" spans="1:16" ht="15.75">
      <c r="A812" s="587" t="str">
        <f ca="1">IFERROR(__xludf.DUMMYFUNCTION("""COMPUTED_VALUE"""),"Toàn Phát - Việt Nam")</f>
        <v>Toàn Phát - Việt Nam</v>
      </c>
      <c r="B812" s="587" t="str">
        <f ca="1">IFERROR(__xludf.DUMMYFUNCTION("""COMPUTED_VALUE"""),"ĐTPCAYDI")</f>
        <v>ĐTPCAYDI</v>
      </c>
      <c r="C812" s="587" t="str">
        <f ca="1">IFERROR(__xludf.DUMMYFUNCTION("""COMPUTED_VALUE"""),"DOT420020030")</f>
        <v>DOT420020030</v>
      </c>
      <c r="D812" s="588" t="str">
        <f ca="1">IFERROR(__xludf.DUMMYFUNCTION("""COMPUTED_VALUE"""),"Đồng ống thẳng 42.00x2.00x3.0")</f>
        <v>Đồng ống thẳng 42.00x2.00x3.0</v>
      </c>
      <c r="E812" s="589">
        <f ca="1">IFERROR(__xludf.DUMMYFUNCTION("""COMPUTED_VALUE"""),0.1)</f>
        <v>0.1</v>
      </c>
      <c r="F812" s="590" t="str">
        <f ca="1">IFERROR(__xludf.DUMMYFUNCTION("""COMPUTED_VALUE"""),"Cây")</f>
        <v>Cây</v>
      </c>
      <c r="G812" s="590" t="str">
        <f ca="1">IFERROR(__xludf.DUMMYFUNCTION("""COMPUTED_VALUE"""),"Cây 3m")</f>
        <v>Cây 3m</v>
      </c>
      <c r="H812" s="588"/>
      <c r="I812" s="591">
        <f ca="1">IFERROR(__xludf.DUMMYFUNCTION("""COMPUTED_VALUE"""),6.9552)</f>
        <v>6.9551999999999996</v>
      </c>
      <c r="J812" s="592" t="str">
        <f ca="1">IFERROR(__xludf.DUMMYFUNCTION("""COMPUTED_VALUE""")," 42.00 ")</f>
        <v xml:space="preserve"> 42.00 </v>
      </c>
      <c r="K812" s="590" t="str">
        <f ca="1">IFERROR(__xludf.DUMMYFUNCTION("""COMPUTED_VALUE"""),"2.00")</f>
        <v>2.00</v>
      </c>
      <c r="L812" s="590">
        <f ca="1">IFERROR(__xludf.DUMMYFUNCTION("""COMPUTED_VALUE"""),3)</f>
        <v>3</v>
      </c>
      <c r="M812" s="590"/>
      <c r="N812" s="590" t="str">
        <f ca="1">IFERROR(__xludf.DUMMYFUNCTION("""COMPUTED_VALUE"""),"Dị_D&lt;54")</f>
        <v>Dị_D&lt;54</v>
      </c>
      <c r="O812" s="589"/>
      <c r="P812" s="590"/>
    </row>
    <row r="813" spans="1:16" ht="15.75">
      <c r="A813" s="581" t="str">
        <f ca="1">IFERROR(__xludf.DUMMYFUNCTION("""COMPUTED_VALUE"""),"Toàn Phát - Việt Nam")</f>
        <v>Toàn Phát - Việt Nam</v>
      </c>
      <c r="B813" s="581" t="str">
        <f ca="1">IFERROR(__xludf.DUMMYFUNCTION("""COMPUTED_VALUE"""),"ĐTPCAYDI")</f>
        <v>ĐTPCAYDI</v>
      </c>
      <c r="C813" s="581" t="str">
        <f ca="1">IFERROR(__xludf.DUMMYFUNCTION("""COMPUTED_VALUE"""),"DOT420025029")</f>
        <v>DOT420025029</v>
      </c>
      <c r="D813" s="582" t="str">
        <f ca="1">IFERROR(__xludf.DUMMYFUNCTION("""COMPUTED_VALUE"""),"Đồng ống thẳng 42.00x2.50x2.9")</f>
        <v>Đồng ống thẳng 42.00x2.50x2.9</v>
      </c>
      <c r="E813" s="583">
        <f ca="1">IFERROR(__xludf.DUMMYFUNCTION("""COMPUTED_VALUE"""),0.1)</f>
        <v>0.1</v>
      </c>
      <c r="F813" s="584" t="str">
        <f ca="1">IFERROR(__xludf.DUMMYFUNCTION("""COMPUTED_VALUE"""),"Cây")</f>
        <v>Cây</v>
      </c>
      <c r="G813" s="584" t="str">
        <f ca="1">IFERROR(__xludf.DUMMYFUNCTION("""COMPUTED_VALUE"""),"Cây 2.9m")</f>
        <v>Cây 2.9m</v>
      </c>
      <c r="H813" s="582"/>
      <c r="I813" s="585">
        <f ca="1">IFERROR(__xludf.DUMMYFUNCTION("""COMPUTED_VALUE"""),8.29914749999999)</f>
        <v>8.2991474999999895</v>
      </c>
      <c r="J813" s="586" t="str">
        <f ca="1">IFERROR(__xludf.DUMMYFUNCTION("""COMPUTED_VALUE""")," 42.00 ")</f>
        <v xml:space="preserve"> 42.00 </v>
      </c>
      <c r="K813" s="584" t="str">
        <f ca="1">IFERROR(__xludf.DUMMYFUNCTION("""COMPUTED_VALUE"""),"2.50")</f>
        <v>2.50</v>
      </c>
      <c r="L813" s="584">
        <f ca="1">IFERROR(__xludf.DUMMYFUNCTION("""COMPUTED_VALUE"""),2.9)</f>
        <v>2.9</v>
      </c>
      <c r="M813" s="584"/>
      <c r="N813" s="584" t="str">
        <f ca="1">IFERROR(__xludf.DUMMYFUNCTION("""COMPUTED_VALUE"""),"Dị_D&lt;54")</f>
        <v>Dị_D&lt;54</v>
      </c>
      <c r="O813" s="583"/>
      <c r="P813" s="584"/>
    </row>
    <row r="814" spans="1:16" ht="15.75">
      <c r="A814" s="587" t="str">
        <f ca="1">IFERROR(__xludf.DUMMYFUNCTION("""COMPUTED_VALUE"""),"Toàn Phát - Việt Nam")</f>
        <v>Toàn Phát - Việt Nam</v>
      </c>
      <c r="B814" s="587" t="str">
        <f ca="1">IFERROR(__xludf.DUMMYFUNCTION("""COMPUTED_VALUE"""),"ĐTPCAYDI")</f>
        <v>ĐTPCAYDI</v>
      </c>
      <c r="C814" s="587" t="str">
        <f ca="1">IFERROR(__xludf.DUMMYFUNCTION("""COMPUTED_VALUE"""),"DOT442813529")</f>
        <v>DOT442813529</v>
      </c>
      <c r="D814" s="588" t="str">
        <f ca="1">IFERROR(__xludf.DUMMYFUNCTION("""COMPUTED_VALUE"""),"Đồng ống thẳng 44x1.35( 2.9m)")</f>
        <v>Đồng ống thẳng 44x1.35( 2.9m)</v>
      </c>
      <c r="E814" s="589">
        <f ca="1">IFERROR(__xludf.DUMMYFUNCTION("""COMPUTED_VALUE"""),0.1)</f>
        <v>0.1</v>
      </c>
      <c r="F814" s="590" t="str">
        <f ca="1">IFERROR(__xludf.DUMMYFUNCTION("""COMPUTED_VALUE"""),"Cây")</f>
        <v>Cây</v>
      </c>
      <c r="G814" s="590" t="str">
        <f ca="1">IFERROR(__xludf.DUMMYFUNCTION("""COMPUTED_VALUE"""),"Cây 2.9m")</f>
        <v>Cây 2.9m</v>
      </c>
      <c r="H814" s="588"/>
      <c r="I814" s="591">
        <f ca="1">IFERROR(__xludf.DUMMYFUNCTION("""COMPUTED_VALUE"""),4.838928255)</f>
        <v>4.8389282549999999</v>
      </c>
      <c r="J814" s="592" t="str">
        <f ca="1">IFERROR(__xludf.DUMMYFUNCTION("""COMPUTED_VALUE""")," 44.00 ")</f>
        <v xml:space="preserve"> 44.00 </v>
      </c>
      <c r="K814" s="590" t="str">
        <f ca="1">IFERROR(__xludf.DUMMYFUNCTION("""COMPUTED_VALUE"""),"1.35")</f>
        <v>1.35</v>
      </c>
      <c r="L814" s="590">
        <f ca="1">IFERROR(__xludf.DUMMYFUNCTION("""COMPUTED_VALUE"""),2.9)</f>
        <v>2.9</v>
      </c>
      <c r="M814" s="590"/>
      <c r="N814" s="590" t="str">
        <f ca="1">IFERROR(__xludf.DUMMYFUNCTION("""COMPUTED_VALUE"""),"Dị_D&lt;54")</f>
        <v>Dị_D&lt;54</v>
      </c>
      <c r="O814" s="589"/>
      <c r="P814" s="590"/>
    </row>
    <row r="815" spans="1:16" ht="15.75">
      <c r="A815" s="581" t="str">
        <f ca="1">IFERROR(__xludf.DUMMYFUNCTION("""COMPUTED_VALUE"""),"Toàn Phát - Việt Nam")</f>
        <v>Toàn Phát - Việt Nam</v>
      </c>
      <c r="B815" s="581" t="str">
        <f ca="1">IFERROR(__xludf.DUMMYFUNCTION("""COMPUTED_VALUE"""),"ĐTPCAYDI")</f>
        <v>ĐTPCAYDI</v>
      </c>
      <c r="C815" s="581" t="str">
        <f ca="1">IFERROR(__xludf.DUMMYFUNCTION("""COMPUTED_VALUE"""),"DOT4428115(2.9)")</f>
        <v>DOT4428115(2.9)</v>
      </c>
      <c r="D815" s="582" t="str">
        <f ca="1">IFERROR(__xludf.DUMMYFUNCTION("""COMPUTED_VALUE"""),"Đồng ống thẳng 44.28x1.15 (2.9m)")</f>
        <v>Đồng ống thẳng 44.28x1.15 (2.9m)</v>
      </c>
      <c r="E815" s="583">
        <f ca="1">IFERROR(__xludf.DUMMYFUNCTION("""COMPUTED_VALUE"""),0.1)</f>
        <v>0.1</v>
      </c>
      <c r="F815" s="584" t="str">
        <f ca="1">IFERROR(__xludf.DUMMYFUNCTION("""COMPUTED_VALUE"""),"Cây")</f>
        <v>Cây</v>
      </c>
      <c r="G815" s="584" t="str">
        <f ca="1">IFERROR(__xludf.DUMMYFUNCTION("""COMPUTED_VALUE"""),"Cây 2.9m")</f>
        <v>Cây 2.9m</v>
      </c>
      <c r="H815" s="582"/>
      <c r="I815" s="585">
        <f ca="1">IFERROR(__xludf.DUMMYFUNCTION("""COMPUTED_VALUE"""),4.16844117899999)</f>
        <v>4.1684411789999896</v>
      </c>
      <c r="J815" s="586" t="str">
        <f ca="1">IFERROR(__xludf.DUMMYFUNCTION("""COMPUTED_VALUE""")," 44.28 ")</f>
        <v xml:space="preserve"> 44.28 </v>
      </c>
      <c r="K815" s="584" t="str">
        <f ca="1">IFERROR(__xludf.DUMMYFUNCTION("""COMPUTED_VALUE"""),"1.15")</f>
        <v>1.15</v>
      </c>
      <c r="L815" s="584">
        <f ca="1">IFERROR(__xludf.DUMMYFUNCTION("""COMPUTED_VALUE"""),2.9)</f>
        <v>2.9</v>
      </c>
      <c r="M815" s="584"/>
      <c r="N815" s="584" t="str">
        <f ca="1">IFERROR(__xludf.DUMMYFUNCTION("""COMPUTED_VALUE"""),"Dị_D&lt;54")</f>
        <v>Dị_D&lt;54</v>
      </c>
      <c r="O815" s="583"/>
      <c r="P815" s="584"/>
    </row>
    <row r="816" spans="1:16" ht="15.75">
      <c r="A816" s="587" t="str">
        <f ca="1">IFERROR(__xludf.DUMMYFUNCTION("""COMPUTED_VALUE"""),"Toàn Phát - Việt Nam")</f>
        <v>Toàn Phát - Việt Nam</v>
      </c>
      <c r="B816" s="587" t="str">
        <f ca="1">IFERROR(__xludf.DUMMYFUNCTION("""COMPUTED_VALUE"""),"ĐTPCAYDI")</f>
        <v>ĐTPCAYDI</v>
      </c>
      <c r="C816" s="587" t="str">
        <f ca="1">IFERROR(__xludf.DUMMYFUNCTION("""COMPUTED_VALUE"""),"DOT44451558")</f>
        <v>DOT44451558</v>
      </c>
      <c r="D816" s="588" t="str">
        <f ca="1">IFERROR(__xludf.DUMMYFUNCTION("""COMPUTED_VALUE"""),"Đồng ống thẳng 44.45x1.5x5.8")</f>
        <v>Đồng ống thẳng 44.45x1.5x5.8</v>
      </c>
      <c r="E816" s="589">
        <f ca="1">IFERROR(__xludf.DUMMYFUNCTION("""COMPUTED_VALUE"""),0.1)</f>
        <v>0.1</v>
      </c>
      <c r="F816" s="590" t="str">
        <f ca="1">IFERROR(__xludf.DUMMYFUNCTION("""COMPUTED_VALUE"""),"Cây")</f>
        <v>Cây</v>
      </c>
      <c r="G816" s="590" t="str">
        <f ca="1">IFERROR(__xludf.DUMMYFUNCTION("""COMPUTED_VALUE"""),"Cây 5.8m")</f>
        <v>Cây 5.8m</v>
      </c>
      <c r="H816" s="588"/>
      <c r="I816" s="591">
        <f ca="1">IFERROR(__xludf.DUMMYFUNCTION("""COMPUTED_VALUE"""),10.8288117)</f>
        <v>10.828811699999999</v>
      </c>
      <c r="J816" s="592" t="str">
        <f ca="1">IFERROR(__xludf.DUMMYFUNCTION("""COMPUTED_VALUE""")," 44.45 ")</f>
        <v xml:space="preserve"> 44.45 </v>
      </c>
      <c r="K816" s="590" t="str">
        <f ca="1">IFERROR(__xludf.DUMMYFUNCTION("""COMPUTED_VALUE"""),"1.50")</f>
        <v>1.50</v>
      </c>
      <c r="L816" s="590">
        <f ca="1">IFERROR(__xludf.DUMMYFUNCTION("""COMPUTED_VALUE"""),5.8)</f>
        <v>5.8</v>
      </c>
      <c r="M816" s="590"/>
      <c r="N816" s="590" t="str">
        <f ca="1">IFERROR(__xludf.DUMMYFUNCTION("""COMPUTED_VALUE"""),"Dị_D&lt;54")</f>
        <v>Dị_D&lt;54</v>
      </c>
      <c r="O816" s="589"/>
      <c r="P816" s="590"/>
    </row>
    <row r="817" spans="1:17" ht="15.75">
      <c r="A817" s="581" t="str">
        <f ca="1">IFERROR(__xludf.DUMMYFUNCTION("""COMPUTED_VALUE"""),"Toàn Phát - Việt Nam")</f>
        <v>Toàn Phát - Việt Nam</v>
      </c>
      <c r="B817" s="581" t="str">
        <f ca="1">IFERROR(__xludf.DUMMYFUNCTION("""COMPUTED_VALUE"""),"ĐTPCAYDI")</f>
        <v>ĐTPCAYDI</v>
      </c>
      <c r="C817" s="581" t="str">
        <f ca="1">IFERROR(__xludf.DUMMYFUNCTION("""COMPUTED_VALUE"""),"DOT445115")</f>
        <v>DOT445115</v>
      </c>
      <c r="D817" s="582" t="str">
        <f ca="1">IFERROR(__xludf.DUMMYFUNCTION("""COMPUTED_VALUE"""),"Đồng ống thẳng 44.5x1.15")</f>
        <v>Đồng ống thẳng 44.5x1.15</v>
      </c>
      <c r="E817" s="583">
        <f ca="1">IFERROR(__xludf.DUMMYFUNCTION("""COMPUTED_VALUE"""),0.1)</f>
        <v>0.1</v>
      </c>
      <c r="F817" s="584" t="str">
        <f ca="1">IFERROR(__xludf.DUMMYFUNCTION("""COMPUTED_VALUE"""),"Cây")</f>
        <v>Cây</v>
      </c>
      <c r="G817" s="584" t="str">
        <f ca="1">IFERROR(__xludf.DUMMYFUNCTION("""COMPUTED_VALUE"""),"Cây 2.9m")</f>
        <v>Cây 2.9m</v>
      </c>
      <c r="H817" s="582"/>
      <c r="I817" s="585">
        <f ca="1">IFERROR(__xludf.DUMMYFUNCTION("""COMPUTED_VALUE"""),4.189703805)</f>
        <v>4.1897038049999997</v>
      </c>
      <c r="J817" s="586" t="str">
        <f ca="1">IFERROR(__xludf.DUMMYFUNCTION("""COMPUTED_VALUE""")," 44.50 ")</f>
        <v xml:space="preserve"> 44.50 </v>
      </c>
      <c r="K817" s="584" t="str">
        <f ca="1">IFERROR(__xludf.DUMMYFUNCTION("""COMPUTED_VALUE"""),"1.15")</f>
        <v>1.15</v>
      </c>
      <c r="L817" s="584">
        <f ca="1">IFERROR(__xludf.DUMMYFUNCTION("""COMPUTED_VALUE"""),2.9)</f>
        <v>2.9</v>
      </c>
      <c r="M817" s="584"/>
      <c r="N817" s="584" t="str">
        <f ca="1">IFERROR(__xludf.DUMMYFUNCTION("""COMPUTED_VALUE"""),"Dị_D&lt;54")</f>
        <v>Dị_D&lt;54</v>
      </c>
      <c r="O817" s="583"/>
      <c r="P817" s="584"/>
    </row>
    <row r="818" spans="1:17" ht="15.75">
      <c r="A818" s="587" t="str">
        <f ca="1">IFERROR(__xludf.DUMMYFUNCTION("""COMPUTED_VALUE"""),"Toàn Phát - Việt Nam")</f>
        <v>Toàn Phát - Việt Nam</v>
      </c>
      <c r="B818" s="587" t="str">
        <f ca="1">IFERROR(__xludf.DUMMYFUNCTION("""COMPUTED_VALUE"""),"ĐTPCAYIB")</f>
        <v>ĐTPCAYIB</v>
      </c>
      <c r="C818" s="587" t="str">
        <f ca="1">IFERROR(__xludf.DUMMYFUNCTION("""COMPUTED_VALUE"""),"DOT4450120")</f>
        <v>DOT4450120</v>
      </c>
      <c r="D818" s="588" t="str">
        <f ca="1">IFERROR(__xludf.DUMMYFUNCTION("""COMPUTED_VALUE"""),"Đồng ống thẳng 44.50x1.20")</f>
        <v>Đồng ống thẳng 44.50x1.20</v>
      </c>
      <c r="E818" s="589">
        <f ca="1">IFERROR(__xludf.DUMMYFUNCTION("""COMPUTED_VALUE"""),0.1)</f>
        <v>0.1</v>
      </c>
      <c r="F818" s="590" t="str">
        <f ca="1">IFERROR(__xludf.DUMMYFUNCTION("""COMPUTED_VALUE"""),"Cây")</f>
        <v>Cây</v>
      </c>
      <c r="G818" s="590" t="str">
        <f ca="1">IFERROR(__xludf.DUMMYFUNCTION("""COMPUTED_VALUE"""),"Cây 2.9m")</f>
        <v>Cây 2.9m</v>
      </c>
      <c r="H818" s="588"/>
      <c r="I818" s="591">
        <f ca="1">IFERROR(__xludf.DUMMYFUNCTION("""COMPUTED_VALUE"""),4.36682231999999)</f>
        <v>4.36682231999999</v>
      </c>
      <c r="J818" s="592" t="str">
        <f ca="1">IFERROR(__xludf.DUMMYFUNCTION("""COMPUTED_VALUE""")," 44.50 ")</f>
        <v xml:space="preserve"> 44.50 </v>
      </c>
      <c r="K818" s="590" t="str">
        <f ca="1">IFERROR(__xludf.DUMMYFUNCTION("""COMPUTED_VALUE"""),"1.20")</f>
        <v>1.20</v>
      </c>
      <c r="L818" s="590">
        <f ca="1">IFERROR(__xludf.DUMMYFUNCTION("""COMPUTED_VALUE"""),2.9)</f>
        <v>2.9</v>
      </c>
      <c r="M818" s="590"/>
      <c r="N818" s="590" t="str">
        <f ca="1">IFERROR(__xludf.DUMMYFUNCTION("""COMPUTED_VALUE"""),"Ít bán")</f>
        <v>Ít bán</v>
      </c>
      <c r="O818" s="589"/>
      <c r="P818" s="590"/>
      <c r="Q818" s="885">
        <f ca="1">+$Q$5*I818</f>
        <v>1004.3691335999976</v>
      </c>
    </row>
    <row r="819" spans="1:17" ht="15.75">
      <c r="A819" s="581" t="str">
        <f ca="1">IFERROR(__xludf.DUMMYFUNCTION("""COMPUTED_VALUE"""),"Toàn Phát - Việt Nam")</f>
        <v>Toàn Phát - Việt Nam</v>
      </c>
      <c r="B819" s="581" t="str">
        <f ca="1">IFERROR(__xludf.DUMMYFUNCTION("""COMPUTED_VALUE"""),"ĐTPCAYDI")</f>
        <v>ĐTPCAYDI</v>
      </c>
      <c r="C819" s="581" t="str">
        <f ca="1">IFERROR(__xludf.DUMMYFUNCTION("""COMPUTED_VALUE"""),"DOT445014058")</f>
        <v>DOT445014058</v>
      </c>
      <c r="D819" s="582" t="str">
        <f ca="1">IFERROR(__xludf.DUMMYFUNCTION("""COMPUTED_VALUE"""),"Đồng ống thẳng 44.50x1.40x5.8")</f>
        <v>Đồng ống thẳng 44.50x1.40x5.8</v>
      </c>
      <c r="E819" s="583">
        <f ca="1">IFERROR(__xludf.DUMMYFUNCTION("""COMPUTED_VALUE"""),0.1)</f>
        <v>0.1</v>
      </c>
      <c r="F819" s="584" t="str">
        <f ca="1">IFERROR(__xludf.DUMMYFUNCTION("""COMPUTED_VALUE"""),"Cây")</f>
        <v>Cây</v>
      </c>
      <c r="G819" s="584" t="str">
        <f ca="1">IFERROR(__xludf.DUMMYFUNCTION("""COMPUTED_VALUE"""),"Cây 5.8m")</f>
        <v>Cây 5.8m</v>
      </c>
      <c r="H819" s="582"/>
      <c r="I819" s="585">
        <f ca="1">IFERROR(__xludf.DUMMYFUNCTION("""COMPUTED_VALUE"""),10.14218856)</f>
        <v>10.142188559999999</v>
      </c>
      <c r="J819" s="586" t="str">
        <f ca="1">IFERROR(__xludf.DUMMYFUNCTION("""COMPUTED_VALUE""")," 44.50 ")</f>
        <v xml:space="preserve"> 44.50 </v>
      </c>
      <c r="K819" s="584" t="str">
        <f ca="1">IFERROR(__xludf.DUMMYFUNCTION("""COMPUTED_VALUE"""),"1.40")</f>
        <v>1.40</v>
      </c>
      <c r="L819" s="584">
        <f ca="1">IFERROR(__xludf.DUMMYFUNCTION("""COMPUTED_VALUE"""),5.8)</f>
        <v>5.8</v>
      </c>
      <c r="M819" s="584"/>
      <c r="N819" s="584" t="str">
        <f ca="1">IFERROR(__xludf.DUMMYFUNCTION("""COMPUTED_VALUE"""),"Dị_D&lt;54")</f>
        <v>Dị_D&lt;54</v>
      </c>
      <c r="O819" s="583"/>
      <c r="P819" s="584"/>
    </row>
    <row r="820" spans="1:17" ht="15.75">
      <c r="A820" s="587" t="str">
        <f ca="1">IFERROR(__xludf.DUMMYFUNCTION("""COMPUTED_VALUE"""),"Toàn Phát - Việt Nam")</f>
        <v>Toàn Phát - Việt Nam</v>
      </c>
      <c r="B820" s="587" t="str">
        <f ca="1">IFERROR(__xludf.DUMMYFUNCTION("""COMPUTED_VALUE"""),"ĐTPCAYDI")</f>
        <v>ĐTPCAYDI</v>
      </c>
      <c r="C820" s="587" t="str">
        <f ca="1">IFERROR(__xludf.DUMMYFUNCTION("""COMPUTED_VALUE"""),"DOT4451403")</f>
        <v>DOT4451403</v>
      </c>
      <c r="D820" s="588" t="str">
        <f ca="1">IFERROR(__xludf.DUMMYFUNCTION("""COMPUTED_VALUE"""),"Đồng ống thẳng 44.5x1.40x3m")</f>
        <v>Đồng ống thẳng 44.5x1.40x3m</v>
      </c>
      <c r="E820" s="589">
        <f ca="1">IFERROR(__xludf.DUMMYFUNCTION("""COMPUTED_VALUE"""),0.1)</f>
        <v>0.1</v>
      </c>
      <c r="F820" s="590" t="str">
        <f ca="1">IFERROR(__xludf.DUMMYFUNCTION("""COMPUTED_VALUE"""),"Cây")</f>
        <v>Cây</v>
      </c>
      <c r="G820" s="590" t="str">
        <f ca="1">IFERROR(__xludf.DUMMYFUNCTION("""COMPUTED_VALUE"""),"Cây 3m")</f>
        <v>Cây 3m</v>
      </c>
      <c r="H820" s="588"/>
      <c r="I820" s="591">
        <f ca="1">IFERROR(__xludf.DUMMYFUNCTION("""COMPUTED_VALUE"""),5.24595959999999)</f>
        <v>5.2459595999999902</v>
      </c>
      <c r="J820" s="592" t="str">
        <f ca="1">IFERROR(__xludf.DUMMYFUNCTION("""COMPUTED_VALUE""")," 44.50 ")</f>
        <v xml:space="preserve"> 44.50 </v>
      </c>
      <c r="K820" s="590" t="str">
        <f ca="1">IFERROR(__xludf.DUMMYFUNCTION("""COMPUTED_VALUE"""),"1.40")</f>
        <v>1.40</v>
      </c>
      <c r="L820" s="590">
        <f ca="1">IFERROR(__xludf.DUMMYFUNCTION("""COMPUTED_VALUE"""),3)</f>
        <v>3</v>
      </c>
      <c r="M820" s="590"/>
      <c r="N820" s="590" t="str">
        <f ca="1">IFERROR(__xludf.DUMMYFUNCTION("""COMPUTED_VALUE"""),"Dị_D&lt;54")</f>
        <v>Dị_D&lt;54</v>
      </c>
      <c r="O820" s="589"/>
      <c r="P820" s="590"/>
    </row>
    <row r="821" spans="1:17" ht="15.75">
      <c r="A821" s="581" t="str">
        <f ca="1">IFERROR(__xludf.DUMMYFUNCTION("""COMPUTED_VALUE"""),"Toàn Phát - Việt Nam")</f>
        <v>Toàn Phát - Việt Nam</v>
      </c>
      <c r="B821" s="581" t="str">
        <f ca="1">IFERROR(__xludf.DUMMYFUNCTION("""COMPUTED_VALUE"""),"ĐTPCAYIB")</f>
        <v>ĐTPCAYIB</v>
      </c>
      <c r="C821" s="581" t="str">
        <f ca="1">IFERROR(__xludf.DUMMYFUNCTION("""COMPUTED_VALUE"""),"DOT4450140")</f>
        <v>DOT4450140</v>
      </c>
      <c r="D821" s="582" t="str">
        <f ca="1">IFERROR(__xludf.DUMMYFUNCTION("""COMPUTED_VALUE"""),"Đồng ống thẳng 44.50x1.40")</f>
        <v>Đồng ống thẳng 44.50x1.40</v>
      </c>
      <c r="E821" s="583">
        <f ca="1">IFERROR(__xludf.DUMMYFUNCTION("""COMPUTED_VALUE"""),0.1)</f>
        <v>0.1</v>
      </c>
      <c r="F821" s="584" t="str">
        <f ca="1">IFERROR(__xludf.DUMMYFUNCTION("""COMPUTED_VALUE"""),"Cây")</f>
        <v>Cây</v>
      </c>
      <c r="G821" s="584" t="str">
        <f ca="1">IFERROR(__xludf.DUMMYFUNCTION("""COMPUTED_VALUE"""),"Cây 2.9m")</f>
        <v>Cây 2.9m</v>
      </c>
      <c r="H821" s="582"/>
      <c r="I821" s="585">
        <f ca="1">IFERROR(__xludf.DUMMYFUNCTION("""COMPUTED_VALUE"""),5.07109428)</f>
        <v>5.0710942799999996</v>
      </c>
      <c r="J821" s="586" t="str">
        <f ca="1">IFERROR(__xludf.DUMMYFUNCTION("""COMPUTED_VALUE""")," 44.50 ")</f>
        <v xml:space="preserve"> 44.50 </v>
      </c>
      <c r="K821" s="584" t="str">
        <f ca="1">IFERROR(__xludf.DUMMYFUNCTION("""COMPUTED_VALUE"""),"1.40")</f>
        <v>1.40</v>
      </c>
      <c r="L821" s="584">
        <f ca="1">IFERROR(__xludf.DUMMYFUNCTION("""COMPUTED_VALUE"""),2.9)</f>
        <v>2.9</v>
      </c>
      <c r="M821" s="584"/>
      <c r="N821" s="584" t="str">
        <f ca="1">IFERROR(__xludf.DUMMYFUNCTION("""COMPUTED_VALUE"""),"Ít bán")</f>
        <v>Ít bán</v>
      </c>
      <c r="O821" s="583"/>
      <c r="P821" s="584"/>
      <c r="Q821" s="885">
        <f ca="1">+$Q$5*I821</f>
        <v>1166.3516843999998</v>
      </c>
    </row>
    <row r="822" spans="1:17" ht="15.75">
      <c r="A822" s="587" t="str">
        <f ca="1">IFERROR(__xludf.DUMMYFUNCTION("""COMPUTED_VALUE"""),"Toàn Phát - Việt Nam")</f>
        <v>Toàn Phát - Việt Nam</v>
      </c>
      <c r="B822" s="587" t="str">
        <f ca="1">IFERROR(__xludf.DUMMYFUNCTION("""COMPUTED_VALUE"""),"ĐTPCAYIB")</f>
        <v>ĐTPCAYIB</v>
      </c>
      <c r="C822" s="587" t="str">
        <f ca="1">IFERROR(__xludf.DUMMYFUNCTION("""COMPUTED_VALUE"""),"DOT44514029")</f>
        <v>DOT44514029</v>
      </c>
      <c r="D822" s="588" t="str">
        <f ca="1">IFERROR(__xludf.DUMMYFUNCTION("""COMPUTED_VALUE"""),"Đồng ống thẳng 44.5x1.40 2.9m")</f>
        <v>Đồng ống thẳng 44.5x1.40 2.9m</v>
      </c>
      <c r="E822" s="589">
        <f ca="1">IFERROR(__xludf.DUMMYFUNCTION("""COMPUTED_VALUE"""),0.1)</f>
        <v>0.1</v>
      </c>
      <c r="F822" s="590" t="str">
        <f ca="1">IFERROR(__xludf.DUMMYFUNCTION("""COMPUTED_VALUE"""),"Cây")</f>
        <v>Cây</v>
      </c>
      <c r="G822" s="590" t="str">
        <f ca="1">IFERROR(__xludf.DUMMYFUNCTION("""COMPUTED_VALUE"""),"Cây 2.9m")</f>
        <v>Cây 2.9m</v>
      </c>
      <c r="H822" s="588"/>
      <c r="I822" s="591">
        <f ca="1">IFERROR(__xludf.DUMMYFUNCTION("""COMPUTED_VALUE"""),5.07109428)</f>
        <v>5.0710942799999996</v>
      </c>
      <c r="J822" s="592" t="str">
        <f ca="1">IFERROR(__xludf.DUMMYFUNCTION("""COMPUTED_VALUE""")," 44.50 ")</f>
        <v xml:space="preserve"> 44.50 </v>
      </c>
      <c r="K822" s="590" t="str">
        <f ca="1">IFERROR(__xludf.DUMMYFUNCTION("""COMPUTED_VALUE"""),"1.40")</f>
        <v>1.40</v>
      </c>
      <c r="L822" s="590">
        <f ca="1">IFERROR(__xludf.DUMMYFUNCTION("""COMPUTED_VALUE"""),2.9)</f>
        <v>2.9</v>
      </c>
      <c r="M822" s="590"/>
      <c r="N822" s="590" t="str">
        <f ca="1">IFERROR(__xludf.DUMMYFUNCTION("""COMPUTED_VALUE"""),"Ít bán")</f>
        <v>Ít bán</v>
      </c>
      <c r="O822" s="589"/>
      <c r="P822" s="590"/>
      <c r="Q822" s="885">
        <f ca="1">+$Q$5*I822</f>
        <v>1166.3516843999998</v>
      </c>
    </row>
    <row r="823" spans="1:17" ht="15.75">
      <c r="A823" s="581" t="str">
        <f ca="1">IFERROR(__xludf.DUMMYFUNCTION("""COMPUTED_VALUE"""),"Toàn Phát - Việt Nam")</f>
        <v>Toàn Phát - Việt Nam</v>
      </c>
      <c r="B823" s="581" t="str">
        <f ca="1">IFERROR(__xludf.DUMMYFUNCTION("""COMPUTED_VALUE"""),"ĐTPCAYDI")</f>
        <v>ĐTPCAYDI</v>
      </c>
      <c r="C823" s="581" t="str">
        <f ca="1">IFERROR(__xludf.DUMMYFUNCTION("""COMPUTED_VALUE"""),"DOT4450143")</f>
        <v>DOT4450143</v>
      </c>
      <c r="D823" s="582" t="str">
        <f ca="1">IFERROR(__xludf.DUMMYFUNCTION("""COMPUTED_VALUE"""),"Đồng ống thẳng 44.50x1.43")</f>
        <v>Đồng ống thẳng 44.50x1.43</v>
      </c>
      <c r="E823" s="583">
        <f ca="1">IFERROR(__xludf.DUMMYFUNCTION("""COMPUTED_VALUE"""),0.1)</f>
        <v>0.1</v>
      </c>
      <c r="F823" s="584" t="str">
        <f ca="1">IFERROR(__xludf.DUMMYFUNCTION("""COMPUTED_VALUE"""),"Cây")</f>
        <v>Cây</v>
      </c>
      <c r="G823" s="584" t="str">
        <f ca="1">IFERROR(__xludf.DUMMYFUNCTION("""COMPUTED_VALUE"""),"Cây 2.9m")</f>
        <v>Cây 2.9m</v>
      </c>
      <c r="H823" s="582"/>
      <c r="I823" s="585">
        <f ca="1">IFERROR(__xludf.DUMMYFUNCTION("""COMPUTED_VALUE"""),5.1761551842)</f>
        <v>5.1761551841999998</v>
      </c>
      <c r="J823" s="586" t="str">
        <f ca="1">IFERROR(__xludf.DUMMYFUNCTION("""COMPUTED_VALUE""")," 44.50 ")</f>
        <v xml:space="preserve"> 44.50 </v>
      </c>
      <c r="K823" s="584" t="str">
        <f ca="1">IFERROR(__xludf.DUMMYFUNCTION("""COMPUTED_VALUE"""),"1.43")</f>
        <v>1.43</v>
      </c>
      <c r="L823" s="584">
        <f ca="1">IFERROR(__xludf.DUMMYFUNCTION("""COMPUTED_VALUE"""),2.9)</f>
        <v>2.9</v>
      </c>
      <c r="M823" s="584"/>
      <c r="N823" s="584" t="str">
        <f ca="1">IFERROR(__xludf.DUMMYFUNCTION("""COMPUTED_VALUE"""),"Dị_D&lt;54")</f>
        <v>Dị_D&lt;54</v>
      </c>
      <c r="O823" s="583"/>
      <c r="P823" s="584"/>
    </row>
    <row r="824" spans="1:17" ht="15.75">
      <c r="A824" s="587" t="str">
        <f ca="1">IFERROR(__xludf.DUMMYFUNCTION("""COMPUTED_VALUE"""),"Toàn Phát - Việt Nam")</f>
        <v>Toàn Phát - Việt Nam</v>
      </c>
      <c r="B824" s="587" t="str">
        <f ca="1">IFERROR(__xludf.DUMMYFUNCTION("""COMPUTED_VALUE"""),"ĐTPCAYDI")</f>
        <v>ĐTPCAYDI</v>
      </c>
      <c r="C824" s="587" t="str">
        <f ca="1">IFERROR(__xludf.DUMMYFUNCTION("""COMPUTED_VALUE"""),"DOT445150")</f>
        <v>DOT445150</v>
      </c>
      <c r="D824" s="588" t="str">
        <f ca="1">IFERROR(__xludf.DUMMYFUNCTION("""COMPUTED_VALUE"""),"Đồng ống thẳng 44.5x1.50")</f>
        <v>Đồng ống thẳng 44.5x1.50</v>
      </c>
      <c r="E824" s="589">
        <f ca="1">IFERROR(__xludf.DUMMYFUNCTION("""COMPUTED_VALUE"""),0.1)</f>
        <v>0.1</v>
      </c>
      <c r="F824" s="590" t="str">
        <f ca="1">IFERROR(__xludf.DUMMYFUNCTION("""COMPUTED_VALUE"""),"Cây")</f>
        <v>Cây</v>
      </c>
      <c r="G824" s="590" t="str">
        <f ca="1">IFERROR(__xludf.DUMMYFUNCTION("""COMPUTED_VALUE"""),"Cây 2.9m")</f>
        <v>Cây 2.9m</v>
      </c>
      <c r="H824" s="588"/>
      <c r="I824" s="591">
        <f ca="1">IFERROR(__xludf.DUMMYFUNCTION("""COMPUTED_VALUE"""),5.42070899999999)</f>
        <v>5.4207089999999898</v>
      </c>
      <c r="J824" s="592" t="str">
        <f ca="1">IFERROR(__xludf.DUMMYFUNCTION("""COMPUTED_VALUE""")," 44.50 ")</f>
        <v xml:space="preserve"> 44.50 </v>
      </c>
      <c r="K824" s="590" t="str">
        <f ca="1">IFERROR(__xludf.DUMMYFUNCTION("""COMPUTED_VALUE"""),"1.50")</f>
        <v>1.50</v>
      </c>
      <c r="L824" s="590">
        <f ca="1">IFERROR(__xludf.DUMMYFUNCTION("""COMPUTED_VALUE"""),2.9)</f>
        <v>2.9</v>
      </c>
      <c r="M824" s="590"/>
      <c r="N824" s="590" t="str">
        <f ca="1">IFERROR(__xludf.DUMMYFUNCTION("""COMPUTED_VALUE"""),"Dị_D&lt;54")</f>
        <v>Dị_D&lt;54</v>
      </c>
      <c r="O824" s="589"/>
      <c r="P824" s="590"/>
    </row>
    <row r="825" spans="1:17" ht="15.75">
      <c r="A825" s="581" t="str">
        <f ca="1">IFERROR(__xludf.DUMMYFUNCTION("""COMPUTED_VALUE"""),"Toàn Phát - Việt Nam")</f>
        <v>Toàn Phát - Việt Nam</v>
      </c>
      <c r="B825" s="581" t="str">
        <f ca="1">IFERROR(__xludf.DUMMYFUNCTION("""COMPUTED_VALUE"""),"ĐTPCAYDI")</f>
        <v>ĐTPCAYDI</v>
      </c>
      <c r="C825" s="581" t="str">
        <f ca="1">IFERROR(__xludf.DUMMYFUNCTION("""COMPUTED_VALUE"""),"DOT44515058")</f>
        <v>DOT44515058</v>
      </c>
      <c r="D825" s="582" t="str">
        <f ca="1">IFERROR(__xludf.DUMMYFUNCTION("""COMPUTED_VALUE"""),"Đồng ống thẳng 44.5x1.5x5.8")</f>
        <v>Đồng ống thẳng 44.5x1.5x5.8</v>
      </c>
      <c r="E825" s="583">
        <f ca="1">IFERROR(__xludf.DUMMYFUNCTION("""COMPUTED_VALUE"""),0.1)</f>
        <v>0.1</v>
      </c>
      <c r="F825" s="584" t="str">
        <f ca="1">IFERROR(__xludf.DUMMYFUNCTION("""COMPUTED_VALUE"""),"Cây")</f>
        <v>Cây</v>
      </c>
      <c r="G825" s="584" t="str">
        <f ca="1">IFERROR(__xludf.DUMMYFUNCTION("""COMPUTED_VALUE"""),"Cây 5.8m")</f>
        <v>Cây 5.8m</v>
      </c>
      <c r="H825" s="582"/>
      <c r="I825" s="585">
        <f ca="1">IFERROR(__xludf.DUMMYFUNCTION("""COMPUTED_VALUE"""),10.8414179999999)</f>
        <v>10.8414179999999</v>
      </c>
      <c r="J825" s="586" t="str">
        <f ca="1">IFERROR(__xludf.DUMMYFUNCTION("""COMPUTED_VALUE""")," 44.50 ")</f>
        <v xml:space="preserve"> 44.50 </v>
      </c>
      <c r="K825" s="584" t="str">
        <f ca="1">IFERROR(__xludf.DUMMYFUNCTION("""COMPUTED_VALUE"""),"1.50")</f>
        <v>1.50</v>
      </c>
      <c r="L825" s="584">
        <f ca="1">IFERROR(__xludf.DUMMYFUNCTION("""COMPUTED_VALUE"""),5.8)</f>
        <v>5.8</v>
      </c>
      <c r="M825" s="584"/>
      <c r="N825" s="584" t="str">
        <f ca="1">IFERROR(__xludf.DUMMYFUNCTION("""COMPUTED_VALUE"""),"Dị_D&lt;54")</f>
        <v>Dị_D&lt;54</v>
      </c>
      <c r="O825" s="583"/>
      <c r="P825" s="584"/>
    </row>
    <row r="826" spans="1:17" ht="15.75">
      <c r="A826" s="587" t="str">
        <f ca="1">IFERROR(__xludf.DUMMYFUNCTION("""COMPUTED_VALUE"""),"Toàn Phát - Việt Nam")</f>
        <v>Toàn Phát - Việt Nam</v>
      </c>
      <c r="B826" s="587" t="str">
        <f ca="1">IFERROR(__xludf.DUMMYFUNCTION("""COMPUTED_VALUE"""),"ĐTPCAYDI")</f>
        <v>ĐTPCAYDI</v>
      </c>
      <c r="C826" s="587" t="str">
        <f ca="1">IFERROR(__xludf.DUMMYFUNCTION("""COMPUTED_VALUE"""),"DOT4450250")</f>
        <v>DOT4450250</v>
      </c>
      <c r="D826" s="588" t="str">
        <f ca="1">IFERROR(__xludf.DUMMYFUNCTION("""COMPUTED_VALUE"""),"Đồng ống thẳng 44.50x2.50")</f>
        <v>Đồng ống thẳng 44.50x2.50</v>
      </c>
      <c r="E826" s="589">
        <f ca="1">IFERROR(__xludf.DUMMYFUNCTION("""COMPUTED_VALUE"""),0.1)</f>
        <v>0.1</v>
      </c>
      <c r="F826" s="590" t="str">
        <f ca="1">IFERROR(__xludf.DUMMYFUNCTION("""COMPUTED_VALUE"""),"Cây")</f>
        <v>Cây</v>
      </c>
      <c r="G826" s="590" t="str">
        <f ca="1">IFERROR(__xludf.DUMMYFUNCTION("""COMPUTED_VALUE"""),"Cây 2.9m")</f>
        <v>Cây 2.9m</v>
      </c>
      <c r="H826" s="588"/>
      <c r="I826" s="591">
        <f ca="1">IFERROR(__xludf.DUMMYFUNCTION("""COMPUTED_VALUE"""),8.82440999999999)</f>
        <v>8.8244099999999897</v>
      </c>
      <c r="J826" s="592" t="str">
        <f ca="1">IFERROR(__xludf.DUMMYFUNCTION("""COMPUTED_VALUE""")," 44.50 ")</f>
        <v xml:space="preserve"> 44.50 </v>
      </c>
      <c r="K826" s="590" t="str">
        <f ca="1">IFERROR(__xludf.DUMMYFUNCTION("""COMPUTED_VALUE"""),"2.50")</f>
        <v>2.50</v>
      </c>
      <c r="L826" s="590">
        <f ca="1">IFERROR(__xludf.DUMMYFUNCTION("""COMPUTED_VALUE"""),2.9)</f>
        <v>2.9</v>
      </c>
      <c r="M826" s="590"/>
      <c r="N826" s="590" t="str">
        <f ca="1">IFERROR(__xludf.DUMMYFUNCTION("""COMPUTED_VALUE"""),"Dị_D&lt;54")</f>
        <v>Dị_D&lt;54</v>
      </c>
      <c r="O826" s="589"/>
      <c r="P826" s="590"/>
    </row>
    <row r="827" spans="1:17" ht="15.75">
      <c r="A827" s="581" t="str">
        <f ca="1">IFERROR(__xludf.DUMMYFUNCTION("""COMPUTED_VALUE"""),"Toàn Phát - Việt Nam")</f>
        <v>Toàn Phát - Việt Nam</v>
      </c>
      <c r="B827" s="581" t="str">
        <f ca="1">IFERROR(__xludf.DUMMYFUNCTION("""COMPUTED_VALUE"""),"ĐTPCAYDI")</f>
        <v>ĐTPCAYDI</v>
      </c>
      <c r="C827" s="581" t="str">
        <f ca="1">IFERROR(__xludf.DUMMYFUNCTION("""COMPUTED_VALUE"""),"DOT4515558")</f>
        <v>DOT4515558</v>
      </c>
      <c r="D827" s="582" t="str">
        <f ca="1">IFERROR(__xludf.DUMMYFUNCTION("""COMPUTED_VALUE"""),"Đồng ống thẳng 45x1.55x5.8")</f>
        <v>Đồng ống thẳng 45x1.55x5.8</v>
      </c>
      <c r="E827" s="583">
        <f ca="1">IFERROR(__xludf.DUMMYFUNCTION("""COMPUTED_VALUE"""),0.1)</f>
        <v>0.1</v>
      </c>
      <c r="F827" s="584" t="str">
        <f ca="1">IFERROR(__xludf.DUMMYFUNCTION("""COMPUTED_VALUE"""),"Cây")</f>
        <v>Cây</v>
      </c>
      <c r="G827" s="584" t="str">
        <f ca="1">IFERROR(__xludf.DUMMYFUNCTION("""COMPUTED_VALUE"""),"Cây 5.8m")</f>
        <v>Cây 5.8m</v>
      </c>
      <c r="H827" s="582"/>
      <c r="I827" s="585">
        <f ca="1">IFERROR(__xludf.DUMMYFUNCTION("""COMPUTED_VALUE"""),11.32003719)</f>
        <v>11.320037190000001</v>
      </c>
      <c r="J827" s="586" t="str">
        <f ca="1">IFERROR(__xludf.DUMMYFUNCTION("""COMPUTED_VALUE""")," 45.00 ")</f>
        <v xml:space="preserve"> 45.00 </v>
      </c>
      <c r="K827" s="584" t="str">
        <f ca="1">IFERROR(__xludf.DUMMYFUNCTION("""COMPUTED_VALUE"""),"1.55")</f>
        <v>1.55</v>
      </c>
      <c r="L827" s="584">
        <f ca="1">IFERROR(__xludf.DUMMYFUNCTION("""COMPUTED_VALUE"""),5.8)</f>
        <v>5.8</v>
      </c>
      <c r="M827" s="584"/>
      <c r="N827" s="584" t="str">
        <f ca="1">IFERROR(__xludf.DUMMYFUNCTION("""COMPUTED_VALUE"""),"Dị_D&lt;54")</f>
        <v>Dị_D&lt;54</v>
      </c>
      <c r="O827" s="583"/>
      <c r="P827" s="584"/>
    </row>
    <row r="828" spans="1:17" ht="15.75">
      <c r="A828" s="587" t="str">
        <f ca="1">IFERROR(__xludf.DUMMYFUNCTION("""COMPUTED_VALUE"""),"Toàn Phát - Việt Nam")</f>
        <v>Toàn Phát - Việt Nam</v>
      </c>
      <c r="B828" s="587" t="str">
        <f ca="1">IFERROR(__xludf.DUMMYFUNCTION("""COMPUTED_VALUE"""),"ĐTPCAYDI")</f>
        <v>ĐTPCAYDI</v>
      </c>
      <c r="C828" s="587" t="str">
        <f ca="1">IFERROR(__xludf.DUMMYFUNCTION("""COMPUTED_VALUE"""),"DOT5080211")</f>
        <v>DOT5080211</v>
      </c>
      <c r="D828" s="588" t="str">
        <f ca="1">IFERROR(__xludf.DUMMYFUNCTION("""COMPUTED_VALUE"""),"Đồng ống thẳng 50.80x2.11")</f>
        <v>Đồng ống thẳng 50.80x2.11</v>
      </c>
      <c r="E828" s="589">
        <f ca="1">IFERROR(__xludf.DUMMYFUNCTION("""COMPUTED_VALUE"""),0.1)</f>
        <v>0.1</v>
      </c>
      <c r="F828" s="590" t="str">
        <f ca="1">IFERROR(__xludf.DUMMYFUNCTION("""COMPUTED_VALUE"""),"Cây")</f>
        <v>Cây</v>
      </c>
      <c r="G828" s="590" t="str">
        <f ca="1">IFERROR(__xludf.DUMMYFUNCTION("""COMPUTED_VALUE"""),"Cây 2.9m")</f>
        <v>Cây 2.9m</v>
      </c>
      <c r="H828" s="588"/>
      <c r="I828" s="591">
        <f ca="1">IFERROR(__xludf.DUMMYFUNCTION("""COMPUTED_VALUE"""),8.63413050779999)</f>
        <v>8.6341305077999895</v>
      </c>
      <c r="J828" s="592" t="str">
        <f ca="1">IFERROR(__xludf.DUMMYFUNCTION("""COMPUTED_VALUE""")," 50.80 ")</f>
        <v xml:space="preserve"> 50.80 </v>
      </c>
      <c r="K828" s="590" t="str">
        <f ca="1">IFERROR(__xludf.DUMMYFUNCTION("""COMPUTED_VALUE"""),"2.11")</f>
        <v>2.11</v>
      </c>
      <c r="L828" s="590">
        <f ca="1">IFERROR(__xludf.DUMMYFUNCTION("""COMPUTED_VALUE"""),2.9)</f>
        <v>2.9</v>
      </c>
      <c r="M828" s="590"/>
      <c r="N828" s="590" t="str">
        <f ca="1">IFERROR(__xludf.DUMMYFUNCTION("""COMPUTED_VALUE"""),"Dị_D&lt;54")</f>
        <v>Dị_D&lt;54</v>
      </c>
      <c r="O828" s="589"/>
      <c r="P828" s="590"/>
    </row>
    <row r="829" spans="1:17" ht="15.75">
      <c r="A829" s="581" t="str">
        <f ca="1">IFERROR(__xludf.DUMMYFUNCTION("""COMPUTED_VALUE"""),"Toàn Phát - Việt Nam")</f>
        <v>Toàn Phát - Việt Nam</v>
      </c>
      <c r="B829" s="581" t="str">
        <f ca="1">IFERROR(__xludf.DUMMYFUNCTION("""COMPUTED_VALUE"""),"ĐTPCAYDI")</f>
        <v>ĐTPCAYDI</v>
      </c>
      <c r="C829" s="581" t="str">
        <f ca="1">IFERROR(__xludf.DUMMYFUNCTION("""COMPUTED_VALUE"""),"DOT5393095")</f>
        <v>DOT5393095</v>
      </c>
      <c r="D829" s="582" t="str">
        <f ca="1">IFERROR(__xludf.DUMMYFUNCTION("""COMPUTED_VALUE"""),"Đồng ống thẳng 53.93x0.95")</f>
        <v>Đồng ống thẳng 53.93x0.95</v>
      </c>
      <c r="E829" s="583">
        <f ca="1">IFERROR(__xludf.DUMMYFUNCTION("""COMPUTED_VALUE"""),0.1)</f>
        <v>0.1</v>
      </c>
      <c r="F829" s="584" t="str">
        <f ca="1">IFERROR(__xludf.DUMMYFUNCTION("""COMPUTED_VALUE"""),"Cây")</f>
        <v>Cây</v>
      </c>
      <c r="G829" s="584" t="str">
        <f ca="1">IFERROR(__xludf.DUMMYFUNCTION("""COMPUTED_VALUE"""),"Cây 2.9m")</f>
        <v>Cây 2.9m</v>
      </c>
      <c r="H829" s="582" t="str">
        <f ca="1">IFERROR(__xludf.DUMMYFUNCTION("""COMPUTED_VALUE"""),"4")</f>
        <v>4</v>
      </c>
      <c r="I829" s="585">
        <f ca="1">IFERROR(__xludf.DUMMYFUNCTION("""COMPUTED_VALUE"""),4.22991790199999)</f>
        <v>4.2299179019999897</v>
      </c>
      <c r="J829" s="586" t="str">
        <f ca="1">IFERROR(__xludf.DUMMYFUNCTION("""COMPUTED_VALUE""")," 53.93 ")</f>
        <v xml:space="preserve"> 53.93 </v>
      </c>
      <c r="K829" s="584" t="str">
        <f ca="1">IFERROR(__xludf.DUMMYFUNCTION("""COMPUTED_VALUE"""),"0.95")</f>
        <v>0.95</v>
      </c>
      <c r="L829" s="584">
        <f ca="1">IFERROR(__xludf.DUMMYFUNCTION("""COMPUTED_VALUE"""),2.9)</f>
        <v>2.9</v>
      </c>
      <c r="M829" s="584"/>
      <c r="N829" s="584" t="str">
        <f ca="1">IFERROR(__xludf.DUMMYFUNCTION("""COMPUTED_VALUE"""),"Dị_D54")</f>
        <v>Dị_D54</v>
      </c>
      <c r="O829" s="583"/>
      <c r="P829" s="584"/>
    </row>
    <row r="830" spans="1:17" ht="15.75">
      <c r="A830" s="587" t="str">
        <f ca="1">IFERROR(__xludf.DUMMYFUNCTION("""COMPUTED_VALUE"""),"Toàn Phát - Việt Nam")</f>
        <v>Toàn Phát - Việt Nam</v>
      </c>
      <c r="B830" s="587" t="str">
        <f ca="1">IFERROR(__xludf.DUMMYFUNCTION("""COMPUTED_VALUE"""),"ĐTPCAYDI")</f>
        <v>ĐTPCAYDI</v>
      </c>
      <c r="C830" s="587" t="str">
        <f ca="1">IFERROR(__xludf.DUMMYFUNCTION("""COMPUTED_VALUE"""),"DOT5393115")</f>
        <v>DOT5393115</v>
      </c>
      <c r="D830" s="588" t="str">
        <f ca="1">IFERROR(__xludf.DUMMYFUNCTION("""COMPUTED_VALUE"""),"Đồng ống thẳng 53.93x1.15")</f>
        <v>Đồng ống thẳng 53.93x1.15</v>
      </c>
      <c r="E830" s="589">
        <f ca="1">IFERROR(__xludf.DUMMYFUNCTION("""COMPUTED_VALUE"""),0.1)</f>
        <v>0.1</v>
      </c>
      <c r="F830" s="590" t="str">
        <f ca="1">IFERROR(__xludf.DUMMYFUNCTION("""COMPUTED_VALUE"""),"Cây")</f>
        <v>Cây</v>
      </c>
      <c r="G830" s="590" t="str">
        <f ca="1">IFERROR(__xludf.DUMMYFUNCTION("""COMPUTED_VALUE"""),"Cây 2.9m")</f>
        <v>Cây 2.9m</v>
      </c>
      <c r="H830" s="588" t="str">
        <f ca="1">IFERROR(__xludf.DUMMYFUNCTION("""COMPUTED_VALUE"""),"4")</f>
        <v>4</v>
      </c>
      <c r="I830" s="591">
        <f ca="1">IFERROR(__xludf.DUMMYFUNCTION("""COMPUTED_VALUE"""),5.10109727399999)</f>
        <v>5.10109727399999</v>
      </c>
      <c r="J830" s="592" t="str">
        <f ca="1">IFERROR(__xludf.DUMMYFUNCTION("""COMPUTED_VALUE""")," 53.93 ")</f>
        <v xml:space="preserve"> 53.93 </v>
      </c>
      <c r="K830" s="590" t="str">
        <f ca="1">IFERROR(__xludf.DUMMYFUNCTION("""COMPUTED_VALUE"""),"1.15")</f>
        <v>1.15</v>
      </c>
      <c r="L830" s="590">
        <f ca="1">IFERROR(__xludf.DUMMYFUNCTION("""COMPUTED_VALUE"""),2.9)</f>
        <v>2.9</v>
      </c>
      <c r="M830" s="590"/>
      <c r="N830" s="590" t="str">
        <f ca="1">IFERROR(__xludf.DUMMYFUNCTION("""COMPUTED_VALUE"""),"Dị_D54")</f>
        <v>Dị_D54</v>
      </c>
      <c r="O830" s="589"/>
      <c r="P830" s="590"/>
    </row>
    <row r="831" spans="1:17" ht="15.75">
      <c r="A831" s="581" t="str">
        <f ca="1">IFERROR(__xludf.DUMMYFUNCTION("""COMPUTED_VALUE"""),"Toàn Phát - Việt Nam")</f>
        <v>Toàn Phát - Việt Nam</v>
      </c>
      <c r="B831" s="581" t="str">
        <f ca="1">IFERROR(__xludf.DUMMYFUNCTION("""COMPUTED_VALUE"""),"ĐTPCAYDI")</f>
        <v>ĐTPCAYDI</v>
      </c>
      <c r="C831" s="581" t="str">
        <f ca="1">IFERROR(__xludf.DUMMYFUNCTION("""COMPUTED_VALUE"""),"DOT5398211")</f>
        <v>DOT5398211</v>
      </c>
      <c r="D831" s="582" t="str">
        <f ca="1">IFERROR(__xludf.DUMMYFUNCTION("""COMPUTED_VALUE"""),"Đồng ống thẳng 53.98x2.11")</f>
        <v>Đồng ống thẳng 53.98x2.11</v>
      </c>
      <c r="E831" s="583">
        <f ca="1">IFERROR(__xludf.DUMMYFUNCTION("""COMPUTED_VALUE"""),0.1)</f>
        <v>0.1</v>
      </c>
      <c r="F831" s="584" t="str">
        <f ca="1">IFERROR(__xludf.DUMMYFUNCTION("""COMPUTED_VALUE"""),"Cây")</f>
        <v>Cây</v>
      </c>
      <c r="G831" s="584" t="str">
        <f ca="1">IFERROR(__xludf.DUMMYFUNCTION("""COMPUTED_VALUE"""),"Cây 2.9m")</f>
        <v>Cây 2.9m</v>
      </c>
      <c r="H831" s="582" t="str">
        <f ca="1">IFERROR(__xludf.DUMMYFUNCTION("""COMPUTED_VALUE"""),"4")</f>
        <v>4</v>
      </c>
      <c r="I831" s="585">
        <f ca="1">IFERROR(__xludf.DUMMYFUNCTION("""COMPUTED_VALUE"""),9.1980355194)</f>
        <v>9.1980355193999994</v>
      </c>
      <c r="J831" s="586" t="str">
        <f ca="1">IFERROR(__xludf.DUMMYFUNCTION("""COMPUTED_VALUE""")," 53.98 ")</f>
        <v xml:space="preserve"> 53.98 </v>
      </c>
      <c r="K831" s="584" t="str">
        <f ca="1">IFERROR(__xludf.DUMMYFUNCTION("""COMPUTED_VALUE"""),"2.11")</f>
        <v>2.11</v>
      </c>
      <c r="L831" s="584">
        <f ca="1">IFERROR(__xludf.DUMMYFUNCTION("""COMPUTED_VALUE"""),2.9)</f>
        <v>2.9</v>
      </c>
      <c r="M831" s="584"/>
      <c r="N831" s="584" t="str">
        <f ca="1">IFERROR(__xludf.DUMMYFUNCTION("""COMPUTED_VALUE"""),"Dị_D54")</f>
        <v>Dị_D54</v>
      </c>
      <c r="O831" s="583"/>
      <c r="P831" s="584"/>
    </row>
    <row r="832" spans="1:17" ht="15.75">
      <c r="A832" s="587" t="str">
        <f ca="1">IFERROR(__xludf.DUMMYFUNCTION("""COMPUTED_VALUE"""),"Toàn Phát - Việt Nam")</f>
        <v>Toàn Phát - Việt Nam</v>
      </c>
      <c r="B832" s="587" t="str">
        <f ca="1">IFERROR(__xludf.DUMMYFUNCTION("""COMPUTED_VALUE"""),"ĐTPCAYDI")</f>
        <v>ĐTPCAYDI</v>
      </c>
      <c r="C832" s="587" t="str">
        <f ca="1">IFERROR(__xludf.DUMMYFUNCTION("""COMPUTED_VALUE"""),"DOT5398090")</f>
        <v>DOT5398090</v>
      </c>
      <c r="D832" s="588" t="str">
        <f ca="1">IFERROR(__xludf.DUMMYFUNCTION("""COMPUTED_VALUE"""),"Đồng ống thẳng 53.98x0.90")</f>
        <v>Đồng ống thẳng 53.98x0.90</v>
      </c>
      <c r="E832" s="589">
        <f ca="1">IFERROR(__xludf.DUMMYFUNCTION("""COMPUTED_VALUE"""),0.1)</f>
        <v>0.1</v>
      </c>
      <c r="F832" s="590" t="str">
        <f ca="1">IFERROR(__xludf.DUMMYFUNCTION("""COMPUTED_VALUE"""),"Cây")</f>
        <v>Cây</v>
      </c>
      <c r="G832" s="590" t="str">
        <f ca="1">IFERROR(__xludf.DUMMYFUNCTION("""COMPUTED_VALUE"""),"Cây 2.9m")</f>
        <v>Cây 2.9m</v>
      </c>
      <c r="H832" s="588" t="str">
        <f ca="1">IFERROR(__xludf.DUMMYFUNCTION("""COMPUTED_VALUE"""),"4")</f>
        <v>4</v>
      </c>
      <c r="I832" s="591">
        <f ca="1">IFERROR(__xludf.DUMMYFUNCTION("""COMPUTED_VALUE"""),4.01485442399999)</f>
        <v>4.0148544239999904</v>
      </c>
      <c r="J832" s="592" t="str">
        <f ca="1">IFERROR(__xludf.DUMMYFUNCTION("""COMPUTED_VALUE""")," 53.98 ")</f>
        <v xml:space="preserve"> 53.98 </v>
      </c>
      <c r="K832" s="590" t="str">
        <f ca="1">IFERROR(__xludf.DUMMYFUNCTION("""COMPUTED_VALUE"""),"0.90")</f>
        <v>0.90</v>
      </c>
      <c r="L832" s="590">
        <f ca="1">IFERROR(__xludf.DUMMYFUNCTION("""COMPUTED_VALUE"""),2.9)</f>
        <v>2.9</v>
      </c>
      <c r="M832" s="590"/>
      <c r="N832" s="590" t="str">
        <f ca="1">IFERROR(__xludf.DUMMYFUNCTION("""COMPUTED_VALUE"""),"Dị_D54")</f>
        <v>Dị_D54</v>
      </c>
      <c r="O832" s="589"/>
      <c r="P832" s="590"/>
    </row>
    <row r="833" spans="1:16" ht="15.75">
      <c r="A833" s="581" t="str">
        <f ca="1">IFERROR(__xludf.DUMMYFUNCTION("""COMPUTED_VALUE"""),"Toàn Phát - Việt Nam")</f>
        <v>Toàn Phát - Việt Nam</v>
      </c>
      <c r="B833" s="581" t="str">
        <f ca="1">IFERROR(__xludf.DUMMYFUNCTION("""COMPUTED_VALUE"""),"ĐTPCAYDI")</f>
        <v>ĐTPCAYDI</v>
      </c>
      <c r="C833" s="581" t="str">
        <f ca="1">IFERROR(__xludf.DUMMYFUNCTION("""COMPUTED_VALUE"""),"DOT5398095")</f>
        <v>DOT5398095</v>
      </c>
      <c r="D833" s="582" t="str">
        <f ca="1">IFERROR(__xludf.DUMMYFUNCTION("""COMPUTED_VALUE"""),"Đồng ống thẳng 53.98x0.95")</f>
        <v>Đồng ống thẳng 53.98x0.95</v>
      </c>
      <c r="E833" s="583">
        <f ca="1">IFERROR(__xludf.DUMMYFUNCTION("""COMPUTED_VALUE"""),0.1)</f>
        <v>0.1</v>
      </c>
      <c r="F833" s="584" t="str">
        <f ca="1">IFERROR(__xludf.DUMMYFUNCTION("""COMPUTED_VALUE"""),"Cây")</f>
        <v>Cây</v>
      </c>
      <c r="G833" s="584" t="str">
        <f ca="1">IFERROR(__xludf.DUMMYFUNCTION("""COMPUTED_VALUE"""),"Cây 2.9m")</f>
        <v>Cây 2.9m</v>
      </c>
      <c r="H833" s="582" t="str">
        <f ca="1">IFERROR(__xludf.DUMMYFUNCTION("""COMPUTED_VALUE"""),"4")</f>
        <v>4</v>
      </c>
      <c r="I833" s="585">
        <f ca="1">IFERROR(__xludf.DUMMYFUNCTION("""COMPUTED_VALUE"""),4.23390989699999)</f>
        <v>4.2339098969999904</v>
      </c>
      <c r="J833" s="586" t="str">
        <f ca="1">IFERROR(__xludf.DUMMYFUNCTION("""COMPUTED_VALUE""")," 53.98 ")</f>
        <v xml:space="preserve"> 53.98 </v>
      </c>
      <c r="K833" s="584" t="str">
        <f ca="1">IFERROR(__xludf.DUMMYFUNCTION("""COMPUTED_VALUE"""),"0.95")</f>
        <v>0.95</v>
      </c>
      <c r="L833" s="584">
        <f ca="1">IFERROR(__xludf.DUMMYFUNCTION("""COMPUTED_VALUE"""),2.9)</f>
        <v>2.9</v>
      </c>
      <c r="M833" s="584"/>
      <c r="N833" s="584" t="str">
        <f ca="1">IFERROR(__xludf.DUMMYFUNCTION("""COMPUTED_VALUE"""),"Dị_D54")</f>
        <v>Dị_D54</v>
      </c>
      <c r="O833" s="583"/>
      <c r="P833" s="584"/>
    </row>
    <row r="834" spans="1:16" ht="15.75">
      <c r="A834" s="587" t="str">
        <f ca="1">IFERROR(__xludf.DUMMYFUNCTION("""COMPUTED_VALUE"""),"Toàn Phát - Việt Nam")</f>
        <v>Toàn Phát - Việt Nam</v>
      </c>
      <c r="B834" s="587" t="str">
        <f ca="1">IFERROR(__xludf.DUMMYFUNCTION("""COMPUTED_VALUE"""),"ĐTPCAYDI")</f>
        <v>ĐTPCAYDI</v>
      </c>
      <c r="C834" s="587" t="str">
        <f ca="1">IFERROR(__xludf.DUMMYFUNCTION("""COMPUTED_VALUE"""),"DOT5398100")</f>
        <v>DOT5398100</v>
      </c>
      <c r="D834" s="588" t="str">
        <f ca="1">IFERROR(__xludf.DUMMYFUNCTION("""COMPUTED_VALUE"""),"Đồng ống thẳng 53.98x1.00")</f>
        <v>Đồng ống thẳng 53.98x1.00</v>
      </c>
      <c r="E834" s="589">
        <f ca="1">IFERROR(__xludf.DUMMYFUNCTION("""COMPUTED_VALUE"""),0.1)</f>
        <v>0.1</v>
      </c>
      <c r="F834" s="590" t="str">
        <f ca="1">IFERROR(__xludf.DUMMYFUNCTION("""COMPUTED_VALUE"""),"Cây")</f>
        <v>Cây</v>
      </c>
      <c r="G834" s="590" t="str">
        <f ca="1">IFERROR(__xludf.DUMMYFUNCTION("""COMPUTED_VALUE"""),"Cây 2.9m")</f>
        <v>Cây 2.9m</v>
      </c>
      <c r="H834" s="588" t="str">
        <f ca="1">IFERROR(__xludf.DUMMYFUNCTION("""COMPUTED_VALUE"""),"4")</f>
        <v>4</v>
      </c>
      <c r="I834" s="591">
        <f ca="1">IFERROR(__xludf.DUMMYFUNCTION("""COMPUTED_VALUE"""),4.45254516)</f>
        <v>4.4525451599999997</v>
      </c>
      <c r="J834" s="592" t="str">
        <f ca="1">IFERROR(__xludf.DUMMYFUNCTION("""COMPUTED_VALUE""")," 53.98 ")</f>
        <v xml:space="preserve"> 53.98 </v>
      </c>
      <c r="K834" s="590" t="str">
        <f ca="1">IFERROR(__xludf.DUMMYFUNCTION("""COMPUTED_VALUE"""),"1.00")</f>
        <v>1.00</v>
      </c>
      <c r="L834" s="590">
        <f ca="1">IFERROR(__xludf.DUMMYFUNCTION("""COMPUTED_VALUE"""),2.9)</f>
        <v>2.9</v>
      </c>
      <c r="M834" s="590"/>
      <c r="N834" s="590" t="str">
        <f ca="1">IFERROR(__xludf.DUMMYFUNCTION("""COMPUTED_VALUE"""),"Dị_D54")</f>
        <v>Dị_D54</v>
      </c>
      <c r="O834" s="589"/>
      <c r="P834" s="590"/>
    </row>
    <row r="835" spans="1:16" ht="15.75">
      <c r="A835" s="581" t="str">
        <f ca="1">IFERROR(__xludf.DUMMYFUNCTION("""COMPUTED_VALUE"""),"Toàn Phát - Việt Nam")</f>
        <v>Toàn Phát - Việt Nam</v>
      </c>
      <c r="B835" s="581" t="str">
        <f ca="1">IFERROR(__xludf.DUMMYFUNCTION("""COMPUTED_VALUE"""),"ĐTPCAYDI")</f>
        <v>ĐTPCAYDI</v>
      </c>
      <c r="C835" s="581" t="str">
        <f ca="1">IFERROR(__xludf.DUMMYFUNCTION("""COMPUTED_VALUE"""),"DOT5398115")</f>
        <v>DOT5398115</v>
      </c>
      <c r="D835" s="582" t="str">
        <f ca="1">IFERROR(__xludf.DUMMYFUNCTION("""COMPUTED_VALUE"""),"Đồng ống thẳng 53.98x1.15")</f>
        <v>Đồng ống thẳng 53.98x1.15</v>
      </c>
      <c r="E835" s="583">
        <f ca="1">IFERROR(__xludf.DUMMYFUNCTION("""COMPUTED_VALUE"""),0.1)</f>
        <v>0.1</v>
      </c>
      <c r="F835" s="584" t="str">
        <f ca="1">IFERROR(__xludf.DUMMYFUNCTION("""COMPUTED_VALUE"""),"Cây")</f>
        <v>Cây</v>
      </c>
      <c r="G835" s="584" t="str">
        <f ca="1">IFERROR(__xludf.DUMMYFUNCTION("""COMPUTED_VALUE"""),"Cây 2.9m")</f>
        <v>Cây 2.9m</v>
      </c>
      <c r="H835" s="582" t="str">
        <f ca="1">IFERROR(__xludf.DUMMYFUNCTION("""COMPUTED_VALUE"""),"4")</f>
        <v>4</v>
      </c>
      <c r="I835" s="585">
        <f ca="1">IFERROR(__xludf.DUMMYFUNCTION("""COMPUTED_VALUE"""),5.10592968899999)</f>
        <v>5.1059296889999901</v>
      </c>
      <c r="J835" s="586" t="str">
        <f ca="1">IFERROR(__xludf.DUMMYFUNCTION("""COMPUTED_VALUE""")," 53.98 ")</f>
        <v xml:space="preserve"> 53.98 </v>
      </c>
      <c r="K835" s="584" t="str">
        <f ca="1">IFERROR(__xludf.DUMMYFUNCTION("""COMPUTED_VALUE"""),"1.15")</f>
        <v>1.15</v>
      </c>
      <c r="L835" s="584">
        <f ca="1">IFERROR(__xludf.DUMMYFUNCTION("""COMPUTED_VALUE"""),2.9)</f>
        <v>2.9</v>
      </c>
      <c r="M835" s="584"/>
      <c r="N835" s="584" t="str">
        <f ca="1">IFERROR(__xludf.DUMMYFUNCTION("""COMPUTED_VALUE"""),"Dị_D54")</f>
        <v>Dị_D54</v>
      </c>
      <c r="O835" s="583"/>
      <c r="P835" s="584"/>
    </row>
    <row r="836" spans="1:16" ht="15.75">
      <c r="A836" s="587" t="str">
        <f ca="1">IFERROR(__xludf.DUMMYFUNCTION("""COMPUTED_VALUE"""),"Toàn Phát - Việt Nam")</f>
        <v>Toàn Phát - Việt Nam</v>
      </c>
      <c r="B836" s="587" t="str">
        <f ca="1">IFERROR(__xludf.DUMMYFUNCTION("""COMPUTED_VALUE"""),"ĐTPCAYDI")</f>
        <v>ĐTPCAYDI</v>
      </c>
      <c r="C836" s="587" t="str">
        <f ca="1">IFERROR(__xludf.DUMMYFUNCTION("""COMPUTED_VALUE"""),"DOT5398120")</f>
        <v>DOT5398120</v>
      </c>
      <c r="D836" s="588" t="str">
        <f ca="1">IFERROR(__xludf.DUMMYFUNCTION("""COMPUTED_VALUE"""),"Đồng ống thẳng 53.98x1.20")</f>
        <v>Đồng ống thẳng 53.98x1.20</v>
      </c>
      <c r="E836" s="589">
        <f ca="1">IFERROR(__xludf.DUMMYFUNCTION("""COMPUTED_VALUE"""),0.1)</f>
        <v>0.1</v>
      </c>
      <c r="F836" s="590" t="str">
        <f ca="1">IFERROR(__xludf.DUMMYFUNCTION("""COMPUTED_VALUE"""),"Cây")</f>
        <v>Cây</v>
      </c>
      <c r="G836" s="590" t="str">
        <f ca="1">IFERROR(__xludf.DUMMYFUNCTION("""COMPUTED_VALUE"""),"Cây 2.9m")</f>
        <v>Cây 2.9m</v>
      </c>
      <c r="H836" s="588" t="str">
        <f ca="1">IFERROR(__xludf.DUMMYFUNCTION("""COMPUTED_VALUE"""),"4")</f>
        <v>4</v>
      </c>
      <c r="I836" s="591">
        <f ca="1">IFERROR(__xludf.DUMMYFUNCTION("""COMPUTED_VALUE"""),5.32288411199999)</f>
        <v>5.3228841119999899</v>
      </c>
      <c r="J836" s="592" t="str">
        <f ca="1">IFERROR(__xludf.DUMMYFUNCTION("""COMPUTED_VALUE""")," 53.98 ")</f>
        <v xml:space="preserve"> 53.98 </v>
      </c>
      <c r="K836" s="590" t="str">
        <f ca="1">IFERROR(__xludf.DUMMYFUNCTION("""COMPUTED_VALUE"""),"1.20")</f>
        <v>1.20</v>
      </c>
      <c r="L836" s="590">
        <f ca="1">IFERROR(__xludf.DUMMYFUNCTION("""COMPUTED_VALUE"""),2.9)</f>
        <v>2.9</v>
      </c>
      <c r="M836" s="590"/>
      <c r="N836" s="590" t="str">
        <f ca="1">IFERROR(__xludf.DUMMYFUNCTION("""COMPUTED_VALUE"""),"Dị_D54")</f>
        <v>Dị_D54</v>
      </c>
      <c r="O836" s="589"/>
      <c r="P836" s="590"/>
    </row>
    <row r="837" spans="1:16" ht="15.75">
      <c r="A837" s="581" t="str">
        <f ca="1">IFERROR(__xludf.DUMMYFUNCTION("""COMPUTED_VALUE"""),"Toàn Phát - Việt Nam")</f>
        <v>Toàn Phát - Việt Nam</v>
      </c>
      <c r="B837" s="581" t="str">
        <f ca="1">IFERROR(__xludf.DUMMYFUNCTION("""COMPUTED_VALUE"""),"ĐTPCAYDI")</f>
        <v>ĐTPCAYDI</v>
      </c>
      <c r="C837" s="581" t="str">
        <f ca="1">IFERROR(__xludf.DUMMYFUNCTION("""COMPUTED_VALUE"""),"DOT5398125")</f>
        <v>DOT5398125</v>
      </c>
      <c r="D837" s="582" t="str">
        <f ca="1">IFERROR(__xludf.DUMMYFUNCTION("""COMPUTED_VALUE"""),"Đồng ống thẳng 53.98x1.25")</f>
        <v>Đồng ống thẳng 53.98x1.25</v>
      </c>
      <c r="E837" s="583">
        <f ca="1">IFERROR(__xludf.DUMMYFUNCTION("""COMPUTED_VALUE"""),0.1)</f>
        <v>0.1</v>
      </c>
      <c r="F837" s="584" t="str">
        <f ca="1">IFERROR(__xludf.DUMMYFUNCTION("""COMPUTED_VALUE"""),"Cây")</f>
        <v>Cây</v>
      </c>
      <c r="G837" s="584" t="str">
        <f ca="1">IFERROR(__xludf.DUMMYFUNCTION("""COMPUTED_VALUE"""),"Cây 2.9m")</f>
        <v>Cây 2.9m</v>
      </c>
      <c r="H837" s="582" t="str">
        <f ca="1">IFERROR(__xludf.DUMMYFUNCTION("""COMPUTED_VALUE"""),"4")</f>
        <v>4</v>
      </c>
      <c r="I837" s="585">
        <f ca="1">IFERROR(__xludf.DUMMYFUNCTION("""COMPUTED_VALUE"""),5.53941832499999)</f>
        <v>5.53941832499999</v>
      </c>
      <c r="J837" s="586" t="str">
        <f ca="1">IFERROR(__xludf.DUMMYFUNCTION("""COMPUTED_VALUE""")," 53.98 ")</f>
        <v xml:space="preserve"> 53.98 </v>
      </c>
      <c r="K837" s="584" t="str">
        <f ca="1">IFERROR(__xludf.DUMMYFUNCTION("""COMPUTED_VALUE"""),"1.25")</f>
        <v>1.25</v>
      </c>
      <c r="L837" s="584">
        <f ca="1">IFERROR(__xludf.DUMMYFUNCTION("""COMPUTED_VALUE"""),2.9)</f>
        <v>2.9</v>
      </c>
      <c r="M837" s="584"/>
      <c r="N837" s="584" t="str">
        <f ca="1">IFERROR(__xludf.DUMMYFUNCTION("""COMPUTED_VALUE"""),"Dị_D54")</f>
        <v>Dị_D54</v>
      </c>
      <c r="O837" s="583"/>
      <c r="P837" s="584"/>
    </row>
    <row r="838" spans="1:16" ht="15.75">
      <c r="A838" s="587" t="str">
        <f ca="1">IFERROR(__xludf.DUMMYFUNCTION("""COMPUTED_VALUE"""),"Toàn Phát - Việt Nam")</f>
        <v>Toàn Phát - Việt Nam</v>
      </c>
      <c r="B838" s="587" t="str">
        <f ca="1">IFERROR(__xludf.DUMMYFUNCTION("""COMPUTED_VALUE"""),"ĐTPCAYDI")</f>
        <v>ĐTPCAYDI</v>
      </c>
      <c r="C838" s="587" t="str">
        <f ca="1">IFERROR(__xludf.DUMMYFUNCTION("""COMPUTED_VALUE"""),"DOT5398130")</f>
        <v>DOT5398130</v>
      </c>
      <c r="D838" s="588" t="str">
        <f ca="1">IFERROR(__xludf.DUMMYFUNCTION("""COMPUTED_VALUE"""),"Đồng ống thẳng 53.98x1.30")</f>
        <v>Đồng ống thẳng 53.98x1.30</v>
      </c>
      <c r="E838" s="589">
        <f ca="1">IFERROR(__xludf.DUMMYFUNCTION("""COMPUTED_VALUE"""),0.1)</f>
        <v>0.1</v>
      </c>
      <c r="F838" s="590" t="str">
        <f ca="1">IFERROR(__xludf.DUMMYFUNCTION("""COMPUTED_VALUE"""),"Cây")</f>
        <v>Cây</v>
      </c>
      <c r="G838" s="590" t="str">
        <f ca="1">IFERROR(__xludf.DUMMYFUNCTION("""COMPUTED_VALUE"""),"Cây 2.9m")</f>
        <v>Cây 2.9m</v>
      </c>
      <c r="H838" s="588" t="str">
        <f ca="1">IFERROR(__xludf.DUMMYFUNCTION("""COMPUTED_VALUE"""),"4")</f>
        <v>4</v>
      </c>
      <c r="I838" s="591">
        <f ca="1">IFERROR(__xludf.DUMMYFUNCTION("""COMPUTED_VALUE"""),5.755532328)</f>
        <v>5.7555323280000001</v>
      </c>
      <c r="J838" s="592" t="str">
        <f ca="1">IFERROR(__xludf.DUMMYFUNCTION("""COMPUTED_VALUE""")," 53.98 ")</f>
        <v xml:space="preserve"> 53.98 </v>
      </c>
      <c r="K838" s="590" t="str">
        <f ca="1">IFERROR(__xludf.DUMMYFUNCTION("""COMPUTED_VALUE"""),"1.30")</f>
        <v>1.30</v>
      </c>
      <c r="L838" s="590">
        <f ca="1">IFERROR(__xludf.DUMMYFUNCTION("""COMPUTED_VALUE"""),2.9)</f>
        <v>2.9</v>
      </c>
      <c r="M838" s="590"/>
      <c r="N838" s="590" t="str">
        <f ca="1">IFERROR(__xludf.DUMMYFUNCTION("""COMPUTED_VALUE"""),"Dị_D54")</f>
        <v>Dị_D54</v>
      </c>
      <c r="O838" s="589"/>
      <c r="P838" s="590"/>
    </row>
    <row r="839" spans="1:16" ht="15.75">
      <c r="A839" s="581" t="str">
        <f ca="1">IFERROR(__xludf.DUMMYFUNCTION("""COMPUTED_VALUE"""),"Toàn Phát - Việt Nam")</f>
        <v>Toàn Phát - Việt Nam</v>
      </c>
      <c r="B839" s="581" t="str">
        <f ca="1">IFERROR(__xludf.DUMMYFUNCTION("""COMPUTED_VALUE"""),"ĐTPCAYDI")</f>
        <v>ĐTPCAYDI</v>
      </c>
      <c r="C839" s="581" t="str">
        <f ca="1">IFERROR(__xludf.DUMMYFUNCTION("""COMPUTED_VALUE"""),"DOT5398135")</f>
        <v>DOT5398135</v>
      </c>
      <c r="D839" s="582" t="str">
        <f ca="1">IFERROR(__xludf.DUMMYFUNCTION("""COMPUTED_VALUE"""),"Đồng ống thẳng 53.98x1.35")</f>
        <v>Đồng ống thẳng 53.98x1.35</v>
      </c>
      <c r="E839" s="583">
        <f ca="1">IFERROR(__xludf.DUMMYFUNCTION("""COMPUTED_VALUE"""),0.1)</f>
        <v>0.1</v>
      </c>
      <c r="F839" s="584" t="str">
        <f ca="1">IFERROR(__xludf.DUMMYFUNCTION("""COMPUTED_VALUE"""),"Cây")</f>
        <v>Cây</v>
      </c>
      <c r="G839" s="584" t="str">
        <f ca="1">IFERROR(__xludf.DUMMYFUNCTION("""COMPUTED_VALUE"""),"Cây 2.9m")</f>
        <v>Cây 2.9m</v>
      </c>
      <c r="H839" s="582" t="str">
        <f ca="1">IFERROR(__xludf.DUMMYFUNCTION("""COMPUTED_VALUE"""),"4")</f>
        <v>4</v>
      </c>
      <c r="I839" s="585">
        <f ca="1">IFERROR(__xludf.DUMMYFUNCTION("""COMPUTED_VALUE"""),5.971226121)</f>
        <v>5.9712261209999999</v>
      </c>
      <c r="J839" s="586" t="str">
        <f ca="1">IFERROR(__xludf.DUMMYFUNCTION("""COMPUTED_VALUE""")," 53.98 ")</f>
        <v xml:space="preserve"> 53.98 </v>
      </c>
      <c r="K839" s="584" t="str">
        <f ca="1">IFERROR(__xludf.DUMMYFUNCTION("""COMPUTED_VALUE"""),"1.35")</f>
        <v>1.35</v>
      </c>
      <c r="L839" s="584">
        <f ca="1">IFERROR(__xludf.DUMMYFUNCTION("""COMPUTED_VALUE"""),2.9)</f>
        <v>2.9</v>
      </c>
      <c r="M839" s="584"/>
      <c r="N839" s="584" t="str">
        <f ca="1">IFERROR(__xludf.DUMMYFUNCTION("""COMPUTED_VALUE"""),"Dị_D54")</f>
        <v>Dị_D54</v>
      </c>
      <c r="O839" s="583"/>
      <c r="P839" s="584"/>
    </row>
    <row r="840" spans="1:16" ht="15.75">
      <c r="A840" s="587" t="str">
        <f ca="1">IFERROR(__xludf.DUMMYFUNCTION("""COMPUTED_VALUE"""),"Toàn Phát - Việt Nam")</f>
        <v>Toàn Phát - Việt Nam</v>
      </c>
      <c r="B840" s="587" t="str">
        <f ca="1">IFERROR(__xludf.DUMMYFUNCTION("""COMPUTED_VALUE"""),"ĐTPCAYDI")</f>
        <v>ĐTPCAYDI</v>
      </c>
      <c r="C840" s="587" t="str">
        <f ca="1">IFERROR(__xludf.DUMMYFUNCTION("""COMPUTED_VALUE"""),"DOT5398140")</f>
        <v>DOT5398140</v>
      </c>
      <c r="D840" s="588" t="str">
        <f ca="1">IFERROR(__xludf.DUMMYFUNCTION("""COMPUTED_VALUE"""),"Đồng ống thẳng 53.98x1.40")</f>
        <v>Đồng ống thẳng 53.98x1.40</v>
      </c>
      <c r="E840" s="589">
        <f ca="1">IFERROR(__xludf.DUMMYFUNCTION("""COMPUTED_VALUE"""),0.1)</f>
        <v>0.1</v>
      </c>
      <c r="F840" s="590" t="str">
        <f ca="1">IFERROR(__xludf.DUMMYFUNCTION("""COMPUTED_VALUE"""),"Cây")</f>
        <v>Cây</v>
      </c>
      <c r="G840" s="590" t="str">
        <f ca="1">IFERROR(__xludf.DUMMYFUNCTION("""COMPUTED_VALUE"""),"Cây 2.9m")</f>
        <v>Cây 2.9m</v>
      </c>
      <c r="H840" s="588" t="str">
        <f ca="1">IFERROR(__xludf.DUMMYFUNCTION("""COMPUTED_VALUE"""),"4")</f>
        <v>4</v>
      </c>
      <c r="I840" s="591">
        <f ca="1">IFERROR(__xludf.DUMMYFUNCTION("""COMPUTED_VALUE"""),6.18649970399999)</f>
        <v>6.1864997039999903</v>
      </c>
      <c r="J840" s="592" t="str">
        <f ca="1">IFERROR(__xludf.DUMMYFUNCTION("""COMPUTED_VALUE""")," 53.98 ")</f>
        <v xml:space="preserve"> 53.98 </v>
      </c>
      <c r="K840" s="590" t="str">
        <f ca="1">IFERROR(__xludf.DUMMYFUNCTION("""COMPUTED_VALUE"""),"1.40")</f>
        <v>1.40</v>
      </c>
      <c r="L840" s="590">
        <f ca="1">IFERROR(__xludf.DUMMYFUNCTION("""COMPUTED_VALUE"""),2.9)</f>
        <v>2.9</v>
      </c>
      <c r="M840" s="590"/>
      <c r="N840" s="590" t="str">
        <f ca="1">IFERROR(__xludf.DUMMYFUNCTION("""COMPUTED_VALUE"""),"Dị_D54")</f>
        <v>Dị_D54</v>
      </c>
      <c r="O840" s="589"/>
      <c r="P840" s="590"/>
    </row>
    <row r="841" spans="1:16" ht="15.75">
      <c r="A841" s="581" t="str">
        <f ca="1">IFERROR(__xludf.DUMMYFUNCTION("""COMPUTED_VALUE"""),"Toàn Phát - Việt Nam")</f>
        <v>Toàn Phát - Việt Nam</v>
      </c>
      <c r="B841" s="581" t="str">
        <f ca="1">IFERROR(__xludf.DUMMYFUNCTION("""COMPUTED_VALUE"""),"ĐTPCAYDI")</f>
        <v>ĐTPCAYDI</v>
      </c>
      <c r="C841" s="581" t="str">
        <f ca="1">IFERROR(__xludf.DUMMYFUNCTION("""COMPUTED_VALUE"""),"DOT5398145")</f>
        <v>DOT5398145</v>
      </c>
      <c r="D841" s="582" t="str">
        <f ca="1">IFERROR(__xludf.DUMMYFUNCTION("""COMPUTED_VALUE"""),"Đồng ống thẳng 53.98x1.45")</f>
        <v>Đồng ống thẳng 53.98x1.45</v>
      </c>
      <c r="E841" s="583">
        <f ca="1">IFERROR(__xludf.DUMMYFUNCTION("""COMPUTED_VALUE"""),0.1)</f>
        <v>0.1</v>
      </c>
      <c r="F841" s="584" t="str">
        <f ca="1">IFERROR(__xludf.DUMMYFUNCTION("""COMPUTED_VALUE"""),"Cây")</f>
        <v>Cây</v>
      </c>
      <c r="G841" s="584" t="str">
        <f ca="1">IFERROR(__xludf.DUMMYFUNCTION("""COMPUTED_VALUE"""),"Cây 2.9m")</f>
        <v>Cây 2.9m</v>
      </c>
      <c r="H841" s="582" t="str">
        <f ca="1">IFERROR(__xludf.DUMMYFUNCTION("""COMPUTED_VALUE"""),"4")</f>
        <v>4</v>
      </c>
      <c r="I841" s="585">
        <f ca="1">IFERROR(__xludf.DUMMYFUNCTION("""COMPUTED_VALUE"""),6.40135307699999)</f>
        <v>6.4013530769999898</v>
      </c>
      <c r="J841" s="586" t="str">
        <f ca="1">IFERROR(__xludf.DUMMYFUNCTION("""COMPUTED_VALUE""")," 53.98 ")</f>
        <v xml:space="preserve"> 53.98 </v>
      </c>
      <c r="K841" s="584" t="str">
        <f ca="1">IFERROR(__xludf.DUMMYFUNCTION("""COMPUTED_VALUE"""),"1.45")</f>
        <v>1.45</v>
      </c>
      <c r="L841" s="584">
        <f ca="1">IFERROR(__xludf.DUMMYFUNCTION("""COMPUTED_VALUE"""),2.9)</f>
        <v>2.9</v>
      </c>
      <c r="M841" s="584"/>
      <c r="N841" s="584" t="str">
        <f ca="1">IFERROR(__xludf.DUMMYFUNCTION("""COMPUTED_VALUE"""),"Dị_D54")</f>
        <v>Dị_D54</v>
      </c>
      <c r="O841" s="583"/>
      <c r="P841" s="584"/>
    </row>
    <row r="842" spans="1:16" ht="15.75">
      <c r="A842" s="587" t="str">
        <f ca="1">IFERROR(__xludf.DUMMYFUNCTION("""COMPUTED_VALUE"""),"Toàn Phát - Việt Nam")</f>
        <v>Toàn Phát - Việt Nam</v>
      </c>
      <c r="B842" s="587" t="str">
        <f ca="1">IFERROR(__xludf.DUMMYFUNCTION("""COMPUTED_VALUE"""),"ĐTPCAYDI")</f>
        <v>ĐTPCAYDI</v>
      </c>
      <c r="C842" s="587" t="str">
        <f ca="1">IFERROR(__xludf.DUMMYFUNCTION("""COMPUTED_VALUE"""),"DOT5398150")</f>
        <v>DOT5398150</v>
      </c>
      <c r="D842" s="588" t="str">
        <f ca="1">IFERROR(__xludf.DUMMYFUNCTION("""COMPUTED_VALUE"""),"Đồng ống thẳng 53.98x1.50")</f>
        <v>Đồng ống thẳng 53.98x1.50</v>
      </c>
      <c r="E842" s="589">
        <f ca="1">IFERROR(__xludf.DUMMYFUNCTION("""COMPUTED_VALUE"""),0.1)</f>
        <v>0.1</v>
      </c>
      <c r="F842" s="590" t="str">
        <f ca="1">IFERROR(__xludf.DUMMYFUNCTION("""COMPUTED_VALUE"""),"Cây")</f>
        <v>Cây</v>
      </c>
      <c r="G842" s="590" t="str">
        <f ca="1">IFERROR(__xludf.DUMMYFUNCTION("""COMPUTED_VALUE"""),"Cây 2.9m")</f>
        <v>Cây 2.9m</v>
      </c>
      <c r="H842" s="588" t="str">
        <f ca="1">IFERROR(__xludf.DUMMYFUNCTION("""COMPUTED_VALUE"""),"4")</f>
        <v>4</v>
      </c>
      <c r="I842" s="591">
        <f ca="1">IFERROR(__xludf.DUMMYFUNCTION("""COMPUTED_VALUE"""),6.61578623999999)</f>
        <v>6.6157862399999896</v>
      </c>
      <c r="J842" s="592" t="str">
        <f ca="1">IFERROR(__xludf.DUMMYFUNCTION("""COMPUTED_VALUE""")," 53.98 ")</f>
        <v xml:space="preserve"> 53.98 </v>
      </c>
      <c r="K842" s="590" t="str">
        <f ca="1">IFERROR(__xludf.DUMMYFUNCTION("""COMPUTED_VALUE"""),"1.50")</f>
        <v>1.50</v>
      </c>
      <c r="L842" s="590">
        <f ca="1">IFERROR(__xludf.DUMMYFUNCTION("""COMPUTED_VALUE"""),2.9)</f>
        <v>2.9</v>
      </c>
      <c r="M842" s="590"/>
      <c r="N842" s="590" t="str">
        <f ca="1">IFERROR(__xludf.DUMMYFUNCTION("""COMPUTED_VALUE"""),"Dị_D54")</f>
        <v>Dị_D54</v>
      </c>
      <c r="O842" s="589"/>
      <c r="P842" s="590"/>
    </row>
    <row r="843" spans="1:16" ht="15.75">
      <c r="A843" s="581" t="str">
        <f ca="1">IFERROR(__xludf.DUMMYFUNCTION("""COMPUTED_VALUE"""),"Toàn Phát - Việt Nam")</f>
        <v>Toàn Phát - Việt Nam</v>
      </c>
      <c r="B843" s="581" t="str">
        <f ca="1">IFERROR(__xludf.DUMMYFUNCTION("""COMPUTED_VALUE"""),"ĐTPCAYDI")</f>
        <v>ĐTPCAYDI</v>
      </c>
      <c r="C843" s="581" t="str">
        <f ca="1">IFERROR(__xludf.DUMMYFUNCTION("""COMPUTED_VALUE"""),"DOT5398160")</f>
        <v>DOT5398160</v>
      </c>
      <c r="D843" s="582" t="str">
        <f ca="1">IFERROR(__xludf.DUMMYFUNCTION("""COMPUTED_VALUE"""),"Đồng ống thẳng 53.98x1.60")</f>
        <v>Đồng ống thẳng 53.98x1.60</v>
      </c>
      <c r="E843" s="583">
        <f ca="1">IFERROR(__xludf.DUMMYFUNCTION("""COMPUTED_VALUE"""),0.1)</f>
        <v>0.1</v>
      </c>
      <c r="F843" s="584" t="str">
        <f ca="1">IFERROR(__xludf.DUMMYFUNCTION("""COMPUTED_VALUE"""),"Cây")</f>
        <v>Cây</v>
      </c>
      <c r="G843" s="584" t="str">
        <f ca="1">IFERROR(__xludf.DUMMYFUNCTION("""COMPUTED_VALUE"""),"Cây 2.9m")</f>
        <v>Cây 2.9m</v>
      </c>
      <c r="H843" s="582" t="str">
        <f ca="1">IFERROR(__xludf.DUMMYFUNCTION("""COMPUTED_VALUE"""),"4")</f>
        <v>4</v>
      </c>
      <c r="I843" s="585">
        <f ca="1">IFERROR(__xludf.DUMMYFUNCTION("""COMPUTED_VALUE"""),7.04339193599999)</f>
        <v>7.0433919359999901</v>
      </c>
      <c r="J843" s="586" t="str">
        <f ca="1">IFERROR(__xludf.DUMMYFUNCTION("""COMPUTED_VALUE""")," 53.98 ")</f>
        <v xml:space="preserve"> 53.98 </v>
      </c>
      <c r="K843" s="584" t="str">
        <f ca="1">IFERROR(__xludf.DUMMYFUNCTION("""COMPUTED_VALUE"""),"1.60")</f>
        <v>1.60</v>
      </c>
      <c r="L843" s="584">
        <f ca="1">IFERROR(__xludf.DUMMYFUNCTION("""COMPUTED_VALUE"""),2.9)</f>
        <v>2.9</v>
      </c>
      <c r="M843" s="584"/>
      <c r="N843" s="584" t="str">
        <f ca="1">IFERROR(__xludf.DUMMYFUNCTION("""COMPUTED_VALUE"""),"Dị_D54")</f>
        <v>Dị_D54</v>
      </c>
      <c r="O843" s="583"/>
      <c r="P843" s="584"/>
    </row>
    <row r="844" spans="1:16" ht="15.75">
      <c r="A844" s="587" t="str">
        <f ca="1">IFERROR(__xludf.DUMMYFUNCTION("""COMPUTED_VALUE"""),"Toàn Phát - Việt Nam")</f>
        <v>Toàn Phát - Việt Nam</v>
      </c>
      <c r="B844" s="587" t="str">
        <f ca="1">IFERROR(__xludf.DUMMYFUNCTION("""COMPUTED_VALUE"""),"ĐTPCAYDI")</f>
        <v>ĐTPCAYDI</v>
      </c>
      <c r="C844" s="587" t="str">
        <f ca="1">IFERROR(__xludf.DUMMYFUNCTION("""COMPUTED_VALUE"""),"DOT5398165")</f>
        <v>DOT5398165</v>
      </c>
      <c r="D844" s="588" t="str">
        <f ca="1">IFERROR(__xludf.DUMMYFUNCTION("""COMPUTED_VALUE"""),"Đồng ống thẳng 53.98x1.65")</f>
        <v>Đồng ống thẳng 53.98x1.65</v>
      </c>
      <c r="E844" s="589">
        <f ca="1">IFERROR(__xludf.DUMMYFUNCTION("""COMPUTED_VALUE"""),0.1)</f>
        <v>0.1</v>
      </c>
      <c r="F844" s="590" t="str">
        <f ca="1">IFERROR(__xludf.DUMMYFUNCTION("""COMPUTED_VALUE"""),"Cây")</f>
        <v>Cây</v>
      </c>
      <c r="G844" s="590" t="str">
        <f ca="1">IFERROR(__xludf.DUMMYFUNCTION("""COMPUTED_VALUE"""),"Cây 2.9m")</f>
        <v>Cây 2.9m</v>
      </c>
      <c r="H844" s="588" t="str">
        <f ca="1">IFERROR(__xludf.DUMMYFUNCTION("""COMPUTED_VALUE"""),"4")</f>
        <v>4</v>
      </c>
      <c r="I844" s="591">
        <f ca="1">IFERROR(__xludf.DUMMYFUNCTION("""COMPUTED_VALUE"""),7.25656446899999)</f>
        <v>7.25656446899999</v>
      </c>
      <c r="J844" s="592" t="str">
        <f ca="1">IFERROR(__xludf.DUMMYFUNCTION("""COMPUTED_VALUE""")," 53.98 ")</f>
        <v xml:space="preserve"> 53.98 </v>
      </c>
      <c r="K844" s="590" t="str">
        <f ca="1">IFERROR(__xludf.DUMMYFUNCTION("""COMPUTED_VALUE"""),"1.65")</f>
        <v>1.65</v>
      </c>
      <c r="L844" s="590">
        <f ca="1">IFERROR(__xludf.DUMMYFUNCTION("""COMPUTED_VALUE"""),2.9)</f>
        <v>2.9</v>
      </c>
      <c r="M844" s="590"/>
      <c r="N844" s="590" t="str">
        <f ca="1">IFERROR(__xludf.DUMMYFUNCTION("""COMPUTED_VALUE"""),"Dị_D54")</f>
        <v>Dị_D54</v>
      </c>
      <c r="O844" s="589"/>
      <c r="P844" s="590"/>
    </row>
    <row r="845" spans="1:16" ht="15.75">
      <c r="A845" s="581" t="str">
        <f ca="1">IFERROR(__xludf.DUMMYFUNCTION("""COMPUTED_VALUE"""),"Toàn Phát - Việt Nam")</f>
        <v>Toàn Phát - Việt Nam</v>
      </c>
      <c r="B845" s="581" t="str">
        <f ca="1">IFERROR(__xludf.DUMMYFUNCTION("""COMPUTED_VALUE"""),"ĐTPCAYDI")</f>
        <v>ĐTPCAYDI</v>
      </c>
      <c r="C845" s="581" t="str">
        <f ca="1">IFERROR(__xludf.DUMMYFUNCTION("""COMPUTED_VALUE"""),"DOT5398165TP")</f>
        <v>DOT5398165TP</v>
      </c>
      <c r="D845" s="582" t="str">
        <f ca="1">IFERROR(__xludf.DUMMYFUNCTION("""COMPUTED_VALUE"""),"Đồng ống thẳng 53.98x1.65")</f>
        <v>Đồng ống thẳng 53.98x1.65</v>
      </c>
      <c r="E845" s="583">
        <f ca="1">IFERROR(__xludf.DUMMYFUNCTION("""COMPUTED_VALUE"""),0.1)</f>
        <v>0.1</v>
      </c>
      <c r="F845" s="584" t="str">
        <f ca="1">IFERROR(__xludf.DUMMYFUNCTION("""COMPUTED_VALUE"""),"Cây")</f>
        <v>Cây</v>
      </c>
      <c r="G845" s="584" t="str">
        <f ca="1">IFERROR(__xludf.DUMMYFUNCTION("""COMPUTED_VALUE"""),"Cây 2.9m")</f>
        <v>Cây 2.9m</v>
      </c>
      <c r="H845" s="582" t="str">
        <f ca="1">IFERROR(__xludf.DUMMYFUNCTION("""COMPUTED_VALUE"""),"4")</f>
        <v>4</v>
      </c>
      <c r="I845" s="585">
        <f ca="1">IFERROR(__xludf.DUMMYFUNCTION("""COMPUTED_VALUE"""),7.25656446899999)</f>
        <v>7.25656446899999</v>
      </c>
      <c r="J845" s="586" t="str">
        <f ca="1">IFERROR(__xludf.DUMMYFUNCTION("""COMPUTED_VALUE""")," 53.98 ")</f>
        <v xml:space="preserve"> 53.98 </v>
      </c>
      <c r="K845" s="584" t="str">
        <f ca="1">IFERROR(__xludf.DUMMYFUNCTION("""COMPUTED_VALUE"""),"1.65")</f>
        <v>1.65</v>
      </c>
      <c r="L845" s="584">
        <f ca="1">IFERROR(__xludf.DUMMYFUNCTION("""COMPUTED_VALUE"""),2.9)</f>
        <v>2.9</v>
      </c>
      <c r="M845" s="584"/>
      <c r="N845" s="584" t="str">
        <f ca="1">IFERROR(__xludf.DUMMYFUNCTION("""COMPUTED_VALUE"""),"Dị_D54")</f>
        <v>Dị_D54</v>
      </c>
      <c r="O845" s="583"/>
      <c r="P845" s="584"/>
    </row>
    <row r="846" spans="1:16" ht="15.75">
      <c r="A846" s="587" t="str">
        <f ca="1">IFERROR(__xludf.DUMMYFUNCTION("""COMPUTED_VALUE"""),"Toàn Phát - Việt Nam")</f>
        <v>Toàn Phát - Việt Nam</v>
      </c>
      <c r="B846" s="587" t="str">
        <f ca="1">IFERROR(__xludf.DUMMYFUNCTION("""COMPUTED_VALUE"""),"ĐTPCAYDI")</f>
        <v>ĐTPCAYDI</v>
      </c>
      <c r="C846" s="587" t="str">
        <f ca="1">IFERROR(__xludf.DUMMYFUNCTION("""COMPUTED_VALUE"""),"DOT5398170")</f>
        <v>DOT5398170</v>
      </c>
      <c r="D846" s="588" t="str">
        <f ca="1">IFERROR(__xludf.DUMMYFUNCTION("""COMPUTED_VALUE"""),"Đồng ống thẳng 53.98x1.70")</f>
        <v>Đồng ống thẳng 53.98x1.70</v>
      </c>
      <c r="E846" s="589">
        <f ca="1">IFERROR(__xludf.DUMMYFUNCTION("""COMPUTED_VALUE"""),0.1)</f>
        <v>0.1</v>
      </c>
      <c r="F846" s="590" t="str">
        <f ca="1">IFERROR(__xludf.DUMMYFUNCTION("""COMPUTED_VALUE"""),"Cây")</f>
        <v>Cây</v>
      </c>
      <c r="G846" s="590" t="str">
        <f ca="1">IFERROR(__xludf.DUMMYFUNCTION("""COMPUTED_VALUE"""),"Cây 2.9m")</f>
        <v>Cây 2.9m</v>
      </c>
      <c r="H846" s="588" t="str">
        <f ca="1">IFERROR(__xludf.DUMMYFUNCTION("""COMPUTED_VALUE"""),"4")</f>
        <v>4</v>
      </c>
      <c r="I846" s="591">
        <f ca="1">IFERROR(__xludf.DUMMYFUNCTION("""COMPUTED_VALUE"""),7.46931679199999)</f>
        <v>7.4693167919999901</v>
      </c>
      <c r="J846" s="592" t="str">
        <f ca="1">IFERROR(__xludf.DUMMYFUNCTION("""COMPUTED_VALUE""")," 53.98 ")</f>
        <v xml:space="preserve"> 53.98 </v>
      </c>
      <c r="K846" s="590" t="str">
        <f ca="1">IFERROR(__xludf.DUMMYFUNCTION("""COMPUTED_VALUE"""),"1.70")</f>
        <v>1.70</v>
      </c>
      <c r="L846" s="590">
        <f ca="1">IFERROR(__xludf.DUMMYFUNCTION("""COMPUTED_VALUE"""),2.9)</f>
        <v>2.9</v>
      </c>
      <c r="M846" s="590"/>
      <c r="N846" s="590" t="str">
        <f ca="1">IFERROR(__xludf.DUMMYFUNCTION("""COMPUTED_VALUE"""),"Dị_D54")</f>
        <v>Dị_D54</v>
      </c>
      <c r="O846" s="589"/>
      <c r="P846" s="590"/>
    </row>
    <row r="847" spans="1:16" ht="15.75">
      <c r="A847" s="581" t="str">
        <f ca="1">IFERROR(__xludf.DUMMYFUNCTION("""COMPUTED_VALUE"""),"Toàn Phát - Việt Nam")</f>
        <v>Toàn Phát - Việt Nam</v>
      </c>
      <c r="B847" s="581" t="str">
        <f ca="1">IFERROR(__xludf.DUMMYFUNCTION("""COMPUTED_VALUE"""),"ĐTPCAYDI")</f>
        <v>ĐTPCAYDI</v>
      </c>
      <c r="C847" s="581" t="str">
        <f ca="1">IFERROR(__xludf.DUMMYFUNCTION("""COMPUTED_VALUE"""),"DOT539818")</f>
        <v>DOT539818</v>
      </c>
      <c r="D847" s="582" t="str">
        <f ca="1">IFERROR(__xludf.DUMMYFUNCTION("""COMPUTED_VALUE"""),"Đồng ống thẳng 53.98x1.8")</f>
        <v>Đồng ống thẳng 53.98x1.8</v>
      </c>
      <c r="E847" s="583">
        <f ca="1">IFERROR(__xludf.DUMMYFUNCTION("""COMPUTED_VALUE"""),0.1)</f>
        <v>0.1</v>
      </c>
      <c r="F847" s="584" t="str">
        <f ca="1">IFERROR(__xludf.DUMMYFUNCTION("""COMPUTED_VALUE"""),"Cây")</f>
        <v>Cây</v>
      </c>
      <c r="G847" s="584" t="str">
        <f ca="1">IFERROR(__xludf.DUMMYFUNCTION("""COMPUTED_VALUE"""),"Cây 2.9m")</f>
        <v>Cây 2.9m</v>
      </c>
      <c r="H847" s="582" t="str">
        <f ca="1">IFERROR(__xludf.DUMMYFUNCTION("""COMPUTED_VALUE"""),"4")</f>
        <v>4</v>
      </c>
      <c r="I847" s="585">
        <f ca="1">IFERROR(__xludf.DUMMYFUNCTION("""COMPUTED_VALUE"""),7.893560808)</f>
        <v>7.8935608080000002</v>
      </c>
      <c r="J847" s="586" t="str">
        <f ca="1">IFERROR(__xludf.DUMMYFUNCTION("""COMPUTED_VALUE""")," 53.98 ")</f>
        <v xml:space="preserve"> 53.98 </v>
      </c>
      <c r="K847" s="584" t="str">
        <f ca="1">IFERROR(__xludf.DUMMYFUNCTION("""COMPUTED_VALUE"""),"1.80")</f>
        <v>1.80</v>
      </c>
      <c r="L847" s="584">
        <f ca="1">IFERROR(__xludf.DUMMYFUNCTION("""COMPUTED_VALUE"""),2.9)</f>
        <v>2.9</v>
      </c>
      <c r="M847" s="584"/>
      <c r="N847" s="584" t="str">
        <f ca="1">IFERROR(__xludf.DUMMYFUNCTION("""COMPUTED_VALUE"""),"Dị_D54")</f>
        <v>Dị_D54</v>
      </c>
      <c r="O847" s="583"/>
      <c r="P847" s="584"/>
    </row>
    <row r="848" spans="1:16" ht="15.75">
      <c r="A848" s="587" t="str">
        <f ca="1">IFERROR(__xludf.DUMMYFUNCTION("""COMPUTED_VALUE"""),"Toàn Phát - Việt Nam")</f>
        <v>Toàn Phát - Việt Nam</v>
      </c>
      <c r="B848" s="587" t="str">
        <f ca="1">IFERROR(__xludf.DUMMYFUNCTION("""COMPUTED_VALUE"""),"ĐTPCAYDI")</f>
        <v>ĐTPCAYDI</v>
      </c>
      <c r="C848" s="587" t="str">
        <f ca="1">IFERROR(__xludf.DUMMYFUNCTION("""COMPUTED_VALUE"""),"DOT5398185")</f>
        <v>DOT5398185</v>
      </c>
      <c r="D848" s="588" t="str">
        <f ca="1">IFERROR(__xludf.DUMMYFUNCTION("""COMPUTED_VALUE"""),"Đồng ống thẳng 53.98x1.85")</f>
        <v>Đồng ống thẳng 53.98x1.85</v>
      </c>
      <c r="E848" s="589">
        <f ca="1">IFERROR(__xludf.DUMMYFUNCTION("""COMPUTED_VALUE"""),0.1)</f>
        <v>0.1</v>
      </c>
      <c r="F848" s="590" t="str">
        <f ca="1">IFERROR(__xludf.DUMMYFUNCTION("""COMPUTED_VALUE"""),"Cây")</f>
        <v>Cây</v>
      </c>
      <c r="G848" s="590" t="str">
        <f ca="1">IFERROR(__xludf.DUMMYFUNCTION("""COMPUTED_VALUE"""),"Cây 2.9m")</f>
        <v>Cây 2.9m</v>
      </c>
      <c r="H848" s="588" t="str">
        <f ca="1">IFERROR(__xludf.DUMMYFUNCTION("""COMPUTED_VALUE"""),"4")</f>
        <v>4</v>
      </c>
      <c r="I848" s="591">
        <f ca="1">IFERROR(__xludf.DUMMYFUNCTION("""COMPUTED_VALUE"""),8.105052501)</f>
        <v>8.1050525009999994</v>
      </c>
      <c r="J848" s="592" t="str">
        <f ca="1">IFERROR(__xludf.DUMMYFUNCTION("""COMPUTED_VALUE""")," 53.98 ")</f>
        <v xml:space="preserve"> 53.98 </v>
      </c>
      <c r="K848" s="590" t="str">
        <f ca="1">IFERROR(__xludf.DUMMYFUNCTION("""COMPUTED_VALUE"""),"1.85")</f>
        <v>1.85</v>
      </c>
      <c r="L848" s="590">
        <f ca="1">IFERROR(__xludf.DUMMYFUNCTION("""COMPUTED_VALUE"""),2.9)</f>
        <v>2.9</v>
      </c>
      <c r="M848" s="590"/>
      <c r="N848" s="590" t="str">
        <f ca="1">IFERROR(__xludf.DUMMYFUNCTION("""COMPUTED_VALUE"""),"Dị_D54")</f>
        <v>Dị_D54</v>
      </c>
      <c r="O848" s="589"/>
      <c r="P848" s="590"/>
    </row>
    <row r="849" spans="1:16" ht="15.75">
      <c r="A849" s="581" t="str">
        <f ca="1">IFERROR(__xludf.DUMMYFUNCTION("""COMPUTED_VALUE"""),"Toàn Phát - Việt Nam")</f>
        <v>Toàn Phát - Việt Nam</v>
      </c>
      <c r="B849" s="581" t="str">
        <f ca="1">IFERROR(__xludf.DUMMYFUNCTION("""COMPUTED_VALUE"""),"ĐTPCAYDI")</f>
        <v>ĐTPCAYDI</v>
      </c>
      <c r="C849" s="581" t="str">
        <f ca="1">IFERROR(__xludf.DUMMYFUNCTION("""COMPUTED_VALUE"""),"DOT540012")</f>
        <v>DOT540012</v>
      </c>
      <c r="D849" s="582" t="str">
        <f ca="1">IFERROR(__xludf.DUMMYFUNCTION("""COMPUTED_VALUE"""),"Đồng ống thẳng 54x1.2x2.9")</f>
        <v>Đồng ống thẳng 54x1.2x2.9</v>
      </c>
      <c r="E849" s="583">
        <f ca="1">IFERROR(__xludf.DUMMYFUNCTION("""COMPUTED_VALUE"""),0.1)</f>
        <v>0.1</v>
      </c>
      <c r="F849" s="584" t="str">
        <f ca="1">IFERROR(__xludf.DUMMYFUNCTION("""COMPUTED_VALUE"""),"Cây")</f>
        <v>Cây</v>
      </c>
      <c r="G849" s="584" t="str">
        <f ca="1">IFERROR(__xludf.DUMMYFUNCTION("""COMPUTED_VALUE"""),"Cây 2.9m")</f>
        <v>Cây 2.9m</v>
      </c>
      <c r="H849" s="582"/>
      <c r="I849" s="585">
        <f ca="1">IFERROR(__xludf.DUMMYFUNCTION("""COMPUTED_VALUE"""),5.32490111999999)</f>
        <v>5.3249011199999901</v>
      </c>
      <c r="J849" s="586" t="str">
        <f ca="1">IFERROR(__xludf.DUMMYFUNCTION("""COMPUTED_VALUE""")," 54.00 ")</f>
        <v xml:space="preserve"> 54.00 </v>
      </c>
      <c r="K849" s="584" t="str">
        <f ca="1">IFERROR(__xludf.DUMMYFUNCTION("""COMPUTED_VALUE"""),"1.20")</f>
        <v>1.20</v>
      </c>
      <c r="L849" s="584">
        <f ca="1">IFERROR(__xludf.DUMMYFUNCTION("""COMPUTED_VALUE"""),2.9)</f>
        <v>2.9</v>
      </c>
      <c r="M849" s="584"/>
      <c r="N849" s="584" t="str">
        <f ca="1">IFERROR(__xludf.DUMMYFUNCTION("""COMPUTED_VALUE"""),"Dị_D54")</f>
        <v>Dị_D54</v>
      </c>
      <c r="O849" s="583"/>
      <c r="P849" s="584"/>
    </row>
    <row r="850" spans="1:16" ht="15.75">
      <c r="A850" s="587" t="str">
        <f ca="1">IFERROR(__xludf.DUMMYFUNCTION("""COMPUTED_VALUE"""),"Toàn Phát - Việt Nam")</f>
        <v>Toàn Phát - Việt Nam</v>
      </c>
      <c r="B850" s="587" t="str">
        <f ca="1">IFERROR(__xludf.DUMMYFUNCTION("""COMPUTED_VALUE"""),"ĐTPCAYDI")</f>
        <v>ĐTPCAYDI</v>
      </c>
      <c r="C850" s="587" t="str">
        <f ca="1">IFERROR(__xludf.DUMMYFUNCTION("""COMPUTED_VALUE"""),"DOT631429")</f>
        <v>DOT631429</v>
      </c>
      <c r="D850" s="588" t="str">
        <f ca="1">IFERROR(__xludf.DUMMYFUNCTION("""COMPUTED_VALUE"""),"Đồng ống thẳng 63.00x1.40x2.9")</f>
        <v>Đồng ống thẳng 63.00x1.40x2.9</v>
      </c>
      <c r="E850" s="589">
        <f ca="1">IFERROR(__xludf.DUMMYFUNCTION("""COMPUTED_VALUE"""),0.1)</f>
        <v>0.1</v>
      </c>
      <c r="F850" s="590" t="str">
        <f ca="1">IFERROR(__xludf.DUMMYFUNCTION("""COMPUTED_VALUE"""),"Cây")</f>
        <v>Cây</v>
      </c>
      <c r="G850" s="590" t="str">
        <f ca="1">IFERROR(__xludf.DUMMYFUNCTION("""COMPUTED_VALUE"""),"Cây 2.9m")</f>
        <v>Cây 2.9m</v>
      </c>
      <c r="H850" s="588"/>
      <c r="I850" s="591">
        <f ca="1">IFERROR(__xludf.DUMMYFUNCTION("""COMPUTED_VALUE"""),7.24778207999999)</f>
        <v>7.2477820799999897</v>
      </c>
      <c r="J850" s="592" t="str">
        <f ca="1">IFERROR(__xludf.DUMMYFUNCTION("""COMPUTED_VALUE""")," 63.00 ")</f>
        <v xml:space="preserve"> 63.00 </v>
      </c>
      <c r="K850" s="590" t="str">
        <f ca="1">IFERROR(__xludf.DUMMYFUNCTION("""COMPUTED_VALUE"""),"1.40")</f>
        <v>1.40</v>
      </c>
      <c r="L850" s="590">
        <f ca="1">IFERROR(__xludf.DUMMYFUNCTION("""COMPUTED_VALUE"""),2.9)</f>
        <v>2.9</v>
      </c>
      <c r="M850" s="590"/>
      <c r="N850" s="590" t="str">
        <f ca="1">IFERROR(__xludf.DUMMYFUNCTION("""COMPUTED_VALUE"""),"Dị_D&gt;54")</f>
        <v>Dị_D&gt;54</v>
      </c>
      <c r="O850" s="589"/>
      <c r="P850" s="590"/>
    </row>
    <row r="851" spans="1:16" ht="15.75">
      <c r="A851" s="581" t="str">
        <f ca="1">IFERROR(__xludf.DUMMYFUNCTION("""COMPUTED_VALUE"""),"Toàn Phát - Việt Nam")</f>
        <v>Toàn Phát - Việt Nam</v>
      </c>
      <c r="B851" s="581" t="str">
        <f ca="1">IFERROR(__xludf.DUMMYFUNCTION("""COMPUTED_VALUE"""),"ĐTPCAYDI")</f>
        <v>ĐTPCAYDI</v>
      </c>
      <c r="C851" s="581" t="str">
        <f ca="1">IFERROR(__xludf.DUMMYFUNCTION("""COMPUTED_VALUE"""),"DOT666724129")</f>
        <v>DOT666724129</v>
      </c>
      <c r="D851" s="582" t="str">
        <f ca="1">IFERROR(__xludf.DUMMYFUNCTION("""COMPUTED_VALUE"""),"Đồng ống thẳng 66.67x2.41")</f>
        <v>Đồng ống thẳng 66.67x2.41</v>
      </c>
      <c r="E851" s="583">
        <f ca="1">IFERROR(__xludf.DUMMYFUNCTION("""COMPUTED_VALUE"""),0.1)</f>
        <v>0.1</v>
      </c>
      <c r="F851" s="584" t="str">
        <f ca="1">IFERROR(__xludf.DUMMYFUNCTION("""COMPUTED_VALUE"""),"Cây")</f>
        <v>Cây</v>
      </c>
      <c r="G851" s="584" t="str">
        <f ca="1">IFERROR(__xludf.DUMMYFUNCTION("""COMPUTED_VALUE"""),"Cây 2.9m")</f>
        <v>Cây 2.9m</v>
      </c>
      <c r="H851" s="582"/>
      <c r="I851" s="585">
        <f ca="1">IFERROR(__xludf.DUMMYFUNCTION("""COMPUTED_VALUE"""),13.0152987972)</f>
        <v>13.0152987972</v>
      </c>
      <c r="J851" s="586" t="str">
        <f ca="1">IFERROR(__xludf.DUMMYFUNCTION("""COMPUTED_VALUE""")," 66.67 ")</f>
        <v xml:space="preserve"> 66.67 </v>
      </c>
      <c r="K851" s="584" t="str">
        <f ca="1">IFERROR(__xludf.DUMMYFUNCTION("""COMPUTED_VALUE"""),"2.41")</f>
        <v>2.41</v>
      </c>
      <c r="L851" s="584">
        <f ca="1">IFERROR(__xludf.DUMMYFUNCTION("""COMPUTED_VALUE"""),2.9)</f>
        <v>2.9</v>
      </c>
      <c r="M851" s="584"/>
      <c r="N851" s="584" t="str">
        <f ca="1">IFERROR(__xludf.DUMMYFUNCTION("""COMPUTED_VALUE"""),"Dị_D&gt;54")</f>
        <v>Dị_D&gt;54</v>
      </c>
      <c r="O851" s="583">
        <f ca="1">IFERROR(__xludf.DUMMYFUNCTION("""COMPUTED_VALUE"""),1)</f>
        <v>1</v>
      </c>
      <c r="P851" s="584"/>
    </row>
    <row r="852" spans="1:16" ht="15.75">
      <c r="A852" s="587" t="str">
        <f ca="1">IFERROR(__xludf.DUMMYFUNCTION("""COMPUTED_VALUE"""),"Toàn Phát - Việt Nam")</f>
        <v>Toàn Phát - Việt Nam</v>
      </c>
      <c r="B852" s="587" t="str">
        <f ca="1">IFERROR(__xludf.DUMMYFUNCTION("""COMPUTED_VALUE"""),"ĐTPCAYDI")</f>
        <v>ĐTPCAYDI</v>
      </c>
      <c r="C852" s="587" t="str">
        <f ca="1">IFERROR(__xludf.DUMMYFUNCTION("""COMPUTED_VALUE"""),"DOT666718029")</f>
        <v>DOT666718029</v>
      </c>
      <c r="D852" s="588" t="str">
        <f ca="1">IFERROR(__xludf.DUMMYFUNCTION("""COMPUTED_VALUE"""),"Đồng ống thẳng 66.67x1.80")</f>
        <v>Đồng ống thẳng 66.67x1.80</v>
      </c>
      <c r="E852" s="589">
        <f ca="1">IFERROR(__xludf.DUMMYFUNCTION("""COMPUTED_VALUE"""),0.1)</f>
        <v>0.1</v>
      </c>
      <c r="F852" s="590" t="str">
        <f ca="1">IFERROR(__xludf.DUMMYFUNCTION("""COMPUTED_VALUE"""),"Cây")</f>
        <v>Cây</v>
      </c>
      <c r="G852" s="590" t="str">
        <f ca="1">IFERROR(__xludf.DUMMYFUNCTION("""COMPUTED_VALUE"""),"Cây 2.9m")</f>
        <v>Cây 2.9m</v>
      </c>
      <c r="H852" s="588"/>
      <c r="I852" s="591">
        <f ca="1">IFERROR(__xludf.DUMMYFUNCTION("""COMPUTED_VALUE"""),9.813248172)</f>
        <v>9.8132481719999998</v>
      </c>
      <c r="J852" s="592" t="str">
        <f ca="1">IFERROR(__xludf.DUMMYFUNCTION("""COMPUTED_VALUE""")," 66.67 ")</f>
        <v xml:space="preserve"> 66.67 </v>
      </c>
      <c r="K852" s="590" t="str">
        <f ca="1">IFERROR(__xludf.DUMMYFUNCTION("""COMPUTED_VALUE"""),"1.80")</f>
        <v>1.80</v>
      </c>
      <c r="L852" s="590">
        <f ca="1">IFERROR(__xludf.DUMMYFUNCTION("""COMPUTED_VALUE"""),2.9)</f>
        <v>2.9</v>
      </c>
      <c r="M852" s="590"/>
      <c r="N852" s="590" t="str">
        <f ca="1">IFERROR(__xludf.DUMMYFUNCTION("""COMPUTED_VALUE"""),"Dị_D&gt;54")</f>
        <v>Dị_D&gt;54</v>
      </c>
      <c r="O852" s="589">
        <f ca="1">IFERROR(__xludf.DUMMYFUNCTION("""COMPUTED_VALUE"""),1)</f>
        <v>1</v>
      </c>
      <c r="P852" s="590"/>
    </row>
    <row r="853" spans="1:16" ht="15.75">
      <c r="A853" s="581" t="str">
        <f ca="1">IFERROR(__xludf.DUMMYFUNCTION("""COMPUTED_VALUE"""),"Toàn Phát - Việt Nam")</f>
        <v>Toàn Phát - Việt Nam</v>
      </c>
      <c r="B853" s="581" t="str">
        <f ca="1">IFERROR(__xludf.DUMMYFUNCTION("""COMPUTED_VALUE"""),"ĐTPCAYDI")</f>
        <v>ĐTPCAYDI</v>
      </c>
      <c r="C853" s="581" t="str">
        <f ca="1">IFERROR(__xludf.DUMMYFUNCTION("""COMPUTED_VALUE"""),"DOT66681829")</f>
        <v>DOT66681829</v>
      </c>
      <c r="D853" s="582" t="str">
        <f ca="1">IFERROR(__xludf.DUMMYFUNCTION("""COMPUTED_VALUE"""),"Đồng ống thẳng 66.68x1.8x2.9m")</f>
        <v>Đồng ống thẳng 66.68x1.8x2.9m</v>
      </c>
      <c r="E853" s="583">
        <f ca="1">IFERROR(__xludf.DUMMYFUNCTION("""COMPUTED_VALUE"""),0.1)</f>
        <v>0.1</v>
      </c>
      <c r="F853" s="584" t="str">
        <f ca="1">IFERROR(__xludf.DUMMYFUNCTION("""COMPUTED_VALUE"""),"Cây")</f>
        <v>Cây</v>
      </c>
      <c r="G853" s="584" t="str">
        <f ca="1">IFERROR(__xludf.DUMMYFUNCTION("""COMPUTED_VALUE"""),"Cây 2.9m")</f>
        <v>Cây 2.9m</v>
      </c>
      <c r="H853" s="582"/>
      <c r="I853" s="585">
        <f ca="1">IFERROR(__xludf.DUMMYFUNCTION("""COMPUTED_VALUE"""),9.814760928)</f>
        <v>9.8147609280000001</v>
      </c>
      <c r="J853" s="586" t="str">
        <f ca="1">IFERROR(__xludf.DUMMYFUNCTION("""COMPUTED_VALUE""")," 66.68 ")</f>
        <v xml:space="preserve"> 66.68 </v>
      </c>
      <c r="K853" s="584" t="str">
        <f ca="1">IFERROR(__xludf.DUMMYFUNCTION("""COMPUTED_VALUE"""),"1.80")</f>
        <v>1.80</v>
      </c>
      <c r="L853" s="584">
        <f ca="1">IFERROR(__xludf.DUMMYFUNCTION("""COMPUTED_VALUE"""),2.9)</f>
        <v>2.9</v>
      </c>
      <c r="M853" s="584"/>
      <c r="N853" s="584" t="str">
        <f ca="1">IFERROR(__xludf.DUMMYFUNCTION("""COMPUTED_VALUE"""),"Dị_D&gt;54")</f>
        <v>Dị_D&gt;54</v>
      </c>
      <c r="O853" s="583">
        <f ca="1">IFERROR(__xludf.DUMMYFUNCTION("""COMPUTED_VALUE"""),1)</f>
        <v>1</v>
      </c>
      <c r="P853" s="584"/>
    </row>
    <row r="854" spans="1:16" ht="15.75">
      <c r="A854" s="587" t="str">
        <f ca="1">IFERROR(__xludf.DUMMYFUNCTION("""COMPUTED_VALUE"""),"Toàn Phát - Việt Nam")</f>
        <v>Toàn Phát - Việt Nam</v>
      </c>
      <c r="B854" s="587" t="str">
        <f ca="1">IFERROR(__xludf.DUMMYFUNCTION("""COMPUTED_VALUE"""),"ĐTPCAYDI")</f>
        <v>ĐTPCAYDI</v>
      </c>
      <c r="C854" s="587" t="str">
        <f ca="1">IFERROR(__xludf.DUMMYFUNCTION("""COMPUTED_VALUE"""),"DOT67140")</f>
        <v>DOT67140</v>
      </c>
      <c r="D854" s="588" t="str">
        <f ca="1">IFERROR(__xludf.DUMMYFUNCTION("""COMPUTED_VALUE"""),"Đồng ống thẳng 67x1.40x2.9m")</f>
        <v>Đồng ống thẳng 67x1.40x2.9m</v>
      </c>
      <c r="E854" s="589">
        <f ca="1">IFERROR(__xludf.DUMMYFUNCTION("""COMPUTED_VALUE"""),0.1)</f>
        <v>0.1</v>
      </c>
      <c r="F854" s="590" t="str">
        <f ca="1">IFERROR(__xludf.DUMMYFUNCTION("""COMPUTED_VALUE"""),"Cây")</f>
        <v>Cây</v>
      </c>
      <c r="G854" s="590" t="str">
        <f ca="1">IFERROR(__xludf.DUMMYFUNCTION("""COMPUTED_VALUE"""),"Cây 2.9m")</f>
        <v>Cây 2.9m</v>
      </c>
      <c r="H854" s="588"/>
      <c r="I854" s="591">
        <f ca="1">IFERROR(__xludf.DUMMYFUNCTION("""COMPUTED_VALUE"""),7.71841727999999)</f>
        <v>7.7184172799999899</v>
      </c>
      <c r="J854" s="592" t="str">
        <f ca="1">IFERROR(__xludf.DUMMYFUNCTION("""COMPUTED_VALUE""")," 67.00 ")</f>
        <v xml:space="preserve"> 67.00 </v>
      </c>
      <c r="K854" s="590" t="str">
        <f ca="1">IFERROR(__xludf.DUMMYFUNCTION("""COMPUTED_VALUE"""),"1.40")</f>
        <v>1.40</v>
      </c>
      <c r="L854" s="590">
        <f ca="1">IFERROR(__xludf.DUMMYFUNCTION("""COMPUTED_VALUE"""),2.9)</f>
        <v>2.9</v>
      </c>
      <c r="M854" s="590"/>
      <c r="N854" s="590" t="str">
        <f ca="1">IFERROR(__xludf.DUMMYFUNCTION("""COMPUTED_VALUE"""),"Dị_D&gt;54")</f>
        <v>Dị_D&gt;54</v>
      </c>
      <c r="O854" s="589">
        <f ca="1">IFERROR(__xludf.DUMMYFUNCTION("""COMPUTED_VALUE"""),1)</f>
        <v>1</v>
      </c>
      <c r="P854" s="590"/>
    </row>
    <row r="855" spans="1:16" ht="15.75">
      <c r="A855" s="581" t="str">
        <f ca="1">IFERROR(__xludf.DUMMYFUNCTION("""COMPUTED_VALUE"""),"Toàn Phát - Việt Nam")</f>
        <v>Toàn Phát - Việt Nam</v>
      </c>
      <c r="B855" s="581" t="str">
        <f ca="1">IFERROR(__xludf.DUMMYFUNCTION("""COMPUTED_VALUE"""),"ĐTPCAYDI")</f>
        <v>ĐTPCAYDI</v>
      </c>
      <c r="C855" s="581" t="str">
        <f ca="1">IFERROR(__xludf.DUMMYFUNCTION("""COMPUTED_VALUE"""),"DOT6716")</f>
        <v>DOT6716</v>
      </c>
      <c r="D855" s="582" t="str">
        <f ca="1">IFERROR(__xludf.DUMMYFUNCTION("""COMPUTED_VALUE"""),"Đồng ống thẳng 67x1.60x2.9m")</f>
        <v>Đồng ống thẳng 67x1.60x2.9m</v>
      </c>
      <c r="E855" s="583">
        <f ca="1">IFERROR(__xludf.DUMMYFUNCTION("""COMPUTED_VALUE"""),0.1)</f>
        <v>0.1</v>
      </c>
      <c r="F855" s="584" t="str">
        <f ca="1">IFERROR(__xludf.DUMMYFUNCTION("""COMPUTED_VALUE"""),"Cây")</f>
        <v>Cây</v>
      </c>
      <c r="G855" s="584" t="str">
        <f ca="1">IFERROR(__xludf.DUMMYFUNCTION("""COMPUTED_VALUE"""),"Cây 2.9m")</f>
        <v>Cây 2.9m</v>
      </c>
      <c r="H855" s="582"/>
      <c r="I855" s="585">
        <f ca="1">IFERROR(__xludf.DUMMYFUNCTION("""COMPUTED_VALUE"""),8.79415488)</f>
        <v>8.7941548800000007</v>
      </c>
      <c r="J855" s="586" t="str">
        <f ca="1">IFERROR(__xludf.DUMMYFUNCTION("""COMPUTED_VALUE""")," 67.00 ")</f>
        <v xml:space="preserve"> 67.00 </v>
      </c>
      <c r="K855" s="584" t="str">
        <f ca="1">IFERROR(__xludf.DUMMYFUNCTION("""COMPUTED_VALUE"""),"1.60")</f>
        <v>1.60</v>
      </c>
      <c r="L855" s="584">
        <f ca="1">IFERROR(__xludf.DUMMYFUNCTION("""COMPUTED_VALUE"""),2.9)</f>
        <v>2.9</v>
      </c>
      <c r="M855" s="584"/>
      <c r="N855" s="584" t="str">
        <f ca="1">IFERROR(__xludf.DUMMYFUNCTION("""COMPUTED_VALUE"""),"Dị_D&gt;54")</f>
        <v>Dị_D&gt;54</v>
      </c>
      <c r="O855" s="583">
        <f ca="1">IFERROR(__xludf.DUMMYFUNCTION("""COMPUTED_VALUE"""),1)</f>
        <v>1</v>
      </c>
      <c r="P855" s="584"/>
    </row>
    <row r="856" spans="1:16" ht="15.75">
      <c r="A856" s="587" t="str">
        <f ca="1">IFERROR(__xludf.DUMMYFUNCTION("""COMPUTED_VALUE"""),"Toàn Phát - Việt Nam")</f>
        <v>Toàn Phát - Việt Nam</v>
      </c>
      <c r="B856" s="587" t="str">
        <f ca="1">IFERROR(__xludf.DUMMYFUNCTION("""COMPUTED_VALUE"""),"ĐTPCAYDI")</f>
        <v>ĐTPCAYDI</v>
      </c>
      <c r="C856" s="587" t="str">
        <f ca="1">IFERROR(__xludf.DUMMYFUNCTION("""COMPUTED_VALUE"""),"DOT6718")</f>
        <v>DOT6718</v>
      </c>
      <c r="D856" s="588" t="str">
        <f ca="1">IFERROR(__xludf.DUMMYFUNCTION("""COMPUTED_VALUE"""),"Đồng ống thẳng 67x1.80x2.9m")</f>
        <v>Đồng ống thẳng 67x1.80x2.9m</v>
      </c>
      <c r="E856" s="589">
        <f ca="1">IFERROR(__xludf.DUMMYFUNCTION("""COMPUTED_VALUE"""),0.1)</f>
        <v>0.1</v>
      </c>
      <c r="F856" s="590" t="str">
        <f ca="1">IFERROR(__xludf.DUMMYFUNCTION("""COMPUTED_VALUE"""),"Cây")</f>
        <v>Cây</v>
      </c>
      <c r="G856" s="590" t="str">
        <f ca="1">IFERROR(__xludf.DUMMYFUNCTION("""COMPUTED_VALUE"""),"Cây 2.9m")</f>
        <v>Cây 2.9m</v>
      </c>
      <c r="H856" s="588"/>
      <c r="I856" s="591">
        <f ca="1">IFERROR(__xludf.DUMMYFUNCTION("""COMPUTED_VALUE"""),9.86316912)</f>
        <v>9.8631691200000002</v>
      </c>
      <c r="J856" s="592" t="str">
        <f ca="1">IFERROR(__xludf.DUMMYFUNCTION("""COMPUTED_VALUE""")," 67.00 ")</f>
        <v xml:space="preserve"> 67.00 </v>
      </c>
      <c r="K856" s="590" t="str">
        <f ca="1">IFERROR(__xludf.DUMMYFUNCTION("""COMPUTED_VALUE"""),"1.80")</f>
        <v>1.80</v>
      </c>
      <c r="L856" s="590">
        <f ca="1">IFERROR(__xludf.DUMMYFUNCTION("""COMPUTED_VALUE"""),2.9)</f>
        <v>2.9</v>
      </c>
      <c r="M856" s="590"/>
      <c r="N856" s="590" t="str">
        <f ca="1">IFERROR(__xludf.DUMMYFUNCTION("""COMPUTED_VALUE"""),"Dị_D&gt;54")</f>
        <v>Dị_D&gt;54</v>
      </c>
      <c r="O856" s="589">
        <f ca="1">IFERROR(__xludf.DUMMYFUNCTION("""COMPUTED_VALUE"""),1)</f>
        <v>1</v>
      </c>
      <c r="P856" s="590"/>
    </row>
    <row r="857" spans="1:16" ht="15.75">
      <c r="A857" s="581" t="str">
        <f ca="1">IFERROR(__xludf.DUMMYFUNCTION("""COMPUTED_VALUE"""),"Toàn Phát - Việt Nam")</f>
        <v>Toàn Phát - Việt Nam</v>
      </c>
      <c r="B857" s="581" t="str">
        <f ca="1">IFERROR(__xludf.DUMMYFUNCTION("""COMPUTED_VALUE"""),"ĐTPCAYDI")</f>
        <v>ĐTPCAYDI</v>
      </c>
      <c r="C857" s="581" t="str">
        <f ca="1">IFERROR(__xludf.DUMMYFUNCTION("""COMPUTED_VALUE"""),"DOT6720")</f>
        <v>DOT6720</v>
      </c>
      <c r="D857" s="582" t="str">
        <f ca="1">IFERROR(__xludf.DUMMYFUNCTION("""COMPUTED_VALUE"""),"Đồng ống thẳng 67x2.0x2.9")</f>
        <v>Đồng ống thẳng 67x2.0x2.9</v>
      </c>
      <c r="E857" s="583">
        <f ca="1">IFERROR(__xludf.DUMMYFUNCTION("""COMPUTED_VALUE"""),0.1)</f>
        <v>0.1</v>
      </c>
      <c r="F857" s="584" t="str">
        <f ca="1">IFERROR(__xludf.DUMMYFUNCTION("""COMPUTED_VALUE"""),"Cây")</f>
        <v>Cây</v>
      </c>
      <c r="G857" s="584" t="str">
        <f ca="1">IFERROR(__xludf.DUMMYFUNCTION("""COMPUTED_VALUE"""),"Cây 2.9m")</f>
        <v>Cây 2.9m</v>
      </c>
      <c r="H857" s="582"/>
      <c r="I857" s="585">
        <f ca="1">IFERROR(__xludf.DUMMYFUNCTION("""COMPUTED_VALUE"""),10.9254599999999)</f>
        <v>10.9254599999999</v>
      </c>
      <c r="J857" s="586" t="str">
        <f ca="1">IFERROR(__xludf.DUMMYFUNCTION("""COMPUTED_VALUE""")," 67.00 ")</f>
        <v xml:space="preserve"> 67.00 </v>
      </c>
      <c r="K857" s="584" t="str">
        <f ca="1">IFERROR(__xludf.DUMMYFUNCTION("""COMPUTED_VALUE"""),"2.00")</f>
        <v>2.00</v>
      </c>
      <c r="L857" s="584">
        <f ca="1">IFERROR(__xludf.DUMMYFUNCTION("""COMPUTED_VALUE"""),2.9)</f>
        <v>2.9</v>
      </c>
      <c r="M857" s="584"/>
      <c r="N857" s="584" t="str">
        <f ca="1">IFERROR(__xludf.DUMMYFUNCTION("""COMPUTED_VALUE"""),"Dị_D&gt;54")</f>
        <v>Dị_D&gt;54</v>
      </c>
      <c r="O857" s="583">
        <f ca="1">IFERROR(__xludf.DUMMYFUNCTION("""COMPUTED_VALUE"""),1)</f>
        <v>1</v>
      </c>
      <c r="P857" s="584"/>
    </row>
    <row r="858" spans="1:16" ht="15.75">
      <c r="A858" s="587" t="str">
        <f ca="1">IFERROR(__xludf.DUMMYFUNCTION("""COMPUTED_VALUE"""),"Toàn Phát - Việt Nam")</f>
        <v>Toàn Phát - Việt Nam</v>
      </c>
      <c r="B858" s="587" t="str">
        <f ca="1">IFERROR(__xludf.DUMMYFUNCTION("""COMPUTED_VALUE"""),"ĐTPCAYDI")</f>
        <v>ĐTPCAYDI</v>
      </c>
      <c r="C858" s="587" t="str">
        <f ca="1">IFERROR(__xludf.DUMMYFUNCTION("""COMPUTED_VALUE"""),"DOT76130")</f>
        <v>DOT76130</v>
      </c>
      <c r="D858" s="588" t="str">
        <f ca="1">IFERROR(__xludf.DUMMYFUNCTION("""COMPUTED_VALUE"""),"Đồng ống thẳng 76x1.30")</f>
        <v>Đồng ống thẳng 76x1.30</v>
      </c>
      <c r="E858" s="589">
        <f ca="1">IFERROR(__xludf.DUMMYFUNCTION("""COMPUTED_VALUE"""),0.1)</f>
        <v>0.1</v>
      </c>
      <c r="F858" s="590" t="str">
        <f ca="1">IFERROR(__xludf.DUMMYFUNCTION("""COMPUTED_VALUE"""),"Cây")</f>
        <v>Cây</v>
      </c>
      <c r="G858" s="590" t="str">
        <f ca="1">IFERROR(__xludf.DUMMYFUNCTION("""COMPUTED_VALUE"""),"Cây 2.9m")</f>
        <v>Cây 2.9m</v>
      </c>
      <c r="H858" s="588"/>
      <c r="I858" s="591">
        <f ca="1">IFERROR(__xludf.DUMMYFUNCTION("""COMPUTED_VALUE"""),8.16131862)</f>
        <v>8.1613186199999994</v>
      </c>
      <c r="J858" s="592" t="str">
        <f ca="1">IFERROR(__xludf.DUMMYFUNCTION("""COMPUTED_VALUE""")," 76.00 ")</f>
        <v xml:space="preserve"> 76.00 </v>
      </c>
      <c r="K858" s="590" t="str">
        <f ca="1">IFERROR(__xludf.DUMMYFUNCTION("""COMPUTED_VALUE"""),"1.30")</f>
        <v>1.30</v>
      </c>
      <c r="L858" s="590">
        <f ca="1">IFERROR(__xludf.DUMMYFUNCTION("""COMPUTED_VALUE"""),2.9)</f>
        <v>2.9</v>
      </c>
      <c r="M858" s="590"/>
      <c r="N858" s="590" t="str">
        <f ca="1">IFERROR(__xludf.DUMMYFUNCTION("""COMPUTED_VALUE"""),"Dị_D&gt;54")</f>
        <v>Dị_D&gt;54</v>
      </c>
      <c r="O858" s="589">
        <f ca="1">IFERROR(__xludf.DUMMYFUNCTION("""COMPUTED_VALUE"""),1)</f>
        <v>1</v>
      </c>
      <c r="P858" s="590"/>
    </row>
    <row r="859" spans="1:16" ht="15.75">
      <c r="A859" s="581" t="str">
        <f ca="1">IFERROR(__xludf.DUMMYFUNCTION("""COMPUTED_VALUE"""),"Toàn Phát - Việt Nam")</f>
        <v>Toàn Phát - Việt Nam</v>
      </c>
      <c r="B859" s="581" t="str">
        <f ca="1">IFERROR(__xludf.DUMMYFUNCTION("""COMPUTED_VALUE"""),"ĐTPCAYDI")</f>
        <v>ĐTPCAYDI</v>
      </c>
      <c r="C859" s="581" t="str">
        <f ca="1">IFERROR(__xludf.DUMMYFUNCTION("""COMPUTED_VALUE"""),"DOT76160")</f>
        <v>DOT76160</v>
      </c>
      <c r="D859" s="582" t="str">
        <f ca="1">IFERROR(__xludf.DUMMYFUNCTION("""COMPUTED_VALUE"""),"Đồng ống thẳng 76x1.6")</f>
        <v>Đồng ống thẳng 76x1.6</v>
      </c>
      <c r="E859" s="583">
        <f ca="1">IFERROR(__xludf.DUMMYFUNCTION("""COMPUTED_VALUE"""),0.1)</f>
        <v>0.1</v>
      </c>
      <c r="F859" s="584" t="str">
        <f ca="1">IFERROR(__xludf.DUMMYFUNCTION("""COMPUTED_VALUE"""),"Cây")</f>
        <v>Cây</v>
      </c>
      <c r="G859" s="584" t="str">
        <f ca="1">IFERROR(__xludf.DUMMYFUNCTION("""COMPUTED_VALUE"""),"Cây 2.9m")</f>
        <v>Cây 2.9m</v>
      </c>
      <c r="H859" s="582"/>
      <c r="I859" s="585">
        <f ca="1">IFERROR(__xludf.DUMMYFUNCTION("""COMPUTED_VALUE"""),10.00435968)</f>
        <v>10.00435968</v>
      </c>
      <c r="J859" s="586" t="str">
        <f ca="1">IFERROR(__xludf.DUMMYFUNCTION("""COMPUTED_VALUE""")," 76.00 ")</f>
        <v xml:space="preserve"> 76.00 </v>
      </c>
      <c r="K859" s="584" t="str">
        <f ca="1">IFERROR(__xludf.DUMMYFUNCTION("""COMPUTED_VALUE"""),"1.60")</f>
        <v>1.60</v>
      </c>
      <c r="L859" s="584">
        <f ca="1">IFERROR(__xludf.DUMMYFUNCTION("""COMPUTED_VALUE"""),2.9)</f>
        <v>2.9</v>
      </c>
      <c r="M859" s="584"/>
      <c r="N859" s="584" t="str">
        <f ca="1">IFERROR(__xludf.DUMMYFUNCTION("""COMPUTED_VALUE"""),"Dị_D&gt;54")</f>
        <v>Dị_D&gt;54</v>
      </c>
      <c r="O859" s="583">
        <f ca="1">IFERROR(__xludf.DUMMYFUNCTION("""COMPUTED_VALUE"""),1)</f>
        <v>1</v>
      </c>
      <c r="P859" s="584"/>
    </row>
    <row r="860" spans="1:16" ht="15.75">
      <c r="A860" s="587" t="str">
        <f ca="1">IFERROR(__xludf.DUMMYFUNCTION("""COMPUTED_VALUE"""),"Toàn Phát - Việt Nam")</f>
        <v>Toàn Phát - Việt Nam</v>
      </c>
      <c r="B860" s="587" t="str">
        <f ca="1">IFERROR(__xludf.DUMMYFUNCTION("""COMPUTED_VALUE"""),"ĐTPCAYDI")</f>
        <v>ĐTPCAYDI</v>
      </c>
      <c r="C860" s="587" t="str">
        <f ca="1">IFERROR(__xludf.DUMMYFUNCTION("""COMPUTED_VALUE"""),"DOT7618")</f>
        <v>DOT7618</v>
      </c>
      <c r="D860" s="588" t="str">
        <f ca="1">IFERROR(__xludf.DUMMYFUNCTION("""COMPUTED_VALUE"""),"Đồng ống thẳng 76x1.80x2.9m")</f>
        <v>Đồng ống thẳng 76x1.80x2.9m</v>
      </c>
      <c r="E860" s="589">
        <f ca="1">IFERROR(__xludf.DUMMYFUNCTION("""COMPUTED_VALUE"""),0.1)</f>
        <v>0.1</v>
      </c>
      <c r="F860" s="590" t="str">
        <f ca="1">IFERROR(__xludf.DUMMYFUNCTION("""COMPUTED_VALUE"""),"Cây")</f>
        <v>Cây</v>
      </c>
      <c r="G860" s="590" t="str">
        <f ca="1">IFERROR(__xludf.DUMMYFUNCTION("""COMPUTED_VALUE"""),"Cây 2.9m")</f>
        <v>Cây 2.9m</v>
      </c>
      <c r="H860" s="588"/>
      <c r="I860" s="591">
        <f ca="1">IFERROR(__xludf.DUMMYFUNCTION("""COMPUTED_VALUE"""),11.22464952)</f>
        <v>11.22464952</v>
      </c>
      <c r="J860" s="592" t="str">
        <f ca="1">IFERROR(__xludf.DUMMYFUNCTION("""COMPUTED_VALUE""")," 76.00 ")</f>
        <v xml:space="preserve"> 76.00 </v>
      </c>
      <c r="K860" s="590" t="str">
        <f ca="1">IFERROR(__xludf.DUMMYFUNCTION("""COMPUTED_VALUE"""),"1.80")</f>
        <v>1.80</v>
      </c>
      <c r="L860" s="590">
        <f ca="1">IFERROR(__xludf.DUMMYFUNCTION("""COMPUTED_VALUE"""),2.9)</f>
        <v>2.9</v>
      </c>
      <c r="M860" s="590"/>
      <c r="N860" s="590" t="str">
        <f ca="1">IFERROR(__xludf.DUMMYFUNCTION("""COMPUTED_VALUE"""),"Dị_D&gt;54")</f>
        <v>Dị_D&gt;54</v>
      </c>
      <c r="O860" s="589">
        <f ca="1">IFERROR(__xludf.DUMMYFUNCTION("""COMPUTED_VALUE"""),1)</f>
        <v>1</v>
      </c>
      <c r="P860" s="590"/>
    </row>
    <row r="861" spans="1:16" ht="15.75">
      <c r="A861" s="581" t="str">
        <f ca="1">IFERROR(__xludf.DUMMYFUNCTION("""COMPUTED_VALUE"""),"Toàn Phát - Việt Nam")</f>
        <v>Toàn Phát - Việt Nam</v>
      </c>
      <c r="B861" s="581" t="str">
        <f ca="1">IFERROR(__xludf.DUMMYFUNCTION("""COMPUTED_VALUE"""),"ĐTPCAYDI")</f>
        <v>ĐTPCAYDI</v>
      </c>
      <c r="C861" s="581" t="str">
        <f ca="1">IFERROR(__xludf.DUMMYFUNCTION("""COMPUTED_VALUE"""),"DOT7922")</f>
        <v>DOT7922</v>
      </c>
      <c r="D861" s="582" t="str">
        <f ca="1">IFERROR(__xludf.DUMMYFUNCTION("""COMPUTED_VALUE"""),"Đồng ống thẳng 79x2.2x2.9m")</f>
        <v>Đồng ống thẳng 79x2.2x2.9m</v>
      </c>
      <c r="E861" s="583">
        <f ca="1">IFERROR(__xludf.DUMMYFUNCTION("""COMPUTED_VALUE"""),0.1)</f>
        <v>0.1</v>
      </c>
      <c r="F861" s="584" t="str">
        <f ca="1">IFERROR(__xludf.DUMMYFUNCTION("""COMPUTED_VALUE"""),"Cây")</f>
        <v>Cây</v>
      </c>
      <c r="G861" s="584" t="str">
        <f ca="1">IFERROR(__xludf.DUMMYFUNCTION("""COMPUTED_VALUE"""),"Cây 2.9m")</f>
        <v>Cây 2.9m</v>
      </c>
      <c r="H861" s="582"/>
      <c r="I861" s="585">
        <f ca="1">IFERROR(__xludf.DUMMYFUNCTION("""COMPUTED_VALUE"""),14.19973632)</f>
        <v>14.19973632</v>
      </c>
      <c r="J861" s="586" t="str">
        <f ca="1">IFERROR(__xludf.DUMMYFUNCTION("""COMPUTED_VALUE""")," 79.00 ")</f>
        <v xml:space="preserve"> 79.00 </v>
      </c>
      <c r="K861" s="584" t="str">
        <f ca="1">IFERROR(__xludf.DUMMYFUNCTION("""COMPUTED_VALUE"""),"2.20")</f>
        <v>2.20</v>
      </c>
      <c r="L861" s="584">
        <f ca="1">IFERROR(__xludf.DUMMYFUNCTION("""COMPUTED_VALUE"""),2.9)</f>
        <v>2.9</v>
      </c>
      <c r="M861" s="584"/>
      <c r="N861" s="584" t="str">
        <f ca="1">IFERROR(__xludf.DUMMYFUNCTION("""COMPUTED_VALUE"""),"Dị_D&gt;54")</f>
        <v>Dị_D&gt;54</v>
      </c>
      <c r="O861" s="583">
        <f ca="1">IFERROR(__xludf.DUMMYFUNCTION("""COMPUTED_VALUE"""),1)</f>
        <v>1</v>
      </c>
      <c r="P861" s="584"/>
    </row>
    <row r="862" spans="1:16" ht="15.75">
      <c r="A862" s="587" t="str">
        <f ca="1">IFERROR(__xludf.DUMMYFUNCTION("""COMPUTED_VALUE"""),"Toàn Phát - Việt Nam")</f>
        <v>Toàn Phát - Việt Nam</v>
      </c>
      <c r="B862" s="587" t="str">
        <f ca="1">IFERROR(__xludf.DUMMYFUNCTION("""COMPUTED_VALUE"""),"ĐTPCAYDI")</f>
        <v>ĐTPCAYDI</v>
      </c>
      <c r="C862" s="587" t="str">
        <f ca="1">IFERROR(__xludf.DUMMYFUNCTION("""COMPUTED_VALUE"""),"DOT7938160")</f>
        <v>DOT7938160</v>
      </c>
      <c r="D862" s="588" t="str">
        <f ca="1">IFERROR(__xludf.DUMMYFUNCTION("""COMPUTED_VALUE"""),"Đồng ống thẳng 79.38x1.60")</f>
        <v>Đồng ống thẳng 79.38x1.60</v>
      </c>
      <c r="E862" s="589">
        <f ca="1">IFERROR(__xludf.DUMMYFUNCTION("""COMPUTED_VALUE"""),0.1)</f>
        <v>0.1</v>
      </c>
      <c r="F862" s="590" t="str">
        <f ca="1">IFERROR(__xludf.DUMMYFUNCTION("""COMPUTED_VALUE"""),"Cây")</f>
        <v>Cây</v>
      </c>
      <c r="G862" s="590" t="str">
        <f ca="1">IFERROR(__xludf.DUMMYFUNCTION("""COMPUTED_VALUE"""),"Cây 2.9m")</f>
        <v>Cây 2.9m</v>
      </c>
      <c r="H862" s="588"/>
      <c r="I862" s="591">
        <f ca="1">IFERROR(__xludf.DUMMYFUNCTION("""COMPUTED_VALUE"""),10.458858816)</f>
        <v>10.458858815999999</v>
      </c>
      <c r="J862" s="592" t="str">
        <f ca="1">IFERROR(__xludf.DUMMYFUNCTION("""COMPUTED_VALUE""")," 79.38 ")</f>
        <v xml:space="preserve"> 79.38 </v>
      </c>
      <c r="K862" s="590" t="str">
        <f ca="1">IFERROR(__xludf.DUMMYFUNCTION("""COMPUTED_VALUE"""),"1.60")</f>
        <v>1.60</v>
      </c>
      <c r="L862" s="590">
        <f ca="1">IFERROR(__xludf.DUMMYFUNCTION("""COMPUTED_VALUE"""),2.9)</f>
        <v>2.9</v>
      </c>
      <c r="M862" s="590"/>
      <c r="N862" s="590" t="str">
        <f ca="1">IFERROR(__xludf.DUMMYFUNCTION("""COMPUTED_VALUE"""),"Dị_D&gt;54")</f>
        <v>Dị_D&gt;54</v>
      </c>
      <c r="O862" s="589">
        <f ca="1">IFERROR(__xludf.DUMMYFUNCTION("""COMPUTED_VALUE"""),1)</f>
        <v>1</v>
      </c>
      <c r="P862" s="590"/>
    </row>
    <row r="863" spans="1:16" ht="15.75">
      <c r="A863" s="581" t="str">
        <f ca="1">IFERROR(__xludf.DUMMYFUNCTION("""COMPUTED_VALUE"""),"Toàn Phát - Việt Nam")</f>
        <v>Toàn Phát - Việt Nam</v>
      </c>
      <c r="B863" s="581" t="str">
        <f ca="1">IFERROR(__xludf.DUMMYFUNCTION("""COMPUTED_VALUE"""),"ĐTPCAYDI")</f>
        <v>ĐTPCAYDI</v>
      </c>
      <c r="C863" s="581" t="str">
        <f ca="1">IFERROR(__xludf.DUMMYFUNCTION("""COMPUTED_VALUE"""),"DOT7938277")</f>
        <v>DOT7938277</v>
      </c>
      <c r="D863" s="582" t="str">
        <f ca="1">IFERROR(__xludf.DUMMYFUNCTION("""COMPUTED_VALUE"""),"Đồng ống thẳng 79.38x2.77")</f>
        <v>Đồng ống thẳng 79.38x2.77</v>
      </c>
      <c r="E863" s="583">
        <f ca="1">IFERROR(__xludf.DUMMYFUNCTION("""COMPUTED_VALUE"""),0.1)</f>
        <v>0.1</v>
      </c>
      <c r="F863" s="584" t="str">
        <f ca="1">IFERROR(__xludf.DUMMYFUNCTION("""COMPUTED_VALUE"""),"Cây")</f>
        <v>Cây</v>
      </c>
      <c r="G863" s="584" t="str">
        <f ca="1">IFERROR(__xludf.DUMMYFUNCTION("""COMPUTED_VALUE"""),"Cây 2.9m")</f>
        <v>Cây 2.9m</v>
      </c>
      <c r="H863" s="582"/>
      <c r="I863" s="585">
        <f ca="1">IFERROR(__xludf.DUMMYFUNCTION("""COMPUTED_VALUE"""),17.8345276074)</f>
        <v>17.834527607399998</v>
      </c>
      <c r="J863" s="586" t="str">
        <f ca="1">IFERROR(__xludf.DUMMYFUNCTION("""COMPUTED_VALUE""")," 79.38 ")</f>
        <v xml:space="preserve"> 79.38 </v>
      </c>
      <c r="K863" s="584" t="str">
        <f ca="1">IFERROR(__xludf.DUMMYFUNCTION("""COMPUTED_VALUE"""),"2.77")</f>
        <v>2.77</v>
      </c>
      <c r="L863" s="584">
        <f ca="1">IFERROR(__xludf.DUMMYFUNCTION("""COMPUTED_VALUE"""),2.9)</f>
        <v>2.9</v>
      </c>
      <c r="M863" s="584"/>
      <c r="N863" s="584" t="str">
        <f ca="1">IFERROR(__xludf.DUMMYFUNCTION("""COMPUTED_VALUE"""),"Dị_D&gt;54")</f>
        <v>Dị_D&gt;54</v>
      </c>
      <c r="O863" s="583">
        <f ca="1">IFERROR(__xludf.DUMMYFUNCTION("""COMPUTED_VALUE"""),1)</f>
        <v>1</v>
      </c>
      <c r="P863" s="584"/>
    </row>
    <row r="864" spans="1:16" ht="15.75">
      <c r="A864" s="587" t="str">
        <f ca="1">IFERROR(__xludf.DUMMYFUNCTION("""COMPUTED_VALUE"""),"Toàn Phát - Việt Nam")</f>
        <v>Toàn Phát - Việt Nam</v>
      </c>
      <c r="B864" s="587" t="str">
        <f ca="1">IFERROR(__xludf.DUMMYFUNCTION("""COMPUTED_VALUE"""),"ĐTPBANH")</f>
        <v>ĐTPBANH</v>
      </c>
      <c r="C864" s="587" t="str">
        <f ca="1">IFERROR(__xludf.DUMMYFUNCTION("""COMPUTED_VALUE"""),"DOLWC0160050")</f>
        <v>DOLWC0160050</v>
      </c>
      <c r="D864" s="588" t="str">
        <f ca="1">IFERROR(__xludf.DUMMYFUNCTION("""COMPUTED_VALUE"""),"Đồng cuộn LWC 1.60x0.50")</f>
        <v>Đồng cuộn LWC 1.60x0.50</v>
      </c>
      <c r="E864" s="589">
        <f ca="1">IFERROR(__xludf.DUMMYFUNCTION("""COMPUTED_VALUE"""),0.1)</f>
        <v>0.1</v>
      </c>
      <c r="F864" s="590" t="str">
        <f ca="1">IFERROR(__xludf.DUMMYFUNCTION("""COMPUTED_VALUE"""),"m")</f>
        <v>m</v>
      </c>
      <c r="G864" s="590" t="str">
        <f ca="1">IFERROR(__xludf.DUMMYFUNCTION("""COMPUTED_VALUE"""),"m")</f>
        <v>m</v>
      </c>
      <c r="H864" s="588"/>
      <c r="I864" s="591">
        <f ca="1">IFERROR(__xludf.DUMMYFUNCTION("""COMPUTED_VALUE"""),0.015939)</f>
        <v>1.5938999999999998E-2</v>
      </c>
      <c r="J864" s="592" t="str">
        <f ca="1">IFERROR(__xludf.DUMMYFUNCTION("""COMPUTED_VALUE""")," 01.60 ")</f>
        <v xml:space="preserve"> 01.60 </v>
      </c>
      <c r="K864" s="590" t="str">
        <f ca="1">IFERROR(__xludf.DUMMYFUNCTION("""COMPUTED_VALUE"""),"0.50")</f>
        <v>0.50</v>
      </c>
      <c r="L864" s="590">
        <f ca="1">IFERROR(__xludf.DUMMYFUNCTION("""COMPUTED_VALUE"""),1)</f>
        <v>1</v>
      </c>
      <c r="M864" s="590"/>
      <c r="N864" s="590" t="str">
        <f ca="1">IFERROR(__xludf.DUMMYFUNCTION("""COMPUTED_VALUE"""),"Dị_D&lt;54")</f>
        <v>Dị_D&lt;54</v>
      </c>
      <c r="O864" s="589"/>
      <c r="P864" s="590"/>
    </row>
    <row r="865" spans="1:16" ht="15.75">
      <c r="A865" s="581" t="str">
        <f ca="1">IFERROR(__xludf.DUMMYFUNCTION("""COMPUTED_VALUE"""),"Toàn Phát - Việt Nam")</f>
        <v>Toàn Phát - Việt Nam</v>
      </c>
      <c r="B865" s="581" t="str">
        <f ca="1">IFERROR(__xludf.DUMMYFUNCTION("""COMPUTED_VALUE"""),"ĐTPBANH")</f>
        <v>ĐTPBANH</v>
      </c>
      <c r="C865" s="581" t="str">
        <f ca="1">IFERROR(__xludf.DUMMYFUNCTION("""COMPUTED_VALUE"""),"DOLWC0194061")</f>
        <v>DOLWC0194061</v>
      </c>
      <c r="D865" s="582" t="str">
        <f ca="1">IFERROR(__xludf.DUMMYFUNCTION("""COMPUTED_VALUE"""),"Đồng cuộn LWC 1.94x0.61")</f>
        <v>Đồng cuộn LWC 1.94x0.61</v>
      </c>
      <c r="E865" s="583">
        <f ca="1">IFERROR(__xludf.DUMMYFUNCTION("""COMPUTED_VALUE"""),0.1)</f>
        <v>0.1</v>
      </c>
      <c r="F865" s="584" t="str">
        <f ca="1">IFERROR(__xludf.DUMMYFUNCTION("""COMPUTED_VALUE"""),"m")</f>
        <v>m</v>
      </c>
      <c r="G865" s="584" t="str">
        <f ca="1">IFERROR(__xludf.DUMMYFUNCTION("""COMPUTED_VALUE"""),"m")</f>
        <v>m</v>
      </c>
      <c r="H865" s="582"/>
      <c r="I865" s="585">
        <f ca="1">IFERROR(__xludf.DUMMYFUNCTION("""COMPUTED_VALUE"""),0.023511474)</f>
        <v>2.3511474000000001E-2</v>
      </c>
      <c r="J865" s="586" t="str">
        <f ca="1">IFERROR(__xludf.DUMMYFUNCTION("""COMPUTED_VALUE""")," 01.94 ")</f>
        <v xml:space="preserve"> 01.94 </v>
      </c>
      <c r="K865" s="584" t="str">
        <f ca="1">IFERROR(__xludf.DUMMYFUNCTION("""COMPUTED_VALUE"""),"0.61")</f>
        <v>0.61</v>
      </c>
      <c r="L865" s="584">
        <f ca="1">IFERROR(__xludf.DUMMYFUNCTION("""COMPUTED_VALUE"""),1)</f>
        <v>1</v>
      </c>
      <c r="M865" s="584"/>
      <c r="N865" s="584" t="str">
        <f ca="1">IFERROR(__xludf.DUMMYFUNCTION("""COMPUTED_VALUE"""),"Dị_D&lt;54")</f>
        <v>Dị_D&lt;54</v>
      </c>
      <c r="O865" s="583"/>
      <c r="P865" s="584"/>
    </row>
    <row r="866" spans="1:16" ht="15.75">
      <c r="A866" s="587" t="str">
        <f ca="1">IFERROR(__xludf.DUMMYFUNCTION("""COMPUTED_VALUE"""),"Toàn Phát - Việt Nam")</f>
        <v>Toàn Phát - Việt Nam</v>
      </c>
      <c r="B866" s="587" t="str">
        <f ca="1">IFERROR(__xludf.DUMMYFUNCTION("""COMPUTED_VALUE"""),"ĐTPBANH")</f>
        <v>ĐTPBANH</v>
      </c>
      <c r="C866" s="587" t="str">
        <f ca="1">IFERROR(__xludf.DUMMYFUNCTION("""COMPUTED_VALUE"""),"DOLWC0250050")</f>
        <v>DOLWC0250050</v>
      </c>
      <c r="D866" s="588" t="str">
        <f ca="1">IFERROR(__xludf.DUMMYFUNCTION("""COMPUTED_VALUE"""),"Đồng cuộn LWC 2.50x0.50")</f>
        <v>Đồng cuộn LWC 2.50x0.50</v>
      </c>
      <c r="E866" s="589">
        <f ca="1">IFERROR(__xludf.DUMMYFUNCTION("""COMPUTED_VALUE"""),0.1)</f>
        <v>0.1</v>
      </c>
      <c r="F866" s="590" t="str">
        <f ca="1">IFERROR(__xludf.DUMMYFUNCTION("""COMPUTED_VALUE"""),"m")</f>
        <v>m</v>
      </c>
      <c r="G866" s="590" t="str">
        <f ca="1">IFERROR(__xludf.DUMMYFUNCTION("""COMPUTED_VALUE"""),"m")</f>
        <v>m</v>
      </c>
      <c r="H866" s="588"/>
      <c r="I866" s="591">
        <f ca="1">IFERROR(__xludf.DUMMYFUNCTION("""COMPUTED_VALUE"""),0.02898)</f>
        <v>2.8979999999999999E-2</v>
      </c>
      <c r="J866" s="592" t="str">
        <f ca="1">IFERROR(__xludf.DUMMYFUNCTION("""COMPUTED_VALUE""")," 02.50 ")</f>
        <v xml:space="preserve"> 02.50 </v>
      </c>
      <c r="K866" s="590" t="str">
        <f ca="1">IFERROR(__xludf.DUMMYFUNCTION("""COMPUTED_VALUE"""),"0.50")</f>
        <v>0.50</v>
      </c>
      <c r="L866" s="590">
        <f ca="1">IFERROR(__xludf.DUMMYFUNCTION("""COMPUTED_VALUE"""),1)</f>
        <v>1</v>
      </c>
      <c r="M866" s="590"/>
      <c r="N866" s="590" t="str">
        <f ca="1">IFERROR(__xludf.DUMMYFUNCTION("""COMPUTED_VALUE"""),"Dị_D&lt;54")</f>
        <v>Dị_D&lt;54</v>
      </c>
      <c r="O866" s="589"/>
      <c r="P866" s="590"/>
    </row>
    <row r="867" spans="1:16" ht="15.75">
      <c r="A867" s="581" t="str">
        <f ca="1">IFERROR(__xludf.DUMMYFUNCTION("""COMPUTED_VALUE"""),"Toàn Phát - Việt Nam")</f>
        <v>Toàn Phát - Việt Nam</v>
      </c>
      <c r="B867" s="581" t="str">
        <f ca="1">IFERROR(__xludf.DUMMYFUNCTION("""COMPUTED_VALUE"""),"ĐTPBANH")</f>
        <v>ĐTPBANH</v>
      </c>
      <c r="C867" s="581" t="str">
        <f ca="1">IFERROR(__xludf.DUMMYFUNCTION("""COMPUTED_VALUE"""),"DOLWC0300040")</f>
        <v>DOLWC0300040</v>
      </c>
      <c r="D867" s="582" t="str">
        <f ca="1">IFERROR(__xludf.DUMMYFUNCTION("""COMPUTED_VALUE"""),"Đồng cuộn LWC 03.00x0.40")</f>
        <v>Đồng cuộn LWC 03.00x0.40</v>
      </c>
      <c r="E867" s="583">
        <f ca="1">IFERROR(__xludf.DUMMYFUNCTION("""COMPUTED_VALUE"""),0.1)</f>
        <v>0.1</v>
      </c>
      <c r="F867" s="584" t="str">
        <f ca="1">IFERROR(__xludf.DUMMYFUNCTION("""COMPUTED_VALUE"""),"m")</f>
        <v>m</v>
      </c>
      <c r="G867" s="584" t="str">
        <f ca="1">IFERROR(__xludf.DUMMYFUNCTION("""COMPUTED_VALUE"""),"m")</f>
        <v>m</v>
      </c>
      <c r="H867" s="582"/>
      <c r="I867" s="585">
        <f ca="1">IFERROR(__xludf.DUMMYFUNCTION("""COMPUTED_VALUE"""),0.0301391999999999)</f>
        <v>3.0139199999999901E-2</v>
      </c>
      <c r="J867" s="586" t="str">
        <f ca="1">IFERROR(__xludf.DUMMYFUNCTION("""COMPUTED_VALUE""")," 03.00 ")</f>
        <v xml:space="preserve"> 03.00 </v>
      </c>
      <c r="K867" s="584" t="str">
        <f ca="1">IFERROR(__xludf.DUMMYFUNCTION("""COMPUTED_VALUE"""),"0.40")</f>
        <v>0.40</v>
      </c>
      <c r="L867" s="584">
        <f ca="1">IFERROR(__xludf.DUMMYFUNCTION("""COMPUTED_VALUE"""),1)</f>
        <v>1</v>
      </c>
      <c r="M867" s="584"/>
      <c r="N867" s="584" t="str">
        <f ca="1">IFERROR(__xludf.DUMMYFUNCTION("""COMPUTED_VALUE"""),"Dị_D&lt;54")</f>
        <v>Dị_D&lt;54</v>
      </c>
      <c r="O867" s="583"/>
      <c r="P867" s="584"/>
    </row>
    <row r="868" spans="1:16" ht="15.75">
      <c r="A868" s="587" t="str">
        <f ca="1">IFERROR(__xludf.DUMMYFUNCTION("""COMPUTED_VALUE"""),"Toàn Phát - Việt Nam")</f>
        <v>Toàn Phát - Việt Nam</v>
      </c>
      <c r="B868" s="587" t="str">
        <f ca="1">IFERROR(__xludf.DUMMYFUNCTION("""COMPUTED_VALUE"""),"ĐTPBANH")</f>
        <v>ĐTPBANH</v>
      </c>
      <c r="C868" s="587" t="str">
        <f ca="1">IFERROR(__xludf.DUMMYFUNCTION("""COMPUTED_VALUE"""),"DOLWC0350040")</f>
        <v>DOLWC0350040</v>
      </c>
      <c r="D868" s="588" t="str">
        <f ca="1">IFERROR(__xludf.DUMMYFUNCTION("""COMPUTED_VALUE"""),"Đồng cuộn LWC 03.50x0.40")</f>
        <v>Đồng cuộn LWC 03.50x0.40</v>
      </c>
      <c r="E868" s="589">
        <f ca="1">IFERROR(__xludf.DUMMYFUNCTION("""COMPUTED_VALUE"""),0.1)</f>
        <v>0.1</v>
      </c>
      <c r="F868" s="590" t="str">
        <f ca="1">IFERROR(__xludf.DUMMYFUNCTION("""COMPUTED_VALUE"""),"m")</f>
        <v>m</v>
      </c>
      <c r="G868" s="590" t="str">
        <f ca="1">IFERROR(__xludf.DUMMYFUNCTION("""COMPUTED_VALUE"""),"m")</f>
        <v>m</v>
      </c>
      <c r="H868" s="588"/>
      <c r="I868" s="591">
        <f ca="1">IFERROR(__xludf.DUMMYFUNCTION("""COMPUTED_VALUE"""),0.0359352)</f>
        <v>3.59352E-2</v>
      </c>
      <c r="J868" s="592" t="str">
        <f ca="1">IFERROR(__xludf.DUMMYFUNCTION("""COMPUTED_VALUE""")," 03.50 ")</f>
        <v xml:space="preserve"> 03.50 </v>
      </c>
      <c r="K868" s="590" t="str">
        <f ca="1">IFERROR(__xludf.DUMMYFUNCTION("""COMPUTED_VALUE"""),"0.40")</f>
        <v>0.40</v>
      </c>
      <c r="L868" s="590">
        <f ca="1">IFERROR(__xludf.DUMMYFUNCTION("""COMPUTED_VALUE"""),1)</f>
        <v>1</v>
      </c>
      <c r="M868" s="590"/>
      <c r="N868" s="590" t="str">
        <f ca="1">IFERROR(__xludf.DUMMYFUNCTION("""COMPUTED_VALUE"""),"Dị_D&lt;54")</f>
        <v>Dị_D&lt;54</v>
      </c>
      <c r="O868" s="589"/>
      <c r="P868" s="590"/>
    </row>
    <row r="869" spans="1:16" ht="15.75">
      <c r="A869" s="581" t="str">
        <f ca="1">IFERROR(__xludf.DUMMYFUNCTION("""COMPUTED_VALUE"""),"Toàn Phát - Việt Nam")</f>
        <v>Toàn Phát - Việt Nam</v>
      </c>
      <c r="B869" s="581" t="str">
        <f ca="1">IFERROR(__xludf.DUMMYFUNCTION("""COMPUTED_VALUE"""),"ĐTPBANH")</f>
        <v>ĐTPBANH</v>
      </c>
      <c r="C869" s="581" t="str">
        <f ca="1">IFERROR(__xludf.DUMMYFUNCTION("""COMPUTED_VALUE"""),"DOLWC0350045")</f>
        <v>DOLWC0350045</v>
      </c>
      <c r="D869" s="582" t="str">
        <f ca="1">IFERROR(__xludf.DUMMYFUNCTION("""COMPUTED_VALUE"""),"Đồng cuộn LWC 03.50x0.45")</f>
        <v>Đồng cuộn LWC 03.50x0.45</v>
      </c>
      <c r="E869" s="583">
        <f ca="1">IFERROR(__xludf.DUMMYFUNCTION("""COMPUTED_VALUE"""),0.1)</f>
        <v>0.1</v>
      </c>
      <c r="F869" s="584" t="str">
        <f ca="1">IFERROR(__xludf.DUMMYFUNCTION("""COMPUTED_VALUE"""),"m")</f>
        <v>m</v>
      </c>
      <c r="G869" s="584" t="str">
        <f ca="1">IFERROR(__xludf.DUMMYFUNCTION("""COMPUTED_VALUE"""),"m")</f>
        <v>m</v>
      </c>
      <c r="H869" s="582"/>
      <c r="I869" s="585">
        <f ca="1">IFERROR(__xludf.DUMMYFUNCTION("""COMPUTED_VALUE"""),0.0397750499999999)</f>
        <v>3.9775049999999902E-2</v>
      </c>
      <c r="J869" s="586" t="str">
        <f ca="1">IFERROR(__xludf.DUMMYFUNCTION("""COMPUTED_VALUE""")," 03.50 ")</f>
        <v xml:space="preserve"> 03.50 </v>
      </c>
      <c r="K869" s="584" t="str">
        <f ca="1">IFERROR(__xludf.DUMMYFUNCTION("""COMPUTED_VALUE"""),"0.45")</f>
        <v>0.45</v>
      </c>
      <c r="L869" s="584">
        <f ca="1">IFERROR(__xludf.DUMMYFUNCTION("""COMPUTED_VALUE"""),1)</f>
        <v>1</v>
      </c>
      <c r="M869" s="584"/>
      <c r="N869" s="584" t="str">
        <f ca="1">IFERROR(__xludf.DUMMYFUNCTION("""COMPUTED_VALUE"""),"Dị_D&lt;54")</f>
        <v>Dị_D&lt;54</v>
      </c>
      <c r="O869" s="583"/>
      <c r="P869" s="584"/>
    </row>
    <row r="870" spans="1:16" ht="15.75">
      <c r="A870" s="587" t="str">
        <f ca="1">IFERROR(__xludf.DUMMYFUNCTION("""COMPUTED_VALUE"""),"Toàn Phát - Việt Nam")</f>
        <v>Toàn Phát - Việt Nam</v>
      </c>
      <c r="B870" s="587" t="str">
        <f ca="1">IFERROR(__xludf.DUMMYFUNCTION("""COMPUTED_VALUE"""),"ĐTPBANH")</f>
        <v>ĐTPBANH</v>
      </c>
      <c r="C870" s="587" t="str">
        <f ca="1">IFERROR(__xludf.DUMMYFUNCTION("""COMPUTED_VALUE"""),"DOLWC0400050")</f>
        <v>DOLWC0400050</v>
      </c>
      <c r="D870" s="588" t="str">
        <f ca="1">IFERROR(__xludf.DUMMYFUNCTION("""COMPUTED_VALUE"""),"Đồng cuộn LWC 04.00x0.50")</f>
        <v>Đồng cuộn LWC 04.00x0.50</v>
      </c>
      <c r="E870" s="589">
        <f ca="1">IFERROR(__xludf.DUMMYFUNCTION("""COMPUTED_VALUE"""),0.1)</f>
        <v>0.1</v>
      </c>
      <c r="F870" s="590" t="str">
        <f ca="1">IFERROR(__xludf.DUMMYFUNCTION("""COMPUTED_VALUE"""),"m")</f>
        <v>m</v>
      </c>
      <c r="G870" s="590" t="str">
        <f ca="1">IFERROR(__xludf.DUMMYFUNCTION("""COMPUTED_VALUE"""),"m")</f>
        <v>m</v>
      </c>
      <c r="H870" s="588"/>
      <c r="I870" s="591">
        <f ca="1">IFERROR(__xludf.DUMMYFUNCTION("""COMPUTED_VALUE"""),0.0507149999999999)</f>
        <v>5.0714999999999899E-2</v>
      </c>
      <c r="J870" s="592" t="str">
        <f ca="1">IFERROR(__xludf.DUMMYFUNCTION("""COMPUTED_VALUE""")," 04.00 ")</f>
        <v xml:space="preserve"> 04.00 </v>
      </c>
      <c r="K870" s="590" t="str">
        <f ca="1">IFERROR(__xludf.DUMMYFUNCTION("""COMPUTED_VALUE"""),"0.50")</f>
        <v>0.50</v>
      </c>
      <c r="L870" s="590">
        <f ca="1">IFERROR(__xludf.DUMMYFUNCTION("""COMPUTED_VALUE"""),1)</f>
        <v>1</v>
      </c>
      <c r="M870" s="590"/>
      <c r="N870" s="590" t="str">
        <f ca="1">IFERROR(__xludf.DUMMYFUNCTION("""COMPUTED_VALUE"""),"Dị_D&lt;54")</f>
        <v>Dị_D&lt;54</v>
      </c>
      <c r="O870" s="589"/>
      <c r="P870" s="590"/>
    </row>
    <row r="871" spans="1:16" ht="15.75">
      <c r="A871" s="581" t="str">
        <f ca="1">IFERROR(__xludf.DUMMYFUNCTION("""COMPUTED_VALUE"""),"Toàn Phát - Việt Nam")</f>
        <v>Toàn Phát - Việt Nam</v>
      </c>
      <c r="B871" s="581" t="str">
        <f ca="1">IFERROR(__xludf.DUMMYFUNCTION("""COMPUTED_VALUE"""),"ĐTPBANH")</f>
        <v>ĐTPBANH</v>
      </c>
      <c r="C871" s="581" t="str">
        <f ca="1">IFERROR(__xludf.DUMMYFUNCTION("""COMPUTED_VALUE"""),"DOLWC0400100")</f>
        <v>DOLWC0400100</v>
      </c>
      <c r="D871" s="582" t="str">
        <f ca="1">IFERROR(__xludf.DUMMYFUNCTION("""COMPUTED_VALUE"""),"Đồng cuộn LWC 04.00x1.0")</f>
        <v>Đồng cuộn LWC 04.00x1.0</v>
      </c>
      <c r="E871" s="583">
        <f ca="1">IFERROR(__xludf.DUMMYFUNCTION("""COMPUTED_VALUE"""),0.1)</f>
        <v>0.1</v>
      </c>
      <c r="F871" s="584" t="str">
        <f ca="1">IFERROR(__xludf.DUMMYFUNCTION("""COMPUTED_VALUE"""),"m")</f>
        <v>m</v>
      </c>
      <c r="G871" s="584" t="str">
        <f ca="1">IFERROR(__xludf.DUMMYFUNCTION("""COMPUTED_VALUE"""),"m")</f>
        <v>m</v>
      </c>
      <c r="H871" s="582"/>
      <c r="I871" s="585">
        <f ca="1">IFERROR(__xludf.DUMMYFUNCTION("""COMPUTED_VALUE"""),0.08694)</f>
        <v>8.6940000000000003E-2</v>
      </c>
      <c r="J871" s="586" t="str">
        <f ca="1">IFERROR(__xludf.DUMMYFUNCTION("""COMPUTED_VALUE""")," 04.00 ")</f>
        <v xml:space="preserve"> 04.00 </v>
      </c>
      <c r="K871" s="584" t="str">
        <f ca="1">IFERROR(__xludf.DUMMYFUNCTION("""COMPUTED_VALUE"""),"1.00")</f>
        <v>1.00</v>
      </c>
      <c r="L871" s="584">
        <f ca="1">IFERROR(__xludf.DUMMYFUNCTION("""COMPUTED_VALUE"""),1)</f>
        <v>1</v>
      </c>
      <c r="M871" s="584"/>
      <c r="N871" s="584" t="str">
        <f ca="1">IFERROR(__xludf.DUMMYFUNCTION("""COMPUTED_VALUE"""),"Dị_D&lt;54")</f>
        <v>Dị_D&lt;54</v>
      </c>
      <c r="O871" s="583"/>
      <c r="P871" s="584"/>
    </row>
    <row r="872" spans="1:16" ht="15.75">
      <c r="A872" s="587" t="str">
        <f ca="1">IFERROR(__xludf.DUMMYFUNCTION("""COMPUTED_VALUE"""),"Toàn Phát - Việt Nam")</f>
        <v>Toàn Phát - Việt Nam</v>
      </c>
      <c r="B872" s="587" t="str">
        <f ca="1">IFERROR(__xludf.DUMMYFUNCTION("""COMPUTED_VALUE"""),"ĐTPBANH")</f>
        <v>ĐTPBANH</v>
      </c>
      <c r="C872" s="587" t="str">
        <f ca="1">IFERROR(__xludf.DUMMYFUNCTION("""COMPUTED_VALUE"""),"DOLWC0476051")</f>
        <v>DOLWC0476051</v>
      </c>
      <c r="D872" s="588" t="str">
        <f ca="1">IFERROR(__xludf.DUMMYFUNCTION("""COMPUTED_VALUE"""),"Đồng cuộn LWC 04.76x0.51")</f>
        <v>Đồng cuộn LWC 04.76x0.51</v>
      </c>
      <c r="E872" s="589">
        <f ca="1">IFERROR(__xludf.DUMMYFUNCTION("""COMPUTED_VALUE"""),0.1)</f>
        <v>0.1</v>
      </c>
      <c r="F872" s="590" t="str">
        <f ca="1">IFERROR(__xludf.DUMMYFUNCTION("""COMPUTED_VALUE"""),"m")</f>
        <v>m</v>
      </c>
      <c r="G872" s="590" t="str">
        <f ca="1">IFERROR(__xludf.DUMMYFUNCTION("""COMPUTED_VALUE"""),"m")</f>
        <v>m</v>
      </c>
      <c r="H872" s="588"/>
      <c r="I872" s="591">
        <f ca="1">IFERROR(__xludf.DUMMYFUNCTION("""COMPUTED_VALUE"""),0.06281415)</f>
        <v>6.2814149999999999E-2</v>
      </c>
      <c r="J872" s="592" t="str">
        <f ca="1">IFERROR(__xludf.DUMMYFUNCTION("""COMPUTED_VALUE""")," 04.76 ")</f>
        <v xml:space="preserve"> 04.76 </v>
      </c>
      <c r="K872" s="590" t="str">
        <f ca="1">IFERROR(__xludf.DUMMYFUNCTION("""COMPUTED_VALUE"""),"0.51")</f>
        <v>0.51</v>
      </c>
      <c r="L872" s="590">
        <f ca="1">IFERROR(__xludf.DUMMYFUNCTION("""COMPUTED_VALUE"""),1)</f>
        <v>1</v>
      </c>
      <c r="M872" s="590"/>
      <c r="N872" s="590" t="str">
        <f ca="1">IFERROR(__xludf.DUMMYFUNCTION("""COMPUTED_VALUE"""),"Dị_D&lt;54")</f>
        <v>Dị_D&lt;54</v>
      </c>
      <c r="O872" s="589"/>
      <c r="P872" s="590"/>
    </row>
    <row r="873" spans="1:16" ht="15.75">
      <c r="A873" s="581" t="str">
        <f ca="1">IFERROR(__xludf.DUMMYFUNCTION("""COMPUTED_VALUE"""),"Toàn Phát - Việt Nam")</f>
        <v>Toàn Phát - Việt Nam</v>
      </c>
      <c r="B873" s="581" t="str">
        <f ca="1">IFERROR(__xludf.DUMMYFUNCTION("""COMPUTED_VALUE"""),"ĐTPBANH")</f>
        <v>ĐTPBANH</v>
      </c>
      <c r="C873" s="581" t="str">
        <f ca="1">IFERROR(__xludf.DUMMYFUNCTION("""COMPUTED_VALUE"""),"DOLWC0500041")</f>
        <v>DOLWC0500041</v>
      </c>
      <c r="D873" s="582" t="str">
        <f ca="1">IFERROR(__xludf.DUMMYFUNCTION("""COMPUTED_VALUE"""),"Đồng cuộn LWC 5.00x0.41")</f>
        <v>Đồng cuộn LWC 5.00x0.41</v>
      </c>
      <c r="E873" s="583">
        <f ca="1">IFERROR(__xludf.DUMMYFUNCTION("""COMPUTED_VALUE"""),0.1)</f>
        <v>0.1</v>
      </c>
      <c r="F873" s="584" t="str">
        <f ca="1">IFERROR(__xludf.DUMMYFUNCTION("""COMPUTED_VALUE"""),"m")</f>
        <v>m</v>
      </c>
      <c r="G873" s="584" t="str">
        <f ca="1">IFERROR(__xludf.DUMMYFUNCTION("""COMPUTED_VALUE"""),"m")</f>
        <v>m</v>
      </c>
      <c r="H873" s="582"/>
      <c r="I873" s="585">
        <f ca="1">IFERROR(__xludf.DUMMYFUNCTION("""COMPUTED_VALUE"""),0.0545374619999999)</f>
        <v>5.4537461999999898E-2</v>
      </c>
      <c r="J873" s="586" t="str">
        <f ca="1">IFERROR(__xludf.DUMMYFUNCTION("""COMPUTED_VALUE""")," 05.00 ")</f>
        <v xml:space="preserve"> 05.00 </v>
      </c>
      <c r="K873" s="584" t="str">
        <f ca="1">IFERROR(__xludf.DUMMYFUNCTION("""COMPUTED_VALUE"""),"0.41")</f>
        <v>0.41</v>
      </c>
      <c r="L873" s="584">
        <f ca="1">IFERROR(__xludf.DUMMYFUNCTION("""COMPUTED_VALUE"""),1)</f>
        <v>1</v>
      </c>
      <c r="M873" s="584"/>
      <c r="N873" s="584" t="str">
        <f ca="1">IFERROR(__xludf.DUMMYFUNCTION("""COMPUTED_VALUE"""),"Dị_D&lt;54")</f>
        <v>Dị_D&lt;54</v>
      </c>
      <c r="O873" s="583"/>
      <c r="P873" s="584"/>
    </row>
    <row r="874" spans="1:16" ht="15.75">
      <c r="A874" s="587" t="str">
        <f ca="1">IFERROR(__xludf.DUMMYFUNCTION("""COMPUTED_VALUE"""),"Toàn Phát - Việt Nam")</f>
        <v>Toàn Phát - Việt Nam</v>
      </c>
      <c r="B874" s="587" t="str">
        <f ca="1">IFERROR(__xludf.DUMMYFUNCTION("""COMPUTED_VALUE"""),"ĐTPBANH")</f>
        <v>ĐTPBANH</v>
      </c>
      <c r="C874" s="587" t="str">
        <f ca="1">IFERROR(__xludf.DUMMYFUNCTION("""COMPUTED_VALUE"""),"DOLWC0500051")</f>
        <v>DOLWC0500051</v>
      </c>
      <c r="D874" s="588" t="str">
        <f ca="1">IFERROR(__xludf.DUMMYFUNCTION("""COMPUTED_VALUE"""),"Đồng cuộn LWC 5.00x0.51")</f>
        <v>Đồng cuộn LWC 5.00x0.51</v>
      </c>
      <c r="E874" s="589">
        <f ca="1">IFERROR(__xludf.DUMMYFUNCTION("""COMPUTED_VALUE"""),0.1)</f>
        <v>0.1</v>
      </c>
      <c r="F874" s="590" t="str">
        <f ca="1">IFERROR(__xludf.DUMMYFUNCTION("""COMPUTED_VALUE"""),"m")</f>
        <v>m</v>
      </c>
      <c r="G874" s="590" t="str">
        <f ca="1">IFERROR(__xludf.DUMMYFUNCTION("""COMPUTED_VALUE"""),"m")</f>
        <v>m</v>
      </c>
      <c r="H874" s="588"/>
      <c r="I874" s="591">
        <f ca="1">IFERROR(__xludf.DUMMYFUNCTION("""COMPUTED_VALUE"""),0.066361302)</f>
        <v>6.6361301999999997E-2</v>
      </c>
      <c r="J874" s="592" t="str">
        <f ca="1">IFERROR(__xludf.DUMMYFUNCTION("""COMPUTED_VALUE""")," 05.00 ")</f>
        <v xml:space="preserve"> 05.00 </v>
      </c>
      <c r="K874" s="590" t="str">
        <f ca="1">IFERROR(__xludf.DUMMYFUNCTION("""COMPUTED_VALUE"""),"0.51")</f>
        <v>0.51</v>
      </c>
      <c r="L874" s="590">
        <f ca="1">IFERROR(__xludf.DUMMYFUNCTION("""COMPUTED_VALUE"""),1)</f>
        <v>1</v>
      </c>
      <c r="M874" s="590"/>
      <c r="N874" s="590" t="str">
        <f ca="1">IFERROR(__xludf.DUMMYFUNCTION("""COMPUTED_VALUE"""),"Dị_D&lt;54")</f>
        <v>Dị_D&lt;54</v>
      </c>
      <c r="O874" s="589"/>
      <c r="P874" s="590"/>
    </row>
    <row r="875" spans="1:16" ht="15.75">
      <c r="A875" s="581" t="str">
        <f ca="1">IFERROR(__xludf.DUMMYFUNCTION("""COMPUTED_VALUE"""),"Toàn Phát - Việt Nam")</f>
        <v>Toàn Phát - Việt Nam</v>
      </c>
      <c r="B875" s="581" t="str">
        <f ca="1">IFERROR(__xludf.DUMMYFUNCTION("""COMPUTED_VALUE"""),"ĐTPBANH")</f>
        <v>ĐTPBANH</v>
      </c>
      <c r="C875" s="581" t="str">
        <f ca="1">IFERROR(__xludf.DUMMYFUNCTION("""COMPUTED_VALUE"""),"DOLWC0550051")</f>
        <v>DOLWC0550051</v>
      </c>
      <c r="D875" s="582" t="str">
        <f ca="1">IFERROR(__xludf.DUMMYFUNCTION("""COMPUTED_VALUE"""),"Đồng cuộn LWC 5.50x0.51")</f>
        <v>Đồng cuộn LWC 5.50x0.51</v>
      </c>
      <c r="E875" s="583">
        <f ca="1">IFERROR(__xludf.DUMMYFUNCTION("""COMPUTED_VALUE"""),0.1)</f>
        <v>0.1</v>
      </c>
      <c r="F875" s="584" t="str">
        <f ca="1">IFERROR(__xludf.DUMMYFUNCTION("""COMPUTED_VALUE"""),"m")</f>
        <v>m</v>
      </c>
      <c r="G875" s="584" t="str">
        <f ca="1">IFERROR(__xludf.DUMMYFUNCTION("""COMPUTED_VALUE"""),"m")</f>
        <v>m</v>
      </c>
      <c r="H875" s="582"/>
      <c r="I875" s="585">
        <f ca="1">IFERROR(__xludf.DUMMYFUNCTION("""COMPUTED_VALUE"""),0.066361302)</f>
        <v>6.6361301999999997E-2</v>
      </c>
      <c r="J875" s="586" t="str">
        <f ca="1">IFERROR(__xludf.DUMMYFUNCTION("""COMPUTED_VALUE""")," 05.00 ")</f>
        <v xml:space="preserve"> 05.00 </v>
      </c>
      <c r="K875" s="584" t="str">
        <f ca="1">IFERROR(__xludf.DUMMYFUNCTION("""COMPUTED_VALUE"""),"0.51")</f>
        <v>0.51</v>
      </c>
      <c r="L875" s="584">
        <f ca="1">IFERROR(__xludf.DUMMYFUNCTION("""COMPUTED_VALUE"""),1)</f>
        <v>1</v>
      </c>
      <c r="M875" s="584"/>
      <c r="N875" s="584" t="str">
        <f ca="1">IFERROR(__xludf.DUMMYFUNCTION("""COMPUTED_VALUE"""),"Dị_D&lt;54")</f>
        <v>Dị_D&lt;54</v>
      </c>
      <c r="O875" s="583"/>
      <c r="P875" s="584"/>
    </row>
    <row r="876" spans="1:16" ht="15.75">
      <c r="A876" s="587" t="str">
        <f ca="1">IFERROR(__xludf.DUMMYFUNCTION("""COMPUTED_VALUE"""),"Toàn Phát - Việt Nam")</f>
        <v>Toàn Phát - Việt Nam</v>
      </c>
      <c r="B876" s="587" t="str">
        <f ca="1">IFERROR(__xludf.DUMMYFUNCTION("""COMPUTED_VALUE"""),"ĐTPBANH")</f>
        <v>ĐTPBANH</v>
      </c>
      <c r="C876" s="587" t="str">
        <f ca="1">IFERROR(__xludf.DUMMYFUNCTION("""COMPUTED_VALUE"""),"DOLWC0600041")</f>
        <v>DOLWC0600041</v>
      </c>
      <c r="D876" s="588" t="str">
        <f ca="1">IFERROR(__xludf.DUMMYFUNCTION("""COMPUTED_VALUE"""),"Đồng cuộn LWC 06.00x0.41")</f>
        <v>Đồng cuộn LWC 06.00x0.41</v>
      </c>
      <c r="E876" s="589">
        <f ca="1">IFERROR(__xludf.DUMMYFUNCTION("""COMPUTED_VALUE"""),0.1)</f>
        <v>0.1</v>
      </c>
      <c r="F876" s="590" t="str">
        <f ca="1">IFERROR(__xludf.DUMMYFUNCTION("""COMPUTED_VALUE"""),"m")</f>
        <v>m</v>
      </c>
      <c r="G876" s="590" t="str">
        <f ca="1">IFERROR(__xludf.DUMMYFUNCTION("""COMPUTED_VALUE"""),"m")</f>
        <v>m</v>
      </c>
      <c r="H876" s="588"/>
      <c r="I876" s="591">
        <f ca="1">IFERROR(__xludf.DUMMYFUNCTION("""COMPUTED_VALUE"""),0.0664192619999999)</f>
        <v>6.6419261999999896E-2</v>
      </c>
      <c r="J876" s="592" t="str">
        <f ca="1">IFERROR(__xludf.DUMMYFUNCTION("""COMPUTED_VALUE""")," 06.00 ")</f>
        <v xml:space="preserve"> 06.00 </v>
      </c>
      <c r="K876" s="590" t="str">
        <f ca="1">IFERROR(__xludf.DUMMYFUNCTION("""COMPUTED_VALUE"""),"0.41")</f>
        <v>0.41</v>
      </c>
      <c r="L876" s="590">
        <f ca="1">IFERROR(__xludf.DUMMYFUNCTION("""COMPUTED_VALUE"""),1)</f>
        <v>1</v>
      </c>
      <c r="M876" s="590"/>
      <c r="N876" s="590" t="str">
        <f ca="1">IFERROR(__xludf.DUMMYFUNCTION("""COMPUTED_VALUE"""),"Dị_D&lt;54")</f>
        <v>Dị_D&lt;54</v>
      </c>
      <c r="O876" s="589"/>
      <c r="P876" s="590"/>
    </row>
    <row r="877" spans="1:16" ht="15.75">
      <c r="A877" s="581" t="str">
        <f ca="1">IFERROR(__xludf.DUMMYFUNCTION("""COMPUTED_VALUE"""),"Toàn Phát - Việt Nam")</f>
        <v>Toàn Phát - Việt Nam</v>
      </c>
      <c r="B877" s="581" t="str">
        <f ca="1">IFERROR(__xludf.DUMMYFUNCTION("""COMPUTED_VALUE"""),"ĐTPBANH")</f>
        <v>ĐTPBANH</v>
      </c>
      <c r="C877" s="581" t="str">
        <f ca="1">IFERROR(__xludf.DUMMYFUNCTION("""COMPUTED_VALUE"""),"DOLWC0600061")</f>
        <v>DOLWC0600061</v>
      </c>
      <c r="D877" s="582" t="str">
        <f ca="1">IFERROR(__xludf.DUMMYFUNCTION("""COMPUTED_VALUE"""),"Đồng cuộn LWC 06.00x0.61")</f>
        <v>Đồng cuộn LWC 06.00x0.61</v>
      </c>
      <c r="E877" s="583">
        <f ca="1">IFERROR(__xludf.DUMMYFUNCTION("""COMPUTED_VALUE"""),0.1)</f>
        <v>0.1</v>
      </c>
      <c r="F877" s="584" t="str">
        <f ca="1">IFERROR(__xludf.DUMMYFUNCTION("""COMPUTED_VALUE"""),"m")</f>
        <v>m</v>
      </c>
      <c r="G877" s="584" t="str">
        <f ca="1">IFERROR(__xludf.DUMMYFUNCTION("""COMPUTED_VALUE"""),"m")</f>
        <v>m</v>
      </c>
      <c r="H877" s="582"/>
      <c r="I877" s="585">
        <f ca="1">IFERROR(__xludf.DUMMYFUNCTION("""COMPUTED_VALUE"""),0.095283342)</f>
        <v>9.5283341999999993E-2</v>
      </c>
      <c r="J877" s="586" t="str">
        <f ca="1">IFERROR(__xludf.DUMMYFUNCTION("""COMPUTED_VALUE""")," 06.00 ")</f>
        <v xml:space="preserve"> 06.00 </v>
      </c>
      <c r="K877" s="584" t="str">
        <f ca="1">IFERROR(__xludf.DUMMYFUNCTION("""COMPUTED_VALUE"""),"0.61")</f>
        <v>0.61</v>
      </c>
      <c r="L877" s="584">
        <f ca="1">IFERROR(__xludf.DUMMYFUNCTION("""COMPUTED_VALUE"""),1)</f>
        <v>1</v>
      </c>
      <c r="M877" s="584"/>
      <c r="N877" s="584" t="str">
        <f ca="1">IFERROR(__xludf.DUMMYFUNCTION("""COMPUTED_VALUE"""),"Dị_D&lt;54")</f>
        <v>Dị_D&lt;54</v>
      </c>
      <c r="O877" s="583"/>
      <c r="P877" s="584"/>
    </row>
    <row r="878" spans="1:16" ht="15.75">
      <c r="A878" s="587" t="str">
        <f ca="1">IFERROR(__xludf.DUMMYFUNCTION("""COMPUTED_VALUE"""),"Toàn Phát - Việt Nam")</f>
        <v>Toàn Phát - Việt Nam</v>
      </c>
      <c r="B878" s="587" t="str">
        <f ca="1">IFERROR(__xludf.DUMMYFUNCTION("""COMPUTED_VALUE"""),"ĐTPBANH")</f>
        <v>ĐTPBANH</v>
      </c>
      <c r="C878" s="587" t="str">
        <f ca="1">IFERROR(__xludf.DUMMYFUNCTION("""COMPUTED_VALUE"""),"DOLWC060010")</f>
        <v>DOLWC060010</v>
      </c>
      <c r="D878" s="588" t="str">
        <f ca="1">IFERROR(__xludf.DUMMYFUNCTION("""COMPUTED_VALUE"""),"Đồng ống LWC 06.00x1.00")</f>
        <v>Đồng ống LWC 06.00x1.00</v>
      </c>
      <c r="E878" s="589">
        <f ca="1">IFERROR(__xludf.DUMMYFUNCTION("""COMPUTED_VALUE"""),0.1)</f>
        <v>0.1</v>
      </c>
      <c r="F878" s="590" t="str">
        <f ca="1">IFERROR(__xludf.DUMMYFUNCTION("""COMPUTED_VALUE"""),"m")</f>
        <v>m</v>
      </c>
      <c r="G878" s="590" t="str">
        <f ca="1">IFERROR(__xludf.DUMMYFUNCTION("""COMPUTED_VALUE"""),"m")</f>
        <v>m</v>
      </c>
      <c r="H878" s="588"/>
      <c r="I878" s="591">
        <f ca="1">IFERROR(__xludf.DUMMYFUNCTION("""COMPUTED_VALUE"""),0.1449)</f>
        <v>0.1449</v>
      </c>
      <c r="J878" s="592" t="str">
        <f ca="1">IFERROR(__xludf.DUMMYFUNCTION("""COMPUTED_VALUE""")," 06.00 ")</f>
        <v xml:space="preserve"> 06.00 </v>
      </c>
      <c r="K878" s="590" t="str">
        <f ca="1">IFERROR(__xludf.DUMMYFUNCTION("""COMPUTED_VALUE"""),"1.00")</f>
        <v>1.00</v>
      </c>
      <c r="L878" s="590">
        <f ca="1">IFERROR(__xludf.DUMMYFUNCTION("""COMPUTED_VALUE"""),1)</f>
        <v>1</v>
      </c>
      <c r="M878" s="590"/>
      <c r="N878" s="590" t="str">
        <f ca="1">IFERROR(__xludf.DUMMYFUNCTION("""COMPUTED_VALUE"""),"Dị_D&lt;54")</f>
        <v>Dị_D&lt;54</v>
      </c>
      <c r="O878" s="589"/>
      <c r="P878" s="590"/>
    </row>
    <row r="879" spans="1:16" ht="15.75">
      <c r="A879" s="581" t="str">
        <f ca="1">IFERROR(__xludf.DUMMYFUNCTION("""COMPUTED_VALUE"""),"Toàn Phát - Việt Nam")</f>
        <v>Toàn Phát - Việt Nam</v>
      </c>
      <c r="B879" s="581" t="str">
        <f ca="1">IFERROR(__xludf.DUMMYFUNCTION("""COMPUTED_VALUE"""),"ĐTPBANH")</f>
        <v>ĐTPBANH</v>
      </c>
      <c r="C879" s="581" t="str">
        <f ca="1">IFERROR(__xludf.DUMMYFUNCTION("""COMPUTED_VALUE"""),"DOLWC0635035")</f>
        <v>DOLWC0635035</v>
      </c>
      <c r="D879" s="582" t="str">
        <f ca="1">IFERROR(__xludf.DUMMYFUNCTION("""COMPUTED_VALUE"""),"Đồng cuộn LWC 06.35x0.35")</f>
        <v>Đồng cuộn LWC 06.35x0.35</v>
      </c>
      <c r="E879" s="583">
        <f ca="1">IFERROR(__xludf.DUMMYFUNCTION("""COMPUTED_VALUE"""),0.1)</f>
        <v>0.1</v>
      </c>
      <c r="F879" s="584" t="str">
        <f ca="1">IFERROR(__xludf.DUMMYFUNCTION("""COMPUTED_VALUE"""),"m")</f>
        <v>m</v>
      </c>
      <c r="G879" s="584" t="str">
        <f ca="1">IFERROR(__xludf.DUMMYFUNCTION("""COMPUTED_VALUE"""),"m")</f>
        <v>m</v>
      </c>
      <c r="H879" s="582"/>
      <c r="I879" s="585">
        <f ca="1">IFERROR(__xludf.DUMMYFUNCTION("""COMPUTED_VALUE"""),0.0608579999999999)</f>
        <v>6.0857999999999898E-2</v>
      </c>
      <c r="J879" s="586" t="str">
        <f ca="1">IFERROR(__xludf.DUMMYFUNCTION("""COMPUTED_VALUE""")," 06.35 ")</f>
        <v xml:space="preserve"> 06.35 </v>
      </c>
      <c r="K879" s="584" t="str">
        <f ca="1">IFERROR(__xludf.DUMMYFUNCTION("""COMPUTED_VALUE"""),"0.35")</f>
        <v>0.35</v>
      </c>
      <c r="L879" s="584">
        <f ca="1">IFERROR(__xludf.DUMMYFUNCTION("""COMPUTED_VALUE"""),1)</f>
        <v>1</v>
      </c>
      <c r="M879" s="584"/>
      <c r="N879" s="584" t="str">
        <f ca="1">IFERROR(__xludf.DUMMYFUNCTION("""COMPUTED_VALUE"""),"Dị_D&lt;54")</f>
        <v>Dị_D&lt;54</v>
      </c>
      <c r="O879" s="583"/>
      <c r="P879" s="584"/>
    </row>
    <row r="880" spans="1:16" ht="15.75">
      <c r="A880" s="587" t="str">
        <f ca="1">IFERROR(__xludf.DUMMYFUNCTION("""COMPUTED_VALUE"""),"Toàn Phát - Việt Nam")</f>
        <v>Toàn Phát - Việt Nam</v>
      </c>
      <c r="B880" s="587" t="str">
        <f ca="1">IFERROR(__xludf.DUMMYFUNCTION("""COMPUTED_VALUE"""),"ĐTPBANH")</f>
        <v>ĐTPBANH</v>
      </c>
      <c r="C880" s="587" t="str">
        <f ca="1">IFERROR(__xludf.DUMMYFUNCTION("""COMPUTED_VALUE"""),"DOLWC063504")</f>
        <v>DOLWC063504</v>
      </c>
      <c r="D880" s="588" t="str">
        <f ca="1">IFERROR(__xludf.DUMMYFUNCTION("""COMPUTED_VALUE"""),"Đồng cuộn LWC 06.35x0.4")</f>
        <v>Đồng cuộn LWC 06.35x0.4</v>
      </c>
      <c r="E880" s="589">
        <f ca="1">IFERROR(__xludf.DUMMYFUNCTION("""COMPUTED_VALUE"""),0.1)</f>
        <v>0.1</v>
      </c>
      <c r="F880" s="590" t="str">
        <f ca="1">IFERROR(__xludf.DUMMYFUNCTION("""COMPUTED_VALUE"""),"m")</f>
        <v>m</v>
      </c>
      <c r="G880" s="590" t="str">
        <f ca="1">IFERROR(__xludf.DUMMYFUNCTION("""COMPUTED_VALUE"""),"m")</f>
        <v>m</v>
      </c>
      <c r="H880" s="588"/>
      <c r="I880" s="591">
        <f ca="1">IFERROR(__xludf.DUMMYFUNCTION("""COMPUTED_VALUE"""),0.0689724)</f>
        <v>6.8972400000000003E-2</v>
      </c>
      <c r="J880" s="592" t="str">
        <f ca="1">IFERROR(__xludf.DUMMYFUNCTION("""COMPUTED_VALUE""")," 06.35 ")</f>
        <v xml:space="preserve"> 06.35 </v>
      </c>
      <c r="K880" s="590" t="str">
        <f ca="1">IFERROR(__xludf.DUMMYFUNCTION("""COMPUTED_VALUE"""),"0.40")</f>
        <v>0.40</v>
      </c>
      <c r="L880" s="590">
        <f ca="1">IFERROR(__xludf.DUMMYFUNCTION("""COMPUTED_VALUE"""),1)</f>
        <v>1</v>
      </c>
      <c r="M880" s="590"/>
      <c r="N880" s="590" t="str">
        <f ca="1">IFERROR(__xludf.DUMMYFUNCTION("""COMPUTED_VALUE"""),"Dị_D&lt;54")</f>
        <v>Dị_D&lt;54</v>
      </c>
      <c r="O880" s="589"/>
      <c r="P880" s="590"/>
    </row>
    <row r="881" spans="1:17" ht="15.75">
      <c r="A881" s="581" t="str">
        <f ca="1">IFERROR(__xludf.DUMMYFUNCTION("""COMPUTED_VALUE"""),"Toàn Phát - Việt Nam")</f>
        <v>Toàn Phát - Việt Nam</v>
      </c>
      <c r="B881" s="581" t="str">
        <f ca="1">IFERROR(__xludf.DUMMYFUNCTION("""COMPUTED_VALUE"""),"ĐTPBANH")</f>
        <v>ĐTPBANH</v>
      </c>
      <c r="C881" s="581" t="str">
        <f ca="1">IFERROR(__xludf.DUMMYFUNCTION("""COMPUTED_VALUE"""),"DOLWC0635046")</f>
        <v>DOLWC0635046</v>
      </c>
      <c r="D881" s="582" t="str">
        <f ca="1">IFERROR(__xludf.DUMMYFUNCTION("""COMPUTED_VALUE"""),"Đồng cuộn LWC 06.35x0.46")</f>
        <v>Đồng cuộn LWC 06.35x0.46</v>
      </c>
      <c r="E881" s="583">
        <f ca="1">IFERROR(__xludf.DUMMYFUNCTION("""COMPUTED_VALUE"""),0.1)</f>
        <v>0.1</v>
      </c>
      <c r="F881" s="584" t="str">
        <f ca="1">IFERROR(__xludf.DUMMYFUNCTION("""COMPUTED_VALUE"""),"m")</f>
        <v>m</v>
      </c>
      <c r="G881" s="584" t="str">
        <f ca="1">IFERROR(__xludf.DUMMYFUNCTION("""COMPUTED_VALUE"""),"m")</f>
        <v>m</v>
      </c>
      <c r="H881" s="582"/>
      <c r="I881" s="585">
        <f ca="1">IFERROR(__xludf.DUMMYFUNCTION("""COMPUTED_VALUE"""),0.078518412)</f>
        <v>7.8518411999999996E-2</v>
      </c>
      <c r="J881" s="586" t="str">
        <f ca="1">IFERROR(__xludf.DUMMYFUNCTION("""COMPUTED_VALUE""")," 06.35 ")</f>
        <v xml:space="preserve"> 06.35 </v>
      </c>
      <c r="K881" s="584" t="str">
        <f ca="1">IFERROR(__xludf.DUMMYFUNCTION("""COMPUTED_VALUE"""),"0.46")</f>
        <v>0.46</v>
      </c>
      <c r="L881" s="584">
        <f ca="1">IFERROR(__xludf.DUMMYFUNCTION("""COMPUTED_VALUE"""),1)</f>
        <v>1</v>
      </c>
      <c r="M881" s="584"/>
      <c r="N881" s="584" t="str">
        <f ca="1">IFERROR(__xludf.DUMMYFUNCTION("""COMPUTED_VALUE"""),"Dị_D&lt;54")</f>
        <v>Dị_D&lt;54</v>
      </c>
      <c r="O881" s="583"/>
      <c r="P881" s="584"/>
    </row>
    <row r="882" spans="1:17" ht="15.75">
      <c r="A882" s="587" t="str">
        <f ca="1">IFERROR(__xludf.DUMMYFUNCTION("""COMPUTED_VALUE"""),"Toàn Phát - Việt Nam")</f>
        <v>Toàn Phát - Việt Nam</v>
      </c>
      <c r="B882" s="587" t="str">
        <f ca="1">IFERROR(__xludf.DUMMYFUNCTION("""COMPUTED_VALUE"""),"ĐTPBANH")</f>
        <v>ĐTPBANH</v>
      </c>
      <c r="C882" s="587" t="str">
        <f ca="1">IFERROR(__xludf.DUMMYFUNCTION("""COMPUTED_VALUE"""),"DOLWC0635050")</f>
        <v>DOLWC0635050</v>
      </c>
      <c r="D882" s="588" t="str">
        <f ca="1">IFERROR(__xludf.DUMMYFUNCTION("""COMPUTED_VALUE"""),"Đồng cuộn LWC06.35x0.50")</f>
        <v>Đồng cuộn LWC06.35x0.50</v>
      </c>
      <c r="E882" s="589">
        <f ca="1">IFERROR(__xludf.DUMMYFUNCTION("""COMPUTED_VALUE"""),0.1)</f>
        <v>0.1</v>
      </c>
      <c r="F882" s="590" t="str">
        <f ca="1">IFERROR(__xludf.DUMMYFUNCTION("""COMPUTED_VALUE"""),"m")</f>
        <v>m</v>
      </c>
      <c r="G882" s="590" t="str">
        <f ca="1">IFERROR(__xludf.DUMMYFUNCTION("""COMPUTED_VALUE"""),"m")</f>
        <v>m</v>
      </c>
      <c r="H882" s="588"/>
      <c r="I882" s="591">
        <f ca="1">IFERROR(__xludf.DUMMYFUNCTION("""COMPUTED_VALUE"""),0.0847665)</f>
        <v>8.4766499999999995E-2</v>
      </c>
      <c r="J882" s="592" t="str">
        <f ca="1">IFERROR(__xludf.DUMMYFUNCTION("""COMPUTED_VALUE""")," 06.35 ")</f>
        <v xml:space="preserve"> 06.35 </v>
      </c>
      <c r="K882" s="590" t="str">
        <f ca="1">IFERROR(__xludf.DUMMYFUNCTION("""COMPUTED_VALUE"""),"0.50")</f>
        <v>0.50</v>
      </c>
      <c r="L882" s="590">
        <f ca="1">IFERROR(__xludf.DUMMYFUNCTION("""COMPUTED_VALUE"""),1)</f>
        <v>1</v>
      </c>
      <c r="M882" s="590"/>
      <c r="N882" s="590" t="str">
        <f ca="1">IFERROR(__xludf.DUMMYFUNCTION("""COMPUTED_VALUE"""),"Dị_D&lt;54")</f>
        <v>Dị_D&lt;54</v>
      </c>
      <c r="O882" s="589"/>
      <c r="P882" s="590"/>
    </row>
    <row r="883" spans="1:17" ht="15.75">
      <c r="A883" s="581" t="str">
        <f ca="1">IFERROR(__xludf.DUMMYFUNCTION("""COMPUTED_VALUE"""),"Toàn Phát - Việt Nam")</f>
        <v>Toàn Phát - Việt Nam</v>
      </c>
      <c r="B883" s="581" t="str">
        <f ca="1">IFERROR(__xludf.DUMMYFUNCTION("""COMPUTED_VALUE"""),"ĐTPBANH")</f>
        <v>ĐTPBANH</v>
      </c>
      <c r="C883" s="581" t="str">
        <f ca="1">IFERROR(__xludf.DUMMYFUNCTION("""COMPUTED_VALUE"""),"DOBKILWC0635055")</f>
        <v>DOBKILWC0635055</v>
      </c>
      <c r="D883" s="582" t="str">
        <f ca="1">IFERROR(__xludf.DUMMYFUNCTION("""COMPUTED_VALUE"""),"Đồng ống LWC KHÔNG IN 06.35x0.55")</f>
        <v>Đồng ống LWC KHÔNG IN 06.35x0.55</v>
      </c>
      <c r="E883" s="583">
        <f ca="1">IFERROR(__xludf.DUMMYFUNCTION("""COMPUTED_VALUE"""),0.1)</f>
        <v>0.1</v>
      </c>
      <c r="F883" s="584" t="str">
        <f ca="1">IFERROR(__xludf.DUMMYFUNCTION("""COMPUTED_VALUE"""),"m")</f>
        <v>m</v>
      </c>
      <c r="G883" s="584" t="str">
        <f ca="1">IFERROR(__xludf.DUMMYFUNCTION("""COMPUTED_VALUE"""),"m")</f>
        <v>m</v>
      </c>
      <c r="H883" s="582"/>
      <c r="I883" s="585">
        <f ca="1">IFERROR(__xludf.DUMMYFUNCTION("""COMPUTED_VALUE"""),0.0924461999999999)</f>
        <v>9.2446199999999895E-2</v>
      </c>
      <c r="J883" s="586" t="str">
        <f ca="1">IFERROR(__xludf.DUMMYFUNCTION("""COMPUTED_VALUE""")," 06.35 ")</f>
        <v xml:space="preserve"> 06.35 </v>
      </c>
      <c r="K883" s="584" t="str">
        <f ca="1">IFERROR(__xludf.DUMMYFUNCTION("""COMPUTED_VALUE"""),"0.55")</f>
        <v>0.55</v>
      </c>
      <c r="L883" s="584">
        <f ca="1">IFERROR(__xludf.DUMMYFUNCTION("""COMPUTED_VALUE"""),1)</f>
        <v>1</v>
      </c>
      <c r="M883" s="584"/>
      <c r="N883" s="584" t="str">
        <f ca="1">IFERROR(__xludf.DUMMYFUNCTION("""COMPUTED_VALUE"""),"Dị_D&lt;54")</f>
        <v>Dị_D&lt;54</v>
      </c>
      <c r="O883" s="583"/>
      <c r="P883" s="584"/>
    </row>
    <row r="884" spans="1:17" ht="15.75">
      <c r="A884" s="587" t="str">
        <f ca="1">IFERROR(__xludf.DUMMYFUNCTION("""COMPUTED_VALUE"""),"Toàn Phát - Việt Nam")</f>
        <v>Toàn Phát - Việt Nam</v>
      </c>
      <c r="B884" s="587" t="str">
        <f ca="1">IFERROR(__xludf.DUMMYFUNCTION("""COMPUTED_VALUE"""),"ĐTPBANH")</f>
        <v>ĐTPBANH</v>
      </c>
      <c r="C884" s="587" t="str">
        <f ca="1">IFERROR(__xludf.DUMMYFUNCTION("""COMPUTED_VALUE"""),"DOLWC650055")</f>
        <v>DOLWC650055</v>
      </c>
      <c r="D884" s="588" t="str">
        <f ca="1">IFERROR(__xludf.DUMMYFUNCTION("""COMPUTED_VALUE"""),"Đồng ống LWC 6.50x0.55")</f>
        <v>Đồng ống LWC 6.50x0.55</v>
      </c>
      <c r="E884" s="589">
        <f ca="1">IFERROR(__xludf.DUMMYFUNCTION("""COMPUTED_VALUE"""),0.1)</f>
        <v>0.1</v>
      </c>
      <c r="F884" s="590" t="str">
        <f ca="1">IFERROR(__xludf.DUMMYFUNCTION("""COMPUTED_VALUE"""),"m")</f>
        <v>m</v>
      </c>
      <c r="G884" s="590" t="str">
        <f ca="1">IFERROR(__xludf.DUMMYFUNCTION("""COMPUTED_VALUE"""),"m")</f>
        <v>m</v>
      </c>
      <c r="H884" s="588"/>
      <c r="I884" s="591">
        <f ca="1">IFERROR(__xludf.DUMMYFUNCTION("""COMPUTED_VALUE"""),0.0924461999999999)</f>
        <v>9.2446199999999895E-2</v>
      </c>
      <c r="J884" s="592" t="str">
        <f ca="1">IFERROR(__xludf.DUMMYFUNCTION("""COMPUTED_VALUE""")," 06.35 ")</f>
        <v xml:space="preserve"> 06.35 </v>
      </c>
      <c r="K884" s="590" t="str">
        <f ca="1">IFERROR(__xludf.DUMMYFUNCTION("""COMPUTED_VALUE"""),"0.55")</f>
        <v>0.55</v>
      </c>
      <c r="L884" s="590">
        <f ca="1">IFERROR(__xludf.DUMMYFUNCTION("""COMPUTED_VALUE"""),1)</f>
        <v>1</v>
      </c>
      <c r="M884" s="590"/>
      <c r="N884" s="590" t="str">
        <f ca="1">IFERROR(__xludf.DUMMYFUNCTION("""COMPUTED_VALUE"""),"Dị_D&lt;54")</f>
        <v>Dị_D&lt;54</v>
      </c>
      <c r="O884" s="589"/>
      <c r="P884" s="590"/>
    </row>
    <row r="885" spans="1:17" ht="15.75">
      <c r="A885" s="581" t="str">
        <f ca="1">IFERROR(__xludf.DUMMYFUNCTION("""COMPUTED_VALUE"""),"Toàn Phát - Việt Nam")</f>
        <v>Toàn Phát - Việt Nam</v>
      </c>
      <c r="B885" s="581" t="str">
        <f ca="1">IFERROR(__xludf.DUMMYFUNCTION("""COMPUTED_VALUE"""),"ĐTPBANH")</f>
        <v>ĐTPBANH</v>
      </c>
      <c r="C885" s="581" t="str">
        <f ca="1">IFERROR(__xludf.DUMMYFUNCTION("""COMPUTED_VALUE"""),"LWC0635055")</f>
        <v>LWC0635055</v>
      </c>
      <c r="D885" s="582" t="str">
        <f ca="1">IFERROR(__xludf.DUMMYFUNCTION("""COMPUTED_VALUE"""),"Đồng ống LWC 06.35x0.55")</f>
        <v>Đồng ống LWC 06.35x0.55</v>
      </c>
      <c r="E885" s="583">
        <f ca="1">IFERROR(__xludf.DUMMYFUNCTION("""COMPUTED_VALUE"""),0.1)</f>
        <v>0.1</v>
      </c>
      <c r="F885" s="584" t="str">
        <f ca="1">IFERROR(__xludf.DUMMYFUNCTION("""COMPUTED_VALUE"""),"m")</f>
        <v>m</v>
      </c>
      <c r="G885" s="584" t="str">
        <f ca="1">IFERROR(__xludf.DUMMYFUNCTION("""COMPUTED_VALUE"""),"m")</f>
        <v>m</v>
      </c>
      <c r="H885" s="582"/>
      <c r="I885" s="585">
        <f ca="1">IFERROR(__xludf.DUMMYFUNCTION("""COMPUTED_VALUE"""),0.0924461999999999)</f>
        <v>9.2446199999999895E-2</v>
      </c>
      <c r="J885" s="586" t="str">
        <f ca="1">IFERROR(__xludf.DUMMYFUNCTION("""COMPUTED_VALUE""")," 06.35 ")</f>
        <v xml:space="preserve"> 06.35 </v>
      </c>
      <c r="K885" s="584" t="str">
        <f ca="1">IFERROR(__xludf.DUMMYFUNCTION("""COMPUTED_VALUE"""),"0.55")</f>
        <v>0.55</v>
      </c>
      <c r="L885" s="584">
        <f ca="1">IFERROR(__xludf.DUMMYFUNCTION("""COMPUTED_VALUE"""),1)</f>
        <v>1</v>
      </c>
      <c r="M885" s="584"/>
      <c r="N885" s="584" t="str">
        <f ca="1">IFERROR(__xludf.DUMMYFUNCTION("""COMPUTED_VALUE"""),"Dị_D&lt;54")</f>
        <v>Dị_D&lt;54</v>
      </c>
      <c r="O885" s="583"/>
      <c r="P885" s="584"/>
    </row>
    <row r="886" spans="1:17" ht="15.75">
      <c r="A886" s="587" t="str">
        <f ca="1">IFERROR(__xludf.DUMMYFUNCTION("""COMPUTED_VALUE"""),"Toàn Phát - Việt Nam")</f>
        <v>Toàn Phát - Việt Nam</v>
      </c>
      <c r="B886" s="587" t="str">
        <f ca="1">IFERROR(__xludf.DUMMYFUNCTION("""COMPUTED_VALUE"""),"ĐTPBANH")</f>
        <v>ĐTPBANH</v>
      </c>
      <c r="C886" s="587" t="str">
        <f ca="1">IFERROR(__xludf.DUMMYFUNCTION("""COMPUTED_VALUE"""),"LWC0635056")</f>
        <v>LWC0635056</v>
      </c>
      <c r="D886" s="588" t="str">
        <f ca="1">IFERROR(__xludf.DUMMYFUNCTION("""COMPUTED_VALUE"""),"Đồng cuộn LWC 06.35x0.56")</f>
        <v>Đồng cuộn LWC 06.35x0.56</v>
      </c>
      <c r="E886" s="589">
        <f ca="1">IFERROR(__xludf.DUMMYFUNCTION("""COMPUTED_VALUE"""),0.1)</f>
        <v>0.1</v>
      </c>
      <c r="F886" s="590" t="str">
        <f ca="1">IFERROR(__xludf.DUMMYFUNCTION("""COMPUTED_VALUE"""),"m")</f>
        <v>m</v>
      </c>
      <c r="G886" s="590" t="str">
        <f ca="1">IFERROR(__xludf.DUMMYFUNCTION("""COMPUTED_VALUE"""),"m")</f>
        <v>m</v>
      </c>
      <c r="H886" s="588"/>
      <c r="I886" s="591">
        <f ca="1">IFERROR(__xludf.DUMMYFUNCTION("""COMPUTED_VALUE"""),0.0939647519999999)</f>
        <v>9.3964751999999901E-2</v>
      </c>
      <c r="J886" s="592" t="str">
        <f ca="1">IFERROR(__xludf.DUMMYFUNCTION("""COMPUTED_VALUE""")," 06.35 ")</f>
        <v xml:space="preserve"> 06.35 </v>
      </c>
      <c r="K886" s="590" t="str">
        <f ca="1">IFERROR(__xludf.DUMMYFUNCTION("""COMPUTED_VALUE"""),"0.56")</f>
        <v>0.56</v>
      </c>
      <c r="L886" s="590">
        <f ca="1">IFERROR(__xludf.DUMMYFUNCTION("""COMPUTED_VALUE"""),1)</f>
        <v>1</v>
      </c>
      <c r="M886" s="590"/>
      <c r="N886" s="590" t="str">
        <f ca="1">IFERROR(__xludf.DUMMYFUNCTION("""COMPUTED_VALUE"""),"Dị_D&lt;54")</f>
        <v>Dị_D&lt;54</v>
      </c>
      <c r="O886" s="589"/>
      <c r="P886" s="590"/>
    </row>
    <row r="887" spans="1:17" ht="15.75">
      <c r="A887" s="581" t="str">
        <f ca="1">IFERROR(__xludf.DUMMYFUNCTION("""COMPUTED_VALUE"""),"Toàn Phát - Việt Nam")</f>
        <v>Toàn Phát - Việt Nam</v>
      </c>
      <c r="B887" s="581" t="str">
        <f ca="1">IFERROR(__xludf.DUMMYFUNCTION("""COMPUTED_VALUE"""),"ĐTPBANH")</f>
        <v>ĐTPBANH</v>
      </c>
      <c r="C887" s="581" t="str">
        <f ca="1">IFERROR(__xludf.DUMMYFUNCTION("""COMPUTED_VALUE"""),"DOLWC063506")</f>
        <v>DOLWC063506</v>
      </c>
      <c r="D887" s="582" t="str">
        <f ca="1">IFERROR(__xludf.DUMMYFUNCTION("""COMPUTED_VALUE"""),"Đồng cuộn LWC 06.35x0.6")</f>
        <v>Đồng cuộn LWC 06.35x0.6</v>
      </c>
      <c r="E887" s="583">
        <f ca="1">IFERROR(__xludf.DUMMYFUNCTION("""COMPUTED_VALUE"""),0.1)</f>
        <v>0.1</v>
      </c>
      <c r="F887" s="584" t="str">
        <f ca="1">IFERROR(__xludf.DUMMYFUNCTION("""COMPUTED_VALUE"""),"m")</f>
        <v>m</v>
      </c>
      <c r="G887" s="584" t="str">
        <f ca="1">IFERROR(__xludf.DUMMYFUNCTION("""COMPUTED_VALUE"""),"m")</f>
        <v>m</v>
      </c>
      <c r="H887" s="582"/>
      <c r="I887" s="585">
        <f ca="1">IFERROR(__xludf.DUMMYFUNCTION("""COMPUTED_VALUE"""),0.0999809999999999)</f>
        <v>9.9980999999999903E-2</v>
      </c>
      <c r="J887" s="586" t="str">
        <f ca="1">IFERROR(__xludf.DUMMYFUNCTION("""COMPUTED_VALUE""")," 06.35 ")</f>
        <v xml:space="preserve"> 06.35 </v>
      </c>
      <c r="K887" s="584" t="str">
        <f ca="1">IFERROR(__xludf.DUMMYFUNCTION("""COMPUTED_VALUE"""),"0.60")</f>
        <v>0.60</v>
      </c>
      <c r="L887" s="584">
        <f ca="1">IFERROR(__xludf.DUMMYFUNCTION("""COMPUTED_VALUE"""),1)</f>
        <v>1</v>
      </c>
      <c r="M887" s="584"/>
      <c r="N887" s="584" t="str">
        <f ca="1">IFERROR(__xludf.DUMMYFUNCTION("""COMPUTED_VALUE"""),"Dị_D&lt;54")</f>
        <v>Dị_D&lt;54</v>
      </c>
      <c r="O887" s="583"/>
      <c r="P887" s="584"/>
    </row>
    <row r="888" spans="1:17" ht="15.75">
      <c r="A888" s="587" t="str">
        <f ca="1">IFERROR(__xludf.DUMMYFUNCTION("""COMPUTED_VALUE"""),"Toàn Phát - Việt Nam")</f>
        <v>Toàn Phát - Việt Nam</v>
      </c>
      <c r="B888" s="587" t="str">
        <f ca="1">IFERROR(__xludf.DUMMYFUNCTION("""COMPUTED_VALUE"""),"ĐTPBANH")</f>
        <v>ĐTPBANH</v>
      </c>
      <c r="C888" s="587" t="str">
        <f ca="1">IFERROR(__xludf.DUMMYFUNCTION("""COMPUTED_VALUE"""),"DOBKILWC0635061")</f>
        <v>DOBKILWC0635061</v>
      </c>
      <c r="D888" s="588" t="str">
        <f ca="1">IFERROR(__xludf.DUMMYFUNCTION("""COMPUTED_VALUE"""),"Đồng ống LWC KHÔNG IN 06.35x0.61")</f>
        <v>Đồng ống LWC KHÔNG IN 06.35x0.61</v>
      </c>
      <c r="E888" s="589">
        <f ca="1">IFERROR(__xludf.DUMMYFUNCTION("""COMPUTED_VALUE"""),0.1)</f>
        <v>0.1</v>
      </c>
      <c r="F888" s="590" t="str">
        <f ca="1">IFERROR(__xludf.DUMMYFUNCTION("""COMPUTED_VALUE"""),"m")</f>
        <v>m</v>
      </c>
      <c r="G888" s="590" t="str">
        <f ca="1">IFERROR(__xludf.DUMMYFUNCTION("""COMPUTED_VALUE"""),"m")</f>
        <v>m</v>
      </c>
      <c r="H888" s="588"/>
      <c r="I888" s="591">
        <f ca="1">IFERROR(__xludf.DUMMYFUNCTION("""COMPUTED_VALUE"""),0.101470571999999)</f>
        <v>0.101470571999999</v>
      </c>
      <c r="J888" s="592" t="str">
        <f ca="1">IFERROR(__xludf.DUMMYFUNCTION("""COMPUTED_VALUE""")," 06.35 ")</f>
        <v xml:space="preserve"> 06.35 </v>
      </c>
      <c r="K888" s="590" t="str">
        <f ca="1">IFERROR(__xludf.DUMMYFUNCTION("""COMPUTED_VALUE"""),"0.61")</f>
        <v>0.61</v>
      </c>
      <c r="L888" s="590">
        <f ca="1">IFERROR(__xludf.DUMMYFUNCTION("""COMPUTED_VALUE"""),1)</f>
        <v>1</v>
      </c>
      <c r="M888" s="590"/>
      <c r="N888" s="590" t="str">
        <f ca="1">IFERROR(__xludf.DUMMYFUNCTION("""COMPUTED_VALUE"""),"Dị_D&lt;54")</f>
        <v>Dị_D&lt;54</v>
      </c>
      <c r="O888" s="589">
        <f ca="1">IFERROR(__xludf.DUMMYFUNCTION("""COMPUTED_VALUE"""),1)</f>
        <v>1</v>
      </c>
      <c r="P888" s="590"/>
    </row>
    <row r="889" spans="1:17" ht="15.75">
      <c r="A889" s="581" t="str">
        <f ca="1">IFERROR(__xludf.DUMMYFUNCTION("""COMPUTED_VALUE"""),"Toàn Phát - Việt Nam")</f>
        <v>Toàn Phát - Việt Nam</v>
      </c>
      <c r="B889" s="581" t="str">
        <f ca="1">IFERROR(__xludf.DUMMYFUNCTION("""COMPUTED_VALUE"""),"ĐTPBANH")</f>
        <v>ĐTPBANH</v>
      </c>
      <c r="C889" s="581" t="str">
        <f ca="1">IFERROR(__xludf.DUMMYFUNCTION("""COMPUTED_VALUE"""),"DOLWC0635061")</f>
        <v>DOLWC0635061</v>
      </c>
      <c r="D889" s="582" t="str">
        <f ca="1">IFERROR(__xludf.DUMMYFUNCTION("""COMPUTED_VALUE"""),"Đồng cuộn LWC 06.35x0.61")</f>
        <v>Đồng cuộn LWC 06.35x0.61</v>
      </c>
      <c r="E889" s="583">
        <f ca="1">IFERROR(__xludf.DUMMYFUNCTION("""COMPUTED_VALUE"""),0.1)</f>
        <v>0.1</v>
      </c>
      <c r="F889" s="584" t="str">
        <f ca="1">IFERROR(__xludf.DUMMYFUNCTION("""COMPUTED_VALUE"""),"m")</f>
        <v>m</v>
      </c>
      <c r="G889" s="584" t="str">
        <f ca="1">IFERROR(__xludf.DUMMYFUNCTION("""COMPUTED_VALUE"""),"m")</f>
        <v>m</v>
      </c>
      <c r="H889" s="582"/>
      <c r="I889" s="585">
        <f ca="1">IFERROR(__xludf.DUMMYFUNCTION("""COMPUTED_VALUE"""),0.101470571999999)</f>
        <v>0.101470571999999</v>
      </c>
      <c r="J889" s="586" t="str">
        <f ca="1">IFERROR(__xludf.DUMMYFUNCTION("""COMPUTED_VALUE""")," 06.35 ")</f>
        <v xml:space="preserve"> 06.35 </v>
      </c>
      <c r="K889" s="584" t="str">
        <f ca="1">IFERROR(__xludf.DUMMYFUNCTION("""COMPUTED_VALUE"""),"0.61")</f>
        <v>0.61</v>
      </c>
      <c r="L889" s="584">
        <f ca="1">IFERROR(__xludf.DUMMYFUNCTION("""COMPUTED_VALUE"""),1)</f>
        <v>1</v>
      </c>
      <c r="M889" s="584"/>
      <c r="N889" s="584" t="str">
        <f ca="1">IFERROR(__xludf.DUMMYFUNCTION("""COMPUTED_VALUE"""),"Không")</f>
        <v>Không</v>
      </c>
      <c r="O889" s="583"/>
      <c r="P889" s="584"/>
      <c r="Q889" s="885">
        <f ca="1">+$Q$5*I889</f>
        <v>23.338231559999766</v>
      </c>
    </row>
    <row r="890" spans="1:17" ht="15.75">
      <c r="A890" s="587" t="str">
        <f ca="1">IFERROR(__xludf.DUMMYFUNCTION("""COMPUTED_VALUE"""),"Toàn Phát - Việt Nam")</f>
        <v>Toàn Phát - Việt Nam</v>
      </c>
      <c r="B890" s="587" t="str">
        <f ca="1">IFERROR(__xludf.DUMMYFUNCTION("""COMPUTED_VALUE"""),"ĐTPBANH")</f>
        <v>ĐTPBANH</v>
      </c>
      <c r="C890" s="587" t="str">
        <f ca="1">IFERROR(__xludf.DUMMYFUNCTION("""COMPUTED_VALUE"""),"DOBKILWC0635065")</f>
        <v>DOBKILWC0635065</v>
      </c>
      <c r="D890" s="588" t="str">
        <f ca="1">IFERROR(__xludf.DUMMYFUNCTION("""COMPUTED_VALUE"""),"Đồng ống LWC KHÔNG IN 06.35x0.65")</f>
        <v>Đồng ống LWC KHÔNG IN 06.35x0.65</v>
      </c>
      <c r="E890" s="589">
        <f ca="1">IFERROR(__xludf.DUMMYFUNCTION("""COMPUTED_VALUE"""),0.1)</f>
        <v>0.1</v>
      </c>
      <c r="F890" s="590" t="str">
        <f ca="1">IFERROR(__xludf.DUMMYFUNCTION("""COMPUTED_VALUE"""),"m")</f>
        <v>m</v>
      </c>
      <c r="G890" s="590" t="str">
        <f ca="1">IFERROR(__xludf.DUMMYFUNCTION("""COMPUTED_VALUE"""),"m")</f>
        <v>m</v>
      </c>
      <c r="H890" s="588"/>
      <c r="I890" s="591">
        <f ca="1">IFERROR(__xludf.DUMMYFUNCTION("""COMPUTED_VALUE"""),0.107370899999999)</f>
        <v>0.10737089999999901</v>
      </c>
      <c r="J890" s="592" t="str">
        <f ca="1">IFERROR(__xludf.DUMMYFUNCTION("""COMPUTED_VALUE""")," 06.35 ")</f>
        <v xml:space="preserve"> 06.35 </v>
      </c>
      <c r="K890" s="590" t="str">
        <f ca="1">IFERROR(__xludf.DUMMYFUNCTION("""COMPUTED_VALUE"""),"0.65")</f>
        <v>0.65</v>
      </c>
      <c r="L890" s="590">
        <f ca="1">IFERROR(__xludf.DUMMYFUNCTION("""COMPUTED_VALUE"""),1)</f>
        <v>1</v>
      </c>
      <c r="M890" s="590"/>
      <c r="N890" s="590" t="str">
        <f ca="1">IFERROR(__xludf.DUMMYFUNCTION("""COMPUTED_VALUE"""),"Dị_D&lt;54")</f>
        <v>Dị_D&lt;54</v>
      </c>
      <c r="O890" s="589"/>
      <c r="P890" s="590"/>
    </row>
    <row r="891" spans="1:17" ht="15.75">
      <c r="A891" s="581" t="str">
        <f ca="1">IFERROR(__xludf.DUMMYFUNCTION("""COMPUTED_VALUE"""),"Toàn Phát - Việt Nam")</f>
        <v>Toàn Phát - Việt Nam</v>
      </c>
      <c r="B891" s="581" t="str">
        <f ca="1">IFERROR(__xludf.DUMMYFUNCTION("""COMPUTED_VALUE"""),"ĐTPBANH")</f>
        <v>ĐTPBANH</v>
      </c>
      <c r="C891" s="581" t="str">
        <f ca="1">IFERROR(__xludf.DUMMYFUNCTION("""COMPUTED_VALUE"""),"DOLWC0635065")</f>
        <v>DOLWC0635065</v>
      </c>
      <c r="D891" s="582" t="str">
        <f ca="1">IFERROR(__xludf.DUMMYFUNCTION("""COMPUTED_VALUE"""),"Đồng cuộn LWC 06.35x0.65")</f>
        <v>Đồng cuộn LWC 06.35x0.65</v>
      </c>
      <c r="E891" s="583">
        <f ca="1">IFERROR(__xludf.DUMMYFUNCTION("""COMPUTED_VALUE"""),0.1)</f>
        <v>0.1</v>
      </c>
      <c r="F891" s="584" t="str">
        <f ca="1">IFERROR(__xludf.DUMMYFUNCTION("""COMPUTED_VALUE"""),"m")</f>
        <v>m</v>
      </c>
      <c r="G891" s="584" t="str">
        <f ca="1">IFERROR(__xludf.DUMMYFUNCTION("""COMPUTED_VALUE"""),"m")</f>
        <v>m</v>
      </c>
      <c r="H891" s="582"/>
      <c r="I891" s="585">
        <f ca="1">IFERROR(__xludf.DUMMYFUNCTION("""COMPUTED_VALUE"""),0.107370899999999)</f>
        <v>0.10737089999999901</v>
      </c>
      <c r="J891" s="586" t="str">
        <f ca="1">IFERROR(__xludf.DUMMYFUNCTION("""COMPUTED_VALUE""")," 06.35 ")</f>
        <v xml:space="preserve"> 06.35 </v>
      </c>
      <c r="K891" s="584" t="str">
        <f ca="1">IFERROR(__xludf.DUMMYFUNCTION("""COMPUTED_VALUE"""),"0.65")</f>
        <v>0.65</v>
      </c>
      <c r="L891" s="584">
        <f ca="1">IFERROR(__xludf.DUMMYFUNCTION("""COMPUTED_VALUE"""),1)</f>
        <v>1</v>
      </c>
      <c r="M891" s="584"/>
      <c r="N891" s="584" t="str">
        <f ca="1">IFERROR(__xludf.DUMMYFUNCTION("""COMPUTED_VALUE"""),"Dị_D&lt;54")</f>
        <v>Dị_D&lt;54</v>
      </c>
      <c r="O891" s="583"/>
      <c r="P891" s="584"/>
    </row>
    <row r="892" spans="1:17" ht="15.75">
      <c r="A892" s="587" t="str">
        <f ca="1">IFERROR(__xludf.DUMMYFUNCTION("""COMPUTED_VALUE"""),"Toàn Phát - Việt Nam")</f>
        <v>Toàn Phát - Việt Nam</v>
      </c>
      <c r="B892" s="587" t="str">
        <f ca="1">IFERROR(__xludf.DUMMYFUNCTION("""COMPUTED_VALUE"""),"ĐTPBANH")</f>
        <v>ĐTPBANH</v>
      </c>
      <c r="C892" s="587" t="str">
        <f ca="1">IFERROR(__xludf.DUMMYFUNCTION("""COMPUTED_VALUE"""),"DOBKILWC635071")</f>
        <v>DOBKILWC635071</v>
      </c>
      <c r="D892" s="588" t="str">
        <f ca="1">IFERROR(__xludf.DUMMYFUNCTION("""COMPUTED_VALUE"""),"Đồng ống LWC KHÔNG IN 06.35x0.71")</f>
        <v>Đồng ống LWC KHÔNG IN 06.35x0.71</v>
      </c>
      <c r="E892" s="589">
        <f ca="1">IFERROR(__xludf.DUMMYFUNCTION("""COMPUTED_VALUE"""),0.1)</f>
        <v>0.1</v>
      </c>
      <c r="F892" s="590" t="str">
        <f ca="1">IFERROR(__xludf.DUMMYFUNCTION("""COMPUTED_VALUE"""),"m")</f>
        <v>m</v>
      </c>
      <c r="G892" s="590" t="str">
        <f ca="1">IFERROR(__xludf.DUMMYFUNCTION("""COMPUTED_VALUE"""),"m")</f>
        <v>m</v>
      </c>
      <c r="H892" s="588"/>
      <c r="I892" s="591">
        <f ca="1">IFERROR(__xludf.DUMMYFUNCTION("""COMPUTED_VALUE"""),0.116047511999999)</f>
        <v>0.11604751199999901</v>
      </c>
      <c r="J892" s="592" t="str">
        <f ca="1">IFERROR(__xludf.DUMMYFUNCTION("""COMPUTED_VALUE""")," 06.35 ")</f>
        <v xml:space="preserve"> 06.35 </v>
      </c>
      <c r="K892" s="590" t="str">
        <f ca="1">IFERROR(__xludf.DUMMYFUNCTION("""COMPUTED_VALUE"""),"0.71")</f>
        <v>0.71</v>
      </c>
      <c r="L892" s="590">
        <f ca="1">IFERROR(__xludf.DUMMYFUNCTION("""COMPUTED_VALUE"""),1)</f>
        <v>1</v>
      </c>
      <c r="M892" s="590"/>
      <c r="N892" s="590" t="str">
        <f ca="1">IFERROR(__xludf.DUMMYFUNCTION("""COMPUTED_VALUE"""),"Dị_D&lt;54")</f>
        <v>Dị_D&lt;54</v>
      </c>
      <c r="O892" s="589">
        <f ca="1">IFERROR(__xludf.DUMMYFUNCTION("""COMPUTED_VALUE"""),1)</f>
        <v>1</v>
      </c>
      <c r="P892" s="590"/>
    </row>
    <row r="893" spans="1:17" ht="15.75">
      <c r="A893" s="581" t="str">
        <f ca="1">IFERROR(__xludf.DUMMYFUNCTION("""COMPUTED_VALUE"""),"Toàn Phát - Việt Nam")</f>
        <v>Toàn Phát - Việt Nam</v>
      </c>
      <c r="B893" s="581" t="str">
        <f ca="1">IFERROR(__xludf.DUMMYFUNCTION("""COMPUTED_VALUE"""),"ĐTPBANH")</f>
        <v>ĐTPBANH</v>
      </c>
      <c r="C893" s="581" t="str">
        <f ca="1">IFERROR(__xludf.DUMMYFUNCTION("""COMPUTED_VALUE"""),"DOLWC0635071")</f>
        <v>DOLWC0635071</v>
      </c>
      <c r="D893" s="582" t="str">
        <f ca="1">IFERROR(__xludf.DUMMYFUNCTION("""COMPUTED_VALUE"""),"Đồng cuộn LWC 06.35x0.71")</f>
        <v>Đồng cuộn LWC 06.35x0.71</v>
      </c>
      <c r="E893" s="583">
        <f ca="1">IFERROR(__xludf.DUMMYFUNCTION("""COMPUTED_VALUE"""),0.1)</f>
        <v>0.1</v>
      </c>
      <c r="F893" s="584" t="str">
        <f ca="1">IFERROR(__xludf.DUMMYFUNCTION("""COMPUTED_VALUE"""),"m")</f>
        <v>m</v>
      </c>
      <c r="G893" s="584" t="str">
        <f ca="1">IFERROR(__xludf.DUMMYFUNCTION("""COMPUTED_VALUE"""),"m")</f>
        <v>m</v>
      </c>
      <c r="H893" s="582"/>
      <c r="I893" s="585">
        <f ca="1">IFERROR(__xludf.DUMMYFUNCTION("""COMPUTED_VALUE"""),0.116047511999999)</f>
        <v>0.11604751199999901</v>
      </c>
      <c r="J893" s="586" t="str">
        <f ca="1">IFERROR(__xludf.DUMMYFUNCTION("""COMPUTED_VALUE""")," 06.35 ")</f>
        <v xml:space="preserve"> 06.35 </v>
      </c>
      <c r="K893" s="584" t="str">
        <f ca="1">IFERROR(__xludf.DUMMYFUNCTION("""COMPUTED_VALUE"""),"0.71")</f>
        <v>0.71</v>
      </c>
      <c r="L893" s="584">
        <f ca="1">IFERROR(__xludf.DUMMYFUNCTION("""COMPUTED_VALUE"""),1)</f>
        <v>1</v>
      </c>
      <c r="M893" s="584"/>
      <c r="N893" s="584" t="str">
        <f ca="1">IFERROR(__xludf.DUMMYFUNCTION("""COMPUTED_VALUE"""),"Không")</f>
        <v>Không</v>
      </c>
      <c r="O893" s="583"/>
      <c r="P893" s="584"/>
      <c r="Q893" s="885">
        <f ca="1">+$Q$5*I893</f>
        <v>26.690927759999767</v>
      </c>
    </row>
    <row r="894" spans="1:17" ht="15.75">
      <c r="A894" s="587" t="str">
        <f ca="1">IFERROR(__xludf.DUMMYFUNCTION("""COMPUTED_VALUE"""),"Toàn Phát - Việt Nam")</f>
        <v>Toàn Phát - Việt Nam</v>
      </c>
      <c r="B894" s="587" t="str">
        <f ca="1">IFERROR(__xludf.DUMMYFUNCTION("""COMPUTED_VALUE"""),"ĐTPBANH")</f>
        <v>ĐTPBANH</v>
      </c>
      <c r="C894" s="587" t="str">
        <f ca="1">IFERROR(__xludf.DUMMYFUNCTION("""COMPUTED_VALUE"""),"DOBKILWC635075")</f>
        <v>DOBKILWC635075</v>
      </c>
      <c r="D894" s="588" t="str">
        <f ca="1">IFERROR(__xludf.DUMMYFUNCTION("""COMPUTED_VALUE"""),"Đồng ống LWC KHÔNG IN 06.35x0.75")</f>
        <v>Đồng ống LWC KHÔNG IN 06.35x0.75</v>
      </c>
      <c r="E894" s="589">
        <f ca="1">IFERROR(__xludf.DUMMYFUNCTION("""COMPUTED_VALUE"""),0.1)</f>
        <v>0.1</v>
      </c>
      <c r="F894" s="590" t="str">
        <f ca="1">IFERROR(__xludf.DUMMYFUNCTION("""COMPUTED_VALUE"""),"m")</f>
        <v>m</v>
      </c>
      <c r="G894" s="590" t="str">
        <f ca="1">IFERROR(__xludf.DUMMYFUNCTION("""COMPUTED_VALUE"""),"m")</f>
        <v>m</v>
      </c>
      <c r="H894" s="588"/>
      <c r="I894" s="591">
        <f ca="1">IFERROR(__xludf.DUMMYFUNCTION("""COMPUTED_VALUE"""),0.121715999999999)</f>
        <v>0.12171599999999901</v>
      </c>
      <c r="J894" s="592" t="str">
        <f ca="1">IFERROR(__xludf.DUMMYFUNCTION("""COMPUTED_VALUE""")," 06.35 ")</f>
        <v xml:space="preserve"> 06.35 </v>
      </c>
      <c r="K894" s="590" t="str">
        <f ca="1">IFERROR(__xludf.DUMMYFUNCTION("""COMPUTED_VALUE"""),"0.75")</f>
        <v>0.75</v>
      </c>
      <c r="L894" s="590">
        <f ca="1">IFERROR(__xludf.DUMMYFUNCTION("""COMPUTED_VALUE"""),1)</f>
        <v>1</v>
      </c>
      <c r="M894" s="590"/>
      <c r="N894" s="590" t="str">
        <f ca="1">IFERROR(__xludf.DUMMYFUNCTION("""COMPUTED_VALUE"""),"Dị_D&lt;54")</f>
        <v>Dị_D&lt;54</v>
      </c>
      <c r="O894" s="589"/>
      <c r="P894" s="590"/>
    </row>
    <row r="895" spans="1:17" ht="15.75">
      <c r="A895" s="581" t="str">
        <f ca="1">IFERROR(__xludf.DUMMYFUNCTION("""COMPUTED_VALUE"""),"Toàn Phát - Việt Nam")</f>
        <v>Toàn Phát - Việt Nam</v>
      </c>
      <c r="B895" s="581" t="str">
        <f ca="1">IFERROR(__xludf.DUMMYFUNCTION("""COMPUTED_VALUE"""),"ĐTPBANH")</f>
        <v>ĐTPBANH</v>
      </c>
      <c r="C895" s="581" t="str">
        <f ca="1">IFERROR(__xludf.DUMMYFUNCTION("""COMPUTED_VALUE"""),"DOLWC0635076")</f>
        <v>DOLWC0635076</v>
      </c>
      <c r="D895" s="582" t="str">
        <f ca="1">IFERROR(__xludf.DUMMYFUNCTION("""COMPUTED_VALUE"""),"Đồng cuộn LWC 06.35x0.76")</f>
        <v>Đồng cuộn LWC 06.35x0.76</v>
      </c>
      <c r="E895" s="583">
        <f ca="1">IFERROR(__xludf.DUMMYFUNCTION("""COMPUTED_VALUE"""),0.1)</f>
        <v>0.1</v>
      </c>
      <c r="F895" s="584" t="str">
        <f ca="1">IFERROR(__xludf.DUMMYFUNCTION("""COMPUTED_VALUE"""),"m")</f>
        <v>m</v>
      </c>
      <c r="G895" s="584" t="str">
        <f ca="1">IFERROR(__xludf.DUMMYFUNCTION("""COMPUTED_VALUE"""),"m")</f>
        <v>m</v>
      </c>
      <c r="H895" s="582"/>
      <c r="I895" s="585">
        <f ca="1">IFERROR(__xludf.DUMMYFUNCTION("""COMPUTED_VALUE"""),0.123118632)</f>
        <v>0.12311863200000001</v>
      </c>
      <c r="J895" s="586" t="str">
        <f ca="1">IFERROR(__xludf.DUMMYFUNCTION("""COMPUTED_VALUE""")," 06.35 ")</f>
        <v xml:space="preserve"> 06.35 </v>
      </c>
      <c r="K895" s="584" t="str">
        <f ca="1">IFERROR(__xludf.DUMMYFUNCTION("""COMPUTED_VALUE"""),"0.76")</f>
        <v>0.76</v>
      </c>
      <c r="L895" s="584">
        <f ca="1">IFERROR(__xludf.DUMMYFUNCTION("""COMPUTED_VALUE"""),1)</f>
        <v>1</v>
      </c>
      <c r="M895" s="584"/>
      <c r="N895" s="584" t="str">
        <f ca="1">IFERROR(__xludf.DUMMYFUNCTION("""COMPUTED_VALUE"""),"Dị_D&lt;54")</f>
        <v>Dị_D&lt;54</v>
      </c>
      <c r="O895" s="583"/>
      <c r="P895" s="584"/>
    </row>
    <row r="896" spans="1:17" ht="15.75">
      <c r="A896" s="587" t="str">
        <f ca="1">IFERROR(__xludf.DUMMYFUNCTION("""COMPUTED_VALUE"""),"Toàn Phát - Việt Nam")</f>
        <v>Toàn Phát - Việt Nam</v>
      </c>
      <c r="B896" s="587" t="str">
        <f ca="1">IFERROR(__xludf.DUMMYFUNCTION("""COMPUTED_VALUE"""),"ĐTPBANH")</f>
        <v>ĐTPBANH</v>
      </c>
      <c r="C896" s="587" t="str">
        <f ca="1">IFERROR(__xludf.DUMMYFUNCTION("""COMPUTED_VALUE"""),"DOLWC635081")</f>
        <v>DOLWC635081</v>
      </c>
      <c r="D896" s="588" t="str">
        <f ca="1">IFERROR(__xludf.DUMMYFUNCTION("""COMPUTED_VALUE"""),"Đồng ống LWC 6.35x0.81")</f>
        <v>Đồng ống LWC 6.35x0.81</v>
      </c>
      <c r="E896" s="589">
        <f ca="1">IFERROR(__xludf.DUMMYFUNCTION("""COMPUTED_VALUE"""),0.1)</f>
        <v>0.1</v>
      </c>
      <c r="F896" s="590" t="str">
        <f ca="1">IFERROR(__xludf.DUMMYFUNCTION("""COMPUTED_VALUE"""),"m")</f>
        <v>m</v>
      </c>
      <c r="G896" s="590" t="str">
        <f ca="1">IFERROR(__xludf.DUMMYFUNCTION("""COMPUTED_VALUE"""),"m")</f>
        <v>m</v>
      </c>
      <c r="H896" s="588"/>
      <c r="I896" s="591">
        <f ca="1">IFERROR(__xludf.DUMMYFUNCTION("""COMPUTED_VALUE"""),0.130044852)</f>
        <v>0.13004485199999999</v>
      </c>
      <c r="J896" s="592" t="str">
        <f ca="1">IFERROR(__xludf.DUMMYFUNCTION("""COMPUTED_VALUE""")," 06.35 ")</f>
        <v xml:space="preserve"> 06.35 </v>
      </c>
      <c r="K896" s="590" t="str">
        <f ca="1">IFERROR(__xludf.DUMMYFUNCTION("""COMPUTED_VALUE"""),"0.81")</f>
        <v>0.81</v>
      </c>
      <c r="L896" s="590">
        <f ca="1">IFERROR(__xludf.DUMMYFUNCTION("""COMPUTED_VALUE"""),1)</f>
        <v>1</v>
      </c>
      <c r="M896" s="590"/>
      <c r="N896" s="590" t="str">
        <f ca="1">IFERROR(__xludf.DUMMYFUNCTION("""COMPUTED_VALUE"""),"Không")</f>
        <v>Không</v>
      </c>
      <c r="O896" s="589"/>
      <c r="P896" s="590"/>
      <c r="Q896" s="885">
        <f ca="1">+$Q$5*I896</f>
        <v>29.910315959999995</v>
      </c>
    </row>
    <row r="897" spans="1:17" ht="15.75">
      <c r="A897" s="581" t="str">
        <f ca="1">IFERROR(__xludf.DUMMYFUNCTION("""COMPUTED_VALUE"""),"Toàn Phát - Việt Nam")</f>
        <v>Toàn Phát - Việt Nam</v>
      </c>
      <c r="B897" s="581" t="str">
        <f ca="1">IFERROR(__xludf.DUMMYFUNCTION("""COMPUTED_VALUE"""),"ĐTPBANH")</f>
        <v>ĐTPBANH</v>
      </c>
      <c r="C897" s="581" t="str">
        <f ca="1">IFERROR(__xludf.DUMMYFUNCTION("""COMPUTED_VALUE"""),"DOLWC06506")</f>
        <v>DOLWC06506</v>
      </c>
      <c r="D897" s="582" t="str">
        <f ca="1">IFERROR(__xludf.DUMMYFUNCTION("""COMPUTED_VALUE"""),"Đồng cuộn LWC 06.5x0.6")</f>
        <v>Đồng cuộn LWC 06.5x0.6</v>
      </c>
      <c r="E897" s="583">
        <f ca="1">IFERROR(__xludf.DUMMYFUNCTION("""COMPUTED_VALUE"""),0.1)</f>
        <v>0.1</v>
      </c>
      <c r="F897" s="584" t="str">
        <f ca="1">IFERROR(__xludf.DUMMYFUNCTION("""COMPUTED_VALUE"""),"m")</f>
        <v>m</v>
      </c>
      <c r="G897" s="584" t="str">
        <f ca="1">IFERROR(__xludf.DUMMYFUNCTION("""COMPUTED_VALUE"""),"m")</f>
        <v>m</v>
      </c>
      <c r="H897" s="582"/>
      <c r="I897" s="585">
        <f ca="1">IFERROR(__xludf.DUMMYFUNCTION("""COMPUTED_VALUE"""),0.102589199999999)</f>
        <v>0.10258919999999901</v>
      </c>
      <c r="J897" s="586" t="str">
        <f ca="1">IFERROR(__xludf.DUMMYFUNCTION("""COMPUTED_VALUE""")," 06.50 ")</f>
        <v xml:space="preserve"> 06.50 </v>
      </c>
      <c r="K897" s="584" t="str">
        <f ca="1">IFERROR(__xludf.DUMMYFUNCTION("""COMPUTED_VALUE"""),"0.60")</f>
        <v>0.60</v>
      </c>
      <c r="L897" s="584">
        <f ca="1">IFERROR(__xludf.DUMMYFUNCTION("""COMPUTED_VALUE"""),1)</f>
        <v>1</v>
      </c>
      <c r="M897" s="584"/>
      <c r="N897" s="584" t="str">
        <f ca="1">IFERROR(__xludf.DUMMYFUNCTION("""COMPUTED_VALUE"""),"Dị_D&lt;54")</f>
        <v>Dị_D&lt;54</v>
      </c>
      <c r="O897" s="583"/>
      <c r="P897" s="584"/>
    </row>
    <row r="898" spans="1:17" ht="15.75">
      <c r="A898" s="587" t="str">
        <f ca="1">IFERROR(__xludf.DUMMYFUNCTION("""COMPUTED_VALUE"""),"Toàn Phát - Việt Nam")</f>
        <v>Toàn Phát - Việt Nam</v>
      </c>
      <c r="B898" s="587" t="str">
        <f ca="1">IFERROR(__xludf.DUMMYFUNCTION("""COMPUTED_VALUE"""),"ĐTPBANH")</f>
        <v>ĐTPBANH</v>
      </c>
      <c r="C898" s="587" t="str">
        <f ca="1">IFERROR(__xludf.DUMMYFUNCTION("""COMPUTED_VALUE"""),"DOLWC0794061")</f>
        <v>DOLWC0794061</v>
      </c>
      <c r="D898" s="588" t="str">
        <f ca="1">IFERROR(__xludf.DUMMYFUNCTION("""COMPUTED_VALUE"""),"Đồng cuộn LWC 07.94x0.61")</f>
        <v>Đồng cuộn LWC 07.94x0.61</v>
      </c>
      <c r="E898" s="589">
        <f ca="1">IFERROR(__xludf.DUMMYFUNCTION("""COMPUTED_VALUE"""),0.1)</f>
        <v>0.1</v>
      </c>
      <c r="F898" s="590" t="str">
        <f ca="1">IFERROR(__xludf.DUMMYFUNCTION("""COMPUTED_VALUE"""),"m")</f>
        <v>m</v>
      </c>
      <c r="G898" s="590" t="str">
        <f ca="1">IFERROR(__xludf.DUMMYFUNCTION("""COMPUTED_VALUE"""),"m")</f>
        <v>m</v>
      </c>
      <c r="H898" s="588"/>
      <c r="I898" s="591">
        <f ca="1">IFERROR(__xludf.DUMMYFUNCTION("""COMPUTED_VALUE"""),0.129578274)</f>
        <v>0.12957827399999999</v>
      </c>
      <c r="J898" s="592" t="str">
        <f ca="1">IFERROR(__xludf.DUMMYFUNCTION("""COMPUTED_VALUE""")," 07.94 ")</f>
        <v xml:space="preserve"> 07.94 </v>
      </c>
      <c r="K898" s="590" t="str">
        <f ca="1">IFERROR(__xludf.DUMMYFUNCTION("""COMPUTED_VALUE"""),"0.61")</f>
        <v>0.61</v>
      </c>
      <c r="L898" s="590">
        <f ca="1">IFERROR(__xludf.DUMMYFUNCTION("""COMPUTED_VALUE"""),1)</f>
        <v>1</v>
      </c>
      <c r="M898" s="590"/>
      <c r="N898" s="590" t="str">
        <f ca="1">IFERROR(__xludf.DUMMYFUNCTION("""COMPUTED_VALUE"""),"Dị_D&lt;54")</f>
        <v>Dị_D&lt;54</v>
      </c>
      <c r="O898" s="589"/>
      <c r="P898" s="590"/>
    </row>
    <row r="899" spans="1:17" ht="15.75">
      <c r="A899" s="581" t="str">
        <f ca="1">IFERROR(__xludf.DUMMYFUNCTION("""COMPUTED_VALUE"""),"Toàn Phát - Việt Nam")</f>
        <v>Toàn Phát - Việt Nam</v>
      </c>
      <c r="B899" s="581" t="str">
        <f ca="1">IFERROR(__xludf.DUMMYFUNCTION("""COMPUTED_VALUE"""),"ĐTPBANH")</f>
        <v>ĐTPBANH</v>
      </c>
      <c r="C899" s="581" t="str">
        <f ca="1">IFERROR(__xludf.DUMMYFUNCTION("""COMPUTED_VALUE"""),"DOLWC080010")</f>
        <v>DOLWC080010</v>
      </c>
      <c r="D899" s="582" t="str">
        <f ca="1">IFERROR(__xludf.DUMMYFUNCTION("""COMPUTED_VALUE"""),"Đồng ống LWC 08.00x1.00")</f>
        <v>Đồng ống LWC 08.00x1.00</v>
      </c>
      <c r="E899" s="583">
        <f ca="1">IFERROR(__xludf.DUMMYFUNCTION("""COMPUTED_VALUE"""),0.1)</f>
        <v>0.1</v>
      </c>
      <c r="F899" s="584" t="str">
        <f ca="1">IFERROR(__xludf.DUMMYFUNCTION("""COMPUTED_VALUE"""),"m")</f>
        <v>m</v>
      </c>
      <c r="G899" s="584" t="str">
        <f ca="1">IFERROR(__xludf.DUMMYFUNCTION("""COMPUTED_VALUE"""),"m")</f>
        <v>m</v>
      </c>
      <c r="H899" s="582"/>
      <c r="I899" s="585">
        <f ca="1">IFERROR(__xludf.DUMMYFUNCTION("""COMPUTED_VALUE"""),0.202859999999999)</f>
        <v>0.20285999999999901</v>
      </c>
      <c r="J899" s="586" t="str">
        <f ca="1">IFERROR(__xludf.DUMMYFUNCTION("""COMPUTED_VALUE""")," 08.00 ")</f>
        <v xml:space="preserve"> 08.00 </v>
      </c>
      <c r="K899" s="584" t="str">
        <f ca="1">IFERROR(__xludf.DUMMYFUNCTION("""COMPUTED_VALUE"""),"1.00")</f>
        <v>1.00</v>
      </c>
      <c r="L899" s="584">
        <f ca="1">IFERROR(__xludf.DUMMYFUNCTION("""COMPUTED_VALUE"""),1)</f>
        <v>1</v>
      </c>
      <c r="M899" s="584"/>
      <c r="N899" s="584" t="str">
        <f ca="1">IFERROR(__xludf.DUMMYFUNCTION("""COMPUTED_VALUE"""),"Dị_D&lt;54")</f>
        <v>Dị_D&lt;54</v>
      </c>
      <c r="O899" s="583"/>
      <c r="P899" s="584"/>
    </row>
    <row r="900" spans="1:17" ht="15.75">
      <c r="A900" s="587" t="str">
        <f ca="1">IFERROR(__xludf.DUMMYFUNCTION("""COMPUTED_VALUE"""),"Toàn Phát - Việt Nam")</f>
        <v>Toàn Phát - Việt Nam</v>
      </c>
      <c r="B900" s="587" t="str">
        <f ca="1">IFERROR(__xludf.DUMMYFUNCTION("""COMPUTED_VALUE"""),"ĐTPBANH")</f>
        <v>ĐTPBANH</v>
      </c>
      <c r="C900" s="587" t="str">
        <f ca="1">IFERROR(__xludf.DUMMYFUNCTION("""COMPUTED_VALUE"""),"DOLWC0952035")</f>
        <v>DOLWC0952035</v>
      </c>
      <c r="D900" s="588" t="str">
        <f ca="1">IFERROR(__xludf.DUMMYFUNCTION("""COMPUTED_VALUE"""),"Đồng ống LWC 09.52x0.35")</f>
        <v>Đồng ống LWC 09.52x0.35</v>
      </c>
      <c r="E900" s="589">
        <f ca="1">IFERROR(__xludf.DUMMYFUNCTION("""COMPUTED_VALUE"""),0.1)</f>
        <v>0.1</v>
      </c>
      <c r="F900" s="590" t="str">
        <f ca="1">IFERROR(__xludf.DUMMYFUNCTION("""COMPUTED_VALUE"""),"m")</f>
        <v>m</v>
      </c>
      <c r="G900" s="590" t="str">
        <f ca="1">IFERROR(__xludf.DUMMYFUNCTION("""COMPUTED_VALUE"""),"m")</f>
        <v>m</v>
      </c>
      <c r="H900" s="588"/>
      <c r="I900" s="591">
        <f ca="1">IFERROR(__xludf.DUMMYFUNCTION("""COMPUTED_VALUE"""),0.09301131)</f>
        <v>9.301131E-2</v>
      </c>
      <c r="J900" s="592" t="str">
        <f ca="1">IFERROR(__xludf.DUMMYFUNCTION("""COMPUTED_VALUE""")," 09.52 ")</f>
        <v xml:space="preserve"> 09.52 </v>
      </c>
      <c r="K900" s="590" t="str">
        <f ca="1">IFERROR(__xludf.DUMMYFUNCTION("""COMPUTED_VALUE"""),"0.35")</f>
        <v>0.35</v>
      </c>
      <c r="L900" s="590">
        <f ca="1">IFERROR(__xludf.DUMMYFUNCTION("""COMPUTED_VALUE"""),1)</f>
        <v>1</v>
      </c>
      <c r="M900" s="590"/>
      <c r="N900" s="590" t="str">
        <f ca="1">IFERROR(__xludf.DUMMYFUNCTION("""COMPUTED_VALUE"""),"Dị_D&lt;54")</f>
        <v>Dị_D&lt;54</v>
      </c>
      <c r="O900" s="589"/>
      <c r="P900" s="590"/>
    </row>
    <row r="901" spans="1:17" ht="15.75">
      <c r="A901" s="581" t="str">
        <f ca="1">IFERROR(__xludf.DUMMYFUNCTION("""COMPUTED_VALUE"""),"Toàn Phát - Việt Nam")</f>
        <v>Toàn Phát - Việt Nam</v>
      </c>
      <c r="B901" s="581" t="str">
        <f ca="1">IFERROR(__xludf.DUMMYFUNCTION("""COMPUTED_VALUE"""),"ĐTPBANH")</f>
        <v>ĐTPBANH</v>
      </c>
      <c r="C901" s="581" t="str">
        <f ca="1">IFERROR(__xludf.DUMMYFUNCTION("""COMPUTED_VALUE"""),"DOLWC952035")</f>
        <v>DOLWC952035</v>
      </c>
      <c r="D901" s="582" t="str">
        <f ca="1">IFERROR(__xludf.DUMMYFUNCTION("""COMPUTED_VALUE"""),"Đồng cuộn LWC 09.52x0.35")</f>
        <v>Đồng cuộn LWC 09.52x0.35</v>
      </c>
      <c r="E901" s="583">
        <f ca="1">IFERROR(__xludf.DUMMYFUNCTION("""COMPUTED_VALUE"""),0.1)</f>
        <v>0.1</v>
      </c>
      <c r="F901" s="584" t="str">
        <f ca="1">IFERROR(__xludf.DUMMYFUNCTION("""COMPUTED_VALUE"""),"m")</f>
        <v>m</v>
      </c>
      <c r="G901" s="584" t="str">
        <f ca="1">IFERROR(__xludf.DUMMYFUNCTION("""COMPUTED_VALUE"""),"m")</f>
        <v>m</v>
      </c>
      <c r="H901" s="582"/>
      <c r="I901" s="585">
        <f ca="1">IFERROR(__xludf.DUMMYFUNCTION("""COMPUTED_VALUE"""),0.09301131)</f>
        <v>9.301131E-2</v>
      </c>
      <c r="J901" s="586" t="str">
        <f ca="1">IFERROR(__xludf.DUMMYFUNCTION("""COMPUTED_VALUE""")," 09.52 ")</f>
        <v xml:space="preserve"> 09.52 </v>
      </c>
      <c r="K901" s="584" t="str">
        <f ca="1">IFERROR(__xludf.DUMMYFUNCTION("""COMPUTED_VALUE"""),"0.35")</f>
        <v>0.35</v>
      </c>
      <c r="L901" s="584">
        <f ca="1">IFERROR(__xludf.DUMMYFUNCTION("""COMPUTED_VALUE"""),1)</f>
        <v>1</v>
      </c>
      <c r="M901" s="584"/>
      <c r="N901" s="584" t="str">
        <f ca="1">IFERROR(__xludf.DUMMYFUNCTION("""COMPUTED_VALUE"""),"Dị_D&lt;54")</f>
        <v>Dị_D&lt;54</v>
      </c>
      <c r="O901" s="583"/>
      <c r="P901" s="584"/>
    </row>
    <row r="902" spans="1:17" ht="15.75">
      <c r="A902" s="587" t="str">
        <f ca="1">IFERROR(__xludf.DUMMYFUNCTION("""COMPUTED_VALUE"""),"Toàn Phát - Việt Nam")</f>
        <v>Toàn Phát - Việt Nam</v>
      </c>
      <c r="B902" s="587" t="str">
        <f ca="1">IFERROR(__xludf.DUMMYFUNCTION("""COMPUTED_VALUE"""),"ĐTPBANH")</f>
        <v>ĐTPBANH</v>
      </c>
      <c r="C902" s="587" t="str">
        <f ca="1">IFERROR(__xludf.DUMMYFUNCTION("""COMPUTED_VALUE"""),"DOLWC0952041")</f>
        <v>DOLWC0952041</v>
      </c>
      <c r="D902" s="588" t="str">
        <f ca="1">IFERROR(__xludf.DUMMYFUNCTION("""COMPUTED_VALUE"""),"Đồng cuộn LWC 09.52x0.41")</f>
        <v>Đồng cuộn LWC 09.52x0.41</v>
      </c>
      <c r="E902" s="589">
        <f ca="1">IFERROR(__xludf.DUMMYFUNCTION("""COMPUTED_VALUE"""),0.1)</f>
        <v>0.1</v>
      </c>
      <c r="F902" s="590" t="str">
        <f ca="1">IFERROR(__xludf.DUMMYFUNCTION("""COMPUTED_VALUE"""),"m")</f>
        <v>m</v>
      </c>
      <c r="G902" s="590" t="str">
        <f ca="1">IFERROR(__xludf.DUMMYFUNCTION("""COMPUTED_VALUE"""),"m")</f>
        <v>m</v>
      </c>
      <c r="H902" s="588"/>
      <c r="I902" s="591">
        <f ca="1">IFERROR(__xludf.DUMMYFUNCTION("""COMPUTED_VALUE"""),0.108243197999999)</f>
        <v>0.108243197999999</v>
      </c>
      <c r="J902" s="592" t="str">
        <f ca="1">IFERROR(__xludf.DUMMYFUNCTION("""COMPUTED_VALUE""")," 09.52 ")</f>
        <v xml:space="preserve"> 09.52 </v>
      </c>
      <c r="K902" s="590" t="str">
        <f ca="1">IFERROR(__xludf.DUMMYFUNCTION("""COMPUTED_VALUE"""),"0.41")</f>
        <v>0.41</v>
      </c>
      <c r="L902" s="590">
        <f ca="1">IFERROR(__xludf.DUMMYFUNCTION("""COMPUTED_VALUE"""),1)</f>
        <v>1</v>
      </c>
      <c r="M902" s="590"/>
      <c r="N902" s="590" t="str">
        <f ca="1">IFERROR(__xludf.DUMMYFUNCTION("""COMPUTED_VALUE"""),"Dị_D&lt;54")</f>
        <v>Dị_D&lt;54</v>
      </c>
      <c r="O902" s="589"/>
      <c r="P902" s="590"/>
    </row>
    <row r="903" spans="1:17" ht="15.75">
      <c r="A903" s="581" t="str">
        <f ca="1">IFERROR(__xludf.DUMMYFUNCTION("""COMPUTED_VALUE"""),"Toàn Phát - Việt Nam")</f>
        <v>Toàn Phát - Việt Nam</v>
      </c>
      <c r="B903" s="581" t="str">
        <f ca="1">IFERROR(__xludf.DUMMYFUNCTION("""COMPUTED_VALUE"""),"ĐTPBANH")</f>
        <v>ĐTPBANH</v>
      </c>
      <c r="C903" s="581" t="str">
        <f ca="1">IFERROR(__xludf.DUMMYFUNCTION("""COMPUTED_VALUE"""),"DOLWC0952050")</f>
        <v>DOLWC0952050</v>
      </c>
      <c r="D903" s="582" t="str">
        <f ca="1">IFERROR(__xludf.DUMMYFUNCTION("""COMPUTED_VALUE"""),"Đồng cuộn LWC 09.52x0.50")</f>
        <v>Đồng cuộn LWC 09.52x0.50</v>
      </c>
      <c r="E903" s="583">
        <f ca="1">IFERROR(__xludf.DUMMYFUNCTION("""COMPUTED_VALUE"""),0.1)</f>
        <v>0.1</v>
      </c>
      <c r="F903" s="584" t="str">
        <f ca="1">IFERROR(__xludf.DUMMYFUNCTION("""COMPUTED_VALUE"""),"m")</f>
        <v>m</v>
      </c>
      <c r="G903" s="584" t="str">
        <f ca="1">IFERROR(__xludf.DUMMYFUNCTION("""COMPUTED_VALUE"""),"m")</f>
        <v>m</v>
      </c>
      <c r="H903" s="582"/>
      <c r="I903" s="585">
        <f ca="1">IFERROR(__xludf.DUMMYFUNCTION("""COMPUTED_VALUE"""),0.1306998)</f>
        <v>0.1306998</v>
      </c>
      <c r="J903" s="586" t="str">
        <f ca="1">IFERROR(__xludf.DUMMYFUNCTION("""COMPUTED_VALUE""")," 09.52 ")</f>
        <v xml:space="preserve"> 09.52 </v>
      </c>
      <c r="K903" s="584" t="str">
        <f ca="1">IFERROR(__xludf.DUMMYFUNCTION("""COMPUTED_VALUE"""),"0.50")</f>
        <v>0.50</v>
      </c>
      <c r="L903" s="584">
        <f ca="1">IFERROR(__xludf.DUMMYFUNCTION("""COMPUTED_VALUE"""),1)</f>
        <v>1</v>
      </c>
      <c r="M903" s="584"/>
      <c r="N903" s="584" t="str">
        <f ca="1">IFERROR(__xludf.DUMMYFUNCTION("""COMPUTED_VALUE"""),"Dị_D&lt;54")</f>
        <v>Dị_D&lt;54</v>
      </c>
      <c r="O903" s="583"/>
      <c r="P903" s="584"/>
    </row>
    <row r="904" spans="1:17" ht="15.75">
      <c r="A904" s="587" t="str">
        <f ca="1">IFERROR(__xludf.DUMMYFUNCTION("""COMPUTED_VALUE"""),"Toàn Phát - Việt Nam")</f>
        <v>Toàn Phát - Việt Nam</v>
      </c>
      <c r="B904" s="587" t="str">
        <f ca="1">IFERROR(__xludf.DUMMYFUNCTION("""COMPUTED_VALUE"""),"ĐTPBANH")</f>
        <v>ĐTPBANH</v>
      </c>
      <c r="C904" s="587" t="str">
        <f ca="1">IFERROR(__xludf.DUMMYFUNCTION("""COMPUTED_VALUE"""),"DOLWC0952051")</f>
        <v>DOLWC0952051</v>
      </c>
      <c r="D904" s="588" t="str">
        <f ca="1">IFERROR(__xludf.DUMMYFUNCTION("""COMPUTED_VALUE"""),"Đồng cuộn LWC 09.52x0.51")</f>
        <v>Đồng cuộn LWC 09.52x0.51</v>
      </c>
      <c r="E904" s="589">
        <f ca="1">IFERROR(__xludf.DUMMYFUNCTION("""COMPUTED_VALUE"""),0.1)</f>
        <v>0.1</v>
      </c>
      <c r="F904" s="590" t="str">
        <f ca="1">IFERROR(__xludf.DUMMYFUNCTION("""COMPUTED_VALUE"""),"m")</f>
        <v>m</v>
      </c>
      <c r="G904" s="590" t="str">
        <f ca="1">IFERROR(__xludf.DUMMYFUNCTION("""COMPUTED_VALUE"""),"m")</f>
        <v>m</v>
      </c>
      <c r="H904" s="588"/>
      <c r="I904" s="591">
        <f ca="1">IFERROR(__xludf.DUMMYFUNCTION("""COMPUTED_VALUE"""),0.133165998)</f>
        <v>0.13316599800000001</v>
      </c>
      <c r="J904" s="592" t="str">
        <f ca="1">IFERROR(__xludf.DUMMYFUNCTION("""COMPUTED_VALUE""")," 09.52 ")</f>
        <v xml:space="preserve"> 09.52 </v>
      </c>
      <c r="K904" s="590" t="str">
        <f ca="1">IFERROR(__xludf.DUMMYFUNCTION("""COMPUTED_VALUE"""),"0.51")</f>
        <v>0.51</v>
      </c>
      <c r="L904" s="590">
        <f ca="1">IFERROR(__xludf.DUMMYFUNCTION("""COMPUTED_VALUE"""),1)</f>
        <v>1</v>
      </c>
      <c r="M904" s="590"/>
      <c r="N904" s="590" t="str">
        <f ca="1">IFERROR(__xludf.DUMMYFUNCTION("""COMPUTED_VALUE"""),"Dị_D&lt;54")</f>
        <v>Dị_D&lt;54</v>
      </c>
      <c r="O904" s="589"/>
      <c r="P904" s="590"/>
    </row>
    <row r="905" spans="1:17" ht="15.75">
      <c r="A905" s="581" t="str">
        <f ca="1">IFERROR(__xludf.DUMMYFUNCTION("""COMPUTED_VALUE"""),"Toàn Phát - Việt Nam")</f>
        <v>Toàn Phát - Việt Nam</v>
      </c>
      <c r="B905" s="581" t="str">
        <f ca="1">IFERROR(__xludf.DUMMYFUNCTION("""COMPUTED_VALUE"""),"ĐTPBANH")</f>
        <v>ĐTPBANH</v>
      </c>
      <c r="C905" s="581" t="str">
        <f ca="1">IFERROR(__xludf.DUMMYFUNCTION("""COMPUTED_VALUE"""),"DOBKILWC0952055")</f>
        <v>DOBKILWC0952055</v>
      </c>
      <c r="D905" s="582" t="str">
        <f ca="1">IFERROR(__xludf.DUMMYFUNCTION("""COMPUTED_VALUE"""),"Đồng ống LWC KHÔNG IN 09.52x0.55")</f>
        <v>Đồng ống LWC KHÔNG IN 09.52x0.55</v>
      </c>
      <c r="E905" s="583">
        <f ca="1">IFERROR(__xludf.DUMMYFUNCTION("""COMPUTED_VALUE"""),0.1)</f>
        <v>0.1</v>
      </c>
      <c r="F905" s="584" t="str">
        <f ca="1">IFERROR(__xludf.DUMMYFUNCTION("""COMPUTED_VALUE"""),"m")</f>
        <v>m</v>
      </c>
      <c r="G905" s="584" t="str">
        <f ca="1">IFERROR(__xludf.DUMMYFUNCTION("""COMPUTED_VALUE"""),"m")</f>
        <v>m</v>
      </c>
      <c r="H905" s="582"/>
      <c r="I905" s="585">
        <f ca="1">IFERROR(__xludf.DUMMYFUNCTION("""COMPUTED_VALUE"""),0.142972829999999)</f>
        <v>0.142972829999999</v>
      </c>
      <c r="J905" s="586" t="str">
        <f ca="1">IFERROR(__xludf.DUMMYFUNCTION("""COMPUTED_VALUE""")," 09.52 ")</f>
        <v xml:space="preserve"> 09.52 </v>
      </c>
      <c r="K905" s="584" t="str">
        <f ca="1">IFERROR(__xludf.DUMMYFUNCTION("""COMPUTED_VALUE"""),"0.55")</f>
        <v>0.55</v>
      </c>
      <c r="L905" s="584">
        <f ca="1">IFERROR(__xludf.DUMMYFUNCTION("""COMPUTED_VALUE"""),1)</f>
        <v>1</v>
      </c>
      <c r="M905" s="584"/>
      <c r="N905" s="584" t="str">
        <f ca="1">IFERROR(__xludf.DUMMYFUNCTION("""COMPUTED_VALUE"""),"Dị_D&lt;54")</f>
        <v>Dị_D&lt;54</v>
      </c>
      <c r="O905" s="583"/>
      <c r="P905" s="584"/>
    </row>
    <row r="906" spans="1:17" ht="15.75">
      <c r="A906" s="587" t="str">
        <f ca="1">IFERROR(__xludf.DUMMYFUNCTION("""COMPUTED_VALUE"""),"Toàn Phát - Việt Nam")</f>
        <v>Toàn Phát - Việt Nam</v>
      </c>
      <c r="B906" s="587" t="str">
        <f ca="1">IFERROR(__xludf.DUMMYFUNCTION("""COMPUTED_VALUE"""),"ĐTPBANH")</f>
        <v>ĐTPBANH</v>
      </c>
      <c r="C906" s="587" t="str">
        <f ca="1">IFERROR(__xludf.DUMMYFUNCTION("""COMPUTED_VALUE"""),"LWC0952055")</f>
        <v>LWC0952055</v>
      </c>
      <c r="D906" s="588" t="str">
        <f ca="1">IFERROR(__xludf.DUMMYFUNCTION("""COMPUTED_VALUE"""),"Đồng ống LWC 09.52x0.55")</f>
        <v>Đồng ống LWC 09.52x0.55</v>
      </c>
      <c r="E906" s="589">
        <f ca="1">IFERROR(__xludf.DUMMYFUNCTION("""COMPUTED_VALUE"""),0.1)</f>
        <v>0.1</v>
      </c>
      <c r="F906" s="590" t="str">
        <f ca="1">IFERROR(__xludf.DUMMYFUNCTION("""COMPUTED_VALUE"""),"m")</f>
        <v>m</v>
      </c>
      <c r="G906" s="590" t="str">
        <f ca="1">IFERROR(__xludf.DUMMYFUNCTION("""COMPUTED_VALUE"""),"m")</f>
        <v>m</v>
      </c>
      <c r="H906" s="588"/>
      <c r="I906" s="591">
        <f ca="1">IFERROR(__xludf.DUMMYFUNCTION("""COMPUTED_VALUE"""),0.142972829999999)</f>
        <v>0.142972829999999</v>
      </c>
      <c r="J906" s="592" t="str">
        <f ca="1">IFERROR(__xludf.DUMMYFUNCTION("""COMPUTED_VALUE""")," 09.52 ")</f>
        <v xml:space="preserve"> 09.52 </v>
      </c>
      <c r="K906" s="590" t="str">
        <f ca="1">IFERROR(__xludf.DUMMYFUNCTION("""COMPUTED_VALUE"""),"0.55")</f>
        <v>0.55</v>
      </c>
      <c r="L906" s="590">
        <f ca="1">IFERROR(__xludf.DUMMYFUNCTION("""COMPUTED_VALUE"""),1)</f>
        <v>1</v>
      </c>
      <c r="M906" s="590"/>
      <c r="N906" s="590" t="str">
        <f ca="1">IFERROR(__xludf.DUMMYFUNCTION("""COMPUTED_VALUE"""),"Dị_D&lt;54")</f>
        <v>Dị_D&lt;54</v>
      </c>
      <c r="O906" s="589"/>
      <c r="P906" s="590"/>
    </row>
    <row r="907" spans="1:17" ht="15.75">
      <c r="A907" s="581" t="str">
        <f ca="1">IFERROR(__xludf.DUMMYFUNCTION("""COMPUTED_VALUE"""),"Toàn Phát - Việt Nam")</f>
        <v>Toàn Phát - Việt Nam</v>
      </c>
      <c r="B907" s="581" t="str">
        <f ca="1">IFERROR(__xludf.DUMMYFUNCTION("""COMPUTED_VALUE"""),"ĐTPBANH")</f>
        <v>ĐTPBANH</v>
      </c>
      <c r="C907" s="581" t="str">
        <f ca="1">IFERROR(__xludf.DUMMYFUNCTION("""COMPUTED_VALUE"""),"LWC0952056")</f>
        <v>LWC0952056</v>
      </c>
      <c r="D907" s="582" t="str">
        <f ca="1">IFERROR(__xludf.DUMMYFUNCTION("""COMPUTED_VALUE"""),"Đồng cuộn LWC 09.52x0.56")</f>
        <v>Đồng cuộn LWC 09.52x0.56</v>
      </c>
      <c r="E907" s="583">
        <f ca="1">IFERROR(__xludf.DUMMYFUNCTION("""COMPUTED_VALUE"""),0.1)</f>
        <v>0.1</v>
      </c>
      <c r="F907" s="584" t="str">
        <f ca="1">IFERROR(__xludf.DUMMYFUNCTION("""COMPUTED_VALUE"""),"m")</f>
        <v>m</v>
      </c>
      <c r="G907" s="584" t="str">
        <f ca="1">IFERROR(__xludf.DUMMYFUNCTION("""COMPUTED_VALUE"""),"m")</f>
        <v>m</v>
      </c>
      <c r="H907" s="582"/>
      <c r="I907" s="585">
        <f ca="1">IFERROR(__xludf.DUMMYFUNCTION("""COMPUTED_VALUE"""),0.145410048)</f>
        <v>0.14541004799999999</v>
      </c>
      <c r="J907" s="586" t="str">
        <f ca="1">IFERROR(__xludf.DUMMYFUNCTION("""COMPUTED_VALUE""")," 09.52 ")</f>
        <v xml:space="preserve"> 09.52 </v>
      </c>
      <c r="K907" s="584" t="str">
        <f ca="1">IFERROR(__xludf.DUMMYFUNCTION("""COMPUTED_VALUE"""),"0.56")</f>
        <v>0.56</v>
      </c>
      <c r="L907" s="584">
        <f ca="1">IFERROR(__xludf.DUMMYFUNCTION("""COMPUTED_VALUE"""),1)</f>
        <v>1</v>
      </c>
      <c r="M907" s="584"/>
      <c r="N907" s="584" t="str">
        <f ca="1">IFERROR(__xludf.DUMMYFUNCTION("""COMPUTED_VALUE"""),"Dị_D&lt;54")</f>
        <v>Dị_D&lt;54</v>
      </c>
      <c r="O907" s="583"/>
      <c r="P907" s="584"/>
    </row>
    <row r="908" spans="1:17" ht="15.75">
      <c r="A908" s="587" t="str">
        <f ca="1">IFERROR(__xludf.DUMMYFUNCTION("""COMPUTED_VALUE"""),"Toàn Phát - Việt Nam")</f>
        <v>Toàn Phát - Việt Nam</v>
      </c>
      <c r="B908" s="587" t="str">
        <f ca="1">IFERROR(__xludf.DUMMYFUNCTION("""COMPUTED_VALUE"""),"ĐTPBANH")</f>
        <v>ĐTPBANH</v>
      </c>
      <c r="C908" s="587" t="str">
        <f ca="1">IFERROR(__xludf.DUMMYFUNCTION("""COMPUTED_VALUE"""),"DOLWC0952060")</f>
        <v>DOLWC0952060</v>
      </c>
      <c r="D908" s="588" t="str">
        <f ca="1">IFERROR(__xludf.DUMMYFUNCTION("""COMPUTED_VALUE"""),"Đồng cuộn LWC 9.52x0.60")</f>
        <v>Đồng cuộn LWC 9.52x0.60</v>
      </c>
      <c r="E908" s="589">
        <f ca="1">IFERROR(__xludf.DUMMYFUNCTION("""COMPUTED_VALUE"""),0.1)</f>
        <v>0.1</v>
      </c>
      <c r="F908" s="590" t="str">
        <f ca="1">IFERROR(__xludf.DUMMYFUNCTION("""COMPUTED_VALUE"""),"m")</f>
        <v>m</v>
      </c>
      <c r="G908" s="590" t="str">
        <f ca="1">IFERROR(__xludf.DUMMYFUNCTION("""COMPUTED_VALUE"""),"m")</f>
        <v>m</v>
      </c>
      <c r="H908" s="588"/>
      <c r="I908" s="591">
        <f ca="1">IFERROR(__xludf.DUMMYFUNCTION("""COMPUTED_VALUE"""),0.155100959999999)</f>
        <v>0.15510095999999901</v>
      </c>
      <c r="J908" s="592" t="str">
        <f ca="1">IFERROR(__xludf.DUMMYFUNCTION("""COMPUTED_VALUE""")," 09.52 ")</f>
        <v xml:space="preserve"> 09.52 </v>
      </c>
      <c r="K908" s="590" t="str">
        <f ca="1">IFERROR(__xludf.DUMMYFUNCTION("""COMPUTED_VALUE"""),"0.60")</f>
        <v>0.60</v>
      </c>
      <c r="L908" s="590">
        <f ca="1">IFERROR(__xludf.DUMMYFUNCTION("""COMPUTED_VALUE"""),1)</f>
        <v>1</v>
      </c>
      <c r="M908" s="590"/>
      <c r="N908" s="590" t="str">
        <f ca="1">IFERROR(__xludf.DUMMYFUNCTION("""COMPUTED_VALUE"""),"Dị_D&lt;54")</f>
        <v>Dị_D&lt;54</v>
      </c>
      <c r="O908" s="589"/>
      <c r="P908" s="590"/>
    </row>
    <row r="909" spans="1:17" ht="15.75">
      <c r="A909" s="581" t="str">
        <f ca="1">IFERROR(__xludf.DUMMYFUNCTION("""COMPUTED_VALUE"""),"Toàn Phát - Việt Nam")</f>
        <v>Toàn Phát - Việt Nam</v>
      </c>
      <c r="B909" s="581" t="str">
        <f ca="1">IFERROR(__xludf.DUMMYFUNCTION("""COMPUTED_VALUE"""),"ĐTPBANH")</f>
        <v>ĐTPBANH</v>
      </c>
      <c r="C909" s="581" t="str">
        <f ca="1">IFERROR(__xludf.DUMMYFUNCTION("""COMPUTED_VALUE"""),"LWC0952060")</f>
        <v>LWC0952060</v>
      </c>
      <c r="D909" s="582" t="str">
        <f ca="1">IFERROR(__xludf.DUMMYFUNCTION("""COMPUTED_VALUE"""),"Đồng ống LWC 09.52x0.60")</f>
        <v>Đồng ống LWC 09.52x0.60</v>
      </c>
      <c r="E909" s="583">
        <f ca="1">IFERROR(__xludf.DUMMYFUNCTION("""COMPUTED_VALUE"""),0.1)</f>
        <v>0.1</v>
      </c>
      <c r="F909" s="584" t="str">
        <f ca="1">IFERROR(__xludf.DUMMYFUNCTION("""COMPUTED_VALUE"""),"m")</f>
        <v>m</v>
      </c>
      <c r="G909" s="584" t="str">
        <f ca="1">IFERROR(__xludf.DUMMYFUNCTION("""COMPUTED_VALUE"""),"m")</f>
        <v>m</v>
      </c>
      <c r="H909" s="582"/>
      <c r="I909" s="585">
        <f ca="1">IFERROR(__xludf.DUMMYFUNCTION("""COMPUTED_VALUE"""),0.155100959999999)</f>
        <v>0.15510095999999901</v>
      </c>
      <c r="J909" s="586" t="str">
        <f ca="1">IFERROR(__xludf.DUMMYFUNCTION("""COMPUTED_VALUE""")," 09.52 ")</f>
        <v xml:space="preserve"> 09.52 </v>
      </c>
      <c r="K909" s="584" t="str">
        <f ca="1">IFERROR(__xludf.DUMMYFUNCTION("""COMPUTED_VALUE"""),"0.60")</f>
        <v>0.60</v>
      </c>
      <c r="L909" s="584">
        <f ca="1">IFERROR(__xludf.DUMMYFUNCTION("""COMPUTED_VALUE"""),1)</f>
        <v>1</v>
      </c>
      <c r="M909" s="584"/>
      <c r="N909" s="584" t="str">
        <f ca="1">IFERROR(__xludf.DUMMYFUNCTION("""COMPUTED_VALUE"""),"Dị_D&lt;54")</f>
        <v>Dị_D&lt;54</v>
      </c>
      <c r="O909" s="583"/>
      <c r="P909" s="584"/>
    </row>
    <row r="910" spans="1:17" ht="15.75">
      <c r="A910" s="587" t="str">
        <f ca="1">IFERROR(__xludf.DUMMYFUNCTION("""COMPUTED_VALUE"""),"Toàn Phát - Việt Nam")</f>
        <v>Toàn Phát - Việt Nam</v>
      </c>
      <c r="B910" s="587" t="str">
        <f ca="1">IFERROR(__xludf.DUMMYFUNCTION("""COMPUTED_VALUE"""),"ĐTPBANH")</f>
        <v>ĐTPBANH</v>
      </c>
      <c r="C910" s="587" t="str">
        <f ca="1">IFERROR(__xludf.DUMMYFUNCTION("""COMPUTED_VALUE"""),"DOBKILWC0952061")</f>
        <v>DOBKILWC0952061</v>
      </c>
      <c r="D910" s="588" t="str">
        <f ca="1">IFERROR(__xludf.DUMMYFUNCTION("""COMPUTED_VALUE"""),"Đồng ống LWC KHÔNG IN 09.52x0.61")</f>
        <v>Đồng ống LWC KHÔNG IN 09.52x0.61</v>
      </c>
      <c r="E910" s="589">
        <f ca="1">IFERROR(__xludf.DUMMYFUNCTION("""COMPUTED_VALUE"""),0.1)</f>
        <v>0.1</v>
      </c>
      <c r="F910" s="590" t="str">
        <f ca="1">IFERROR(__xludf.DUMMYFUNCTION("""COMPUTED_VALUE"""),"m")</f>
        <v>m</v>
      </c>
      <c r="G910" s="590" t="str">
        <f ca="1">IFERROR(__xludf.DUMMYFUNCTION("""COMPUTED_VALUE"""),"m")</f>
        <v>m</v>
      </c>
      <c r="H910" s="588"/>
      <c r="I910" s="591">
        <f ca="1">IFERROR(__xludf.DUMMYFUNCTION("""COMPUTED_VALUE"""),0.157509198)</f>
        <v>0.15750919799999999</v>
      </c>
      <c r="J910" s="592" t="str">
        <f ca="1">IFERROR(__xludf.DUMMYFUNCTION("""COMPUTED_VALUE""")," 09.52 ")</f>
        <v xml:space="preserve"> 09.52 </v>
      </c>
      <c r="K910" s="590" t="str">
        <f ca="1">IFERROR(__xludf.DUMMYFUNCTION("""COMPUTED_VALUE"""),"0.61")</f>
        <v>0.61</v>
      </c>
      <c r="L910" s="590">
        <f ca="1">IFERROR(__xludf.DUMMYFUNCTION("""COMPUTED_VALUE"""),1)</f>
        <v>1</v>
      </c>
      <c r="M910" s="590"/>
      <c r="N910" s="590" t="str">
        <f ca="1">IFERROR(__xludf.DUMMYFUNCTION("""COMPUTED_VALUE"""),"Dị_D&lt;54")</f>
        <v>Dị_D&lt;54</v>
      </c>
      <c r="O910" s="589">
        <f ca="1">IFERROR(__xludf.DUMMYFUNCTION("""COMPUTED_VALUE"""),1)</f>
        <v>1</v>
      </c>
      <c r="P910" s="590"/>
    </row>
    <row r="911" spans="1:17" ht="15.75">
      <c r="A911" s="581" t="str">
        <f ca="1">IFERROR(__xludf.DUMMYFUNCTION("""COMPUTED_VALUE"""),"Toàn Phát - Việt Nam")</f>
        <v>Toàn Phát - Việt Nam</v>
      </c>
      <c r="B911" s="581" t="str">
        <f ca="1">IFERROR(__xludf.DUMMYFUNCTION("""COMPUTED_VALUE"""),"ĐTPBANH")</f>
        <v>ĐTPBANH</v>
      </c>
      <c r="C911" s="581" t="str">
        <f ca="1">IFERROR(__xludf.DUMMYFUNCTION("""COMPUTED_VALUE"""),"LWC0952061")</f>
        <v>LWC0952061</v>
      </c>
      <c r="D911" s="582" t="str">
        <f ca="1">IFERROR(__xludf.DUMMYFUNCTION("""COMPUTED_VALUE"""),"Đồng cuộn LWC 9.52x0.61")</f>
        <v>Đồng cuộn LWC 9.52x0.61</v>
      </c>
      <c r="E911" s="583">
        <f ca="1">IFERROR(__xludf.DUMMYFUNCTION("""COMPUTED_VALUE"""),0.1)</f>
        <v>0.1</v>
      </c>
      <c r="F911" s="584" t="str">
        <f ca="1">IFERROR(__xludf.DUMMYFUNCTION("""COMPUTED_VALUE"""),"m")</f>
        <v>m</v>
      </c>
      <c r="G911" s="584" t="str">
        <f ca="1">IFERROR(__xludf.DUMMYFUNCTION("""COMPUTED_VALUE"""),"m")</f>
        <v>m</v>
      </c>
      <c r="H911" s="582"/>
      <c r="I911" s="585">
        <f ca="1">IFERROR(__xludf.DUMMYFUNCTION("""COMPUTED_VALUE"""),0.157509198)</f>
        <v>0.15750919799999999</v>
      </c>
      <c r="J911" s="586" t="str">
        <f ca="1">IFERROR(__xludf.DUMMYFUNCTION("""COMPUTED_VALUE""")," 09.52 ")</f>
        <v xml:space="preserve"> 09.52 </v>
      </c>
      <c r="K911" s="584" t="str">
        <f ca="1">IFERROR(__xludf.DUMMYFUNCTION("""COMPUTED_VALUE"""),"0.61")</f>
        <v>0.61</v>
      </c>
      <c r="L911" s="584">
        <f ca="1">IFERROR(__xludf.DUMMYFUNCTION("""COMPUTED_VALUE"""),1)</f>
        <v>1</v>
      </c>
      <c r="M911" s="584"/>
      <c r="N911" s="584" t="str">
        <f ca="1">IFERROR(__xludf.DUMMYFUNCTION("""COMPUTED_VALUE"""),"Không")</f>
        <v>Không</v>
      </c>
      <c r="O911" s="583"/>
      <c r="P911" s="584"/>
      <c r="Q911" s="885">
        <f ca="1">+$Q$5*I911</f>
        <v>36.227115539999993</v>
      </c>
    </row>
    <row r="912" spans="1:17" ht="15.75">
      <c r="A912" s="587" t="str">
        <f ca="1">IFERROR(__xludf.DUMMYFUNCTION("""COMPUTED_VALUE"""),"Toàn Phát - Việt Nam")</f>
        <v>Toàn Phát - Việt Nam</v>
      </c>
      <c r="B912" s="587" t="str">
        <f ca="1">IFERROR(__xludf.DUMMYFUNCTION("""COMPUTED_VALUE"""),"ĐTPBANH")</f>
        <v>ĐTPBANH</v>
      </c>
      <c r="C912" s="587" t="str">
        <f ca="1">IFERROR(__xludf.DUMMYFUNCTION("""COMPUTED_VALUE"""),"DOBKILWC0952065")</f>
        <v>DOBKILWC0952065</v>
      </c>
      <c r="D912" s="588" t="str">
        <f ca="1">IFERROR(__xludf.DUMMYFUNCTION("""COMPUTED_VALUE"""),"Đồng ống LWC KHÔNG IN 09.52x0.65")</f>
        <v>Đồng ống LWC KHÔNG IN 09.52x0.65</v>
      </c>
      <c r="E912" s="589">
        <f ca="1">IFERROR(__xludf.DUMMYFUNCTION("""COMPUTED_VALUE"""),0.1)</f>
        <v>0.1</v>
      </c>
      <c r="F912" s="590" t="str">
        <f ca="1">IFERROR(__xludf.DUMMYFUNCTION("""COMPUTED_VALUE"""),"m")</f>
        <v>m</v>
      </c>
      <c r="G912" s="590" t="str">
        <f ca="1">IFERROR(__xludf.DUMMYFUNCTION("""COMPUTED_VALUE"""),"m")</f>
        <v>m</v>
      </c>
      <c r="H912" s="588"/>
      <c r="I912" s="591">
        <f ca="1">IFERROR(__xludf.DUMMYFUNCTION("""COMPUTED_VALUE"""),0.16708419)</f>
        <v>0.16708418999999999</v>
      </c>
      <c r="J912" s="592" t="str">
        <f ca="1">IFERROR(__xludf.DUMMYFUNCTION("""COMPUTED_VALUE""")," 09.52 ")</f>
        <v xml:space="preserve"> 09.52 </v>
      </c>
      <c r="K912" s="590" t="str">
        <f ca="1">IFERROR(__xludf.DUMMYFUNCTION("""COMPUTED_VALUE"""),"0.65")</f>
        <v>0.65</v>
      </c>
      <c r="L912" s="590">
        <f ca="1">IFERROR(__xludf.DUMMYFUNCTION("""COMPUTED_VALUE"""),1)</f>
        <v>1</v>
      </c>
      <c r="M912" s="590"/>
      <c r="N912" s="590" t="str">
        <f ca="1">IFERROR(__xludf.DUMMYFUNCTION("""COMPUTED_VALUE"""),"Dị_D&lt;54")</f>
        <v>Dị_D&lt;54</v>
      </c>
      <c r="O912" s="589"/>
      <c r="P912" s="590"/>
    </row>
    <row r="913" spans="1:17" ht="15.75">
      <c r="A913" s="581" t="str">
        <f ca="1">IFERROR(__xludf.DUMMYFUNCTION("""COMPUTED_VALUE"""),"Toàn Phát - Việt Nam")</f>
        <v>Toàn Phát - Việt Nam</v>
      </c>
      <c r="B913" s="581" t="str">
        <f ca="1">IFERROR(__xludf.DUMMYFUNCTION("""COMPUTED_VALUE"""),"ĐTPBANH")</f>
        <v>ĐTPBANH</v>
      </c>
      <c r="C913" s="581" t="str">
        <f ca="1">IFERROR(__xludf.DUMMYFUNCTION("""COMPUTED_VALUE"""),"DOLWC0952065")</f>
        <v>DOLWC0952065</v>
      </c>
      <c r="D913" s="582" t="str">
        <f ca="1">IFERROR(__xludf.DUMMYFUNCTION("""COMPUTED_VALUE"""),"Đồng cuộn LWC 09.52x0.65")</f>
        <v>Đồng cuộn LWC 09.52x0.65</v>
      </c>
      <c r="E913" s="583">
        <f ca="1">IFERROR(__xludf.DUMMYFUNCTION("""COMPUTED_VALUE"""),0.1)</f>
        <v>0.1</v>
      </c>
      <c r="F913" s="584" t="str">
        <f ca="1">IFERROR(__xludf.DUMMYFUNCTION("""COMPUTED_VALUE"""),"m")</f>
        <v>m</v>
      </c>
      <c r="G913" s="584" t="str">
        <f ca="1">IFERROR(__xludf.DUMMYFUNCTION("""COMPUTED_VALUE"""),"m")</f>
        <v>m</v>
      </c>
      <c r="H913" s="582"/>
      <c r="I913" s="585">
        <f ca="1">IFERROR(__xludf.DUMMYFUNCTION("""COMPUTED_VALUE"""),0.16708419)</f>
        <v>0.16708418999999999</v>
      </c>
      <c r="J913" s="586" t="str">
        <f ca="1">IFERROR(__xludf.DUMMYFUNCTION("""COMPUTED_VALUE""")," 09.52 ")</f>
        <v xml:space="preserve"> 09.52 </v>
      </c>
      <c r="K913" s="584" t="str">
        <f ca="1">IFERROR(__xludf.DUMMYFUNCTION("""COMPUTED_VALUE"""),"0.65")</f>
        <v>0.65</v>
      </c>
      <c r="L913" s="584">
        <f ca="1">IFERROR(__xludf.DUMMYFUNCTION("""COMPUTED_VALUE"""),1)</f>
        <v>1</v>
      </c>
      <c r="M913" s="584"/>
      <c r="N913" s="584" t="str">
        <f ca="1">IFERROR(__xludf.DUMMYFUNCTION("""COMPUTED_VALUE"""),"Dị_D&lt;54")</f>
        <v>Dị_D&lt;54</v>
      </c>
      <c r="O913" s="583"/>
      <c r="P913" s="584"/>
    </row>
    <row r="914" spans="1:17" ht="15.75">
      <c r="A914" s="587" t="str">
        <f ca="1">IFERROR(__xludf.DUMMYFUNCTION("""COMPUTED_VALUE"""),"Toàn Phát - Việt Nam")</f>
        <v>Toàn Phát - Việt Nam</v>
      </c>
      <c r="B914" s="587" t="str">
        <f ca="1">IFERROR(__xludf.DUMMYFUNCTION("""COMPUTED_VALUE"""),"ĐTPBANH")</f>
        <v>ĐTPBANH</v>
      </c>
      <c r="C914" s="587" t="str">
        <f ca="1">IFERROR(__xludf.DUMMYFUNCTION("""COMPUTED_VALUE"""),"DOLWC952070")</f>
        <v>DOLWC952070</v>
      </c>
      <c r="D914" s="588" t="str">
        <f ca="1">IFERROR(__xludf.DUMMYFUNCTION("""COMPUTED_VALUE"""),"Đồng ống LWC 9.52x0.7")</f>
        <v>Đồng ống LWC 9.52x0.7</v>
      </c>
      <c r="E914" s="589">
        <f ca="1">IFERROR(__xludf.DUMMYFUNCTION("""COMPUTED_VALUE"""),0.1)</f>
        <v>0.1</v>
      </c>
      <c r="F914" s="590" t="str">
        <f ca="1">IFERROR(__xludf.DUMMYFUNCTION("""COMPUTED_VALUE"""),"m")</f>
        <v>m</v>
      </c>
      <c r="G914" s="590" t="str">
        <f ca="1">IFERROR(__xludf.DUMMYFUNCTION("""COMPUTED_VALUE"""),"m")</f>
        <v>m</v>
      </c>
      <c r="H914" s="588"/>
      <c r="I914" s="591">
        <f ca="1">IFERROR(__xludf.DUMMYFUNCTION("""COMPUTED_VALUE"""),0.178922519999999)</f>
        <v>0.178922519999999</v>
      </c>
      <c r="J914" s="592" t="str">
        <f ca="1">IFERROR(__xludf.DUMMYFUNCTION("""COMPUTED_VALUE""")," 09.52 ")</f>
        <v xml:space="preserve"> 09.52 </v>
      </c>
      <c r="K914" s="590" t="str">
        <f ca="1">IFERROR(__xludf.DUMMYFUNCTION("""COMPUTED_VALUE"""),"0.70")</f>
        <v>0.70</v>
      </c>
      <c r="L914" s="590">
        <f ca="1">IFERROR(__xludf.DUMMYFUNCTION("""COMPUTED_VALUE"""),1)</f>
        <v>1</v>
      </c>
      <c r="M914" s="590"/>
      <c r="N914" s="590" t="str">
        <f ca="1">IFERROR(__xludf.DUMMYFUNCTION("""COMPUTED_VALUE"""),"Dị_D&lt;54")</f>
        <v>Dị_D&lt;54</v>
      </c>
      <c r="O914" s="589"/>
      <c r="P914" s="590"/>
    </row>
    <row r="915" spans="1:17" ht="15.75">
      <c r="A915" s="581" t="str">
        <f ca="1">IFERROR(__xludf.DUMMYFUNCTION("""COMPUTED_VALUE"""),"Toàn Phát - Việt Nam")</f>
        <v>Toàn Phát - Việt Nam</v>
      </c>
      <c r="B915" s="581" t="str">
        <f ca="1">IFERROR(__xludf.DUMMYFUNCTION("""COMPUTED_VALUE"""),"ĐTPBANH")</f>
        <v>ĐTPBANH</v>
      </c>
      <c r="C915" s="581" t="str">
        <f ca="1">IFERROR(__xludf.DUMMYFUNCTION("""COMPUTED_VALUE"""),"DOBKILWC952071")</f>
        <v>DOBKILWC952071</v>
      </c>
      <c r="D915" s="582" t="str">
        <f ca="1">IFERROR(__xludf.DUMMYFUNCTION("""COMPUTED_VALUE"""),"Đồng ống LWC KHÔNG IN 09.52x0.71")</f>
        <v>Đồng ống LWC KHÔNG IN 09.52x0.71</v>
      </c>
      <c r="E915" s="583">
        <f ca="1">IFERROR(__xludf.DUMMYFUNCTION("""COMPUTED_VALUE"""),0.1)</f>
        <v>0.1</v>
      </c>
      <c r="F915" s="584" t="str">
        <f ca="1">IFERROR(__xludf.DUMMYFUNCTION("""COMPUTED_VALUE"""),"m")</f>
        <v>m</v>
      </c>
      <c r="G915" s="584" t="str">
        <f ca="1">IFERROR(__xludf.DUMMYFUNCTION("""COMPUTED_VALUE"""),"m")</f>
        <v>m</v>
      </c>
      <c r="H915" s="582"/>
      <c r="I915" s="585">
        <f ca="1">IFERROR(__xludf.DUMMYFUNCTION("""COMPUTED_VALUE"""),0.181272797999999)</f>
        <v>0.18127279799999901</v>
      </c>
      <c r="J915" s="586" t="str">
        <f ca="1">IFERROR(__xludf.DUMMYFUNCTION("""COMPUTED_VALUE""")," 09.52 ")</f>
        <v xml:space="preserve"> 09.52 </v>
      </c>
      <c r="K915" s="584" t="str">
        <f ca="1">IFERROR(__xludf.DUMMYFUNCTION("""COMPUTED_VALUE"""),"0.71")</f>
        <v>0.71</v>
      </c>
      <c r="L915" s="584">
        <f ca="1">IFERROR(__xludf.DUMMYFUNCTION("""COMPUTED_VALUE"""),1)</f>
        <v>1</v>
      </c>
      <c r="M915" s="584"/>
      <c r="N915" s="584" t="str">
        <f ca="1">IFERROR(__xludf.DUMMYFUNCTION("""COMPUTED_VALUE"""),"Dị_D&lt;54")</f>
        <v>Dị_D&lt;54</v>
      </c>
      <c r="O915" s="583">
        <f ca="1">IFERROR(__xludf.DUMMYFUNCTION("""COMPUTED_VALUE"""),1)</f>
        <v>1</v>
      </c>
      <c r="P915" s="584"/>
    </row>
    <row r="916" spans="1:17" ht="15.75">
      <c r="A916" s="587" t="str">
        <f ca="1">IFERROR(__xludf.DUMMYFUNCTION("""COMPUTED_VALUE"""),"Toàn Phát - Việt Nam")</f>
        <v>Toàn Phát - Việt Nam</v>
      </c>
      <c r="B916" s="587" t="str">
        <f ca="1">IFERROR(__xludf.DUMMYFUNCTION("""COMPUTED_VALUE"""),"ĐTPBANH")</f>
        <v>ĐTPBANH</v>
      </c>
      <c r="C916" s="587" t="str">
        <f ca="1">IFERROR(__xludf.DUMMYFUNCTION("""COMPUTED_VALUE"""),"DOLWC0952071")</f>
        <v>DOLWC0952071</v>
      </c>
      <c r="D916" s="588" t="str">
        <f ca="1">IFERROR(__xludf.DUMMYFUNCTION("""COMPUTED_VALUE"""),"Đồng cuộn LWC 09.52x0.71")</f>
        <v>Đồng cuộn LWC 09.52x0.71</v>
      </c>
      <c r="E916" s="589">
        <f ca="1">IFERROR(__xludf.DUMMYFUNCTION("""COMPUTED_VALUE"""),0.1)</f>
        <v>0.1</v>
      </c>
      <c r="F916" s="590" t="str">
        <f ca="1">IFERROR(__xludf.DUMMYFUNCTION("""COMPUTED_VALUE"""),"m")</f>
        <v>m</v>
      </c>
      <c r="G916" s="590" t="str">
        <f ca="1">IFERROR(__xludf.DUMMYFUNCTION("""COMPUTED_VALUE"""),"m")</f>
        <v>m</v>
      </c>
      <c r="H916" s="588"/>
      <c r="I916" s="591">
        <f ca="1">IFERROR(__xludf.DUMMYFUNCTION("""COMPUTED_VALUE"""),0.181272797999999)</f>
        <v>0.18127279799999901</v>
      </c>
      <c r="J916" s="592" t="str">
        <f ca="1">IFERROR(__xludf.DUMMYFUNCTION("""COMPUTED_VALUE""")," 09.52 ")</f>
        <v xml:space="preserve"> 09.52 </v>
      </c>
      <c r="K916" s="590" t="str">
        <f ca="1">IFERROR(__xludf.DUMMYFUNCTION("""COMPUTED_VALUE"""),"0.71")</f>
        <v>0.71</v>
      </c>
      <c r="L916" s="590">
        <f ca="1">IFERROR(__xludf.DUMMYFUNCTION("""COMPUTED_VALUE"""),1)</f>
        <v>1</v>
      </c>
      <c r="M916" s="590"/>
      <c r="N916" s="590" t="str">
        <f ca="1">IFERROR(__xludf.DUMMYFUNCTION("""COMPUTED_VALUE"""),"Không")</f>
        <v>Không</v>
      </c>
      <c r="O916" s="589"/>
      <c r="P916" s="590"/>
      <c r="Q916" s="885">
        <f ca="1">+$Q$5*I916</f>
        <v>41.692743539999768</v>
      </c>
    </row>
    <row r="917" spans="1:17" ht="15.75">
      <c r="A917" s="581" t="str">
        <f ca="1">IFERROR(__xludf.DUMMYFUNCTION("""COMPUTED_VALUE"""),"Toàn Phát - Việt Nam")</f>
        <v>Toàn Phát - Việt Nam</v>
      </c>
      <c r="B917" s="581" t="str">
        <f ca="1">IFERROR(__xludf.DUMMYFUNCTION("""COMPUTED_VALUE"""),"ĐTPBANH")</f>
        <v>ĐTPBANH</v>
      </c>
      <c r="C917" s="581" t="str">
        <f ca="1">IFERROR(__xludf.DUMMYFUNCTION("""COMPUTED_VALUE"""),"DOBKILWC952075")</f>
        <v>DOBKILWC952075</v>
      </c>
      <c r="D917" s="582" t="str">
        <f ca="1">IFERROR(__xludf.DUMMYFUNCTION("""COMPUTED_VALUE"""),"Đồng ống LWC KHÔNG IN 09.52x0.75")</f>
        <v>Đồng ống LWC KHÔNG IN 09.52x0.75</v>
      </c>
      <c r="E917" s="583">
        <f ca="1">IFERROR(__xludf.DUMMYFUNCTION("""COMPUTED_VALUE"""),0.1)</f>
        <v>0.1</v>
      </c>
      <c r="F917" s="584" t="str">
        <f ca="1">IFERROR(__xludf.DUMMYFUNCTION("""COMPUTED_VALUE"""),"m")</f>
        <v>m</v>
      </c>
      <c r="G917" s="584" t="str">
        <f ca="1">IFERROR(__xludf.DUMMYFUNCTION("""COMPUTED_VALUE"""),"m")</f>
        <v>m</v>
      </c>
      <c r="H917" s="582"/>
      <c r="I917" s="585">
        <f ca="1">IFERROR(__xludf.DUMMYFUNCTION("""COMPUTED_VALUE"""),0.190615949999999)</f>
        <v>0.19061594999999901</v>
      </c>
      <c r="J917" s="586" t="str">
        <f ca="1">IFERROR(__xludf.DUMMYFUNCTION("""COMPUTED_VALUE""")," 09.52 ")</f>
        <v xml:space="preserve"> 09.52 </v>
      </c>
      <c r="K917" s="584" t="str">
        <f ca="1">IFERROR(__xludf.DUMMYFUNCTION("""COMPUTED_VALUE"""),"0.75")</f>
        <v>0.75</v>
      </c>
      <c r="L917" s="584">
        <f ca="1">IFERROR(__xludf.DUMMYFUNCTION("""COMPUTED_VALUE"""),1)</f>
        <v>1</v>
      </c>
      <c r="M917" s="584"/>
      <c r="N917" s="584" t="str">
        <f ca="1">IFERROR(__xludf.DUMMYFUNCTION("""COMPUTED_VALUE"""),"Dị_D&lt;54")</f>
        <v>Dị_D&lt;54</v>
      </c>
      <c r="O917" s="583"/>
      <c r="P917" s="584"/>
    </row>
    <row r="918" spans="1:17" ht="15.75">
      <c r="A918" s="587" t="str">
        <f ca="1">IFERROR(__xludf.DUMMYFUNCTION("""COMPUTED_VALUE"""),"Toàn Phát - Việt Nam")</f>
        <v>Toàn Phát - Việt Nam</v>
      </c>
      <c r="B918" s="587" t="str">
        <f ca="1">IFERROR(__xludf.DUMMYFUNCTION("""COMPUTED_VALUE"""),"ĐTPBANH")</f>
        <v>ĐTPBANH</v>
      </c>
      <c r="C918" s="587" t="str">
        <f ca="1">IFERROR(__xludf.DUMMYFUNCTION("""COMPUTED_VALUE"""),"DOLWC952080")</f>
        <v>DOLWC952080</v>
      </c>
      <c r="D918" s="588" t="str">
        <f ca="1">IFERROR(__xludf.DUMMYFUNCTION("""COMPUTED_VALUE"""),"Đồng ống LWC 9.52x0.80")</f>
        <v>Đồng ống LWC 9.52x0.80</v>
      </c>
      <c r="E918" s="589">
        <f ca="1">IFERROR(__xludf.DUMMYFUNCTION("""COMPUTED_VALUE"""),0.1)</f>
        <v>0.1</v>
      </c>
      <c r="F918" s="590" t="str">
        <f ca="1">IFERROR(__xludf.DUMMYFUNCTION("""COMPUTED_VALUE"""),"m")</f>
        <v>m</v>
      </c>
      <c r="G918" s="590" t="str">
        <f ca="1">IFERROR(__xludf.DUMMYFUNCTION("""COMPUTED_VALUE"""),"m")</f>
        <v>m</v>
      </c>
      <c r="H918" s="588"/>
      <c r="I918" s="591">
        <f ca="1">IFERROR(__xludf.DUMMYFUNCTION("""COMPUTED_VALUE"""),0.202164479999999)</f>
        <v>0.20216447999999901</v>
      </c>
      <c r="J918" s="592" t="str">
        <f ca="1">IFERROR(__xludf.DUMMYFUNCTION("""COMPUTED_VALUE""")," 09.52 ")</f>
        <v xml:space="preserve"> 09.52 </v>
      </c>
      <c r="K918" s="590" t="str">
        <f ca="1">IFERROR(__xludf.DUMMYFUNCTION("""COMPUTED_VALUE"""),"0.80")</f>
        <v>0.80</v>
      </c>
      <c r="L918" s="590">
        <f ca="1">IFERROR(__xludf.DUMMYFUNCTION("""COMPUTED_VALUE"""),1)</f>
        <v>1</v>
      </c>
      <c r="M918" s="590"/>
      <c r="N918" s="590" t="str">
        <f ca="1">IFERROR(__xludf.DUMMYFUNCTION("""COMPUTED_VALUE"""),"Dị_D&lt;54")</f>
        <v>Dị_D&lt;54</v>
      </c>
      <c r="O918" s="589"/>
      <c r="P918" s="590"/>
    </row>
    <row r="919" spans="1:17" ht="15.75">
      <c r="A919" s="581" t="str">
        <f ca="1">IFERROR(__xludf.DUMMYFUNCTION("""COMPUTED_VALUE"""),"Toàn Phát - Việt Nam")</f>
        <v>Toàn Phát - Việt Nam</v>
      </c>
      <c r="B919" s="581" t="str">
        <f ca="1">IFERROR(__xludf.DUMMYFUNCTION("""COMPUTED_VALUE"""),"ĐTPBANH")</f>
        <v>ĐTPBANH</v>
      </c>
      <c r="C919" s="581" t="str">
        <f ca="1">IFERROR(__xludf.DUMMYFUNCTION("""COMPUTED_VALUE"""),"DOBKILWC952081")</f>
        <v>DOBKILWC952081</v>
      </c>
      <c r="D919" s="582" t="str">
        <f ca="1">IFERROR(__xludf.DUMMYFUNCTION("""COMPUTED_VALUE"""),"Đồng ống LWC KHÔNG IN 09.52x0.81")</f>
        <v>Đồng ống LWC KHÔNG IN 09.52x0.81</v>
      </c>
      <c r="E919" s="583">
        <f ca="1">IFERROR(__xludf.DUMMYFUNCTION("""COMPUTED_VALUE"""),0.1)</f>
        <v>0.1</v>
      </c>
      <c r="F919" s="584" t="str">
        <f ca="1">IFERROR(__xludf.DUMMYFUNCTION("""COMPUTED_VALUE"""),"m")</f>
        <v>m</v>
      </c>
      <c r="G919" s="584" t="str">
        <f ca="1">IFERROR(__xludf.DUMMYFUNCTION("""COMPUTED_VALUE"""),"m")</f>
        <v>m</v>
      </c>
      <c r="H919" s="582"/>
      <c r="I919" s="585">
        <f ca="1">IFERROR(__xludf.DUMMYFUNCTION("""COMPUTED_VALUE"""),0.204456797999999)</f>
        <v>0.204456797999999</v>
      </c>
      <c r="J919" s="586" t="str">
        <f ca="1">IFERROR(__xludf.DUMMYFUNCTION("""COMPUTED_VALUE""")," 09.52 ")</f>
        <v xml:space="preserve"> 09.52 </v>
      </c>
      <c r="K919" s="584" t="str">
        <f ca="1">IFERROR(__xludf.DUMMYFUNCTION("""COMPUTED_VALUE"""),"0.81")</f>
        <v>0.81</v>
      </c>
      <c r="L919" s="584">
        <f ca="1">IFERROR(__xludf.DUMMYFUNCTION("""COMPUTED_VALUE"""),1)</f>
        <v>1</v>
      </c>
      <c r="M919" s="584"/>
      <c r="N919" s="584" t="str">
        <f ca="1">IFERROR(__xludf.DUMMYFUNCTION("""COMPUTED_VALUE"""),"Dị_D&lt;54")</f>
        <v>Dị_D&lt;54</v>
      </c>
      <c r="O919" s="583">
        <f ca="1">IFERROR(__xludf.DUMMYFUNCTION("""COMPUTED_VALUE"""),1)</f>
        <v>1</v>
      </c>
      <c r="P919" s="584"/>
    </row>
    <row r="920" spans="1:17" ht="15.75">
      <c r="A920" s="587" t="str">
        <f ca="1">IFERROR(__xludf.DUMMYFUNCTION("""COMPUTED_VALUE"""),"Toàn Phát - Việt Nam")</f>
        <v>Toàn Phát - Việt Nam</v>
      </c>
      <c r="B920" s="587" t="str">
        <f ca="1">IFERROR(__xludf.DUMMYFUNCTION("""COMPUTED_VALUE"""),"ĐTPBANH")</f>
        <v>ĐTPBANH</v>
      </c>
      <c r="C920" s="587" t="str">
        <f ca="1">IFERROR(__xludf.DUMMYFUNCTION("""COMPUTED_VALUE"""),"DOLWC952081")</f>
        <v>DOLWC952081</v>
      </c>
      <c r="D920" s="588" t="str">
        <f ca="1">IFERROR(__xludf.DUMMYFUNCTION("""COMPUTED_VALUE"""),"Đồng ống LWC 9.52x0.81")</f>
        <v>Đồng ống LWC 9.52x0.81</v>
      </c>
      <c r="E920" s="589">
        <f ca="1">IFERROR(__xludf.DUMMYFUNCTION("""COMPUTED_VALUE"""),0.1)</f>
        <v>0.1</v>
      </c>
      <c r="F920" s="590" t="str">
        <f ca="1">IFERROR(__xludf.DUMMYFUNCTION("""COMPUTED_VALUE"""),"m")</f>
        <v>m</v>
      </c>
      <c r="G920" s="590" t="str">
        <f ca="1">IFERROR(__xludf.DUMMYFUNCTION("""COMPUTED_VALUE"""),"m")</f>
        <v>m</v>
      </c>
      <c r="H920" s="588"/>
      <c r="I920" s="591">
        <f ca="1">IFERROR(__xludf.DUMMYFUNCTION("""COMPUTED_VALUE"""),0.204456797999999)</f>
        <v>0.204456797999999</v>
      </c>
      <c r="J920" s="592" t="str">
        <f ca="1">IFERROR(__xludf.DUMMYFUNCTION("""COMPUTED_VALUE""")," 09.52 ")</f>
        <v xml:space="preserve"> 09.52 </v>
      </c>
      <c r="K920" s="590" t="str">
        <f ca="1">IFERROR(__xludf.DUMMYFUNCTION("""COMPUTED_VALUE"""),"0.81")</f>
        <v>0.81</v>
      </c>
      <c r="L920" s="590">
        <f ca="1">IFERROR(__xludf.DUMMYFUNCTION("""COMPUTED_VALUE"""),1)</f>
        <v>1</v>
      </c>
      <c r="M920" s="590"/>
      <c r="N920" s="590" t="str">
        <f ca="1">IFERROR(__xludf.DUMMYFUNCTION("""COMPUTED_VALUE"""),"Không")</f>
        <v>Không</v>
      </c>
      <c r="O920" s="589"/>
      <c r="P920" s="590"/>
      <c r="Q920" s="885">
        <f ca="1">+$Q$5*I920</f>
        <v>47.025063539999763</v>
      </c>
    </row>
    <row r="921" spans="1:17" ht="15.75">
      <c r="A921" s="581" t="str">
        <f ca="1">IFERROR(__xludf.DUMMYFUNCTION("""COMPUTED_VALUE"""),"Toàn Phát - Việt Nam")</f>
        <v>Toàn Phát - Việt Nam</v>
      </c>
      <c r="B921" s="581" t="str">
        <f ca="1">IFERROR(__xludf.DUMMYFUNCTION("""COMPUTED_VALUE"""),"ĐTPBANH")</f>
        <v>ĐTPBANH</v>
      </c>
      <c r="C921" s="581" t="str">
        <f ca="1">IFERROR(__xludf.DUMMYFUNCTION("""COMPUTED_VALUE"""),"LWC0952091")</f>
        <v>LWC0952091</v>
      </c>
      <c r="D921" s="582" t="str">
        <f ca="1">IFERROR(__xludf.DUMMYFUNCTION("""COMPUTED_VALUE"""),"Đồng cuộn LWC 9.52x0.91")</f>
        <v>Đồng cuộn LWC 9.52x0.91</v>
      </c>
      <c r="E921" s="583">
        <f ca="1">IFERROR(__xludf.DUMMYFUNCTION("""COMPUTED_VALUE"""),0.1)</f>
        <v>0.1</v>
      </c>
      <c r="F921" s="584" t="str">
        <f ca="1">IFERROR(__xludf.DUMMYFUNCTION("""COMPUTED_VALUE"""),"m")</f>
        <v>m</v>
      </c>
      <c r="G921" s="584" t="str">
        <f ca="1">IFERROR(__xludf.DUMMYFUNCTION("""COMPUTED_VALUE"""),"m")</f>
        <v>m</v>
      </c>
      <c r="H921" s="582"/>
      <c r="I921" s="585">
        <f ca="1">IFERROR(__xludf.DUMMYFUNCTION("""COMPUTED_VALUE"""),0.227061197999999)</f>
        <v>0.22706119799999899</v>
      </c>
      <c r="J921" s="586" t="str">
        <f ca="1">IFERROR(__xludf.DUMMYFUNCTION("""COMPUTED_VALUE""")," 09.52 ")</f>
        <v xml:space="preserve"> 09.52 </v>
      </c>
      <c r="K921" s="584" t="str">
        <f ca="1">IFERROR(__xludf.DUMMYFUNCTION("""COMPUTED_VALUE"""),"0.91")</f>
        <v>0.91</v>
      </c>
      <c r="L921" s="584">
        <f ca="1">IFERROR(__xludf.DUMMYFUNCTION("""COMPUTED_VALUE"""),1)</f>
        <v>1</v>
      </c>
      <c r="M921" s="584"/>
      <c r="N921" s="584" t="str">
        <f ca="1">IFERROR(__xludf.DUMMYFUNCTION("""COMPUTED_VALUE"""),"Dị_D&lt;54")</f>
        <v>Dị_D&lt;54</v>
      </c>
      <c r="O921" s="583"/>
      <c r="P921" s="584"/>
    </row>
    <row r="922" spans="1:17" ht="15.75">
      <c r="A922" s="587" t="str">
        <f ca="1">IFERROR(__xludf.DUMMYFUNCTION("""COMPUTED_VALUE"""),"Toàn Phát - Việt Nam")</f>
        <v>Toàn Phát - Việt Nam</v>
      </c>
      <c r="B922" s="587" t="str">
        <f ca="1">IFERROR(__xludf.DUMMYFUNCTION("""COMPUTED_VALUE"""),"ĐTPBANH")</f>
        <v>ĐTPBANH</v>
      </c>
      <c r="C922" s="587" t="str">
        <f ca="1">IFERROR(__xludf.DUMMYFUNCTION("""COMPUTED_VALUE"""),"LWC1000100")</f>
        <v>LWC1000100</v>
      </c>
      <c r="D922" s="588" t="str">
        <f ca="1">IFERROR(__xludf.DUMMYFUNCTION("""COMPUTED_VALUE"""),"Đồng cuộn LWC 10.00x1.00")</f>
        <v>Đồng cuộn LWC 10.00x1.00</v>
      </c>
      <c r="E922" s="589">
        <f ca="1">IFERROR(__xludf.DUMMYFUNCTION("""COMPUTED_VALUE"""),0.1)</f>
        <v>0.1</v>
      </c>
      <c r="F922" s="590" t="str">
        <f ca="1">IFERROR(__xludf.DUMMYFUNCTION("""COMPUTED_VALUE"""),"m")</f>
        <v>m</v>
      </c>
      <c r="G922" s="590" t="str">
        <f ca="1">IFERROR(__xludf.DUMMYFUNCTION("""COMPUTED_VALUE"""),"m")</f>
        <v>m</v>
      </c>
      <c r="H922" s="588"/>
      <c r="I922" s="591">
        <f ca="1">IFERROR(__xludf.DUMMYFUNCTION("""COMPUTED_VALUE"""),0.26082)</f>
        <v>0.26082</v>
      </c>
      <c r="J922" s="592" t="str">
        <f ca="1">IFERROR(__xludf.DUMMYFUNCTION("""COMPUTED_VALUE""")," 10.00 ")</f>
        <v xml:space="preserve"> 10.00 </v>
      </c>
      <c r="K922" s="590" t="str">
        <f ca="1">IFERROR(__xludf.DUMMYFUNCTION("""COMPUTED_VALUE"""),"1.00")</f>
        <v>1.00</v>
      </c>
      <c r="L922" s="590">
        <f ca="1">IFERROR(__xludf.DUMMYFUNCTION("""COMPUTED_VALUE"""),1)</f>
        <v>1</v>
      </c>
      <c r="M922" s="590"/>
      <c r="N922" s="590" t="str">
        <f ca="1">IFERROR(__xludf.DUMMYFUNCTION("""COMPUTED_VALUE"""),"Dị_D&lt;54")</f>
        <v>Dị_D&lt;54</v>
      </c>
      <c r="O922" s="589"/>
      <c r="P922" s="590"/>
    </row>
    <row r="923" spans="1:17" ht="15.75">
      <c r="A923" s="581" t="str">
        <f ca="1">IFERROR(__xludf.DUMMYFUNCTION("""COMPUTED_VALUE"""),"Toàn Phát - Việt Nam")</f>
        <v>Toàn Phát - Việt Nam</v>
      </c>
      <c r="B923" s="581" t="str">
        <f ca="1">IFERROR(__xludf.DUMMYFUNCTION("""COMPUTED_VALUE"""),"ĐTPBANH")</f>
        <v>ĐTPBANH</v>
      </c>
      <c r="C923" s="581" t="str">
        <f ca="1">IFERROR(__xludf.DUMMYFUNCTION("""COMPUTED_VALUE"""),"DOLWC1000150")</f>
        <v>DOLWC1000150</v>
      </c>
      <c r="D923" s="582" t="str">
        <f ca="1">IFERROR(__xludf.DUMMYFUNCTION("""COMPUTED_VALUE"""),"Đồng cuộn LWC 10.00x1.50")</f>
        <v>Đồng cuộn LWC 10.00x1.50</v>
      </c>
      <c r="E923" s="583">
        <f ca="1">IFERROR(__xludf.DUMMYFUNCTION("""COMPUTED_VALUE"""),0.1)</f>
        <v>0.1</v>
      </c>
      <c r="F923" s="584" t="str">
        <f ca="1">IFERROR(__xludf.DUMMYFUNCTION("""COMPUTED_VALUE"""),"m")</f>
        <v>m</v>
      </c>
      <c r="G923" s="584" t="str">
        <f ca="1">IFERROR(__xludf.DUMMYFUNCTION("""COMPUTED_VALUE"""),"m")</f>
        <v>m</v>
      </c>
      <c r="H923" s="582"/>
      <c r="I923" s="585">
        <f ca="1">IFERROR(__xludf.DUMMYFUNCTION("""COMPUTED_VALUE"""),0.369494999999999)</f>
        <v>0.36949499999999902</v>
      </c>
      <c r="J923" s="586" t="str">
        <f ca="1">IFERROR(__xludf.DUMMYFUNCTION("""COMPUTED_VALUE""")," 10.00 ")</f>
        <v xml:space="preserve"> 10.00 </v>
      </c>
      <c r="K923" s="584" t="str">
        <f ca="1">IFERROR(__xludf.DUMMYFUNCTION("""COMPUTED_VALUE"""),"1.50")</f>
        <v>1.50</v>
      </c>
      <c r="L923" s="584">
        <f ca="1">IFERROR(__xludf.DUMMYFUNCTION("""COMPUTED_VALUE"""),1)</f>
        <v>1</v>
      </c>
      <c r="M923" s="584"/>
      <c r="N923" s="584" t="str">
        <f ca="1">IFERROR(__xludf.DUMMYFUNCTION("""COMPUTED_VALUE"""),"Dị_D&lt;54")</f>
        <v>Dị_D&lt;54</v>
      </c>
      <c r="O923" s="583"/>
      <c r="P923" s="584"/>
    </row>
    <row r="924" spans="1:17" ht="15.75">
      <c r="A924" s="587" t="str">
        <f ca="1">IFERROR(__xludf.DUMMYFUNCTION("""COMPUTED_VALUE"""),"Toàn Phát - Việt Nam")</f>
        <v>Toàn Phát - Việt Nam</v>
      </c>
      <c r="B924" s="587" t="str">
        <f ca="1">IFERROR(__xludf.DUMMYFUNCTION("""COMPUTED_VALUE"""),"ĐTPBANH")</f>
        <v>ĐTPBANH</v>
      </c>
      <c r="C924" s="587" t="str">
        <f ca="1">IFERROR(__xludf.DUMMYFUNCTION("""COMPUTED_VALUE"""),"DOLWC12.7055")</f>
        <v>DOLWC12.7055</v>
      </c>
      <c r="D924" s="588" t="str">
        <f ca="1">IFERROR(__xludf.DUMMYFUNCTION("""COMPUTED_VALUE"""),"đồng LWC 12.07x0.55")</f>
        <v>đồng LWC 12.07x0.55</v>
      </c>
      <c r="E924" s="589">
        <f ca="1">IFERROR(__xludf.DUMMYFUNCTION("""COMPUTED_VALUE"""),0.1)</f>
        <v>0.1</v>
      </c>
      <c r="F924" s="590" t="str">
        <f ca="1">IFERROR(__xludf.DUMMYFUNCTION("""COMPUTED_VALUE"""),"m")</f>
        <v>m</v>
      </c>
      <c r="G924" s="590" t="str">
        <f ca="1">IFERROR(__xludf.DUMMYFUNCTION("""COMPUTED_VALUE"""),"m")</f>
        <v>m</v>
      </c>
      <c r="H924" s="588"/>
      <c r="I924" s="591">
        <f ca="1">IFERROR(__xludf.DUMMYFUNCTION("""COMPUTED_VALUE"""),0.18361728)</f>
        <v>0.18361727999999999</v>
      </c>
      <c r="J924" s="592" t="str">
        <f ca="1">IFERROR(__xludf.DUMMYFUNCTION("""COMPUTED_VALUE""")," 12.07 ")</f>
        <v xml:space="preserve"> 12.07 </v>
      </c>
      <c r="K924" s="590" t="str">
        <f ca="1">IFERROR(__xludf.DUMMYFUNCTION("""COMPUTED_VALUE"""),"0.55")</f>
        <v>0.55</v>
      </c>
      <c r="L924" s="590">
        <f ca="1">IFERROR(__xludf.DUMMYFUNCTION("""COMPUTED_VALUE"""),1)</f>
        <v>1</v>
      </c>
      <c r="M924" s="590"/>
      <c r="N924" s="590" t="str">
        <f ca="1">IFERROR(__xludf.DUMMYFUNCTION("""COMPUTED_VALUE"""),"Dị_D&lt;54")</f>
        <v>Dị_D&lt;54</v>
      </c>
      <c r="O924" s="589"/>
      <c r="P924" s="590"/>
    </row>
    <row r="925" spans="1:17" ht="15.75">
      <c r="A925" s="581" t="str">
        <f ca="1">IFERROR(__xludf.DUMMYFUNCTION("""COMPUTED_VALUE"""),"Toàn Phát - Việt Nam")</f>
        <v>Toàn Phát - Việt Nam</v>
      </c>
      <c r="B925" s="581" t="str">
        <f ca="1">IFERROR(__xludf.DUMMYFUNCTION("""COMPUTED_VALUE"""),"ĐTPBANH")</f>
        <v>ĐTPBANH</v>
      </c>
      <c r="C925" s="581" t="str">
        <f ca="1">IFERROR(__xludf.DUMMYFUNCTION("""COMPUTED_VALUE"""),"DOLWC12.7060")</f>
        <v>DOLWC12.7060</v>
      </c>
      <c r="D925" s="582" t="str">
        <f ca="1">IFERROR(__xludf.DUMMYFUNCTION("""COMPUTED_VALUE"""),"đồng LWC12.07c0.60")</f>
        <v>đồng LWC12.07c0.60</v>
      </c>
      <c r="E925" s="583">
        <f ca="1">IFERROR(__xludf.DUMMYFUNCTION("""COMPUTED_VALUE"""),0.1)</f>
        <v>0.1</v>
      </c>
      <c r="F925" s="584" t="str">
        <f ca="1">IFERROR(__xludf.DUMMYFUNCTION("""COMPUTED_VALUE"""),"m")</f>
        <v>m</v>
      </c>
      <c r="G925" s="584" t="str">
        <f ca="1">IFERROR(__xludf.DUMMYFUNCTION("""COMPUTED_VALUE"""),"m")</f>
        <v>m</v>
      </c>
      <c r="H925" s="582"/>
      <c r="I925" s="585">
        <f ca="1">IFERROR(__xludf.DUMMYFUNCTION("""COMPUTED_VALUE"""),0.199440359999999)</f>
        <v>0.19944035999999901</v>
      </c>
      <c r="J925" s="586" t="str">
        <f ca="1">IFERROR(__xludf.DUMMYFUNCTION("""COMPUTED_VALUE""")," 12.07 ")</f>
        <v xml:space="preserve"> 12.07 </v>
      </c>
      <c r="K925" s="584" t="str">
        <f ca="1">IFERROR(__xludf.DUMMYFUNCTION("""COMPUTED_VALUE"""),"0.60")</f>
        <v>0.60</v>
      </c>
      <c r="L925" s="584">
        <f ca="1">IFERROR(__xludf.DUMMYFUNCTION("""COMPUTED_VALUE"""),1)</f>
        <v>1</v>
      </c>
      <c r="M925" s="584"/>
      <c r="N925" s="584" t="str">
        <f ca="1">IFERROR(__xludf.DUMMYFUNCTION("""COMPUTED_VALUE"""),"Dị_D&lt;54")</f>
        <v>Dị_D&lt;54</v>
      </c>
      <c r="O925" s="583"/>
      <c r="P925" s="584"/>
    </row>
    <row r="926" spans="1:17" ht="15.75">
      <c r="A926" s="587" t="str">
        <f ca="1">IFERROR(__xludf.DUMMYFUNCTION("""COMPUTED_VALUE"""),"Toàn Phát - Việt Nam")</f>
        <v>Toàn Phát - Việt Nam</v>
      </c>
      <c r="B926" s="587" t="str">
        <f ca="1">IFERROR(__xludf.DUMMYFUNCTION("""COMPUTED_VALUE"""),"ĐTPBANH")</f>
        <v>ĐTPBANH</v>
      </c>
      <c r="C926" s="587" t="str">
        <f ca="1">IFERROR(__xludf.DUMMYFUNCTION("""COMPUTED_VALUE"""),"DOLWC127050")</f>
        <v>DOLWC127050</v>
      </c>
      <c r="D926" s="588" t="str">
        <f ca="1">IFERROR(__xludf.DUMMYFUNCTION("""COMPUTED_VALUE"""),"Đồng ống LWC 12.7x0.50")</f>
        <v>Đồng ống LWC 12.7x0.50</v>
      </c>
      <c r="E926" s="589">
        <f ca="1">IFERROR(__xludf.DUMMYFUNCTION("""COMPUTED_VALUE"""),0.1)</f>
        <v>0.1</v>
      </c>
      <c r="F926" s="590" t="str">
        <f ca="1">IFERROR(__xludf.DUMMYFUNCTION("""COMPUTED_VALUE"""),"m")</f>
        <v>m</v>
      </c>
      <c r="G926" s="590" t="str">
        <f ca="1">IFERROR(__xludf.DUMMYFUNCTION("""COMPUTED_VALUE"""),"m")</f>
        <v>m</v>
      </c>
      <c r="H926" s="588"/>
      <c r="I926" s="591">
        <f ca="1">IFERROR(__xludf.DUMMYFUNCTION("""COMPUTED_VALUE"""),0.176778)</f>
        <v>0.17677799999999999</v>
      </c>
      <c r="J926" s="592" t="str">
        <f ca="1">IFERROR(__xludf.DUMMYFUNCTION("""COMPUTED_VALUE""")," 12.70 ")</f>
        <v xml:space="preserve"> 12.70 </v>
      </c>
      <c r="K926" s="590" t="str">
        <f ca="1">IFERROR(__xludf.DUMMYFUNCTION("""COMPUTED_VALUE"""),"0.50")</f>
        <v>0.50</v>
      </c>
      <c r="L926" s="590">
        <f ca="1">IFERROR(__xludf.DUMMYFUNCTION("""COMPUTED_VALUE"""),1)</f>
        <v>1</v>
      </c>
      <c r="M926" s="590"/>
      <c r="N926" s="590" t="str">
        <f ca="1">IFERROR(__xludf.DUMMYFUNCTION("""COMPUTED_VALUE"""),"Dị_D&lt;54")</f>
        <v>Dị_D&lt;54</v>
      </c>
      <c r="O926" s="589"/>
      <c r="P926" s="590"/>
    </row>
    <row r="927" spans="1:17" ht="15.75">
      <c r="A927" s="581" t="str">
        <f ca="1">IFERROR(__xludf.DUMMYFUNCTION("""COMPUTED_VALUE"""),"Toàn Phát - Việt Nam")</f>
        <v>Toàn Phát - Việt Nam</v>
      </c>
      <c r="B927" s="581" t="str">
        <f ca="1">IFERROR(__xludf.DUMMYFUNCTION("""COMPUTED_VALUE"""),"ĐTPBANH")</f>
        <v>ĐTPBANH</v>
      </c>
      <c r="C927" s="581" t="str">
        <f ca="1">IFERROR(__xludf.DUMMYFUNCTION("""COMPUTED_VALUE"""),"DOLWC1270061")</f>
        <v>DOLWC1270061</v>
      </c>
      <c r="D927" s="582" t="str">
        <f ca="1">IFERROR(__xludf.DUMMYFUNCTION("""COMPUTED_VALUE"""),"Đồng cuộn LWC 12.70x0.61")</f>
        <v>Đồng cuộn LWC 12.70x0.61</v>
      </c>
      <c r="E927" s="583">
        <f ca="1">IFERROR(__xludf.DUMMYFUNCTION("""COMPUTED_VALUE"""),0.1)</f>
        <v>0.1</v>
      </c>
      <c r="F927" s="584" t="str">
        <f ca="1">IFERROR(__xludf.DUMMYFUNCTION("""COMPUTED_VALUE"""),"m")</f>
        <v>m</v>
      </c>
      <c r="G927" s="584" t="str">
        <f ca="1">IFERROR(__xludf.DUMMYFUNCTION("""COMPUTED_VALUE"""),"m")</f>
        <v>m</v>
      </c>
      <c r="H927" s="582"/>
      <c r="I927" s="585">
        <f ca="1">IFERROR(__xludf.DUMMYFUNCTION("""COMPUTED_VALUE"""),0.213724601999999)</f>
        <v>0.21372460199999899</v>
      </c>
      <c r="J927" s="586" t="str">
        <f ca="1">IFERROR(__xludf.DUMMYFUNCTION("""COMPUTED_VALUE""")," 12.70 ")</f>
        <v xml:space="preserve"> 12.70 </v>
      </c>
      <c r="K927" s="584" t="str">
        <f ca="1">IFERROR(__xludf.DUMMYFUNCTION("""COMPUTED_VALUE"""),"0.61")</f>
        <v>0.61</v>
      </c>
      <c r="L927" s="584">
        <f ca="1">IFERROR(__xludf.DUMMYFUNCTION("""COMPUTED_VALUE"""),1)</f>
        <v>1</v>
      </c>
      <c r="M927" s="584"/>
      <c r="N927" s="584" t="str">
        <f ca="1">IFERROR(__xludf.DUMMYFUNCTION("""COMPUTED_VALUE"""),"Không")</f>
        <v>Không</v>
      </c>
      <c r="O927" s="583"/>
      <c r="P927" s="584"/>
      <c r="Q927" s="885">
        <f ca="1">+$Q$5*I927</f>
        <v>49.156658459999761</v>
      </c>
    </row>
    <row r="928" spans="1:17" ht="15.75">
      <c r="A928" s="587" t="str">
        <f ca="1">IFERROR(__xludf.DUMMYFUNCTION("""COMPUTED_VALUE"""),"Toàn Phát - Việt Nam")</f>
        <v>Toàn Phát - Việt Nam</v>
      </c>
      <c r="B928" s="587" t="str">
        <f ca="1">IFERROR(__xludf.DUMMYFUNCTION("""COMPUTED_VALUE"""),"ĐTPBANH")</f>
        <v>ĐTPBANH</v>
      </c>
      <c r="C928" s="587" t="str">
        <f ca="1">IFERROR(__xludf.DUMMYFUNCTION("""COMPUTED_VALUE"""),"DOBKILWC1270061")</f>
        <v>DOBKILWC1270061</v>
      </c>
      <c r="D928" s="588" t="str">
        <f ca="1">IFERROR(__xludf.DUMMYFUNCTION("""COMPUTED_VALUE"""),"Đồng ống LWC KHÔNG IN 12.70x0.61")</f>
        <v>Đồng ống LWC KHÔNG IN 12.70x0.61</v>
      </c>
      <c r="E928" s="589">
        <f ca="1">IFERROR(__xludf.DUMMYFUNCTION("""COMPUTED_VALUE"""),0.1)</f>
        <v>0.1</v>
      </c>
      <c r="F928" s="590" t="str">
        <f ca="1">IFERROR(__xludf.DUMMYFUNCTION("""COMPUTED_VALUE"""),"m")</f>
        <v>m</v>
      </c>
      <c r="G928" s="590" t="str">
        <f ca="1">IFERROR(__xludf.DUMMYFUNCTION("""COMPUTED_VALUE"""),"m")</f>
        <v>m</v>
      </c>
      <c r="H928" s="588"/>
      <c r="I928" s="591">
        <f ca="1">IFERROR(__xludf.DUMMYFUNCTION("""COMPUTED_VALUE"""),0.213724601999999)</f>
        <v>0.21372460199999899</v>
      </c>
      <c r="J928" s="592" t="str">
        <f ca="1">IFERROR(__xludf.DUMMYFUNCTION("""COMPUTED_VALUE""")," 12.70 ")</f>
        <v xml:space="preserve"> 12.70 </v>
      </c>
      <c r="K928" s="590" t="str">
        <f ca="1">IFERROR(__xludf.DUMMYFUNCTION("""COMPUTED_VALUE"""),"0.61")</f>
        <v>0.61</v>
      </c>
      <c r="L928" s="590">
        <f ca="1">IFERROR(__xludf.DUMMYFUNCTION("""COMPUTED_VALUE"""),1)</f>
        <v>1</v>
      </c>
      <c r="M928" s="590"/>
      <c r="N928" s="590" t="str">
        <f ca="1">IFERROR(__xludf.DUMMYFUNCTION("""COMPUTED_VALUE"""),"Dị_D&lt;54")</f>
        <v>Dị_D&lt;54</v>
      </c>
      <c r="O928" s="589">
        <f ca="1">IFERROR(__xludf.DUMMYFUNCTION("""COMPUTED_VALUE"""),1)</f>
        <v>1</v>
      </c>
      <c r="P928" s="590"/>
    </row>
    <row r="929" spans="1:17" ht="15.75">
      <c r="A929" s="581" t="str">
        <f ca="1">IFERROR(__xludf.DUMMYFUNCTION("""COMPUTED_VALUE"""),"Toàn Phát - Việt Nam")</f>
        <v>Toàn Phát - Việt Nam</v>
      </c>
      <c r="B929" s="581" t="str">
        <f ca="1">IFERROR(__xludf.DUMMYFUNCTION("""COMPUTED_VALUE"""),"ĐTPBANH")</f>
        <v>ĐTPBANH</v>
      </c>
      <c r="C929" s="581" t="str">
        <f ca="1">IFERROR(__xludf.DUMMYFUNCTION("""COMPUTED_VALUE"""),"DOBKILWC1270065")</f>
        <v>DOBKILWC1270065</v>
      </c>
      <c r="D929" s="582" t="str">
        <f ca="1">IFERROR(__xludf.DUMMYFUNCTION("""COMPUTED_VALUE"""),"Đồng ống LWC KHÔNG IN 12.70x0.65")</f>
        <v>Đồng ống LWC KHÔNG IN 12.70x0.65</v>
      </c>
      <c r="E929" s="583">
        <f ca="1">IFERROR(__xludf.DUMMYFUNCTION("""COMPUTED_VALUE"""),0.1)</f>
        <v>0.1</v>
      </c>
      <c r="F929" s="584" t="str">
        <f ca="1">IFERROR(__xludf.DUMMYFUNCTION("""COMPUTED_VALUE"""),"m")</f>
        <v>m</v>
      </c>
      <c r="G929" s="584" t="str">
        <f ca="1">IFERROR(__xludf.DUMMYFUNCTION("""COMPUTED_VALUE"""),"m")</f>
        <v>m</v>
      </c>
      <c r="H929" s="582"/>
      <c r="I929" s="585">
        <f ca="1">IFERROR(__xludf.DUMMYFUNCTION("""COMPUTED_VALUE"""),0.22698585)</f>
        <v>0.22698584999999999</v>
      </c>
      <c r="J929" s="586" t="str">
        <f ca="1">IFERROR(__xludf.DUMMYFUNCTION("""COMPUTED_VALUE""")," 12.70 ")</f>
        <v xml:space="preserve"> 12.70 </v>
      </c>
      <c r="K929" s="584" t="str">
        <f ca="1">IFERROR(__xludf.DUMMYFUNCTION("""COMPUTED_VALUE"""),"0.65")</f>
        <v>0.65</v>
      </c>
      <c r="L929" s="584">
        <f ca="1">IFERROR(__xludf.DUMMYFUNCTION("""COMPUTED_VALUE"""),1)</f>
        <v>1</v>
      </c>
      <c r="M929" s="584"/>
      <c r="N929" s="584" t="str">
        <f ca="1">IFERROR(__xludf.DUMMYFUNCTION("""COMPUTED_VALUE"""),"Dị_D&lt;54")</f>
        <v>Dị_D&lt;54</v>
      </c>
      <c r="O929" s="583"/>
      <c r="P929" s="584"/>
    </row>
    <row r="930" spans="1:17" ht="15.75">
      <c r="A930" s="587" t="str">
        <f ca="1">IFERROR(__xludf.DUMMYFUNCTION("""COMPUTED_VALUE"""),"Toàn Phát - Việt Nam")</f>
        <v>Toàn Phát - Việt Nam</v>
      </c>
      <c r="B930" s="587" t="str">
        <f ca="1">IFERROR(__xludf.DUMMYFUNCTION("""COMPUTED_VALUE"""),"ĐTPBANH")</f>
        <v>ĐTPBANH</v>
      </c>
      <c r="C930" s="587" t="str">
        <f ca="1">IFERROR(__xludf.DUMMYFUNCTION("""COMPUTED_VALUE"""),"DOLWC1270065")</f>
        <v>DOLWC1270065</v>
      </c>
      <c r="D930" s="588" t="str">
        <f ca="1">IFERROR(__xludf.DUMMYFUNCTION("""COMPUTED_VALUE"""),"Đồng cuộn LWC 12.70x0.65")</f>
        <v>Đồng cuộn LWC 12.70x0.65</v>
      </c>
      <c r="E930" s="589">
        <f ca="1">IFERROR(__xludf.DUMMYFUNCTION("""COMPUTED_VALUE"""),0.1)</f>
        <v>0.1</v>
      </c>
      <c r="F930" s="590" t="str">
        <f ca="1">IFERROR(__xludf.DUMMYFUNCTION("""COMPUTED_VALUE"""),"m")</f>
        <v>m</v>
      </c>
      <c r="G930" s="590" t="str">
        <f ca="1">IFERROR(__xludf.DUMMYFUNCTION("""COMPUTED_VALUE"""),"m")</f>
        <v>m</v>
      </c>
      <c r="H930" s="588"/>
      <c r="I930" s="591">
        <f ca="1">IFERROR(__xludf.DUMMYFUNCTION("""COMPUTED_VALUE"""),0.22698585)</f>
        <v>0.22698584999999999</v>
      </c>
      <c r="J930" s="592" t="str">
        <f ca="1">IFERROR(__xludf.DUMMYFUNCTION("""COMPUTED_VALUE""")," 12.70 ")</f>
        <v xml:space="preserve"> 12.70 </v>
      </c>
      <c r="K930" s="590" t="str">
        <f ca="1">IFERROR(__xludf.DUMMYFUNCTION("""COMPUTED_VALUE"""),"0.65")</f>
        <v>0.65</v>
      </c>
      <c r="L930" s="590">
        <f ca="1">IFERROR(__xludf.DUMMYFUNCTION("""COMPUTED_VALUE"""),1)</f>
        <v>1</v>
      </c>
      <c r="M930" s="590"/>
      <c r="N930" s="590" t="str">
        <f ca="1">IFERROR(__xludf.DUMMYFUNCTION("""COMPUTED_VALUE"""),"Dị_D&lt;54")</f>
        <v>Dị_D&lt;54</v>
      </c>
      <c r="O930" s="589"/>
      <c r="P930" s="590"/>
    </row>
    <row r="931" spans="1:17" ht="15.75">
      <c r="A931" s="581" t="str">
        <f ca="1">IFERROR(__xludf.DUMMYFUNCTION("""COMPUTED_VALUE"""),"Toàn Phát - Việt Nam")</f>
        <v>Toàn Phát - Việt Nam</v>
      </c>
      <c r="B931" s="581" t="str">
        <f ca="1">IFERROR(__xludf.DUMMYFUNCTION("""COMPUTED_VALUE"""),"ĐTPBANH")</f>
        <v>ĐTPBANH</v>
      </c>
      <c r="C931" s="581" t="str">
        <f ca="1">IFERROR(__xludf.DUMMYFUNCTION("""COMPUTED_VALUE"""),"DOLWC1270066")</f>
        <v>DOLWC1270066</v>
      </c>
      <c r="D931" s="582" t="str">
        <f ca="1">IFERROR(__xludf.DUMMYFUNCTION("""COMPUTED_VALUE"""),"Đồng cuộn LWC 12.70x0.66")</f>
        <v>Đồng cuộn LWC 12.70x0.66</v>
      </c>
      <c r="E931" s="583">
        <f ca="1">IFERROR(__xludf.DUMMYFUNCTION("""COMPUTED_VALUE"""),0.1)</f>
        <v>0.1</v>
      </c>
      <c r="F931" s="584" t="str">
        <f ca="1">IFERROR(__xludf.DUMMYFUNCTION("""COMPUTED_VALUE"""),"m")</f>
        <v>m</v>
      </c>
      <c r="G931" s="584" t="str">
        <f ca="1">IFERROR(__xludf.DUMMYFUNCTION("""COMPUTED_VALUE"""),"m")</f>
        <v>m</v>
      </c>
      <c r="H931" s="582"/>
      <c r="I931" s="585">
        <f ca="1">IFERROR(__xludf.DUMMYFUNCTION("""COMPUTED_VALUE"""),0.230286672)</f>
        <v>0.230286672</v>
      </c>
      <c r="J931" s="586" t="str">
        <f ca="1">IFERROR(__xludf.DUMMYFUNCTION("""COMPUTED_VALUE""")," 12.70 ")</f>
        <v xml:space="preserve"> 12.70 </v>
      </c>
      <c r="K931" s="584" t="str">
        <f ca="1">IFERROR(__xludf.DUMMYFUNCTION("""COMPUTED_VALUE"""),"0.66")</f>
        <v>0.66</v>
      </c>
      <c r="L931" s="584">
        <f ca="1">IFERROR(__xludf.DUMMYFUNCTION("""COMPUTED_VALUE"""),1)</f>
        <v>1</v>
      </c>
      <c r="M931" s="584"/>
      <c r="N931" s="584" t="str">
        <f ca="1">IFERROR(__xludf.DUMMYFUNCTION("""COMPUTED_VALUE"""),"Dị_D&lt;54")</f>
        <v>Dị_D&lt;54</v>
      </c>
      <c r="O931" s="583"/>
      <c r="P931" s="584"/>
    </row>
    <row r="932" spans="1:17" ht="15.75">
      <c r="A932" s="587" t="str">
        <f ca="1">IFERROR(__xludf.DUMMYFUNCTION("""COMPUTED_VALUE"""),"Toàn Phát - Việt Nam")</f>
        <v>Toàn Phát - Việt Nam</v>
      </c>
      <c r="B932" s="587" t="str">
        <f ca="1">IFERROR(__xludf.DUMMYFUNCTION("""COMPUTED_VALUE"""),"ĐTPBANH")</f>
        <v>ĐTPBANH</v>
      </c>
      <c r="C932" s="587" t="str">
        <f ca="1">IFERROR(__xludf.DUMMYFUNCTION("""COMPUTED_VALUE"""),"DOLWC127070")</f>
        <v>DOLWC127070</v>
      </c>
      <c r="D932" s="588" t="str">
        <f ca="1">IFERROR(__xludf.DUMMYFUNCTION("""COMPUTED_VALUE"""),"Đồng ống LWC 12.7x0.70")</f>
        <v>Đồng ống LWC 12.7x0.70</v>
      </c>
      <c r="E932" s="589">
        <f ca="1">IFERROR(__xludf.DUMMYFUNCTION("""COMPUTED_VALUE"""),0.1)</f>
        <v>0.1</v>
      </c>
      <c r="F932" s="590" t="str">
        <f ca="1">IFERROR(__xludf.DUMMYFUNCTION("""COMPUTED_VALUE"""),"m")</f>
        <v>m</v>
      </c>
      <c r="G932" s="590" t="str">
        <f ca="1">IFERROR(__xludf.DUMMYFUNCTION("""COMPUTED_VALUE"""),"m")</f>
        <v>m</v>
      </c>
      <c r="H932" s="588"/>
      <c r="I932" s="591">
        <f ca="1">IFERROR(__xludf.DUMMYFUNCTION("""COMPUTED_VALUE"""),0.243431999999999)</f>
        <v>0.24343199999999901</v>
      </c>
      <c r="J932" s="592" t="str">
        <f ca="1">IFERROR(__xludf.DUMMYFUNCTION("""COMPUTED_VALUE""")," 12.70 ")</f>
        <v xml:space="preserve"> 12.70 </v>
      </c>
      <c r="K932" s="590" t="str">
        <f ca="1">IFERROR(__xludf.DUMMYFUNCTION("""COMPUTED_VALUE"""),"0.70")</f>
        <v>0.70</v>
      </c>
      <c r="L932" s="590">
        <f ca="1">IFERROR(__xludf.DUMMYFUNCTION("""COMPUTED_VALUE"""),1)</f>
        <v>1</v>
      </c>
      <c r="M932" s="590"/>
      <c r="N932" s="590" t="str">
        <f ca="1">IFERROR(__xludf.DUMMYFUNCTION("""COMPUTED_VALUE"""),"Dị_D&lt;54")</f>
        <v>Dị_D&lt;54</v>
      </c>
      <c r="O932" s="589"/>
      <c r="P932" s="590"/>
    </row>
    <row r="933" spans="1:17" ht="15.75">
      <c r="A933" s="581" t="str">
        <f ca="1">IFERROR(__xludf.DUMMYFUNCTION("""COMPUTED_VALUE"""),"Toàn Phát - Việt Nam")</f>
        <v>Toàn Phát - Việt Nam</v>
      </c>
      <c r="B933" s="581" t="str">
        <f ca="1">IFERROR(__xludf.DUMMYFUNCTION("""COMPUTED_VALUE"""),"ĐTPBANH")</f>
        <v>ĐTPBANH</v>
      </c>
      <c r="C933" s="581" t="str">
        <f ca="1">IFERROR(__xludf.DUMMYFUNCTION("""COMPUTED_VALUE"""),"DOBKILWC1270071")</f>
        <v>DOBKILWC1270071</v>
      </c>
      <c r="D933" s="582" t="str">
        <f ca="1">IFERROR(__xludf.DUMMYFUNCTION("""COMPUTED_VALUE"""),"Đồng ống LWC KHÔNG IN 12.70x0.71")</f>
        <v>Đồng ống LWC KHÔNG IN 12.70x0.71</v>
      </c>
      <c r="E933" s="583">
        <f ca="1">IFERROR(__xludf.DUMMYFUNCTION("""COMPUTED_VALUE"""),0.1)</f>
        <v>0.1</v>
      </c>
      <c r="F933" s="584" t="str">
        <f ca="1">IFERROR(__xludf.DUMMYFUNCTION("""COMPUTED_VALUE"""),"m")</f>
        <v>m</v>
      </c>
      <c r="G933" s="584" t="str">
        <f ca="1">IFERROR(__xludf.DUMMYFUNCTION("""COMPUTED_VALUE"""),"m")</f>
        <v>m</v>
      </c>
      <c r="H933" s="582"/>
      <c r="I933" s="585">
        <f ca="1">IFERROR(__xludf.DUMMYFUNCTION("""COMPUTED_VALUE"""),0.246703841999999)</f>
        <v>0.24670384199999901</v>
      </c>
      <c r="J933" s="586" t="str">
        <f ca="1">IFERROR(__xludf.DUMMYFUNCTION("""COMPUTED_VALUE""")," 12.70 ")</f>
        <v xml:space="preserve"> 12.70 </v>
      </c>
      <c r="K933" s="584" t="str">
        <f ca="1">IFERROR(__xludf.DUMMYFUNCTION("""COMPUTED_VALUE"""),"0.71")</f>
        <v>0.71</v>
      </c>
      <c r="L933" s="584">
        <f ca="1">IFERROR(__xludf.DUMMYFUNCTION("""COMPUTED_VALUE"""),1)</f>
        <v>1</v>
      </c>
      <c r="M933" s="584"/>
      <c r="N933" s="584" t="str">
        <f ca="1">IFERROR(__xludf.DUMMYFUNCTION("""COMPUTED_VALUE"""),"Dị_D&lt;54")</f>
        <v>Dị_D&lt;54</v>
      </c>
      <c r="O933" s="583">
        <f ca="1">IFERROR(__xludf.DUMMYFUNCTION("""COMPUTED_VALUE"""),1)</f>
        <v>1</v>
      </c>
      <c r="P933" s="584"/>
    </row>
    <row r="934" spans="1:17" ht="15.75">
      <c r="A934" s="587" t="str">
        <f ca="1">IFERROR(__xludf.DUMMYFUNCTION("""COMPUTED_VALUE"""),"Toàn Phát - Việt Nam")</f>
        <v>Toàn Phát - Việt Nam</v>
      </c>
      <c r="B934" s="587" t="str">
        <f ca="1">IFERROR(__xludf.DUMMYFUNCTION("""COMPUTED_VALUE"""),"ĐTPBANH")</f>
        <v>ĐTPBANH</v>
      </c>
      <c r="C934" s="587" t="str">
        <f ca="1">IFERROR(__xludf.DUMMYFUNCTION("""COMPUTED_VALUE"""),"DOLWC127071")</f>
        <v>DOLWC127071</v>
      </c>
      <c r="D934" s="588" t="str">
        <f ca="1">IFERROR(__xludf.DUMMYFUNCTION("""COMPUTED_VALUE"""),"Đồng cuộn LWC 12.70x0.71")</f>
        <v>Đồng cuộn LWC 12.70x0.71</v>
      </c>
      <c r="E934" s="589">
        <f ca="1">IFERROR(__xludf.DUMMYFUNCTION("""COMPUTED_VALUE"""),0.1)</f>
        <v>0.1</v>
      </c>
      <c r="F934" s="590" t="str">
        <f ca="1">IFERROR(__xludf.DUMMYFUNCTION("""COMPUTED_VALUE"""),"m")</f>
        <v>m</v>
      </c>
      <c r="G934" s="590" t="str">
        <f ca="1">IFERROR(__xludf.DUMMYFUNCTION("""COMPUTED_VALUE"""),"m")</f>
        <v>m</v>
      </c>
      <c r="H934" s="588"/>
      <c r="I934" s="591">
        <f ca="1">IFERROR(__xludf.DUMMYFUNCTION("""COMPUTED_VALUE"""),0.246703841999999)</f>
        <v>0.24670384199999901</v>
      </c>
      <c r="J934" s="592" t="str">
        <f ca="1">IFERROR(__xludf.DUMMYFUNCTION("""COMPUTED_VALUE""")," 12.70 ")</f>
        <v xml:space="preserve"> 12.70 </v>
      </c>
      <c r="K934" s="590" t="str">
        <f ca="1">IFERROR(__xludf.DUMMYFUNCTION("""COMPUTED_VALUE"""),"0.71")</f>
        <v>0.71</v>
      </c>
      <c r="L934" s="590">
        <f ca="1">IFERROR(__xludf.DUMMYFUNCTION("""COMPUTED_VALUE"""),1)</f>
        <v>1</v>
      </c>
      <c r="M934" s="590"/>
      <c r="N934" s="590" t="str">
        <f ca="1">IFERROR(__xludf.DUMMYFUNCTION("""COMPUTED_VALUE"""),"Không")</f>
        <v>Không</v>
      </c>
      <c r="O934" s="589"/>
      <c r="P934" s="590"/>
      <c r="Q934" s="885">
        <f ca="1">+$Q$5*I934</f>
        <v>56.741883659999765</v>
      </c>
    </row>
    <row r="935" spans="1:17" ht="15.75">
      <c r="A935" s="581" t="str">
        <f ca="1">IFERROR(__xludf.DUMMYFUNCTION("""COMPUTED_VALUE"""),"Toàn Phát - Việt Nam")</f>
        <v>Toàn Phát - Việt Nam</v>
      </c>
      <c r="B935" s="581" t="str">
        <f ca="1">IFERROR(__xludf.DUMMYFUNCTION("""COMPUTED_VALUE"""),"ĐTPBANH")</f>
        <v>ĐTPBANH</v>
      </c>
      <c r="C935" s="581" t="str">
        <f ca="1">IFERROR(__xludf.DUMMYFUNCTION("""COMPUTED_VALUE"""),"DOBKILWC1270081")</f>
        <v>DOBKILWC1270081</v>
      </c>
      <c r="D935" s="582" t="str">
        <f ca="1">IFERROR(__xludf.DUMMYFUNCTION("""COMPUTED_VALUE"""),"Đồng ống LWC KHÔNG IN 12.70x0.81")</f>
        <v>Đồng ống LWC KHÔNG IN 12.70x0.81</v>
      </c>
      <c r="E935" s="583">
        <f ca="1">IFERROR(__xludf.DUMMYFUNCTION("""COMPUTED_VALUE"""),0.1)</f>
        <v>0.1</v>
      </c>
      <c r="F935" s="584" t="str">
        <f ca="1">IFERROR(__xludf.DUMMYFUNCTION("""COMPUTED_VALUE"""),"m")</f>
        <v>m</v>
      </c>
      <c r="G935" s="584" t="str">
        <f ca="1">IFERROR(__xludf.DUMMYFUNCTION("""COMPUTED_VALUE"""),"m")</f>
        <v>m</v>
      </c>
      <c r="H935" s="582"/>
      <c r="I935" s="585">
        <f ca="1">IFERROR(__xludf.DUMMYFUNCTION("""COMPUTED_VALUE"""),0.279103481999999)</f>
        <v>0.27910348199999901</v>
      </c>
      <c r="J935" s="586" t="str">
        <f ca="1">IFERROR(__xludf.DUMMYFUNCTION("""COMPUTED_VALUE""")," 12.70 ")</f>
        <v xml:space="preserve"> 12.70 </v>
      </c>
      <c r="K935" s="584" t="str">
        <f ca="1">IFERROR(__xludf.DUMMYFUNCTION("""COMPUTED_VALUE"""),"0.81")</f>
        <v>0.81</v>
      </c>
      <c r="L935" s="584">
        <f ca="1">IFERROR(__xludf.DUMMYFUNCTION("""COMPUTED_VALUE"""),1)</f>
        <v>1</v>
      </c>
      <c r="M935" s="584"/>
      <c r="N935" s="584" t="str">
        <f ca="1">IFERROR(__xludf.DUMMYFUNCTION("""COMPUTED_VALUE"""),"Dị_D&lt;54")</f>
        <v>Dị_D&lt;54</v>
      </c>
      <c r="O935" s="583">
        <f ca="1">IFERROR(__xludf.DUMMYFUNCTION("""COMPUTED_VALUE"""),1)</f>
        <v>1</v>
      </c>
      <c r="P935" s="584"/>
    </row>
    <row r="936" spans="1:17" ht="15.75">
      <c r="A936" s="587" t="str">
        <f ca="1">IFERROR(__xludf.DUMMYFUNCTION("""COMPUTED_VALUE"""),"Toàn Phát - Việt Nam")</f>
        <v>Toàn Phát - Việt Nam</v>
      </c>
      <c r="B936" s="587" t="str">
        <f ca="1">IFERROR(__xludf.DUMMYFUNCTION("""COMPUTED_VALUE"""),"ĐTPBANH")</f>
        <v>ĐTPBANH</v>
      </c>
      <c r="C936" s="587" t="str">
        <f ca="1">IFERROR(__xludf.DUMMYFUNCTION("""COMPUTED_VALUE"""),"DOLWC127081")</f>
        <v>DOLWC127081</v>
      </c>
      <c r="D936" s="588" t="str">
        <f ca="1">IFERROR(__xludf.DUMMYFUNCTION("""COMPUTED_VALUE"""),"Đồng ống LWC 12.7x0.81")</f>
        <v>Đồng ống LWC 12.7x0.81</v>
      </c>
      <c r="E936" s="589">
        <f ca="1">IFERROR(__xludf.DUMMYFUNCTION("""COMPUTED_VALUE"""),0.1)</f>
        <v>0.1</v>
      </c>
      <c r="F936" s="590" t="str">
        <f ca="1">IFERROR(__xludf.DUMMYFUNCTION("""COMPUTED_VALUE"""),"m")</f>
        <v>m</v>
      </c>
      <c r="G936" s="590" t="str">
        <f ca="1">IFERROR(__xludf.DUMMYFUNCTION("""COMPUTED_VALUE"""),"m")</f>
        <v>m</v>
      </c>
      <c r="H936" s="588"/>
      <c r="I936" s="591">
        <f ca="1">IFERROR(__xludf.DUMMYFUNCTION("""COMPUTED_VALUE"""),0.279103481999999)</f>
        <v>0.27910348199999901</v>
      </c>
      <c r="J936" s="592" t="str">
        <f ca="1">IFERROR(__xludf.DUMMYFUNCTION("""COMPUTED_VALUE""")," 12.70 ")</f>
        <v xml:space="preserve"> 12.70 </v>
      </c>
      <c r="K936" s="590" t="str">
        <f ca="1">IFERROR(__xludf.DUMMYFUNCTION("""COMPUTED_VALUE"""),"0.81")</f>
        <v>0.81</v>
      </c>
      <c r="L936" s="590">
        <f ca="1">IFERROR(__xludf.DUMMYFUNCTION("""COMPUTED_VALUE"""),1)</f>
        <v>1</v>
      </c>
      <c r="M936" s="590"/>
      <c r="N936" s="590" t="str">
        <f ca="1">IFERROR(__xludf.DUMMYFUNCTION("""COMPUTED_VALUE"""),"Không")</f>
        <v>Không</v>
      </c>
      <c r="O936" s="589"/>
      <c r="P936" s="590"/>
      <c r="Q936" s="885">
        <f ca="1">+$Q$5*I936</f>
        <v>64.193800859999769</v>
      </c>
    </row>
    <row r="937" spans="1:17" ht="15.75">
      <c r="A937" s="581" t="str">
        <f ca="1">IFERROR(__xludf.DUMMYFUNCTION("""COMPUTED_VALUE"""),"Toàn Phát - Việt Nam")</f>
        <v>Toàn Phát - Việt Nam</v>
      </c>
      <c r="B937" s="581" t="str">
        <f ca="1">IFERROR(__xludf.DUMMYFUNCTION("""COMPUTED_VALUE"""),"ĐTPBANH")</f>
        <v>ĐTPBANH</v>
      </c>
      <c r="C937" s="581" t="str">
        <f ca="1">IFERROR(__xludf.DUMMYFUNCTION("""COMPUTED_VALUE"""),"DOLWC1588050")</f>
        <v>DOLWC1588050</v>
      </c>
      <c r="D937" s="582" t="str">
        <f ca="1">IFERROR(__xludf.DUMMYFUNCTION("""COMPUTED_VALUE"""),"Đồng cuộn LWC 15.88x0.50")</f>
        <v>Đồng cuộn LWC 15.88x0.50</v>
      </c>
      <c r="E937" s="583">
        <f ca="1">IFERROR(__xludf.DUMMYFUNCTION("""COMPUTED_VALUE"""),0.1)</f>
        <v>0.1</v>
      </c>
      <c r="F937" s="584" t="str">
        <f ca="1">IFERROR(__xludf.DUMMYFUNCTION("""COMPUTED_VALUE"""),"m")</f>
        <v>m</v>
      </c>
      <c r="G937" s="584" t="str">
        <f ca="1">IFERROR(__xludf.DUMMYFUNCTION("""COMPUTED_VALUE"""),"m")</f>
        <v>m</v>
      </c>
      <c r="H937" s="582"/>
      <c r="I937" s="585">
        <f ca="1">IFERROR(__xludf.DUMMYFUNCTION("""COMPUTED_VALUE"""),0.2228562)</f>
        <v>0.2228562</v>
      </c>
      <c r="J937" s="586" t="str">
        <f ca="1">IFERROR(__xludf.DUMMYFUNCTION("""COMPUTED_VALUE""")," 15.88 ")</f>
        <v xml:space="preserve"> 15.88 </v>
      </c>
      <c r="K937" s="584" t="str">
        <f ca="1">IFERROR(__xludf.DUMMYFUNCTION("""COMPUTED_VALUE"""),"0.50")</f>
        <v>0.50</v>
      </c>
      <c r="L937" s="584">
        <f ca="1">IFERROR(__xludf.DUMMYFUNCTION("""COMPUTED_VALUE"""),1)</f>
        <v>1</v>
      </c>
      <c r="M937" s="584"/>
      <c r="N937" s="584" t="str">
        <f ca="1">IFERROR(__xludf.DUMMYFUNCTION("""COMPUTED_VALUE"""),"Dị_D&lt;54")</f>
        <v>Dị_D&lt;54</v>
      </c>
      <c r="O937" s="583"/>
      <c r="P937" s="584"/>
    </row>
    <row r="938" spans="1:17" ht="15.75">
      <c r="A938" s="587" t="str">
        <f ca="1">IFERROR(__xludf.DUMMYFUNCTION("""COMPUTED_VALUE"""),"Toàn Phát - Việt Nam")</f>
        <v>Toàn Phát - Việt Nam</v>
      </c>
      <c r="B938" s="587" t="str">
        <f ca="1">IFERROR(__xludf.DUMMYFUNCTION("""COMPUTED_VALUE"""),"ĐTPBANH")</f>
        <v>ĐTPBANH</v>
      </c>
      <c r="C938" s="587" t="str">
        <f ca="1">IFERROR(__xludf.DUMMYFUNCTION("""COMPUTED_VALUE"""),"DOLWC1588051")</f>
        <v>DOLWC1588051</v>
      </c>
      <c r="D938" s="588" t="str">
        <f ca="1">IFERROR(__xludf.DUMMYFUNCTION("""COMPUTED_VALUE"""),"Đồng cuộn LWC 15.88x0.51")</f>
        <v>Đồng cuộn LWC 15.88x0.51</v>
      </c>
      <c r="E938" s="589">
        <f ca="1">IFERROR(__xludf.DUMMYFUNCTION("""COMPUTED_VALUE"""),0.1)</f>
        <v>0.1</v>
      </c>
      <c r="F938" s="590" t="str">
        <f ca="1">IFERROR(__xludf.DUMMYFUNCTION("""COMPUTED_VALUE"""),"m")</f>
        <v>m</v>
      </c>
      <c r="G938" s="590" t="str">
        <f ca="1">IFERROR(__xludf.DUMMYFUNCTION("""COMPUTED_VALUE"""),"m")</f>
        <v>m</v>
      </c>
      <c r="H938" s="588"/>
      <c r="I938" s="591">
        <f ca="1">IFERROR(__xludf.DUMMYFUNCTION("""COMPUTED_VALUE"""),0.227165525999999)</f>
        <v>0.22716552599999901</v>
      </c>
      <c r="J938" s="592" t="str">
        <f ca="1">IFERROR(__xludf.DUMMYFUNCTION("""COMPUTED_VALUE""")," 15.88 ")</f>
        <v xml:space="preserve"> 15.88 </v>
      </c>
      <c r="K938" s="590" t="str">
        <f ca="1">IFERROR(__xludf.DUMMYFUNCTION("""COMPUTED_VALUE"""),"0.51")</f>
        <v>0.51</v>
      </c>
      <c r="L938" s="590">
        <f ca="1">IFERROR(__xludf.DUMMYFUNCTION("""COMPUTED_VALUE"""),1)</f>
        <v>1</v>
      </c>
      <c r="M938" s="590"/>
      <c r="N938" s="590" t="str">
        <f ca="1">IFERROR(__xludf.DUMMYFUNCTION("""COMPUTED_VALUE"""),"Dị_D&lt;54")</f>
        <v>Dị_D&lt;54</v>
      </c>
      <c r="O938" s="589"/>
      <c r="P938" s="590"/>
    </row>
    <row r="939" spans="1:17" ht="15.75">
      <c r="A939" s="581" t="str">
        <f ca="1">IFERROR(__xludf.DUMMYFUNCTION("""COMPUTED_VALUE"""),"Toàn Phát - Việt Nam")</f>
        <v>Toàn Phát - Việt Nam</v>
      </c>
      <c r="B939" s="581" t="str">
        <f ca="1">IFERROR(__xludf.DUMMYFUNCTION("""COMPUTED_VALUE"""),"ĐTPBANH")</f>
        <v>ĐTPBANH</v>
      </c>
      <c r="C939" s="581" t="str">
        <f ca="1">IFERROR(__xludf.DUMMYFUNCTION("""COMPUTED_VALUE"""),"DOLWC1588070")</f>
        <v>DOLWC1588070</v>
      </c>
      <c r="D939" s="582" t="str">
        <f ca="1">IFERROR(__xludf.DUMMYFUNCTION("""COMPUTED_VALUE"""),"Đồng ống LWC 15.88x0.70")</f>
        <v>Đồng ống LWC 15.88x0.70</v>
      </c>
      <c r="E939" s="583">
        <f ca="1">IFERROR(__xludf.DUMMYFUNCTION("""COMPUTED_VALUE"""),0.1)</f>
        <v>0.1</v>
      </c>
      <c r="F939" s="584" t="str">
        <f ca="1">IFERROR(__xludf.DUMMYFUNCTION("""COMPUTED_VALUE"""),"m")</f>
        <v>m</v>
      </c>
      <c r="G939" s="584" t="str">
        <f ca="1">IFERROR(__xludf.DUMMYFUNCTION("""COMPUTED_VALUE"""),"m")</f>
        <v>m</v>
      </c>
      <c r="H939" s="582"/>
      <c r="I939" s="585">
        <f ca="1">IFERROR(__xludf.DUMMYFUNCTION("""COMPUTED_VALUE"""),0.30794148)</f>
        <v>0.30794147999999999</v>
      </c>
      <c r="J939" s="586" t="str">
        <f ca="1">IFERROR(__xludf.DUMMYFUNCTION("""COMPUTED_VALUE""")," 15.88 ")</f>
        <v xml:space="preserve"> 15.88 </v>
      </c>
      <c r="K939" s="584" t="str">
        <f ca="1">IFERROR(__xludf.DUMMYFUNCTION("""COMPUTED_VALUE"""),"0.70")</f>
        <v>0.70</v>
      </c>
      <c r="L939" s="584">
        <f ca="1">IFERROR(__xludf.DUMMYFUNCTION("""COMPUTED_VALUE"""),1)</f>
        <v>1</v>
      </c>
      <c r="M939" s="584"/>
      <c r="N939" s="584" t="str">
        <f ca="1">IFERROR(__xludf.DUMMYFUNCTION("""COMPUTED_VALUE"""),"Dị_D&lt;54")</f>
        <v>Dị_D&lt;54</v>
      </c>
      <c r="O939" s="583"/>
      <c r="P939" s="584"/>
    </row>
    <row r="940" spans="1:17" ht="15.75">
      <c r="A940" s="587" t="str">
        <f ca="1">IFERROR(__xludf.DUMMYFUNCTION("""COMPUTED_VALUE"""),"Toàn Phát - Việt Nam")</f>
        <v>Toàn Phát - Việt Nam</v>
      </c>
      <c r="B940" s="587" t="str">
        <f ca="1">IFERROR(__xludf.DUMMYFUNCTION("""COMPUTED_VALUE"""),"ĐTPBANH")</f>
        <v>ĐTPBANH</v>
      </c>
      <c r="C940" s="587" t="str">
        <f ca="1">IFERROR(__xludf.DUMMYFUNCTION("""COMPUTED_VALUE"""),"DOBKILWC1588075")</f>
        <v>DOBKILWC1588075</v>
      </c>
      <c r="D940" s="588" t="str">
        <f ca="1">IFERROR(__xludf.DUMMYFUNCTION("""COMPUTED_VALUE"""),"Đồng ống LWC KHÔNG IN 15.88x0.75")</f>
        <v>Đồng ống LWC KHÔNG IN 15.88x0.75</v>
      </c>
      <c r="E940" s="589">
        <f ca="1">IFERROR(__xludf.DUMMYFUNCTION("""COMPUTED_VALUE"""),0.1)</f>
        <v>0.1</v>
      </c>
      <c r="F940" s="590" t="str">
        <f ca="1">IFERROR(__xludf.DUMMYFUNCTION("""COMPUTED_VALUE"""),"m")</f>
        <v>m</v>
      </c>
      <c r="G940" s="590" t="str">
        <f ca="1">IFERROR(__xludf.DUMMYFUNCTION("""COMPUTED_VALUE"""),"m")</f>
        <v>m</v>
      </c>
      <c r="H940" s="588"/>
      <c r="I940" s="591">
        <f ca="1">IFERROR(__xludf.DUMMYFUNCTION("""COMPUTED_VALUE"""),0.328850549999999)</f>
        <v>0.32885054999999902</v>
      </c>
      <c r="J940" s="592" t="str">
        <f ca="1">IFERROR(__xludf.DUMMYFUNCTION("""COMPUTED_VALUE""")," 15.88 ")</f>
        <v xml:space="preserve"> 15.88 </v>
      </c>
      <c r="K940" s="590" t="str">
        <f ca="1">IFERROR(__xludf.DUMMYFUNCTION("""COMPUTED_VALUE"""),"0.75")</f>
        <v>0.75</v>
      </c>
      <c r="L940" s="590">
        <f ca="1">IFERROR(__xludf.DUMMYFUNCTION("""COMPUTED_VALUE"""),1)</f>
        <v>1</v>
      </c>
      <c r="M940" s="590"/>
      <c r="N940" s="590" t="str">
        <f ca="1">IFERROR(__xludf.DUMMYFUNCTION("""COMPUTED_VALUE"""),"Dị_D&lt;54")</f>
        <v>Dị_D&lt;54</v>
      </c>
      <c r="O940" s="589"/>
      <c r="P940" s="590"/>
    </row>
    <row r="941" spans="1:17" ht="15.75">
      <c r="A941" s="581" t="str">
        <f ca="1">IFERROR(__xludf.DUMMYFUNCTION("""COMPUTED_VALUE"""),"Toàn Phát - Việt Nam")</f>
        <v>Toàn Phát - Việt Nam</v>
      </c>
      <c r="B941" s="581" t="str">
        <f ca="1">IFERROR(__xludf.DUMMYFUNCTION("""COMPUTED_VALUE"""),"ĐTPBANH")</f>
        <v>ĐTPBANH</v>
      </c>
      <c r="C941" s="581" t="str">
        <f ca="1">IFERROR(__xludf.DUMMYFUNCTION("""COMPUTED_VALUE"""),"DOBKILWC1588081")</f>
        <v>DOBKILWC1588081</v>
      </c>
      <c r="D941" s="582" t="str">
        <f ca="1">IFERROR(__xludf.DUMMYFUNCTION("""COMPUTED_VALUE"""),"Đồng ống LWC KHÔNG IN 15.88x0.81")</f>
        <v>Đồng ống LWC KHÔNG IN 15.88x0.81</v>
      </c>
      <c r="E941" s="583">
        <f ca="1">IFERROR(__xludf.DUMMYFUNCTION("""COMPUTED_VALUE"""),0.1)</f>
        <v>0.1</v>
      </c>
      <c r="F941" s="584" t="str">
        <f ca="1">IFERROR(__xludf.DUMMYFUNCTION("""COMPUTED_VALUE"""),"m")</f>
        <v>m</v>
      </c>
      <c r="G941" s="584" t="str">
        <f ca="1">IFERROR(__xludf.DUMMYFUNCTION("""COMPUTED_VALUE"""),"m")</f>
        <v>m</v>
      </c>
      <c r="H941" s="582"/>
      <c r="I941" s="585">
        <f ca="1">IFERROR(__xludf.DUMMYFUNCTION("""COMPUTED_VALUE"""),0.353750166)</f>
        <v>0.35375016599999998</v>
      </c>
      <c r="J941" s="586" t="str">
        <f ca="1">IFERROR(__xludf.DUMMYFUNCTION("""COMPUTED_VALUE""")," 15.88 ")</f>
        <v xml:space="preserve"> 15.88 </v>
      </c>
      <c r="K941" s="584" t="str">
        <f ca="1">IFERROR(__xludf.DUMMYFUNCTION("""COMPUTED_VALUE"""),"0.81")</f>
        <v>0.81</v>
      </c>
      <c r="L941" s="584">
        <f ca="1">IFERROR(__xludf.DUMMYFUNCTION("""COMPUTED_VALUE"""),1)</f>
        <v>1</v>
      </c>
      <c r="M941" s="584"/>
      <c r="N941" s="584" t="str">
        <f ca="1">IFERROR(__xludf.DUMMYFUNCTION("""COMPUTED_VALUE"""),"Dị_D&lt;54")</f>
        <v>Dị_D&lt;54</v>
      </c>
      <c r="O941" s="583">
        <f ca="1">IFERROR(__xludf.DUMMYFUNCTION("""COMPUTED_VALUE"""),1)</f>
        <v>1</v>
      </c>
      <c r="P941" s="584"/>
    </row>
    <row r="942" spans="1:17" ht="15.75">
      <c r="A942" s="587" t="str">
        <f ca="1">IFERROR(__xludf.DUMMYFUNCTION("""COMPUTED_VALUE"""),"Toàn Phát - Việt Nam")</f>
        <v>Toàn Phát - Việt Nam</v>
      </c>
      <c r="B942" s="587" t="str">
        <f ca="1">IFERROR(__xludf.DUMMYFUNCTION("""COMPUTED_VALUE"""),"ĐTPBANH")</f>
        <v>ĐTPBANH</v>
      </c>
      <c r="C942" s="587" t="str">
        <f ca="1">IFERROR(__xludf.DUMMYFUNCTION("""COMPUTED_VALUE"""),"LWC1588081")</f>
        <v>LWC1588081</v>
      </c>
      <c r="D942" s="588" t="str">
        <f ca="1">IFERROR(__xludf.DUMMYFUNCTION("""COMPUTED_VALUE"""),"Đồng cuộn LWC 15.88x0.81")</f>
        <v>Đồng cuộn LWC 15.88x0.81</v>
      </c>
      <c r="E942" s="589">
        <f ca="1">IFERROR(__xludf.DUMMYFUNCTION("""COMPUTED_VALUE"""),0.1)</f>
        <v>0.1</v>
      </c>
      <c r="F942" s="590" t="str">
        <f ca="1">IFERROR(__xludf.DUMMYFUNCTION("""COMPUTED_VALUE"""),"m")</f>
        <v>m</v>
      </c>
      <c r="G942" s="590" t="str">
        <f ca="1">IFERROR(__xludf.DUMMYFUNCTION("""COMPUTED_VALUE"""),"m")</f>
        <v>m</v>
      </c>
      <c r="H942" s="588"/>
      <c r="I942" s="591">
        <f ca="1">IFERROR(__xludf.DUMMYFUNCTION("""COMPUTED_VALUE"""),0.353750166)</f>
        <v>0.35375016599999998</v>
      </c>
      <c r="J942" s="592" t="str">
        <f ca="1">IFERROR(__xludf.DUMMYFUNCTION("""COMPUTED_VALUE""")," 15.88 ")</f>
        <v xml:space="preserve"> 15.88 </v>
      </c>
      <c r="K942" s="590" t="str">
        <f ca="1">IFERROR(__xludf.DUMMYFUNCTION("""COMPUTED_VALUE"""),"0.81")</f>
        <v>0.81</v>
      </c>
      <c r="L942" s="590">
        <f ca="1">IFERROR(__xludf.DUMMYFUNCTION("""COMPUTED_VALUE"""),1)</f>
        <v>1</v>
      </c>
      <c r="M942" s="590"/>
      <c r="N942" s="590" t="str">
        <f ca="1">IFERROR(__xludf.DUMMYFUNCTION("""COMPUTED_VALUE"""),"Không")</f>
        <v>Không</v>
      </c>
      <c r="O942" s="589"/>
      <c r="P942" s="590"/>
      <c r="Q942" s="885">
        <f ca="1">+$Q$5*I942</f>
        <v>81.362538179999987</v>
      </c>
    </row>
    <row r="943" spans="1:17" ht="15.75">
      <c r="A943" s="581" t="str">
        <f ca="1">IFERROR(__xludf.DUMMYFUNCTION("""COMPUTED_VALUE"""),"Toàn Phát - Việt Nam")</f>
        <v>Toàn Phát - Việt Nam</v>
      </c>
      <c r="B943" s="581" t="str">
        <f ca="1">IFERROR(__xludf.DUMMYFUNCTION("""COMPUTED_VALUE"""),"ĐTPBANH")</f>
        <v>ĐTPBANH</v>
      </c>
      <c r="C943" s="581" t="str">
        <f ca="1">IFERROR(__xludf.DUMMYFUNCTION("""COMPUTED_VALUE"""),"LWC1588089")</f>
        <v>LWC1588089</v>
      </c>
      <c r="D943" s="582" t="str">
        <f ca="1">IFERROR(__xludf.DUMMYFUNCTION("""COMPUTED_VALUE"""),"Đồng cuộn LWC 15.88x0.89")</f>
        <v>Đồng cuộn LWC 15.88x0.89</v>
      </c>
      <c r="E943" s="583">
        <f ca="1">IFERROR(__xludf.DUMMYFUNCTION("""COMPUTED_VALUE"""),0.1)</f>
        <v>0.1</v>
      </c>
      <c r="F943" s="584" t="str">
        <f ca="1">IFERROR(__xludf.DUMMYFUNCTION("""COMPUTED_VALUE"""),"m")</f>
        <v>m</v>
      </c>
      <c r="G943" s="584" t="str">
        <f ca="1">IFERROR(__xludf.DUMMYFUNCTION("""COMPUTED_VALUE"""),"m")</f>
        <v>m</v>
      </c>
      <c r="H943" s="582"/>
      <c r="I943" s="585">
        <f ca="1">IFERROR(__xludf.DUMMYFUNCTION("""COMPUTED_VALUE"""),0.386625078)</f>
        <v>0.38662507800000001</v>
      </c>
      <c r="J943" s="586" t="str">
        <f ca="1">IFERROR(__xludf.DUMMYFUNCTION("""COMPUTED_VALUE""")," 15.88 ")</f>
        <v xml:space="preserve"> 15.88 </v>
      </c>
      <c r="K943" s="584" t="str">
        <f ca="1">IFERROR(__xludf.DUMMYFUNCTION("""COMPUTED_VALUE"""),"0.89")</f>
        <v>0.89</v>
      </c>
      <c r="L943" s="584">
        <f ca="1">IFERROR(__xludf.DUMMYFUNCTION("""COMPUTED_VALUE"""),1)</f>
        <v>1</v>
      </c>
      <c r="M943" s="584"/>
      <c r="N943" s="584" t="str">
        <f ca="1">IFERROR(__xludf.DUMMYFUNCTION("""COMPUTED_VALUE"""),"Dị_D&lt;54")</f>
        <v>Dị_D&lt;54</v>
      </c>
      <c r="O943" s="583"/>
      <c r="P943" s="584"/>
    </row>
    <row r="944" spans="1:17" ht="15.75">
      <c r="A944" s="587" t="str">
        <f ca="1">IFERROR(__xludf.DUMMYFUNCTION("""COMPUTED_VALUE"""),"Toàn Phát - Việt Nam")</f>
        <v>Toàn Phát - Việt Nam</v>
      </c>
      <c r="B944" s="587" t="str">
        <f ca="1">IFERROR(__xludf.DUMMYFUNCTION("""COMPUTED_VALUE"""),"ĐTPBANH")</f>
        <v>ĐTPBANH</v>
      </c>
      <c r="C944" s="587" t="str">
        <f ca="1">IFERROR(__xludf.DUMMYFUNCTION("""COMPUTED_VALUE"""),"LWC1588091")</f>
        <v>LWC1588091</v>
      </c>
      <c r="D944" s="588" t="str">
        <f ca="1">IFERROR(__xludf.DUMMYFUNCTION("""COMPUTED_VALUE"""),"Đồng cuộn LWC 15.88x0.91")</f>
        <v>Đồng cuộn LWC 15.88x0.91</v>
      </c>
      <c r="E944" s="589">
        <f ca="1">IFERROR(__xludf.DUMMYFUNCTION("""COMPUTED_VALUE"""),0.1)</f>
        <v>0.1</v>
      </c>
      <c r="F944" s="590" t="str">
        <f ca="1">IFERROR(__xludf.DUMMYFUNCTION("""COMPUTED_VALUE"""),"m")</f>
        <v>m</v>
      </c>
      <c r="G944" s="590" t="str">
        <f ca="1">IFERROR(__xludf.DUMMYFUNCTION("""COMPUTED_VALUE"""),"m")</f>
        <v>m</v>
      </c>
      <c r="H944" s="588"/>
      <c r="I944" s="591">
        <f ca="1">IFERROR(__xludf.DUMMYFUNCTION("""COMPUTED_VALUE"""),0.394785846)</f>
        <v>0.394785846</v>
      </c>
      <c r="J944" s="592" t="str">
        <f ca="1">IFERROR(__xludf.DUMMYFUNCTION("""COMPUTED_VALUE""")," 15.88 ")</f>
        <v xml:space="preserve"> 15.88 </v>
      </c>
      <c r="K944" s="590" t="str">
        <f ca="1">IFERROR(__xludf.DUMMYFUNCTION("""COMPUTED_VALUE"""),"0.91")</f>
        <v>0.91</v>
      </c>
      <c r="L944" s="590">
        <f ca="1">IFERROR(__xludf.DUMMYFUNCTION("""COMPUTED_VALUE"""),1)</f>
        <v>1</v>
      </c>
      <c r="M944" s="590"/>
      <c r="N944" s="590" t="str">
        <f ca="1">IFERROR(__xludf.DUMMYFUNCTION("""COMPUTED_VALUE"""),"Dị_D&lt;54")</f>
        <v>Dị_D&lt;54</v>
      </c>
      <c r="O944" s="589"/>
      <c r="P944" s="590"/>
    </row>
    <row r="945" spans="1:17" ht="15.75">
      <c r="A945" s="581" t="str">
        <f ca="1">IFERROR(__xludf.DUMMYFUNCTION("""COMPUTED_VALUE"""),"Toàn Phát - Việt Nam")</f>
        <v>Toàn Phát - Việt Nam</v>
      </c>
      <c r="B945" s="581" t="str">
        <f ca="1">IFERROR(__xludf.DUMMYFUNCTION("""COMPUTED_VALUE"""),"ĐTPBANH")</f>
        <v>ĐTPBANH</v>
      </c>
      <c r="C945" s="581" t="str">
        <f ca="1">IFERROR(__xludf.DUMMYFUNCTION("""COMPUTED_VALUE"""),"LWC158810")</f>
        <v>LWC158810</v>
      </c>
      <c r="D945" s="582" t="str">
        <f ca="1">IFERROR(__xludf.DUMMYFUNCTION("""COMPUTED_VALUE"""),"Đồng cuộn LWC 15.88x1.0")</f>
        <v>Đồng cuộn LWC 15.88x1.0</v>
      </c>
      <c r="E945" s="583">
        <f ca="1">IFERROR(__xludf.DUMMYFUNCTION("""COMPUTED_VALUE"""),0.1)</f>
        <v>0.1</v>
      </c>
      <c r="F945" s="584" t="str">
        <f ca="1">IFERROR(__xludf.DUMMYFUNCTION("""COMPUTED_VALUE"""),"m")</f>
        <v>m</v>
      </c>
      <c r="G945" s="584" t="str">
        <f ca="1">IFERROR(__xludf.DUMMYFUNCTION("""COMPUTED_VALUE"""),"m")</f>
        <v>m</v>
      </c>
      <c r="H945" s="582"/>
      <c r="I945" s="585">
        <f ca="1">IFERROR(__xludf.DUMMYFUNCTION("""COMPUTED_VALUE"""),0.431222399999999)</f>
        <v>0.43122239999999901</v>
      </c>
      <c r="J945" s="586" t="str">
        <f ca="1">IFERROR(__xludf.DUMMYFUNCTION("""COMPUTED_VALUE""")," 15.88 ")</f>
        <v xml:space="preserve"> 15.88 </v>
      </c>
      <c r="K945" s="584" t="str">
        <f ca="1">IFERROR(__xludf.DUMMYFUNCTION("""COMPUTED_VALUE"""),"1.00")</f>
        <v>1.00</v>
      </c>
      <c r="L945" s="584">
        <f ca="1">IFERROR(__xludf.DUMMYFUNCTION("""COMPUTED_VALUE"""),1)</f>
        <v>1</v>
      </c>
      <c r="M945" s="584"/>
      <c r="N945" s="584" t="str">
        <f ca="1">IFERROR(__xludf.DUMMYFUNCTION("""COMPUTED_VALUE"""),"Không")</f>
        <v>Không</v>
      </c>
      <c r="O945" s="583"/>
      <c r="P945" s="584"/>
      <c r="Q945" s="885">
        <f ca="1">+$Q$5*I945</f>
        <v>99.181151999999756</v>
      </c>
    </row>
    <row r="946" spans="1:17" ht="15.75">
      <c r="A946" s="587" t="str">
        <f ca="1">IFERROR(__xludf.DUMMYFUNCTION("""COMPUTED_VALUE"""),"Toàn Phát - Việt Nam")</f>
        <v>Toàn Phát - Việt Nam</v>
      </c>
      <c r="B946" s="587" t="str">
        <f ca="1">IFERROR(__xludf.DUMMYFUNCTION("""COMPUTED_VALUE"""),"ĐTPBANH")</f>
        <v>ĐTPBANH</v>
      </c>
      <c r="C946" s="587" t="str">
        <f ca="1">IFERROR(__xludf.DUMMYFUNCTION("""COMPUTED_VALUE"""),"LWC1588102")</f>
        <v>LWC1588102</v>
      </c>
      <c r="D946" s="588" t="str">
        <f ca="1">IFERROR(__xludf.DUMMYFUNCTION("""COMPUTED_VALUE"""),"Đồng cuộn LWC 15.88x1.02")</f>
        <v>Đồng cuộn LWC 15.88x1.02</v>
      </c>
      <c r="E946" s="589">
        <f ca="1">IFERROR(__xludf.DUMMYFUNCTION("""COMPUTED_VALUE"""),0.1)</f>
        <v>0.1</v>
      </c>
      <c r="F946" s="590" t="str">
        <f ca="1">IFERROR(__xludf.DUMMYFUNCTION("""COMPUTED_VALUE"""),"m")</f>
        <v>m</v>
      </c>
      <c r="G946" s="590" t="str">
        <f ca="1">IFERROR(__xludf.DUMMYFUNCTION("""COMPUTED_VALUE"""),"m")</f>
        <v>m</v>
      </c>
      <c r="H946" s="588"/>
      <c r="I946" s="591">
        <f ca="1">IFERROR(__xludf.DUMMYFUNCTION("""COMPUTED_VALUE"""),0.439255656)</f>
        <v>0.43925565599999999</v>
      </c>
      <c r="J946" s="592" t="str">
        <f ca="1">IFERROR(__xludf.DUMMYFUNCTION("""COMPUTED_VALUE""")," 15.88 ")</f>
        <v xml:space="preserve"> 15.88 </v>
      </c>
      <c r="K946" s="590" t="str">
        <f ca="1">IFERROR(__xludf.DUMMYFUNCTION("""COMPUTED_VALUE"""),"1.02")</f>
        <v>1.02</v>
      </c>
      <c r="L946" s="590">
        <f ca="1">IFERROR(__xludf.DUMMYFUNCTION("""COMPUTED_VALUE"""),1)</f>
        <v>1</v>
      </c>
      <c r="M946" s="590"/>
      <c r="N946" s="590" t="str">
        <f ca="1">IFERROR(__xludf.DUMMYFUNCTION("""COMPUTED_VALUE"""),"Dị_D&lt;54")</f>
        <v>Dị_D&lt;54</v>
      </c>
      <c r="O946" s="589"/>
      <c r="P946" s="590"/>
    </row>
    <row r="947" spans="1:17" ht="15.75">
      <c r="A947" s="581" t="str">
        <f ca="1">IFERROR(__xludf.DUMMYFUNCTION("""COMPUTED_VALUE"""),"Toàn Phát - Việt Nam")</f>
        <v>Toàn Phát - Việt Nam</v>
      </c>
      <c r="B947" s="581" t="str">
        <f ca="1">IFERROR(__xludf.DUMMYFUNCTION("""COMPUTED_VALUE"""),"ĐTPBANH")</f>
        <v>ĐTPBANH</v>
      </c>
      <c r="C947" s="581" t="str">
        <f ca="1">IFERROR(__xludf.DUMMYFUNCTION("""COMPUTED_VALUE"""),"DOLWC1905070")</f>
        <v>DOLWC1905070</v>
      </c>
      <c r="D947" s="582" t="str">
        <f ca="1">IFERROR(__xludf.DUMMYFUNCTION("""COMPUTED_VALUE"""),"Đồng ống LWC 19.05x0.70")</f>
        <v>Đồng ống LWC 19.05x0.70</v>
      </c>
      <c r="E947" s="583">
        <f ca="1">IFERROR(__xludf.DUMMYFUNCTION("""COMPUTED_VALUE"""),0.1)</f>
        <v>0.1</v>
      </c>
      <c r="F947" s="584" t="str">
        <f ca="1">IFERROR(__xludf.DUMMYFUNCTION("""COMPUTED_VALUE"""),"m")</f>
        <v>m</v>
      </c>
      <c r="G947" s="584" t="str">
        <f ca="1">IFERROR(__xludf.DUMMYFUNCTION("""COMPUTED_VALUE"""),"m")</f>
        <v>m</v>
      </c>
      <c r="H947" s="582"/>
      <c r="I947" s="585">
        <f ca="1">IFERROR(__xludf.DUMMYFUNCTION("""COMPUTED_VALUE"""),0.3722481)</f>
        <v>0.37224810000000003</v>
      </c>
      <c r="J947" s="586" t="str">
        <f ca="1">IFERROR(__xludf.DUMMYFUNCTION("""COMPUTED_VALUE""")," 19.05 ")</f>
        <v xml:space="preserve"> 19.05 </v>
      </c>
      <c r="K947" s="584" t="str">
        <f ca="1">IFERROR(__xludf.DUMMYFUNCTION("""COMPUTED_VALUE"""),"0.70")</f>
        <v>0.70</v>
      </c>
      <c r="L947" s="584">
        <f ca="1">IFERROR(__xludf.DUMMYFUNCTION("""COMPUTED_VALUE"""),1)</f>
        <v>1</v>
      </c>
      <c r="M947" s="584"/>
      <c r="N947" s="584" t="str">
        <f ca="1">IFERROR(__xludf.DUMMYFUNCTION("""COMPUTED_VALUE"""),"Dị_D&lt;54")</f>
        <v>Dị_D&lt;54</v>
      </c>
      <c r="O947" s="583"/>
      <c r="P947" s="584"/>
    </row>
    <row r="948" spans="1:17" ht="15.75">
      <c r="A948" s="587" t="str">
        <f ca="1">IFERROR(__xludf.DUMMYFUNCTION("""COMPUTED_VALUE"""),"Toàn Phát - Việt Nam")</f>
        <v>Toàn Phát - Việt Nam</v>
      </c>
      <c r="B948" s="587" t="str">
        <f ca="1">IFERROR(__xludf.DUMMYFUNCTION("""COMPUTED_VALUE"""),"ĐTPBANH")</f>
        <v>ĐTPBANH</v>
      </c>
      <c r="C948" s="587" t="str">
        <f ca="1">IFERROR(__xludf.DUMMYFUNCTION("""COMPUTED_VALUE"""),"DOLWC1905x08")</f>
        <v>DOLWC1905x08</v>
      </c>
      <c r="D948" s="588" t="str">
        <f ca="1">IFERROR(__xludf.DUMMYFUNCTION("""COMPUTED_VALUE"""),"Đồng ống cuộn LWC 19.05x0.8")</f>
        <v>Đồng ống cuộn LWC 19.05x0.8</v>
      </c>
      <c r="E948" s="589">
        <f ca="1">IFERROR(__xludf.DUMMYFUNCTION("""COMPUTED_VALUE"""),0.1)</f>
        <v>0.1</v>
      </c>
      <c r="F948" s="590" t="str">
        <f ca="1">IFERROR(__xludf.DUMMYFUNCTION("""COMPUTED_VALUE"""),"m")</f>
        <v>m</v>
      </c>
      <c r="G948" s="590" t="str">
        <f ca="1">IFERROR(__xludf.DUMMYFUNCTION("""COMPUTED_VALUE"""),"m")</f>
        <v>m</v>
      </c>
      <c r="H948" s="588"/>
      <c r="I948" s="591">
        <f ca="1">IFERROR(__xludf.DUMMYFUNCTION("""COMPUTED_VALUE"""),0.423108)</f>
        <v>0.42310799999999998</v>
      </c>
      <c r="J948" s="592" t="str">
        <f ca="1">IFERROR(__xludf.DUMMYFUNCTION("""COMPUTED_VALUE""")," 19.05 ")</f>
        <v xml:space="preserve"> 19.05 </v>
      </c>
      <c r="K948" s="590" t="str">
        <f ca="1">IFERROR(__xludf.DUMMYFUNCTION("""COMPUTED_VALUE"""),"0.80")</f>
        <v>0.80</v>
      </c>
      <c r="L948" s="590">
        <f ca="1">IFERROR(__xludf.DUMMYFUNCTION("""COMPUTED_VALUE"""),1)</f>
        <v>1</v>
      </c>
      <c r="M948" s="590"/>
      <c r="N948" s="590" t="str">
        <f ca="1">IFERROR(__xludf.DUMMYFUNCTION("""COMPUTED_VALUE"""),"Dị_D&lt;54")</f>
        <v>Dị_D&lt;54</v>
      </c>
      <c r="O948" s="589"/>
      <c r="P948" s="590"/>
    </row>
    <row r="949" spans="1:17" ht="15.75">
      <c r="A949" s="581" t="str">
        <f ca="1">IFERROR(__xludf.DUMMYFUNCTION("""COMPUTED_VALUE"""),"Toàn Phát - Việt Nam")</f>
        <v>Toàn Phát - Việt Nam</v>
      </c>
      <c r="B949" s="581" t="str">
        <f ca="1">IFERROR(__xludf.DUMMYFUNCTION("""COMPUTED_VALUE"""),"ĐTPBANH")</f>
        <v>ĐTPBANH</v>
      </c>
      <c r="C949" s="581" t="str">
        <f ca="1">IFERROR(__xludf.DUMMYFUNCTION("""COMPUTED_VALUE"""),"DOBKILWC1905081")</f>
        <v>DOBKILWC1905081</v>
      </c>
      <c r="D949" s="582" t="str">
        <f ca="1">IFERROR(__xludf.DUMMYFUNCTION("""COMPUTED_VALUE"""),"Đồng ống LWC KHÔNG IN 19.05x0.81")</f>
        <v>Đồng ống LWC KHÔNG IN 19.05x0.81</v>
      </c>
      <c r="E949" s="583">
        <f ca="1">IFERROR(__xludf.DUMMYFUNCTION("""COMPUTED_VALUE"""),0.1)</f>
        <v>0.1</v>
      </c>
      <c r="F949" s="584" t="str">
        <f ca="1">IFERROR(__xludf.DUMMYFUNCTION("""COMPUTED_VALUE"""),"m")</f>
        <v>m</v>
      </c>
      <c r="G949" s="584" t="str">
        <f ca="1">IFERROR(__xludf.DUMMYFUNCTION("""COMPUTED_VALUE"""),"m")</f>
        <v>m</v>
      </c>
      <c r="H949" s="582"/>
      <c r="I949" s="585">
        <f ca="1">IFERROR(__xludf.DUMMYFUNCTION("""COMPUTED_VALUE"""),0.428162112)</f>
        <v>0.42816211199999998</v>
      </c>
      <c r="J949" s="586" t="str">
        <f ca="1">IFERROR(__xludf.DUMMYFUNCTION("""COMPUTED_VALUE""")," 19.05 ")</f>
        <v xml:space="preserve"> 19.05 </v>
      </c>
      <c r="K949" s="584" t="str">
        <f ca="1">IFERROR(__xludf.DUMMYFUNCTION("""COMPUTED_VALUE"""),"0.81")</f>
        <v>0.81</v>
      </c>
      <c r="L949" s="584">
        <f ca="1">IFERROR(__xludf.DUMMYFUNCTION("""COMPUTED_VALUE"""),1)</f>
        <v>1</v>
      </c>
      <c r="M949" s="584"/>
      <c r="N949" s="584" t="str">
        <f ca="1">IFERROR(__xludf.DUMMYFUNCTION("""COMPUTED_VALUE"""),"Dị_D&lt;54")</f>
        <v>Dị_D&lt;54</v>
      </c>
      <c r="O949" s="583">
        <f ca="1">IFERROR(__xludf.DUMMYFUNCTION("""COMPUTED_VALUE"""),1)</f>
        <v>1</v>
      </c>
      <c r="P949" s="584"/>
    </row>
    <row r="950" spans="1:17" ht="15.75">
      <c r="A950" s="587" t="str">
        <f ca="1">IFERROR(__xludf.DUMMYFUNCTION("""COMPUTED_VALUE"""),"Toàn Phát - Việt Nam")</f>
        <v>Toàn Phát - Việt Nam</v>
      </c>
      <c r="B950" s="587" t="str">
        <f ca="1">IFERROR(__xludf.DUMMYFUNCTION("""COMPUTED_VALUE"""),"ĐTPBANH")</f>
        <v>ĐTPBANH</v>
      </c>
      <c r="C950" s="587" t="str">
        <f ca="1">IFERROR(__xludf.DUMMYFUNCTION("""COMPUTED_VALUE"""),"DOLWC1905100")</f>
        <v>DOLWC1905100</v>
      </c>
      <c r="D950" s="588" t="str">
        <f ca="1">IFERROR(__xludf.DUMMYFUNCTION("""COMPUTED_VALUE"""),"Đồng ống LWC 19.05x1.00")</f>
        <v>Đồng ống LWC 19.05x1.00</v>
      </c>
      <c r="E950" s="589">
        <f ca="1">IFERROR(__xludf.DUMMYFUNCTION("""COMPUTED_VALUE"""),0.1)</f>
        <v>0.1</v>
      </c>
      <c r="F950" s="590" t="str">
        <f ca="1">IFERROR(__xludf.DUMMYFUNCTION("""COMPUTED_VALUE"""),"m")</f>
        <v>m</v>
      </c>
      <c r="G950" s="590" t="str">
        <f ca="1">IFERROR(__xludf.DUMMYFUNCTION("""COMPUTED_VALUE"""),"m")</f>
        <v>m</v>
      </c>
      <c r="H950" s="588"/>
      <c r="I950" s="591">
        <f ca="1">IFERROR(__xludf.DUMMYFUNCTION("""COMPUTED_VALUE"""),0.523089)</f>
        <v>0.52308900000000003</v>
      </c>
      <c r="J950" s="592" t="str">
        <f ca="1">IFERROR(__xludf.DUMMYFUNCTION("""COMPUTED_VALUE""")," 19.05 ")</f>
        <v xml:space="preserve"> 19.05 </v>
      </c>
      <c r="K950" s="590" t="str">
        <f ca="1">IFERROR(__xludf.DUMMYFUNCTION("""COMPUTED_VALUE"""),"1.00")</f>
        <v>1.00</v>
      </c>
      <c r="L950" s="590">
        <f ca="1">IFERROR(__xludf.DUMMYFUNCTION("""COMPUTED_VALUE"""),1)</f>
        <v>1</v>
      </c>
      <c r="M950" s="590"/>
      <c r="N950" s="590" t="str">
        <f ca="1">IFERROR(__xludf.DUMMYFUNCTION("""COMPUTED_VALUE"""),"Không")</f>
        <v>Không</v>
      </c>
      <c r="O950" s="589"/>
      <c r="P950" s="590"/>
      <c r="Q950" s="885">
        <f ca="1">+$Q$5*I950</f>
        <v>120.31047</v>
      </c>
    </row>
    <row r="951" spans="1:17" ht="15.75">
      <c r="A951" s="581" t="str">
        <f ca="1">IFERROR(__xludf.DUMMYFUNCTION("""COMPUTED_VALUE"""),"Toàn Phát - Việt Nam")</f>
        <v>Toàn Phát - Việt Nam</v>
      </c>
      <c r="B951" s="581" t="str">
        <f ca="1">IFERROR(__xludf.DUMMYFUNCTION("""COMPUTED_VALUE"""),"ĐTPBANH")</f>
        <v>ĐTPBANH</v>
      </c>
      <c r="C951" s="581" t="str">
        <f ca="1">IFERROR(__xludf.DUMMYFUNCTION("""COMPUTED_VALUE"""),"DOLWC1905102")</f>
        <v>DOLWC1905102</v>
      </c>
      <c r="D951" s="582" t="str">
        <f ca="1">IFERROR(__xludf.DUMMYFUNCTION("""COMPUTED_VALUE"""),"Đồng ống cuộn LWC 19.05x1.02")</f>
        <v>Đồng ống cuộn LWC 19.05x1.02</v>
      </c>
      <c r="E951" s="583">
        <f ca="1">IFERROR(__xludf.DUMMYFUNCTION("""COMPUTED_VALUE"""),0.1)</f>
        <v>0.1</v>
      </c>
      <c r="F951" s="584" t="str">
        <f ca="1">IFERROR(__xludf.DUMMYFUNCTION("""COMPUTED_VALUE"""),"m")</f>
        <v>m</v>
      </c>
      <c r="G951" s="584" t="str">
        <f ca="1">IFERROR(__xludf.DUMMYFUNCTION("""COMPUTED_VALUE"""),"m")</f>
        <v>m</v>
      </c>
      <c r="H951" s="582"/>
      <c r="I951" s="585">
        <f ca="1">IFERROR(__xludf.DUMMYFUNCTION("""COMPUTED_VALUE"""),0.532959588)</f>
        <v>0.53295958799999998</v>
      </c>
      <c r="J951" s="586" t="str">
        <f ca="1">IFERROR(__xludf.DUMMYFUNCTION("""COMPUTED_VALUE""")," 19.05 ")</f>
        <v xml:space="preserve"> 19.05 </v>
      </c>
      <c r="K951" s="584" t="str">
        <f ca="1">IFERROR(__xludf.DUMMYFUNCTION("""COMPUTED_VALUE"""),"1.02")</f>
        <v>1.02</v>
      </c>
      <c r="L951" s="584">
        <f ca="1">IFERROR(__xludf.DUMMYFUNCTION("""COMPUTED_VALUE"""),1)</f>
        <v>1</v>
      </c>
      <c r="M951" s="584"/>
      <c r="N951" s="584" t="str">
        <f ca="1">IFERROR(__xludf.DUMMYFUNCTION("""COMPUTED_VALUE"""),"Dị_D&lt;54")</f>
        <v>Dị_D&lt;54</v>
      </c>
      <c r="O951" s="583"/>
      <c r="P951" s="584"/>
    </row>
    <row r="952" spans="1:17" ht="15.75">
      <c r="A952" s="587" t="str">
        <f ca="1">IFERROR(__xludf.DUMMYFUNCTION("""COMPUTED_VALUE"""),"Ruby")</f>
        <v>Ruby</v>
      </c>
      <c r="B952" s="587" t="str">
        <f ca="1">IFERROR(__xludf.DUMMYFUNCTION("""COMPUTED_VALUE"""),"ĐTPCUONDI")</f>
        <v>ĐTPCUONDI</v>
      </c>
      <c r="C952" s="587" t="str">
        <f ca="1">IFERROR(__xludf.DUMMYFUNCTION("""COMPUTED_VALUE"""),"DOCRB0635056")</f>
        <v>DOCRB0635056</v>
      </c>
      <c r="D952" s="588" t="str">
        <f ca="1">IFERROR(__xludf.DUMMYFUNCTION("""COMPUTED_VALUE"""),"Đồng ống RUBY PC 06.35x0.56")</f>
        <v>Đồng ống RUBY PC 06.35x0.56</v>
      </c>
      <c r="E952" s="589">
        <f ca="1">IFERROR(__xludf.DUMMYFUNCTION("""COMPUTED_VALUE"""),0.1)</f>
        <v>0.1</v>
      </c>
      <c r="F952" s="590" t="str">
        <f ca="1">IFERROR(__xludf.DUMMYFUNCTION("""COMPUTED_VALUE"""),"Cuộn")</f>
        <v>Cuộn</v>
      </c>
      <c r="G952" s="590" t="str">
        <f ca="1">IFERROR(__xludf.DUMMYFUNCTION("""COMPUTED_VALUE"""),"Cuộn 15m")</f>
        <v>Cuộn 15m</v>
      </c>
      <c r="H952" s="588"/>
      <c r="I952" s="591">
        <f ca="1">IFERROR(__xludf.DUMMYFUNCTION("""COMPUTED_VALUE"""),1.361808)</f>
        <v>1.3618079999999999</v>
      </c>
      <c r="J952" s="592" t="str">
        <f ca="1">IFERROR(__xludf.DUMMYFUNCTION("""COMPUTED_VALUE""")," 06.35 ")</f>
        <v xml:space="preserve"> 06.35 </v>
      </c>
      <c r="K952" s="590" t="str">
        <f ca="1">IFERROR(__xludf.DUMMYFUNCTION("""COMPUTED_VALUE"""),"0.56")</f>
        <v>0.56</v>
      </c>
      <c r="L952" s="590">
        <f ca="1">IFERROR(__xludf.DUMMYFUNCTION("""COMPUTED_VALUE"""),15)</f>
        <v>15</v>
      </c>
      <c r="M952" s="590"/>
      <c r="N952" s="590" t="str">
        <f ca="1">IFERROR(__xludf.DUMMYFUNCTION("""COMPUTED_VALUE"""),"Dị_D&lt;54")</f>
        <v>Dị_D&lt;54</v>
      </c>
      <c r="O952" s="589"/>
      <c r="P952" s="590"/>
    </row>
    <row r="953" spans="1:17" ht="15.75">
      <c r="A953" s="581" t="str">
        <f ca="1">IFERROR(__xludf.DUMMYFUNCTION("""COMPUTED_VALUE"""),"Ruby")</f>
        <v>Ruby</v>
      </c>
      <c r="B953" s="581" t="str">
        <f ca="1">IFERROR(__xludf.DUMMYFUNCTION("""COMPUTED_VALUE"""),"ĐTPCUONDI")</f>
        <v>ĐTPCUONDI</v>
      </c>
      <c r="C953" s="581" t="str">
        <f ca="1">IFERROR(__xludf.DUMMYFUNCTION("""COMPUTED_VALUE"""),"DOCRB0635061")</f>
        <v>DOCRB0635061</v>
      </c>
      <c r="D953" s="582" t="str">
        <f ca="1">IFERROR(__xludf.DUMMYFUNCTION("""COMPUTED_VALUE"""),"Đồng ống RUBY PC 06.35x0.61")</f>
        <v>Đồng ống RUBY PC 06.35x0.61</v>
      </c>
      <c r="E953" s="583">
        <f ca="1">IFERROR(__xludf.DUMMYFUNCTION("""COMPUTED_VALUE"""),0.1)</f>
        <v>0.1</v>
      </c>
      <c r="F953" s="584" t="str">
        <f ca="1">IFERROR(__xludf.DUMMYFUNCTION("""COMPUTED_VALUE"""),"Cuộn")</f>
        <v>Cuộn</v>
      </c>
      <c r="G953" s="584" t="str">
        <f ca="1">IFERROR(__xludf.DUMMYFUNCTION("""COMPUTED_VALUE"""),"Cuộn 15m")</f>
        <v>Cuộn 15m</v>
      </c>
      <c r="H953" s="582"/>
      <c r="I953" s="585">
        <f ca="1">IFERROR(__xludf.DUMMYFUNCTION("""COMPUTED_VALUE"""),1.47058799999999)</f>
        <v>1.47058799999999</v>
      </c>
      <c r="J953" s="586" t="str">
        <f ca="1">IFERROR(__xludf.DUMMYFUNCTION("""COMPUTED_VALUE""")," 06.35 ")</f>
        <v xml:space="preserve"> 06.35 </v>
      </c>
      <c r="K953" s="584" t="str">
        <f ca="1">IFERROR(__xludf.DUMMYFUNCTION("""COMPUTED_VALUE"""),"0.61")</f>
        <v>0.61</v>
      </c>
      <c r="L953" s="584">
        <f ca="1">IFERROR(__xludf.DUMMYFUNCTION("""COMPUTED_VALUE"""),15)</f>
        <v>15</v>
      </c>
      <c r="M953" s="584"/>
      <c r="N953" s="584" t="str">
        <f ca="1">IFERROR(__xludf.DUMMYFUNCTION("""COMPUTED_VALUE"""),"Dị_D&lt;54")</f>
        <v>Dị_D&lt;54</v>
      </c>
      <c r="O953" s="583">
        <f ca="1">IFERROR(__xludf.DUMMYFUNCTION("""COMPUTED_VALUE"""),1)</f>
        <v>1</v>
      </c>
      <c r="P953" s="584"/>
    </row>
    <row r="954" spans="1:17" ht="15.75">
      <c r="A954" s="587" t="str">
        <f ca="1">IFERROR(__xludf.DUMMYFUNCTION("""COMPUTED_VALUE"""),"Ruby")</f>
        <v>Ruby</v>
      </c>
      <c r="B954" s="587" t="str">
        <f ca="1">IFERROR(__xludf.DUMMYFUNCTION("""COMPUTED_VALUE"""),"ĐTPCUONDI")</f>
        <v>ĐTPCUONDI</v>
      </c>
      <c r="C954" s="587" t="str">
        <f ca="1">IFERROR(__xludf.DUMMYFUNCTION("""COMPUTED_VALUE"""),"DOCRB0635071")</f>
        <v>DOCRB0635071</v>
      </c>
      <c r="D954" s="588" t="str">
        <f ca="1">IFERROR(__xludf.DUMMYFUNCTION("""COMPUTED_VALUE"""),"Đồng ống RUBY PC 06.35x0.71")</f>
        <v>Đồng ống RUBY PC 06.35x0.71</v>
      </c>
      <c r="E954" s="589">
        <f ca="1">IFERROR(__xludf.DUMMYFUNCTION("""COMPUTED_VALUE"""),0.1)</f>
        <v>0.1</v>
      </c>
      <c r="F954" s="590" t="str">
        <f ca="1">IFERROR(__xludf.DUMMYFUNCTION("""COMPUTED_VALUE"""),"Cuộn")</f>
        <v>Cuộn</v>
      </c>
      <c r="G954" s="590" t="str">
        <f ca="1">IFERROR(__xludf.DUMMYFUNCTION("""COMPUTED_VALUE"""),"Cuộn 15m")</f>
        <v>Cuộn 15m</v>
      </c>
      <c r="H954" s="588"/>
      <c r="I954" s="591">
        <f ca="1">IFERROR(__xludf.DUMMYFUNCTION("""COMPUTED_VALUE"""),1.68184799999999)</f>
        <v>1.68184799999999</v>
      </c>
      <c r="J954" s="592" t="str">
        <f ca="1">IFERROR(__xludf.DUMMYFUNCTION("""COMPUTED_VALUE""")," 06.35 ")</f>
        <v xml:space="preserve"> 06.35 </v>
      </c>
      <c r="K954" s="590" t="str">
        <f ca="1">IFERROR(__xludf.DUMMYFUNCTION("""COMPUTED_VALUE"""),"0.71")</f>
        <v>0.71</v>
      </c>
      <c r="L954" s="590">
        <f ca="1">IFERROR(__xludf.DUMMYFUNCTION("""COMPUTED_VALUE"""),15)</f>
        <v>15</v>
      </c>
      <c r="M954" s="590"/>
      <c r="N954" s="590" t="str">
        <f ca="1">IFERROR(__xludf.DUMMYFUNCTION("""COMPUTED_VALUE"""),"Dị_D&lt;54")</f>
        <v>Dị_D&lt;54</v>
      </c>
      <c r="O954" s="589">
        <f ca="1">IFERROR(__xludf.DUMMYFUNCTION("""COMPUTED_VALUE"""),1)</f>
        <v>1</v>
      </c>
      <c r="P954" s="590"/>
    </row>
    <row r="955" spans="1:17" ht="15.75">
      <c r="A955" s="581" t="str">
        <f ca="1">IFERROR(__xludf.DUMMYFUNCTION("""COMPUTED_VALUE"""),"Ruby")</f>
        <v>Ruby</v>
      </c>
      <c r="B955" s="581" t="str">
        <f ca="1">IFERROR(__xludf.DUMMYFUNCTION("""COMPUTED_VALUE"""),"ĐTPCUONDI")</f>
        <v>ĐTPCUONDI</v>
      </c>
      <c r="C955" s="581" t="str">
        <f ca="1">IFERROR(__xludf.DUMMYFUNCTION("""COMPUTED_VALUE"""),"DOCRB063507150")</f>
        <v>DOCRB063507150</v>
      </c>
      <c r="D955" s="582" t="str">
        <f ca="1">IFERROR(__xludf.DUMMYFUNCTION("""COMPUTED_VALUE"""),"Đồng ống RUBY PC 06.35x0.71x50")</f>
        <v>Đồng ống RUBY PC 06.35x0.71x50</v>
      </c>
      <c r="E955" s="583">
        <f ca="1">IFERROR(__xludf.DUMMYFUNCTION("""COMPUTED_VALUE"""),0.1)</f>
        <v>0.1</v>
      </c>
      <c r="F955" s="584" t="str">
        <f ca="1">IFERROR(__xludf.DUMMYFUNCTION("""COMPUTED_VALUE"""),"Cuộn")</f>
        <v>Cuộn</v>
      </c>
      <c r="G955" s="584" t="str">
        <f ca="1">IFERROR(__xludf.DUMMYFUNCTION("""COMPUTED_VALUE"""),"Cuộn 50m")</f>
        <v>Cuộn 50m</v>
      </c>
      <c r="H955" s="582"/>
      <c r="I955" s="585">
        <f ca="1">IFERROR(__xludf.DUMMYFUNCTION("""COMPUTED_VALUE"""),5.60616)</f>
        <v>5.60616</v>
      </c>
      <c r="J955" s="586" t="str">
        <f ca="1">IFERROR(__xludf.DUMMYFUNCTION("""COMPUTED_VALUE""")," 06.35 ")</f>
        <v xml:space="preserve"> 06.35 </v>
      </c>
      <c r="K955" s="584" t="str">
        <f ca="1">IFERROR(__xludf.DUMMYFUNCTION("""COMPUTED_VALUE"""),"0.71")</f>
        <v>0.71</v>
      </c>
      <c r="L955" s="584">
        <f ca="1">IFERROR(__xludf.DUMMYFUNCTION("""COMPUTED_VALUE"""),50)</f>
        <v>50</v>
      </c>
      <c r="M955" s="584"/>
      <c r="N955" s="584" t="str">
        <f ca="1">IFERROR(__xludf.DUMMYFUNCTION("""COMPUTED_VALUE"""),"Dị_D&lt;54")</f>
        <v>Dị_D&lt;54</v>
      </c>
      <c r="O955" s="583"/>
      <c r="P955" s="584"/>
    </row>
    <row r="956" spans="1:17" ht="15.75">
      <c r="A956" s="587" t="str">
        <f ca="1">IFERROR(__xludf.DUMMYFUNCTION("""COMPUTED_VALUE"""),"Ruby")</f>
        <v>Ruby</v>
      </c>
      <c r="B956" s="587" t="str">
        <f ca="1">IFERROR(__xludf.DUMMYFUNCTION("""COMPUTED_VALUE"""),"ĐTPCUONDI")</f>
        <v>ĐTPCUONDI</v>
      </c>
      <c r="C956" s="587" t="str">
        <f ca="1">IFERROR(__xludf.DUMMYFUNCTION("""COMPUTED_VALUE"""),"DOCRB0635072")</f>
        <v>DOCRB0635072</v>
      </c>
      <c r="D956" s="588" t="str">
        <f ca="1">IFERROR(__xludf.DUMMYFUNCTION("""COMPUTED_VALUE"""),"Đồng ống RUBY PC 06.35x0.72")</f>
        <v>Đồng ống RUBY PC 06.35x0.72</v>
      </c>
      <c r="E956" s="589">
        <f ca="1">IFERROR(__xludf.DUMMYFUNCTION("""COMPUTED_VALUE"""),0.1)</f>
        <v>0.1</v>
      </c>
      <c r="F956" s="590" t="str">
        <f ca="1">IFERROR(__xludf.DUMMYFUNCTION("""COMPUTED_VALUE"""),"Cuộn")</f>
        <v>Cuộn</v>
      </c>
      <c r="G956" s="590" t="str">
        <f ca="1">IFERROR(__xludf.DUMMYFUNCTION("""COMPUTED_VALUE"""),"Cuộn 15m")</f>
        <v>Cuộn 15m</v>
      </c>
      <c r="H956" s="588"/>
      <c r="I956" s="591">
        <f ca="1">IFERROR(__xludf.DUMMYFUNCTION("""COMPUTED_VALUE"""),1.70251199999999)</f>
        <v>1.70251199999999</v>
      </c>
      <c r="J956" s="592" t="str">
        <f ca="1">IFERROR(__xludf.DUMMYFUNCTION("""COMPUTED_VALUE""")," 06.35 ")</f>
        <v xml:space="preserve"> 06.35 </v>
      </c>
      <c r="K956" s="590" t="str">
        <f ca="1">IFERROR(__xludf.DUMMYFUNCTION("""COMPUTED_VALUE"""),"0.72")</f>
        <v>0.72</v>
      </c>
      <c r="L956" s="590">
        <f ca="1">IFERROR(__xludf.DUMMYFUNCTION("""COMPUTED_VALUE"""),15)</f>
        <v>15</v>
      </c>
      <c r="M956" s="590"/>
      <c r="N956" s="590" t="str">
        <f ca="1">IFERROR(__xludf.DUMMYFUNCTION("""COMPUTED_VALUE"""),"Dị_D&lt;54")</f>
        <v>Dị_D&lt;54</v>
      </c>
      <c r="O956" s="589"/>
      <c r="P956" s="590"/>
    </row>
    <row r="957" spans="1:17" ht="15.75">
      <c r="A957" s="581" t="str">
        <f ca="1">IFERROR(__xludf.DUMMYFUNCTION("""COMPUTED_VALUE"""),"Ruby")</f>
        <v>Ruby</v>
      </c>
      <c r="B957" s="581" t="str">
        <f ca="1">IFERROR(__xludf.DUMMYFUNCTION("""COMPUTED_VALUE"""),"ĐTPCUONDI")</f>
        <v>ĐTPCUONDI</v>
      </c>
      <c r="C957" s="581" t="str">
        <f ca="1">IFERROR(__xludf.DUMMYFUNCTION("""COMPUTED_VALUE"""),"DOCRB0635081")</f>
        <v>DOCRB0635081</v>
      </c>
      <c r="D957" s="582" t="str">
        <f ca="1">IFERROR(__xludf.DUMMYFUNCTION("""COMPUTED_VALUE"""),"Đồng ống RUBY PC 06.35x0.81")</f>
        <v>Đồng ống RUBY PC 06.35x0.81</v>
      </c>
      <c r="E957" s="583">
        <f ca="1">IFERROR(__xludf.DUMMYFUNCTION("""COMPUTED_VALUE"""),0.1)</f>
        <v>0.1</v>
      </c>
      <c r="F957" s="584" t="str">
        <f ca="1">IFERROR(__xludf.DUMMYFUNCTION("""COMPUTED_VALUE"""),"Cuộn")</f>
        <v>Cuộn</v>
      </c>
      <c r="G957" s="584" t="str">
        <f ca="1">IFERROR(__xludf.DUMMYFUNCTION("""COMPUTED_VALUE"""),"Cuộn 15m")</f>
        <v>Cuộn 15m</v>
      </c>
      <c r="H957" s="582"/>
      <c r="I957" s="585">
        <f ca="1">IFERROR(__xludf.DUMMYFUNCTION("""COMPUTED_VALUE"""),1.88470799999999)</f>
        <v>1.8847079999999901</v>
      </c>
      <c r="J957" s="586" t="str">
        <f ca="1">IFERROR(__xludf.DUMMYFUNCTION("""COMPUTED_VALUE""")," 06.35 ")</f>
        <v xml:space="preserve"> 06.35 </v>
      </c>
      <c r="K957" s="584" t="str">
        <f ca="1">IFERROR(__xludf.DUMMYFUNCTION("""COMPUTED_VALUE"""),"0.81")</f>
        <v>0.81</v>
      </c>
      <c r="L957" s="584">
        <f ca="1">IFERROR(__xludf.DUMMYFUNCTION("""COMPUTED_VALUE"""),15)</f>
        <v>15</v>
      </c>
      <c r="M957" s="584"/>
      <c r="N957" s="584" t="str">
        <f ca="1">IFERROR(__xludf.DUMMYFUNCTION("""COMPUTED_VALUE"""),"Dị_D&lt;54")</f>
        <v>Dị_D&lt;54</v>
      </c>
      <c r="O957" s="583">
        <f ca="1">IFERROR(__xludf.DUMMYFUNCTION("""COMPUTED_VALUE"""),1)</f>
        <v>1</v>
      </c>
      <c r="P957" s="584"/>
    </row>
    <row r="958" spans="1:17" ht="15.75">
      <c r="A958" s="587" t="str">
        <f ca="1">IFERROR(__xludf.DUMMYFUNCTION("""COMPUTED_VALUE"""),"Ruby")</f>
        <v>Ruby</v>
      </c>
      <c r="B958" s="587" t="str">
        <f ca="1">IFERROR(__xludf.DUMMYFUNCTION("""COMPUTED_VALUE"""),"ĐTPCUONDI")</f>
        <v>ĐTPCUONDI</v>
      </c>
      <c r="C958" s="587" t="str">
        <f ca="1">IFERROR(__xludf.DUMMYFUNCTION("""COMPUTED_VALUE"""),"DOCRB063508150")</f>
        <v>DOCRB063508150</v>
      </c>
      <c r="D958" s="588" t="str">
        <f ca="1">IFERROR(__xludf.DUMMYFUNCTION("""COMPUTED_VALUE"""),"Đồng ống RUBY PC 06.35x0.81x50")</f>
        <v>Đồng ống RUBY PC 06.35x0.81x50</v>
      </c>
      <c r="E958" s="589">
        <f ca="1">IFERROR(__xludf.DUMMYFUNCTION("""COMPUTED_VALUE"""),0.1)</f>
        <v>0.1</v>
      </c>
      <c r="F958" s="590" t="str">
        <f ca="1">IFERROR(__xludf.DUMMYFUNCTION("""COMPUTED_VALUE"""),"Cuộn")</f>
        <v>Cuộn</v>
      </c>
      <c r="G958" s="590" t="str">
        <f ca="1">IFERROR(__xludf.DUMMYFUNCTION("""COMPUTED_VALUE"""),"Cuộn 50m")</f>
        <v>Cuộn 50m</v>
      </c>
      <c r="H958" s="588"/>
      <c r="I958" s="591">
        <f ca="1">IFERROR(__xludf.DUMMYFUNCTION("""COMPUTED_VALUE"""),6.28236)</f>
        <v>6.2823599999999997</v>
      </c>
      <c r="J958" s="592" t="str">
        <f ca="1">IFERROR(__xludf.DUMMYFUNCTION("""COMPUTED_VALUE""")," 06.35 ")</f>
        <v xml:space="preserve"> 06.35 </v>
      </c>
      <c r="K958" s="590" t="str">
        <f ca="1">IFERROR(__xludf.DUMMYFUNCTION("""COMPUTED_VALUE"""),"0.81")</f>
        <v>0.81</v>
      </c>
      <c r="L958" s="590">
        <f ca="1">IFERROR(__xludf.DUMMYFUNCTION("""COMPUTED_VALUE"""),50)</f>
        <v>50</v>
      </c>
      <c r="M958" s="590"/>
      <c r="N958" s="590" t="str">
        <f ca="1">IFERROR(__xludf.DUMMYFUNCTION("""COMPUTED_VALUE"""),"Dị_D&lt;54")</f>
        <v>Dị_D&lt;54</v>
      </c>
      <c r="O958" s="589"/>
      <c r="P958" s="590"/>
    </row>
    <row r="959" spans="1:17" ht="15.75">
      <c r="A959" s="581" t="str">
        <f ca="1">IFERROR(__xludf.DUMMYFUNCTION("""COMPUTED_VALUE"""),"Ruby")</f>
        <v>Ruby</v>
      </c>
      <c r="B959" s="581" t="str">
        <f ca="1">IFERROR(__xludf.DUMMYFUNCTION("""COMPUTED_VALUE"""),"ĐTPCUONDI")</f>
        <v>ĐTPCUONDI</v>
      </c>
      <c r="C959" s="581" t="str">
        <f ca="1">IFERROR(__xludf.DUMMYFUNCTION("""COMPUTED_VALUE"""),"DOCRB0952061")</f>
        <v>DOCRB0952061</v>
      </c>
      <c r="D959" s="582" t="str">
        <f ca="1">IFERROR(__xludf.DUMMYFUNCTION("""COMPUTED_VALUE"""),"Đồng ống RUBY PC 09.52x0.61")</f>
        <v>Đồng ống RUBY PC 09.52x0.61</v>
      </c>
      <c r="E959" s="583">
        <f ca="1">IFERROR(__xludf.DUMMYFUNCTION("""COMPUTED_VALUE"""),0.1)</f>
        <v>0.1</v>
      </c>
      <c r="F959" s="584" t="str">
        <f ca="1">IFERROR(__xludf.DUMMYFUNCTION("""COMPUTED_VALUE"""),"Cuộn")</f>
        <v>Cuộn</v>
      </c>
      <c r="G959" s="584" t="str">
        <f ca="1">IFERROR(__xludf.DUMMYFUNCTION("""COMPUTED_VALUE"""),"Cuộn 15m")</f>
        <v>Cuộn 15m</v>
      </c>
      <c r="H959" s="582"/>
      <c r="I959" s="585">
        <f ca="1">IFERROR(__xludf.DUMMYFUNCTION("""COMPUTED_VALUE"""),2.282742)</f>
        <v>2.2827419999999998</v>
      </c>
      <c r="J959" s="586" t="str">
        <f ca="1">IFERROR(__xludf.DUMMYFUNCTION("""COMPUTED_VALUE""")," 09.52 ")</f>
        <v xml:space="preserve"> 09.52 </v>
      </c>
      <c r="K959" s="584" t="str">
        <f ca="1">IFERROR(__xludf.DUMMYFUNCTION("""COMPUTED_VALUE"""),"0.61")</f>
        <v>0.61</v>
      </c>
      <c r="L959" s="584">
        <f ca="1">IFERROR(__xludf.DUMMYFUNCTION("""COMPUTED_VALUE"""),15)</f>
        <v>15</v>
      </c>
      <c r="M959" s="584"/>
      <c r="N959" s="584" t="str">
        <f ca="1">IFERROR(__xludf.DUMMYFUNCTION("""COMPUTED_VALUE"""),"Dị_D&lt;54")</f>
        <v>Dị_D&lt;54</v>
      </c>
      <c r="O959" s="583">
        <f ca="1">IFERROR(__xludf.DUMMYFUNCTION("""COMPUTED_VALUE"""),1)</f>
        <v>1</v>
      </c>
      <c r="P959" s="584"/>
    </row>
    <row r="960" spans="1:17" ht="15.75">
      <c r="A960" s="587" t="str">
        <f ca="1">IFERROR(__xludf.DUMMYFUNCTION("""COMPUTED_VALUE"""),"Ruby")</f>
        <v>Ruby</v>
      </c>
      <c r="B960" s="587" t="str">
        <f ca="1">IFERROR(__xludf.DUMMYFUNCTION("""COMPUTED_VALUE"""),"ĐTPCUONDI")</f>
        <v>ĐTPCUONDI</v>
      </c>
      <c r="C960" s="587" t="str">
        <f ca="1">IFERROR(__xludf.DUMMYFUNCTION("""COMPUTED_VALUE"""),"DOCRB0952071")</f>
        <v>DOCRB0952071</v>
      </c>
      <c r="D960" s="588" t="str">
        <f ca="1">IFERROR(__xludf.DUMMYFUNCTION("""COMPUTED_VALUE"""),"Đồng ống RUBY PC 09.52x0.71")</f>
        <v>Đồng ống RUBY PC 09.52x0.71</v>
      </c>
      <c r="E960" s="589">
        <f ca="1">IFERROR(__xludf.DUMMYFUNCTION("""COMPUTED_VALUE"""),0.1)</f>
        <v>0.1</v>
      </c>
      <c r="F960" s="590" t="str">
        <f ca="1">IFERROR(__xludf.DUMMYFUNCTION("""COMPUTED_VALUE"""),"Cuộn")</f>
        <v>Cuộn</v>
      </c>
      <c r="G960" s="590" t="str">
        <f ca="1">IFERROR(__xludf.DUMMYFUNCTION("""COMPUTED_VALUE"""),"Cuộn 15m")</f>
        <v>Cuộn 15m</v>
      </c>
      <c r="H960" s="588"/>
      <c r="I960" s="591">
        <f ca="1">IFERROR(__xludf.DUMMYFUNCTION("""COMPUTED_VALUE"""),2.62714199999999)</f>
        <v>2.6271419999999899</v>
      </c>
      <c r="J960" s="592" t="str">
        <f ca="1">IFERROR(__xludf.DUMMYFUNCTION("""COMPUTED_VALUE""")," 09.52 ")</f>
        <v xml:space="preserve"> 09.52 </v>
      </c>
      <c r="K960" s="590" t="str">
        <f ca="1">IFERROR(__xludf.DUMMYFUNCTION("""COMPUTED_VALUE"""),"0.71")</f>
        <v>0.71</v>
      </c>
      <c r="L960" s="590">
        <f ca="1">IFERROR(__xludf.DUMMYFUNCTION("""COMPUTED_VALUE"""),15)</f>
        <v>15</v>
      </c>
      <c r="M960" s="590"/>
      <c r="N960" s="590" t="str">
        <f ca="1">IFERROR(__xludf.DUMMYFUNCTION("""COMPUTED_VALUE"""),"Dị_D&lt;54")</f>
        <v>Dị_D&lt;54</v>
      </c>
      <c r="O960" s="589">
        <f ca="1">IFERROR(__xludf.DUMMYFUNCTION("""COMPUTED_VALUE"""),1)</f>
        <v>1</v>
      </c>
      <c r="P960" s="590"/>
    </row>
    <row r="961" spans="1:16" ht="15.75">
      <c r="A961" s="581" t="str">
        <f ca="1">IFERROR(__xludf.DUMMYFUNCTION("""COMPUTED_VALUE"""),"Ruby")</f>
        <v>Ruby</v>
      </c>
      <c r="B961" s="581" t="str">
        <f ca="1">IFERROR(__xludf.DUMMYFUNCTION("""COMPUTED_VALUE"""),"ĐTPCUONDI")</f>
        <v>ĐTPCUONDI</v>
      </c>
      <c r="C961" s="581" t="str">
        <f ca="1">IFERROR(__xludf.DUMMYFUNCTION("""COMPUTED_VALUE"""),"DOCRB095207150")</f>
        <v>DOCRB095207150</v>
      </c>
      <c r="D961" s="582" t="str">
        <f ca="1">IFERROR(__xludf.DUMMYFUNCTION("""COMPUTED_VALUE"""),"Đồng ống RUBY PC 09.52x0.71x50")</f>
        <v>Đồng ống RUBY PC 09.52x0.71x50</v>
      </c>
      <c r="E961" s="583">
        <f ca="1">IFERROR(__xludf.DUMMYFUNCTION("""COMPUTED_VALUE"""),0.1)</f>
        <v>0.1</v>
      </c>
      <c r="F961" s="584" t="str">
        <f ca="1">IFERROR(__xludf.DUMMYFUNCTION("""COMPUTED_VALUE"""),"Cuộn")</f>
        <v>Cuộn</v>
      </c>
      <c r="G961" s="584" t="str">
        <f ca="1">IFERROR(__xludf.DUMMYFUNCTION("""COMPUTED_VALUE"""),"Cuộn 50m")</f>
        <v>Cuộn 50m</v>
      </c>
      <c r="H961" s="582"/>
      <c r="I961" s="585">
        <f ca="1">IFERROR(__xludf.DUMMYFUNCTION("""COMPUTED_VALUE"""),8.75713999999999)</f>
        <v>8.7571399999999908</v>
      </c>
      <c r="J961" s="586" t="str">
        <f ca="1">IFERROR(__xludf.DUMMYFUNCTION("""COMPUTED_VALUE""")," 09.52 ")</f>
        <v xml:space="preserve"> 09.52 </v>
      </c>
      <c r="K961" s="584" t="str">
        <f ca="1">IFERROR(__xludf.DUMMYFUNCTION("""COMPUTED_VALUE"""),"0.71")</f>
        <v>0.71</v>
      </c>
      <c r="L961" s="584">
        <f ca="1">IFERROR(__xludf.DUMMYFUNCTION("""COMPUTED_VALUE"""),50)</f>
        <v>50</v>
      </c>
      <c r="M961" s="584"/>
      <c r="N961" s="584" t="str">
        <f ca="1">IFERROR(__xludf.DUMMYFUNCTION("""COMPUTED_VALUE"""),"Dị_D&lt;54")</f>
        <v>Dị_D&lt;54</v>
      </c>
      <c r="O961" s="583"/>
      <c r="P961" s="584"/>
    </row>
    <row r="962" spans="1:16" ht="15.75">
      <c r="A962" s="587" t="str">
        <f ca="1">IFERROR(__xludf.DUMMYFUNCTION("""COMPUTED_VALUE"""),"Ruby")</f>
        <v>Ruby</v>
      </c>
      <c r="B962" s="587" t="str">
        <f ca="1">IFERROR(__xludf.DUMMYFUNCTION("""COMPUTED_VALUE"""),"ĐTPCUONDI")</f>
        <v>ĐTPCUONDI</v>
      </c>
      <c r="C962" s="587" t="str">
        <f ca="1">IFERROR(__xludf.DUMMYFUNCTION("""COMPUTED_VALUE"""),"DOCRB0952072")</f>
        <v>DOCRB0952072</v>
      </c>
      <c r="D962" s="588" t="str">
        <f ca="1">IFERROR(__xludf.DUMMYFUNCTION("""COMPUTED_VALUE"""),"Đồng ống RUBY PC 09.52x0.72")</f>
        <v>Đồng ống RUBY PC 09.52x0.72</v>
      </c>
      <c r="E962" s="589">
        <f ca="1">IFERROR(__xludf.DUMMYFUNCTION("""COMPUTED_VALUE"""),0.1)</f>
        <v>0.1</v>
      </c>
      <c r="F962" s="590" t="str">
        <f ca="1">IFERROR(__xludf.DUMMYFUNCTION("""COMPUTED_VALUE"""),"Cuộn")</f>
        <v>Cuộn</v>
      </c>
      <c r="G962" s="590" t="str">
        <f ca="1">IFERROR(__xludf.DUMMYFUNCTION("""COMPUTED_VALUE"""),"Cuộn 15m")</f>
        <v>Cuộn 15m</v>
      </c>
      <c r="H962" s="588"/>
      <c r="I962" s="591">
        <f ca="1">IFERROR(__xludf.DUMMYFUNCTION("""COMPUTED_VALUE"""),2.66112)</f>
        <v>2.6611199999999999</v>
      </c>
      <c r="J962" s="592" t="str">
        <f ca="1">IFERROR(__xludf.DUMMYFUNCTION("""COMPUTED_VALUE""")," 09.52 ")</f>
        <v xml:space="preserve"> 09.52 </v>
      </c>
      <c r="K962" s="590" t="str">
        <f ca="1">IFERROR(__xludf.DUMMYFUNCTION("""COMPUTED_VALUE"""),"0.72")</f>
        <v>0.72</v>
      </c>
      <c r="L962" s="590">
        <f ca="1">IFERROR(__xludf.DUMMYFUNCTION("""COMPUTED_VALUE"""),15)</f>
        <v>15</v>
      </c>
      <c r="M962" s="590"/>
      <c r="N962" s="590" t="str">
        <f ca="1">IFERROR(__xludf.DUMMYFUNCTION("""COMPUTED_VALUE"""),"Dị_D&lt;54")</f>
        <v>Dị_D&lt;54</v>
      </c>
      <c r="O962" s="589"/>
      <c r="P962" s="590"/>
    </row>
    <row r="963" spans="1:16" ht="15.75">
      <c r="A963" s="581" t="str">
        <f ca="1">IFERROR(__xludf.DUMMYFUNCTION("""COMPUTED_VALUE"""),"Ruby")</f>
        <v>Ruby</v>
      </c>
      <c r="B963" s="581" t="str">
        <f ca="1">IFERROR(__xludf.DUMMYFUNCTION("""COMPUTED_VALUE"""),"ĐTPCUONDI")</f>
        <v>ĐTPCUONDI</v>
      </c>
      <c r="C963" s="581" t="str">
        <f ca="1">IFERROR(__xludf.DUMMYFUNCTION("""COMPUTED_VALUE"""),"DOCRB0952081")</f>
        <v>DOCRB0952081</v>
      </c>
      <c r="D963" s="582" t="str">
        <f ca="1">IFERROR(__xludf.DUMMYFUNCTION("""COMPUTED_VALUE"""),"Đồng ống RUBY PC 09.52x0.81")</f>
        <v>Đồng ống RUBY PC 09.52x0.81</v>
      </c>
      <c r="E963" s="583">
        <f ca="1">IFERROR(__xludf.DUMMYFUNCTION("""COMPUTED_VALUE"""),0.1)</f>
        <v>0.1</v>
      </c>
      <c r="F963" s="584" t="str">
        <f ca="1">IFERROR(__xludf.DUMMYFUNCTION("""COMPUTED_VALUE"""),"Cuộn")</f>
        <v>Cuộn</v>
      </c>
      <c r="G963" s="584" t="str">
        <f ca="1">IFERROR(__xludf.DUMMYFUNCTION("""COMPUTED_VALUE"""),"Cuộn 15m")</f>
        <v>Cuộn 15m</v>
      </c>
      <c r="H963" s="582"/>
      <c r="I963" s="585">
        <f ca="1">IFERROR(__xludf.DUMMYFUNCTION("""COMPUTED_VALUE"""),2.963142)</f>
        <v>2.9631419999999999</v>
      </c>
      <c r="J963" s="586" t="str">
        <f ca="1">IFERROR(__xludf.DUMMYFUNCTION("""COMPUTED_VALUE""")," 09.52 ")</f>
        <v xml:space="preserve"> 09.52 </v>
      </c>
      <c r="K963" s="584" t="str">
        <f ca="1">IFERROR(__xludf.DUMMYFUNCTION("""COMPUTED_VALUE"""),"0.81")</f>
        <v>0.81</v>
      </c>
      <c r="L963" s="584">
        <f ca="1">IFERROR(__xludf.DUMMYFUNCTION("""COMPUTED_VALUE"""),15)</f>
        <v>15</v>
      </c>
      <c r="M963" s="584"/>
      <c r="N963" s="584" t="str">
        <f ca="1">IFERROR(__xludf.DUMMYFUNCTION("""COMPUTED_VALUE"""),"Dị_D&lt;54")</f>
        <v>Dị_D&lt;54</v>
      </c>
      <c r="O963" s="583">
        <f ca="1">IFERROR(__xludf.DUMMYFUNCTION("""COMPUTED_VALUE"""),1)</f>
        <v>1</v>
      </c>
      <c r="P963" s="584"/>
    </row>
    <row r="964" spans="1:16" ht="15.75">
      <c r="A964" s="587" t="str">
        <f ca="1">IFERROR(__xludf.DUMMYFUNCTION("""COMPUTED_VALUE"""),"Ruby")</f>
        <v>Ruby</v>
      </c>
      <c r="B964" s="587" t="str">
        <f ca="1">IFERROR(__xludf.DUMMYFUNCTION("""COMPUTED_VALUE"""),"ĐTPCUONDI")</f>
        <v>ĐTPCUONDI</v>
      </c>
      <c r="C964" s="587" t="str">
        <f ca="1">IFERROR(__xludf.DUMMYFUNCTION("""COMPUTED_VALUE"""),"DOCRB095208150")</f>
        <v>DOCRB095208150</v>
      </c>
      <c r="D964" s="588" t="str">
        <f ca="1">IFERROR(__xludf.DUMMYFUNCTION("""COMPUTED_VALUE"""),"Đồng ống RUBY PC 09.52x0.81x50")</f>
        <v>Đồng ống RUBY PC 09.52x0.81x50</v>
      </c>
      <c r="E964" s="589">
        <f ca="1">IFERROR(__xludf.DUMMYFUNCTION("""COMPUTED_VALUE"""),0.1)</f>
        <v>0.1</v>
      </c>
      <c r="F964" s="590" t="str">
        <f ca="1">IFERROR(__xludf.DUMMYFUNCTION("""COMPUTED_VALUE"""),"Cuộn")</f>
        <v>Cuộn</v>
      </c>
      <c r="G964" s="590" t="str">
        <f ca="1">IFERROR(__xludf.DUMMYFUNCTION("""COMPUTED_VALUE"""),"Cuộn 50m")</f>
        <v>Cuộn 50m</v>
      </c>
      <c r="H964" s="588"/>
      <c r="I964" s="591">
        <f ca="1">IFERROR(__xludf.DUMMYFUNCTION("""COMPUTED_VALUE"""),9.87713999999999)</f>
        <v>9.87713999999999</v>
      </c>
      <c r="J964" s="592" t="str">
        <f ca="1">IFERROR(__xludf.DUMMYFUNCTION("""COMPUTED_VALUE""")," 09.52 ")</f>
        <v xml:space="preserve"> 09.52 </v>
      </c>
      <c r="K964" s="590" t="str">
        <f ca="1">IFERROR(__xludf.DUMMYFUNCTION("""COMPUTED_VALUE"""),"0.81")</f>
        <v>0.81</v>
      </c>
      <c r="L964" s="590">
        <f ca="1">IFERROR(__xludf.DUMMYFUNCTION("""COMPUTED_VALUE"""),50)</f>
        <v>50</v>
      </c>
      <c r="M964" s="590"/>
      <c r="N964" s="590" t="str">
        <f ca="1">IFERROR(__xludf.DUMMYFUNCTION("""COMPUTED_VALUE"""),"Dị_D&lt;54")</f>
        <v>Dị_D&lt;54</v>
      </c>
      <c r="O964" s="589"/>
      <c r="P964" s="590"/>
    </row>
    <row r="965" spans="1:16" ht="15.75">
      <c r="A965" s="581" t="str">
        <f ca="1">IFERROR(__xludf.DUMMYFUNCTION("""COMPUTED_VALUE"""),"Ruby")</f>
        <v>Ruby</v>
      </c>
      <c r="B965" s="581" t="str">
        <f ca="1">IFERROR(__xludf.DUMMYFUNCTION("""COMPUTED_VALUE"""),"ĐTPCUONDI")</f>
        <v>ĐTPCUONDI</v>
      </c>
      <c r="C965" s="581" t="str">
        <f ca="1">IFERROR(__xludf.DUMMYFUNCTION("""COMPUTED_VALUE"""),"DOCRB1270055")</f>
        <v>DOCRB1270055</v>
      </c>
      <c r="D965" s="582" t="str">
        <f ca="1">IFERROR(__xludf.DUMMYFUNCTION("""COMPUTED_VALUE"""),"Đồng ống RUBY PC 12.70x0.55")</f>
        <v>Đồng ống RUBY PC 12.70x0.55</v>
      </c>
      <c r="E965" s="583">
        <f ca="1">IFERROR(__xludf.DUMMYFUNCTION("""COMPUTED_VALUE"""),0.1)</f>
        <v>0.1</v>
      </c>
      <c r="F965" s="584" t="str">
        <f ca="1">IFERROR(__xludf.DUMMYFUNCTION("""COMPUTED_VALUE"""),"Cuộn")</f>
        <v>Cuộn</v>
      </c>
      <c r="G965" s="584" t="str">
        <f ca="1">IFERROR(__xludf.DUMMYFUNCTION("""COMPUTED_VALUE"""),"Cuộn 15m")</f>
        <v>Cuộn 15m</v>
      </c>
      <c r="H965" s="582"/>
      <c r="I965" s="585">
        <f ca="1">IFERROR(__xludf.DUMMYFUNCTION("""COMPUTED_VALUE"""),2.80665)</f>
        <v>2.8066499999999999</v>
      </c>
      <c r="J965" s="586" t="str">
        <f ca="1">IFERROR(__xludf.DUMMYFUNCTION("""COMPUTED_VALUE""")," 12.70 ")</f>
        <v xml:space="preserve"> 12.70 </v>
      </c>
      <c r="K965" s="584" t="str">
        <f ca="1">IFERROR(__xludf.DUMMYFUNCTION("""COMPUTED_VALUE"""),"0.55")</f>
        <v>0.55</v>
      </c>
      <c r="L965" s="584">
        <f ca="1">IFERROR(__xludf.DUMMYFUNCTION("""COMPUTED_VALUE"""),15)</f>
        <v>15</v>
      </c>
      <c r="M965" s="584"/>
      <c r="N965" s="584" t="str">
        <f ca="1">IFERROR(__xludf.DUMMYFUNCTION("""COMPUTED_VALUE"""),"Dị_D&lt;54")</f>
        <v>Dị_D&lt;54</v>
      </c>
      <c r="O965" s="583"/>
      <c r="P965" s="584"/>
    </row>
    <row r="966" spans="1:16" ht="15.75">
      <c r="A966" s="587" t="str">
        <f ca="1">IFERROR(__xludf.DUMMYFUNCTION("""COMPUTED_VALUE"""),"Ruby")</f>
        <v>Ruby</v>
      </c>
      <c r="B966" s="587" t="str">
        <f ca="1">IFERROR(__xludf.DUMMYFUNCTION("""COMPUTED_VALUE"""),"ĐTPCUONDI")</f>
        <v>ĐTPCUONDI</v>
      </c>
      <c r="C966" s="587" t="str">
        <f ca="1">IFERROR(__xludf.DUMMYFUNCTION("""COMPUTED_VALUE"""),"DOCRB1270061")</f>
        <v>DOCRB1270061</v>
      </c>
      <c r="D966" s="588" t="str">
        <f ca="1">IFERROR(__xludf.DUMMYFUNCTION("""COMPUTED_VALUE"""),"Đồng ống RUBY PC 12.70x0.61")</f>
        <v>Đồng ống RUBY PC 12.70x0.61</v>
      </c>
      <c r="E966" s="589">
        <f ca="1">IFERROR(__xludf.DUMMYFUNCTION("""COMPUTED_VALUE"""),0.1)</f>
        <v>0.1</v>
      </c>
      <c r="F966" s="590" t="str">
        <f ca="1">IFERROR(__xludf.DUMMYFUNCTION("""COMPUTED_VALUE"""),"Cuộn")</f>
        <v>Cuộn</v>
      </c>
      <c r="G966" s="590" t="str">
        <f ca="1">IFERROR(__xludf.DUMMYFUNCTION("""COMPUTED_VALUE"""),"Cuộn 15m")</f>
        <v>Cuộn 15m</v>
      </c>
      <c r="H966" s="588"/>
      <c r="I966" s="591">
        <f ca="1">IFERROR(__xludf.DUMMYFUNCTION("""COMPUTED_VALUE"""),3.097458)</f>
        <v>3.097458</v>
      </c>
      <c r="J966" s="592" t="str">
        <f ca="1">IFERROR(__xludf.DUMMYFUNCTION("""COMPUTED_VALUE""")," 12.70 ")</f>
        <v xml:space="preserve"> 12.70 </v>
      </c>
      <c r="K966" s="590" t="str">
        <f ca="1">IFERROR(__xludf.DUMMYFUNCTION("""COMPUTED_VALUE"""),"0.61")</f>
        <v>0.61</v>
      </c>
      <c r="L966" s="590">
        <f ca="1">IFERROR(__xludf.DUMMYFUNCTION("""COMPUTED_VALUE"""),15)</f>
        <v>15</v>
      </c>
      <c r="M966" s="590"/>
      <c r="N966" s="590" t="str">
        <f ca="1">IFERROR(__xludf.DUMMYFUNCTION("""COMPUTED_VALUE"""),"Dị_D&lt;54")</f>
        <v>Dị_D&lt;54</v>
      </c>
      <c r="O966" s="589">
        <f ca="1">IFERROR(__xludf.DUMMYFUNCTION("""COMPUTED_VALUE"""),1)</f>
        <v>1</v>
      </c>
      <c r="P966" s="590"/>
    </row>
    <row r="967" spans="1:16" ht="15.75">
      <c r="A967" s="581" t="str">
        <f ca="1">IFERROR(__xludf.DUMMYFUNCTION("""COMPUTED_VALUE"""),"Ruby")</f>
        <v>Ruby</v>
      </c>
      <c r="B967" s="581" t="str">
        <f ca="1">IFERROR(__xludf.DUMMYFUNCTION("""COMPUTED_VALUE"""),"ĐTPCUONDI")</f>
        <v>ĐTPCUONDI</v>
      </c>
      <c r="C967" s="581" t="str">
        <f ca="1">IFERROR(__xludf.DUMMYFUNCTION("""COMPUTED_VALUE"""),"DOCRB1270071")</f>
        <v>DOCRB1270071</v>
      </c>
      <c r="D967" s="582" t="str">
        <f ca="1">IFERROR(__xludf.DUMMYFUNCTION("""COMPUTED_VALUE"""),"Đồng ống RUBY PC 12.70x0.71")</f>
        <v>Đồng ống RUBY PC 12.70x0.71</v>
      </c>
      <c r="E967" s="583">
        <f ca="1">IFERROR(__xludf.DUMMYFUNCTION("""COMPUTED_VALUE"""),0.1)</f>
        <v>0.1</v>
      </c>
      <c r="F967" s="584" t="str">
        <f ca="1">IFERROR(__xludf.DUMMYFUNCTION("""COMPUTED_VALUE"""),"Cuộn")</f>
        <v>Cuộn</v>
      </c>
      <c r="G967" s="584" t="str">
        <f ca="1">IFERROR(__xludf.DUMMYFUNCTION("""COMPUTED_VALUE"""),"Cuộn 15m")</f>
        <v>Cuộn 15m</v>
      </c>
      <c r="H967" s="582"/>
      <c r="I967" s="585">
        <f ca="1">IFERROR(__xludf.DUMMYFUNCTION("""COMPUTED_VALUE"""),3.57541799999999)</f>
        <v>3.5754179999999902</v>
      </c>
      <c r="J967" s="586" t="str">
        <f ca="1">IFERROR(__xludf.DUMMYFUNCTION("""COMPUTED_VALUE""")," 12.70 ")</f>
        <v xml:space="preserve"> 12.70 </v>
      </c>
      <c r="K967" s="584" t="str">
        <f ca="1">IFERROR(__xludf.DUMMYFUNCTION("""COMPUTED_VALUE"""),"0.71")</f>
        <v>0.71</v>
      </c>
      <c r="L967" s="584">
        <f ca="1">IFERROR(__xludf.DUMMYFUNCTION("""COMPUTED_VALUE"""),15)</f>
        <v>15</v>
      </c>
      <c r="M967" s="584"/>
      <c r="N967" s="584" t="str">
        <f ca="1">IFERROR(__xludf.DUMMYFUNCTION("""COMPUTED_VALUE"""),"Dị_D&lt;54")</f>
        <v>Dị_D&lt;54</v>
      </c>
      <c r="O967" s="583">
        <f ca="1">IFERROR(__xludf.DUMMYFUNCTION("""COMPUTED_VALUE"""),1)</f>
        <v>1</v>
      </c>
      <c r="P967" s="584"/>
    </row>
    <row r="968" spans="1:16" ht="15.75">
      <c r="A968" s="587" t="str">
        <f ca="1">IFERROR(__xludf.DUMMYFUNCTION("""COMPUTED_VALUE"""),"Ruby")</f>
        <v>Ruby</v>
      </c>
      <c r="B968" s="587" t="str">
        <f ca="1">IFERROR(__xludf.DUMMYFUNCTION("""COMPUTED_VALUE"""),"ĐTPCUONDI")</f>
        <v>ĐTPCUONDI</v>
      </c>
      <c r="C968" s="587" t="str">
        <f ca="1">IFERROR(__xludf.DUMMYFUNCTION("""COMPUTED_VALUE"""),"DOCRB1270072")</f>
        <v>DOCRB1270072</v>
      </c>
      <c r="D968" s="588" t="str">
        <f ca="1">IFERROR(__xludf.DUMMYFUNCTION("""COMPUTED_VALUE"""),"Đồng ống RUBY PC 12.70x0.72")</f>
        <v>Đồng ống RUBY PC 12.70x0.72</v>
      </c>
      <c r="E968" s="589">
        <f ca="1">IFERROR(__xludf.DUMMYFUNCTION("""COMPUTED_VALUE"""),0.1)</f>
        <v>0.1</v>
      </c>
      <c r="F968" s="590" t="str">
        <f ca="1">IFERROR(__xludf.DUMMYFUNCTION("""COMPUTED_VALUE"""),"Cuộn")</f>
        <v>Cuộn</v>
      </c>
      <c r="G968" s="590" t="str">
        <f ca="1">IFERROR(__xludf.DUMMYFUNCTION("""COMPUTED_VALUE"""),"Cuộn 15m")</f>
        <v>Cuộn 15m</v>
      </c>
      <c r="H968" s="588"/>
      <c r="I968" s="591">
        <f ca="1">IFERROR(__xludf.DUMMYFUNCTION("""COMPUTED_VALUE"""),3.62275199999999)</f>
        <v>3.62275199999999</v>
      </c>
      <c r="J968" s="592" t="str">
        <f ca="1">IFERROR(__xludf.DUMMYFUNCTION("""COMPUTED_VALUE""")," 12.70 ")</f>
        <v xml:space="preserve"> 12.70 </v>
      </c>
      <c r="K968" s="590" t="str">
        <f ca="1">IFERROR(__xludf.DUMMYFUNCTION("""COMPUTED_VALUE"""),"0.72")</f>
        <v>0.72</v>
      </c>
      <c r="L968" s="590">
        <f ca="1">IFERROR(__xludf.DUMMYFUNCTION("""COMPUTED_VALUE"""),15)</f>
        <v>15</v>
      </c>
      <c r="M968" s="590"/>
      <c r="N968" s="590" t="str">
        <f ca="1">IFERROR(__xludf.DUMMYFUNCTION("""COMPUTED_VALUE"""),"Dị_D&lt;54")</f>
        <v>Dị_D&lt;54</v>
      </c>
      <c r="O968" s="589"/>
      <c r="P968" s="590"/>
    </row>
    <row r="969" spans="1:16" ht="15.75">
      <c r="A969" s="581" t="str">
        <f ca="1">IFERROR(__xludf.DUMMYFUNCTION("""COMPUTED_VALUE"""),"Ruby")</f>
        <v>Ruby</v>
      </c>
      <c r="B969" s="581" t="str">
        <f ca="1">IFERROR(__xludf.DUMMYFUNCTION("""COMPUTED_VALUE"""),"ĐTPCUONDI")</f>
        <v>ĐTPCUONDI</v>
      </c>
      <c r="C969" s="581" t="str">
        <f ca="1">IFERROR(__xludf.DUMMYFUNCTION("""COMPUTED_VALUE"""),"DOCRB1270081")</f>
        <v>DOCRB1270081</v>
      </c>
      <c r="D969" s="582" t="str">
        <f ca="1">IFERROR(__xludf.DUMMYFUNCTION("""COMPUTED_VALUE"""),"Đồng ống RUBY PC 12.70x0.81")</f>
        <v>Đồng ống RUBY PC 12.70x0.81</v>
      </c>
      <c r="E969" s="583">
        <f ca="1">IFERROR(__xludf.DUMMYFUNCTION("""COMPUTED_VALUE"""),0.1)</f>
        <v>0.1</v>
      </c>
      <c r="F969" s="584" t="str">
        <f ca="1">IFERROR(__xludf.DUMMYFUNCTION("""COMPUTED_VALUE"""),"Cuộn")</f>
        <v>Cuộn</v>
      </c>
      <c r="G969" s="584" t="str">
        <f ca="1">IFERROR(__xludf.DUMMYFUNCTION("""COMPUTED_VALUE"""),"Cuộn 15m")</f>
        <v>Cuộn 15m</v>
      </c>
      <c r="H969" s="582"/>
      <c r="I969" s="585">
        <f ca="1">IFERROR(__xludf.DUMMYFUNCTION("""COMPUTED_VALUE"""),4.04497799999999)</f>
        <v>4.0449779999999897</v>
      </c>
      <c r="J969" s="586" t="str">
        <f ca="1">IFERROR(__xludf.DUMMYFUNCTION("""COMPUTED_VALUE""")," 12.70 ")</f>
        <v xml:space="preserve"> 12.70 </v>
      </c>
      <c r="K969" s="584" t="str">
        <f ca="1">IFERROR(__xludf.DUMMYFUNCTION("""COMPUTED_VALUE"""),"0.81")</f>
        <v>0.81</v>
      </c>
      <c r="L969" s="584">
        <f ca="1">IFERROR(__xludf.DUMMYFUNCTION("""COMPUTED_VALUE"""),15)</f>
        <v>15</v>
      </c>
      <c r="M969" s="584"/>
      <c r="N969" s="584" t="str">
        <f ca="1">IFERROR(__xludf.DUMMYFUNCTION("""COMPUTED_VALUE"""),"Dị_D&lt;54")</f>
        <v>Dị_D&lt;54</v>
      </c>
      <c r="O969" s="583">
        <f ca="1">IFERROR(__xludf.DUMMYFUNCTION("""COMPUTED_VALUE"""),1)</f>
        <v>1</v>
      </c>
      <c r="P969" s="584"/>
    </row>
    <row r="970" spans="1:16" ht="15.75">
      <c r="A970" s="587" t="str">
        <f ca="1">IFERROR(__xludf.DUMMYFUNCTION("""COMPUTED_VALUE"""),"Ruby")</f>
        <v>Ruby</v>
      </c>
      <c r="B970" s="587" t="str">
        <f ca="1">IFERROR(__xludf.DUMMYFUNCTION("""COMPUTED_VALUE"""),"ĐTPCUONDI")</f>
        <v>ĐTPCUONDI</v>
      </c>
      <c r="C970" s="587" t="str">
        <f ca="1">IFERROR(__xludf.DUMMYFUNCTION("""COMPUTED_VALUE"""),"DOCRB127008150")</f>
        <v>DOCRB127008150</v>
      </c>
      <c r="D970" s="588" t="str">
        <f ca="1">IFERROR(__xludf.DUMMYFUNCTION("""COMPUTED_VALUE"""),"Đồng ống RUBY PC 12.70x0.81x50")</f>
        <v>Đồng ống RUBY PC 12.70x0.81x50</v>
      </c>
      <c r="E970" s="589">
        <f ca="1">IFERROR(__xludf.DUMMYFUNCTION("""COMPUTED_VALUE"""),0.1)</f>
        <v>0.1</v>
      </c>
      <c r="F970" s="590" t="str">
        <f ca="1">IFERROR(__xludf.DUMMYFUNCTION("""COMPUTED_VALUE"""),"Cuộn")</f>
        <v>Cuộn</v>
      </c>
      <c r="G970" s="590" t="str">
        <f ca="1">IFERROR(__xludf.DUMMYFUNCTION("""COMPUTED_VALUE"""),"Cuộn 50m")</f>
        <v>Cuộn 50m</v>
      </c>
      <c r="H970" s="588"/>
      <c r="I970" s="591">
        <f ca="1">IFERROR(__xludf.DUMMYFUNCTION("""COMPUTED_VALUE"""),13.48326)</f>
        <v>13.48326</v>
      </c>
      <c r="J970" s="592" t="str">
        <f ca="1">IFERROR(__xludf.DUMMYFUNCTION("""COMPUTED_VALUE""")," 12.70 ")</f>
        <v xml:space="preserve"> 12.70 </v>
      </c>
      <c r="K970" s="590" t="str">
        <f ca="1">IFERROR(__xludf.DUMMYFUNCTION("""COMPUTED_VALUE"""),"0.81")</f>
        <v>0.81</v>
      </c>
      <c r="L970" s="590">
        <f ca="1">IFERROR(__xludf.DUMMYFUNCTION("""COMPUTED_VALUE"""),50)</f>
        <v>50</v>
      </c>
      <c r="M970" s="590"/>
      <c r="N970" s="590" t="str">
        <f ca="1">IFERROR(__xludf.DUMMYFUNCTION("""COMPUTED_VALUE"""),"Dị_D&lt;54")</f>
        <v>Dị_D&lt;54</v>
      </c>
      <c r="O970" s="589"/>
      <c r="P970" s="590"/>
    </row>
    <row r="971" spans="1:16" ht="15.75">
      <c r="A971" s="581" t="str">
        <f ca="1">IFERROR(__xludf.DUMMYFUNCTION("""COMPUTED_VALUE"""),"Ruby")</f>
        <v>Ruby</v>
      </c>
      <c r="B971" s="581" t="str">
        <f ca="1">IFERROR(__xludf.DUMMYFUNCTION("""COMPUTED_VALUE"""),"ĐTPCUONDI")</f>
        <v>ĐTPCUONDI</v>
      </c>
      <c r="C971" s="581" t="str">
        <f ca="1">IFERROR(__xludf.DUMMYFUNCTION("""COMPUTED_VALUE"""),"DOCRB1588071")</f>
        <v>DOCRB1588071</v>
      </c>
      <c r="D971" s="582" t="str">
        <f ca="1">IFERROR(__xludf.DUMMYFUNCTION("""COMPUTED_VALUE"""),"Đồng ống RUBY PC 15.88x0.71")</f>
        <v>Đồng ống RUBY PC 15.88x0.71</v>
      </c>
      <c r="E971" s="583">
        <f ca="1">IFERROR(__xludf.DUMMYFUNCTION("""COMPUTED_VALUE"""),0.1)</f>
        <v>0.1</v>
      </c>
      <c r="F971" s="584" t="str">
        <f ca="1">IFERROR(__xludf.DUMMYFUNCTION("""COMPUTED_VALUE"""),"Cuộn")</f>
        <v>Cuộn</v>
      </c>
      <c r="G971" s="584" t="str">
        <f ca="1">IFERROR(__xludf.DUMMYFUNCTION("""COMPUTED_VALUE"""),"Cuộn 15m")</f>
        <v>Cuộn 15m</v>
      </c>
      <c r="H971" s="582"/>
      <c r="I971" s="585">
        <f ca="1">IFERROR(__xludf.DUMMYFUNCTION("""COMPUTED_VALUE"""),4.523694)</f>
        <v>4.5236939999999999</v>
      </c>
      <c r="J971" s="586" t="str">
        <f ca="1">IFERROR(__xludf.DUMMYFUNCTION("""COMPUTED_VALUE""")," 15.88 ")</f>
        <v xml:space="preserve"> 15.88 </v>
      </c>
      <c r="K971" s="584" t="str">
        <f ca="1">IFERROR(__xludf.DUMMYFUNCTION("""COMPUTED_VALUE"""),"0.71")</f>
        <v>0.71</v>
      </c>
      <c r="L971" s="584">
        <f ca="1">IFERROR(__xludf.DUMMYFUNCTION("""COMPUTED_VALUE"""),15)</f>
        <v>15</v>
      </c>
      <c r="M971" s="584"/>
      <c r="N971" s="584" t="str">
        <f ca="1">IFERROR(__xludf.DUMMYFUNCTION("""COMPUTED_VALUE"""),"Dị_D&lt;54")</f>
        <v>Dị_D&lt;54</v>
      </c>
      <c r="O971" s="583">
        <f ca="1">IFERROR(__xludf.DUMMYFUNCTION("""COMPUTED_VALUE"""),1)</f>
        <v>1</v>
      </c>
      <c r="P971" s="584"/>
    </row>
    <row r="972" spans="1:16" ht="15.75">
      <c r="A972" s="587" t="str">
        <f ca="1">IFERROR(__xludf.DUMMYFUNCTION("""COMPUTED_VALUE"""),"Ruby")</f>
        <v>Ruby</v>
      </c>
      <c r="B972" s="587" t="str">
        <f ca="1">IFERROR(__xludf.DUMMYFUNCTION("""COMPUTED_VALUE"""),"ĐTPCUONDI")</f>
        <v>ĐTPCUONDI</v>
      </c>
      <c r="C972" s="587" t="str">
        <f ca="1">IFERROR(__xludf.DUMMYFUNCTION("""COMPUTED_VALUE"""),"DOCRB1588072")</f>
        <v>DOCRB1588072</v>
      </c>
      <c r="D972" s="588" t="str">
        <f ca="1">IFERROR(__xludf.DUMMYFUNCTION("""COMPUTED_VALUE"""),"Đồng ống RUBY PC 15.88x0.72")</f>
        <v>Đồng ống RUBY PC 15.88x0.72</v>
      </c>
      <c r="E972" s="589">
        <f ca="1">IFERROR(__xludf.DUMMYFUNCTION("""COMPUTED_VALUE"""),0.1)</f>
        <v>0.1</v>
      </c>
      <c r="F972" s="590" t="str">
        <f ca="1">IFERROR(__xludf.DUMMYFUNCTION("""COMPUTED_VALUE"""),"Cuộn")</f>
        <v>Cuộn</v>
      </c>
      <c r="G972" s="590" t="str">
        <f ca="1">IFERROR(__xludf.DUMMYFUNCTION("""COMPUTED_VALUE"""),"Cuộn 15m")</f>
        <v>Cuộn 15m</v>
      </c>
      <c r="H972" s="588"/>
      <c r="I972" s="591">
        <f ca="1">IFERROR(__xludf.DUMMYFUNCTION("""COMPUTED_VALUE"""),4.584384)</f>
        <v>4.584384</v>
      </c>
      <c r="J972" s="592" t="str">
        <f ca="1">IFERROR(__xludf.DUMMYFUNCTION("""COMPUTED_VALUE""")," 15.88 ")</f>
        <v xml:space="preserve"> 15.88 </v>
      </c>
      <c r="K972" s="590" t="str">
        <f ca="1">IFERROR(__xludf.DUMMYFUNCTION("""COMPUTED_VALUE"""),"0.72")</f>
        <v>0.72</v>
      </c>
      <c r="L972" s="590">
        <f ca="1">IFERROR(__xludf.DUMMYFUNCTION("""COMPUTED_VALUE"""),15)</f>
        <v>15</v>
      </c>
      <c r="M972" s="590"/>
      <c r="N972" s="590" t="str">
        <f ca="1">IFERROR(__xludf.DUMMYFUNCTION("""COMPUTED_VALUE"""),"Dị_D&lt;54")</f>
        <v>Dị_D&lt;54</v>
      </c>
      <c r="O972" s="589"/>
      <c r="P972" s="590"/>
    </row>
    <row r="973" spans="1:16" ht="15.75">
      <c r="A973" s="581" t="str">
        <f ca="1">IFERROR(__xludf.DUMMYFUNCTION("""COMPUTED_VALUE"""),"Ruby")</f>
        <v>Ruby</v>
      </c>
      <c r="B973" s="581" t="str">
        <f ca="1">IFERROR(__xludf.DUMMYFUNCTION("""COMPUTED_VALUE"""),"ĐTPCUONDI")</f>
        <v>ĐTPCUONDI</v>
      </c>
      <c r="C973" s="581" t="str">
        <f ca="1">IFERROR(__xludf.DUMMYFUNCTION("""COMPUTED_VALUE"""),"DOCRB1588081")</f>
        <v>DOCRB1588081</v>
      </c>
      <c r="D973" s="582" t="str">
        <f ca="1">IFERROR(__xludf.DUMMYFUNCTION("""COMPUTED_VALUE"""),"Đồng ống RUBY PC 15.88x0.81")</f>
        <v>Đồng ống RUBY PC 15.88x0.81</v>
      </c>
      <c r="E973" s="583">
        <f ca="1">IFERROR(__xludf.DUMMYFUNCTION("""COMPUTED_VALUE"""),0.1)</f>
        <v>0.1</v>
      </c>
      <c r="F973" s="584" t="str">
        <f ca="1">IFERROR(__xludf.DUMMYFUNCTION("""COMPUTED_VALUE"""),"Cuộn")</f>
        <v>Cuộn</v>
      </c>
      <c r="G973" s="584" t="str">
        <f ca="1">IFERROR(__xludf.DUMMYFUNCTION("""COMPUTED_VALUE"""),"Cuộn 15m")</f>
        <v>Cuộn 15m</v>
      </c>
      <c r="H973" s="582"/>
      <c r="I973" s="585">
        <f ca="1">IFERROR(__xludf.DUMMYFUNCTION("""COMPUTED_VALUE"""),5.126814)</f>
        <v>5.1268140000000004</v>
      </c>
      <c r="J973" s="586" t="str">
        <f ca="1">IFERROR(__xludf.DUMMYFUNCTION("""COMPUTED_VALUE""")," 15.88 ")</f>
        <v xml:space="preserve"> 15.88 </v>
      </c>
      <c r="K973" s="584" t="str">
        <f ca="1">IFERROR(__xludf.DUMMYFUNCTION("""COMPUTED_VALUE"""),"0.81")</f>
        <v>0.81</v>
      </c>
      <c r="L973" s="584">
        <f ca="1">IFERROR(__xludf.DUMMYFUNCTION("""COMPUTED_VALUE"""),15)</f>
        <v>15</v>
      </c>
      <c r="M973" s="584"/>
      <c r="N973" s="584" t="str">
        <f ca="1">IFERROR(__xludf.DUMMYFUNCTION("""COMPUTED_VALUE"""),"Dị_D&lt;54")</f>
        <v>Dị_D&lt;54</v>
      </c>
      <c r="O973" s="583">
        <f ca="1">IFERROR(__xludf.DUMMYFUNCTION("""COMPUTED_VALUE"""),1)</f>
        <v>1</v>
      </c>
      <c r="P973" s="584"/>
    </row>
    <row r="974" spans="1:16" ht="15.75">
      <c r="A974" s="587" t="str">
        <f ca="1">IFERROR(__xludf.DUMMYFUNCTION("""COMPUTED_VALUE"""),"Ruby")</f>
        <v>Ruby</v>
      </c>
      <c r="B974" s="587" t="str">
        <f ca="1">IFERROR(__xludf.DUMMYFUNCTION("""COMPUTED_VALUE"""),"ĐTPCUONDI")</f>
        <v>ĐTPCUONDI</v>
      </c>
      <c r="C974" s="587" t="str">
        <f ca="1">IFERROR(__xludf.DUMMYFUNCTION("""COMPUTED_VALUE"""),"DOCRB1588089")</f>
        <v>DOCRB1588089</v>
      </c>
      <c r="D974" s="588" t="str">
        <f ca="1">IFERROR(__xludf.DUMMYFUNCTION("""COMPUTED_VALUE"""),"Đồng ống RUBY PC 15.88x0.89")</f>
        <v>Đồng ống RUBY PC 15.88x0.89</v>
      </c>
      <c r="E974" s="589">
        <f ca="1">IFERROR(__xludf.DUMMYFUNCTION("""COMPUTED_VALUE"""),0.1)</f>
        <v>0.1</v>
      </c>
      <c r="F974" s="590" t="str">
        <f ca="1">IFERROR(__xludf.DUMMYFUNCTION("""COMPUTED_VALUE"""),"Cuộn")</f>
        <v>Cuộn</v>
      </c>
      <c r="G974" s="590" t="str">
        <f ca="1">IFERROR(__xludf.DUMMYFUNCTION("""COMPUTED_VALUE"""),"Cuộn 15m")</f>
        <v>Cuộn 15m</v>
      </c>
      <c r="H974" s="588"/>
      <c r="I974" s="591">
        <f ca="1">IFERROR(__xludf.DUMMYFUNCTION("""COMPUTED_VALUE"""),5.603262)</f>
        <v>5.603262</v>
      </c>
      <c r="J974" s="592" t="str">
        <f ca="1">IFERROR(__xludf.DUMMYFUNCTION("""COMPUTED_VALUE""")," 15.88 ")</f>
        <v xml:space="preserve"> 15.88 </v>
      </c>
      <c r="K974" s="590" t="str">
        <f ca="1">IFERROR(__xludf.DUMMYFUNCTION("""COMPUTED_VALUE"""),"0.89")</f>
        <v>0.89</v>
      </c>
      <c r="L974" s="590">
        <f ca="1">IFERROR(__xludf.DUMMYFUNCTION("""COMPUTED_VALUE"""),15)</f>
        <v>15</v>
      </c>
      <c r="M974" s="590"/>
      <c r="N974" s="590" t="str">
        <f ca="1">IFERROR(__xludf.DUMMYFUNCTION("""COMPUTED_VALUE"""),"Dị_D&lt;54")</f>
        <v>Dị_D&lt;54</v>
      </c>
      <c r="O974" s="589">
        <f ca="1">IFERROR(__xludf.DUMMYFUNCTION("""COMPUTED_VALUE"""),1)</f>
        <v>1</v>
      </c>
      <c r="P974" s="590"/>
    </row>
    <row r="975" spans="1:16" ht="15.75">
      <c r="A975" s="581" t="str">
        <f ca="1">IFERROR(__xludf.DUMMYFUNCTION("""COMPUTED_VALUE"""),"Ruby")</f>
        <v>Ruby</v>
      </c>
      <c r="B975" s="581" t="str">
        <f ca="1">IFERROR(__xludf.DUMMYFUNCTION("""COMPUTED_VALUE"""),"ĐTPCUONDI")</f>
        <v>ĐTPCUONDI</v>
      </c>
      <c r="C975" s="581" t="str">
        <f ca="1">IFERROR(__xludf.DUMMYFUNCTION("""COMPUTED_VALUE"""),"DOCRB158809150")</f>
        <v>DOCRB158809150</v>
      </c>
      <c r="D975" s="582" t="str">
        <f ca="1">IFERROR(__xludf.DUMMYFUNCTION("""COMPUTED_VALUE"""),"Đồng ống RUBY PC 15.88x0.91x50")</f>
        <v>Đồng ống RUBY PC 15.88x0.91x50</v>
      </c>
      <c r="E975" s="583">
        <f ca="1">IFERROR(__xludf.DUMMYFUNCTION("""COMPUTED_VALUE"""),0.1)</f>
        <v>0.1</v>
      </c>
      <c r="F975" s="584" t="str">
        <f ca="1">IFERROR(__xludf.DUMMYFUNCTION("""COMPUTED_VALUE"""),"Cuộn")</f>
        <v>Cuộn</v>
      </c>
      <c r="G975" s="584" t="str">
        <f ca="1">IFERROR(__xludf.DUMMYFUNCTION("""COMPUTED_VALUE"""),"Cuộn 50m")</f>
        <v>Cuộn 50m</v>
      </c>
      <c r="H975" s="582"/>
      <c r="I975" s="585">
        <f ca="1">IFERROR(__xludf.DUMMYFUNCTION("""COMPUTED_VALUE"""),19.07178)</f>
        <v>19.07178</v>
      </c>
      <c r="J975" s="586" t="str">
        <f ca="1">IFERROR(__xludf.DUMMYFUNCTION("""COMPUTED_VALUE""")," 15.88 ")</f>
        <v xml:space="preserve"> 15.88 </v>
      </c>
      <c r="K975" s="584" t="str">
        <f ca="1">IFERROR(__xludf.DUMMYFUNCTION("""COMPUTED_VALUE"""),"0.91")</f>
        <v>0.91</v>
      </c>
      <c r="L975" s="584">
        <f ca="1">IFERROR(__xludf.DUMMYFUNCTION("""COMPUTED_VALUE"""),50)</f>
        <v>50</v>
      </c>
      <c r="M975" s="584"/>
      <c r="N975" s="584" t="str">
        <f ca="1">IFERROR(__xludf.DUMMYFUNCTION("""COMPUTED_VALUE"""),"Dị_D&lt;54")</f>
        <v>Dị_D&lt;54</v>
      </c>
      <c r="O975" s="583"/>
      <c r="P975" s="584"/>
    </row>
    <row r="976" spans="1:16" ht="15.75">
      <c r="A976" s="587" t="str">
        <f ca="1">IFERROR(__xludf.DUMMYFUNCTION("""COMPUTED_VALUE"""),"Ruby")</f>
        <v>Ruby</v>
      </c>
      <c r="B976" s="587" t="str">
        <f ca="1">IFERROR(__xludf.DUMMYFUNCTION("""COMPUTED_VALUE"""),"ĐTPCUONDI")</f>
        <v>ĐTPCUONDI</v>
      </c>
      <c r="C976" s="587" t="str">
        <f ca="1">IFERROR(__xludf.DUMMYFUNCTION("""COMPUTED_VALUE"""),"DOCRB1588100")</f>
        <v>DOCRB1588100</v>
      </c>
      <c r="D976" s="588" t="str">
        <f ca="1">IFERROR(__xludf.DUMMYFUNCTION("""COMPUTED_VALUE"""),"Đồng ống RUBY PC 15.88x1.00")</f>
        <v>Đồng ống RUBY PC 15.88x1.00</v>
      </c>
      <c r="E976" s="589">
        <f ca="1">IFERROR(__xludf.DUMMYFUNCTION("""COMPUTED_VALUE"""),0.1)</f>
        <v>0.1</v>
      </c>
      <c r="F976" s="590" t="str">
        <f ca="1">IFERROR(__xludf.DUMMYFUNCTION("""COMPUTED_VALUE"""),"Cuộn")</f>
        <v>Cuộn</v>
      </c>
      <c r="G976" s="590" t="str">
        <f ca="1">IFERROR(__xludf.DUMMYFUNCTION("""COMPUTED_VALUE"""),"Cuộn 15m")</f>
        <v>Cuộn 15m</v>
      </c>
      <c r="H976" s="588"/>
      <c r="I976" s="591">
        <f ca="1">IFERROR(__xludf.DUMMYFUNCTION("""COMPUTED_VALUE"""),6.2496)</f>
        <v>6.2496</v>
      </c>
      <c r="J976" s="592" t="str">
        <f ca="1">IFERROR(__xludf.DUMMYFUNCTION("""COMPUTED_VALUE""")," 15.88 ")</f>
        <v xml:space="preserve"> 15.88 </v>
      </c>
      <c r="K976" s="590" t="str">
        <f ca="1">IFERROR(__xludf.DUMMYFUNCTION("""COMPUTED_VALUE"""),"1.00")</f>
        <v>1.00</v>
      </c>
      <c r="L976" s="590">
        <f ca="1">IFERROR(__xludf.DUMMYFUNCTION("""COMPUTED_VALUE"""),15)</f>
        <v>15</v>
      </c>
      <c r="M976" s="590"/>
      <c r="N976" s="590" t="str">
        <f ca="1">IFERROR(__xludf.DUMMYFUNCTION("""COMPUTED_VALUE"""),"Dị_D&lt;54")</f>
        <v>Dị_D&lt;54</v>
      </c>
      <c r="O976" s="589">
        <f ca="1">IFERROR(__xludf.DUMMYFUNCTION("""COMPUTED_VALUE"""),1)</f>
        <v>1</v>
      </c>
      <c r="P976" s="590"/>
    </row>
    <row r="977" spans="1:17" ht="15.75">
      <c r="A977" s="581" t="str">
        <f ca="1">IFERROR(__xludf.DUMMYFUNCTION("""COMPUTED_VALUE"""),"Ruby")</f>
        <v>Ruby</v>
      </c>
      <c r="B977" s="581" t="str">
        <f ca="1">IFERROR(__xludf.DUMMYFUNCTION("""COMPUTED_VALUE"""),"ĐTPCUONDI")</f>
        <v>ĐTPCUONDI</v>
      </c>
      <c r="C977" s="581" t="str">
        <f ca="1">IFERROR(__xludf.DUMMYFUNCTION("""COMPUTED_VALUE"""),"DOCRB1588102")</f>
        <v>DOCRB1588102</v>
      </c>
      <c r="D977" s="582" t="str">
        <f ca="1">IFERROR(__xludf.DUMMYFUNCTION("""COMPUTED_VALUE"""),"Đồng ống RUBY PC 15.88x1.02")</f>
        <v>Đồng ống RUBY PC 15.88x1.02</v>
      </c>
      <c r="E977" s="583">
        <f ca="1">IFERROR(__xludf.DUMMYFUNCTION("""COMPUTED_VALUE"""),0.1)</f>
        <v>0.1</v>
      </c>
      <c r="F977" s="584" t="str">
        <f ca="1">IFERROR(__xludf.DUMMYFUNCTION("""COMPUTED_VALUE"""),"Cuộn")</f>
        <v>Cuộn</v>
      </c>
      <c r="G977" s="584" t="str">
        <f ca="1">IFERROR(__xludf.DUMMYFUNCTION("""COMPUTED_VALUE"""),"Cuộn 15m")</f>
        <v>Cuộn 15m</v>
      </c>
      <c r="H977" s="582"/>
      <c r="I977" s="585">
        <f ca="1">IFERROR(__xludf.DUMMYFUNCTION("""COMPUTED_VALUE"""),6.366024)</f>
        <v>6.3660240000000003</v>
      </c>
      <c r="J977" s="586" t="str">
        <f ca="1">IFERROR(__xludf.DUMMYFUNCTION("""COMPUTED_VALUE""")," 15.88 ")</f>
        <v xml:space="preserve"> 15.88 </v>
      </c>
      <c r="K977" s="584" t="str">
        <f ca="1">IFERROR(__xludf.DUMMYFUNCTION("""COMPUTED_VALUE"""),"1.02")</f>
        <v>1.02</v>
      </c>
      <c r="L977" s="584">
        <f ca="1">IFERROR(__xludf.DUMMYFUNCTION("""COMPUTED_VALUE"""),15)</f>
        <v>15</v>
      </c>
      <c r="M977" s="584"/>
      <c r="N977" s="584" t="str">
        <f ca="1">IFERROR(__xludf.DUMMYFUNCTION("""COMPUTED_VALUE"""),"Dị_D&lt;54")</f>
        <v>Dị_D&lt;54</v>
      </c>
      <c r="O977" s="583"/>
      <c r="P977" s="584"/>
    </row>
    <row r="978" spans="1:17" ht="15.75">
      <c r="A978" s="587" t="str">
        <f ca="1">IFERROR(__xludf.DUMMYFUNCTION("""COMPUTED_VALUE"""),"Ruby")</f>
        <v>Ruby</v>
      </c>
      <c r="B978" s="587" t="str">
        <f ca="1">IFERROR(__xludf.DUMMYFUNCTION("""COMPUTED_VALUE"""),"ĐTPCUONDI")</f>
        <v>ĐTPCUONDI</v>
      </c>
      <c r="C978" s="587" t="str">
        <f ca="1">IFERROR(__xludf.DUMMYFUNCTION("""COMPUTED_VALUE"""),"DOCRB158810250")</f>
        <v>DOCRB158810250</v>
      </c>
      <c r="D978" s="588" t="str">
        <f ca="1">IFERROR(__xludf.DUMMYFUNCTION("""COMPUTED_VALUE"""),"Đồng ống RUBY PC 15.88x1.02x50")</f>
        <v>Đồng ống RUBY PC 15.88x1.02x50</v>
      </c>
      <c r="E978" s="589">
        <f ca="1">IFERROR(__xludf.DUMMYFUNCTION("""COMPUTED_VALUE"""),0.1)</f>
        <v>0.1</v>
      </c>
      <c r="F978" s="590" t="str">
        <f ca="1">IFERROR(__xludf.DUMMYFUNCTION("""COMPUTED_VALUE"""),"Cuộn")</f>
        <v>Cuộn</v>
      </c>
      <c r="G978" s="590" t="str">
        <f ca="1">IFERROR(__xludf.DUMMYFUNCTION("""COMPUTED_VALUE"""),"Cuộn 50m")</f>
        <v>Cuộn 50m</v>
      </c>
      <c r="H978" s="588"/>
      <c r="I978" s="591">
        <f ca="1">IFERROR(__xludf.DUMMYFUNCTION("""COMPUTED_VALUE"""),21.22008)</f>
        <v>21.220079999999999</v>
      </c>
      <c r="J978" s="592" t="str">
        <f ca="1">IFERROR(__xludf.DUMMYFUNCTION("""COMPUTED_VALUE""")," 15.88 ")</f>
        <v xml:space="preserve"> 15.88 </v>
      </c>
      <c r="K978" s="590" t="str">
        <f ca="1">IFERROR(__xludf.DUMMYFUNCTION("""COMPUTED_VALUE"""),"1.02")</f>
        <v>1.02</v>
      </c>
      <c r="L978" s="590">
        <f ca="1">IFERROR(__xludf.DUMMYFUNCTION("""COMPUTED_VALUE"""),50)</f>
        <v>50</v>
      </c>
      <c r="M978" s="590"/>
      <c r="N978" s="590" t="str">
        <f ca="1">IFERROR(__xludf.DUMMYFUNCTION("""COMPUTED_VALUE"""),"Dị_D&lt;54")</f>
        <v>Dị_D&lt;54</v>
      </c>
      <c r="O978" s="589"/>
      <c r="P978" s="590"/>
    </row>
    <row r="979" spans="1:17" ht="15.75">
      <c r="A979" s="581" t="str">
        <f ca="1">IFERROR(__xludf.DUMMYFUNCTION("""COMPUTED_VALUE"""),"Ruby")</f>
        <v>Ruby</v>
      </c>
      <c r="B979" s="581" t="str">
        <f ca="1">IFERROR(__xludf.DUMMYFUNCTION("""COMPUTED_VALUE"""),"ĐTPCUONDI")</f>
        <v>ĐTPCUONDI</v>
      </c>
      <c r="C979" s="581" t="str">
        <f ca="1">IFERROR(__xludf.DUMMYFUNCTION("""COMPUTED_VALUE"""),"DOCRB1905071")</f>
        <v>DOCRB1905071</v>
      </c>
      <c r="D979" s="582" t="str">
        <f ca="1">IFERROR(__xludf.DUMMYFUNCTION("""COMPUTED_VALUE"""),"Đồng ống RUBY PC 19.05x0.71")</f>
        <v>Đồng ống RUBY PC 19.05x0.71</v>
      </c>
      <c r="E979" s="583">
        <f ca="1">IFERROR(__xludf.DUMMYFUNCTION("""COMPUTED_VALUE"""),0.1)</f>
        <v>0.1</v>
      </c>
      <c r="F979" s="584" t="str">
        <f ca="1">IFERROR(__xludf.DUMMYFUNCTION("""COMPUTED_VALUE"""),"Cuộn")</f>
        <v>Cuộn</v>
      </c>
      <c r="G979" s="584" t="str">
        <f ca="1">IFERROR(__xludf.DUMMYFUNCTION("""COMPUTED_VALUE"""),"Cuộn 15m")</f>
        <v>Cuộn 15m</v>
      </c>
      <c r="H979" s="582"/>
      <c r="I979" s="585">
        <f ca="1">IFERROR(__xludf.DUMMYFUNCTION("""COMPUTED_VALUE"""),5.468988)</f>
        <v>5.4689880000000004</v>
      </c>
      <c r="J979" s="586" t="str">
        <f ca="1">IFERROR(__xludf.DUMMYFUNCTION("""COMPUTED_VALUE""")," 19.05 ")</f>
        <v xml:space="preserve"> 19.05 </v>
      </c>
      <c r="K979" s="584" t="str">
        <f ca="1">IFERROR(__xludf.DUMMYFUNCTION("""COMPUTED_VALUE"""),"0.71")</f>
        <v>0.71</v>
      </c>
      <c r="L979" s="584">
        <f ca="1">IFERROR(__xludf.DUMMYFUNCTION("""COMPUTED_VALUE"""),15)</f>
        <v>15</v>
      </c>
      <c r="M979" s="584"/>
      <c r="N979" s="584" t="str">
        <f ca="1">IFERROR(__xludf.DUMMYFUNCTION("""COMPUTED_VALUE"""),"Dị_D&lt;54")</f>
        <v>Dị_D&lt;54</v>
      </c>
      <c r="O979" s="583">
        <f ca="1">IFERROR(__xludf.DUMMYFUNCTION("""COMPUTED_VALUE"""),1)</f>
        <v>1</v>
      </c>
      <c r="P979" s="584"/>
    </row>
    <row r="980" spans="1:17" ht="15.75">
      <c r="A980" s="587" t="str">
        <f ca="1">IFERROR(__xludf.DUMMYFUNCTION("""COMPUTED_VALUE"""),"Ruby")</f>
        <v>Ruby</v>
      </c>
      <c r="B980" s="587" t="str">
        <f ca="1">IFERROR(__xludf.DUMMYFUNCTION("""COMPUTED_VALUE"""),"ĐTPCUONDI")</f>
        <v>ĐTPCUONDI</v>
      </c>
      <c r="C980" s="587" t="str">
        <f ca="1">IFERROR(__xludf.DUMMYFUNCTION("""COMPUTED_VALUE"""),"DOCRB1905072")</f>
        <v>DOCRB1905072</v>
      </c>
      <c r="D980" s="588" t="str">
        <f ca="1">IFERROR(__xludf.DUMMYFUNCTION("""COMPUTED_VALUE"""),"Đồng ống RUBY PC 19.05x0.72")</f>
        <v>Đồng ống RUBY PC 19.05x0.72</v>
      </c>
      <c r="E980" s="589">
        <f ca="1">IFERROR(__xludf.DUMMYFUNCTION("""COMPUTED_VALUE"""),0.1)</f>
        <v>0.1</v>
      </c>
      <c r="F980" s="590" t="str">
        <f ca="1">IFERROR(__xludf.DUMMYFUNCTION("""COMPUTED_VALUE"""),"Cuộn")</f>
        <v>Cuộn</v>
      </c>
      <c r="G980" s="590" t="str">
        <f ca="1">IFERROR(__xludf.DUMMYFUNCTION("""COMPUTED_VALUE"""),"Cuộn 15m")</f>
        <v>Cuộn 15m</v>
      </c>
      <c r="H980" s="588"/>
      <c r="I980" s="591">
        <f ca="1">IFERROR(__xludf.DUMMYFUNCTION("""COMPUTED_VALUE"""),5.542992)</f>
        <v>5.5429919999999999</v>
      </c>
      <c r="J980" s="592" t="str">
        <f ca="1">IFERROR(__xludf.DUMMYFUNCTION("""COMPUTED_VALUE""")," 19.05 ")</f>
        <v xml:space="preserve"> 19.05 </v>
      </c>
      <c r="K980" s="590" t="str">
        <f ca="1">IFERROR(__xludf.DUMMYFUNCTION("""COMPUTED_VALUE"""),"0.72")</f>
        <v>0.72</v>
      </c>
      <c r="L980" s="590">
        <f ca="1">IFERROR(__xludf.DUMMYFUNCTION("""COMPUTED_VALUE"""),15)</f>
        <v>15</v>
      </c>
      <c r="M980" s="590"/>
      <c r="N980" s="590" t="str">
        <f ca="1">IFERROR(__xludf.DUMMYFUNCTION("""COMPUTED_VALUE"""),"Dị_D&lt;54")</f>
        <v>Dị_D&lt;54</v>
      </c>
      <c r="O980" s="589"/>
      <c r="P980" s="590"/>
    </row>
    <row r="981" spans="1:17" ht="15.75">
      <c r="A981" s="581" t="str">
        <f ca="1">IFERROR(__xludf.DUMMYFUNCTION("""COMPUTED_VALUE"""),"Ruby")</f>
        <v>Ruby</v>
      </c>
      <c r="B981" s="581" t="str">
        <f ca="1">IFERROR(__xludf.DUMMYFUNCTION("""COMPUTED_VALUE"""),"ĐTPCUONDI")</f>
        <v>ĐTPCUONDI</v>
      </c>
      <c r="C981" s="581" t="str">
        <f ca="1">IFERROR(__xludf.DUMMYFUNCTION("""COMPUTED_VALUE"""),"DOCRB1905081")</f>
        <v>DOCRB1905081</v>
      </c>
      <c r="D981" s="582" t="str">
        <f ca="1">IFERROR(__xludf.DUMMYFUNCTION("""COMPUTED_VALUE"""),"Đồng ống RUBY PC 19.05x0.81")</f>
        <v>Đồng ống RUBY PC 19.05x0.81</v>
      </c>
      <c r="E981" s="583">
        <f ca="1">IFERROR(__xludf.DUMMYFUNCTION("""COMPUTED_VALUE"""),0.1)</f>
        <v>0.1</v>
      </c>
      <c r="F981" s="584" t="str">
        <f ca="1">IFERROR(__xludf.DUMMYFUNCTION("""COMPUTED_VALUE"""),"Cuộn")</f>
        <v>Cuộn</v>
      </c>
      <c r="G981" s="584" t="str">
        <f ca="1">IFERROR(__xludf.DUMMYFUNCTION("""COMPUTED_VALUE"""),"Cuộn 15m")</f>
        <v>Cuộn 15m</v>
      </c>
      <c r="H981" s="582"/>
      <c r="I981" s="585">
        <f ca="1">IFERROR(__xludf.DUMMYFUNCTION("""COMPUTED_VALUE"""),6.205248)</f>
        <v>6.2052480000000001</v>
      </c>
      <c r="J981" s="586" t="str">
        <f ca="1">IFERROR(__xludf.DUMMYFUNCTION("""COMPUTED_VALUE""")," 19.05 ")</f>
        <v xml:space="preserve"> 19.05 </v>
      </c>
      <c r="K981" s="584" t="str">
        <f ca="1">IFERROR(__xludf.DUMMYFUNCTION("""COMPUTED_VALUE"""),"0.81")</f>
        <v>0.81</v>
      </c>
      <c r="L981" s="584">
        <f ca="1">IFERROR(__xludf.DUMMYFUNCTION("""COMPUTED_VALUE"""),15)</f>
        <v>15</v>
      </c>
      <c r="M981" s="584"/>
      <c r="N981" s="584" t="str">
        <f ca="1">IFERROR(__xludf.DUMMYFUNCTION("""COMPUTED_VALUE"""),"Dị_D&lt;54")</f>
        <v>Dị_D&lt;54</v>
      </c>
      <c r="O981" s="583">
        <f ca="1">IFERROR(__xludf.DUMMYFUNCTION("""COMPUTED_VALUE"""),1)</f>
        <v>1</v>
      </c>
      <c r="P981" s="584"/>
    </row>
    <row r="982" spans="1:17" ht="15.75">
      <c r="A982" s="587" t="str">
        <f ca="1">IFERROR(__xludf.DUMMYFUNCTION("""COMPUTED_VALUE"""),"Ruby")</f>
        <v>Ruby</v>
      </c>
      <c r="B982" s="587" t="str">
        <f ca="1">IFERROR(__xludf.DUMMYFUNCTION("""COMPUTED_VALUE"""),"ĐTPCUONDI")</f>
        <v>ĐTPCUONDI</v>
      </c>
      <c r="C982" s="587" t="str">
        <f ca="1">IFERROR(__xludf.DUMMYFUNCTION("""COMPUTED_VALUE"""),"DODOCRB1905089")</f>
        <v>DODOCRB1905089</v>
      </c>
      <c r="D982" s="588" t="str">
        <f ca="1">IFERROR(__xludf.DUMMYFUNCTION("""COMPUTED_VALUE"""),"Đồng ống RUBY PC 19.05x0.89")</f>
        <v>Đồng ống RUBY PC 19.05x0.89</v>
      </c>
      <c r="E982" s="589">
        <f ca="1">IFERROR(__xludf.DUMMYFUNCTION("""COMPUTED_VALUE"""),0.1)</f>
        <v>0.1</v>
      </c>
      <c r="F982" s="590" t="str">
        <f ca="1">IFERROR(__xludf.DUMMYFUNCTION("""COMPUTED_VALUE"""),"Cuộn")</f>
        <v>Cuộn</v>
      </c>
      <c r="G982" s="590" t="str">
        <f ca="1">IFERROR(__xludf.DUMMYFUNCTION("""COMPUTED_VALUE"""),"Cuộn 15m")</f>
        <v>Cuộn 15m</v>
      </c>
      <c r="H982" s="588"/>
      <c r="I982" s="591">
        <f ca="1">IFERROR(__xludf.DUMMYFUNCTION("""COMPUTED_VALUE"""),6.788208)</f>
        <v>6.788208</v>
      </c>
      <c r="J982" s="592" t="str">
        <f ca="1">IFERROR(__xludf.DUMMYFUNCTION("""COMPUTED_VALUE""")," 19.05 ")</f>
        <v xml:space="preserve"> 19.05 </v>
      </c>
      <c r="K982" s="590" t="str">
        <f ca="1">IFERROR(__xludf.DUMMYFUNCTION("""COMPUTED_VALUE"""),"0.89")</f>
        <v>0.89</v>
      </c>
      <c r="L982" s="590">
        <f ca="1">IFERROR(__xludf.DUMMYFUNCTION("""COMPUTED_VALUE"""),15)</f>
        <v>15</v>
      </c>
      <c r="M982" s="590"/>
      <c r="N982" s="590" t="str">
        <f ca="1">IFERROR(__xludf.DUMMYFUNCTION("""COMPUTED_VALUE"""),"Dị_D&lt;54")</f>
        <v>Dị_D&lt;54</v>
      </c>
      <c r="O982" s="589">
        <f ca="1">IFERROR(__xludf.DUMMYFUNCTION("""COMPUTED_VALUE"""),1)</f>
        <v>1</v>
      </c>
      <c r="P982" s="590"/>
    </row>
    <row r="983" spans="1:17" ht="15.75">
      <c r="A983" s="581" t="str">
        <f ca="1">IFERROR(__xludf.DUMMYFUNCTION("""COMPUTED_VALUE"""),"Ruby")</f>
        <v>Ruby</v>
      </c>
      <c r="B983" s="581" t="str">
        <f ca="1">IFERROR(__xludf.DUMMYFUNCTION("""COMPUTED_VALUE"""),"ĐTPCUONDI")</f>
        <v>ĐTPCUONDI</v>
      </c>
      <c r="C983" s="581" t="str">
        <f ca="1">IFERROR(__xludf.DUMMYFUNCTION("""COMPUTED_VALUE"""),"DOCRB1905100")</f>
        <v>DOCRB1905100</v>
      </c>
      <c r="D983" s="582" t="str">
        <f ca="1">IFERROR(__xludf.DUMMYFUNCTION("""COMPUTED_VALUE"""),"Đồng ống RUBY PC 19.05x1.00")</f>
        <v>Đồng ống RUBY PC 19.05x1.00</v>
      </c>
      <c r="E983" s="583">
        <f ca="1">IFERROR(__xludf.DUMMYFUNCTION("""COMPUTED_VALUE"""),0.1)</f>
        <v>0.1</v>
      </c>
      <c r="F983" s="584" t="str">
        <f ca="1">IFERROR(__xludf.DUMMYFUNCTION("""COMPUTED_VALUE"""),"Cuộn")</f>
        <v>Cuộn</v>
      </c>
      <c r="G983" s="584" t="str">
        <f ca="1">IFERROR(__xludf.DUMMYFUNCTION("""COMPUTED_VALUE"""),"Cuộn 15m")</f>
        <v>Cuộn 15m</v>
      </c>
      <c r="H983" s="582"/>
      <c r="I983" s="585">
        <f ca="1">IFERROR(__xludf.DUMMYFUNCTION("""COMPUTED_VALUE"""),7.581)</f>
        <v>7.5810000000000004</v>
      </c>
      <c r="J983" s="586" t="str">
        <f ca="1">IFERROR(__xludf.DUMMYFUNCTION("""COMPUTED_VALUE""")," 19.05 ")</f>
        <v xml:space="preserve"> 19.05 </v>
      </c>
      <c r="K983" s="584" t="str">
        <f ca="1">IFERROR(__xludf.DUMMYFUNCTION("""COMPUTED_VALUE"""),"1.00")</f>
        <v>1.00</v>
      </c>
      <c r="L983" s="584">
        <f ca="1">IFERROR(__xludf.DUMMYFUNCTION("""COMPUTED_VALUE"""),15)</f>
        <v>15</v>
      </c>
      <c r="M983" s="584"/>
      <c r="N983" s="584" t="str">
        <f ca="1">IFERROR(__xludf.DUMMYFUNCTION("""COMPUTED_VALUE"""),"Dị_D&lt;54")</f>
        <v>Dị_D&lt;54</v>
      </c>
      <c r="O983" s="583">
        <f ca="1">IFERROR(__xludf.DUMMYFUNCTION("""COMPUTED_VALUE"""),1)</f>
        <v>1</v>
      </c>
      <c r="P983" s="584"/>
    </row>
    <row r="984" spans="1:17" ht="15.75">
      <c r="A984" s="587" t="str">
        <f ca="1">IFERROR(__xludf.DUMMYFUNCTION("""COMPUTED_VALUE"""),"Ruby")</f>
        <v>Ruby</v>
      </c>
      <c r="B984" s="587" t="str">
        <f ca="1">IFERROR(__xludf.DUMMYFUNCTION("""COMPUTED_VALUE"""),"ĐTPCUONDI")</f>
        <v>ĐTPCUONDI</v>
      </c>
      <c r="C984" s="587" t="str">
        <f ca="1">IFERROR(__xludf.DUMMYFUNCTION("""COMPUTED_VALUE"""),"DOCRB1905102")</f>
        <v>DOCRB1905102</v>
      </c>
      <c r="D984" s="588" t="str">
        <f ca="1">IFERROR(__xludf.DUMMYFUNCTION("""COMPUTED_VALUE"""),"Đồng ống RUBY PC 19.05x1.02")</f>
        <v>Đồng ống RUBY PC 19.05x1.02</v>
      </c>
      <c r="E984" s="589">
        <f ca="1">IFERROR(__xludf.DUMMYFUNCTION("""COMPUTED_VALUE"""),0.1)</f>
        <v>0.1</v>
      </c>
      <c r="F984" s="590" t="str">
        <f ca="1">IFERROR(__xludf.DUMMYFUNCTION("""COMPUTED_VALUE"""),"Cuộn")</f>
        <v>Cuộn</v>
      </c>
      <c r="G984" s="590" t="str">
        <f ca="1">IFERROR(__xludf.DUMMYFUNCTION("""COMPUTED_VALUE"""),"Cuộn 15m")</f>
        <v>Cuộn 15m</v>
      </c>
      <c r="H984" s="588"/>
      <c r="I984" s="591">
        <f ca="1">IFERROR(__xludf.DUMMYFUNCTION("""COMPUTED_VALUE"""),7.724052)</f>
        <v>7.7240520000000004</v>
      </c>
      <c r="J984" s="592" t="str">
        <f ca="1">IFERROR(__xludf.DUMMYFUNCTION("""COMPUTED_VALUE""")," 19.05 ")</f>
        <v xml:space="preserve"> 19.05 </v>
      </c>
      <c r="K984" s="590" t="str">
        <f ca="1">IFERROR(__xludf.DUMMYFUNCTION("""COMPUTED_VALUE"""),"1.02")</f>
        <v>1.02</v>
      </c>
      <c r="L984" s="590">
        <f ca="1">IFERROR(__xludf.DUMMYFUNCTION("""COMPUTED_VALUE"""),15)</f>
        <v>15</v>
      </c>
      <c r="M984" s="590"/>
      <c r="N984" s="590" t="str">
        <f ca="1">IFERROR(__xludf.DUMMYFUNCTION("""COMPUTED_VALUE"""),"Dị_D&lt;54")</f>
        <v>Dị_D&lt;54</v>
      </c>
      <c r="O984" s="589"/>
      <c r="P984" s="590"/>
    </row>
    <row r="985" spans="1:17" ht="15.75">
      <c r="A985" s="581" t="str">
        <f ca="1">IFERROR(__xludf.DUMMYFUNCTION("""COMPUTED_VALUE"""),"Ruby")</f>
        <v>Ruby</v>
      </c>
      <c r="B985" s="581" t="str">
        <f ca="1">IFERROR(__xludf.DUMMYFUNCTION("""COMPUTED_VALUE"""),"ĐTPCUONDI")</f>
        <v>ĐTPCUONDI</v>
      </c>
      <c r="C985" s="581" t="str">
        <f ca="1">IFERROR(__xludf.DUMMYFUNCTION("""COMPUTED_VALUE"""),"DOCRB1588091")</f>
        <v>DOCRB1588091</v>
      </c>
      <c r="D985" s="582" t="str">
        <f ca="1">IFERROR(__xludf.DUMMYFUNCTION("""COMPUTED_VALUE"""),"Đồng ống RUBY PC 15.88x0.91")</f>
        <v>Đồng ống RUBY PC 15.88x0.91</v>
      </c>
      <c r="E985" s="583">
        <f ca="1">IFERROR(__xludf.DUMMYFUNCTION("""COMPUTED_VALUE"""),0.1)</f>
        <v>0.1</v>
      </c>
      <c r="F985" s="584" t="str">
        <f ca="1">IFERROR(__xludf.DUMMYFUNCTION("""COMPUTED_VALUE"""),"Cuộn")</f>
        <v>Cuộn</v>
      </c>
      <c r="G985" s="584" t="str">
        <f ca="1">IFERROR(__xludf.DUMMYFUNCTION("""COMPUTED_VALUE"""),"Cuộn 15m")</f>
        <v>Cuộn 15m</v>
      </c>
      <c r="H985" s="582"/>
      <c r="I985" s="585">
        <f ca="1">IFERROR(__xludf.DUMMYFUNCTION("""COMPUTED_VALUE"""),28.699398)</f>
        <v>28.699397999999999</v>
      </c>
      <c r="J985" s="586" t="str">
        <f ca="1">IFERROR(__xludf.DUMMYFUNCTION("""COMPUTED_VALUE""")," 76.00 ")</f>
        <v xml:space="preserve"> 76.00 </v>
      </c>
      <c r="K985" s="584" t="str">
        <f ca="1">IFERROR(__xludf.DUMMYFUNCTION("""COMPUTED_VALUE"""),"0.91")</f>
        <v>0.91</v>
      </c>
      <c r="L985" s="584">
        <f ca="1">IFERROR(__xludf.DUMMYFUNCTION("""COMPUTED_VALUE"""),15)</f>
        <v>15</v>
      </c>
      <c r="M985" s="584"/>
      <c r="N985" s="584" t="str">
        <f ca="1">IFERROR(__xludf.DUMMYFUNCTION("""COMPUTED_VALUE"""),"Dị_D&gt;54")</f>
        <v>Dị_D&gt;54</v>
      </c>
      <c r="O985" s="583">
        <f ca="1">IFERROR(__xludf.DUMMYFUNCTION("""COMPUTED_VALUE"""),1)</f>
        <v>1</v>
      </c>
      <c r="P985" s="584"/>
    </row>
    <row r="986" spans="1:17" ht="15.75">
      <c r="A986" s="587" t="str">
        <f ca="1">IFERROR(__xludf.DUMMYFUNCTION("""COMPUTED_VALUE"""),"Ruby")</f>
        <v>Ruby</v>
      </c>
      <c r="B986" s="587" t="str">
        <f ca="1">IFERROR(__xludf.DUMMYFUNCTION("""COMPUTED_VALUE"""),"ĐTPCAYDI")</f>
        <v>ĐTPCAYDI</v>
      </c>
      <c r="C986" s="587" t="str">
        <f ca="1">IFERROR(__xludf.DUMMYFUNCTION("""COMPUTED_VALUE"""),"DOTRB063507158")</f>
        <v>DOTRB063507158</v>
      </c>
      <c r="D986" s="588" t="str">
        <f ca="1">IFERROR(__xludf.DUMMYFUNCTION("""COMPUTED_VALUE"""),"Đồng ống thẳng RUBY 06.35x0.71x5.8")</f>
        <v>Đồng ống thẳng RUBY 06.35x0.71x5.8</v>
      </c>
      <c r="E986" s="589">
        <f ca="1">IFERROR(__xludf.DUMMYFUNCTION("""COMPUTED_VALUE"""),0.1)</f>
        <v>0.1</v>
      </c>
      <c r="F986" s="590" t="str">
        <f ca="1">IFERROR(__xludf.DUMMYFUNCTION("""COMPUTED_VALUE"""),"Cây")</f>
        <v>Cây</v>
      </c>
      <c r="G986" s="590" t="str">
        <f ca="1">IFERROR(__xludf.DUMMYFUNCTION("""COMPUTED_VALUE"""),"Cây 5.8m")</f>
        <v>Cây 5.8m</v>
      </c>
      <c r="H986" s="588"/>
      <c r="I986" s="591">
        <f ca="1">IFERROR(__xludf.DUMMYFUNCTION("""COMPUTED_VALUE"""),0.65031456)</f>
        <v>0.65031455999999999</v>
      </c>
      <c r="J986" s="592" t="str">
        <f ca="1">IFERROR(__xludf.DUMMYFUNCTION("""COMPUTED_VALUE""")," 06.35 ")</f>
        <v xml:space="preserve"> 06.35 </v>
      </c>
      <c r="K986" s="590" t="str">
        <f ca="1">IFERROR(__xludf.DUMMYFUNCTION("""COMPUTED_VALUE"""),"0.71")</f>
        <v>0.71</v>
      </c>
      <c r="L986" s="590">
        <f ca="1">IFERROR(__xludf.DUMMYFUNCTION("""COMPUTED_VALUE"""),5.8)</f>
        <v>5.8</v>
      </c>
      <c r="M986" s="590"/>
      <c r="N986" s="590" t="str">
        <f ca="1">IFERROR(__xludf.DUMMYFUNCTION("""COMPUTED_VALUE"""),"Dị_D&lt;54")</f>
        <v>Dị_D&lt;54</v>
      </c>
      <c r="O986" s="589"/>
      <c r="P986" s="590"/>
    </row>
    <row r="987" spans="1:17" ht="15.75">
      <c r="A987" s="581" t="str">
        <f ca="1">IFERROR(__xludf.DUMMYFUNCTION("""COMPUTED_VALUE"""),"Ruby")</f>
        <v>Ruby</v>
      </c>
      <c r="B987" s="581" t="str">
        <f ca="1">IFERROR(__xludf.DUMMYFUNCTION("""COMPUTED_VALUE"""),"ĐTPCAYDI")</f>
        <v>ĐTPCAYDI</v>
      </c>
      <c r="C987" s="581" t="str">
        <f ca="1">IFERROR(__xludf.DUMMYFUNCTION("""COMPUTED_VALUE"""),"DOTRB158810058")</f>
        <v>DOTRB158810058</v>
      </c>
      <c r="D987" s="582" t="str">
        <f ca="1">IFERROR(__xludf.DUMMYFUNCTION("""COMPUTED_VALUE"""),"Đồng ống thẳng RUBY 15.88x1.00x5.8")</f>
        <v>Đồng ống thẳng RUBY 15.88x1.00x5.8</v>
      </c>
      <c r="E987" s="583">
        <f ca="1">IFERROR(__xludf.DUMMYFUNCTION("""COMPUTED_VALUE"""),0.1)</f>
        <v>0.1</v>
      </c>
      <c r="F987" s="584" t="str">
        <f ca="1">IFERROR(__xludf.DUMMYFUNCTION("""COMPUTED_VALUE"""),"Cây")</f>
        <v>Cây</v>
      </c>
      <c r="G987" s="584" t="str">
        <f ca="1">IFERROR(__xludf.DUMMYFUNCTION("""COMPUTED_VALUE"""),"Cây 5.8m")</f>
        <v>Cây 5.8m</v>
      </c>
      <c r="H987" s="582"/>
      <c r="I987" s="585">
        <f ca="1">IFERROR(__xludf.DUMMYFUNCTION("""COMPUTED_VALUE"""),2.416512)</f>
        <v>2.416512</v>
      </c>
      <c r="J987" s="586" t="str">
        <f ca="1">IFERROR(__xludf.DUMMYFUNCTION("""COMPUTED_VALUE""")," 15.88 ")</f>
        <v xml:space="preserve"> 15.88 </v>
      </c>
      <c r="K987" s="584" t="str">
        <f ca="1">IFERROR(__xludf.DUMMYFUNCTION("""COMPUTED_VALUE"""),"1.00")</f>
        <v>1.00</v>
      </c>
      <c r="L987" s="584">
        <f ca="1">IFERROR(__xludf.DUMMYFUNCTION("""COMPUTED_VALUE"""),5.8)</f>
        <v>5.8</v>
      </c>
      <c r="M987" s="584"/>
      <c r="N987" s="584" t="str">
        <f ca="1">IFERROR(__xludf.DUMMYFUNCTION("""COMPUTED_VALUE"""),"Dị_D&lt;54")</f>
        <v>Dị_D&lt;54</v>
      </c>
      <c r="O987" s="583"/>
      <c r="P987" s="584"/>
    </row>
    <row r="988" spans="1:17" ht="15.75">
      <c r="A988" s="587" t="str">
        <f ca="1">IFERROR(__xludf.DUMMYFUNCTION("""COMPUTED_VALUE"""),"Ruby")</f>
        <v>Ruby</v>
      </c>
      <c r="B988" s="587" t="str">
        <f ca="1">IFERROR(__xludf.DUMMYFUNCTION("""COMPUTED_VALUE"""),"ĐTPCAYDI")</f>
        <v>ĐTPCAYDI</v>
      </c>
      <c r="C988" s="587" t="str">
        <f ca="1">IFERROR(__xludf.DUMMYFUNCTION("""COMPUTED_VALUE"""),"DOTRB1905100")</f>
        <v>DOTRB1905100</v>
      </c>
      <c r="D988" s="588" t="str">
        <f ca="1">IFERROR(__xludf.DUMMYFUNCTION("""COMPUTED_VALUE"""),"Đồng ống thẳng RUBY 19.05x1.00")</f>
        <v>Đồng ống thẳng RUBY 19.05x1.00</v>
      </c>
      <c r="E988" s="589">
        <f ca="1">IFERROR(__xludf.DUMMYFUNCTION("""COMPUTED_VALUE"""),0.1)</f>
        <v>0.1</v>
      </c>
      <c r="F988" s="590" t="str">
        <f ca="1">IFERROR(__xludf.DUMMYFUNCTION("""COMPUTED_VALUE"""),"Cây")</f>
        <v>Cây</v>
      </c>
      <c r="G988" s="590" t="str">
        <f ca="1">IFERROR(__xludf.DUMMYFUNCTION("""COMPUTED_VALUE"""),"Cây 2.9m")</f>
        <v>Cây 2.9m</v>
      </c>
      <c r="H988" s="588"/>
      <c r="I988" s="591">
        <f ca="1">IFERROR(__xludf.DUMMYFUNCTION("""COMPUTED_VALUE"""),1.46566)</f>
        <v>1.46566</v>
      </c>
      <c r="J988" s="592" t="str">
        <f ca="1">IFERROR(__xludf.DUMMYFUNCTION("""COMPUTED_VALUE""")," 19.05 ")</f>
        <v xml:space="preserve"> 19.05 </v>
      </c>
      <c r="K988" s="590" t="str">
        <f ca="1">IFERROR(__xludf.DUMMYFUNCTION("""COMPUTED_VALUE"""),"1.00")</f>
        <v>1.00</v>
      </c>
      <c r="L988" s="590">
        <f ca="1">IFERROR(__xludf.DUMMYFUNCTION("""COMPUTED_VALUE"""),2.9)</f>
        <v>2.9</v>
      </c>
      <c r="M988" s="590"/>
      <c r="N988" s="590" t="str">
        <f ca="1">IFERROR(__xludf.DUMMYFUNCTION("""COMPUTED_VALUE"""),"Ít bán")</f>
        <v>Ít bán</v>
      </c>
      <c r="O988" s="589"/>
      <c r="P988" s="590"/>
      <c r="Q988" s="885">
        <f ca="1">+$Q$5*I988</f>
        <v>337.10179999999997</v>
      </c>
    </row>
    <row r="989" spans="1:17" ht="15.75">
      <c r="A989" s="581" t="str">
        <f ca="1">IFERROR(__xludf.DUMMYFUNCTION("""COMPUTED_VALUE"""),"Ruby")</f>
        <v>Ruby</v>
      </c>
      <c r="B989" s="581" t="str">
        <f ca="1">IFERROR(__xludf.DUMMYFUNCTION("""COMPUTED_VALUE"""),"ĐTPCAYDI")</f>
        <v>ĐTPCAYDI</v>
      </c>
      <c r="C989" s="581" t="str">
        <f ca="1">IFERROR(__xludf.DUMMYFUNCTION("""COMPUTED_VALUE"""),"DOTRB127008158")</f>
        <v>DOTRB127008158</v>
      </c>
      <c r="D989" s="582" t="str">
        <f ca="1">IFERROR(__xludf.DUMMYFUNCTION("""COMPUTED_VALUE"""),"Đồng ống thẳng RUBY 12.70x0.81x5.8")</f>
        <v>Đồng ống thẳng RUBY 12.70x0.81x5.8</v>
      </c>
      <c r="E989" s="583">
        <f ca="1">IFERROR(__xludf.DUMMYFUNCTION("""COMPUTED_VALUE"""),0.1)</f>
        <v>0.1</v>
      </c>
      <c r="F989" s="584" t="str">
        <f ca="1">IFERROR(__xludf.DUMMYFUNCTION("""COMPUTED_VALUE"""),"Cây")</f>
        <v>Cây</v>
      </c>
      <c r="G989" s="584" t="str">
        <f ca="1">IFERROR(__xludf.DUMMYFUNCTION("""COMPUTED_VALUE"""),"Cây 5.8m")</f>
        <v>Cây 5.8m</v>
      </c>
      <c r="H989" s="582"/>
      <c r="I989" s="585">
        <f ca="1">IFERROR(__xludf.DUMMYFUNCTION("""COMPUTED_VALUE"""),1.56405815999999)</f>
        <v>1.5640581599999901</v>
      </c>
      <c r="J989" s="586" t="str">
        <f ca="1">IFERROR(__xludf.DUMMYFUNCTION("""COMPUTED_VALUE""")," 12.70 ")</f>
        <v xml:space="preserve"> 12.70 </v>
      </c>
      <c r="K989" s="584" t="str">
        <f ca="1">IFERROR(__xludf.DUMMYFUNCTION("""COMPUTED_VALUE"""),"0.81")</f>
        <v>0.81</v>
      </c>
      <c r="L989" s="584">
        <f ca="1">IFERROR(__xludf.DUMMYFUNCTION("""COMPUTED_VALUE"""),5.8)</f>
        <v>5.8</v>
      </c>
      <c r="M989" s="584"/>
      <c r="N989" s="584" t="str">
        <f ca="1">IFERROR(__xludf.DUMMYFUNCTION("""COMPUTED_VALUE"""),"Dị_D&lt;54")</f>
        <v>Dị_D&lt;54</v>
      </c>
      <c r="O989" s="583"/>
      <c r="P989" s="584"/>
    </row>
    <row r="990" spans="1:17" ht="15.75">
      <c r="A990" s="587" t="str">
        <f ca="1">IFERROR(__xludf.DUMMYFUNCTION("""COMPUTED_VALUE"""),"Ruby")</f>
        <v>Ruby</v>
      </c>
      <c r="B990" s="587" t="str">
        <f ca="1">IFERROR(__xludf.DUMMYFUNCTION("""COMPUTED_VALUE"""),"ĐTPCAYDI")</f>
        <v>ĐTPCAYDI</v>
      </c>
      <c r="C990" s="587" t="str">
        <f ca="1">IFERROR(__xludf.DUMMYFUNCTION("""COMPUTED_VALUE"""),"DOTRB095208158")</f>
        <v>DOTRB095208158</v>
      </c>
      <c r="D990" s="588" t="str">
        <f ca="1">IFERROR(__xludf.DUMMYFUNCTION("""COMPUTED_VALUE"""),"Đồng ống thẳng RUBY 09.52x0.81x5.8")</f>
        <v>Đồng ống thẳng RUBY 09.52x0.81x5.8</v>
      </c>
      <c r="E990" s="589">
        <f ca="1">IFERROR(__xludf.DUMMYFUNCTION("""COMPUTED_VALUE"""),0.1)</f>
        <v>0.1</v>
      </c>
      <c r="F990" s="590" t="str">
        <f ca="1">IFERROR(__xludf.DUMMYFUNCTION("""COMPUTED_VALUE"""),"Cây")</f>
        <v>Cây</v>
      </c>
      <c r="G990" s="590" t="str">
        <f ca="1">IFERROR(__xludf.DUMMYFUNCTION("""COMPUTED_VALUE"""),"Cây 5.8m")</f>
        <v>Cây 5.8m</v>
      </c>
      <c r="H990" s="588"/>
      <c r="I990" s="591">
        <f ca="1">IFERROR(__xludf.DUMMYFUNCTION("""COMPUTED_VALUE"""),1.14574823999999)</f>
        <v>1.1457482399999901</v>
      </c>
      <c r="J990" s="592" t="str">
        <f ca="1">IFERROR(__xludf.DUMMYFUNCTION("""COMPUTED_VALUE""")," 09.52 ")</f>
        <v xml:space="preserve"> 09.52 </v>
      </c>
      <c r="K990" s="590" t="str">
        <f ca="1">IFERROR(__xludf.DUMMYFUNCTION("""COMPUTED_VALUE"""),"0.81")</f>
        <v>0.81</v>
      </c>
      <c r="L990" s="590">
        <f ca="1">IFERROR(__xludf.DUMMYFUNCTION("""COMPUTED_VALUE"""),5.8)</f>
        <v>5.8</v>
      </c>
      <c r="M990" s="590"/>
      <c r="N990" s="590" t="str">
        <f ca="1">IFERROR(__xludf.DUMMYFUNCTION("""COMPUTED_VALUE"""),"Dị_D&lt;54")</f>
        <v>Dị_D&lt;54</v>
      </c>
      <c r="O990" s="589"/>
      <c r="P990" s="590"/>
    </row>
    <row r="991" spans="1:17" ht="15.75">
      <c r="A991" s="581" t="str">
        <f ca="1">IFERROR(__xludf.DUMMYFUNCTION("""COMPUTED_VALUE"""),"Ruby")</f>
        <v>Ruby</v>
      </c>
      <c r="B991" s="581" t="str">
        <f ca="1">IFERROR(__xludf.DUMMYFUNCTION("""COMPUTED_VALUE"""),"ĐTPCAYDI")</f>
        <v>ĐTPCAYDI</v>
      </c>
      <c r="C991" s="581" t="str">
        <f ca="1">IFERROR(__xludf.DUMMYFUNCTION("""COMPUTED_VALUE"""),"DOTRB222207158")</f>
        <v>DOTRB222207158</v>
      </c>
      <c r="D991" s="582" t="str">
        <f ca="1">IFERROR(__xludf.DUMMYFUNCTION("""COMPUTED_VALUE"""),"Đồng ống thẳng RUBY 22.22x0.71x5.8")</f>
        <v>Đồng ống thẳng RUBY 22.22x0.71x5.8</v>
      </c>
      <c r="E991" s="583">
        <f ca="1">IFERROR(__xludf.DUMMYFUNCTION("""COMPUTED_VALUE"""),0.1)</f>
        <v>0.1</v>
      </c>
      <c r="F991" s="584" t="str">
        <f ca="1">IFERROR(__xludf.DUMMYFUNCTION("""COMPUTED_VALUE"""),"Cây")</f>
        <v>Cây</v>
      </c>
      <c r="G991" s="584" t="str">
        <f ca="1">IFERROR(__xludf.DUMMYFUNCTION("""COMPUTED_VALUE"""),"Cây 5.8m")</f>
        <v>Cây 5.8m</v>
      </c>
      <c r="H991" s="582"/>
      <c r="I991" s="585">
        <f ca="1">IFERROR(__xludf.DUMMYFUNCTION("""COMPUTED_VALUE"""),2.48018903999999)</f>
        <v>2.4801890399999902</v>
      </c>
      <c r="J991" s="586" t="str">
        <f ca="1">IFERROR(__xludf.DUMMYFUNCTION("""COMPUTED_VALUE""")," 22.22 ")</f>
        <v xml:space="preserve"> 22.22 </v>
      </c>
      <c r="K991" s="584" t="str">
        <f ca="1">IFERROR(__xludf.DUMMYFUNCTION("""COMPUTED_VALUE"""),"0.71")</f>
        <v>0.71</v>
      </c>
      <c r="L991" s="584">
        <f ca="1">IFERROR(__xludf.DUMMYFUNCTION("""COMPUTED_VALUE"""),5.8)</f>
        <v>5.8</v>
      </c>
      <c r="M991" s="584"/>
      <c r="N991" s="584" t="str">
        <f ca="1">IFERROR(__xludf.DUMMYFUNCTION("""COMPUTED_VALUE"""),"Dị_D&lt;54")</f>
        <v>Dị_D&lt;54</v>
      </c>
      <c r="O991" s="583"/>
      <c r="P991" s="584"/>
    </row>
    <row r="992" spans="1:17" ht="15.75">
      <c r="A992" s="587" t="str">
        <f ca="1">IFERROR(__xludf.DUMMYFUNCTION("""COMPUTED_VALUE"""),"Ruby")</f>
        <v>Ruby</v>
      </c>
      <c r="B992" s="587" t="str">
        <f ca="1">IFERROR(__xludf.DUMMYFUNCTION("""COMPUTED_VALUE"""),"ĐTPCAYDI")</f>
        <v>ĐTPCAYDI</v>
      </c>
      <c r="C992" s="587" t="str">
        <f ca="1">IFERROR(__xludf.DUMMYFUNCTION("""COMPUTED_VALUE"""),"DOTRB2222081")</f>
        <v>DOTRB2222081</v>
      </c>
      <c r="D992" s="588" t="str">
        <f ca="1">IFERROR(__xludf.DUMMYFUNCTION("""COMPUTED_VALUE"""),"Đồng ống thẳng RUBY 22.22x0.81")</f>
        <v>Đồng ống thẳng RUBY 22.22x0.81</v>
      </c>
      <c r="E992" s="589">
        <f ca="1">IFERROR(__xludf.DUMMYFUNCTION("""COMPUTED_VALUE"""),0.1)</f>
        <v>0.1</v>
      </c>
      <c r="F992" s="590" t="str">
        <f ca="1">IFERROR(__xludf.DUMMYFUNCTION("""COMPUTED_VALUE"""),"Cây")</f>
        <v>Cây</v>
      </c>
      <c r="G992" s="590" t="str">
        <f ca="1">IFERROR(__xludf.DUMMYFUNCTION("""COMPUTED_VALUE"""),"Cây 2.9m")</f>
        <v>Cây 2.9m</v>
      </c>
      <c r="H992" s="588"/>
      <c r="I992" s="591">
        <f ca="1">IFERROR(__xludf.DUMMYFUNCTION("""COMPUTED_VALUE"""),1.40817852)</f>
        <v>1.4081785200000001</v>
      </c>
      <c r="J992" s="592" t="str">
        <f ca="1">IFERROR(__xludf.DUMMYFUNCTION("""COMPUTED_VALUE""")," 22.22 ")</f>
        <v xml:space="preserve"> 22.22 </v>
      </c>
      <c r="K992" s="590" t="str">
        <f ca="1">IFERROR(__xludf.DUMMYFUNCTION("""COMPUTED_VALUE"""),"0.81")</f>
        <v>0.81</v>
      </c>
      <c r="L992" s="590">
        <f ca="1">IFERROR(__xludf.DUMMYFUNCTION("""COMPUTED_VALUE"""),2.9)</f>
        <v>2.9</v>
      </c>
      <c r="M992" s="590"/>
      <c r="N992" s="590" t="str">
        <f ca="1">IFERROR(__xludf.DUMMYFUNCTION("""COMPUTED_VALUE"""),"Dị_D&lt;54")</f>
        <v>Dị_D&lt;54</v>
      </c>
      <c r="O992" s="589"/>
      <c r="P992" s="590"/>
    </row>
    <row r="993" spans="1:16" ht="15.75">
      <c r="A993" s="581" t="str">
        <f ca="1">IFERROR(__xludf.DUMMYFUNCTION("""COMPUTED_VALUE"""),"Ruby")</f>
        <v>Ruby</v>
      </c>
      <c r="B993" s="581" t="str">
        <f ca="1">IFERROR(__xludf.DUMMYFUNCTION("""COMPUTED_VALUE"""),"ĐTPCAYDI")</f>
        <v>ĐTPCAYDI</v>
      </c>
      <c r="C993" s="581" t="str">
        <f ca="1">IFERROR(__xludf.DUMMYFUNCTION("""COMPUTED_VALUE"""),"DOTRB222209158")</f>
        <v>DOTRB222209158</v>
      </c>
      <c r="D993" s="582" t="str">
        <f ca="1">IFERROR(__xludf.DUMMYFUNCTION("""COMPUTED_VALUE"""),"Đồng ống thẳng RUBY 22.22x0.91x5.8")</f>
        <v>Đồng ống thẳng RUBY 22.22x0.91x5.8</v>
      </c>
      <c r="E993" s="583">
        <f ca="1">IFERROR(__xludf.DUMMYFUNCTION("""COMPUTED_VALUE"""),0.1)</f>
        <v>0.1</v>
      </c>
      <c r="F993" s="584" t="str">
        <f ca="1">IFERROR(__xludf.DUMMYFUNCTION("""COMPUTED_VALUE"""),"Cây")</f>
        <v>Cây</v>
      </c>
      <c r="G993" s="584" t="str">
        <f ca="1">IFERROR(__xludf.DUMMYFUNCTION("""COMPUTED_VALUE"""),"Cây 5.8m")</f>
        <v>Cây 5.8m</v>
      </c>
      <c r="H993" s="582"/>
      <c r="I993" s="585">
        <f ca="1">IFERROR(__xludf.DUMMYFUNCTION("""COMPUTED_VALUE"""),3.14927704)</f>
        <v>3.1492770399999999</v>
      </c>
      <c r="J993" s="586" t="str">
        <f ca="1">IFERROR(__xludf.DUMMYFUNCTION("""COMPUTED_VALUE""")," 22.22 ")</f>
        <v xml:space="preserve"> 22.22 </v>
      </c>
      <c r="K993" s="584" t="str">
        <f ca="1">IFERROR(__xludf.DUMMYFUNCTION("""COMPUTED_VALUE"""),"0.91")</f>
        <v>0.91</v>
      </c>
      <c r="L993" s="584">
        <f ca="1">IFERROR(__xludf.DUMMYFUNCTION("""COMPUTED_VALUE"""),5.8)</f>
        <v>5.8</v>
      </c>
      <c r="M993" s="584"/>
      <c r="N993" s="584" t="str">
        <f ca="1">IFERROR(__xludf.DUMMYFUNCTION("""COMPUTED_VALUE"""),"Dị_D&lt;54")</f>
        <v>Dị_D&lt;54</v>
      </c>
      <c r="O993" s="583"/>
      <c r="P993" s="584"/>
    </row>
    <row r="994" spans="1:16" ht="15.75">
      <c r="A994" s="587" t="str">
        <f ca="1">IFERROR(__xludf.DUMMYFUNCTION("""COMPUTED_VALUE"""),"Ruby")</f>
        <v>Ruby</v>
      </c>
      <c r="B994" s="587" t="str">
        <f ca="1">IFERROR(__xludf.DUMMYFUNCTION("""COMPUTED_VALUE"""),"ĐTPCAYDI")</f>
        <v>ĐTPCAYDI</v>
      </c>
      <c r="C994" s="587" t="str">
        <f ca="1">IFERROR(__xludf.DUMMYFUNCTION("""COMPUTED_VALUE"""),"DOTRB2222100")</f>
        <v>DOTRB2222100</v>
      </c>
      <c r="D994" s="588" t="str">
        <f ca="1">IFERROR(__xludf.DUMMYFUNCTION("""COMPUTED_VALUE"""),"Đồng ống thẳng RUBY 22.22x1.00")</f>
        <v>Đồng ống thẳng RUBY 22.22x1.00</v>
      </c>
      <c r="E994" s="589">
        <f ca="1">IFERROR(__xludf.DUMMYFUNCTION("""COMPUTED_VALUE"""),0.1)</f>
        <v>0.1</v>
      </c>
      <c r="F994" s="590" t="str">
        <f ca="1">IFERROR(__xludf.DUMMYFUNCTION("""COMPUTED_VALUE"""),"Cây")</f>
        <v>Cây</v>
      </c>
      <c r="G994" s="590" t="str">
        <f ca="1">IFERROR(__xludf.DUMMYFUNCTION("""COMPUTED_VALUE"""),"Cây 2.9m")</f>
        <v>Cây 2.9m</v>
      </c>
      <c r="H994" s="588"/>
      <c r="I994" s="591">
        <f ca="1">IFERROR(__xludf.DUMMYFUNCTION("""COMPUTED_VALUE"""),1.723064)</f>
        <v>1.7230639999999999</v>
      </c>
      <c r="J994" s="592" t="str">
        <f ca="1">IFERROR(__xludf.DUMMYFUNCTION("""COMPUTED_VALUE""")," 22.22 ")</f>
        <v xml:space="preserve"> 22.22 </v>
      </c>
      <c r="K994" s="590" t="str">
        <f ca="1">IFERROR(__xludf.DUMMYFUNCTION("""COMPUTED_VALUE"""),"1.00")</f>
        <v>1.00</v>
      </c>
      <c r="L994" s="590">
        <f ca="1">IFERROR(__xludf.DUMMYFUNCTION("""COMPUTED_VALUE"""),2.9)</f>
        <v>2.9</v>
      </c>
      <c r="M994" s="590"/>
      <c r="N994" s="590" t="str">
        <f ca="1">IFERROR(__xludf.DUMMYFUNCTION("""COMPUTED_VALUE"""),"Dị_D&lt;54")</f>
        <v>Dị_D&lt;54</v>
      </c>
      <c r="O994" s="589"/>
      <c r="P994" s="590"/>
    </row>
    <row r="995" spans="1:16" ht="15.75">
      <c r="A995" s="581" t="str">
        <f ca="1">IFERROR(__xludf.DUMMYFUNCTION("""COMPUTED_VALUE"""),"Ruby")</f>
        <v>Ruby</v>
      </c>
      <c r="B995" s="581" t="str">
        <f ca="1">IFERROR(__xludf.DUMMYFUNCTION("""COMPUTED_VALUE"""),"ĐTPCAYDI")</f>
        <v>ĐTPCAYDI</v>
      </c>
      <c r="C995" s="581" t="str">
        <f ca="1">IFERROR(__xludf.DUMMYFUNCTION("""COMPUTED_VALUE"""),"DOTRB222210058")</f>
        <v>DOTRB222210058</v>
      </c>
      <c r="D995" s="582" t="str">
        <f ca="1">IFERROR(__xludf.DUMMYFUNCTION("""COMPUTED_VALUE"""),"Đồng ống thẳng RUBY 22.22x1.00x5.8")</f>
        <v>Đồng ống thẳng RUBY 22.22x1.00x5.8</v>
      </c>
      <c r="E995" s="583">
        <f ca="1">IFERROR(__xludf.DUMMYFUNCTION("""COMPUTED_VALUE"""),0.1)</f>
        <v>0.1</v>
      </c>
      <c r="F995" s="584" t="str">
        <f ca="1">IFERROR(__xludf.DUMMYFUNCTION("""COMPUTED_VALUE"""),"Cây")</f>
        <v>Cây</v>
      </c>
      <c r="G995" s="584" t="str">
        <f ca="1">IFERROR(__xludf.DUMMYFUNCTION("""COMPUTED_VALUE"""),"Cây 5.8m")</f>
        <v>Cây 5.8m</v>
      </c>
      <c r="H995" s="582"/>
      <c r="I995" s="585">
        <f ca="1">IFERROR(__xludf.DUMMYFUNCTION("""COMPUTED_VALUE"""),3.446128)</f>
        <v>3.4461279999999999</v>
      </c>
      <c r="J995" s="586" t="str">
        <f ca="1">IFERROR(__xludf.DUMMYFUNCTION("""COMPUTED_VALUE""")," 22.22 ")</f>
        <v xml:space="preserve"> 22.22 </v>
      </c>
      <c r="K995" s="584" t="str">
        <f ca="1">IFERROR(__xludf.DUMMYFUNCTION("""COMPUTED_VALUE"""),"1.00")</f>
        <v>1.00</v>
      </c>
      <c r="L995" s="584">
        <f ca="1">IFERROR(__xludf.DUMMYFUNCTION("""COMPUTED_VALUE"""),5.8)</f>
        <v>5.8</v>
      </c>
      <c r="M995" s="584"/>
      <c r="N995" s="584" t="str">
        <f ca="1">IFERROR(__xludf.DUMMYFUNCTION("""COMPUTED_VALUE"""),"Dị_D&lt;54")</f>
        <v>Dị_D&lt;54</v>
      </c>
      <c r="O995" s="583"/>
      <c r="P995" s="584"/>
    </row>
    <row r="996" spans="1:16" ht="15.75">
      <c r="A996" s="587" t="str">
        <f ca="1">IFERROR(__xludf.DUMMYFUNCTION("""COMPUTED_VALUE"""),"Ruby")</f>
        <v>Ruby</v>
      </c>
      <c r="B996" s="587" t="str">
        <f ca="1">IFERROR(__xludf.DUMMYFUNCTION("""COMPUTED_VALUE"""),"ĐTPCAYDI")</f>
        <v>ĐTPCAYDI</v>
      </c>
      <c r="C996" s="587" t="str">
        <f ca="1">IFERROR(__xludf.DUMMYFUNCTION("""COMPUTED_VALUE"""),"DOTRB2222114")</f>
        <v>DOTRB2222114</v>
      </c>
      <c r="D996" s="588" t="str">
        <f ca="1">IFERROR(__xludf.DUMMYFUNCTION("""COMPUTED_VALUE"""),"Đồng ống thẳng RUBY 22.22x1.14")</f>
        <v>Đồng ống thẳng RUBY 22.22x1.14</v>
      </c>
      <c r="E996" s="589">
        <f ca="1">IFERROR(__xludf.DUMMYFUNCTION("""COMPUTED_VALUE"""),0.1)</f>
        <v>0.1</v>
      </c>
      <c r="F996" s="590" t="str">
        <f ca="1">IFERROR(__xludf.DUMMYFUNCTION("""COMPUTED_VALUE"""),"Cây")</f>
        <v>Cây</v>
      </c>
      <c r="G996" s="590" t="str">
        <f ca="1">IFERROR(__xludf.DUMMYFUNCTION("""COMPUTED_VALUE"""),"Cây 2.9m")</f>
        <v>Cây 2.9m</v>
      </c>
      <c r="H996" s="588"/>
      <c r="I996" s="591">
        <f ca="1">IFERROR(__xludf.DUMMYFUNCTION("""COMPUTED_VALUE"""),1.95133343999999)</f>
        <v>1.95133343999999</v>
      </c>
      <c r="J996" s="592" t="str">
        <f ca="1">IFERROR(__xludf.DUMMYFUNCTION("""COMPUTED_VALUE""")," 22.22 ")</f>
        <v xml:space="preserve"> 22.22 </v>
      </c>
      <c r="K996" s="590" t="str">
        <f ca="1">IFERROR(__xludf.DUMMYFUNCTION("""COMPUTED_VALUE"""),"1.14")</f>
        <v>1.14</v>
      </c>
      <c r="L996" s="590">
        <f ca="1">IFERROR(__xludf.DUMMYFUNCTION("""COMPUTED_VALUE"""),2.9)</f>
        <v>2.9</v>
      </c>
      <c r="M996" s="590"/>
      <c r="N996" s="590" t="str">
        <f ca="1">IFERROR(__xludf.DUMMYFUNCTION("""COMPUTED_VALUE"""),"Dị_D&lt;54")</f>
        <v>Dị_D&lt;54</v>
      </c>
      <c r="O996" s="589">
        <f ca="1">IFERROR(__xludf.DUMMYFUNCTION("""COMPUTED_VALUE"""),1)</f>
        <v>1</v>
      </c>
      <c r="P996" s="590"/>
    </row>
    <row r="997" spans="1:16" ht="15.75">
      <c r="A997" s="581" t="str">
        <f ca="1">IFERROR(__xludf.DUMMYFUNCTION("""COMPUTED_VALUE"""),"Ruby")</f>
        <v>Ruby</v>
      </c>
      <c r="B997" s="581" t="str">
        <f ca="1">IFERROR(__xludf.DUMMYFUNCTION("""COMPUTED_VALUE"""),"ĐTPCAYDI")</f>
        <v>ĐTPCAYDI</v>
      </c>
      <c r="C997" s="581" t="str">
        <f ca="1">IFERROR(__xludf.DUMMYFUNCTION("""COMPUTED_VALUE"""),"DOTRB2222120")</f>
        <v>DOTRB2222120</v>
      </c>
      <c r="D997" s="582" t="str">
        <f ca="1">IFERROR(__xludf.DUMMYFUNCTION("""COMPUTED_VALUE"""),"Đồng ống thẳng RUBY 22.22x1.20")</f>
        <v>Đồng ống thẳng RUBY 22.22x1.20</v>
      </c>
      <c r="E997" s="583">
        <f ca="1">IFERROR(__xludf.DUMMYFUNCTION("""COMPUTED_VALUE"""),0.1)</f>
        <v>0.1</v>
      </c>
      <c r="F997" s="584" t="str">
        <f ca="1">IFERROR(__xludf.DUMMYFUNCTION("""COMPUTED_VALUE"""),"Cây")</f>
        <v>Cây</v>
      </c>
      <c r="G997" s="584" t="str">
        <f ca="1">IFERROR(__xludf.DUMMYFUNCTION("""COMPUTED_VALUE"""),"Cây 2.9m")</f>
        <v>Cây 2.9m</v>
      </c>
      <c r="H997" s="582"/>
      <c r="I997" s="585">
        <f ca="1">IFERROR(__xludf.DUMMYFUNCTION("""COMPUTED_VALUE"""),2.0481888)</f>
        <v>2.0481888000000001</v>
      </c>
      <c r="J997" s="586" t="str">
        <f ca="1">IFERROR(__xludf.DUMMYFUNCTION("""COMPUTED_VALUE""")," 22.22 ")</f>
        <v xml:space="preserve"> 22.22 </v>
      </c>
      <c r="K997" s="584" t="str">
        <f ca="1">IFERROR(__xludf.DUMMYFUNCTION("""COMPUTED_VALUE"""),"1.20")</f>
        <v>1.20</v>
      </c>
      <c r="L997" s="584">
        <f ca="1">IFERROR(__xludf.DUMMYFUNCTION("""COMPUTED_VALUE"""),2.9)</f>
        <v>2.9</v>
      </c>
      <c r="M997" s="584"/>
      <c r="N997" s="584" t="str">
        <f ca="1">IFERROR(__xludf.DUMMYFUNCTION("""COMPUTED_VALUE"""),"Dị_D&lt;54")</f>
        <v>Dị_D&lt;54</v>
      </c>
      <c r="O997" s="583"/>
      <c r="P997" s="584"/>
    </row>
    <row r="998" spans="1:16" ht="15.75">
      <c r="A998" s="587" t="str">
        <f ca="1">IFERROR(__xludf.DUMMYFUNCTION("""COMPUTED_VALUE"""),"Ruby")</f>
        <v>Ruby</v>
      </c>
      <c r="B998" s="587" t="str">
        <f ca="1">IFERROR(__xludf.DUMMYFUNCTION("""COMPUTED_VALUE"""),"ĐTPCAYDI")</f>
        <v>ĐTPCAYDI</v>
      </c>
      <c r="C998" s="587" t="str">
        <f ca="1">IFERROR(__xludf.DUMMYFUNCTION("""COMPUTED_VALUE"""),"DOTRB2540081")</f>
        <v>DOTRB2540081</v>
      </c>
      <c r="D998" s="588" t="str">
        <f ca="1">IFERROR(__xludf.DUMMYFUNCTION("""COMPUTED_VALUE"""),"Đồng ống thẳng RUBY 25.40x0.81")</f>
        <v>Đồng ống thẳng RUBY 25.40x0.81</v>
      </c>
      <c r="E998" s="589">
        <f ca="1">IFERROR(__xludf.DUMMYFUNCTION("""COMPUTED_VALUE"""),0.1)</f>
        <v>0.1</v>
      </c>
      <c r="F998" s="590" t="str">
        <f ca="1">IFERROR(__xludf.DUMMYFUNCTION("""COMPUTED_VALUE"""),"Cây")</f>
        <v>Cây</v>
      </c>
      <c r="G998" s="590" t="str">
        <f ca="1">IFERROR(__xludf.DUMMYFUNCTION("""COMPUTED_VALUE"""),"Cây 2.9m")</f>
        <v>Cây 2.9m</v>
      </c>
      <c r="H998" s="588"/>
      <c r="I998" s="591">
        <f ca="1">IFERROR(__xludf.DUMMYFUNCTION("""COMPUTED_VALUE"""),1.61733347999999)</f>
        <v>1.6173334799999901</v>
      </c>
      <c r="J998" s="592" t="str">
        <f ca="1">IFERROR(__xludf.DUMMYFUNCTION("""COMPUTED_VALUE""")," 25.40 ")</f>
        <v xml:space="preserve"> 25.40 </v>
      </c>
      <c r="K998" s="590" t="str">
        <f ca="1">IFERROR(__xludf.DUMMYFUNCTION("""COMPUTED_VALUE"""),"0.81")</f>
        <v>0.81</v>
      </c>
      <c r="L998" s="590">
        <f ca="1">IFERROR(__xludf.DUMMYFUNCTION("""COMPUTED_VALUE"""),2.9)</f>
        <v>2.9</v>
      </c>
      <c r="M998" s="590"/>
      <c r="N998" s="590" t="str">
        <f ca="1">IFERROR(__xludf.DUMMYFUNCTION("""COMPUTED_VALUE"""),"Dị_D&lt;54")</f>
        <v>Dị_D&lt;54</v>
      </c>
      <c r="O998" s="589"/>
      <c r="P998" s="590"/>
    </row>
    <row r="999" spans="1:16" ht="15.75">
      <c r="A999" s="581" t="str">
        <f ca="1">IFERROR(__xludf.DUMMYFUNCTION("""COMPUTED_VALUE"""),"Ruby")</f>
        <v>Ruby</v>
      </c>
      <c r="B999" s="581" t="str">
        <f ca="1">IFERROR(__xludf.DUMMYFUNCTION("""COMPUTED_VALUE"""),"ĐTPCAYDI")</f>
        <v>ĐTPCAYDI</v>
      </c>
      <c r="C999" s="581" t="str">
        <f ca="1">IFERROR(__xludf.DUMMYFUNCTION("""COMPUTED_VALUE"""),"DOTRB2540100")</f>
        <v>DOTRB2540100</v>
      </c>
      <c r="D999" s="582" t="str">
        <f ca="1">IFERROR(__xludf.DUMMYFUNCTION("""COMPUTED_VALUE"""),"Đồng ống thẳng Ruby 25.40x1.00")</f>
        <v>Đồng ống thẳng Ruby 25.40x1.00</v>
      </c>
      <c r="E999" s="583">
        <f ca="1">IFERROR(__xludf.DUMMYFUNCTION("""COMPUTED_VALUE"""),0.1)</f>
        <v>0.1</v>
      </c>
      <c r="F999" s="584" t="str">
        <f ca="1">IFERROR(__xludf.DUMMYFUNCTION("""COMPUTED_VALUE"""),"Cây")</f>
        <v>Cây</v>
      </c>
      <c r="G999" s="584" t="str">
        <f ca="1">IFERROR(__xludf.DUMMYFUNCTION("""COMPUTED_VALUE"""),"Cây 2.9m")</f>
        <v>Cây 2.9m</v>
      </c>
      <c r="H999" s="582"/>
      <c r="I999" s="585">
        <f ca="1">IFERROR(__xludf.DUMMYFUNCTION("""COMPUTED_VALUE"""),1.98128)</f>
        <v>1.9812799999999999</v>
      </c>
      <c r="J999" s="586" t="str">
        <f ca="1">IFERROR(__xludf.DUMMYFUNCTION("""COMPUTED_VALUE""")," 25.40 ")</f>
        <v xml:space="preserve"> 25.40 </v>
      </c>
      <c r="K999" s="584" t="str">
        <f ca="1">IFERROR(__xludf.DUMMYFUNCTION("""COMPUTED_VALUE"""),"1.00")</f>
        <v>1.00</v>
      </c>
      <c r="L999" s="584">
        <f ca="1">IFERROR(__xludf.DUMMYFUNCTION("""COMPUTED_VALUE"""),2.9)</f>
        <v>2.9</v>
      </c>
      <c r="M999" s="584"/>
      <c r="N999" s="584" t="str">
        <f ca="1">IFERROR(__xludf.DUMMYFUNCTION("""COMPUTED_VALUE"""),"Dị_D&lt;54")</f>
        <v>Dị_D&lt;54</v>
      </c>
      <c r="O999" s="583"/>
      <c r="P999" s="584"/>
    </row>
    <row r="1000" spans="1:16" ht="15.75">
      <c r="A1000" s="587" t="str">
        <f ca="1">IFERROR(__xludf.DUMMYFUNCTION("""COMPUTED_VALUE"""),"Ruby")</f>
        <v>Ruby</v>
      </c>
      <c r="B1000" s="587" t="str">
        <f ca="1">IFERROR(__xludf.DUMMYFUNCTION("""COMPUTED_VALUE"""),"ĐTPCAYDI")</f>
        <v>ĐTPCAYDI</v>
      </c>
      <c r="C1000" s="587" t="str">
        <f ca="1">IFERROR(__xludf.DUMMYFUNCTION("""COMPUTED_VALUE"""),"DOTRB25401058")</f>
        <v>DOTRB25401058</v>
      </c>
      <c r="D1000" s="588" t="str">
        <f ca="1">IFERROR(__xludf.DUMMYFUNCTION("""COMPUTED_VALUE"""),"Đồng ống thẳng Ruby 25.40x1.0X5.8")</f>
        <v>Đồng ống thẳng Ruby 25.40x1.0X5.8</v>
      </c>
      <c r="E1000" s="589">
        <f ca="1">IFERROR(__xludf.DUMMYFUNCTION("""COMPUTED_VALUE"""),0.1)</f>
        <v>0.1</v>
      </c>
      <c r="F1000" s="590" t="str">
        <f ca="1">IFERROR(__xludf.DUMMYFUNCTION("""COMPUTED_VALUE"""),"Cây")</f>
        <v>Cây</v>
      </c>
      <c r="G1000" s="590" t="str">
        <f ca="1">IFERROR(__xludf.DUMMYFUNCTION("""COMPUTED_VALUE"""),"Cây 5.8m")</f>
        <v>Cây 5.8m</v>
      </c>
      <c r="H1000" s="588"/>
      <c r="I1000" s="591">
        <f ca="1">IFERROR(__xludf.DUMMYFUNCTION("""COMPUTED_VALUE"""),3.96256)</f>
        <v>3.9625599999999999</v>
      </c>
      <c r="J1000" s="592" t="str">
        <f ca="1">IFERROR(__xludf.DUMMYFUNCTION("""COMPUTED_VALUE""")," 25.40 ")</f>
        <v xml:space="preserve"> 25.40 </v>
      </c>
      <c r="K1000" s="590" t="str">
        <f ca="1">IFERROR(__xludf.DUMMYFUNCTION("""COMPUTED_VALUE"""),"1.00")</f>
        <v>1.00</v>
      </c>
      <c r="L1000" s="590">
        <f ca="1">IFERROR(__xludf.DUMMYFUNCTION("""COMPUTED_VALUE"""),5.8)</f>
        <v>5.8</v>
      </c>
      <c r="M1000" s="590"/>
      <c r="N1000" s="590" t="str">
        <f ca="1">IFERROR(__xludf.DUMMYFUNCTION("""COMPUTED_VALUE"""),"Dị_D&lt;54")</f>
        <v>Dị_D&lt;54</v>
      </c>
      <c r="O1000" s="589"/>
      <c r="P1000" s="590"/>
    </row>
    <row r="1001" spans="1:16" ht="15.75">
      <c r="A1001" s="581" t="str">
        <f ca="1">IFERROR(__xludf.DUMMYFUNCTION("""COMPUTED_VALUE"""),"Ruby")</f>
        <v>Ruby</v>
      </c>
      <c r="B1001" s="581" t="str">
        <f ca="1">IFERROR(__xludf.DUMMYFUNCTION("""COMPUTED_VALUE"""),"ĐTPCAYDI")</f>
        <v>ĐTPCAYDI</v>
      </c>
      <c r="C1001" s="581" t="str">
        <f ca="1">IFERROR(__xludf.DUMMYFUNCTION("""COMPUTED_VALUE"""),"DOTRB2540120")</f>
        <v>DOTRB2540120</v>
      </c>
      <c r="D1001" s="582" t="str">
        <f ca="1">IFERROR(__xludf.DUMMYFUNCTION("""COMPUTED_VALUE"""),"Đồng ống thẳng Ruby 25.40x1.20")</f>
        <v>Đồng ống thẳng Ruby 25.40x1.20</v>
      </c>
      <c r="E1001" s="583">
        <f ca="1">IFERROR(__xludf.DUMMYFUNCTION("""COMPUTED_VALUE"""),0.1)</f>
        <v>0.1</v>
      </c>
      <c r="F1001" s="584" t="str">
        <f ca="1">IFERROR(__xludf.DUMMYFUNCTION("""COMPUTED_VALUE"""),"Cây")</f>
        <v>Cây</v>
      </c>
      <c r="G1001" s="584" t="str">
        <f ca="1">IFERROR(__xludf.DUMMYFUNCTION("""COMPUTED_VALUE"""),"Cây 2.9m")</f>
        <v>Cây 2.9m</v>
      </c>
      <c r="H1001" s="582"/>
      <c r="I1001" s="585">
        <f ca="1">IFERROR(__xludf.DUMMYFUNCTION("""COMPUTED_VALUE"""),2.35804799999999)</f>
        <v>2.3580479999999899</v>
      </c>
      <c r="J1001" s="586" t="str">
        <f ca="1">IFERROR(__xludf.DUMMYFUNCTION("""COMPUTED_VALUE""")," 25.40 ")</f>
        <v xml:space="preserve"> 25.40 </v>
      </c>
      <c r="K1001" s="584" t="str">
        <f ca="1">IFERROR(__xludf.DUMMYFUNCTION("""COMPUTED_VALUE"""),"1.20")</f>
        <v>1.20</v>
      </c>
      <c r="L1001" s="584">
        <f ca="1">IFERROR(__xludf.DUMMYFUNCTION("""COMPUTED_VALUE"""),2.9)</f>
        <v>2.9</v>
      </c>
      <c r="M1001" s="584"/>
      <c r="N1001" s="584" t="str">
        <f ca="1">IFERROR(__xludf.DUMMYFUNCTION("""COMPUTED_VALUE"""),"Dị_D&lt;54")</f>
        <v>Dị_D&lt;54</v>
      </c>
      <c r="O1001" s="583"/>
      <c r="P1001" s="584"/>
    </row>
    <row r="1002" spans="1:16" ht="15.75">
      <c r="A1002" s="587" t="str">
        <f ca="1">IFERROR(__xludf.DUMMYFUNCTION("""COMPUTED_VALUE"""),"Ruby")</f>
        <v>Ruby</v>
      </c>
      <c r="B1002" s="587" t="str">
        <f ca="1">IFERROR(__xludf.DUMMYFUNCTION("""COMPUTED_VALUE"""),"ĐTPCAYDI")</f>
        <v>ĐTPCAYDI</v>
      </c>
      <c r="C1002" s="587" t="str">
        <f ca="1">IFERROR(__xludf.DUMMYFUNCTION("""COMPUTED_VALUE"""),"DOTRB2858100")</f>
        <v>DOTRB2858100</v>
      </c>
      <c r="D1002" s="588" t="str">
        <f ca="1">IFERROR(__xludf.DUMMYFUNCTION("""COMPUTED_VALUE"""),"Đồng ống thẳng RUBY 28.58x1.00")</f>
        <v>Đồng ống thẳng RUBY 28.58x1.00</v>
      </c>
      <c r="E1002" s="589">
        <f ca="1">IFERROR(__xludf.DUMMYFUNCTION("""COMPUTED_VALUE"""),0.1)</f>
        <v>0.1</v>
      </c>
      <c r="F1002" s="590" t="str">
        <f ca="1">IFERROR(__xludf.DUMMYFUNCTION("""COMPUTED_VALUE"""),"Cây")</f>
        <v>Cây</v>
      </c>
      <c r="G1002" s="590" t="str">
        <f ca="1">IFERROR(__xludf.DUMMYFUNCTION("""COMPUTED_VALUE"""),"Cây 2.9m")</f>
        <v>Cây 2.9m</v>
      </c>
      <c r="H1002" s="588"/>
      <c r="I1002" s="591">
        <f ca="1">IFERROR(__xludf.DUMMYFUNCTION("""COMPUTED_VALUE"""),2.239496)</f>
        <v>2.2394959999999999</v>
      </c>
      <c r="J1002" s="592" t="str">
        <f ca="1">IFERROR(__xludf.DUMMYFUNCTION("""COMPUTED_VALUE""")," 28.58 ")</f>
        <v xml:space="preserve"> 28.58 </v>
      </c>
      <c r="K1002" s="590" t="str">
        <f ca="1">IFERROR(__xludf.DUMMYFUNCTION("""COMPUTED_VALUE"""),"1.00")</f>
        <v>1.00</v>
      </c>
      <c r="L1002" s="590">
        <f ca="1">IFERROR(__xludf.DUMMYFUNCTION("""COMPUTED_VALUE"""),2.9)</f>
        <v>2.9</v>
      </c>
      <c r="M1002" s="590"/>
      <c r="N1002" s="590" t="str">
        <f ca="1">IFERROR(__xludf.DUMMYFUNCTION("""COMPUTED_VALUE"""),"Dị_D&lt;54")</f>
        <v>Dị_D&lt;54</v>
      </c>
      <c r="O1002" s="589"/>
      <c r="P1002" s="590"/>
    </row>
    <row r="1003" spans="1:16" ht="15.75">
      <c r="A1003" s="581" t="str">
        <f ca="1">IFERROR(__xludf.DUMMYFUNCTION("""COMPUTED_VALUE"""),"Ruby")</f>
        <v>Ruby</v>
      </c>
      <c r="B1003" s="581" t="str">
        <f ca="1">IFERROR(__xludf.DUMMYFUNCTION("""COMPUTED_VALUE"""),"ĐTPCAYDI")</f>
        <v>ĐTPCAYDI</v>
      </c>
      <c r="C1003" s="581" t="str">
        <f ca="1">IFERROR(__xludf.DUMMYFUNCTION("""COMPUTED_VALUE"""),"DOTRB28581058")</f>
        <v>DOTRB28581058</v>
      </c>
      <c r="D1003" s="582" t="str">
        <f ca="1">IFERROR(__xludf.DUMMYFUNCTION("""COMPUTED_VALUE"""),"Đồng ống thẳng RUBY 28.58x1.0X5.8")</f>
        <v>Đồng ống thẳng RUBY 28.58x1.0X5.8</v>
      </c>
      <c r="E1003" s="583">
        <f ca="1">IFERROR(__xludf.DUMMYFUNCTION("""COMPUTED_VALUE"""),0.1)</f>
        <v>0.1</v>
      </c>
      <c r="F1003" s="584" t="str">
        <f ca="1">IFERROR(__xludf.DUMMYFUNCTION("""COMPUTED_VALUE"""),"Cây")</f>
        <v>Cây</v>
      </c>
      <c r="G1003" s="584" t="str">
        <f ca="1">IFERROR(__xludf.DUMMYFUNCTION("""COMPUTED_VALUE"""),"Cây 5.8m")</f>
        <v>Cây 5.8m</v>
      </c>
      <c r="H1003" s="582"/>
      <c r="I1003" s="585">
        <f ca="1">IFERROR(__xludf.DUMMYFUNCTION("""COMPUTED_VALUE"""),4.478992)</f>
        <v>4.4789919999999999</v>
      </c>
      <c r="J1003" s="586" t="str">
        <f ca="1">IFERROR(__xludf.DUMMYFUNCTION("""COMPUTED_VALUE""")," 28.58 ")</f>
        <v xml:space="preserve"> 28.58 </v>
      </c>
      <c r="K1003" s="584" t="str">
        <f ca="1">IFERROR(__xludf.DUMMYFUNCTION("""COMPUTED_VALUE"""),"1.00")</f>
        <v>1.00</v>
      </c>
      <c r="L1003" s="584">
        <f ca="1">IFERROR(__xludf.DUMMYFUNCTION("""COMPUTED_VALUE"""),5.8)</f>
        <v>5.8</v>
      </c>
      <c r="M1003" s="584"/>
      <c r="N1003" s="584" t="str">
        <f ca="1">IFERROR(__xludf.DUMMYFUNCTION("""COMPUTED_VALUE"""),"Dị_D&lt;54")</f>
        <v>Dị_D&lt;54</v>
      </c>
      <c r="O1003" s="583"/>
      <c r="P1003" s="584"/>
    </row>
    <row r="1004" spans="1:16" ht="15.75">
      <c r="A1004" s="587" t="str">
        <f ca="1">IFERROR(__xludf.DUMMYFUNCTION("""COMPUTED_VALUE"""),"Ruby")</f>
        <v>Ruby</v>
      </c>
      <c r="B1004" s="587" t="str">
        <f ca="1">IFERROR(__xludf.DUMMYFUNCTION("""COMPUTED_VALUE"""),"ĐTPCAYDI")</f>
        <v>ĐTPCAYDI</v>
      </c>
      <c r="C1004" s="587" t="str">
        <f ca="1">IFERROR(__xludf.DUMMYFUNCTION("""COMPUTED_VALUE"""),"DOTRB2858120")</f>
        <v>DOTRB2858120</v>
      </c>
      <c r="D1004" s="588" t="str">
        <f ca="1">IFERROR(__xludf.DUMMYFUNCTION("""COMPUTED_VALUE"""),"Đồng ống thẳng Ruby 28.58x1.20")</f>
        <v>Đồng ống thẳng Ruby 28.58x1.20</v>
      </c>
      <c r="E1004" s="589">
        <f ca="1">IFERROR(__xludf.DUMMYFUNCTION("""COMPUTED_VALUE"""),0.1)</f>
        <v>0.1</v>
      </c>
      <c r="F1004" s="590" t="str">
        <f ca="1">IFERROR(__xludf.DUMMYFUNCTION("""COMPUTED_VALUE"""),"Cây")</f>
        <v>Cây</v>
      </c>
      <c r="G1004" s="590" t="str">
        <f ca="1">IFERROR(__xludf.DUMMYFUNCTION("""COMPUTED_VALUE"""),"Cây 2.9m")</f>
        <v>Cây 2.9m</v>
      </c>
      <c r="H1004" s="588"/>
      <c r="I1004" s="591">
        <f ca="1">IFERROR(__xludf.DUMMYFUNCTION("""COMPUTED_VALUE"""),2.66790719999999)</f>
        <v>2.6679071999999899</v>
      </c>
      <c r="J1004" s="592" t="str">
        <f ca="1">IFERROR(__xludf.DUMMYFUNCTION("""COMPUTED_VALUE""")," 28.58 ")</f>
        <v xml:space="preserve"> 28.58 </v>
      </c>
      <c r="K1004" s="590" t="str">
        <f ca="1">IFERROR(__xludf.DUMMYFUNCTION("""COMPUTED_VALUE"""),"1.20")</f>
        <v>1.20</v>
      </c>
      <c r="L1004" s="590">
        <f ca="1">IFERROR(__xludf.DUMMYFUNCTION("""COMPUTED_VALUE"""),2.9)</f>
        <v>2.9</v>
      </c>
      <c r="M1004" s="590"/>
      <c r="N1004" s="590" t="str">
        <f ca="1">IFERROR(__xludf.DUMMYFUNCTION("""COMPUTED_VALUE"""),"Dị_D&lt;54")</f>
        <v>Dị_D&lt;54</v>
      </c>
      <c r="O1004" s="589"/>
      <c r="P1004" s="590"/>
    </row>
    <row r="1005" spans="1:16" ht="15.75">
      <c r="A1005" s="581" t="str">
        <f ca="1">IFERROR(__xludf.DUMMYFUNCTION("""COMPUTED_VALUE"""),"Ruby")</f>
        <v>Ruby</v>
      </c>
      <c r="B1005" s="581" t="str">
        <f ca="1">IFERROR(__xludf.DUMMYFUNCTION("""COMPUTED_VALUE"""),"ĐTPCAYDI")</f>
        <v>ĐTPCAYDI</v>
      </c>
      <c r="C1005" s="581" t="str">
        <f ca="1">IFERROR(__xludf.DUMMYFUNCTION("""COMPUTED_VALUE"""),"DOTRB2858140")</f>
        <v>DOTRB2858140</v>
      </c>
      <c r="D1005" s="582" t="str">
        <f ca="1">IFERROR(__xludf.DUMMYFUNCTION("""COMPUTED_VALUE"""),"Đồng ống thẳng RUBY 28.58x1.40")</f>
        <v>Đồng ống thẳng RUBY 28.58x1.40</v>
      </c>
      <c r="E1005" s="583">
        <f ca="1">IFERROR(__xludf.DUMMYFUNCTION("""COMPUTED_VALUE"""),0.1)</f>
        <v>0.1</v>
      </c>
      <c r="F1005" s="584" t="str">
        <f ca="1">IFERROR(__xludf.DUMMYFUNCTION("""COMPUTED_VALUE"""),"Cây")</f>
        <v>Cây</v>
      </c>
      <c r="G1005" s="584" t="str">
        <f ca="1">IFERROR(__xludf.DUMMYFUNCTION("""COMPUTED_VALUE"""),"Cây 2.9m")</f>
        <v>Cây 2.9m</v>
      </c>
      <c r="H1005" s="582"/>
      <c r="I1005" s="585">
        <f ca="1">IFERROR(__xludf.DUMMYFUNCTION("""COMPUTED_VALUE"""),3.08982239999999)</f>
        <v>3.0898223999999899</v>
      </c>
      <c r="J1005" s="586" t="str">
        <f ca="1">IFERROR(__xludf.DUMMYFUNCTION("""COMPUTED_VALUE""")," 28.58 ")</f>
        <v xml:space="preserve"> 28.58 </v>
      </c>
      <c r="K1005" s="584" t="str">
        <f ca="1">IFERROR(__xludf.DUMMYFUNCTION("""COMPUTED_VALUE"""),"1.40")</f>
        <v>1.40</v>
      </c>
      <c r="L1005" s="584">
        <f ca="1">IFERROR(__xludf.DUMMYFUNCTION("""COMPUTED_VALUE"""),2.9)</f>
        <v>2.9</v>
      </c>
      <c r="M1005" s="584"/>
      <c r="N1005" s="584" t="str">
        <f ca="1">IFERROR(__xludf.DUMMYFUNCTION("""COMPUTED_VALUE"""),"Dị_D&lt;54")</f>
        <v>Dị_D&lt;54</v>
      </c>
      <c r="O1005" s="583">
        <f ca="1">IFERROR(__xludf.DUMMYFUNCTION("""COMPUTED_VALUE"""),1)</f>
        <v>1</v>
      </c>
      <c r="P1005" s="584"/>
    </row>
    <row r="1006" spans="1:16" ht="15.75">
      <c r="A1006" s="587" t="str">
        <f ca="1">IFERROR(__xludf.DUMMYFUNCTION("""COMPUTED_VALUE"""),"Ruby")</f>
        <v>Ruby</v>
      </c>
      <c r="B1006" s="587" t="str">
        <f ca="1">IFERROR(__xludf.DUMMYFUNCTION("""COMPUTED_VALUE"""),"ĐTPCAYDI")</f>
        <v>ĐTPCAYDI</v>
      </c>
      <c r="C1006" s="587" t="str">
        <f ca="1">IFERROR(__xludf.DUMMYFUNCTION("""COMPUTED_VALUE"""),"DOTRB3175100")</f>
        <v>DOTRB3175100</v>
      </c>
      <c r="D1006" s="588" t="str">
        <f ca="1">IFERROR(__xludf.DUMMYFUNCTION("""COMPUTED_VALUE"""),"Đồng ống thẳng RUBY 31.75x1.00")</f>
        <v>Đồng ống thẳng RUBY 31.75x1.00</v>
      </c>
      <c r="E1006" s="589">
        <f ca="1">IFERROR(__xludf.DUMMYFUNCTION("""COMPUTED_VALUE"""),0.1)</f>
        <v>0.1</v>
      </c>
      <c r="F1006" s="590" t="str">
        <f ca="1">IFERROR(__xludf.DUMMYFUNCTION("""COMPUTED_VALUE"""),"Cây")</f>
        <v>Cây</v>
      </c>
      <c r="G1006" s="590" t="str">
        <f ca="1">IFERROR(__xludf.DUMMYFUNCTION("""COMPUTED_VALUE"""),"Cây 2.9m")</f>
        <v>Cây 2.9m</v>
      </c>
      <c r="H1006" s="588"/>
      <c r="I1006" s="591">
        <f ca="1">IFERROR(__xludf.DUMMYFUNCTION("""COMPUTED_VALUE"""),2.49689999999999)</f>
        <v>2.4968999999999899</v>
      </c>
      <c r="J1006" s="592" t="str">
        <f ca="1">IFERROR(__xludf.DUMMYFUNCTION("""COMPUTED_VALUE""")," 31.75 ")</f>
        <v xml:space="preserve"> 31.75 </v>
      </c>
      <c r="K1006" s="590" t="str">
        <f ca="1">IFERROR(__xludf.DUMMYFUNCTION("""COMPUTED_VALUE"""),"1.00")</f>
        <v>1.00</v>
      </c>
      <c r="L1006" s="590">
        <f ca="1">IFERROR(__xludf.DUMMYFUNCTION("""COMPUTED_VALUE"""),2.9)</f>
        <v>2.9</v>
      </c>
      <c r="M1006" s="590"/>
      <c r="N1006" s="590" t="str">
        <f ca="1">IFERROR(__xludf.DUMMYFUNCTION("""COMPUTED_VALUE"""),"Dị_D&lt;54")</f>
        <v>Dị_D&lt;54</v>
      </c>
      <c r="O1006" s="589"/>
      <c r="P1006" s="590"/>
    </row>
    <row r="1007" spans="1:16" ht="15.75">
      <c r="A1007" s="581" t="str">
        <f ca="1">IFERROR(__xludf.DUMMYFUNCTION("""COMPUTED_VALUE"""),"Ruby")</f>
        <v>Ruby</v>
      </c>
      <c r="B1007" s="581" t="str">
        <f ca="1">IFERROR(__xludf.DUMMYFUNCTION("""COMPUTED_VALUE"""),"ĐTPCAYDI")</f>
        <v>ĐTPCAYDI</v>
      </c>
      <c r="C1007" s="581" t="str">
        <f ca="1">IFERROR(__xludf.DUMMYFUNCTION("""COMPUTED_VALUE"""),"DOTRB3175120")</f>
        <v>DOTRB3175120</v>
      </c>
      <c r="D1007" s="582" t="str">
        <f ca="1">IFERROR(__xludf.DUMMYFUNCTION("""COMPUTED_VALUE"""),"Đồng ống thẳng RUBY 31.75x1.20")</f>
        <v>Đồng ống thẳng RUBY 31.75x1.20</v>
      </c>
      <c r="E1007" s="583">
        <f ca="1">IFERROR(__xludf.DUMMYFUNCTION("""COMPUTED_VALUE"""),0.1)</f>
        <v>0.1</v>
      </c>
      <c r="F1007" s="584" t="str">
        <f ca="1">IFERROR(__xludf.DUMMYFUNCTION("""COMPUTED_VALUE"""),"Cây")</f>
        <v>Cây</v>
      </c>
      <c r="G1007" s="584" t="str">
        <f ca="1">IFERROR(__xludf.DUMMYFUNCTION("""COMPUTED_VALUE"""),"Cây 2.9m")</f>
        <v>Cây 2.9m</v>
      </c>
      <c r="H1007" s="582"/>
      <c r="I1007" s="585">
        <f ca="1">IFERROR(__xludf.DUMMYFUNCTION("""COMPUTED_VALUE"""),2.97679199999999)</f>
        <v>2.9767919999999899</v>
      </c>
      <c r="J1007" s="586" t="str">
        <f ca="1">IFERROR(__xludf.DUMMYFUNCTION("""COMPUTED_VALUE""")," 31.75 ")</f>
        <v xml:space="preserve"> 31.75 </v>
      </c>
      <c r="K1007" s="584" t="str">
        <f ca="1">IFERROR(__xludf.DUMMYFUNCTION("""COMPUTED_VALUE"""),"1.20")</f>
        <v>1.20</v>
      </c>
      <c r="L1007" s="584">
        <f ca="1">IFERROR(__xludf.DUMMYFUNCTION("""COMPUTED_VALUE"""),2.9)</f>
        <v>2.9</v>
      </c>
      <c r="M1007" s="584"/>
      <c r="N1007" s="584" t="str">
        <f ca="1">IFERROR(__xludf.DUMMYFUNCTION("""COMPUTED_VALUE"""),"Dị_D&lt;54")</f>
        <v>Dị_D&lt;54</v>
      </c>
      <c r="O1007" s="583"/>
      <c r="P1007" s="584"/>
    </row>
    <row r="1008" spans="1:16" ht="15.75">
      <c r="A1008" s="587" t="str">
        <f ca="1">IFERROR(__xludf.DUMMYFUNCTION("""COMPUTED_VALUE"""),"Ruby")</f>
        <v>Ruby</v>
      </c>
      <c r="B1008" s="587" t="str">
        <f ca="1">IFERROR(__xludf.DUMMYFUNCTION("""COMPUTED_VALUE"""),"ĐTPCAYDI")</f>
        <v>ĐTPCAYDI</v>
      </c>
      <c r="C1008" s="587" t="str">
        <f ca="1">IFERROR(__xludf.DUMMYFUNCTION("""COMPUTED_VALUE"""),"DOTRB317512058")</f>
        <v>DOTRB317512058</v>
      </c>
      <c r="D1008" s="588" t="str">
        <f ca="1">IFERROR(__xludf.DUMMYFUNCTION("""COMPUTED_VALUE"""),"Đồng ống thẳng RUBY 31.75x1.20x5.8")</f>
        <v>Đồng ống thẳng RUBY 31.75x1.20x5.8</v>
      </c>
      <c r="E1008" s="589">
        <f ca="1">IFERROR(__xludf.DUMMYFUNCTION("""COMPUTED_VALUE"""),0.1)</f>
        <v>0.1</v>
      </c>
      <c r="F1008" s="590" t="str">
        <f ca="1">IFERROR(__xludf.DUMMYFUNCTION("""COMPUTED_VALUE"""),"Cây")</f>
        <v>Cây</v>
      </c>
      <c r="G1008" s="590" t="str">
        <f ca="1">IFERROR(__xludf.DUMMYFUNCTION("""COMPUTED_VALUE"""),"Cây 5.8m")</f>
        <v>Cây 5.8m</v>
      </c>
      <c r="H1008" s="588"/>
      <c r="I1008" s="591">
        <f ca="1">IFERROR(__xludf.DUMMYFUNCTION("""COMPUTED_VALUE"""),5.95358399999999)</f>
        <v>5.9535839999999904</v>
      </c>
      <c r="J1008" s="592" t="str">
        <f ca="1">IFERROR(__xludf.DUMMYFUNCTION("""COMPUTED_VALUE""")," 31.75 ")</f>
        <v xml:space="preserve"> 31.75 </v>
      </c>
      <c r="K1008" s="590" t="str">
        <f ca="1">IFERROR(__xludf.DUMMYFUNCTION("""COMPUTED_VALUE"""),"1.20")</f>
        <v>1.20</v>
      </c>
      <c r="L1008" s="590">
        <f ca="1">IFERROR(__xludf.DUMMYFUNCTION("""COMPUTED_VALUE"""),5.8)</f>
        <v>5.8</v>
      </c>
      <c r="M1008" s="590"/>
      <c r="N1008" s="590" t="str">
        <f ca="1">IFERROR(__xludf.DUMMYFUNCTION("""COMPUTED_VALUE"""),"Dị_D&lt;54")</f>
        <v>Dị_D&lt;54</v>
      </c>
      <c r="O1008" s="589"/>
      <c r="P1008" s="590"/>
    </row>
    <row r="1009" spans="1:16" ht="15.75">
      <c r="A1009" s="581" t="str">
        <f ca="1">IFERROR(__xludf.DUMMYFUNCTION("""COMPUTED_VALUE"""),"Ruby")</f>
        <v>Ruby</v>
      </c>
      <c r="B1009" s="581" t="str">
        <f ca="1">IFERROR(__xludf.DUMMYFUNCTION("""COMPUTED_VALUE"""),"ĐTPCAYDI")</f>
        <v>ĐTPCAYDI</v>
      </c>
      <c r="C1009" s="581" t="str">
        <f ca="1">IFERROR(__xludf.DUMMYFUNCTION("""COMPUTED_VALUE"""),"DOTRB3175140")</f>
        <v>DOTRB3175140</v>
      </c>
      <c r="D1009" s="582" t="str">
        <f ca="1">IFERROR(__xludf.DUMMYFUNCTION("""COMPUTED_VALUE"""),"Đồng ống thẳng RUBY 31.75x1.4")</f>
        <v>Đồng ống thẳng RUBY 31.75x1.4</v>
      </c>
      <c r="E1009" s="583">
        <f ca="1">IFERROR(__xludf.DUMMYFUNCTION("""COMPUTED_VALUE"""),0.1)</f>
        <v>0.1</v>
      </c>
      <c r="F1009" s="584" t="str">
        <f ca="1">IFERROR(__xludf.DUMMYFUNCTION("""COMPUTED_VALUE"""),"Cây")</f>
        <v>Cây</v>
      </c>
      <c r="G1009" s="584" t="str">
        <f ca="1">IFERROR(__xludf.DUMMYFUNCTION("""COMPUTED_VALUE"""),"Cây 2.9m")</f>
        <v>Cây 2.9m</v>
      </c>
      <c r="H1009" s="582"/>
      <c r="I1009" s="585">
        <f ca="1">IFERROR(__xludf.DUMMYFUNCTION("""COMPUTED_VALUE"""),3.450188)</f>
        <v>3.4501879999999998</v>
      </c>
      <c r="J1009" s="586" t="str">
        <f ca="1">IFERROR(__xludf.DUMMYFUNCTION("""COMPUTED_VALUE""")," 31.75 ")</f>
        <v xml:space="preserve"> 31.75 </v>
      </c>
      <c r="K1009" s="584" t="str">
        <f ca="1">IFERROR(__xludf.DUMMYFUNCTION("""COMPUTED_VALUE"""),"1.40")</f>
        <v>1.40</v>
      </c>
      <c r="L1009" s="584">
        <f ca="1">IFERROR(__xludf.DUMMYFUNCTION("""COMPUTED_VALUE"""),2.9)</f>
        <v>2.9</v>
      </c>
      <c r="M1009" s="584"/>
      <c r="N1009" s="584" t="str">
        <f ca="1">IFERROR(__xludf.DUMMYFUNCTION("""COMPUTED_VALUE"""),"Dị_D&lt;54")</f>
        <v>Dị_D&lt;54</v>
      </c>
      <c r="O1009" s="583">
        <f ca="1">IFERROR(__xludf.DUMMYFUNCTION("""COMPUTED_VALUE"""),1)</f>
        <v>1</v>
      </c>
      <c r="P1009" s="584"/>
    </row>
    <row r="1010" spans="1:16" ht="15.75">
      <c r="A1010" s="587" t="str">
        <f ca="1">IFERROR(__xludf.DUMMYFUNCTION("""COMPUTED_VALUE"""),"Ruby")</f>
        <v>Ruby</v>
      </c>
      <c r="B1010" s="587" t="str">
        <f ca="1">IFERROR(__xludf.DUMMYFUNCTION("""COMPUTED_VALUE"""),"ĐTPCAYDI")</f>
        <v>ĐTPCAYDI</v>
      </c>
      <c r="C1010" s="587" t="str">
        <f ca="1">IFERROR(__xludf.DUMMYFUNCTION("""COMPUTED_VALUE"""),"DOTRB317514058")</f>
        <v>DOTRB317514058</v>
      </c>
      <c r="D1010" s="588" t="str">
        <f ca="1">IFERROR(__xludf.DUMMYFUNCTION("""COMPUTED_VALUE"""),"Đồng ống thẳng RUBY 31.75x1.4x5.8 ")</f>
        <v xml:space="preserve">Đồng ống thẳng RUBY 31.75x1.4x5.8 </v>
      </c>
      <c r="E1010" s="589">
        <f ca="1">IFERROR(__xludf.DUMMYFUNCTION("""COMPUTED_VALUE"""),0.1)</f>
        <v>0.1</v>
      </c>
      <c r="F1010" s="590" t="str">
        <f ca="1">IFERROR(__xludf.DUMMYFUNCTION("""COMPUTED_VALUE"""),"Cây")</f>
        <v>Cây</v>
      </c>
      <c r="G1010" s="590" t="str">
        <f ca="1">IFERROR(__xludf.DUMMYFUNCTION("""COMPUTED_VALUE"""),"Cây 5.8m")</f>
        <v>Cây 5.8m</v>
      </c>
      <c r="H1010" s="588"/>
      <c r="I1010" s="591">
        <f ca="1">IFERROR(__xludf.DUMMYFUNCTION("""COMPUTED_VALUE"""),6.900376)</f>
        <v>6.9003759999999996</v>
      </c>
      <c r="J1010" s="592" t="str">
        <f ca="1">IFERROR(__xludf.DUMMYFUNCTION("""COMPUTED_VALUE""")," 31.75 ")</f>
        <v xml:space="preserve"> 31.75 </v>
      </c>
      <c r="K1010" s="590" t="str">
        <f ca="1">IFERROR(__xludf.DUMMYFUNCTION("""COMPUTED_VALUE"""),"1.40")</f>
        <v>1.40</v>
      </c>
      <c r="L1010" s="590">
        <f ca="1">IFERROR(__xludf.DUMMYFUNCTION("""COMPUTED_VALUE"""),5.8)</f>
        <v>5.8</v>
      </c>
      <c r="M1010" s="590"/>
      <c r="N1010" s="590" t="str">
        <f ca="1">IFERROR(__xludf.DUMMYFUNCTION("""COMPUTED_VALUE"""),"Dị_D&lt;54")</f>
        <v>Dị_D&lt;54</v>
      </c>
      <c r="O1010" s="589"/>
      <c r="P1010" s="590"/>
    </row>
    <row r="1011" spans="1:16" ht="15.75">
      <c r="A1011" s="581" t="str">
        <f ca="1">IFERROR(__xludf.DUMMYFUNCTION("""COMPUTED_VALUE"""),"Ruby")</f>
        <v>Ruby</v>
      </c>
      <c r="B1011" s="581" t="str">
        <f ca="1">IFERROR(__xludf.DUMMYFUNCTION("""COMPUTED_VALUE"""),"ĐTPCAYDI")</f>
        <v>ĐTPCAYDI</v>
      </c>
      <c r="C1011" s="581" t="str">
        <f ca="1">IFERROR(__xludf.DUMMYFUNCTION("""COMPUTED_VALUE"""),"DOTRB3493120")</f>
        <v>DOTRB3493120</v>
      </c>
      <c r="D1011" s="582" t="str">
        <f ca="1">IFERROR(__xludf.DUMMYFUNCTION("""COMPUTED_VALUE"""),"Đồng ống thẳng RUBY 34.93x1.20 ")</f>
        <v xml:space="preserve">Đồng ống thẳng RUBY 34.93x1.20 </v>
      </c>
      <c r="E1011" s="583">
        <f ca="1">IFERROR(__xludf.DUMMYFUNCTION("""COMPUTED_VALUE"""),0.1)</f>
        <v>0.1</v>
      </c>
      <c r="F1011" s="584" t="str">
        <f ca="1">IFERROR(__xludf.DUMMYFUNCTION("""COMPUTED_VALUE"""),"Cây")</f>
        <v>Cây</v>
      </c>
      <c r="G1011" s="584" t="str">
        <f ca="1">IFERROR(__xludf.DUMMYFUNCTION("""COMPUTED_VALUE"""),"Cây 2.9m")</f>
        <v>Cây 2.9m</v>
      </c>
      <c r="H1011" s="582"/>
      <c r="I1011" s="585">
        <f ca="1">IFERROR(__xludf.DUMMYFUNCTION("""COMPUTED_VALUE"""),3.28665119999999)</f>
        <v>3.2866511999999899</v>
      </c>
      <c r="J1011" s="586" t="str">
        <f ca="1">IFERROR(__xludf.DUMMYFUNCTION("""COMPUTED_VALUE""")," 34.93 ")</f>
        <v xml:space="preserve"> 34.93 </v>
      </c>
      <c r="K1011" s="584" t="str">
        <f ca="1">IFERROR(__xludf.DUMMYFUNCTION("""COMPUTED_VALUE"""),"1.20")</f>
        <v>1.20</v>
      </c>
      <c r="L1011" s="584">
        <f ca="1">IFERROR(__xludf.DUMMYFUNCTION("""COMPUTED_VALUE"""),2.9)</f>
        <v>2.9</v>
      </c>
      <c r="M1011" s="584"/>
      <c r="N1011" s="584" t="str">
        <f ca="1">IFERROR(__xludf.DUMMYFUNCTION("""COMPUTED_VALUE"""),"Dị_D&lt;54")</f>
        <v>Dị_D&lt;54</v>
      </c>
      <c r="O1011" s="583"/>
      <c r="P1011" s="584"/>
    </row>
    <row r="1012" spans="1:16" ht="15.75">
      <c r="A1012" s="587" t="str">
        <f ca="1">IFERROR(__xludf.DUMMYFUNCTION("""COMPUTED_VALUE"""),"Ruby")</f>
        <v>Ruby</v>
      </c>
      <c r="B1012" s="587" t="str">
        <f ca="1">IFERROR(__xludf.DUMMYFUNCTION("""COMPUTED_VALUE"""),"ĐTPCAYDI")</f>
        <v>ĐTPCAYDI</v>
      </c>
      <c r="C1012" s="587" t="str">
        <f ca="1">IFERROR(__xludf.DUMMYFUNCTION("""COMPUTED_VALUE"""),"DOTRB349312058")</f>
        <v>DOTRB349312058</v>
      </c>
      <c r="D1012" s="588" t="str">
        <f ca="1">IFERROR(__xludf.DUMMYFUNCTION("""COMPUTED_VALUE"""),"Đồng ống thẳng RUBY 34.93x1.20x5.8")</f>
        <v>Đồng ống thẳng RUBY 34.93x1.20x5.8</v>
      </c>
      <c r="E1012" s="589">
        <f ca="1">IFERROR(__xludf.DUMMYFUNCTION("""COMPUTED_VALUE"""),0.1)</f>
        <v>0.1</v>
      </c>
      <c r="F1012" s="590" t="str">
        <f ca="1">IFERROR(__xludf.DUMMYFUNCTION("""COMPUTED_VALUE"""),"Cây")</f>
        <v>Cây</v>
      </c>
      <c r="G1012" s="590" t="str">
        <f ca="1">IFERROR(__xludf.DUMMYFUNCTION("""COMPUTED_VALUE"""),"Cây 5.8m")</f>
        <v>Cây 5.8m</v>
      </c>
      <c r="H1012" s="588"/>
      <c r="I1012" s="591">
        <f ca="1">IFERROR(__xludf.DUMMYFUNCTION("""COMPUTED_VALUE"""),6.57330239999999)</f>
        <v>6.5733023999999904</v>
      </c>
      <c r="J1012" s="592" t="str">
        <f ca="1">IFERROR(__xludf.DUMMYFUNCTION("""COMPUTED_VALUE""")," 34.93 ")</f>
        <v xml:space="preserve"> 34.93 </v>
      </c>
      <c r="K1012" s="590" t="str">
        <f ca="1">IFERROR(__xludf.DUMMYFUNCTION("""COMPUTED_VALUE"""),"1.20")</f>
        <v>1.20</v>
      </c>
      <c r="L1012" s="590">
        <f ca="1">IFERROR(__xludf.DUMMYFUNCTION("""COMPUTED_VALUE"""),5.8)</f>
        <v>5.8</v>
      </c>
      <c r="M1012" s="590"/>
      <c r="N1012" s="590" t="str">
        <f ca="1">IFERROR(__xludf.DUMMYFUNCTION("""COMPUTED_VALUE"""),"Dị_D&lt;54")</f>
        <v>Dị_D&lt;54</v>
      </c>
      <c r="O1012" s="589"/>
      <c r="P1012" s="590"/>
    </row>
    <row r="1013" spans="1:16" ht="15.75">
      <c r="A1013" s="581" t="str">
        <f ca="1">IFERROR(__xludf.DUMMYFUNCTION("""COMPUTED_VALUE"""),"Ruby")</f>
        <v>Ruby</v>
      </c>
      <c r="B1013" s="581" t="str">
        <f ca="1">IFERROR(__xludf.DUMMYFUNCTION("""COMPUTED_VALUE"""),"ĐTPCAYDI")</f>
        <v>ĐTPCAYDI</v>
      </c>
      <c r="C1013" s="581" t="str">
        <f ca="1">IFERROR(__xludf.DUMMYFUNCTION("""COMPUTED_VALUE"""),"DOTRB3493140")</f>
        <v>DOTRB3493140</v>
      </c>
      <c r="D1013" s="582" t="str">
        <f ca="1">IFERROR(__xludf.DUMMYFUNCTION("""COMPUTED_VALUE"""),"Đồng ống thẳng RUBY 34.93x1.40 ")</f>
        <v xml:space="preserve">Đồng ống thẳng RUBY 34.93x1.40 </v>
      </c>
      <c r="E1013" s="583">
        <f ca="1">IFERROR(__xludf.DUMMYFUNCTION("""COMPUTED_VALUE"""),0.1)</f>
        <v>0.1</v>
      </c>
      <c r="F1013" s="584" t="str">
        <f ca="1">IFERROR(__xludf.DUMMYFUNCTION("""COMPUTED_VALUE"""),"Cây")</f>
        <v>Cây</v>
      </c>
      <c r="G1013" s="584" t="str">
        <f ca="1">IFERROR(__xludf.DUMMYFUNCTION("""COMPUTED_VALUE"""),"Cây 2.9m")</f>
        <v>Cây 2.9m</v>
      </c>
      <c r="H1013" s="582"/>
      <c r="I1013" s="585">
        <f ca="1">IFERROR(__xludf.DUMMYFUNCTION("""COMPUTED_VALUE"""),3.8116904)</f>
        <v>3.8116903999999998</v>
      </c>
      <c r="J1013" s="586" t="str">
        <f ca="1">IFERROR(__xludf.DUMMYFUNCTION("""COMPUTED_VALUE""")," 34.93 ")</f>
        <v xml:space="preserve"> 34.93 </v>
      </c>
      <c r="K1013" s="584" t="str">
        <f ca="1">IFERROR(__xludf.DUMMYFUNCTION("""COMPUTED_VALUE"""),"1.40")</f>
        <v>1.40</v>
      </c>
      <c r="L1013" s="584">
        <f ca="1">IFERROR(__xludf.DUMMYFUNCTION("""COMPUTED_VALUE"""),2.9)</f>
        <v>2.9</v>
      </c>
      <c r="M1013" s="584"/>
      <c r="N1013" s="584" t="str">
        <f ca="1">IFERROR(__xludf.DUMMYFUNCTION("""COMPUTED_VALUE"""),"Dị_D&lt;54")</f>
        <v>Dị_D&lt;54</v>
      </c>
      <c r="O1013" s="583"/>
      <c r="P1013" s="584"/>
    </row>
    <row r="1014" spans="1:16" ht="15.75">
      <c r="A1014" s="587" t="str">
        <f ca="1">IFERROR(__xludf.DUMMYFUNCTION("""COMPUTED_VALUE"""),"Ruby")</f>
        <v>Ruby</v>
      </c>
      <c r="B1014" s="587" t="str">
        <f ca="1">IFERROR(__xludf.DUMMYFUNCTION("""COMPUTED_VALUE"""),"ĐTPCAYDI")</f>
        <v>ĐTPCAYDI</v>
      </c>
      <c r="C1014" s="587" t="str">
        <f ca="1">IFERROR(__xludf.DUMMYFUNCTION("""COMPUTED_VALUE"""),"DOTRB3810120(NM)")</f>
        <v>DOTRB3810120(NM)</v>
      </c>
      <c r="D1014" s="588" t="str">
        <f ca="1">IFERROR(__xludf.DUMMYFUNCTION("""COMPUTED_VALUE"""),"Đồng ống thẳng RUBY 38.10x1.20")</f>
        <v>Đồng ống thẳng RUBY 38.10x1.20</v>
      </c>
      <c r="E1014" s="589">
        <f ca="1">IFERROR(__xludf.DUMMYFUNCTION("""COMPUTED_VALUE"""),0.1)</f>
        <v>0.1</v>
      </c>
      <c r="F1014" s="590" t="str">
        <f ca="1">IFERROR(__xludf.DUMMYFUNCTION("""COMPUTED_VALUE"""),"Cây")</f>
        <v>Cây</v>
      </c>
      <c r="G1014" s="590" t="str">
        <f ca="1">IFERROR(__xludf.DUMMYFUNCTION("""COMPUTED_VALUE"""),"Cây 2.9m")</f>
        <v>Cây 2.9m</v>
      </c>
      <c r="H1014" s="588"/>
      <c r="I1014" s="591">
        <f ca="1">IFERROR(__xludf.DUMMYFUNCTION("""COMPUTED_VALUE"""),3.59553599999999)</f>
        <v>3.5955359999999899</v>
      </c>
      <c r="J1014" s="592" t="str">
        <f ca="1">IFERROR(__xludf.DUMMYFUNCTION("""COMPUTED_VALUE""")," 38.10 ")</f>
        <v xml:space="preserve"> 38.10 </v>
      </c>
      <c r="K1014" s="590" t="str">
        <f ca="1">IFERROR(__xludf.DUMMYFUNCTION("""COMPUTED_VALUE"""),"1.20")</f>
        <v>1.20</v>
      </c>
      <c r="L1014" s="590">
        <f ca="1">IFERROR(__xludf.DUMMYFUNCTION("""COMPUTED_VALUE"""),2.9)</f>
        <v>2.9</v>
      </c>
      <c r="M1014" s="590"/>
      <c r="N1014" s="590" t="str">
        <f ca="1">IFERROR(__xludf.DUMMYFUNCTION("""COMPUTED_VALUE"""),"Dị_D&lt;54")</f>
        <v>Dị_D&lt;54</v>
      </c>
      <c r="O1014" s="589"/>
      <c r="P1014" s="590"/>
    </row>
    <row r="1015" spans="1:16" ht="15.75">
      <c r="A1015" s="581" t="str">
        <f ca="1">IFERROR(__xludf.DUMMYFUNCTION("""COMPUTED_VALUE"""),"Ruby")</f>
        <v>Ruby</v>
      </c>
      <c r="B1015" s="581" t="str">
        <f ca="1">IFERROR(__xludf.DUMMYFUNCTION("""COMPUTED_VALUE"""),"ĐTPCAYDI")</f>
        <v>ĐTPCAYDI</v>
      </c>
      <c r="C1015" s="581" t="str">
        <f ca="1">IFERROR(__xludf.DUMMYFUNCTION("""COMPUTED_VALUE"""),"DOTRB3810140")</f>
        <v>DOTRB3810140</v>
      </c>
      <c r="D1015" s="582" t="str">
        <f ca="1">IFERROR(__xludf.DUMMYFUNCTION("""COMPUTED_VALUE"""),"Đồng ống thẳng RUBY 38.10x1.40")</f>
        <v>Đồng ống thẳng RUBY 38.10x1.40</v>
      </c>
      <c r="E1015" s="583">
        <f ca="1">IFERROR(__xludf.DUMMYFUNCTION("""COMPUTED_VALUE"""),0.1)</f>
        <v>0.1</v>
      </c>
      <c r="F1015" s="584" t="str">
        <f ca="1">IFERROR(__xludf.DUMMYFUNCTION("""COMPUTED_VALUE"""),"Cây")</f>
        <v>Cây</v>
      </c>
      <c r="G1015" s="584" t="str">
        <f ca="1">IFERROR(__xludf.DUMMYFUNCTION("""COMPUTED_VALUE"""),"Cây 2.9m")</f>
        <v>Cây 2.9m</v>
      </c>
      <c r="H1015" s="582"/>
      <c r="I1015" s="585">
        <f ca="1">IFERROR(__xludf.DUMMYFUNCTION("""COMPUTED_VALUE"""),4.172056)</f>
        <v>4.1720560000000004</v>
      </c>
      <c r="J1015" s="586" t="str">
        <f ca="1">IFERROR(__xludf.DUMMYFUNCTION("""COMPUTED_VALUE""")," 38.10 ")</f>
        <v xml:space="preserve"> 38.10 </v>
      </c>
      <c r="K1015" s="584" t="str">
        <f ca="1">IFERROR(__xludf.DUMMYFUNCTION("""COMPUTED_VALUE"""),"1.40")</f>
        <v>1.40</v>
      </c>
      <c r="L1015" s="584">
        <f ca="1">IFERROR(__xludf.DUMMYFUNCTION("""COMPUTED_VALUE"""),2.9)</f>
        <v>2.9</v>
      </c>
      <c r="M1015" s="584"/>
      <c r="N1015" s="584" t="str">
        <f ca="1">IFERROR(__xludf.DUMMYFUNCTION("""COMPUTED_VALUE"""),"Dị_D&lt;54")</f>
        <v>Dị_D&lt;54</v>
      </c>
      <c r="O1015" s="583"/>
      <c r="P1015" s="584"/>
    </row>
    <row r="1016" spans="1:16" ht="15.75">
      <c r="A1016" s="587" t="str">
        <f ca="1">IFERROR(__xludf.DUMMYFUNCTION("""COMPUTED_VALUE"""),"Ruby")</f>
        <v>Ruby</v>
      </c>
      <c r="B1016" s="587" t="str">
        <f ca="1">IFERROR(__xludf.DUMMYFUNCTION("""COMPUTED_VALUE"""),"ĐTPCAYDI")</f>
        <v>ĐTPCAYDI</v>
      </c>
      <c r="C1016" s="587" t="str">
        <f ca="1">IFERROR(__xludf.DUMMYFUNCTION("""COMPUTED_VALUE"""),"DOTRB3810143")</f>
        <v>DOTRB3810143</v>
      </c>
      <c r="D1016" s="588" t="str">
        <f ca="1">IFERROR(__xludf.DUMMYFUNCTION("""COMPUTED_VALUE"""),"Đồng ống thẳng RUBY 38.10x1.43")</f>
        <v>Đồng ống thẳng RUBY 38.10x1.43</v>
      </c>
      <c r="E1016" s="589">
        <f ca="1">IFERROR(__xludf.DUMMYFUNCTION("""COMPUTED_VALUE"""),0.1)</f>
        <v>0.1</v>
      </c>
      <c r="F1016" s="590" t="str">
        <f ca="1">IFERROR(__xludf.DUMMYFUNCTION("""COMPUTED_VALUE"""),"Cây")</f>
        <v>Cây</v>
      </c>
      <c r="G1016" s="590" t="str">
        <f ca="1">IFERROR(__xludf.DUMMYFUNCTION("""COMPUTED_VALUE"""),"Cây 2.9m")</f>
        <v>Cây 2.9m</v>
      </c>
      <c r="H1016" s="588"/>
      <c r="I1016" s="591">
        <f ca="1">IFERROR(__xludf.DUMMYFUNCTION("""COMPUTED_VALUE"""),4.25797372)</f>
        <v>4.2579737199999999</v>
      </c>
      <c r="J1016" s="592" t="str">
        <f ca="1">IFERROR(__xludf.DUMMYFUNCTION("""COMPUTED_VALUE""")," 38.10 ")</f>
        <v xml:space="preserve"> 38.10 </v>
      </c>
      <c r="K1016" s="590" t="str">
        <f ca="1">IFERROR(__xludf.DUMMYFUNCTION("""COMPUTED_VALUE"""),"1.43")</f>
        <v>1.43</v>
      </c>
      <c r="L1016" s="590">
        <f ca="1">IFERROR(__xludf.DUMMYFUNCTION("""COMPUTED_VALUE"""),2.9)</f>
        <v>2.9</v>
      </c>
      <c r="M1016" s="590"/>
      <c r="N1016" s="590" t="str">
        <f ca="1">IFERROR(__xludf.DUMMYFUNCTION("""COMPUTED_VALUE"""),"Dị_D&lt;54")</f>
        <v>Dị_D&lt;54</v>
      </c>
      <c r="O1016" s="589">
        <f ca="1">IFERROR(__xludf.DUMMYFUNCTION("""COMPUTED_VALUE"""),1)</f>
        <v>1</v>
      </c>
      <c r="P1016" s="590"/>
    </row>
    <row r="1017" spans="1:16" ht="15.75">
      <c r="A1017" s="581" t="str">
        <f ca="1">IFERROR(__xludf.DUMMYFUNCTION("""COMPUTED_VALUE"""),"Ruby")</f>
        <v>Ruby</v>
      </c>
      <c r="B1017" s="581" t="str">
        <f ca="1">IFERROR(__xludf.DUMMYFUNCTION("""COMPUTED_VALUE"""),"ĐTPCAYDI")</f>
        <v>ĐTPCAYDI</v>
      </c>
      <c r="C1017" s="581" t="str">
        <f ca="1">IFERROR(__xludf.DUMMYFUNCTION("""COMPUTED_VALUE"""),"DOTRB381014058")</f>
        <v>DOTRB381014058</v>
      </c>
      <c r="D1017" s="582" t="str">
        <f ca="1">IFERROR(__xludf.DUMMYFUNCTION("""COMPUTED_VALUE"""),"Đồng ống thẳng RUBY 38.10x1.40x5.8")</f>
        <v>Đồng ống thẳng RUBY 38.10x1.40x5.8</v>
      </c>
      <c r="E1017" s="583">
        <f ca="1">IFERROR(__xludf.DUMMYFUNCTION("""COMPUTED_VALUE"""),0.1)</f>
        <v>0.1</v>
      </c>
      <c r="F1017" s="584" t="str">
        <f ca="1">IFERROR(__xludf.DUMMYFUNCTION("""COMPUTED_VALUE"""),"Cây")</f>
        <v>Cây</v>
      </c>
      <c r="G1017" s="584" t="str">
        <f ca="1">IFERROR(__xludf.DUMMYFUNCTION("""COMPUTED_VALUE"""),"Cây 5.8m")</f>
        <v>Cây 5.8m</v>
      </c>
      <c r="H1017" s="582"/>
      <c r="I1017" s="585">
        <f ca="1">IFERROR(__xludf.DUMMYFUNCTION("""COMPUTED_VALUE"""),8.344112)</f>
        <v>8.3441120000000009</v>
      </c>
      <c r="J1017" s="586" t="str">
        <f ca="1">IFERROR(__xludf.DUMMYFUNCTION("""COMPUTED_VALUE""")," 38.10 ")</f>
        <v xml:space="preserve"> 38.10 </v>
      </c>
      <c r="K1017" s="584" t="str">
        <f ca="1">IFERROR(__xludf.DUMMYFUNCTION("""COMPUTED_VALUE"""),"1.40")</f>
        <v>1.40</v>
      </c>
      <c r="L1017" s="584">
        <f ca="1">IFERROR(__xludf.DUMMYFUNCTION("""COMPUTED_VALUE"""),5.8)</f>
        <v>5.8</v>
      </c>
      <c r="M1017" s="584"/>
      <c r="N1017" s="584" t="str">
        <f ca="1">IFERROR(__xludf.DUMMYFUNCTION("""COMPUTED_VALUE"""),"Dị_D&lt;54")</f>
        <v>Dị_D&lt;54</v>
      </c>
      <c r="O1017" s="583"/>
      <c r="P1017" s="584"/>
    </row>
    <row r="1018" spans="1:16" ht="15.75">
      <c r="A1018" s="587" t="str">
        <f ca="1">IFERROR(__xludf.DUMMYFUNCTION("""COMPUTED_VALUE"""),"Ruby")</f>
        <v>Ruby</v>
      </c>
      <c r="B1018" s="587" t="str">
        <f ca="1">IFERROR(__xludf.DUMMYFUNCTION("""COMPUTED_VALUE"""),"ĐTPCAYDI")</f>
        <v>ĐTPCAYDI</v>
      </c>
      <c r="C1018" s="587" t="str">
        <f ca="1">IFERROR(__xludf.DUMMYFUNCTION("""COMPUTED_VALUE"""),"DOTRB4128120")</f>
        <v>DOTRB4128120</v>
      </c>
      <c r="D1018" s="588" t="str">
        <f ca="1">IFERROR(__xludf.DUMMYFUNCTION("""COMPUTED_VALUE"""),"Đồng ống thẳng RUBY 41.28x1.20")</f>
        <v>Đồng ống thẳng RUBY 41.28x1.20</v>
      </c>
      <c r="E1018" s="589">
        <f ca="1">IFERROR(__xludf.DUMMYFUNCTION("""COMPUTED_VALUE"""),0.1)</f>
        <v>0.1</v>
      </c>
      <c r="F1018" s="590" t="str">
        <f ca="1">IFERROR(__xludf.DUMMYFUNCTION("""COMPUTED_VALUE"""),"Cây")</f>
        <v>Cây</v>
      </c>
      <c r="G1018" s="590" t="str">
        <f ca="1">IFERROR(__xludf.DUMMYFUNCTION("""COMPUTED_VALUE"""),"Cây 2.9m")</f>
        <v>Cây 2.9m</v>
      </c>
      <c r="H1018" s="588"/>
      <c r="I1018" s="591">
        <f ca="1">IFERROR(__xludf.DUMMYFUNCTION("""COMPUTED_VALUE"""),3.90539519999999)</f>
        <v>3.9053951999999899</v>
      </c>
      <c r="J1018" s="592" t="str">
        <f ca="1">IFERROR(__xludf.DUMMYFUNCTION("""COMPUTED_VALUE""")," 41.28 ")</f>
        <v xml:space="preserve"> 41.28 </v>
      </c>
      <c r="K1018" s="590" t="str">
        <f ca="1">IFERROR(__xludf.DUMMYFUNCTION("""COMPUTED_VALUE"""),"1.20")</f>
        <v>1.20</v>
      </c>
      <c r="L1018" s="590">
        <f ca="1">IFERROR(__xludf.DUMMYFUNCTION("""COMPUTED_VALUE"""),2.9)</f>
        <v>2.9</v>
      </c>
      <c r="M1018" s="590"/>
      <c r="N1018" s="590" t="str">
        <f ca="1">IFERROR(__xludf.DUMMYFUNCTION("""COMPUTED_VALUE"""),"Dị_D&lt;54")</f>
        <v>Dị_D&lt;54</v>
      </c>
      <c r="O1018" s="589"/>
      <c r="P1018" s="590"/>
    </row>
    <row r="1019" spans="1:16" ht="15.75">
      <c r="A1019" s="581" t="str">
        <f ca="1">IFERROR(__xludf.DUMMYFUNCTION("""COMPUTED_VALUE"""),"Ruby")</f>
        <v>Ruby</v>
      </c>
      <c r="B1019" s="581" t="str">
        <f ca="1">IFERROR(__xludf.DUMMYFUNCTION("""COMPUTED_VALUE"""),"ĐTPCAYDI")</f>
        <v>ĐTPCAYDI</v>
      </c>
      <c r="C1019" s="581" t="str">
        <f ca="1">IFERROR(__xludf.DUMMYFUNCTION("""COMPUTED_VALUE"""),"DOTRB4128140")</f>
        <v>DOTRB4128140</v>
      </c>
      <c r="D1019" s="582" t="str">
        <f ca="1">IFERROR(__xludf.DUMMYFUNCTION("""COMPUTED_VALUE"""),"Đồng ống thẳng RUBY 41.28x1.40")</f>
        <v>Đồng ống thẳng RUBY 41.28x1.40</v>
      </c>
      <c r="E1019" s="583">
        <f ca="1">IFERROR(__xludf.DUMMYFUNCTION("""COMPUTED_VALUE"""),0.1)</f>
        <v>0.1</v>
      </c>
      <c r="F1019" s="584" t="str">
        <f ca="1">IFERROR(__xludf.DUMMYFUNCTION("""COMPUTED_VALUE"""),"Cây")</f>
        <v>Cây</v>
      </c>
      <c r="G1019" s="584" t="str">
        <f ca="1">IFERROR(__xludf.DUMMYFUNCTION("""COMPUTED_VALUE"""),"Cây 2.9m")</f>
        <v>Cây 2.9m</v>
      </c>
      <c r="H1019" s="582"/>
      <c r="I1019" s="585">
        <f ca="1">IFERROR(__xludf.DUMMYFUNCTION("""COMPUTED_VALUE"""),4.53355839999999)</f>
        <v>4.5335583999999898</v>
      </c>
      <c r="J1019" s="586" t="str">
        <f ca="1">IFERROR(__xludf.DUMMYFUNCTION("""COMPUTED_VALUE""")," 41.28 ")</f>
        <v xml:space="preserve"> 41.28 </v>
      </c>
      <c r="K1019" s="584" t="str">
        <f ca="1">IFERROR(__xludf.DUMMYFUNCTION("""COMPUTED_VALUE"""),"1.40")</f>
        <v>1.40</v>
      </c>
      <c r="L1019" s="584">
        <f ca="1">IFERROR(__xludf.DUMMYFUNCTION("""COMPUTED_VALUE"""),2.9)</f>
        <v>2.9</v>
      </c>
      <c r="M1019" s="584"/>
      <c r="N1019" s="584" t="str">
        <f ca="1">IFERROR(__xludf.DUMMYFUNCTION("""COMPUTED_VALUE"""),"Dị_D&lt;54")</f>
        <v>Dị_D&lt;54</v>
      </c>
      <c r="O1019" s="583"/>
      <c r="P1019" s="584"/>
    </row>
    <row r="1020" spans="1:16" ht="15.75">
      <c r="A1020" s="587" t="str">
        <f ca="1">IFERROR(__xludf.DUMMYFUNCTION("""COMPUTED_VALUE"""),"Ruby")</f>
        <v>Ruby</v>
      </c>
      <c r="B1020" s="587" t="str">
        <f ca="1">IFERROR(__xludf.DUMMYFUNCTION("""COMPUTED_VALUE"""),"ĐTPCAYDI")</f>
        <v>ĐTPCAYDI</v>
      </c>
      <c r="C1020" s="587" t="str">
        <f ca="1">IFERROR(__xludf.DUMMYFUNCTION("""COMPUTED_VALUE"""),"DOTRB412814058")</f>
        <v>DOTRB412814058</v>
      </c>
      <c r="D1020" s="588" t="str">
        <f ca="1">IFERROR(__xludf.DUMMYFUNCTION("""COMPUTED_VALUE"""),"Đồng ống thẳng RUBY 41.28x1.40x5.8")</f>
        <v>Đồng ống thẳng RUBY 41.28x1.40x5.8</v>
      </c>
      <c r="E1020" s="589">
        <f ca="1">IFERROR(__xludf.DUMMYFUNCTION("""COMPUTED_VALUE"""),0.1)</f>
        <v>0.1</v>
      </c>
      <c r="F1020" s="590" t="str">
        <f ca="1">IFERROR(__xludf.DUMMYFUNCTION("""COMPUTED_VALUE"""),"Cây")</f>
        <v>Cây</v>
      </c>
      <c r="G1020" s="590" t="str">
        <f ca="1">IFERROR(__xludf.DUMMYFUNCTION("""COMPUTED_VALUE"""),"Cây 5.8m")</f>
        <v>Cây 5.8m</v>
      </c>
      <c r="H1020" s="588"/>
      <c r="I1020" s="591">
        <f ca="1">IFERROR(__xludf.DUMMYFUNCTION("""COMPUTED_VALUE"""),9.06711679999999)</f>
        <v>9.0671167999999902</v>
      </c>
      <c r="J1020" s="592" t="str">
        <f ca="1">IFERROR(__xludf.DUMMYFUNCTION("""COMPUTED_VALUE""")," 41.28 ")</f>
        <v xml:space="preserve"> 41.28 </v>
      </c>
      <c r="K1020" s="590" t="str">
        <f ca="1">IFERROR(__xludf.DUMMYFUNCTION("""COMPUTED_VALUE"""),"1.40")</f>
        <v>1.40</v>
      </c>
      <c r="L1020" s="590">
        <f ca="1">IFERROR(__xludf.DUMMYFUNCTION("""COMPUTED_VALUE"""),5.8)</f>
        <v>5.8</v>
      </c>
      <c r="M1020" s="590"/>
      <c r="N1020" s="590" t="str">
        <f ca="1">IFERROR(__xludf.DUMMYFUNCTION("""COMPUTED_VALUE"""),"Dị_D&lt;54")</f>
        <v>Dị_D&lt;54</v>
      </c>
      <c r="O1020" s="589"/>
      <c r="P1020" s="590"/>
    </row>
    <row r="1021" spans="1:16" ht="15.75">
      <c r="A1021" s="581" t="str">
        <f ca="1">IFERROR(__xludf.DUMMYFUNCTION("""COMPUTED_VALUE"""),"Ruby")</f>
        <v>Ruby</v>
      </c>
      <c r="B1021" s="581" t="str">
        <f ca="1">IFERROR(__xludf.DUMMYFUNCTION("""COMPUTED_VALUE"""),"ĐTPCAYDI")</f>
        <v>ĐTPCAYDI</v>
      </c>
      <c r="C1021" s="581" t="str">
        <f ca="1">IFERROR(__xludf.DUMMYFUNCTION("""COMPUTED_VALUE"""),"DOTRB412814358")</f>
        <v>DOTRB412814358</v>
      </c>
      <c r="D1021" s="582" t="str">
        <f ca="1">IFERROR(__xludf.DUMMYFUNCTION("""COMPUTED_VALUE"""),"Đồng ống thẳng RUBY 41.28x1.43x5.8 ")</f>
        <v xml:space="preserve">Đồng ống thẳng RUBY 41.28x1.43x5.8 </v>
      </c>
      <c r="E1021" s="583">
        <f ca="1">IFERROR(__xludf.DUMMYFUNCTION("""COMPUTED_VALUE"""),0.1)</f>
        <v>0.1</v>
      </c>
      <c r="F1021" s="584" t="str">
        <f ca="1">IFERROR(__xludf.DUMMYFUNCTION("""COMPUTED_VALUE"""),"Cây")</f>
        <v>Cây</v>
      </c>
      <c r="G1021" s="584" t="str">
        <f ca="1">IFERROR(__xludf.DUMMYFUNCTION("""COMPUTED_VALUE"""),"Cây 5.8m")</f>
        <v>Cây 5.8m</v>
      </c>
      <c r="H1021" s="582"/>
      <c r="I1021" s="585">
        <f ca="1">IFERROR(__xludf.DUMMYFUNCTION("""COMPUTED_VALUE"""),9.2544452)</f>
        <v>9.2544451999999993</v>
      </c>
      <c r="J1021" s="586" t="str">
        <f ca="1">IFERROR(__xludf.DUMMYFUNCTION("""COMPUTED_VALUE""")," 41.28 ")</f>
        <v xml:space="preserve"> 41.28 </v>
      </c>
      <c r="K1021" s="584" t="str">
        <f ca="1">IFERROR(__xludf.DUMMYFUNCTION("""COMPUTED_VALUE"""),"1.43")</f>
        <v>1.43</v>
      </c>
      <c r="L1021" s="584">
        <f ca="1">IFERROR(__xludf.DUMMYFUNCTION("""COMPUTED_VALUE"""),5.8)</f>
        <v>5.8</v>
      </c>
      <c r="M1021" s="584"/>
      <c r="N1021" s="584" t="str">
        <f ca="1">IFERROR(__xludf.DUMMYFUNCTION("""COMPUTED_VALUE"""),"Dị_D&lt;54")</f>
        <v>Dị_D&lt;54</v>
      </c>
      <c r="O1021" s="583"/>
      <c r="P1021" s="584"/>
    </row>
    <row r="1022" spans="1:16" ht="15.75">
      <c r="A1022" s="587" t="str">
        <f ca="1">IFERROR(__xludf.DUMMYFUNCTION("""COMPUTED_VALUE"""),"Ruby")</f>
        <v>Ruby</v>
      </c>
      <c r="B1022" s="587" t="str">
        <f ca="1">IFERROR(__xludf.DUMMYFUNCTION("""COMPUTED_VALUE"""),"ĐTPCAYDI")</f>
        <v>ĐTPCAYDI</v>
      </c>
      <c r="C1022" s="587" t="str">
        <f ca="1">IFERROR(__xludf.DUMMYFUNCTION("""COMPUTED_VALUE"""),"DOTRB4128150")</f>
        <v>DOTRB4128150</v>
      </c>
      <c r="D1022" s="588" t="str">
        <f ca="1">IFERROR(__xludf.DUMMYFUNCTION("""COMPUTED_VALUE"""),"Đồng ống thẳng RUBY 41.28x1.50")</f>
        <v>Đồng ống thẳng RUBY 41.28x1.50</v>
      </c>
      <c r="E1022" s="589">
        <f ca="1">IFERROR(__xludf.DUMMYFUNCTION("""COMPUTED_VALUE"""),0.1)</f>
        <v>0.1</v>
      </c>
      <c r="F1022" s="590" t="str">
        <f ca="1">IFERROR(__xludf.DUMMYFUNCTION("""COMPUTED_VALUE"""),"Cây")</f>
        <v>Cây</v>
      </c>
      <c r="G1022" s="590" t="str">
        <f ca="1">IFERROR(__xludf.DUMMYFUNCTION("""COMPUTED_VALUE"""),"Cây 2.9m")</f>
        <v>Cây 2.9m</v>
      </c>
      <c r="H1022" s="588"/>
      <c r="I1022" s="591">
        <f ca="1">IFERROR(__xludf.DUMMYFUNCTION("""COMPUTED_VALUE"""),4.845204)</f>
        <v>4.8452039999999998</v>
      </c>
      <c r="J1022" s="592" t="str">
        <f ca="1">IFERROR(__xludf.DUMMYFUNCTION("""COMPUTED_VALUE""")," 41.28 ")</f>
        <v xml:space="preserve"> 41.28 </v>
      </c>
      <c r="K1022" s="590" t="str">
        <f ca="1">IFERROR(__xludf.DUMMYFUNCTION("""COMPUTED_VALUE"""),"1.50")</f>
        <v>1.50</v>
      </c>
      <c r="L1022" s="590">
        <f ca="1">IFERROR(__xludf.DUMMYFUNCTION("""COMPUTED_VALUE"""),2.9)</f>
        <v>2.9</v>
      </c>
      <c r="M1022" s="590"/>
      <c r="N1022" s="590" t="str">
        <f ca="1">IFERROR(__xludf.DUMMYFUNCTION("""COMPUTED_VALUE"""),"Dị_D&lt;54")</f>
        <v>Dị_D&lt;54</v>
      </c>
      <c r="O1022" s="589"/>
      <c r="P1022" s="590"/>
    </row>
    <row r="1023" spans="1:16" ht="15.75">
      <c r="A1023" s="581" t="str">
        <f ca="1">IFERROR(__xludf.DUMMYFUNCTION("""COMPUTED_VALUE"""),"Ruby")</f>
        <v>Ruby</v>
      </c>
      <c r="B1023" s="581" t="str">
        <f ca="1">IFERROR(__xludf.DUMMYFUNCTION("""COMPUTED_VALUE"""),"ĐTPCAYDI")</f>
        <v>ĐTPCAYDI</v>
      </c>
      <c r="C1023" s="581" t="str">
        <f ca="1">IFERROR(__xludf.DUMMYFUNCTION("""COMPUTED_VALUE"""),"DOTRB4128152")</f>
        <v>DOTRB4128152</v>
      </c>
      <c r="D1023" s="582" t="str">
        <f ca="1">IFERROR(__xludf.DUMMYFUNCTION("""COMPUTED_VALUE"""),"Đồng ống thẳng RUBY 41.28x1.52")</f>
        <v>Đồng ống thẳng RUBY 41.28x1.52</v>
      </c>
      <c r="E1023" s="583">
        <f ca="1">IFERROR(__xludf.DUMMYFUNCTION("""COMPUTED_VALUE"""),0.1)</f>
        <v>0.1</v>
      </c>
      <c r="F1023" s="584" t="str">
        <f ca="1">IFERROR(__xludf.DUMMYFUNCTION("""COMPUTED_VALUE"""),"Cây")</f>
        <v>Cây</v>
      </c>
      <c r="G1023" s="584" t="str">
        <f ca="1">IFERROR(__xludf.DUMMYFUNCTION("""COMPUTED_VALUE"""),"Cây 2.9m")</f>
        <v>Cây 2.9m</v>
      </c>
      <c r="H1023" s="582"/>
      <c r="I1023" s="585">
        <f ca="1">IFERROR(__xludf.DUMMYFUNCTION("""COMPUTED_VALUE"""),4.90733824)</f>
        <v>4.9073382399999996</v>
      </c>
      <c r="J1023" s="586" t="str">
        <f ca="1">IFERROR(__xludf.DUMMYFUNCTION("""COMPUTED_VALUE""")," 41.28 ")</f>
        <v xml:space="preserve"> 41.28 </v>
      </c>
      <c r="K1023" s="584" t="str">
        <f ca="1">IFERROR(__xludf.DUMMYFUNCTION("""COMPUTED_VALUE"""),"1.52")</f>
        <v>1.52</v>
      </c>
      <c r="L1023" s="584">
        <f ca="1">IFERROR(__xludf.DUMMYFUNCTION("""COMPUTED_VALUE"""),2.9)</f>
        <v>2.9</v>
      </c>
      <c r="M1023" s="584"/>
      <c r="N1023" s="584" t="str">
        <f ca="1">IFERROR(__xludf.DUMMYFUNCTION("""COMPUTED_VALUE"""),"Dị_D&lt;54")</f>
        <v>Dị_D&lt;54</v>
      </c>
      <c r="O1023" s="583"/>
      <c r="P1023" s="584"/>
    </row>
    <row r="1024" spans="1:16" ht="15.75">
      <c r="A1024" s="587" t="str">
        <f ca="1">IFERROR(__xludf.DUMMYFUNCTION("""COMPUTED_VALUE"""),"Ruby")</f>
        <v>Ruby</v>
      </c>
      <c r="B1024" s="587" t="str">
        <f ca="1">IFERROR(__xludf.DUMMYFUNCTION("""COMPUTED_VALUE"""),"ĐTPCAYDI")</f>
        <v>ĐTPCAYDI</v>
      </c>
      <c r="C1024" s="587" t="str">
        <f ca="1">IFERROR(__xludf.DUMMYFUNCTION("""COMPUTED_VALUE"""),"DOTRUBY412815258")</f>
        <v>DOTRUBY412815258</v>
      </c>
      <c r="D1024" s="588" t="str">
        <f ca="1">IFERROR(__xludf.DUMMYFUNCTION("""COMPUTED_VALUE"""),"Đồng ống thẳng RUBY 41.28x1.52x5.8")</f>
        <v>Đồng ống thẳng RUBY 41.28x1.52x5.8</v>
      </c>
      <c r="E1024" s="589">
        <f ca="1">IFERROR(__xludf.DUMMYFUNCTION("""COMPUTED_VALUE"""),0.1)</f>
        <v>0.1</v>
      </c>
      <c r="F1024" s="590" t="str">
        <f ca="1">IFERROR(__xludf.DUMMYFUNCTION("""COMPUTED_VALUE"""),"Cây")</f>
        <v>Cây</v>
      </c>
      <c r="G1024" s="590" t="str">
        <f ca="1">IFERROR(__xludf.DUMMYFUNCTION("""COMPUTED_VALUE"""),"Cây 5.8m")</f>
        <v>Cây 5.8m</v>
      </c>
      <c r="H1024" s="588"/>
      <c r="I1024" s="591">
        <f ca="1">IFERROR(__xludf.DUMMYFUNCTION("""COMPUTED_VALUE"""),9.81467648)</f>
        <v>9.8146764799999993</v>
      </c>
      <c r="J1024" s="592" t="str">
        <f ca="1">IFERROR(__xludf.DUMMYFUNCTION("""COMPUTED_VALUE""")," 41.28 ")</f>
        <v xml:space="preserve"> 41.28 </v>
      </c>
      <c r="K1024" s="590" t="str">
        <f ca="1">IFERROR(__xludf.DUMMYFUNCTION("""COMPUTED_VALUE"""),"1.52")</f>
        <v>1.52</v>
      </c>
      <c r="L1024" s="590">
        <f ca="1">IFERROR(__xludf.DUMMYFUNCTION("""COMPUTED_VALUE"""),5.8)</f>
        <v>5.8</v>
      </c>
      <c r="M1024" s="590"/>
      <c r="N1024" s="590" t="str">
        <f ca="1">IFERROR(__xludf.DUMMYFUNCTION("""COMPUTED_VALUE"""),"Dị_D&lt;54")</f>
        <v>Dị_D&lt;54</v>
      </c>
      <c r="O1024" s="589"/>
      <c r="P1024" s="590"/>
    </row>
    <row r="1025" spans="1:17" ht="15.75">
      <c r="A1025" s="581" t="str">
        <f ca="1">IFERROR(__xludf.DUMMYFUNCTION("""COMPUTED_VALUE"""),"Ruby")</f>
        <v>Ruby</v>
      </c>
      <c r="B1025" s="581" t="str">
        <f ca="1">IFERROR(__xludf.DUMMYFUNCTION("""COMPUTED_VALUE"""),"ĐTPCAYDI")</f>
        <v>ĐTPCAYDI</v>
      </c>
      <c r="C1025" s="581" t="str">
        <f ca="1">IFERROR(__xludf.DUMMYFUNCTION("""COMPUTED_VALUE"""),"DOTRB445014029")</f>
        <v>DOTRB445014029</v>
      </c>
      <c r="D1025" s="582" t="str">
        <f ca="1">IFERROR(__xludf.DUMMYFUNCTION("""COMPUTED_VALUE"""),"Đồng ống thẳng RUBY 44.50x1.40x.2.9")</f>
        <v>Đồng ống thẳng RUBY 44.50x1.40x.2.9</v>
      </c>
      <c r="E1025" s="583">
        <f ca="1">IFERROR(__xludf.DUMMYFUNCTION("""COMPUTED_VALUE"""),0.1)</f>
        <v>0.1</v>
      </c>
      <c r="F1025" s="584" t="str">
        <f ca="1">IFERROR(__xludf.DUMMYFUNCTION("""COMPUTED_VALUE"""),"Cây")</f>
        <v>Cây</v>
      </c>
      <c r="G1025" s="584" t="str">
        <f ca="1">IFERROR(__xludf.DUMMYFUNCTION("""COMPUTED_VALUE"""),"Cây 2.9m")</f>
        <v>Cây 2.9m</v>
      </c>
      <c r="H1025" s="582"/>
      <c r="I1025" s="585">
        <f ca="1">IFERROR(__xludf.DUMMYFUNCTION("""COMPUTED_VALUE"""),4.899608)</f>
        <v>4.8996079999999997</v>
      </c>
      <c r="J1025" s="586" t="str">
        <f ca="1">IFERROR(__xludf.DUMMYFUNCTION("""COMPUTED_VALUE""")," 44.50 ")</f>
        <v xml:space="preserve"> 44.50 </v>
      </c>
      <c r="K1025" s="584" t="str">
        <f ca="1">IFERROR(__xludf.DUMMYFUNCTION("""COMPUTED_VALUE"""),"1.40")</f>
        <v>1.40</v>
      </c>
      <c r="L1025" s="584">
        <f ca="1">IFERROR(__xludf.DUMMYFUNCTION("""COMPUTED_VALUE"""),2.9)</f>
        <v>2.9</v>
      </c>
      <c r="M1025" s="584"/>
      <c r="N1025" s="584" t="str">
        <f ca="1">IFERROR(__xludf.DUMMYFUNCTION("""COMPUTED_VALUE"""),"Dị_D&lt;54")</f>
        <v>Dị_D&lt;54</v>
      </c>
      <c r="O1025" s="583"/>
      <c r="P1025" s="584"/>
    </row>
    <row r="1026" spans="1:17" ht="15.75">
      <c r="A1026" s="587" t="str">
        <f ca="1">IFERROR(__xludf.DUMMYFUNCTION("""COMPUTED_VALUE"""),"Ruby")</f>
        <v>Ruby</v>
      </c>
      <c r="B1026" s="587" t="str">
        <f ca="1">IFERROR(__xludf.DUMMYFUNCTION("""COMPUTED_VALUE"""),"ĐTPCAYDI")</f>
        <v>ĐTPCAYDI</v>
      </c>
      <c r="C1026" s="587" t="str">
        <f ca="1">IFERROR(__xludf.DUMMYFUNCTION("""COMPUTED_VALUE"""),"DOTRB445014058")</f>
        <v>DOTRB445014058</v>
      </c>
      <c r="D1026" s="588" t="str">
        <f ca="1">IFERROR(__xludf.DUMMYFUNCTION("""COMPUTED_VALUE"""),"Đồng ống thẳng RUBY 44.50x1.40x5.8")</f>
        <v>Đồng ống thẳng RUBY 44.50x1.40x5.8</v>
      </c>
      <c r="E1026" s="589">
        <f ca="1">IFERROR(__xludf.DUMMYFUNCTION("""COMPUTED_VALUE"""),0.1)</f>
        <v>0.1</v>
      </c>
      <c r="F1026" s="590" t="str">
        <f ca="1">IFERROR(__xludf.DUMMYFUNCTION("""COMPUTED_VALUE"""),"Cây")</f>
        <v>Cây</v>
      </c>
      <c r="G1026" s="590" t="str">
        <f ca="1">IFERROR(__xludf.DUMMYFUNCTION("""COMPUTED_VALUE"""),"Cây 5.8m")</f>
        <v>Cây 5.8m</v>
      </c>
      <c r="H1026" s="588"/>
      <c r="I1026" s="591">
        <f ca="1">IFERROR(__xludf.DUMMYFUNCTION("""COMPUTED_VALUE"""),9.799216)</f>
        <v>9.7992159999999995</v>
      </c>
      <c r="J1026" s="592" t="str">
        <f ca="1">IFERROR(__xludf.DUMMYFUNCTION("""COMPUTED_VALUE""")," 44.50 ")</f>
        <v xml:space="preserve"> 44.50 </v>
      </c>
      <c r="K1026" s="590" t="str">
        <f ca="1">IFERROR(__xludf.DUMMYFUNCTION("""COMPUTED_VALUE"""),"1.40")</f>
        <v>1.40</v>
      </c>
      <c r="L1026" s="590">
        <f ca="1">IFERROR(__xludf.DUMMYFUNCTION("""COMPUTED_VALUE"""),5.8)</f>
        <v>5.8</v>
      </c>
      <c r="M1026" s="590"/>
      <c r="N1026" s="590" t="str">
        <f ca="1">IFERROR(__xludf.DUMMYFUNCTION("""COMPUTED_VALUE"""),"Dị_D&lt;54")</f>
        <v>Dị_D&lt;54</v>
      </c>
      <c r="O1026" s="589"/>
      <c r="P1026" s="590"/>
    </row>
    <row r="1027" spans="1:17" ht="15.75">
      <c r="A1027" s="581" t="str">
        <f ca="1">IFERROR(__xludf.DUMMYFUNCTION("""COMPUTED_VALUE"""),"Hailiang")</f>
        <v>Hailiang</v>
      </c>
      <c r="B1027" s="581" t="str">
        <f ca="1">IFERROR(__xludf.DUMMYFUNCTION("""COMPUTED_VALUE"""),"ĐHLCUONDI")</f>
        <v>ĐHLCUONDI</v>
      </c>
      <c r="C1027" s="581" t="str">
        <f ca="1">IFERROR(__xludf.DUMMYFUNCTION("""COMPUTED_VALUE"""),"DOCHL063505015")</f>
        <v>DOCHL063505015</v>
      </c>
      <c r="D1027" s="582" t="str">
        <f ca="1">IFERROR(__xludf.DUMMYFUNCTION("""COMPUTED_VALUE"""),"Đồng ống Hailiang dạng cuộn 6.35mmx0.50mmx15m")</f>
        <v>Đồng ống Hailiang dạng cuộn 6.35mmx0.50mmx15m</v>
      </c>
      <c r="E1027" s="583">
        <f ca="1">IFERROR(__xludf.DUMMYFUNCTION("""COMPUTED_VALUE"""),0.1)</f>
        <v>0.1</v>
      </c>
      <c r="F1027" s="584" t="str">
        <f ca="1">IFERROR(__xludf.DUMMYFUNCTION("""COMPUTED_VALUE"""),"Cuộn")</f>
        <v>Cuộn</v>
      </c>
      <c r="G1027" s="584" t="str">
        <f ca="1">IFERROR(__xludf.DUMMYFUNCTION("""COMPUTED_VALUE"""),"Cuộn 15m")</f>
        <v>Cuộn 15m</v>
      </c>
      <c r="H1027" s="582" t="str">
        <f ca="1">IFERROR(__xludf.DUMMYFUNCTION("""COMPUTED_VALUE"""),"10")</f>
        <v>10</v>
      </c>
      <c r="I1027" s="585">
        <f ca="1">IFERROR(__xludf.DUMMYFUNCTION("""COMPUTED_VALUE"""),1.2285)</f>
        <v>1.2284999999999999</v>
      </c>
      <c r="J1027" s="586" t="str">
        <f ca="1">IFERROR(__xludf.DUMMYFUNCTION("""COMPUTED_VALUE""")," 06.35 ")</f>
        <v xml:space="preserve"> 06.35 </v>
      </c>
      <c r="K1027" s="584" t="str">
        <f ca="1">IFERROR(__xludf.DUMMYFUNCTION("""COMPUTED_VALUE"""),"0.50")</f>
        <v>0.50</v>
      </c>
      <c r="L1027" s="584">
        <f ca="1">IFERROR(__xludf.DUMMYFUNCTION("""COMPUTED_VALUE"""),15)</f>
        <v>15</v>
      </c>
      <c r="M1027" s="584"/>
      <c r="N1027" s="584" t="str">
        <f ca="1">IFERROR(__xludf.DUMMYFUNCTION("""COMPUTED_VALUE"""),"Dị_D&lt;54")</f>
        <v>Dị_D&lt;54</v>
      </c>
      <c r="O1027" s="583"/>
      <c r="P1027" s="584"/>
    </row>
    <row r="1028" spans="1:17" ht="15.75">
      <c r="A1028" s="587" t="str">
        <f ca="1">IFERROR(__xludf.DUMMYFUNCTION("""COMPUTED_VALUE"""),"Hailiang")</f>
        <v>Hailiang</v>
      </c>
      <c r="B1028" s="587" t="str">
        <f ca="1">IFERROR(__xludf.DUMMYFUNCTION("""COMPUTED_VALUE"""),"ĐHLCUONDI")</f>
        <v>ĐHLCUONDI</v>
      </c>
      <c r="C1028" s="587" t="str">
        <f ca="1">IFERROR(__xludf.DUMMYFUNCTION("""COMPUTED_VALUE"""),"DOCHL063505115")</f>
        <v>DOCHL063505115</v>
      </c>
      <c r="D1028" s="588" t="str">
        <f ca="1">IFERROR(__xludf.DUMMYFUNCTION("""COMPUTED_VALUE"""),"Đồng ống Hailiang dạng cuộn 6.35mmx0.51mmx15m")</f>
        <v>Đồng ống Hailiang dạng cuộn 6.35mmx0.51mmx15m</v>
      </c>
      <c r="E1028" s="589">
        <f ca="1">IFERROR(__xludf.DUMMYFUNCTION("""COMPUTED_VALUE"""),0.1)</f>
        <v>0.1</v>
      </c>
      <c r="F1028" s="590" t="str">
        <f ca="1">IFERROR(__xludf.DUMMYFUNCTION("""COMPUTED_VALUE"""),"Cuộn")</f>
        <v>Cuộn</v>
      </c>
      <c r="G1028" s="590" t="str">
        <f ca="1">IFERROR(__xludf.DUMMYFUNCTION("""COMPUTED_VALUE"""),"Cuộn 15m")</f>
        <v>Cuộn 15m</v>
      </c>
      <c r="H1028" s="588" t="str">
        <f ca="1">IFERROR(__xludf.DUMMYFUNCTION("""COMPUTED_VALUE"""),"10")</f>
        <v>10</v>
      </c>
      <c r="I1028" s="591">
        <f ca="1">IFERROR(__xludf.DUMMYFUNCTION("""COMPUTED_VALUE"""),1.250928)</f>
        <v>1.250928</v>
      </c>
      <c r="J1028" s="592" t="str">
        <f ca="1">IFERROR(__xludf.DUMMYFUNCTION("""COMPUTED_VALUE""")," 06.35 ")</f>
        <v xml:space="preserve"> 06.35 </v>
      </c>
      <c r="K1028" s="590" t="str">
        <f ca="1">IFERROR(__xludf.DUMMYFUNCTION("""COMPUTED_VALUE"""),"0.51")</f>
        <v>0.51</v>
      </c>
      <c r="L1028" s="590">
        <f ca="1">IFERROR(__xludf.DUMMYFUNCTION("""COMPUTED_VALUE"""),15)</f>
        <v>15</v>
      </c>
      <c r="M1028" s="590"/>
      <c r="N1028" s="590" t="str">
        <f ca="1">IFERROR(__xludf.DUMMYFUNCTION("""COMPUTED_VALUE"""),"Dị_D&lt;54")</f>
        <v>Dị_D&lt;54</v>
      </c>
      <c r="O1028" s="589"/>
      <c r="P1028" s="590"/>
    </row>
    <row r="1029" spans="1:17" ht="15.75">
      <c r="A1029" s="581" t="str">
        <f ca="1">IFERROR(__xludf.DUMMYFUNCTION("""COMPUTED_VALUE"""),"Hailiang")</f>
        <v>Hailiang</v>
      </c>
      <c r="B1029" s="581" t="str">
        <f ca="1">IFERROR(__xludf.DUMMYFUNCTION("""COMPUTED_VALUE"""),"ĐHLCUONDI")</f>
        <v>ĐHLCUONDI</v>
      </c>
      <c r="C1029" s="581" t="str">
        <f ca="1">IFERROR(__xludf.DUMMYFUNCTION("""COMPUTED_VALUE"""),"DOCHL063505515")</f>
        <v>DOCHL063505515</v>
      </c>
      <c r="D1029" s="582" t="str">
        <f ca="1">IFERROR(__xludf.DUMMYFUNCTION("""COMPUTED_VALUE"""),"Đồng ống Hailiang dạng cuộn 6.35mmx0.55mmx15m")</f>
        <v>Đồng ống Hailiang dạng cuộn 6.35mmx0.55mmx15m</v>
      </c>
      <c r="E1029" s="583">
        <f ca="1">IFERROR(__xludf.DUMMYFUNCTION("""COMPUTED_VALUE"""),0.1)</f>
        <v>0.1</v>
      </c>
      <c r="F1029" s="584" t="str">
        <f ca="1">IFERROR(__xludf.DUMMYFUNCTION("""COMPUTED_VALUE"""),"Cuộn")</f>
        <v>Cuộn</v>
      </c>
      <c r="G1029" s="584" t="str">
        <f ca="1">IFERROR(__xludf.DUMMYFUNCTION("""COMPUTED_VALUE"""),"Cuộn 15m")</f>
        <v>Cuộn 15m</v>
      </c>
      <c r="H1029" s="582" t="str">
        <f ca="1">IFERROR(__xludf.DUMMYFUNCTION("""COMPUTED_VALUE"""),"10")</f>
        <v>10</v>
      </c>
      <c r="I1029" s="585">
        <f ca="1">IFERROR(__xludf.DUMMYFUNCTION("""COMPUTED_VALUE"""),1.33979999999999)</f>
        <v>1.3397999999999901</v>
      </c>
      <c r="J1029" s="586" t="str">
        <f ca="1">IFERROR(__xludf.DUMMYFUNCTION("""COMPUTED_VALUE""")," 06.35 ")</f>
        <v xml:space="preserve"> 06.35 </v>
      </c>
      <c r="K1029" s="584" t="str">
        <f ca="1">IFERROR(__xludf.DUMMYFUNCTION("""COMPUTED_VALUE"""),"0.55")</f>
        <v>0.55</v>
      </c>
      <c r="L1029" s="584">
        <f ca="1">IFERROR(__xludf.DUMMYFUNCTION("""COMPUTED_VALUE"""),15)</f>
        <v>15</v>
      </c>
      <c r="M1029" s="584"/>
      <c r="N1029" s="584" t="str">
        <f ca="1">IFERROR(__xludf.DUMMYFUNCTION("""COMPUTED_VALUE"""),"Dị_D&lt;54")</f>
        <v>Dị_D&lt;54</v>
      </c>
      <c r="O1029" s="583"/>
      <c r="P1029" s="584"/>
    </row>
    <row r="1030" spans="1:17" ht="15.75">
      <c r="A1030" s="587" t="str">
        <f ca="1">IFERROR(__xludf.DUMMYFUNCTION("""COMPUTED_VALUE"""),"Hailiang")</f>
        <v>Hailiang</v>
      </c>
      <c r="B1030" s="587" t="str">
        <f ca="1">IFERROR(__xludf.DUMMYFUNCTION("""COMPUTED_VALUE"""),"ĐHLCUONDI")</f>
        <v>ĐHLCUONDI</v>
      </c>
      <c r="C1030" s="587" t="str">
        <f ca="1">IFERROR(__xludf.DUMMYFUNCTION("""COMPUTED_VALUE"""),"DOCHL063505615")</f>
        <v>DOCHL063505615</v>
      </c>
      <c r="D1030" s="588" t="str">
        <f ca="1">IFERROR(__xludf.DUMMYFUNCTION("""COMPUTED_VALUE"""),"Đồng ống Hailiang dạng cuộn 6.35mmx0.56mmx15m")</f>
        <v>Đồng ống Hailiang dạng cuộn 6.35mmx0.56mmx15m</v>
      </c>
      <c r="E1030" s="589">
        <f ca="1">IFERROR(__xludf.DUMMYFUNCTION("""COMPUTED_VALUE"""),0.1)</f>
        <v>0.1</v>
      </c>
      <c r="F1030" s="590" t="str">
        <f ca="1">IFERROR(__xludf.DUMMYFUNCTION("""COMPUTED_VALUE"""),"Cuộn")</f>
        <v>Cuộn</v>
      </c>
      <c r="G1030" s="590" t="str">
        <f ca="1">IFERROR(__xludf.DUMMYFUNCTION("""COMPUTED_VALUE"""),"Cuộn 15m")</f>
        <v>Cuộn 15m</v>
      </c>
      <c r="H1030" s="588" t="str">
        <f ca="1">IFERROR(__xludf.DUMMYFUNCTION("""COMPUTED_VALUE"""),"10")</f>
        <v>10</v>
      </c>
      <c r="I1030" s="591">
        <f ca="1">IFERROR(__xludf.DUMMYFUNCTION("""COMPUTED_VALUE"""),1.361808)</f>
        <v>1.3618079999999999</v>
      </c>
      <c r="J1030" s="592" t="str">
        <f ca="1">IFERROR(__xludf.DUMMYFUNCTION("""COMPUTED_VALUE""")," 06.35 ")</f>
        <v xml:space="preserve"> 06.35 </v>
      </c>
      <c r="K1030" s="590" t="str">
        <f ca="1">IFERROR(__xludf.DUMMYFUNCTION("""COMPUTED_VALUE"""),"0.56")</f>
        <v>0.56</v>
      </c>
      <c r="L1030" s="590">
        <f ca="1">IFERROR(__xludf.DUMMYFUNCTION("""COMPUTED_VALUE"""),15)</f>
        <v>15</v>
      </c>
      <c r="M1030" s="590"/>
      <c r="N1030" s="590" t="str">
        <f ca="1">IFERROR(__xludf.DUMMYFUNCTION("""COMPUTED_VALUE"""),"Dị_D&lt;54")</f>
        <v>Dị_D&lt;54</v>
      </c>
      <c r="O1030" s="589"/>
      <c r="P1030" s="590"/>
    </row>
    <row r="1031" spans="1:17" ht="15.75">
      <c r="A1031" s="581" t="str">
        <f ca="1">IFERROR(__xludf.DUMMYFUNCTION("""COMPUTED_VALUE"""),"Hailiang")</f>
        <v>Hailiang</v>
      </c>
      <c r="B1031" s="581" t="str">
        <f ca="1">IFERROR(__xludf.DUMMYFUNCTION("""COMPUTED_VALUE"""),"ĐHLCUONDI")</f>
        <v>ĐHLCUONDI</v>
      </c>
      <c r="C1031" s="581" t="str">
        <f ca="1">IFERROR(__xludf.DUMMYFUNCTION("""COMPUTED_VALUE"""),"DOCHL063506015")</f>
        <v>DOCHL063506015</v>
      </c>
      <c r="D1031" s="582" t="str">
        <f ca="1">IFERROR(__xludf.DUMMYFUNCTION("""COMPUTED_VALUE"""),"Đồng ống Hailiang dạng cuộn 6.35mmx0.60mmx15m")</f>
        <v>Đồng ống Hailiang dạng cuộn 6.35mmx0.60mmx15m</v>
      </c>
      <c r="E1031" s="583">
        <f ca="1">IFERROR(__xludf.DUMMYFUNCTION("""COMPUTED_VALUE"""),0.1)</f>
        <v>0.1</v>
      </c>
      <c r="F1031" s="584" t="str">
        <f ca="1">IFERROR(__xludf.DUMMYFUNCTION("""COMPUTED_VALUE"""),"Cuộn")</f>
        <v>Cuộn</v>
      </c>
      <c r="G1031" s="584" t="str">
        <f ca="1">IFERROR(__xludf.DUMMYFUNCTION("""COMPUTED_VALUE"""),"Cuộn 15m")</f>
        <v>Cuộn 15m</v>
      </c>
      <c r="H1031" s="582" t="str">
        <f ca="1">IFERROR(__xludf.DUMMYFUNCTION("""COMPUTED_VALUE"""),"10")</f>
        <v>10</v>
      </c>
      <c r="I1031" s="585">
        <f ca="1">IFERROR(__xludf.DUMMYFUNCTION("""COMPUTED_VALUE"""),1.44899999999999)</f>
        <v>1.4489999999999901</v>
      </c>
      <c r="J1031" s="586" t="str">
        <f ca="1">IFERROR(__xludf.DUMMYFUNCTION("""COMPUTED_VALUE""")," 06.35 ")</f>
        <v xml:space="preserve"> 06.35 </v>
      </c>
      <c r="K1031" s="584" t="str">
        <f ca="1">IFERROR(__xludf.DUMMYFUNCTION("""COMPUTED_VALUE"""),"0.60")</f>
        <v>0.60</v>
      </c>
      <c r="L1031" s="584">
        <f ca="1">IFERROR(__xludf.DUMMYFUNCTION("""COMPUTED_VALUE"""),15)</f>
        <v>15</v>
      </c>
      <c r="M1031" s="584"/>
      <c r="N1031" s="584" t="str">
        <f ca="1">IFERROR(__xludf.DUMMYFUNCTION("""COMPUTED_VALUE"""),"Dị_D&lt;54")</f>
        <v>Dị_D&lt;54</v>
      </c>
      <c r="O1031" s="583"/>
      <c r="P1031" s="584"/>
    </row>
    <row r="1032" spans="1:17" ht="15.75">
      <c r="A1032" s="587" t="str">
        <f ca="1">IFERROR(__xludf.DUMMYFUNCTION("""COMPUTED_VALUE"""),"Hailiang")</f>
        <v>Hailiang</v>
      </c>
      <c r="B1032" s="587" t="str">
        <f ca="1">IFERROR(__xludf.DUMMYFUNCTION("""COMPUTED_VALUE"""),"ĐHLCUONDI")</f>
        <v>ĐHLCUONDI</v>
      </c>
      <c r="C1032" s="587" t="str">
        <f ca="1">IFERROR(__xludf.DUMMYFUNCTION("""COMPUTED_VALUE"""),"DOCHL063506150")</f>
        <v>DOCHL063506150</v>
      </c>
      <c r="D1032" s="588" t="str">
        <f ca="1">IFERROR(__xludf.DUMMYFUNCTION("""COMPUTED_VALUE"""),"Đồng ống Hailiang dạng cuộn 6.35mmx0.61mmx50m")</f>
        <v>Đồng ống Hailiang dạng cuộn 6.35mmx0.61mmx50m</v>
      </c>
      <c r="E1032" s="589">
        <f ca="1">IFERROR(__xludf.DUMMYFUNCTION("""COMPUTED_VALUE"""),0.1)</f>
        <v>0.1</v>
      </c>
      <c r="F1032" s="590" t="str">
        <f ca="1">IFERROR(__xludf.DUMMYFUNCTION("""COMPUTED_VALUE"""),"Cuộn")</f>
        <v>Cuộn</v>
      </c>
      <c r="G1032" s="590" t="str">
        <f ca="1">IFERROR(__xludf.DUMMYFUNCTION("""COMPUTED_VALUE"""),"Cuộn 50m")</f>
        <v>Cuộn 50m</v>
      </c>
      <c r="H1032" s="588" t="str">
        <f ca="1">IFERROR(__xludf.DUMMYFUNCTION("""COMPUTED_VALUE"""),"10")</f>
        <v>10</v>
      </c>
      <c r="I1032" s="591">
        <f ca="1">IFERROR(__xludf.DUMMYFUNCTION("""COMPUTED_VALUE"""),4.90195999999999)</f>
        <v>4.9019599999999901</v>
      </c>
      <c r="J1032" s="592" t="str">
        <f ca="1">IFERROR(__xludf.DUMMYFUNCTION("""COMPUTED_VALUE""")," 06.35 ")</f>
        <v xml:space="preserve"> 06.35 </v>
      </c>
      <c r="K1032" s="590" t="str">
        <f ca="1">IFERROR(__xludf.DUMMYFUNCTION("""COMPUTED_VALUE"""),"0.61")</f>
        <v>0.61</v>
      </c>
      <c r="L1032" s="590">
        <f ca="1">IFERROR(__xludf.DUMMYFUNCTION("""COMPUTED_VALUE"""),50)</f>
        <v>50</v>
      </c>
      <c r="M1032" s="590"/>
      <c r="N1032" s="590" t="str">
        <f ca="1">IFERROR(__xludf.DUMMYFUNCTION("""COMPUTED_VALUE"""),"Dị_D&lt;54")</f>
        <v>Dị_D&lt;54</v>
      </c>
      <c r="O1032" s="589">
        <f ca="1">IFERROR(__xludf.DUMMYFUNCTION("""COMPUTED_VALUE"""),1)</f>
        <v>1</v>
      </c>
      <c r="P1032" s="590"/>
    </row>
    <row r="1033" spans="1:17" ht="15.75">
      <c r="A1033" s="581" t="str">
        <f ca="1">IFERROR(__xludf.DUMMYFUNCTION("""COMPUTED_VALUE"""),"Hailiang")</f>
        <v>Hailiang</v>
      </c>
      <c r="B1033" s="581" t="str">
        <f ca="1">IFERROR(__xludf.DUMMYFUNCTION("""COMPUTED_VALUE"""),"ĐHLCUONTD")</f>
        <v>ĐHLCUONTD</v>
      </c>
      <c r="C1033" s="581" t="str">
        <f ca="1">IFERROR(__xludf.DUMMYFUNCTION("""COMPUTED_VALUE"""),"DOCHL063506115")</f>
        <v>DOCHL063506115</v>
      </c>
      <c r="D1033" s="582" t="str">
        <f ca="1">IFERROR(__xludf.DUMMYFUNCTION("""COMPUTED_VALUE"""),"Đồng ống Hailiang dạng cuộn 6.35mmx0.61mmx15m")</f>
        <v>Đồng ống Hailiang dạng cuộn 6.35mmx0.61mmx15m</v>
      </c>
      <c r="E1033" s="583">
        <f ca="1">IFERROR(__xludf.DUMMYFUNCTION("""COMPUTED_VALUE"""),0.1)</f>
        <v>0.1</v>
      </c>
      <c r="F1033" s="584" t="str">
        <f ca="1">IFERROR(__xludf.DUMMYFUNCTION("""COMPUTED_VALUE"""),"Cuộn")</f>
        <v>Cuộn</v>
      </c>
      <c r="G1033" s="584" t="str">
        <f ca="1">IFERROR(__xludf.DUMMYFUNCTION("""COMPUTED_VALUE"""),"Cuộn 15m")</f>
        <v>Cuộn 15m</v>
      </c>
      <c r="H1033" s="582" t="str">
        <f ca="1">IFERROR(__xludf.DUMMYFUNCTION("""COMPUTED_VALUE"""),"10")</f>
        <v>10</v>
      </c>
      <c r="I1033" s="585">
        <f ca="1">IFERROR(__xludf.DUMMYFUNCTION("""COMPUTED_VALUE"""),1.47058799999999)</f>
        <v>1.47058799999999</v>
      </c>
      <c r="J1033" s="586" t="str">
        <f ca="1">IFERROR(__xludf.DUMMYFUNCTION("""COMPUTED_VALUE""")," 06.35 ")</f>
        <v xml:space="preserve"> 06.35 </v>
      </c>
      <c r="K1033" s="584" t="str">
        <f ca="1">IFERROR(__xludf.DUMMYFUNCTION("""COMPUTED_VALUE"""),"0.61")</f>
        <v>0.61</v>
      </c>
      <c r="L1033" s="584">
        <f ca="1">IFERROR(__xludf.DUMMYFUNCTION("""COMPUTED_VALUE"""),15)</f>
        <v>15</v>
      </c>
      <c r="M1033" s="584"/>
      <c r="N1033" s="584" t="str">
        <f ca="1">IFERROR(__xludf.DUMMYFUNCTION("""COMPUTED_VALUE"""),"Không")</f>
        <v>Không</v>
      </c>
      <c r="O1033" s="583"/>
      <c r="P1033" s="584"/>
      <c r="Q1033" s="885">
        <f ca="1">+$Q$5*I1033</f>
        <v>338.23523999999765</v>
      </c>
    </row>
    <row r="1034" spans="1:17" ht="15.75">
      <c r="A1034" s="587" t="str">
        <f ca="1">IFERROR(__xludf.DUMMYFUNCTION("""COMPUTED_VALUE"""),"Hailiang")</f>
        <v>Hailiang</v>
      </c>
      <c r="B1034" s="587" t="str">
        <f ca="1">IFERROR(__xludf.DUMMYFUNCTION("""COMPUTED_VALUE"""),"ĐHLCUONDI")</f>
        <v>ĐHLCUONDI</v>
      </c>
      <c r="C1034" s="587" t="str">
        <f ca="1">IFERROR(__xludf.DUMMYFUNCTION("""COMPUTED_VALUE"""),"DOCHL063506515")</f>
        <v>DOCHL063506515</v>
      </c>
      <c r="D1034" s="588" t="str">
        <f ca="1">IFERROR(__xludf.DUMMYFUNCTION("""COMPUTED_VALUE"""),"Đồng ống Hailiang dạng cuộn 6.35mmx0.65mmx15m")</f>
        <v>Đồng ống Hailiang dạng cuộn 6.35mmx0.65mmx15m</v>
      </c>
      <c r="E1034" s="589">
        <f ca="1">IFERROR(__xludf.DUMMYFUNCTION("""COMPUTED_VALUE"""),0.1)</f>
        <v>0.1</v>
      </c>
      <c r="F1034" s="590" t="str">
        <f ca="1">IFERROR(__xludf.DUMMYFUNCTION("""COMPUTED_VALUE"""),"Cuộn")</f>
        <v>Cuộn</v>
      </c>
      <c r="G1034" s="590" t="str">
        <f ca="1">IFERROR(__xludf.DUMMYFUNCTION("""COMPUTED_VALUE"""),"Cuộn 15m")</f>
        <v>Cuộn 15m</v>
      </c>
      <c r="H1034" s="588" t="str">
        <f ca="1">IFERROR(__xludf.DUMMYFUNCTION("""COMPUTED_VALUE"""),"10")</f>
        <v>10</v>
      </c>
      <c r="I1034" s="591">
        <f ca="1">IFERROR(__xludf.DUMMYFUNCTION("""COMPUTED_VALUE"""),1.55609999999999)</f>
        <v>1.55609999999999</v>
      </c>
      <c r="J1034" s="592" t="str">
        <f ca="1">IFERROR(__xludf.DUMMYFUNCTION("""COMPUTED_VALUE""")," 06.35 ")</f>
        <v xml:space="preserve"> 06.35 </v>
      </c>
      <c r="K1034" s="590" t="str">
        <f ca="1">IFERROR(__xludf.DUMMYFUNCTION("""COMPUTED_VALUE"""),"0.65")</f>
        <v>0.65</v>
      </c>
      <c r="L1034" s="590">
        <f ca="1">IFERROR(__xludf.DUMMYFUNCTION("""COMPUTED_VALUE"""),15)</f>
        <v>15</v>
      </c>
      <c r="M1034" s="590"/>
      <c r="N1034" s="590" t="str">
        <f ca="1">IFERROR(__xludf.DUMMYFUNCTION("""COMPUTED_VALUE"""),"Dị_D&lt;54")</f>
        <v>Dị_D&lt;54</v>
      </c>
      <c r="O1034" s="589"/>
      <c r="P1034" s="590"/>
    </row>
    <row r="1035" spans="1:17" ht="15.75">
      <c r="A1035" s="581" t="str">
        <f ca="1">IFERROR(__xludf.DUMMYFUNCTION("""COMPUTED_VALUE"""),"Hailiang")</f>
        <v>Hailiang</v>
      </c>
      <c r="B1035" s="581" t="str">
        <f ca="1">IFERROR(__xludf.DUMMYFUNCTION("""COMPUTED_VALUE"""),"ĐHLCUONDI")</f>
        <v>ĐHLCUONDI</v>
      </c>
      <c r="C1035" s="581" t="str">
        <f ca="1">IFERROR(__xludf.DUMMYFUNCTION("""COMPUTED_VALUE"""),"DOCHL063506615")</f>
        <v>DOCHL063506615</v>
      </c>
      <c r="D1035" s="582" t="str">
        <f ca="1">IFERROR(__xludf.DUMMYFUNCTION("""COMPUTED_VALUE"""),"Đồng ống Hailiang dạng cuộn 6.35mmx0.66mmx15m")</f>
        <v>Đồng ống Hailiang dạng cuộn 6.35mmx0.66mmx15m</v>
      </c>
      <c r="E1035" s="583">
        <f ca="1">IFERROR(__xludf.DUMMYFUNCTION("""COMPUTED_VALUE"""),0.1)</f>
        <v>0.1</v>
      </c>
      <c r="F1035" s="584" t="str">
        <f ca="1">IFERROR(__xludf.DUMMYFUNCTION("""COMPUTED_VALUE"""),"Cuộn")</f>
        <v>Cuộn</v>
      </c>
      <c r="G1035" s="584" t="str">
        <f ca="1">IFERROR(__xludf.DUMMYFUNCTION("""COMPUTED_VALUE"""),"Cuộn 15m")</f>
        <v>Cuộn 15m</v>
      </c>
      <c r="H1035" s="582" t="str">
        <f ca="1">IFERROR(__xludf.DUMMYFUNCTION("""COMPUTED_VALUE"""),"10")</f>
        <v>10</v>
      </c>
      <c r="I1035" s="585">
        <f ca="1">IFERROR(__xludf.DUMMYFUNCTION("""COMPUTED_VALUE"""),1.577268)</f>
        <v>1.5772679999999999</v>
      </c>
      <c r="J1035" s="586" t="str">
        <f ca="1">IFERROR(__xludf.DUMMYFUNCTION("""COMPUTED_VALUE""")," 06.35 ")</f>
        <v xml:space="preserve"> 06.35 </v>
      </c>
      <c r="K1035" s="584" t="str">
        <f ca="1">IFERROR(__xludf.DUMMYFUNCTION("""COMPUTED_VALUE"""),"0.66")</f>
        <v>0.66</v>
      </c>
      <c r="L1035" s="584">
        <f ca="1">IFERROR(__xludf.DUMMYFUNCTION("""COMPUTED_VALUE"""),15)</f>
        <v>15</v>
      </c>
      <c r="M1035" s="584"/>
      <c r="N1035" s="584" t="str">
        <f ca="1">IFERROR(__xludf.DUMMYFUNCTION("""COMPUTED_VALUE"""),"Dị_D&lt;54")</f>
        <v>Dị_D&lt;54</v>
      </c>
      <c r="O1035" s="583"/>
      <c r="P1035" s="584"/>
    </row>
    <row r="1036" spans="1:17" ht="15.75">
      <c r="A1036" s="587" t="str">
        <f ca="1">IFERROR(__xludf.DUMMYFUNCTION("""COMPUTED_VALUE"""),"Hailiang")</f>
        <v>Hailiang</v>
      </c>
      <c r="B1036" s="587" t="str">
        <f ca="1">IFERROR(__xludf.DUMMYFUNCTION("""COMPUTED_VALUE"""),"ĐHLCUONDI")</f>
        <v>ĐHLCUONDI</v>
      </c>
      <c r="C1036" s="587" t="str">
        <f ca="1">IFERROR(__xludf.DUMMYFUNCTION("""COMPUTED_VALUE"""),"DOCHL063507015")</f>
        <v>DOCHL063507015</v>
      </c>
      <c r="D1036" s="588" t="str">
        <f ca="1">IFERROR(__xludf.DUMMYFUNCTION("""COMPUTED_VALUE"""),"Đồng ống Hailiang dạng cuộn 6.35mmx0.70mmx15m")</f>
        <v>Đồng ống Hailiang dạng cuộn 6.35mmx0.70mmx15m</v>
      </c>
      <c r="E1036" s="589">
        <f ca="1">IFERROR(__xludf.DUMMYFUNCTION("""COMPUTED_VALUE"""),0.1)</f>
        <v>0.1</v>
      </c>
      <c r="F1036" s="590" t="str">
        <f ca="1">IFERROR(__xludf.DUMMYFUNCTION("""COMPUTED_VALUE"""),"Cuộn")</f>
        <v>Cuộn</v>
      </c>
      <c r="G1036" s="590" t="str">
        <f ca="1">IFERROR(__xludf.DUMMYFUNCTION("""COMPUTED_VALUE"""),"Cuộn 15m")</f>
        <v>Cuộn 15m</v>
      </c>
      <c r="H1036" s="588" t="str">
        <f ca="1">IFERROR(__xludf.DUMMYFUNCTION("""COMPUTED_VALUE"""),"10")</f>
        <v>10</v>
      </c>
      <c r="I1036" s="591">
        <f ca="1">IFERROR(__xludf.DUMMYFUNCTION("""COMPUTED_VALUE"""),1.66109999999999)</f>
        <v>1.66109999999999</v>
      </c>
      <c r="J1036" s="592" t="str">
        <f ca="1">IFERROR(__xludf.DUMMYFUNCTION("""COMPUTED_VALUE""")," 06.35 ")</f>
        <v xml:space="preserve"> 06.35 </v>
      </c>
      <c r="K1036" s="590" t="str">
        <f ca="1">IFERROR(__xludf.DUMMYFUNCTION("""COMPUTED_VALUE"""),"0.70")</f>
        <v>0.70</v>
      </c>
      <c r="L1036" s="590">
        <f ca="1">IFERROR(__xludf.DUMMYFUNCTION("""COMPUTED_VALUE"""),15)</f>
        <v>15</v>
      </c>
      <c r="M1036" s="590"/>
      <c r="N1036" s="590" t="str">
        <f ca="1">IFERROR(__xludf.DUMMYFUNCTION("""COMPUTED_VALUE"""),"Dị_D&lt;54")</f>
        <v>Dị_D&lt;54</v>
      </c>
      <c r="O1036" s="589"/>
      <c r="P1036" s="590"/>
    </row>
    <row r="1037" spans="1:17" ht="15.75">
      <c r="A1037" s="581" t="str">
        <f ca="1">IFERROR(__xludf.DUMMYFUNCTION("""COMPUTED_VALUE"""),"Hailiang")</f>
        <v>Hailiang</v>
      </c>
      <c r="B1037" s="581" t="str">
        <f ca="1">IFERROR(__xludf.DUMMYFUNCTION("""COMPUTED_VALUE"""),"ĐHLCUONDI")</f>
        <v>ĐHLCUONDI</v>
      </c>
      <c r="C1037" s="581" t="str">
        <f ca="1">IFERROR(__xludf.DUMMYFUNCTION("""COMPUTED_VALUE"""),"DOCHL063507130")</f>
        <v>DOCHL063507130</v>
      </c>
      <c r="D1037" s="582" t="str">
        <f ca="1">IFERROR(__xludf.DUMMYFUNCTION("""COMPUTED_VALUE"""),"Đồng ống Hailiang dạng cuộn 6.35mmx0.71mmx30m")</f>
        <v>Đồng ống Hailiang dạng cuộn 6.35mmx0.71mmx30m</v>
      </c>
      <c r="E1037" s="583">
        <f ca="1">IFERROR(__xludf.DUMMYFUNCTION("""COMPUTED_VALUE"""),0.1)</f>
        <v>0.1</v>
      </c>
      <c r="F1037" s="584" t="str">
        <f ca="1">IFERROR(__xludf.DUMMYFUNCTION("""COMPUTED_VALUE"""),"Cuộn")</f>
        <v>Cuộn</v>
      </c>
      <c r="G1037" s="584" t="str">
        <f ca="1">IFERROR(__xludf.DUMMYFUNCTION("""COMPUTED_VALUE"""),"Cuộn 30m")</f>
        <v>Cuộn 30m</v>
      </c>
      <c r="H1037" s="582" t="str">
        <f ca="1">IFERROR(__xludf.DUMMYFUNCTION("""COMPUTED_VALUE"""),"10")</f>
        <v>10</v>
      </c>
      <c r="I1037" s="585">
        <f ca="1">IFERROR(__xludf.DUMMYFUNCTION("""COMPUTED_VALUE"""),3.36369599999999)</f>
        <v>3.3636959999999898</v>
      </c>
      <c r="J1037" s="586" t="str">
        <f ca="1">IFERROR(__xludf.DUMMYFUNCTION("""COMPUTED_VALUE""")," 06.35 ")</f>
        <v xml:space="preserve"> 06.35 </v>
      </c>
      <c r="K1037" s="584" t="str">
        <f ca="1">IFERROR(__xludf.DUMMYFUNCTION("""COMPUTED_VALUE"""),"0.71")</f>
        <v>0.71</v>
      </c>
      <c r="L1037" s="584">
        <f ca="1">IFERROR(__xludf.DUMMYFUNCTION("""COMPUTED_VALUE"""),30)</f>
        <v>30</v>
      </c>
      <c r="M1037" s="584"/>
      <c r="N1037" s="584" t="str">
        <f ca="1">IFERROR(__xludf.DUMMYFUNCTION("""COMPUTED_VALUE"""),"Dị_D&lt;54")</f>
        <v>Dị_D&lt;54</v>
      </c>
      <c r="O1037" s="583"/>
      <c r="P1037" s="584"/>
    </row>
    <row r="1038" spans="1:17" ht="15.75">
      <c r="A1038" s="587" t="str">
        <f ca="1">IFERROR(__xludf.DUMMYFUNCTION("""COMPUTED_VALUE"""),"Hailiang")</f>
        <v>Hailiang</v>
      </c>
      <c r="B1038" s="587" t="str">
        <f ca="1">IFERROR(__xludf.DUMMYFUNCTION("""COMPUTED_VALUE"""),"ĐHLCUONDI")</f>
        <v>ĐHLCUONDI</v>
      </c>
      <c r="C1038" s="587" t="str">
        <f ca="1">IFERROR(__xludf.DUMMYFUNCTION("""COMPUTED_VALUE"""),"DOCHL063507150")</f>
        <v>DOCHL063507150</v>
      </c>
      <c r="D1038" s="588" t="str">
        <f ca="1">IFERROR(__xludf.DUMMYFUNCTION("""COMPUTED_VALUE"""),"Đồng ống Hailiang dạng cuộn 6.35mmx0.71mmx50m")</f>
        <v>Đồng ống Hailiang dạng cuộn 6.35mmx0.71mmx50m</v>
      </c>
      <c r="E1038" s="589">
        <f ca="1">IFERROR(__xludf.DUMMYFUNCTION("""COMPUTED_VALUE"""),0.1)</f>
        <v>0.1</v>
      </c>
      <c r="F1038" s="590" t="str">
        <f ca="1">IFERROR(__xludf.DUMMYFUNCTION("""COMPUTED_VALUE"""),"Cuộn")</f>
        <v>Cuộn</v>
      </c>
      <c r="G1038" s="590" t="str">
        <f ca="1">IFERROR(__xludf.DUMMYFUNCTION("""COMPUTED_VALUE"""),"Cuộn 50m")</f>
        <v>Cuộn 50m</v>
      </c>
      <c r="H1038" s="588" t="str">
        <f ca="1">IFERROR(__xludf.DUMMYFUNCTION("""COMPUTED_VALUE"""),"10")</f>
        <v>10</v>
      </c>
      <c r="I1038" s="591">
        <f ca="1">IFERROR(__xludf.DUMMYFUNCTION("""COMPUTED_VALUE"""),5.60616)</f>
        <v>5.60616</v>
      </c>
      <c r="J1038" s="592" t="str">
        <f ca="1">IFERROR(__xludf.DUMMYFUNCTION("""COMPUTED_VALUE""")," 06.35 ")</f>
        <v xml:space="preserve"> 06.35 </v>
      </c>
      <c r="K1038" s="590" t="str">
        <f ca="1">IFERROR(__xludf.DUMMYFUNCTION("""COMPUTED_VALUE"""),"0.71")</f>
        <v>0.71</v>
      </c>
      <c r="L1038" s="590">
        <f ca="1">IFERROR(__xludf.DUMMYFUNCTION("""COMPUTED_VALUE"""),50)</f>
        <v>50</v>
      </c>
      <c r="M1038" s="590"/>
      <c r="N1038" s="590" t="str">
        <f ca="1">IFERROR(__xludf.DUMMYFUNCTION("""COMPUTED_VALUE"""),"Dị_D&lt;54")</f>
        <v>Dị_D&lt;54</v>
      </c>
      <c r="O1038" s="589"/>
      <c r="P1038" s="590"/>
    </row>
    <row r="1039" spans="1:17" ht="15.75">
      <c r="A1039" s="581" t="str">
        <f ca="1">IFERROR(__xludf.DUMMYFUNCTION("""COMPUTED_VALUE"""),"Hailiang")</f>
        <v>Hailiang</v>
      </c>
      <c r="B1039" s="581" t="str">
        <f ca="1">IFERROR(__xludf.DUMMYFUNCTION("""COMPUTED_VALUE"""),"ĐHLCUONTD")</f>
        <v>ĐHLCUONTD</v>
      </c>
      <c r="C1039" s="581" t="str">
        <f ca="1">IFERROR(__xludf.DUMMYFUNCTION("""COMPUTED_VALUE"""),"DOCHL063507115")</f>
        <v>DOCHL063507115</v>
      </c>
      <c r="D1039" s="582" t="str">
        <f ca="1">IFERROR(__xludf.DUMMYFUNCTION("""COMPUTED_VALUE"""),"Đồng ống Hailiang dạng cuộn 6.35mmx0.71mmx15m")</f>
        <v>Đồng ống Hailiang dạng cuộn 6.35mmx0.71mmx15m</v>
      </c>
      <c r="E1039" s="583">
        <f ca="1">IFERROR(__xludf.DUMMYFUNCTION("""COMPUTED_VALUE"""),0.1)</f>
        <v>0.1</v>
      </c>
      <c r="F1039" s="584" t="str">
        <f ca="1">IFERROR(__xludf.DUMMYFUNCTION("""COMPUTED_VALUE"""),"Cuộn")</f>
        <v>Cuộn</v>
      </c>
      <c r="G1039" s="584" t="str">
        <f ca="1">IFERROR(__xludf.DUMMYFUNCTION("""COMPUTED_VALUE"""),"Cuộn 15m")</f>
        <v>Cuộn 15m</v>
      </c>
      <c r="H1039" s="582" t="str">
        <f ca="1">IFERROR(__xludf.DUMMYFUNCTION("""COMPUTED_VALUE"""),"10")</f>
        <v>10</v>
      </c>
      <c r="I1039" s="585">
        <f ca="1">IFERROR(__xludf.DUMMYFUNCTION("""COMPUTED_VALUE"""),1.68184799999999)</f>
        <v>1.68184799999999</v>
      </c>
      <c r="J1039" s="586" t="str">
        <f ca="1">IFERROR(__xludf.DUMMYFUNCTION("""COMPUTED_VALUE""")," 06.35 ")</f>
        <v xml:space="preserve"> 06.35 </v>
      </c>
      <c r="K1039" s="584" t="str">
        <f ca="1">IFERROR(__xludf.DUMMYFUNCTION("""COMPUTED_VALUE"""),"0.71")</f>
        <v>0.71</v>
      </c>
      <c r="L1039" s="584">
        <f ca="1">IFERROR(__xludf.DUMMYFUNCTION("""COMPUTED_VALUE"""),15)</f>
        <v>15</v>
      </c>
      <c r="M1039" s="584"/>
      <c r="N1039" s="584" t="str">
        <f ca="1">IFERROR(__xludf.DUMMYFUNCTION("""COMPUTED_VALUE"""),"Không")</f>
        <v>Không</v>
      </c>
      <c r="O1039" s="583"/>
      <c r="P1039" s="584"/>
      <c r="Q1039" s="885">
        <f ca="1">+$Q$5*I1039</f>
        <v>386.82503999999767</v>
      </c>
    </row>
    <row r="1040" spans="1:17" ht="15.75">
      <c r="A1040" s="587" t="str">
        <f ca="1">IFERROR(__xludf.DUMMYFUNCTION("""COMPUTED_VALUE"""),"Hailiang")</f>
        <v>Hailiang</v>
      </c>
      <c r="B1040" s="587" t="str">
        <f ca="1">IFERROR(__xludf.DUMMYFUNCTION("""COMPUTED_VALUE"""),"ĐHLCUONDI")</f>
        <v>ĐHLCUONDI</v>
      </c>
      <c r="C1040" s="587" t="str">
        <f ca="1">IFERROR(__xludf.DUMMYFUNCTION("""COMPUTED_VALUE"""),"DOCHL063507615")</f>
        <v>DOCHL063507615</v>
      </c>
      <c r="D1040" s="588" t="str">
        <f ca="1">IFERROR(__xludf.DUMMYFUNCTION("""COMPUTED_VALUE"""),"Đồng ống Hailiang dạng cuộn 6.35mmx0.76mmx15m")</f>
        <v>Đồng ống Hailiang dạng cuộn 6.35mmx0.76mmx15m</v>
      </c>
      <c r="E1040" s="589">
        <f ca="1">IFERROR(__xludf.DUMMYFUNCTION("""COMPUTED_VALUE"""),0.1)</f>
        <v>0.1</v>
      </c>
      <c r="F1040" s="590" t="str">
        <f ca="1">IFERROR(__xludf.DUMMYFUNCTION("""COMPUTED_VALUE"""),"Cuộn")</f>
        <v>Cuộn</v>
      </c>
      <c r="G1040" s="590" t="str">
        <f ca="1">IFERROR(__xludf.DUMMYFUNCTION("""COMPUTED_VALUE"""),"Cuộn 15m")</f>
        <v>Cuộn 15m</v>
      </c>
      <c r="H1040" s="588" t="str">
        <f ca="1">IFERROR(__xludf.DUMMYFUNCTION("""COMPUTED_VALUE"""),"10")</f>
        <v>10</v>
      </c>
      <c r="I1040" s="591">
        <f ca="1">IFERROR(__xludf.DUMMYFUNCTION("""COMPUTED_VALUE"""),1.784328)</f>
        <v>1.7843279999999999</v>
      </c>
      <c r="J1040" s="592" t="str">
        <f ca="1">IFERROR(__xludf.DUMMYFUNCTION("""COMPUTED_VALUE""")," 06.35 ")</f>
        <v xml:space="preserve"> 06.35 </v>
      </c>
      <c r="K1040" s="590" t="str">
        <f ca="1">IFERROR(__xludf.DUMMYFUNCTION("""COMPUTED_VALUE"""),"0.76")</f>
        <v>0.76</v>
      </c>
      <c r="L1040" s="590">
        <f ca="1">IFERROR(__xludf.DUMMYFUNCTION("""COMPUTED_VALUE"""),15)</f>
        <v>15</v>
      </c>
      <c r="M1040" s="590"/>
      <c r="N1040" s="590" t="str">
        <f ca="1">IFERROR(__xludf.DUMMYFUNCTION("""COMPUTED_VALUE"""),"Dị_D&lt;54")</f>
        <v>Dị_D&lt;54</v>
      </c>
      <c r="O1040" s="589"/>
      <c r="P1040" s="590"/>
    </row>
    <row r="1041" spans="1:17" ht="15.75">
      <c r="A1041" s="581" t="str">
        <f ca="1">IFERROR(__xludf.DUMMYFUNCTION("""COMPUTED_VALUE"""),"Hailiang")</f>
        <v>Hailiang</v>
      </c>
      <c r="B1041" s="581" t="str">
        <f ca="1">IFERROR(__xludf.DUMMYFUNCTION("""COMPUTED_VALUE"""),"ĐHLCUONDI")</f>
        <v>ĐHLCUONDI</v>
      </c>
      <c r="C1041" s="581" t="str">
        <f ca="1">IFERROR(__xludf.DUMMYFUNCTION("""COMPUTED_VALUE"""),"DOCHL063507650")</f>
        <v>DOCHL063507650</v>
      </c>
      <c r="D1041" s="582" t="str">
        <f ca="1">IFERROR(__xludf.DUMMYFUNCTION("""COMPUTED_VALUE"""),"Đồng ống Hailiang dạng cuộn 6.35mmx0.76mmx50m")</f>
        <v>Đồng ống Hailiang dạng cuộn 6.35mmx0.76mmx50m</v>
      </c>
      <c r="E1041" s="583">
        <f ca="1">IFERROR(__xludf.DUMMYFUNCTION("""COMPUTED_VALUE"""),0.1)</f>
        <v>0.1</v>
      </c>
      <c r="F1041" s="584" t="str">
        <f ca="1">IFERROR(__xludf.DUMMYFUNCTION("""COMPUTED_VALUE"""),"Cuộn")</f>
        <v>Cuộn</v>
      </c>
      <c r="G1041" s="584" t="str">
        <f ca="1">IFERROR(__xludf.DUMMYFUNCTION("""COMPUTED_VALUE"""),"Cuộn 50m")</f>
        <v>Cuộn 50m</v>
      </c>
      <c r="H1041" s="582" t="str">
        <f ca="1">IFERROR(__xludf.DUMMYFUNCTION("""COMPUTED_VALUE"""),"10")</f>
        <v>10</v>
      </c>
      <c r="I1041" s="585">
        <f ca="1">IFERROR(__xludf.DUMMYFUNCTION("""COMPUTED_VALUE"""),5.94776)</f>
        <v>5.9477599999999997</v>
      </c>
      <c r="J1041" s="586" t="str">
        <f ca="1">IFERROR(__xludf.DUMMYFUNCTION("""COMPUTED_VALUE""")," 06.35 ")</f>
        <v xml:space="preserve"> 06.35 </v>
      </c>
      <c r="K1041" s="584" t="str">
        <f ca="1">IFERROR(__xludf.DUMMYFUNCTION("""COMPUTED_VALUE"""),"0.76")</f>
        <v>0.76</v>
      </c>
      <c r="L1041" s="584">
        <f ca="1">IFERROR(__xludf.DUMMYFUNCTION("""COMPUTED_VALUE"""),50)</f>
        <v>50</v>
      </c>
      <c r="M1041" s="584"/>
      <c r="N1041" s="584" t="str">
        <f ca="1">IFERROR(__xludf.DUMMYFUNCTION("""COMPUTED_VALUE"""),"Dị_D&lt;54")</f>
        <v>Dị_D&lt;54</v>
      </c>
      <c r="O1041" s="583"/>
      <c r="P1041" s="584"/>
    </row>
    <row r="1042" spans="1:17" ht="15.75">
      <c r="A1042" s="587" t="str">
        <f ca="1">IFERROR(__xludf.DUMMYFUNCTION("""COMPUTED_VALUE"""),"Hailiang")</f>
        <v>Hailiang</v>
      </c>
      <c r="B1042" s="587" t="str">
        <f ca="1">IFERROR(__xludf.DUMMYFUNCTION("""COMPUTED_VALUE"""),"ĐHLCUONDI")</f>
        <v>ĐHLCUONDI</v>
      </c>
      <c r="C1042" s="587" t="str">
        <f ca="1">IFERROR(__xludf.DUMMYFUNCTION("""COMPUTED_VALUE"""),"DOCHL063508015")</f>
        <v>DOCHL063508015</v>
      </c>
      <c r="D1042" s="588" t="str">
        <f ca="1">IFERROR(__xludf.DUMMYFUNCTION("""COMPUTED_VALUE"""),"Đồng ống Hailiang dạng cuộn 6.35mmx0.80mmx15m")</f>
        <v>Đồng ống Hailiang dạng cuộn 6.35mmx0.80mmx15m</v>
      </c>
      <c r="E1042" s="589">
        <f ca="1">IFERROR(__xludf.DUMMYFUNCTION("""COMPUTED_VALUE"""),0.1)</f>
        <v>0.1</v>
      </c>
      <c r="F1042" s="590" t="str">
        <f ca="1">IFERROR(__xludf.DUMMYFUNCTION("""COMPUTED_VALUE"""),"Cuộn")</f>
        <v>Cuộn</v>
      </c>
      <c r="G1042" s="590" t="str">
        <f ca="1">IFERROR(__xludf.DUMMYFUNCTION("""COMPUTED_VALUE"""),"Cuộn 15m")</f>
        <v>Cuộn 15m</v>
      </c>
      <c r="H1042" s="588" t="str">
        <f ca="1">IFERROR(__xludf.DUMMYFUNCTION("""COMPUTED_VALUE"""),"10")</f>
        <v>10</v>
      </c>
      <c r="I1042" s="591">
        <f ca="1">IFERROR(__xludf.DUMMYFUNCTION("""COMPUTED_VALUE"""),1.8648)</f>
        <v>1.8648</v>
      </c>
      <c r="J1042" s="592" t="str">
        <f ca="1">IFERROR(__xludf.DUMMYFUNCTION("""COMPUTED_VALUE""")," 06.35 ")</f>
        <v xml:space="preserve"> 06.35 </v>
      </c>
      <c r="K1042" s="590" t="str">
        <f ca="1">IFERROR(__xludf.DUMMYFUNCTION("""COMPUTED_VALUE"""),"0.80")</f>
        <v>0.80</v>
      </c>
      <c r="L1042" s="590">
        <f ca="1">IFERROR(__xludf.DUMMYFUNCTION("""COMPUTED_VALUE"""),15)</f>
        <v>15</v>
      </c>
      <c r="M1042" s="590"/>
      <c r="N1042" s="590" t="str">
        <f ca="1">IFERROR(__xludf.DUMMYFUNCTION("""COMPUTED_VALUE"""),"Dị_D&lt;54")</f>
        <v>Dị_D&lt;54</v>
      </c>
      <c r="O1042" s="589"/>
      <c r="P1042" s="590"/>
    </row>
    <row r="1043" spans="1:17" ht="15.75">
      <c r="A1043" s="581" t="str">
        <f ca="1">IFERROR(__xludf.DUMMYFUNCTION("""COMPUTED_VALUE"""),"Hailiang")</f>
        <v>Hailiang</v>
      </c>
      <c r="B1043" s="581" t="str">
        <f ca="1">IFERROR(__xludf.DUMMYFUNCTION("""COMPUTED_VALUE"""),"ĐHLCUONDI")</f>
        <v>ĐHLCUONDI</v>
      </c>
      <c r="C1043" s="581" t="str">
        <f ca="1">IFERROR(__xludf.DUMMYFUNCTION("""COMPUTED_VALUE"""),"DOCHL063508150")</f>
        <v>DOCHL063508150</v>
      </c>
      <c r="D1043" s="582" t="str">
        <f ca="1">IFERROR(__xludf.DUMMYFUNCTION("""COMPUTED_VALUE"""),"Đồng ống Hailiang dạng cuộn 6.35mmx0.81mmx50m")</f>
        <v>Đồng ống Hailiang dạng cuộn 6.35mmx0.81mmx50m</v>
      </c>
      <c r="E1043" s="583">
        <f ca="1">IFERROR(__xludf.DUMMYFUNCTION("""COMPUTED_VALUE"""),0.1)</f>
        <v>0.1</v>
      </c>
      <c r="F1043" s="584" t="str">
        <f ca="1">IFERROR(__xludf.DUMMYFUNCTION("""COMPUTED_VALUE"""),"Cuộn")</f>
        <v>Cuộn</v>
      </c>
      <c r="G1043" s="584" t="str">
        <f ca="1">IFERROR(__xludf.DUMMYFUNCTION("""COMPUTED_VALUE"""),"Cuộn 50m")</f>
        <v>Cuộn 50m</v>
      </c>
      <c r="H1043" s="582" t="str">
        <f ca="1">IFERROR(__xludf.DUMMYFUNCTION("""COMPUTED_VALUE"""),"10")</f>
        <v>10</v>
      </c>
      <c r="I1043" s="585">
        <f ca="1">IFERROR(__xludf.DUMMYFUNCTION("""COMPUTED_VALUE"""),6.28236)</f>
        <v>6.2823599999999997</v>
      </c>
      <c r="J1043" s="586" t="str">
        <f ca="1">IFERROR(__xludf.DUMMYFUNCTION("""COMPUTED_VALUE""")," 06.35 ")</f>
        <v xml:space="preserve"> 06.35 </v>
      </c>
      <c r="K1043" s="584" t="str">
        <f ca="1">IFERROR(__xludf.DUMMYFUNCTION("""COMPUTED_VALUE"""),"0.81")</f>
        <v>0.81</v>
      </c>
      <c r="L1043" s="584">
        <f ca="1">IFERROR(__xludf.DUMMYFUNCTION("""COMPUTED_VALUE"""),50)</f>
        <v>50</v>
      </c>
      <c r="M1043" s="584"/>
      <c r="N1043" s="584" t="str">
        <f ca="1">IFERROR(__xludf.DUMMYFUNCTION("""COMPUTED_VALUE"""),"Dị_D&lt;54")</f>
        <v>Dị_D&lt;54</v>
      </c>
      <c r="O1043" s="583"/>
      <c r="P1043" s="584"/>
    </row>
    <row r="1044" spans="1:17" ht="15.75">
      <c r="A1044" s="587" t="str">
        <f ca="1">IFERROR(__xludf.DUMMYFUNCTION("""COMPUTED_VALUE"""),"Hailiang")</f>
        <v>Hailiang</v>
      </c>
      <c r="B1044" s="587" t="str">
        <f ca="1">IFERROR(__xludf.DUMMYFUNCTION("""COMPUTED_VALUE"""),"ĐHLCUONTD")</f>
        <v>ĐHLCUONTD</v>
      </c>
      <c r="C1044" s="587" t="str">
        <f ca="1">IFERROR(__xludf.DUMMYFUNCTION("""COMPUTED_VALUE"""),"DOCHL063508115")</f>
        <v>DOCHL063508115</v>
      </c>
      <c r="D1044" s="588" t="str">
        <f ca="1">IFERROR(__xludf.DUMMYFUNCTION("""COMPUTED_VALUE"""),"Đồng ống Hailiang dạng cuộn 6.35mmx0.81mmx15m")</f>
        <v>Đồng ống Hailiang dạng cuộn 6.35mmx0.81mmx15m</v>
      </c>
      <c r="E1044" s="589">
        <f ca="1">IFERROR(__xludf.DUMMYFUNCTION("""COMPUTED_VALUE"""),0.1)</f>
        <v>0.1</v>
      </c>
      <c r="F1044" s="590" t="str">
        <f ca="1">IFERROR(__xludf.DUMMYFUNCTION("""COMPUTED_VALUE"""),"Cuộn")</f>
        <v>Cuộn</v>
      </c>
      <c r="G1044" s="590" t="str">
        <f ca="1">IFERROR(__xludf.DUMMYFUNCTION("""COMPUTED_VALUE"""),"Cuộn 15m")</f>
        <v>Cuộn 15m</v>
      </c>
      <c r="H1044" s="588" t="str">
        <f ca="1">IFERROR(__xludf.DUMMYFUNCTION("""COMPUTED_VALUE"""),"10")</f>
        <v>10</v>
      </c>
      <c r="I1044" s="591">
        <f ca="1">IFERROR(__xludf.DUMMYFUNCTION("""COMPUTED_VALUE"""),1.88470799999999)</f>
        <v>1.8847079999999901</v>
      </c>
      <c r="J1044" s="592" t="str">
        <f ca="1">IFERROR(__xludf.DUMMYFUNCTION("""COMPUTED_VALUE""")," 06.35 ")</f>
        <v xml:space="preserve"> 06.35 </v>
      </c>
      <c r="K1044" s="590" t="str">
        <f ca="1">IFERROR(__xludf.DUMMYFUNCTION("""COMPUTED_VALUE"""),"0.81")</f>
        <v>0.81</v>
      </c>
      <c r="L1044" s="590">
        <f ca="1">IFERROR(__xludf.DUMMYFUNCTION("""COMPUTED_VALUE"""),15)</f>
        <v>15</v>
      </c>
      <c r="M1044" s="590"/>
      <c r="N1044" s="590" t="str">
        <f ca="1">IFERROR(__xludf.DUMMYFUNCTION("""COMPUTED_VALUE"""),"Không")</f>
        <v>Không</v>
      </c>
      <c r="O1044" s="589"/>
      <c r="P1044" s="590"/>
      <c r="Q1044" s="885">
        <f ca="1">+$Q$5*I1044</f>
        <v>433.48283999999768</v>
      </c>
    </row>
    <row r="1045" spans="1:17" ht="15.75">
      <c r="A1045" s="581" t="str">
        <f ca="1">IFERROR(__xludf.DUMMYFUNCTION("""COMPUTED_VALUE"""),"Hailiang")</f>
        <v>Hailiang</v>
      </c>
      <c r="B1045" s="581" t="str">
        <f ca="1">IFERROR(__xludf.DUMMYFUNCTION("""COMPUTED_VALUE"""),"ĐHLCUONDI")</f>
        <v>ĐHLCUONDI</v>
      </c>
      <c r="C1045" s="581" t="str">
        <f ca="1">IFERROR(__xludf.DUMMYFUNCTION("""COMPUTED_VALUE"""),"DOCHL095205015")</f>
        <v>DOCHL095205015</v>
      </c>
      <c r="D1045" s="582" t="str">
        <f ca="1">IFERROR(__xludf.DUMMYFUNCTION("""COMPUTED_VALUE"""),"Đồng ống Hailiang dạng cuộn 9.52mmx0.50mmx15m")</f>
        <v>Đồng ống Hailiang dạng cuộn 9.52mmx0.50mmx15m</v>
      </c>
      <c r="E1045" s="583">
        <f ca="1">IFERROR(__xludf.DUMMYFUNCTION("""COMPUTED_VALUE"""),0.1)</f>
        <v>0.1</v>
      </c>
      <c r="F1045" s="584" t="str">
        <f ca="1">IFERROR(__xludf.DUMMYFUNCTION("""COMPUTED_VALUE"""),"Cuộn")</f>
        <v>Cuộn</v>
      </c>
      <c r="G1045" s="584" t="str">
        <f ca="1">IFERROR(__xludf.DUMMYFUNCTION("""COMPUTED_VALUE"""),"Cuộn 15m")</f>
        <v>Cuộn 15m</v>
      </c>
      <c r="H1045" s="582" t="str">
        <f ca="1">IFERROR(__xludf.DUMMYFUNCTION("""COMPUTED_VALUE"""),"10")</f>
        <v>10</v>
      </c>
      <c r="I1045" s="585">
        <f ca="1">IFERROR(__xludf.DUMMYFUNCTION("""COMPUTED_VALUE"""),1.8942)</f>
        <v>1.8942000000000001</v>
      </c>
      <c r="J1045" s="586" t="str">
        <f ca="1">IFERROR(__xludf.DUMMYFUNCTION("""COMPUTED_VALUE""")," 09.52 ")</f>
        <v xml:space="preserve"> 09.52 </v>
      </c>
      <c r="K1045" s="584" t="str">
        <f ca="1">IFERROR(__xludf.DUMMYFUNCTION("""COMPUTED_VALUE"""),"0.50")</f>
        <v>0.50</v>
      </c>
      <c r="L1045" s="584">
        <f ca="1">IFERROR(__xludf.DUMMYFUNCTION("""COMPUTED_VALUE"""),15)</f>
        <v>15</v>
      </c>
      <c r="M1045" s="584"/>
      <c r="N1045" s="584" t="str">
        <f ca="1">IFERROR(__xludf.DUMMYFUNCTION("""COMPUTED_VALUE"""),"Dị_D&lt;54")</f>
        <v>Dị_D&lt;54</v>
      </c>
      <c r="O1045" s="583"/>
      <c r="P1045" s="584"/>
    </row>
    <row r="1046" spans="1:17" ht="15.75">
      <c r="A1046" s="587" t="str">
        <f ca="1">IFERROR(__xludf.DUMMYFUNCTION("""COMPUTED_VALUE"""),"Hailiang")</f>
        <v>Hailiang</v>
      </c>
      <c r="B1046" s="587" t="str">
        <f ca="1">IFERROR(__xludf.DUMMYFUNCTION("""COMPUTED_VALUE"""),"ĐHLCUONDI")</f>
        <v>ĐHLCUONDI</v>
      </c>
      <c r="C1046" s="587" t="str">
        <f ca="1">IFERROR(__xludf.DUMMYFUNCTION("""COMPUTED_VALUE"""),"DOCHL095205115")</f>
        <v>DOCHL095205115</v>
      </c>
      <c r="D1046" s="588" t="str">
        <f ca="1">IFERROR(__xludf.DUMMYFUNCTION("""COMPUTED_VALUE"""),"Đồng ống Hailiang dạng cuộn 9.52mmx0.51mmx15m")</f>
        <v>Đồng ống Hailiang dạng cuộn 9.52mmx0.51mmx15m</v>
      </c>
      <c r="E1046" s="589">
        <f ca="1">IFERROR(__xludf.DUMMYFUNCTION("""COMPUTED_VALUE"""),0.1)</f>
        <v>0.1</v>
      </c>
      <c r="F1046" s="590" t="str">
        <f ca="1">IFERROR(__xludf.DUMMYFUNCTION("""COMPUTED_VALUE"""),"Cuộn")</f>
        <v>Cuộn</v>
      </c>
      <c r="G1046" s="590" t="str">
        <f ca="1">IFERROR(__xludf.DUMMYFUNCTION("""COMPUTED_VALUE"""),"Cuộn 15m")</f>
        <v>Cuộn 15m</v>
      </c>
      <c r="H1046" s="588" t="str">
        <f ca="1">IFERROR(__xludf.DUMMYFUNCTION("""COMPUTED_VALUE"""),"10")</f>
        <v>10</v>
      </c>
      <c r="I1046" s="591">
        <f ca="1">IFERROR(__xludf.DUMMYFUNCTION("""COMPUTED_VALUE"""),1.929942)</f>
        <v>1.929942</v>
      </c>
      <c r="J1046" s="592" t="str">
        <f ca="1">IFERROR(__xludf.DUMMYFUNCTION("""COMPUTED_VALUE""")," 09.52 ")</f>
        <v xml:space="preserve"> 09.52 </v>
      </c>
      <c r="K1046" s="590" t="str">
        <f ca="1">IFERROR(__xludf.DUMMYFUNCTION("""COMPUTED_VALUE"""),"0.51")</f>
        <v>0.51</v>
      </c>
      <c r="L1046" s="590">
        <f ca="1">IFERROR(__xludf.DUMMYFUNCTION("""COMPUTED_VALUE"""),15)</f>
        <v>15</v>
      </c>
      <c r="M1046" s="590"/>
      <c r="N1046" s="590" t="str">
        <f ca="1">IFERROR(__xludf.DUMMYFUNCTION("""COMPUTED_VALUE"""),"Dị_D&lt;54")</f>
        <v>Dị_D&lt;54</v>
      </c>
      <c r="O1046" s="589"/>
      <c r="P1046" s="590"/>
    </row>
    <row r="1047" spans="1:17" ht="15.75">
      <c r="A1047" s="581" t="str">
        <f ca="1">IFERROR(__xludf.DUMMYFUNCTION("""COMPUTED_VALUE"""),"Hailiang")</f>
        <v>Hailiang</v>
      </c>
      <c r="B1047" s="581" t="str">
        <f ca="1">IFERROR(__xludf.DUMMYFUNCTION("""COMPUTED_VALUE"""),"ĐHLCUONDI")</f>
        <v>ĐHLCUONDI</v>
      </c>
      <c r="C1047" s="581" t="str">
        <f ca="1">IFERROR(__xludf.DUMMYFUNCTION("""COMPUTED_VALUE"""),"DOCHL095205515")</f>
        <v>DOCHL095205515</v>
      </c>
      <c r="D1047" s="582" t="str">
        <f ca="1">IFERROR(__xludf.DUMMYFUNCTION("""COMPUTED_VALUE"""),"Đồng ống Hailiang dạng cuộn 9.52mmx0.55mmx15m")</f>
        <v>Đồng ống Hailiang dạng cuộn 9.52mmx0.55mmx15m</v>
      </c>
      <c r="E1047" s="583">
        <f ca="1">IFERROR(__xludf.DUMMYFUNCTION("""COMPUTED_VALUE"""),0.1)</f>
        <v>0.1</v>
      </c>
      <c r="F1047" s="584" t="str">
        <f ca="1">IFERROR(__xludf.DUMMYFUNCTION("""COMPUTED_VALUE"""),"Cuộn")</f>
        <v>Cuộn</v>
      </c>
      <c r="G1047" s="584" t="str">
        <f ca="1">IFERROR(__xludf.DUMMYFUNCTION("""COMPUTED_VALUE"""),"Cuộn 15m")</f>
        <v>Cuộn 15m</v>
      </c>
      <c r="H1047" s="582" t="str">
        <f ca="1">IFERROR(__xludf.DUMMYFUNCTION("""COMPUTED_VALUE"""),"10")</f>
        <v>10</v>
      </c>
      <c r="I1047" s="585">
        <f ca="1">IFERROR(__xludf.DUMMYFUNCTION("""COMPUTED_VALUE"""),2.07206999999999)</f>
        <v>2.0720699999999899</v>
      </c>
      <c r="J1047" s="586" t="str">
        <f ca="1">IFERROR(__xludf.DUMMYFUNCTION("""COMPUTED_VALUE""")," 09.52 ")</f>
        <v xml:space="preserve"> 09.52 </v>
      </c>
      <c r="K1047" s="584" t="str">
        <f ca="1">IFERROR(__xludf.DUMMYFUNCTION("""COMPUTED_VALUE"""),"0.55")</f>
        <v>0.55</v>
      </c>
      <c r="L1047" s="584">
        <f ca="1">IFERROR(__xludf.DUMMYFUNCTION("""COMPUTED_VALUE"""),15)</f>
        <v>15</v>
      </c>
      <c r="M1047" s="584"/>
      <c r="N1047" s="584" t="str">
        <f ca="1">IFERROR(__xludf.DUMMYFUNCTION("""COMPUTED_VALUE"""),"Dị_D&lt;54")</f>
        <v>Dị_D&lt;54</v>
      </c>
      <c r="O1047" s="583"/>
      <c r="P1047" s="584"/>
    </row>
    <row r="1048" spans="1:17" ht="15.75">
      <c r="A1048" s="587" t="str">
        <f ca="1">IFERROR(__xludf.DUMMYFUNCTION("""COMPUTED_VALUE"""),"Hailiang")</f>
        <v>Hailiang</v>
      </c>
      <c r="B1048" s="587" t="str">
        <f ca="1">IFERROR(__xludf.DUMMYFUNCTION("""COMPUTED_VALUE"""),"ĐHLCUONDI")</f>
        <v>ĐHLCUONDI</v>
      </c>
      <c r="C1048" s="587" t="str">
        <f ca="1">IFERROR(__xludf.DUMMYFUNCTION("""COMPUTED_VALUE"""),"DOCHL095205615")</f>
        <v>DOCHL095205615</v>
      </c>
      <c r="D1048" s="588" t="str">
        <f ca="1">IFERROR(__xludf.DUMMYFUNCTION("""COMPUTED_VALUE"""),"Đồng ống Hailiang dạng cuộn 9.52mmx0.56mmx15m")</f>
        <v>Đồng ống Hailiang dạng cuộn 9.52mmx0.56mmx15m</v>
      </c>
      <c r="E1048" s="589">
        <f ca="1">IFERROR(__xludf.DUMMYFUNCTION("""COMPUTED_VALUE"""),0.1)</f>
        <v>0.1</v>
      </c>
      <c r="F1048" s="590" t="str">
        <f ca="1">IFERROR(__xludf.DUMMYFUNCTION("""COMPUTED_VALUE"""),"Cuộn")</f>
        <v>Cuộn</v>
      </c>
      <c r="G1048" s="590" t="str">
        <f ca="1">IFERROR(__xludf.DUMMYFUNCTION("""COMPUTED_VALUE"""),"Cuộn 15m")</f>
        <v>Cuộn 15m</v>
      </c>
      <c r="H1048" s="588" t="str">
        <f ca="1">IFERROR(__xludf.DUMMYFUNCTION("""COMPUTED_VALUE"""),"10")</f>
        <v>10</v>
      </c>
      <c r="I1048" s="591">
        <f ca="1">IFERROR(__xludf.DUMMYFUNCTION("""COMPUTED_VALUE"""),2.107392)</f>
        <v>2.1073919999999999</v>
      </c>
      <c r="J1048" s="592" t="str">
        <f ca="1">IFERROR(__xludf.DUMMYFUNCTION("""COMPUTED_VALUE""")," 09.52 ")</f>
        <v xml:space="preserve"> 09.52 </v>
      </c>
      <c r="K1048" s="590" t="str">
        <f ca="1">IFERROR(__xludf.DUMMYFUNCTION("""COMPUTED_VALUE"""),"0.56")</f>
        <v>0.56</v>
      </c>
      <c r="L1048" s="590">
        <f ca="1">IFERROR(__xludf.DUMMYFUNCTION("""COMPUTED_VALUE"""),15)</f>
        <v>15</v>
      </c>
      <c r="M1048" s="590"/>
      <c r="N1048" s="590" t="str">
        <f ca="1">IFERROR(__xludf.DUMMYFUNCTION("""COMPUTED_VALUE"""),"Dị_D&lt;54")</f>
        <v>Dị_D&lt;54</v>
      </c>
      <c r="O1048" s="589"/>
      <c r="P1048" s="590"/>
    </row>
    <row r="1049" spans="1:17" ht="15.75">
      <c r="A1049" s="581" t="str">
        <f ca="1">IFERROR(__xludf.DUMMYFUNCTION("""COMPUTED_VALUE"""),"Hailiang")</f>
        <v>Hailiang</v>
      </c>
      <c r="B1049" s="581" t="str">
        <f ca="1">IFERROR(__xludf.DUMMYFUNCTION("""COMPUTED_VALUE"""),"ĐHLCUONDI")</f>
        <v>ĐHLCUONDI</v>
      </c>
      <c r="C1049" s="581" t="str">
        <f ca="1">IFERROR(__xludf.DUMMYFUNCTION("""COMPUTED_VALUE"""),"DOCHL095206015")</f>
        <v>DOCHL095206015</v>
      </c>
      <c r="D1049" s="582" t="str">
        <f ca="1">IFERROR(__xludf.DUMMYFUNCTION("""COMPUTED_VALUE"""),"Đồng ống Hailiang dạng cuộn 9.52mmx0.60mmx15m")</f>
        <v>Đồng ống Hailiang dạng cuộn 9.52mmx0.60mmx15m</v>
      </c>
      <c r="E1049" s="583">
        <f ca="1">IFERROR(__xludf.DUMMYFUNCTION("""COMPUTED_VALUE"""),0.1)</f>
        <v>0.1</v>
      </c>
      <c r="F1049" s="584" t="str">
        <f ca="1">IFERROR(__xludf.DUMMYFUNCTION("""COMPUTED_VALUE"""),"Cuộn")</f>
        <v>Cuộn</v>
      </c>
      <c r="G1049" s="584" t="str">
        <f ca="1">IFERROR(__xludf.DUMMYFUNCTION("""COMPUTED_VALUE"""),"Cuộn 15m")</f>
        <v>Cuộn 15m</v>
      </c>
      <c r="H1049" s="582"/>
      <c r="I1049" s="585">
        <f ca="1">IFERROR(__xludf.DUMMYFUNCTION("""COMPUTED_VALUE"""),2.24784)</f>
        <v>2.2478400000000001</v>
      </c>
      <c r="J1049" s="586" t="str">
        <f ca="1">IFERROR(__xludf.DUMMYFUNCTION("""COMPUTED_VALUE""")," 09.52 ")</f>
        <v xml:space="preserve"> 09.52 </v>
      </c>
      <c r="K1049" s="584" t="str">
        <f ca="1">IFERROR(__xludf.DUMMYFUNCTION("""COMPUTED_VALUE"""),"0.60")</f>
        <v>0.60</v>
      </c>
      <c r="L1049" s="584">
        <f ca="1">IFERROR(__xludf.DUMMYFUNCTION("""COMPUTED_VALUE"""),15)</f>
        <v>15</v>
      </c>
      <c r="M1049" s="584"/>
      <c r="N1049" s="584" t="str">
        <f ca="1">IFERROR(__xludf.DUMMYFUNCTION("""COMPUTED_VALUE"""),"Dị_D&lt;54")</f>
        <v>Dị_D&lt;54</v>
      </c>
      <c r="O1049" s="583"/>
      <c r="P1049" s="584"/>
    </row>
    <row r="1050" spans="1:17" ht="15.75">
      <c r="A1050" s="587" t="str">
        <f ca="1">IFERROR(__xludf.DUMMYFUNCTION("""COMPUTED_VALUE"""),"Hailiang")</f>
        <v>Hailiang</v>
      </c>
      <c r="B1050" s="587" t="str">
        <f ca="1">IFERROR(__xludf.DUMMYFUNCTION("""COMPUTED_VALUE"""),"ĐHLCUONTD")</f>
        <v>ĐHLCUONTD</v>
      </c>
      <c r="C1050" s="587" t="str">
        <f ca="1">IFERROR(__xludf.DUMMYFUNCTION("""COMPUTED_VALUE"""),"DOCHL095206115")</f>
        <v>DOCHL095206115</v>
      </c>
      <c r="D1050" s="588" t="str">
        <f ca="1">IFERROR(__xludf.DUMMYFUNCTION("""COMPUTED_VALUE"""),"Đồng ống Hailiang dạng cuộn 9.52mmx0.61mmx15m")</f>
        <v>Đồng ống Hailiang dạng cuộn 9.52mmx0.61mmx15m</v>
      </c>
      <c r="E1050" s="589">
        <f ca="1">IFERROR(__xludf.DUMMYFUNCTION("""COMPUTED_VALUE"""),0.1)</f>
        <v>0.1</v>
      </c>
      <c r="F1050" s="590" t="str">
        <f ca="1">IFERROR(__xludf.DUMMYFUNCTION("""COMPUTED_VALUE"""),"Cuộn")</f>
        <v>Cuộn</v>
      </c>
      <c r="G1050" s="590" t="str">
        <f ca="1">IFERROR(__xludf.DUMMYFUNCTION("""COMPUTED_VALUE"""),"Cuộn 15m")</f>
        <v>Cuộn 15m</v>
      </c>
      <c r="H1050" s="588" t="str">
        <f ca="1">IFERROR(__xludf.DUMMYFUNCTION("""COMPUTED_VALUE"""),"10")</f>
        <v>10</v>
      </c>
      <c r="I1050" s="591">
        <f ca="1">IFERROR(__xludf.DUMMYFUNCTION("""COMPUTED_VALUE"""),2.282742)</f>
        <v>2.2827419999999998</v>
      </c>
      <c r="J1050" s="592" t="str">
        <f ca="1">IFERROR(__xludf.DUMMYFUNCTION("""COMPUTED_VALUE""")," 09.52 ")</f>
        <v xml:space="preserve"> 09.52 </v>
      </c>
      <c r="K1050" s="590" t="str">
        <f ca="1">IFERROR(__xludf.DUMMYFUNCTION("""COMPUTED_VALUE"""),"0.61")</f>
        <v>0.61</v>
      </c>
      <c r="L1050" s="590">
        <f ca="1">IFERROR(__xludf.DUMMYFUNCTION("""COMPUTED_VALUE"""),15)</f>
        <v>15</v>
      </c>
      <c r="M1050" s="590"/>
      <c r="N1050" s="590" t="str">
        <f ca="1">IFERROR(__xludf.DUMMYFUNCTION("""COMPUTED_VALUE"""),"Không")</f>
        <v>Không</v>
      </c>
      <c r="O1050" s="589"/>
      <c r="P1050" s="590"/>
      <c r="Q1050" s="885">
        <f ca="1">+$Q$5*I1050</f>
        <v>525.0306599999999</v>
      </c>
    </row>
    <row r="1051" spans="1:17" ht="15.75">
      <c r="A1051" s="581" t="str">
        <f ca="1">IFERROR(__xludf.DUMMYFUNCTION("""COMPUTED_VALUE"""),"Hailiang")</f>
        <v>Hailiang</v>
      </c>
      <c r="B1051" s="581" t="str">
        <f ca="1">IFERROR(__xludf.DUMMYFUNCTION("""COMPUTED_VALUE"""),"ĐHLCUONDI")</f>
        <v>ĐHLCUONDI</v>
      </c>
      <c r="C1051" s="581" t="str">
        <f ca="1">IFERROR(__xludf.DUMMYFUNCTION("""COMPUTED_VALUE"""),"DOCHL095206515")</f>
        <v>DOCHL095206515</v>
      </c>
      <c r="D1051" s="582" t="str">
        <f ca="1">IFERROR(__xludf.DUMMYFUNCTION("""COMPUTED_VALUE"""),"Đồng ống Hailiang dạng cuộn 9.52mmx0.65mmx15m")</f>
        <v>Đồng ống Hailiang dạng cuộn 9.52mmx0.65mmx15m</v>
      </c>
      <c r="E1051" s="583">
        <f ca="1">IFERROR(__xludf.DUMMYFUNCTION("""COMPUTED_VALUE"""),0.1)</f>
        <v>0.1</v>
      </c>
      <c r="F1051" s="584" t="str">
        <f ca="1">IFERROR(__xludf.DUMMYFUNCTION("""COMPUTED_VALUE"""),"Cuộn")</f>
        <v>Cuộn</v>
      </c>
      <c r="G1051" s="584" t="str">
        <f ca="1">IFERROR(__xludf.DUMMYFUNCTION("""COMPUTED_VALUE"""),"Cuộn 15m")</f>
        <v>Cuộn 15m</v>
      </c>
      <c r="H1051" s="582" t="str">
        <f ca="1">IFERROR(__xludf.DUMMYFUNCTION("""COMPUTED_VALUE"""),"10")</f>
        <v>10</v>
      </c>
      <c r="I1051" s="585">
        <f ca="1">IFERROR(__xludf.DUMMYFUNCTION("""COMPUTED_VALUE"""),2.42151)</f>
        <v>2.4215100000000001</v>
      </c>
      <c r="J1051" s="586" t="str">
        <f ca="1">IFERROR(__xludf.DUMMYFUNCTION("""COMPUTED_VALUE""")," 09.52 ")</f>
        <v xml:space="preserve"> 09.52 </v>
      </c>
      <c r="K1051" s="584" t="str">
        <f ca="1">IFERROR(__xludf.DUMMYFUNCTION("""COMPUTED_VALUE"""),"0.65")</f>
        <v>0.65</v>
      </c>
      <c r="L1051" s="584">
        <f ca="1">IFERROR(__xludf.DUMMYFUNCTION("""COMPUTED_VALUE"""),15)</f>
        <v>15</v>
      </c>
      <c r="M1051" s="584"/>
      <c r="N1051" s="584" t="str">
        <f ca="1">IFERROR(__xludf.DUMMYFUNCTION("""COMPUTED_VALUE"""),"Dị_D&lt;54")</f>
        <v>Dị_D&lt;54</v>
      </c>
      <c r="O1051" s="583"/>
      <c r="P1051" s="584"/>
    </row>
    <row r="1052" spans="1:17" ht="15.75">
      <c r="A1052" s="587" t="str">
        <f ca="1">IFERROR(__xludf.DUMMYFUNCTION("""COMPUTED_VALUE"""),"Hailiang")</f>
        <v>Hailiang</v>
      </c>
      <c r="B1052" s="587" t="str">
        <f ca="1">IFERROR(__xludf.DUMMYFUNCTION("""COMPUTED_VALUE"""),"ĐHLCUONDI")</f>
        <v>ĐHLCUONDI</v>
      </c>
      <c r="C1052" s="587" t="str">
        <f ca="1">IFERROR(__xludf.DUMMYFUNCTION("""COMPUTED_VALUE"""),"DOCHL095206615")</f>
        <v>DOCHL095206615</v>
      </c>
      <c r="D1052" s="588" t="str">
        <f ca="1">IFERROR(__xludf.DUMMYFUNCTION("""COMPUTED_VALUE"""),"Đồng ống Hailiang dạng cuộn 9.52mmx0.66mmx15m")</f>
        <v>Đồng ống Hailiang dạng cuộn 9.52mmx0.66mmx15m</v>
      </c>
      <c r="E1052" s="589">
        <f ca="1">IFERROR(__xludf.DUMMYFUNCTION("""COMPUTED_VALUE"""),0.1)</f>
        <v>0.1</v>
      </c>
      <c r="F1052" s="590" t="str">
        <f ca="1">IFERROR(__xludf.DUMMYFUNCTION("""COMPUTED_VALUE"""),"Cuộn")</f>
        <v>Cuộn</v>
      </c>
      <c r="G1052" s="590" t="str">
        <f ca="1">IFERROR(__xludf.DUMMYFUNCTION("""COMPUTED_VALUE"""),"Cuộn 15m")</f>
        <v>Cuộn 15m</v>
      </c>
      <c r="H1052" s="588" t="str">
        <f ca="1">IFERROR(__xludf.DUMMYFUNCTION("""COMPUTED_VALUE"""),"10")</f>
        <v>10</v>
      </c>
      <c r="I1052" s="591">
        <f ca="1">IFERROR(__xludf.DUMMYFUNCTION("""COMPUTED_VALUE"""),2.455992)</f>
        <v>2.4559920000000002</v>
      </c>
      <c r="J1052" s="592" t="str">
        <f ca="1">IFERROR(__xludf.DUMMYFUNCTION("""COMPUTED_VALUE""")," 09.52 ")</f>
        <v xml:space="preserve"> 09.52 </v>
      </c>
      <c r="K1052" s="590" t="str">
        <f ca="1">IFERROR(__xludf.DUMMYFUNCTION("""COMPUTED_VALUE"""),"0.66")</f>
        <v>0.66</v>
      </c>
      <c r="L1052" s="590">
        <f ca="1">IFERROR(__xludf.DUMMYFUNCTION("""COMPUTED_VALUE"""),15)</f>
        <v>15</v>
      </c>
      <c r="M1052" s="590"/>
      <c r="N1052" s="590" t="str">
        <f ca="1">IFERROR(__xludf.DUMMYFUNCTION("""COMPUTED_VALUE"""),"Dị_D&lt;54")</f>
        <v>Dị_D&lt;54</v>
      </c>
      <c r="O1052" s="589"/>
      <c r="P1052" s="590"/>
    </row>
    <row r="1053" spans="1:17" ht="15.75">
      <c r="A1053" s="581" t="str">
        <f ca="1">IFERROR(__xludf.DUMMYFUNCTION("""COMPUTED_VALUE"""),"Hailiang")</f>
        <v>Hailiang</v>
      </c>
      <c r="B1053" s="581" t="str">
        <f ca="1">IFERROR(__xludf.DUMMYFUNCTION("""COMPUTED_VALUE"""),"ĐHLCUONDI")</f>
        <v>ĐHLCUONDI</v>
      </c>
      <c r="C1053" s="581" t="str">
        <f ca="1">IFERROR(__xludf.DUMMYFUNCTION("""COMPUTED_VALUE"""),"DOCHL095207015")</f>
        <v>DOCHL095207015</v>
      </c>
      <c r="D1053" s="582" t="str">
        <f ca="1">IFERROR(__xludf.DUMMYFUNCTION("""COMPUTED_VALUE"""),"Đồng ống Hailiang dạng cuộn 9.52mmx0.70mmx15m")</f>
        <v>Đồng ống Hailiang dạng cuộn 9.52mmx0.70mmx15m</v>
      </c>
      <c r="E1053" s="583">
        <f ca="1">IFERROR(__xludf.DUMMYFUNCTION("""COMPUTED_VALUE"""),0.1)</f>
        <v>0.1</v>
      </c>
      <c r="F1053" s="584" t="str">
        <f ca="1">IFERROR(__xludf.DUMMYFUNCTION("""COMPUTED_VALUE"""),"Cuộn")</f>
        <v>Cuộn</v>
      </c>
      <c r="G1053" s="584" t="str">
        <f ca="1">IFERROR(__xludf.DUMMYFUNCTION("""COMPUTED_VALUE"""),"Cuộn 15m")</f>
        <v>Cuộn 15m</v>
      </c>
      <c r="H1053" s="582" t="str">
        <f ca="1">IFERROR(__xludf.DUMMYFUNCTION("""COMPUTED_VALUE"""),"10")</f>
        <v>10</v>
      </c>
      <c r="I1053" s="585">
        <f ca="1">IFERROR(__xludf.DUMMYFUNCTION("""COMPUTED_VALUE"""),2.59308)</f>
        <v>2.5930800000000001</v>
      </c>
      <c r="J1053" s="586" t="str">
        <f ca="1">IFERROR(__xludf.DUMMYFUNCTION("""COMPUTED_VALUE""")," 09.52 ")</f>
        <v xml:space="preserve"> 09.52 </v>
      </c>
      <c r="K1053" s="584" t="str">
        <f ca="1">IFERROR(__xludf.DUMMYFUNCTION("""COMPUTED_VALUE"""),"0.70")</f>
        <v>0.70</v>
      </c>
      <c r="L1053" s="584">
        <f ca="1">IFERROR(__xludf.DUMMYFUNCTION("""COMPUTED_VALUE"""),15)</f>
        <v>15</v>
      </c>
      <c r="M1053" s="584"/>
      <c r="N1053" s="584" t="str">
        <f ca="1">IFERROR(__xludf.DUMMYFUNCTION("""COMPUTED_VALUE"""),"Dị_D&lt;54")</f>
        <v>Dị_D&lt;54</v>
      </c>
      <c r="O1053" s="583"/>
      <c r="P1053" s="584"/>
    </row>
    <row r="1054" spans="1:17" ht="15.75">
      <c r="A1054" s="587" t="str">
        <f ca="1">IFERROR(__xludf.DUMMYFUNCTION("""COMPUTED_VALUE"""),"Hailiang")</f>
        <v>Hailiang</v>
      </c>
      <c r="B1054" s="587" t="str">
        <f ca="1">IFERROR(__xludf.DUMMYFUNCTION("""COMPUTED_VALUE"""),"ĐHLCUONDI")</f>
        <v>ĐHLCUONDI</v>
      </c>
      <c r="C1054" s="587" t="str">
        <f ca="1">IFERROR(__xludf.DUMMYFUNCTION("""COMPUTED_VALUE"""),"DOCHL095207150")</f>
        <v>DOCHL095207150</v>
      </c>
      <c r="D1054" s="588" t="str">
        <f ca="1">IFERROR(__xludf.DUMMYFUNCTION("""COMPUTED_VALUE"""),"Đồng ống Hailiang dạng cuộn 9.52mmx0.71mmx50m")</f>
        <v>Đồng ống Hailiang dạng cuộn 9.52mmx0.71mmx50m</v>
      </c>
      <c r="E1054" s="589">
        <f ca="1">IFERROR(__xludf.DUMMYFUNCTION("""COMPUTED_VALUE"""),0.1)</f>
        <v>0.1</v>
      </c>
      <c r="F1054" s="590" t="str">
        <f ca="1">IFERROR(__xludf.DUMMYFUNCTION("""COMPUTED_VALUE"""),"Cuộn")</f>
        <v>Cuộn</v>
      </c>
      <c r="G1054" s="590" t="str">
        <f ca="1">IFERROR(__xludf.DUMMYFUNCTION("""COMPUTED_VALUE"""),"Cuộn 50m")</f>
        <v>Cuộn 50m</v>
      </c>
      <c r="H1054" s="588" t="str">
        <f ca="1">IFERROR(__xludf.DUMMYFUNCTION("""COMPUTED_VALUE"""),"10")</f>
        <v>10</v>
      </c>
      <c r="I1054" s="591">
        <f ca="1">IFERROR(__xludf.DUMMYFUNCTION("""COMPUTED_VALUE"""),8.75713999999999)</f>
        <v>8.7571399999999908</v>
      </c>
      <c r="J1054" s="592" t="str">
        <f ca="1">IFERROR(__xludf.DUMMYFUNCTION("""COMPUTED_VALUE""")," 09.52 ")</f>
        <v xml:space="preserve"> 09.52 </v>
      </c>
      <c r="K1054" s="590" t="str">
        <f ca="1">IFERROR(__xludf.DUMMYFUNCTION("""COMPUTED_VALUE"""),"0.71")</f>
        <v>0.71</v>
      </c>
      <c r="L1054" s="590">
        <f ca="1">IFERROR(__xludf.DUMMYFUNCTION("""COMPUTED_VALUE"""),50)</f>
        <v>50</v>
      </c>
      <c r="M1054" s="590"/>
      <c r="N1054" s="590" t="str">
        <f ca="1">IFERROR(__xludf.DUMMYFUNCTION("""COMPUTED_VALUE"""),"Dị_D&lt;54")</f>
        <v>Dị_D&lt;54</v>
      </c>
      <c r="O1054" s="589"/>
      <c r="P1054" s="590"/>
    </row>
    <row r="1055" spans="1:17" ht="15.75">
      <c r="A1055" s="581" t="str">
        <f ca="1">IFERROR(__xludf.DUMMYFUNCTION("""COMPUTED_VALUE"""),"Hailiang")</f>
        <v>Hailiang</v>
      </c>
      <c r="B1055" s="581" t="str">
        <f ca="1">IFERROR(__xludf.DUMMYFUNCTION("""COMPUTED_VALUE"""),"ĐHLCUONTD")</f>
        <v>ĐHLCUONTD</v>
      </c>
      <c r="C1055" s="581" t="str">
        <f ca="1">IFERROR(__xludf.DUMMYFUNCTION("""COMPUTED_VALUE"""),"DOCHL095207115")</f>
        <v>DOCHL095207115</v>
      </c>
      <c r="D1055" s="582" t="str">
        <f ca="1">IFERROR(__xludf.DUMMYFUNCTION("""COMPUTED_VALUE"""),"Đồng ống Hailiang dạng cuộn 9.52mmx0.71mmx15m")</f>
        <v>Đồng ống Hailiang dạng cuộn 9.52mmx0.71mmx15m</v>
      </c>
      <c r="E1055" s="583">
        <f ca="1">IFERROR(__xludf.DUMMYFUNCTION("""COMPUTED_VALUE"""),0.1)</f>
        <v>0.1</v>
      </c>
      <c r="F1055" s="584" t="str">
        <f ca="1">IFERROR(__xludf.DUMMYFUNCTION("""COMPUTED_VALUE"""),"Cuộn")</f>
        <v>Cuộn</v>
      </c>
      <c r="G1055" s="584" t="str">
        <f ca="1">IFERROR(__xludf.DUMMYFUNCTION("""COMPUTED_VALUE"""),"Cuộn 15m")</f>
        <v>Cuộn 15m</v>
      </c>
      <c r="H1055" s="582" t="str">
        <f ca="1">IFERROR(__xludf.DUMMYFUNCTION("""COMPUTED_VALUE"""),"10")</f>
        <v>10</v>
      </c>
      <c r="I1055" s="585">
        <f ca="1">IFERROR(__xludf.DUMMYFUNCTION("""COMPUTED_VALUE"""),2.62714199999999)</f>
        <v>2.6271419999999899</v>
      </c>
      <c r="J1055" s="586" t="str">
        <f ca="1">IFERROR(__xludf.DUMMYFUNCTION("""COMPUTED_VALUE""")," 09.52 ")</f>
        <v xml:space="preserve"> 09.52 </v>
      </c>
      <c r="K1055" s="584" t="str">
        <f ca="1">IFERROR(__xludf.DUMMYFUNCTION("""COMPUTED_VALUE"""),"0.71")</f>
        <v>0.71</v>
      </c>
      <c r="L1055" s="584">
        <f ca="1">IFERROR(__xludf.DUMMYFUNCTION("""COMPUTED_VALUE"""),15)</f>
        <v>15</v>
      </c>
      <c r="M1055" s="584"/>
      <c r="N1055" s="584" t="str">
        <f ca="1">IFERROR(__xludf.DUMMYFUNCTION("""COMPUTED_VALUE"""),"Không")</f>
        <v>Không</v>
      </c>
      <c r="O1055" s="583"/>
      <c r="P1055" s="584"/>
      <c r="Q1055" s="885">
        <f ca="1">+$Q$5*I1055</f>
        <v>604.24265999999761</v>
      </c>
    </row>
    <row r="1056" spans="1:17" ht="15.75">
      <c r="A1056" s="587" t="str">
        <f ca="1">IFERROR(__xludf.DUMMYFUNCTION("""COMPUTED_VALUE"""),"Hailiang")</f>
        <v>Hailiang</v>
      </c>
      <c r="B1056" s="587" t="str">
        <f ca="1">IFERROR(__xludf.DUMMYFUNCTION("""COMPUTED_VALUE"""),"ĐHLCUONDI")</f>
        <v>ĐHLCUONDI</v>
      </c>
      <c r="C1056" s="587" t="str">
        <f ca="1">IFERROR(__xludf.DUMMYFUNCTION("""COMPUTED_VALUE"""),"DOCHL095207615")</f>
        <v>DOCHL095207615</v>
      </c>
      <c r="D1056" s="588" t="str">
        <f ca="1">IFERROR(__xludf.DUMMYFUNCTION("""COMPUTED_VALUE"""),"Đồng ống Hailiang dạng cuộn 9.52mmx0.76mmx15m")</f>
        <v>Đồng ống Hailiang dạng cuộn 9.52mmx0.76mmx15m</v>
      </c>
      <c r="E1056" s="589">
        <f ca="1">IFERROR(__xludf.DUMMYFUNCTION("""COMPUTED_VALUE"""),0.1)</f>
        <v>0.1</v>
      </c>
      <c r="F1056" s="590" t="str">
        <f ca="1">IFERROR(__xludf.DUMMYFUNCTION("""COMPUTED_VALUE"""),"Cuộn")</f>
        <v>Cuộn</v>
      </c>
      <c r="G1056" s="590" t="str">
        <f ca="1">IFERROR(__xludf.DUMMYFUNCTION("""COMPUTED_VALUE"""),"Cuộn 15m")</f>
        <v>Cuộn 15m</v>
      </c>
      <c r="H1056" s="588" t="str">
        <f ca="1">IFERROR(__xludf.DUMMYFUNCTION("""COMPUTED_VALUE"""),"10")</f>
        <v>10</v>
      </c>
      <c r="I1056" s="591">
        <f ca="1">IFERROR(__xludf.DUMMYFUNCTION("""COMPUTED_VALUE"""),2.796192)</f>
        <v>2.796192</v>
      </c>
      <c r="J1056" s="592" t="str">
        <f ca="1">IFERROR(__xludf.DUMMYFUNCTION("""COMPUTED_VALUE""")," 09.52 ")</f>
        <v xml:space="preserve"> 09.52 </v>
      </c>
      <c r="K1056" s="590" t="str">
        <f ca="1">IFERROR(__xludf.DUMMYFUNCTION("""COMPUTED_VALUE"""),"0.76")</f>
        <v>0.76</v>
      </c>
      <c r="L1056" s="590">
        <f ca="1">IFERROR(__xludf.DUMMYFUNCTION("""COMPUTED_VALUE"""),15)</f>
        <v>15</v>
      </c>
      <c r="M1056" s="590"/>
      <c r="N1056" s="590" t="str">
        <f ca="1">IFERROR(__xludf.DUMMYFUNCTION("""COMPUTED_VALUE"""),"Dị_D&lt;54")</f>
        <v>Dị_D&lt;54</v>
      </c>
      <c r="O1056" s="589"/>
      <c r="P1056" s="590"/>
    </row>
    <row r="1057" spans="1:17" ht="15.75">
      <c r="A1057" s="581" t="str">
        <f ca="1">IFERROR(__xludf.DUMMYFUNCTION("""COMPUTED_VALUE"""),"Hailiang")</f>
        <v>Hailiang</v>
      </c>
      <c r="B1057" s="581" t="str">
        <f ca="1">IFERROR(__xludf.DUMMYFUNCTION("""COMPUTED_VALUE"""),"ĐHLCUONDI")</f>
        <v>ĐHLCUONDI</v>
      </c>
      <c r="C1057" s="581" t="str">
        <f ca="1">IFERROR(__xludf.DUMMYFUNCTION("""COMPUTED_VALUE"""),"DOCHL095207650")</f>
        <v>DOCHL095207650</v>
      </c>
      <c r="D1057" s="582" t="str">
        <f ca="1">IFERROR(__xludf.DUMMYFUNCTION("""COMPUTED_VALUE"""),"Đồng ống Hailiang dạng cuộn 9.52mmx0.76mmx50m")</f>
        <v>Đồng ống Hailiang dạng cuộn 9.52mmx0.76mmx50m</v>
      </c>
      <c r="E1057" s="583">
        <f ca="1">IFERROR(__xludf.DUMMYFUNCTION("""COMPUTED_VALUE"""),0.1)</f>
        <v>0.1</v>
      </c>
      <c r="F1057" s="584" t="str">
        <f ca="1">IFERROR(__xludf.DUMMYFUNCTION("""COMPUTED_VALUE"""),"Cuộn")</f>
        <v>Cuộn</v>
      </c>
      <c r="G1057" s="584" t="str">
        <f ca="1">IFERROR(__xludf.DUMMYFUNCTION("""COMPUTED_VALUE"""),"Cuộn 50m")</f>
        <v>Cuộn 50m</v>
      </c>
      <c r="H1057" s="582" t="str">
        <f ca="1">IFERROR(__xludf.DUMMYFUNCTION("""COMPUTED_VALUE"""),"10")</f>
        <v>10</v>
      </c>
      <c r="I1057" s="585">
        <f ca="1">IFERROR(__xludf.DUMMYFUNCTION("""COMPUTED_VALUE"""),9.32064)</f>
        <v>9.3206399999999991</v>
      </c>
      <c r="J1057" s="586" t="str">
        <f ca="1">IFERROR(__xludf.DUMMYFUNCTION("""COMPUTED_VALUE""")," 09.52 ")</f>
        <v xml:space="preserve"> 09.52 </v>
      </c>
      <c r="K1057" s="584" t="str">
        <f ca="1">IFERROR(__xludf.DUMMYFUNCTION("""COMPUTED_VALUE"""),"0.76")</f>
        <v>0.76</v>
      </c>
      <c r="L1057" s="584">
        <f ca="1">IFERROR(__xludf.DUMMYFUNCTION("""COMPUTED_VALUE"""),50)</f>
        <v>50</v>
      </c>
      <c r="M1057" s="584"/>
      <c r="N1057" s="584" t="str">
        <f ca="1">IFERROR(__xludf.DUMMYFUNCTION("""COMPUTED_VALUE"""),"Dị_D&lt;54")</f>
        <v>Dị_D&lt;54</v>
      </c>
      <c r="O1057" s="583"/>
      <c r="P1057" s="584"/>
    </row>
    <row r="1058" spans="1:17" ht="15.75">
      <c r="A1058" s="587" t="str">
        <f ca="1">IFERROR(__xludf.DUMMYFUNCTION("""COMPUTED_VALUE"""),"Hailiang")</f>
        <v>Hailiang</v>
      </c>
      <c r="B1058" s="587" t="str">
        <f ca="1">IFERROR(__xludf.DUMMYFUNCTION("""COMPUTED_VALUE"""),"ĐHLCUONDI")</f>
        <v>ĐHLCUONDI</v>
      </c>
      <c r="C1058" s="587" t="str">
        <f ca="1">IFERROR(__xludf.DUMMYFUNCTION("""COMPUTED_VALUE"""),"DOCHL095208015")</f>
        <v>DOCHL095208015</v>
      </c>
      <c r="D1058" s="588" t="str">
        <f ca="1">IFERROR(__xludf.DUMMYFUNCTION("""COMPUTED_VALUE"""),"Đồng ống Hailiang dạng cuộn 9.52mmx0.80mmx15m")</f>
        <v>Đồng ống Hailiang dạng cuộn 9.52mmx0.80mmx15m</v>
      </c>
      <c r="E1058" s="589">
        <f ca="1">IFERROR(__xludf.DUMMYFUNCTION("""COMPUTED_VALUE"""),0.1)</f>
        <v>0.1</v>
      </c>
      <c r="F1058" s="590" t="str">
        <f ca="1">IFERROR(__xludf.DUMMYFUNCTION("""COMPUTED_VALUE"""),"Cuộn")</f>
        <v>Cuộn</v>
      </c>
      <c r="G1058" s="590" t="str">
        <f ca="1">IFERROR(__xludf.DUMMYFUNCTION("""COMPUTED_VALUE"""),"Cuộn 15m")</f>
        <v>Cuộn 15m</v>
      </c>
      <c r="H1058" s="588" t="str">
        <f ca="1">IFERROR(__xludf.DUMMYFUNCTION("""COMPUTED_VALUE"""),"10")</f>
        <v>10</v>
      </c>
      <c r="I1058" s="591">
        <f ca="1">IFERROR(__xludf.DUMMYFUNCTION("""COMPUTED_VALUE"""),2.92991999999999)</f>
        <v>2.9299199999999899</v>
      </c>
      <c r="J1058" s="592" t="str">
        <f ca="1">IFERROR(__xludf.DUMMYFUNCTION("""COMPUTED_VALUE""")," 09.52 ")</f>
        <v xml:space="preserve"> 09.52 </v>
      </c>
      <c r="K1058" s="590" t="str">
        <f ca="1">IFERROR(__xludf.DUMMYFUNCTION("""COMPUTED_VALUE"""),"0.80")</f>
        <v>0.80</v>
      </c>
      <c r="L1058" s="590">
        <f ca="1">IFERROR(__xludf.DUMMYFUNCTION("""COMPUTED_VALUE"""),15)</f>
        <v>15</v>
      </c>
      <c r="M1058" s="590"/>
      <c r="N1058" s="590" t="str">
        <f ca="1">IFERROR(__xludf.DUMMYFUNCTION("""COMPUTED_VALUE"""),"Dị_D&lt;54")</f>
        <v>Dị_D&lt;54</v>
      </c>
      <c r="O1058" s="589"/>
      <c r="P1058" s="590"/>
    </row>
    <row r="1059" spans="1:17" ht="15.75">
      <c r="A1059" s="581" t="str">
        <f ca="1">IFERROR(__xludf.DUMMYFUNCTION("""COMPUTED_VALUE"""),"Hailiang")</f>
        <v>Hailiang</v>
      </c>
      <c r="B1059" s="581" t="str">
        <f ca="1">IFERROR(__xludf.DUMMYFUNCTION("""COMPUTED_VALUE"""),"ĐHLCUONDI")</f>
        <v>ĐHLCUONDI</v>
      </c>
      <c r="C1059" s="581" t="str">
        <f ca="1">IFERROR(__xludf.DUMMYFUNCTION("""COMPUTED_VALUE"""),"DOCHL095208130")</f>
        <v>DOCHL095208130</v>
      </c>
      <c r="D1059" s="582" t="str">
        <f ca="1">IFERROR(__xludf.DUMMYFUNCTION("""COMPUTED_VALUE"""),"Đồng ống Hailiang dạng cuộn 9.52mmx0.81mmx30m")</f>
        <v>Đồng ống Hailiang dạng cuộn 9.52mmx0.81mmx30m</v>
      </c>
      <c r="E1059" s="583">
        <f ca="1">IFERROR(__xludf.DUMMYFUNCTION("""COMPUTED_VALUE"""),0.1)</f>
        <v>0.1</v>
      </c>
      <c r="F1059" s="584" t="str">
        <f ca="1">IFERROR(__xludf.DUMMYFUNCTION("""COMPUTED_VALUE"""),"Cuộn")</f>
        <v>Cuộn</v>
      </c>
      <c r="G1059" s="584" t="str">
        <f ca="1">IFERROR(__xludf.DUMMYFUNCTION("""COMPUTED_VALUE"""),"Cuộn 30m")</f>
        <v>Cuộn 30m</v>
      </c>
      <c r="H1059" s="582" t="str">
        <f ca="1">IFERROR(__xludf.DUMMYFUNCTION("""COMPUTED_VALUE"""),"10")</f>
        <v>10</v>
      </c>
      <c r="I1059" s="585">
        <f ca="1">IFERROR(__xludf.DUMMYFUNCTION("""COMPUTED_VALUE"""),5.926284)</f>
        <v>5.9262839999999999</v>
      </c>
      <c r="J1059" s="586" t="str">
        <f ca="1">IFERROR(__xludf.DUMMYFUNCTION("""COMPUTED_VALUE""")," 09.52 ")</f>
        <v xml:space="preserve"> 09.52 </v>
      </c>
      <c r="K1059" s="584" t="str">
        <f ca="1">IFERROR(__xludf.DUMMYFUNCTION("""COMPUTED_VALUE"""),"0.81")</f>
        <v>0.81</v>
      </c>
      <c r="L1059" s="584">
        <f ca="1">IFERROR(__xludf.DUMMYFUNCTION("""COMPUTED_VALUE"""),30)</f>
        <v>30</v>
      </c>
      <c r="M1059" s="584"/>
      <c r="N1059" s="584" t="str">
        <f ca="1">IFERROR(__xludf.DUMMYFUNCTION("""COMPUTED_VALUE"""),"Dị_D&lt;54")</f>
        <v>Dị_D&lt;54</v>
      </c>
      <c r="O1059" s="583"/>
      <c r="P1059" s="584"/>
    </row>
    <row r="1060" spans="1:17" ht="15.75">
      <c r="A1060" s="587" t="str">
        <f ca="1">IFERROR(__xludf.DUMMYFUNCTION("""COMPUTED_VALUE"""),"Hailiang")</f>
        <v>Hailiang</v>
      </c>
      <c r="B1060" s="587" t="str">
        <f ca="1">IFERROR(__xludf.DUMMYFUNCTION("""COMPUTED_VALUE"""),"ĐHLCUONDI")</f>
        <v>ĐHLCUONDI</v>
      </c>
      <c r="C1060" s="587" t="str">
        <f ca="1">IFERROR(__xludf.DUMMYFUNCTION("""COMPUTED_VALUE"""),"DOCHL095208150")</f>
        <v>DOCHL095208150</v>
      </c>
      <c r="D1060" s="588" t="str">
        <f ca="1">IFERROR(__xludf.DUMMYFUNCTION("""COMPUTED_VALUE"""),"Đồng ống Hailiang dạng cuộn 9.52mmx0.81mmx50m")</f>
        <v>Đồng ống Hailiang dạng cuộn 9.52mmx0.81mmx50m</v>
      </c>
      <c r="E1060" s="589">
        <f ca="1">IFERROR(__xludf.DUMMYFUNCTION("""COMPUTED_VALUE"""),0.1)</f>
        <v>0.1</v>
      </c>
      <c r="F1060" s="590" t="str">
        <f ca="1">IFERROR(__xludf.DUMMYFUNCTION("""COMPUTED_VALUE"""),"Cuộn")</f>
        <v>Cuộn</v>
      </c>
      <c r="G1060" s="590" t="str">
        <f ca="1">IFERROR(__xludf.DUMMYFUNCTION("""COMPUTED_VALUE"""),"Cuộn 50m")</f>
        <v>Cuộn 50m</v>
      </c>
      <c r="H1060" s="588" t="str">
        <f ca="1">IFERROR(__xludf.DUMMYFUNCTION("""COMPUTED_VALUE"""),"10")</f>
        <v>10</v>
      </c>
      <c r="I1060" s="591">
        <f ca="1">IFERROR(__xludf.DUMMYFUNCTION("""COMPUTED_VALUE"""),9.87713999999999)</f>
        <v>9.87713999999999</v>
      </c>
      <c r="J1060" s="592" t="str">
        <f ca="1">IFERROR(__xludf.DUMMYFUNCTION("""COMPUTED_VALUE""")," 09.52 ")</f>
        <v xml:space="preserve"> 09.52 </v>
      </c>
      <c r="K1060" s="590" t="str">
        <f ca="1">IFERROR(__xludf.DUMMYFUNCTION("""COMPUTED_VALUE"""),"0.81")</f>
        <v>0.81</v>
      </c>
      <c r="L1060" s="590">
        <f ca="1">IFERROR(__xludf.DUMMYFUNCTION("""COMPUTED_VALUE"""),50)</f>
        <v>50</v>
      </c>
      <c r="M1060" s="590"/>
      <c r="N1060" s="590" t="str">
        <f ca="1">IFERROR(__xludf.DUMMYFUNCTION("""COMPUTED_VALUE"""),"Dị_D&lt;54")</f>
        <v>Dị_D&lt;54</v>
      </c>
      <c r="O1060" s="589"/>
      <c r="P1060" s="590"/>
    </row>
    <row r="1061" spans="1:17" ht="15.75">
      <c r="A1061" s="581" t="str">
        <f ca="1">IFERROR(__xludf.DUMMYFUNCTION("""COMPUTED_VALUE"""),"Hailiang")</f>
        <v>Hailiang</v>
      </c>
      <c r="B1061" s="581" t="str">
        <f ca="1">IFERROR(__xludf.DUMMYFUNCTION("""COMPUTED_VALUE"""),"ĐHLCUONTD")</f>
        <v>ĐHLCUONTD</v>
      </c>
      <c r="C1061" s="581" t="str">
        <f ca="1">IFERROR(__xludf.DUMMYFUNCTION("""COMPUTED_VALUE"""),"DOCHL095208115")</f>
        <v>DOCHL095208115</v>
      </c>
      <c r="D1061" s="582" t="str">
        <f ca="1">IFERROR(__xludf.DUMMYFUNCTION("""COMPUTED_VALUE"""),"Đồng ống Hailiang dạng cuộn 9.52mmx0.81mmx15m")</f>
        <v>Đồng ống Hailiang dạng cuộn 9.52mmx0.81mmx15m</v>
      </c>
      <c r="E1061" s="583">
        <f ca="1">IFERROR(__xludf.DUMMYFUNCTION("""COMPUTED_VALUE"""),0.1)</f>
        <v>0.1</v>
      </c>
      <c r="F1061" s="584" t="str">
        <f ca="1">IFERROR(__xludf.DUMMYFUNCTION("""COMPUTED_VALUE"""),"Cuộn")</f>
        <v>Cuộn</v>
      </c>
      <c r="G1061" s="584" t="str">
        <f ca="1">IFERROR(__xludf.DUMMYFUNCTION("""COMPUTED_VALUE"""),"Cuộn 15m")</f>
        <v>Cuộn 15m</v>
      </c>
      <c r="H1061" s="582" t="str">
        <f ca="1">IFERROR(__xludf.DUMMYFUNCTION("""COMPUTED_VALUE"""),"10")</f>
        <v>10</v>
      </c>
      <c r="I1061" s="585">
        <f ca="1">IFERROR(__xludf.DUMMYFUNCTION("""COMPUTED_VALUE"""),2.963142)</f>
        <v>2.9631419999999999</v>
      </c>
      <c r="J1061" s="586" t="str">
        <f ca="1">IFERROR(__xludf.DUMMYFUNCTION("""COMPUTED_VALUE""")," 09.52 ")</f>
        <v xml:space="preserve"> 09.52 </v>
      </c>
      <c r="K1061" s="584" t="str">
        <f ca="1">IFERROR(__xludf.DUMMYFUNCTION("""COMPUTED_VALUE"""),"0.81")</f>
        <v>0.81</v>
      </c>
      <c r="L1061" s="584">
        <f ca="1">IFERROR(__xludf.DUMMYFUNCTION("""COMPUTED_VALUE"""),15)</f>
        <v>15</v>
      </c>
      <c r="M1061" s="584"/>
      <c r="N1061" s="584" t="str">
        <f ca="1">IFERROR(__xludf.DUMMYFUNCTION("""COMPUTED_VALUE"""),"Không")</f>
        <v>Không</v>
      </c>
      <c r="O1061" s="583"/>
      <c r="P1061" s="584"/>
      <c r="Q1061" s="885">
        <f ca="1">+$Q$5*I1061</f>
        <v>681.52265999999986</v>
      </c>
    </row>
    <row r="1062" spans="1:17" ht="15.75">
      <c r="A1062" s="587" t="str">
        <f ca="1">IFERROR(__xludf.DUMMYFUNCTION("""COMPUTED_VALUE"""),"Hailiang")</f>
        <v>Hailiang</v>
      </c>
      <c r="B1062" s="587" t="str">
        <f ca="1">IFERROR(__xludf.DUMMYFUNCTION("""COMPUTED_VALUE"""),"ĐHLCUONDI")</f>
        <v>ĐHLCUONDI</v>
      </c>
      <c r="C1062" s="587" t="str">
        <f ca="1">IFERROR(__xludf.DUMMYFUNCTION("""COMPUTED_VALUE"""),"DOCHL095209115")</f>
        <v>DOCHL095209115</v>
      </c>
      <c r="D1062" s="588" t="str">
        <f ca="1">IFERROR(__xludf.DUMMYFUNCTION("""COMPUTED_VALUE"""),"Đồng ống Hailiang dạng cuộn 9.52mmx0.91mmx15m")</f>
        <v>Đồng ống Hailiang dạng cuộn 9.52mmx0.91mmx15m</v>
      </c>
      <c r="E1062" s="589">
        <f ca="1">IFERROR(__xludf.DUMMYFUNCTION("""COMPUTED_VALUE"""),0.1)</f>
        <v>0.1</v>
      </c>
      <c r="F1062" s="590" t="str">
        <f ca="1">IFERROR(__xludf.DUMMYFUNCTION("""COMPUTED_VALUE"""),"Cuộn")</f>
        <v>Cuộn</v>
      </c>
      <c r="G1062" s="590" t="str">
        <f ca="1">IFERROR(__xludf.DUMMYFUNCTION("""COMPUTED_VALUE"""),"Cuộn 15m")</f>
        <v>Cuộn 15m</v>
      </c>
      <c r="H1062" s="588" t="str">
        <f ca="1">IFERROR(__xludf.DUMMYFUNCTION("""COMPUTED_VALUE"""),"10")</f>
        <v>10</v>
      </c>
      <c r="I1062" s="591">
        <f ca="1">IFERROR(__xludf.DUMMYFUNCTION("""COMPUTED_VALUE"""),3.290742)</f>
        <v>3.2907419999999998</v>
      </c>
      <c r="J1062" s="592" t="str">
        <f ca="1">IFERROR(__xludf.DUMMYFUNCTION("""COMPUTED_VALUE""")," 09.52 ")</f>
        <v xml:space="preserve"> 09.52 </v>
      </c>
      <c r="K1062" s="590" t="str">
        <f ca="1">IFERROR(__xludf.DUMMYFUNCTION("""COMPUTED_VALUE"""),"0.91")</f>
        <v>0.91</v>
      </c>
      <c r="L1062" s="590">
        <f ca="1">IFERROR(__xludf.DUMMYFUNCTION("""COMPUTED_VALUE"""),15)</f>
        <v>15</v>
      </c>
      <c r="M1062" s="590"/>
      <c r="N1062" s="590" t="str">
        <f ca="1">IFERROR(__xludf.DUMMYFUNCTION("""COMPUTED_VALUE"""),"Dị_D&lt;54")</f>
        <v>Dị_D&lt;54</v>
      </c>
      <c r="O1062" s="589"/>
      <c r="P1062" s="590"/>
    </row>
    <row r="1063" spans="1:17" ht="15.75">
      <c r="A1063" s="581" t="str">
        <f ca="1">IFERROR(__xludf.DUMMYFUNCTION("""COMPUTED_VALUE"""),"Hailiang")</f>
        <v>Hailiang</v>
      </c>
      <c r="B1063" s="581" t="str">
        <f ca="1">IFERROR(__xludf.DUMMYFUNCTION("""COMPUTED_VALUE"""),"ĐHLCUONDI")</f>
        <v>ĐHLCUONDI</v>
      </c>
      <c r="C1063" s="581" t="str">
        <f ca="1">IFERROR(__xludf.DUMMYFUNCTION("""COMPUTED_VALUE"""),"DOCHL1200070")</f>
        <v>DOCHL1200070</v>
      </c>
      <c r="D1063" s="582" t="str">
        <f ca="1">IFERROR(__xludf.DUMMYFUNCTION("""COMPUTED_VALUE"""),"Đồng ống Hailiang dạng cuộn 12.00mmx0.70mmx15m")</f>
        <v>Đồng ống Hailiang dạng cuộn 12.00mmx0.70mmx15m</v>
      </c>
      <c r="E1063" s="583">
        <f ca="1">IFERROR(__xludf.DUMMYFUNCTION("""COMPUTED_VALUE"""),0.1)</f>
        <v>0.1</v>
      </c>
      <c r="F1063" s="584" t="str">
        <f ca="1">IFERROR(__xludf.DUMMYFUNCTION("""COMPUTED_VALUE"""),"Cuộn")</f>
        <v>Cuộn</v>
      </c>
      <c r="G1063" s="584" t="str">
        <f ca="1">IFERROR(__xludf.DUMMYFUNCTION("""COMPUTED_VALUE"""),"Cuộn 15m")</f>
        <v>Cuộn 15m</v>
      </c>
      <c r="H1063" s="582"/>
      <c r="I1063" s="585">
        <f ca="1">IFERROR(__xludf.DUMMYFUNCTION("""COMPUTED_VALUE"""),3.3222)</f>
        <v>3.3222</v>
      </c>
      <c r="J1063" s="586" t="str">
        <f ca="1">IFERROR(__xludf.DUMMYFUNCTION("""COMPUTED_VALUE""")," 12.00 ")</f>
        <v xml:space="preserve"> 12.00 </v>
      </c>
      <c r="K1063" s="584" t="str">
        <f ca="1">IFERROR(__xludf.DUMMYFUNCTION("""COMPUTED_VALUE"""),"0.70")</f>
        <v>0.70</v>
      </c>
      <c r="L1063" s="584">
        <f ca="1">IFERROR(__xludf.DUMMYFUNCTION("""COMPUTED_VALUE"""),15)</f>
        <v>15</v>
      </c>
      <c r="M1063" s="584"/>
      <c r="N1063" s="584" t="str">
        <f ca="1">IFERROR(__xludf.DUMMYFUNCTION("""COMPUTED_VALUE"""),"Dị_D&lt;54")</f>
        <v>Dị_D&lt;54</v>
      </c>
      <c r="O1063" s="583"/>
      <c r="P1063" s="584"/>
    </row>
    <row r="1064" spans="1:17" ht="15.75">
      <c r="A1064" s="587" t="str">
        <f ca="1">IFERROR(__xludf.DUMMYFUNCTION("""COMPUTED_VALUE"""),"Hailiang")</f>
        <v>Hailiang</v>
      </c>
      <c r="B1064" s="587" t="str">
        <f ca="1">IFERROR(__xludf.DUMMYFUNCTION("""COMPUTED_VALUE"""),"ĐHLCUONTD")</f>
        <v>ĐHLCUONTD</v>
      </c>
      <c r="C1064" s="587" t="str">
        <f ca="1">IFERROR(__xludf.DUMMYFUNCTION("""COMPUTED_VALUE"""),"DOCHL12706115")</f>
        <v>DOCHL12706115</v>
      </c>
      <c r="D1064" s="588" t="str">
        <f ca="1">IFERROR(__xludf.DUMMYFUNCTION("""COMPUTED_VALUE"""),"Đồng ống Hailiang dạng cuộn 12.7mmx0.61mmx15m")</f>
        <v>Đồng ống Hailiang dạng cuộn 12.7mmx0.61mmx15m</v>
      </c>
      <c r="E1064" s="589">
        <f ca="1">IFERROR(__xludf.DUMMYFUNCTION("""COMPUTED_VALUE"""),0.1)</f>
        <v>0.1</v>
      </c>
      <c r="F1064" s="590" t="str">
        <f ca="1">IFERROR(__xludf.DUMMYFUNCTION("""COMPUTED_VALUE"""),"Cuộn")</f>
        <v>Cuộn</v>
      </c>
      <c r="G1064" s="590" t="str">
        <f ca="1">IFERROR(__xludf.DUMMYFUNCTION("""COMPUTED_VALUE"""),"Cuộn 15m")</f>
        <v>Cuộn 15m</v>
      </c>
      <c r="H1064" s="588" t="str">
        <f ca="1">IFERROR(__xludf.DUMMYFUNCTION("""COMPUTED_VALUE"""),"5")</f>
        <v>5</v>
      </c>
      <c r="I1064" s="591">
        <f ca="1">IFERROR(__xludf.DUMMYFUNCTION("""COMPUTED_VALUE"""),3.097458)</f>
        <v>3.097458</v>
      </c>
      <c r="J1064" s="592" t="str">
        <f ca="1">IFERROR(__xludf.DUMMYFUNCTION("""COMPUTED_VALUE""")," 12.70 ")</f>
        <v xml:space="preserve"> 12.70 </v>
      </c>
      <c r="K1064" s="590" t="str">
        <f ca="1">IFERROR(__xludf.DUMMYFUNCTION("""COMPUTED_VALUE"""),"0.61")</f>
        <v>0.61</v>
      </c>
      <c r="L1064" s="590">
        <f ca="1">IFERROR(__xludf.DUMMYFUNCTION("""COMPUTED_VALUE"""),15)</f>
        <v>15</v>
      </c>
      <c r="M1064" s="590"/>
      <c r="N1064" s="590" t="str">
        <f ca="1">IFERROR(__xludf.DUMMYFUNCTION("""COMPUTED_VALUE"""),"Không")</f>
        <v>Không</v>
      </c>
      <c r="O1064" s="589"/>
      <c r="P1064" s="590"/>
      <c r="Q1064" s="885">
        <f ca="1">+$Q$5*I1064</f>
        <v>712.4153399999999</v>
      </c>
    </row>
    <row r="1065" spans="1:17" ht="15.75">
      <c r="A1065" s="581" t="str">
        <f ca="1">IFERROR(__xludf.DUMMYFUNCTION("""COMPUTED_VALUE"""),"Hailiang")</f>
        <v>Hailiang</v>
      </c>
      <c r="B1065" s="581" t="str">
        <f ca="1">IFERROR(__xludf.DUMMYFUNCTION("""COMPUTED_VALUE"""),"ĐHLCUONDI")</f>
        <v>ĐHLCUONDI</v>
      </c>
      <c r="C1065" s="581" t="str">
        <f ca="1">IFERROR(__xludf.DUMMYFUNCTION("""COMPUTED_VALUE"""),"DOCHL127008915")</f>
        <v>DOCHL127008915</v>
      </c>
      <c r="D1065" s="582" t="str">
        <f ca="1">IFERROR(__xludf.DUMMYFUNCTION("""COMPUTED_VALUE"""),"Đồng ống Hailiang dạng cuộn 12.70mmx0.89mmx15m")</f>
        <v>Đồng ống Hailiang dạng cuộn 12.70mmx0.89mmx15m</v>
      </c>
      <c r="E1065" s="583">
        <f ca="1">IFERROR(__xludf.DUMMYFUNCTION("""COMPUTED_VALUE"""),0.1)</f>
        <v>0.1</v>
      </c>
      <c r="F1065" s="584" t="str">
        <f ca="1">IFERROR(__xludf.DUMMYFUNCTION("""COMPUTED_VALUE"""),"Cuộn")</f>
        <v>Cuộn</v>
      </c>
      <c r="G1065" s="584" t="str">
        <f ca="1">IFERROR(__xludf.DUMMYFUNCTION("""COMPUTED_VALUE"""),"Cuộn 15m")</f>
        <v>Cuộn 15m</v>
      </c>
      <c r="H1065" s="582" t="str">
        <f ca="1">IFERROR(__xludf.DUMMYFUNCTION("""COMPUTED_VALUE"""),"5")</f>
        <v>5</v>
      </c>
      <c r="I1065" s="585">
        <f ca="1">IFERROR(__xludf.DUMMYFUNCTION("""COMPUTED_VALUE"""),4.414578)</f>
        <v>4.4145779999999997</v>
      </c>
      <c r="J1065" s="586" t="str">
        <f ca="1">IFERROR(__xludf.DUMMYFUNCTION("""COMPUTED_VALUE""")," 12.70 ")</f>
        <v xml:space="preserve"> 12.70 </v>
      </c>
      <c r="K1065" s="584" t="str">
        <f ca="1">IFERROR(__xludf.DUMMYFUNCTION("""COMPUTED_VALUE"""),"0.89")</f>
        <v>0.89</v>
      </c>
      <c r="L1065" s="584">
        <f ca="1">IFERROR(__xludf.DUMMYFUNCTION("""COMPUTED_VALUE"""),15)</f>
        <v>15</v>
      </c>
      <c r="M1065" s="584"/>
      <c r="N1065" s="584" t="str">
        <f ca="1">IFERROR(__xludf.DUMMYFUNCTION("""COMPUTED_VALUE"""),"Dị_D&lt;54")</f>
        <v>Dị_D&lt;54</v>
      </c>
      <c r="O1065" s="583"/>
      <c r="P1065" s="584"/>
    </row>
    <row r="1066" spans="1:17" ht="15.75">
      <c r="A1066" s="587" t="str">
        <f ca="1">IFERROR(__xludf.DUMMYFUNCTION("""COMPUTED_VALUE"""),"Hailiang")</f>
        <v>Hailiang</v>
      </c>
      <c r="B1066" s="587" t="str">
        <f ca="1">IFERROR(__xludf.DUMMYFUNCTION("""COMPUTED_VALUE"""),"ĐHLCUONDI")</f>
        <v>ĐHLCUONDI</v>
      </c>
      <c r="C1066" s="587" t="str">
        <f ca="1">IFERROR(__xludf.DUMMYFUNCTION("""COMPUTED_VALUE"""),"DOCHL127010215")</f>
        <v>DOCHL127010215</v>
      </c>
      <c r="D1066" s="588" t="str">
        <f ca="1">IFERROR(__xludf.DUMMYFUNCTION("""COMPUTED_VALUE"""),"Đồng ống Hailiang dạng cuộn 12.70mmx1.02mmx15m")</f>
        <v>Đồng ống Hailiang dạng cuộn 12.70mmx1.02mmx15m</v>
      </c>
      <c r="E1066" s="589">
        <f ca="1">IFERROR(__xludf.DUMMYFUNCTION("""COMPUTED_VALUE"""),0.1)</f>
        <v>0.1</v>
      </c>
      <c r="F1066" s="590" t="str">
        <f ca="1">IFERROR(__xludf.DUMMYFUNCTION("""COMPUTED_VALUE"""),"Cuộn")</f>
        <v>Cuộn</v>
      </c>
      <c r="G1066" s="590" t="str">
        <f ca="1">IFERROR(__xludf.DUMMYFUNCTION("""COMPUTED_VALUE"""),"Cuộn 15m")</f>
        <v>Cuộn 15m</v>
      </c>
      <c r="H1066" s="588" t="str">
        <f ca="1">IFERROR(__xludf.DUMMYFUNCTION("""COMPUTED_VALUE"""),"5")</f>
        <v>5</v>
      </c>
      <c r="I1066" s="591">
        <f ca="1">IFERROR(__xludf.DUMMYFUNCTION("""COMPUTED_VALUE"""),5.003712)</f>
        <v>5.0037120000000002</v>
      </c>
      <c r="J1066" s="592" t="str">
        <f ca="1">IFERROR(__xludf.DUMMYFUNCTION("""COMPUTED_VALUE""")," 12.70 ")</f>
        <v xml:space="preserve"> 12.70 </v>
      </c>
      <c r="K1066" s="590" t="str">
        <f ca="1">IFERROR(__xludf.DUMMYFUNCTION("""COMPUTED_VALUE"""),"1.02")</f>
        <v>1.02</v>
      </c>
      <c r="L1066" s="590">
        <f ca="1">IFERROR(__xludf.DUMMYFUNCTION("""COMPUTED_VALUE"""),15)</f>
        <v>15</v>
      </c>
      <c r="M1066" s="590"/>
      <c r="N1066" s="590" t="str">
        <f ca="1">IFERROR(__xludf.DUMMYFUNCTION("""COMPUTED_VALUE"""),"Dị_D&lt;54")</f>
        <v>Dị_D&lt;54</v>
      </c>
      <c r="O1066" s="589"/>
      <c r="P1066" s="590"/>
    </row>
    <row r="1067" spans="1:17" ht="15.75">
      <c r="A1067" s="581" t="str">
        <f ca="1">IFERROR(__xludf.DUMMYFUNCTION("""COMPUTED_VALUE"""),"Hailiang")</f>
        <v>Hailiang</v>
      </c>
      <c r="B1067" s="581" t="str">
        <f ca="1">IFERROR(__xludf.DUMMYFUNCTION("""COMPUTED_VALUE"""),"ĐHLCUONTD")</f>
        <v>ĐHLCUONTD</v>
      </c>
      <c r="C1067" s="581" t="str">
        <f ca="1">IFERROR(__xludf.DUMMYFUNCTION("""COMPUTED_VALUE"""),"DOCHL127007115")</f>
        <v>DOCHL127007115</v>
      </c>
      <c r="D1067" s="582" t="str">
        <f ca="1">IFERROR(__xludf.DUMMYFUNCTION("""COMPUTED_VALUE"""),"Đồng ống Hailiang dạng cuộn 12.7mmx0.71mmx15m")</f>
        <v>Đồng ống Hailiang dạng cuộn 12.7mmx0.71mmx15m</v>
      </c>
      <c r="E1067" s="583">
        <f ca="1">IFERROR(__xludf.DUMMYFUNCTION("""COMPUTED_VALUE"""),0.1)</f>
        <v>0.1</v>
      </c>
      <c r="F1067" s="584" t="str">
        <f ca="1">IFERROR(__xludf.DUMMYFUNCTION("""COMPUTED_VALUE"""),"Cuộn")</f>
        <v>Cuộn</v>
      </c>
      <c r="G1067" s="584" t="str">
        <f ca="1">IFERROR(__xludf.DUMMYFUNCTION("""COMPUTED_VALUE"""),"Cuộn 15m")</f>
        <v>Cuộn 15m</v>
      </c>
      <c r="H1067" s="582" t="str">
        <f ca="1">IFERROR(__xludf.DUMMYFUNCTION("""COMPUTED_VALUE"""),"5")</f>
        <v>5</v>
      </c>
      <c r="I1067" s="585">
        <f ca="1">IFERROR(__xludf.DUMMYFUNCTION("""COMPUTED_VALUE"""),3.57541799999999)</f>
        <v>3.5754179999999902</v>
      </c>
      <c r="J1067" s="586" t="str">
        <f ca="1">IFERROR(__xludf.DUMMYFUNCTION("""COMPUTED_VALUE""")," 12.70 ")</f>
        <v xml:space="preserve"> 12.70 </v>
      </c>
      <c r="K1067" s="584" t="str">
        <f ca="1">IFERROR(__xludf.DUMMYFUNCTION("""COMPUTED_VALUE"""),"0.71")</f>
        <v>0.71</v>
      </c>
      <c r="L1067" s="584">
        <f ca="1">IFERROR(__xludf.DUMMYFUNCTION("""COMPUTED_VALUE"""),15)</f>
        <v>15</v>
      </c>
      <c r="M1067" s="584"/>
      <c r="N1067" s="584" t="str">
        <f ca="1">IFERROR(__xludf.DUMMYFUNCTION("""COMPUTED_VALUE"""),"Không")</f>
        <v>Không</v>
      </c>
      <c r="O1067" s="583"/>
      <c r="P1067" s="584"/>
      <c r="Q1067" s="885">
        <f ca="1">+$Q$5*I1067</f>
        <v>822.3461399999976</v>
      </c>
    </row>
    <row r="1068" spans="1:17" ht="15.75">
      <c r="A1068" s="587" t="str">
        <f ca="1">IFERROR(__xludf.DUMMYFUNCTION("""COMPUTED_VALUE"""),"Hailiang")</f>
        <v>Hailiang</v>
      </c>
      <c r="B1068" s="587" t="str">
        <f ca="1">IFERROR(__xludf.DUMMYFUNCTION("""COMPUTED_VALUE"""),"ĐHLCUONDI")</f>
        <v>ĐHLCUONDI</v>
      </c>
      <c r="C1068" s="587" t="str">
        <f ca="1">IFERROR(__xludf.DUMMYFUNCTION("""COMPUTED_VALUE"""),"DOCHL127008015")</f>
        <v>DOCHL127008015</v>
      </c>
      <c r="D1068" s="588" t="str">
        <f ca="1">IFERROR(__xludf.DUMMYFUNCTION("""COMPUTED_VALUE"""),"Đồng ống Hailiang dạng cuộn 12.70mmx0.80mmx15m")</f>
        <v>Đồng ống Hailiang dạng cuộn 12.70mmx0.80mmx15m</v>
      </c>
      <c r="E1068" s="589">
        <f ca="1">IFERROR(__xludf.DUMMYFUNCTION("""COMPUTED_VALUE"""),0.1)</f>
        <v>0.1</v>
      </c>
      <c r="F1068" s="590" t="str">
        <f ca="1">IFERROR(__xludf.DUMMYFUNCTION("""COMPUTED_VALUE"""),"Cuộn")</f>
        <v>Cuộn</v>
      </c>
      <c r="G1068" s="590" t="str">
        <f ca="1">IFERROR(__xludf.DUMMYFUNCTION("""COMPUTED_VALUE"""),"Cuộn 15m")</f>
        <v>Cuộn 15m</v>
      </c>
      <c r="H1068" s="588" t="str">
        <f ca="1">IFERROR(__xludf.DUMMYFUNCTION("""COMPUTED_VALUE"""),"5")</f>
        <v>5</v>
      </c>
      <c r="I1068" s="591">
        <f ca="1">IFERROR(__xludf.DUMMYFUNCTION("""COMPUTED_VALUE"""),3.9984)</f>
        <v>3.9984000000000002</v>
      </c>
      <c r="J1068" s="592" t="str">
        <f ca="1">IFERROR(__xludf.DUMMYFUNCTION("""COMPUTED_VALUE""")," 12.70 ")</f>
        <v xml:space="preserve"> 12.70 </v>
      </c>
      <c r="K1068" s="590" t="str">
        <f ca="1">IFERROR(__xludf.DUMMYFUNCTION("""COMPUTED_VALUE"""),"0.80")</f>
        <v>0.80</v>
      </c>
      <c r="L1068" s="590">
        <f ca="1">IFERROR(__xludf.DUMMYFUNCTION("""COMPUTED_VALUE"""),15)</f>
        <v>15</v>
      </c>
      <c r="M1068" s="590"/>
      <c r="N1068" s="590" t="str">
        <f ca="1">IFERROR(__xludf.DUMMYFUNCTION("""COMPUTED_VALUE"""),"Dị_D&lt;54")</f>
        <v>Dị_D&lt;54</v>
      </c>
      <c r="O1068" s="589"/>
      <c r="P1068" s="590"/>
    </row>
    <row r="1069" spans="1:17" ht="15.75">
      <c r="A1069" s="581" t="str">
        <f ca="1">IFERROR(__xludf.DUMMYFUNCTION("""COMPUTED_VALUE"""),"Hailiang")</f>
        <v>Hailiang</v>
      </c>
      <c r="B1069" s="581" t="str">
        <f ca="1">IFERROR(__xludf.DUMMYFUNCTION("""COMPUTED_VALUE"""),"ĐHLCUONTD")</f>
        <v>ĐHLCUONTD</v>
      </c>
      <c r="C1069" s="581" t="str">
        <f ca="1">IFERROR(__xludf.DUMMYFUNCTION("""COMPUTED_VALUE"""),"DOCHL127008115")</f>
        <v>DOCHL127008115</v>
      </c>
      <c r="D1069" s="582" t="str">
        <f ca="1">IFERROR(__xludf.DUMMYFUNCTION("""COMPUTED_VALUE"""),"Đồng ống Hailiang dạng cuộn 12.70mmx0.81mmx15m")</f>
        <v>Đồng ống Hailiang dạng cuộn 12.70mmx0.81mmx15m</v>
      </c>
      <c r="E1069" s="583">
        <f ca="1">IFERROR(__xludf.DUMMYFUNCTION("""COMPUTED_VALUE"""),0.1)</f>
        <v>0.1</v>
      </c>
      <c r="F1069" s="584" t="str">
        <f ca="1">IFERROR(__xludf.DUMMYFUNCTION("""COMPUTED_VALUE"""),"Cuộn")</f>
        <v>Cuộn</v>
      </c>
      <c r="G1069" s="584" t="str">
        <f ca="1">IFERROR(__xludf.DUMMYFUNCTION("""COMPUTED_VALUE"""),"Cuộn 15m")</f>
        <v>Cuộn 15m</v>
      </c>
      <c r="H1069" s="582" t="str">
        <f ca="1">IFERROR(__xludf.DUMMYFUNCTION("""COMPUTED_VALUE"""),"5")</f>
        <v>5</v>
      </c>
      <c r="I1069" s="585">
        <f ca="1">IFERROR(__xludf.DUMMYFUNCTION("""COMPUTED_VALUE"""),4.04497799999999)</f>
        <v>4.0449779999999897</v>
      </c>
      <c r="J1069" s="586" t="str">
        <f ca="1">IFERROR(__xludf.DUMMYFUNCTION("""COMPUTED_VALUE""")," 12.70 ")</f>
        <v xml:space="preserve"> 12.70 </v>
      </c>
      <c r="K1069" s="584" t="str">
        <f ca="1">IFERROR(__xludf.DUMMYFUNCTION("""COMPUTED_VALUE"""),"0.81")</f>
        <v>0.81</v>
      </c>
      <c r="L1069" s="584">
        <f ca="1">IFERROR(__xludf.DUMMYFUNCTION("""COMPUTED_VALUE"""),15)</f>
        <v>15</v>
      </c>
      <c r="M1069" s="584"/>
      <c r="N1069" s="584" t="str">
        <f ca="1">IFERROR(__xludf.DUMMYFUNCTION("""COMPUTED_VALUE"""),"Không")</f>
        <v>Không</v>
      </c>
      <c r="O1069" s="583"/>
      <c r="P1069" s="584"/>
      <c r="Q1069" s="885">
        <f ca="1">+$Q$5*I1069</f>
        <v>930.34493999999756</v>
      </c>
    </row>
    <row r="1070" spans="1:17" ht="15.75">
      <c r="A1070" s="587" t="str">
        <f ca="1">IFERROR(__xludf.DUMMYFUNCTION("""COMPUTED_VALUE"""),"Hailiang")</f>
        <v>Hailiang</v>
      </c>
      <c r="B1070" s="587" t="str">
        <f ca="1">IFERROR(__xludf.DUMMYFUNCTION("""COMPUTED_VALUE"""),"ĐHLCUONDI")</f>
        <v>ĐHLCUONDI</v>
      </c>
      <c r="C1070" s="587" t="str">
        <f ca="1">IFERROR(__xludf.DUMMYFUNCTION("""COMPUTED_VALUE"""),"DOCHL12705015")</f>
        <v>DOCHL12705015</v>
      </c>
      <c r="D1070" s="588" t="str">
        <f ca="1">IFERROR(__xludf.DUMMYFUNCTION("""COMPUTED_VALUE"""),"Đồng ống Hailiang dạng cuộn 12.7mmx0.50mmx15m")</f>
        <v>Đồng ống Hailiang dạng cuộn 12.7mmx0.50mmx15m</v>
      </c>
      <c r="E1070" s="589">
        <f ca="1">IFERROR(__xludf.DUMMYFUNCTION("""COMPUTED_VALUE"""),0.1)</f>
        <v>0.1</v>
      </c>
      <c r="F1070" s="590" t="str">
        <f ca="1">IFERROR(__xludf.DUMMYFUNCTION("""COMPUTED_VALUE"""),"Cuộn")</f>
        <v>Cuộn</v>
      </c>
      <c r="G1070" s="590" t="str">
        <f ca="1">IFERROR(__xludf.DUMMYFUNCTION("""COMPUTED_VALUE"""),"Cuộn 15m")</f>
        <v>Cuộn 15m</v>
      </c>
      <c r="H1070" s="588"/>
      <c r="I1070" s="591">
        <f ca="1">IFERROR(__xludf.DUMMYFUNCTION("""COMPUTED_VALUE"""),2.5662)</f>
        <v>2.5661999999999998</v>
      </c>
      <c r="J1070" s="592" t="str">
        <f ca="1">IFERROR(__xludf.DUMMYFUNCTION("""COMPUTED_VALUE""")," 12.72 ")</f>
        <v xml:space="preserve"> 12.72 </v>
      </c>
      <c r="K1070" s="590" t="str">
        <f ca="1">IFERROR(__xludf.DUMMYFUNCTION("""COMPUTED_VALUE"""),"0.50")</f>
        <v>0.50</v>
      </c>
      <c r="L1070" s="590">
        <f ca="1">IFERROR(__xludf.DUMMYFUNCTION("""COMPUTED_VALUE"""),15)</f>
        <v>15</v>
      </c>
      <c r="M1070" s="590"/>
      <c r="N1070" s="590" t="str">
        <f ca="1">IFERROR(__xludf.DUMMYFUNCTION("""COMPUTED_VALUE"""),"Dị_D&lt;54")</f>
        <v>Dị_D&lt;54</v>
      </c>
      <c r="O1070" s="589"/>
      <c r="P1070" s="590"/>
    </row>
    <row r="1071" spans="1:17" ht="15.75">
      <c r="A1071" s="581" t="str">
        <f ca="1">IFERROR(__xludf.DUMMYFUNCTION("""COMPUTED_VALUE"""),"Hailiang")</f>
        <v>Hailiang</v>
      </c>
      <c r="B1071" s="581" t="str">
        <f ca="1">IFERROR(__xludf.DUMMYFUNCTION("""COMPUTED_VALUE"""),"ĐHLCUONDI")</f>
        <v>ĐHLCUONDI</v>
      </c>
      <c r="C1071" s="581" t="str">
        <f ca="1">IFERROR(__xludf.DUMMYFUNCTION("""COMPUTED_VALUE"""),"DOCHL12705115")</f>
        <v>DOCHL12705115</v>
      </c>
      <c r="D1071" s="582" t="str">
        <f ca="1">IFERROR(__xludf.DUMMYFUNCTION("""COMPUTED_VALUE"""),"Đồng ống Hailiang dạng cuộn 12.7mmx0.51mmx15m")</f>
        <v>Đồng ống Hailiang dạng cuộn 12.7mmx0.51mmx15m</v>
      </c>
      <c r="E1071" s="583">
        <f ca="1">IFERROR(__xludf.DUMMYFUNCTION("""COMPUTED_VALUE"""),0.1)</f>
        <v>0.1</v>
      </c>
      <c r="F1071" s="584" t="str">
        <f ca="1">IFERROR(__xludf.DUMMYFUNCTION("""COMPUTED_VALUE"""),"Cuộn")</f>
        <v>Cuộn</v>
      </c>
      <c r="G1071" s="584" t="str">
        <f ca="1">IFERROR(__xludf.DUMMYFUNCTION("""COMPUTED_VALUE"""),"Cuộn 15m")</f>
        <v>Cuộn 15m</v>
      </c>
      <c r="H1071" s="582"/>
      <c r="I1071" s="585">
        <f ca="1">IFERROR(__xludf.DUMMYFUNCTION("""COMPUTED_VALUE"""),2.615382)</f>
        <v>2.6153819999999999</v>
      </c>
      <c r="J1071" s="586" t="str">
        <f ca="1">IFERROR(__xludf.DUMMYFUNCTION("""COMPUTED_VALUE""")," 12.72 ")</f>
        <v xml:space="preserve"> 12.72 </v>
      </c>
      <c r="K1071" s="584" t="str">
        <f ca="1">IFERROR(__xludf.DUMMYFUNCTION("""COMPUTED_VALUE"""),"0.51")</f>
        <v>0.51</v>
      </c>
      <c r="L1071" s="584">
        <f ca="1">IFERROR(__xludf.DUMMYFUNCTION("""COMPUTED_VALUE"""),15)</f>
        <v>15</v>
      </c>
      <c r="M1071" s="584"/>
      <c r="N1071" s="584" t="str">
        <f ca="1">IFERROR(__xludf.DUMMYFUNCTION("""COMPUTED_VALUE"""),"Dị_D&lt;54")</f>
        <v>Dị_D&lt;54</v>
      </c>
      <c r="O1071" s="583"/>
      <c r="P1071" s="584"/>
    </row>
    <row r="1072" spans="1:17" ht="15.75">
      <c r="A1072" s="587" t="str">
        <f ca="1">IFERROR(__xludf.DUMMYFUNCTION("""COMPUTED_VALUE"""),"Hailiang")</f>
        <v>Hailiang</v>
      </c>
      <c r="B1072" s="587" t="str">
        <f ca="1">IFERROR(__xludf.DUMMYFUNCTION("""COMPUTED_VALUE"""),"ĐHLCUONDI")</f>
        <v>ĐHLCUONDI</v>
      </c>
      <c r="C1072" s="587" t="str">
        <f ca="1">IFERROR(__xludf.DUMMYFUNCTION("""COMPUTED_VALUE"""),"DOCHL12705515")</f>
        <v>DOCHL12705515</v>
      </c>
      <c r="D1072" s="588" t="str">
        <f ca="1">IFERROR(__xludf.DUMMYFUNCTION("""COMPUTED_VALUE"""),"Đồng ống Hailiang dạng cuộn 12.7mmx0.55mmx15m")</f>
        <v>Đồng ống Hailiang dạng cuộn 12.7mmx0.55mmx15m</v>
      </c>
      <c r="E1072" s="589">
        <f ca="1">IFERROR(__xludf.DUMMYFUNCTION("""COMPUTED_VALUE"""),0.1)</f>
        <v>0.1</v>
      </c>
      <c r="F1072" s="590" t="str">
        <f ca="1">IFERROR(__xludf.DUMMYFUNCTION("""COMPUTED_VALUE"""),"Cuộn")</f>
        <v>Cuộn</v>
      </c>
      <c r="G1072" s="590" t="str">
        <f ca="1">IFERROR(__xludf.DUMMYFUNCTION("""COMPUTED_VALUE"""),"Cuộn 15m")</f>
        <v>Cuộn 15m</v>
      </c>
      <c r="H1072" s="588"/>
      <c r="I1072" s="591">
        <f ca="1">IFERROR(__xludf.DUMMYFUNCTION("""COMPUTED_VALUE"""),2.81127)</f>
        <v>2.8112699999999999</v>
      </c>
      <c r="J1072" s="592" t="str">
        <f ca="1">IFERROR(__xludf.DUMMYFUNCTION("""COMPUTED_VALUE""")," 12.72 ")</f>
        <v xml:space="preserve"> 12.72 </v>
      </c>
      <c r="K1072" s="590" t="str">
        <f ca="1">IFERROR(__xludf.DUMMYFUNCTION("""COMPUTED_VALUE"""),"0.55")</f>
        <v>0.55</v>
      </c>
      <c r="L1072" s="590">
        <f ca="1">IFERROR(__xludf.DUMMYFUNCTION("""COMPUTED_VALUE"""),15)</f>
        <v>15</v>
      </c>
      <c r="M1072" s="590"/>
      <c r="N1072" s="590" t="str">
        <f ca="1">IFERROR(__xludf.DUMMYFUNCTION("""COMPUTED_VALUE"""),"Dị_D&lt;54")</f>
        <v>Dị_D&lt;54</v>
      </c>
      <c r="O1072" s="589"/>
      <c r="P1072" s="590"/>
    </row>
    <row r="1073" spans="1:17" ht="15.75">
      <c r="A1073" s="581" t="str">
        <f ca="1">IFERROR(__xludf.DUMMYFUNCTION("""COMPUTED_VALUE"""),"Hailiang")</f>
        <v>Hailiang</v>
      </c>
      <c r="B1073" s="581" t="str">
        <f ca="1">IFERROR(__xludf.DUMMYFUNCTION("""COMPUTED_VALUE"""),"ĐHLCUONDI")</f>
        <v>ĐHLCUONDI</v>
      </c>
      <c r="C1073" s="581" t="str">
        <f ca="1">IFERROR(__xludf.DUMMYFUNCTION("""COMPUTED_VALUE"""),"DOCHL12705615")</f>
        <v>DOCHL12705615</v>
      </c>
      <c r="D1073" s="582" t="str">
        <f ca="1">IFERROR(__xludf.DUMMYFUNCTION("""COMPUTED_VALUE"""),"Đồng ống Hailiang dạng cuộn 12.7mmx0.56mmx15m")</f>
        <v>Đồng ống Hailiang dạng cuộn 12.7mmx0.56mmx15m</v>
      </c>
      <c r="E1073" s="583">
        <f ca="1">IFERROR(__xludf.DUMMYFUNCTION("""COMPUTED_VALUE"""),0.1)</f>
        <v>0.1</v>
      </c>
      <c r="F1073" s="584" t="str">
        <f ca="1">IFERROR(__xludf.DUMMYFUNCTION("""COMPUTED_VALUE"""),"Cuộn")</f>
        <v>Cuộn</v>
      </c>
      <c r="G1073" s="584" t="str">
        <f ca="1">IFERROR(__xludf.DUMMYFUNCTION("""COMPUTED_VALUE"""),"Cuộn 15m")</f>
        <v>Cuộn 15m</v>
      </c>
      <c r="H1073" s="582"/>
      <c r="I1073" s="585">
        <f ca="1">IFERROR(__xludf.DUMMYFUNCTION("""COMPUTED_VALUE"""),2.860032)</f>
        <v>2.8600319999999999</v>
      </c>
      <c r="J1073" s="586" t="str">
        <f ca="1">IFERROR(__xludf.DUMMYFUNCTION("""COMPUTED_VALUE""")," 12.72 ")</f>
        <v xml:space="preserve"> 12.72 </v>
      </c>
      <c r="K1073" s="584" t="str">
        <f ca="1">IFERROR(__xludf.DUMMYFUNCTION("""COMPUTED_VALUE"""),"0.56")</f>
        <v>0.56</v>
      </c>
      <c r="L1073" s="584">
        <f ca="1">IFERROR(__xludf.DUMMYFUNCTION("""COMPUTED_VALUE"""),15)</f>
        <v>15</v>
      </c>
      <c r="M1073" s="584"/>
      <c r="N1073" s="584" t="str">
        <f ca="1">IFERROR(__xludf.DUMMYFUNCTION("""COMPUTED_VALUE"""),"Dị_D&lt;54")</f>
        <v>Dị_D&lt;54</v>
      </c>
      <c r="O1073" s="583"/>
      <c r="P1073" s="584"/>
    </row>
    <row r="1074" spans="1:17" ht="15.75">
      <c r="A1074" s="587" t="str">
        <f ca="1">IFERROR(__xludf.DUMMYFUNCTION("""COMPUTED_VALUE"""),"Hailiang")</f>
        <v>Hailiang</v>
      </c>
      <c r="B1074" s="587" t="str">
        <f ca="1">IFERROR(__xludf.DUMMYFUNCTION("""COMPUTED_VALUE"""),"ĐHLCUONDI")</f>
        <v>ĐHLCUONDI</v>
      </c>
      <c r="C1074" s="587" t="str">
        <f ca="1">IFERROR(__xludf.DUMMYFUNCTION("""COMPUTED_VALUE"""),"DOCHL12706015")</f>
        <v>DOCHL12706015</v>
      </c>
      <c r="D1074" s="588" t="str">
        <f ca="1">IFERROR(__xludf.DUMMYFUNCTION("""COMPUTED_VALUE"""),"Đồng ống Hailiang dạng cuộn 12.7mmx0.60mmx15m")</f>
        <v>Đồng ống Hailiang dạng cuộn 12.7mmx0.60mmx15m</v>
      </c>
      <c r="E1074" s="589">
        <f ca="1">IFERROR(__xludf.DUMMYFUNCTION("""COMPUTED_VALUE"""),0.1)</f>
        <v>0.1</v>
      </c>
      <c r="F1074" s="590" t="str">
        <f ca="1">IFERROR(__xludf.DUMMYFUNCTION("""COMPUTED_VALUE"""),"Cuộn")</f>
        <v>Cuộn</v>
      </c>
      <c r="G1074" s="590" t="str">
        <f ca="1">IFERROR(__xludf.DUMMYFUNCTION("""COMPUTED_VALUE"""),"Cuộn 15m")</f>
        <v>Cuộn 15m</v>
      </c>
      <c r="H1074" s="588"/>
      <c r="I1074" s="591">
        <f ca="1">IFERROR(__xludf.DUMMYFUNCTION("""COMPUTED_VALUE"""),3.05424)</f>
        <v>3.0542400000000001</v>
      </c>
      <c r="J1074" s="592" t="str">
        <f ca="1">IFERROR(__xludf.DUMMYFUNCTION("""COMPUTED_VALUE""")," 12.72 ")</f>
        <v xml:space="preserve"> 12.72 </v>
      </c>
      <c r="K1074" s="590" t="str">
        <f ca="1">IFERROR(__xludf.DUMMYFUNCTION("""COMPUTED_VALUE"""),"0.60")</f>
        <v>0.60</v>
      </c>
      <c r="L1074" s="590">
        <f ca="1">IFERROR(__xludf.DUMMYFUNCTION("""COMPUTED_VALUE"""),15)</f>
        <v>15</v>
      </c>
      <c r="M1074" s="590"/>
      <c r="N1074" s="590" t="str">
        <f ca="1">IFERROR(__xludf.DUMMYFUNCTION("""COMPUTED_VALUE"""),"Dị_D&lt;54")</f>
        <v>Dị_D&lt;54</v>
      </c>
      <c r="O1074" s="589"/>
      <c r="P1074" s="590"/>
    </row>
    <row r="1075" spans="1:17" ht="15.75">
      <c r="A1075" s="581" t="str">
        <f ca="1">IFERROR(__xludf.DUMMYFUNCTION("""COMPUTED_VALUE"""),"Hailiang")</f>
        <v>Hailiang</v>
      </c>
      <c r="B1075" s="581" t="str">
        <f ca="1">IFERROR(__xludf.DUMMYFUNCTION("""COMPUTED_VALUE"""),"ĐHLCUONDI")</f>
        <v>ĐHLCUONDI</v>
      </c>
      <c r="C1075" s="581" t="str">
        <f ca="1">IFERROR(__xludf.DUMMYFUNCTION("""COMPUTED_VALUE"""),"DOCHL12706515")</f>
        <v>DOCHL12706515</v>
      </c>
      <c r="D1075" s="582" t="str">
        <f ca="1">IFERROR(__xludf.DUMMYFUNCTION("""COMPUTED_VALUE"""),"Đồng ống Hailiang dạng cuộn 12.7mmx0.65mmx15m")</f>
        <v>Đồng ống Hailiang dạng cuộn 12.7mmx0.65mmx15m</v>
      </c>
      <c r="E1075" s="583">
        <f ca="1">IFERROR(__xludf.DUMMYFUNCTION("""COMPUTED_VALUE"""),0.1)</f>
        <v>0.1</v>
      </c>
      <c r="F1075" s="584" t="str">
        <f ca="1">IFERROR(__xludf.DUMMYFUNCTION("""COMPUTED_VALUE"""),"Cuộn")</f>
        <v>Cuộn</v>
      </c>
      <c r="G1075" s="584" t="str">
        <f ca="1">IFERROR(__xludf.DUMMYFUNCTION("""COMPUTED_VALUE"""),"Cuộn 15m")</f>
        <v>Cuộn 15m</v>
      </c>
      <c r="H1075" s="582"/>
      <c r="I1075" s="585">
        <f ca="1">IFERROR(__xludf.DUMMYFUNCTION("""COMPUTED_VALUE"""),3.29511)</f>
        <v>3.2951100000000002</v>
      </c>
      <c r="J1075" s="586" t="str">
        <f ca="1">IFERROR(__xludf.DUMMYFUNCTION("""COMPUTED_VALUE""")," 12.72 ")</f>
        <v xml:space="preserve"> 12.72 </v>
      </c>
      <c r="K1075" s="584" t="str">
        <f ca="1">IFERROR(__xludf.DUMMYFUNCTION("""COMPUTED_VALUE"""),"0.65")</f>
        <v>0.65</v>
      </c>
      <c r="L1075" s="584">
        <f ca="1">IFERROR(__xludf.DUMMYFUNCTION("""COMPUTED_VALUE"""),15)</f>
        <v>15</v>
      </c>
      <c r="M1075" s="584"/>
      <c r="N1075" s="584" t="str">
        <f ca="1">IFERROR(__xludf.DUMMYFUNCTION("""COMPUTED_VALUE"""),"Dị_D&lt;54")</f>
        <v>Dị_D&lt;54</v>
      </c>
      <c r="O1075" s="583"/>
      <c r="P1075" s="584"/>
    </row>
    <row r="1076" spans="1:17" ht="15.75">
      <c r="A1076" s="587" t="str">
        <f ca="1">IFERROR(__xludf.DUMMYFUNCTION("""COMPUTED_VALUE"""),"Hailiang")</f>
        <v>Hailiang</v>
      </c>
      <c r="B1076" s="587" t="str">
        <f ca="1">IFERROR(__xludf.DUMMYFUNCTION("""COMPUTED_VALUE"""),"ĐHLCUONDI")</f>
        <v>ĐHLCUONDI</v>
      </c>
      <c r="C1076" s="587" t="str">
        <f ca="1">IFERROR(__xludf.DUMMYFUNCTION("""COMPUTED_VALUE"""),"DOCHL12706615")</f>
        <v>DOCHL12706615</v>
      </c>
      <c r="D1076" s="588" t="str">
        <f ca="1">IFERROR(__xludf.DUMMYFUNCTION("""COMPUTED_VALUE"""),"Đồng ống Hailiang dạng cuộn 12.7mmx0.66mmx15m")</f>
        <v>Đồng ống Hailiang dạng cuộn 12.7mmx0.66mmx15m</v>
      </c>
      <c r="E1076" s="589">
        <f ca="1">IFERROR(__xludf.DUMMYFUNCTION("""COMPUTED_VALUE"""),0.1)</f>
        <v>0.1</v>
      </c>
      <c r="F1076" s="590" t="str">
        <f ca="1">IFERROR(__xludf.DUMMYFUNCTION("""COMPUTED_VALUE"""),"Cuộn")</f>
        <v>Cuộn</v>
      </c>
      <c r="G1076" s="590" t="str">
        <f ca="1">IFERROR(__xludf.DUMMYFUNCTION("""COMPUTED_VALUE"""),"Cuộn 15m")</f>
        <v>Cuộn 15m</v>
      </c>
      <c r="H1076" s="588"/>
      <c r="I1076" s="591">
        <f ca="1">IFERROR(__xludf.DUMMYFUNCTION("""COMPUTED_VALUE"""),3.343032)</f>
        <v>3.343032</v>
      </c>
      <c r="J1076" s="592" t="str">
        <f ca="1">IFERROR(__xludf.DUMMYFUNCTION("""COMPUTED_VALUE""")," 12.72 ")</f>
        <v xml:space="preserve"> 12.72 </v>
      </c>
      <c r="K1076" s="590" t="str">
        <f ca="1">IFERROR(__xludf.DUMMYFUNCTION("""COMPUTED_VALUE"""),"0.66")</f>
        <v>0.66</v>
      </c>
      <c r="L1076" s="590">
        <f ca="1">IFERROR(__xludf.DUMMYFUNCTION("""COMPUTED_VALUE"""),15)</f>
        <v>15</v>
      </c>
      <c r="M1076" s="590"/>
      <c r="N1076" s="590" t="str">
        <f ca="1">IFERROR(__xludf.DUMMYFUNCTION("""COMPUTED_VALUE"""),"Dị_D&lt;54")</f>
        <v>Dị_D&lt;54</v>
      </c>
      <c r="O1076" s="589"/>
      <c r="P1076" s="590"/>
    </row>
    <row r="1077" spans="1:17" ht="15.75">
      <c r="A1077" s="581" t="str">
        <f ca="1">IFERROR(__xludf.DUMMYFUNCTION("""COMPUTED_VALUE"""),"Hailiang")</f>
        <v>Hailiang</v>
      </c>
      <c r="B1077" s="581" t="str">
        <f ca="1">IFERROR(__xludf.DUMMYFUNCTION("""COMPUTED_VALUE"""),"ĐHLCUONDI")</f>
        <v>ĐHLCUONDI</v>
      </c>
      <c r="C1077" s="581" t="str">
        <f ca="1">IFERROR(__xludf.DUMMYFUNCTION("""COMPUTED_VALUE"""),"DOCHL12707015")</f>
        <v>DOCHL12707015</v>
      </c>
      <c r="D1077" s="582" t="str">
        <f ca="1">IFERROR(__xludf.DUMMYFUNCTION("""COMPUTED_VALUE"""),"Đồng ống Hailiang dạng cuộn 12.7mmx0.70mmx15m")</f>
        <v>Đồng ống Hailiang dạng cuộn 12.7mmx0.70mmx15m</v>
      </c>
      <c r="E1077" s="583">
        <f ca="1">IFERROR(__xludf.DUMMYFUNCTION("""COMPUTED_VALUE"""),0.1)</f>
        <v>0.1</v>
      </c>
      <c r="F1077" s="584" t="str">
        <f ca="1">IFERROR(__xludf.DUMMYFUNCTION("""COMPUTED_VALUE"""),"Cuộn")</f>
        <v>Cuộn</v>
      </c>
      <c r="G1077" s="584" t="str">
        <f ca="1">IFERROR(__xludf.DUMMYFUNCTION("""COMPUTED_VALUE"""),"Cuộn 15m")</f>
        <v>Cuộn 15m</v>
      </c>
      <c r="H1077" s="582"/>
      <c r="I1077" s="585">
        <f ca="1">IFERROR(__xludf.DUMMYFUNCTION("""COMPUTED_VALUE"""),3.53388)</f>
        <v>3.5338799999999999</v>
      </c>
      <c r="J1077" s="586" t="str">
        <f ca="1">IFERROR(__xludf.DUMMYFUNCTION("""COMPUTED_VALUE""")," 12.72 ")</f>
        <v xml:space="preserve"> 12.72 </v>
      </c>
      <c r="K1077" s="584" t="str">
        <f ca="1">IFERROR(__xludf.DUMMYFUNCTION("""COMPUTED_VALUE"""),"0.70")</f>
        <v>0.70</v>
      </c>
      <c r="L1077" s="584">
        <f ca="1">IFERROR(__xludf.DUMMYFUNCTION("""COMPUTED_VALUE"""),15)</f>
        <v>15</v>
      </c>
      <c r="M1077" s="584"/>
      <c r="N1077" s="584" t="str">
        <f ca="1">IFERROR(__xludf.DUMMYFUNCTION("""COMPUTED_VALUE"""),"Dị_D&lt;54")</f>
        <v>Dị_D&lt;54</v>
      </c>
      <c r="O1077" s="583"/>
      <c r="P1077" s="584"/>
    </row>
    <row r="1078" spans="1:17" ht="15.75">
      <c r="A1078" s="587" t="str">
        <f ca="1">IFERROR(__xludf.DUMMYFUNCTION("""COMPUTED_VALUE"""),"Hailiang")</f>
        <v>Hailiang</v>
      </c>
      <c r="B1078" s="587" t="str">
        <f ca="1">IFERROR(__xludf.DUMMYFUNCTION("""COMPUTED_VALUE"""),"ĐHLCUONDI")</f>
        <v>ĐHLCUONDI</v>
      </c>
      <c r="C1078" s="587" t="str">
        <f ca="1">IFERROR(__xludf.DUMMYFUNCTION("""COMPUTED_VALUE"""),"DOCHL12707515")</f>
        <v>DOCHL12707515</v>
      </c>
      <c r="D1078" s="588" t="str">
        <f ca="1">IFERROR(__xludf.DUMMYFUNCTION("""COMPUTED_VALUE"""),"Đồng ống Hailiang dạng cuộn 12.7mmx0.75mmx15m")</f>
        <v>Đồng ống Hailiang dạng cuộn 12.7mmx0.75mmx15m</v>
      </c>
      <c r="E1078" s="589">
        <f ca="1">IFERROR(__xludf.DUMMYFUNCTION("""COMPUTED_VALUE"""),0.1)</f>
        <v>0.1</v>
      </c>
      <c r="F1078" s="590" t="str">
        <f ca="1">IFERROR(__xludf.DUMMYFUNCTION("""COMPUTED_VALUE"""),"Cuộn")</f>
        <v>Cuộn</v>
      </c>
      <c r="G1078" s="590" t="str">
        <f ca="1">IFERROR(__xludf.DUMMYFUNCTION("""COMPUTED_VALUE"""),"Cuộn 15m")</f>
        <v>Cuộn 15m</v>
      </c>
      <c r="H1078" s="588"/>
      <c r="I1078" s="591">
        <f ca="1">IFERROR(__xludf.DUMMYFUNCTION("""COMPUTED_VALUE"""),3.77055)</f>
        <v>3.7705500000000001</v>
      </c>
      <c r="J1078" s="592" t="str">
        <f ca="1">IFERROR(__xludf.DUMMYFUNCTION("""COMPUTED_VALUE""")," 12.72 ")</f>
        <v xml:space="preserve"> 12.72 </v>
      </c>
      <c r="K1078" s="590" t="str">
        <f ca="1">IFERROR(__xludf.DUMMYFUNCTION("""COMPUTED_VALUE"""),"0.75")</f>
        <v>0.75</v>
      </c>
      <c r="L1078" s="590">
        <f ca="1">IFERROR(__xludf.DUMMYFUNCTION("""COMPUTED_VALUE"""),15)</f>
        <v>15</v>
      </c>
      <c r="M1078" s="590"/>
      <c r="N1078" s="590" t="str">
        <f ca="1">IFERROR(__xludf.DUMMYFUNCTION("""COMPUTED_VALUE"""),"Dị_D&lt;54")</f>
        <v>Dị_D&lt;54</v>
      </c>
      <c r="O1078" s="589"/>
      <c r="P1078" s="590"/>
    </row>
    <row r="1079" spans="1:17" ht="15.75">
      <c r="A1079" s="581" t="str">
        <f ca="1">IFERROR(__xludf.DUMMYFUNCTION("""COMPUTED_VALUE"""),"Hailiang")</f>
        <v>Hailiang</v>
      </c>
      <c r="B1079" s="581" t="str">
        <f ca="1">IFERROR(__xludf.DUMMYFUNCTION("""COMPUTED_VALUE"""),"ĐHLCUONDI")</f>
        <v>ĐHLCUONDI</v>
      </c>
      <c r="C1079" s="581" t="str">
        <f ca="1">IFERROR(__xludf.DUMMYFUNCTION("""COMPUTED_VALUE"""),"DOCHL12708015")</f>
        <v>DOCHL12708015</v>
      </c>
      <c r="D1079" s="582" t="str">
        <f ca="1">IFERROR(__xludf.DUMMYFUNCTION("""COMPUTED_VALUE"""),"Đồng ống Hailiang dạng cuộn 12.7mmx0.80mmx15m")</f>
        <v>Đồng ống Hailiang dạng cuộn 12.7mmx0.80mmx15m</v>
      </c>
      <c r="E1079" s="583">
        <f ca="1">IFERROR(__xludf.DUMMYFUNCTION("""COMPUTED_VALUE"""),0.1)</f>
        <v>0.1</v>
      </c>
      <c r="F1079" s="584" t="str">
        <f ca="1">IFERROR(__xludf.DUMMYFUNCTION("""COMPUTED_VALUE"""),"Cuộn")</f>
        <v>Cuộn</v>
      </c>
      <c r="G1079" s="584" t="str">
        <f ca="1">IFERROR(__xludf.DUMMYFUNCTION("""COMPUTED_VALUE"""),"Cuộn 15m")</f>
        <v>Cuộn 15m</v>
      </c>
      <c r="H1079" s="582"/>
      <c r="I1079" s="585">
        <f ca="1">IFERROR(__xludf.DUMMYFUNCTION("""COMPUTED_VALUE"""),4.00512)</f>
        <v>4.0051199999999998</v>
      </c>
      <c r="J1079" s="586" t="str">
        <f ca="1">IFERROR(__xludf.DUMMYFUNCTION("""COMPUTED_VALUE""")," 12.72 ")</f>
        <v xml:space="preserve"> 12.72 </v>
      </c>
      <c r="K1079" s="584" t="str">
        <f ca="1">IFERROR(__xludf.DUMMYFUNCTION("""COMPUTED_VALUE"""),"0.80")</f>
        <v>0.80</v>
      </c>
      <c r="L1079" s="584">
        <f ca="1">IFERROR(__xludf.DUMMYFUNCTION("""COMPUTED_VALUE"""),15)</f>
        <v>15</v>
      </c>
      <c r="M1079" s="584"/>
      <c r="N1079" s="584" t="str">
        <f ca="1">IFERROR(__xludf.DUMMYFUNCTION("""COMPUTED_VALUE"""),"Dị_D&lt;54")</f>
        <v>Dị_D&lt;54</v>
      </c>
      <c r="O1079" s="583"/>
      <c r="P1079" s="584"/>
    </row>
    <row r="1080" spans="1:17" ht="15.75">
      <c r="A1080" s="587" t="str">
        <f ca="1">IFERROR(__xludf.DUMMYFUNCTION("""COMPUTED_VALUE"""),"Hailiang")</f>
        <v>Hailiang</v>
      </c>
      <c r="B1080" s="587" t="str">
        <f ca="1">IFERROR(__xludf.DUMMYFUNCTION("""COMPUTED_VALUE"""),"ĐHLCUONDI")</f>
        <v>ĐHLCUONDI</v>
      </c>
      <c r="C1080" s="587" t="str">
        <f ca="1">IFERROR(__xludf.DUMMYFUNCTION("""COMPUTED_VALUE"""),"DOCHL127008150")</f>
        <v>DOCHL127008150</v>
      </c>
      <c r="D1080" s="588" t="str">
        <f ca="1">IFERROR(__xludf.DUMMYFUNCTION("""COMPUTED_VALUE"""),"Đồng ống Hailiang dạng cuộn 12.70mmx0.81mmx50m")</f>
        <v>Đồng ống Hailiang dạng cuộn 12.70mmx0.81mmx50m</v>
      </c>
      <c r="E1080" s="589">
        <f ca="1">IFERROR(__xludf.DUMMYFUNCTION("""COMPUTED_VALUE"""),0.1)</f>
        <v>0.1</v>
      </c>
      <c r="F1080" s="590" t="str">
        <f ca="1">IFERROR(__xludf.DUMMYFUNCTION("""COMPUTED_VALUE"""),"Cuộn")</f>
        <v>Cuộn</v>
      </c>
      <c r="G1080" s="590" t="str">
        <f ca="1">IFERROR(__xludf.DUMMYFUNCTION("""COMPUTED_VALUE"""),"Cuộn 50m")</f>
        <v>Cuộn 50m</v>
      </c>
      <c r="H1080" s="588"/>
      <c r="I1080" s="591">
        <f ca="1">IFERROR(__xludf.DUMMYFUNCTION("""COMPUTED_VALUE"""),13.5059399999999)</f>
        <v>13.505939999999899</v>
      </c>
      <c r="J1080" s="592" t="str">
        <f ca="1">IFERROR(__xludf.DUMMYFUNCTION("""COMPUTED_VALUE""")," 12.72 ")</f>
        <v xml:space="preserve"> 12.72 </v>
      </c>
      <c r="K1080" s="590" t="str">
        <f ca="1">IFERROR(__xludf.DUMMYFUNCTION("""COMPUTED_VALUE"""),"0.81")</f>
        <v>0.81</v>
      </c>
      <c r="L1080" s="590">
        <f ca="1">IFERROR(__xludf.DUMMYFUNCTION("""COMPUTED_VALUE"""),50)</f>
        <v>50</v>
      </c>
      <c r="M1080" s="590"/>
      <c r="N1080" s="590" t="str">
        <f ca="1">IFERROR(__xludf.DUMMYFUNCTION("""COMPUTED_VALUE"""),"Dị_D&lt;54")</f>
        <v>Dị_D&lt;54</v>
      </c>
      <c r="O1080" s="589"/>
      <c r="P1080" s="590"/>
    </row>
    <row r="1081" spans="1:17" ht="15.75">
      <c r="A1081" s="581" t="str">
        <f ca="1">IFERROR(__xludf.DUMMYFUNCTION("""COMPUTED_VALUE"""),"Hailiang")</f>
        <v>Hailiang</v>
      </c>
      <c r="B1081" s="581" t="str">
        <f ca="1">IFERROR(__xludf.DUMMYFUNCTION("""COMPUTED_VALUE"""),"ĐHLCUONDI")</f>
        <v>ĐHLCUONDI</v>
      </c>
      <c r="C1081" s="581" t="str">
        <f ca="1">IFERROR(__xludf.DUMMYFUNCTION("""COMPUTED_VALUE"""),"DOCHL12708130")</f>
        <v>DOCHL12708130</v>
      </c>
      <c r="D1081" s="582" t="str">
        <f ca="1">IFERROR(__xludf.DUMMYFUNCTION("""COMPUTED_VALUE"""),"Đồng ống Hailiang dạng cuộn 12.7mmx0.81mmx30m")</f>
        <v>Đồng ống Hailiang dạng cuộn 12.7mmx0.81mmx30m</v>
      </c>
      <c r="E1081" s="583">
        <f ca="1">IFERROR(__xludf.DUMMYFUNCTION("""COMPUTED_VALUE"""),0.1)</f>
        <v>0.1</v>
      </c>
      <c r="F1081" s="584" t="str">
        <f ca="1">IFERROR(__xludf.DUMMYFUNCTION("""COMPUTED_VALUE"""),"Cuộn")</f>
        <v>Cuộn</v>
      </c>
      <c r="G1081" s="584" t="str">
        <f ca="1">IFERROR(__xludf.DUMMYFUNCTION("""COMPUTED_VALUE"""),"Cuộn 30m")</f>
        <v>Cuộn 30m</v>
      </c>
      <c r="H1081" s="582"/>
      <c r="I1081" s="585">
        <f ca="1">IFERROR(__xludf.DUMMYFUNCTION("""COMPUTED_VALUE"""),8.103564)</f>
        <v>8.1035640000000004</v>
      </c>
      <c r="J1081" s="586" t="str">
        <f ca="1">IFERROR(__xludf.DUMMYFUNCTION("""COMPUTED_VALUE""")," 12.72 ")</f>
        <v xml:space="preserve"> 12.72 </v>
      </c>
      <c r="K1081" s="584" t="str">
        <f ca="1">IFERROR(__xludf.DUMMYFUNCTION("""COMPUTED_VALUE"""),"0.81")</f>
        <v>0.81</v>
      </c>
      <c r="L1081" s="584">
        <f ca="1">IFERROR(__xludf.DUMMYFUNCTION("""COMPUTED_VALUE"""),30)</f>
        <v>30</v>
      </c>
      <c r="M1081" s="584"/>
      <c r="N1081" s="584" t="str">
        <f ca="1">IFERROR(__xludf.DUMMYFUNCTION("""COMPUTED_VALUE"""),"Dị_D&lt;54")</f>
        <v>Dị_D&lt;54</v>
      </c>
      <c r="O1081" s="583"/>
      <c r="P1081" s="584"/>
    </row>
    <row r="1082" spans="1:17" ht="15.75">
      <c r="A1082" s="587" t="str">
        <f ca="1">IFERROR(__xludf.DUMMYFUNCTION("""COMPUTED_VALUE"""),"Hailiang")</f>
        <v>Hailiang</v>
      </c>
      <c r="B1082" s="587" t="str">
        <f ca="1">IFERROR(__xludf.DUMMYFUNCTION("""COMPUTED_VALUE"""),"ĐHLCUONTD")</f>
        <v>ĐHLCUONTD</v>
      </c>
      <c r="C1082" s="587" t="str">
        <f ca="1">IFERROR(__xludf.DUMMYFUNCTION("""COMPUTED_VALUE"""),"DOCHL12708150")</f>
        <v>DOCHL12708150</v>
      </c>
      <c r="D1082" s="588" t="str">
        <f ca="1">IFERROR(__xludf.DUMMYFUNCTION("""COMPUTED_VALUE"""),"Đồng ống Hailiang dạng cuộn 12.7mmx0.81mmx50m")</f>
        <v>Đồng ống Hailiang dạng cuộn 12.7mmx0.81mmx50m</v>
      </c>
      <c r="E1082" s="589">
        <f ca="1">IFERROR(__xludf.DUMMYFUNCTION("""COMPUTED_VALUE"""),0.1)</f>
        <v>0.1</v>
      </c>
      <c r="F1082" s="590" t="str">
        <f ca="1">IFERROR(__xludf.DUMMYFUNCTION("""COMPUTED_VALUE"""),"Cuộn")</f>
        <v>Cuộn</v>
      </c>
      <c r="G1082" s="590" t="str">
        <f ca="1">IFERROR(__xludf.DUMMYFUNCTION("""COMPUTED_VALUE"""),"Cuộn 50m")</f>
        <v>Cuộn 50m</v>
      </c>
      <c r="H1082" s="588"/>
      <c r="I1082" s="591">
        <f ca="1">IFERROR(__xludf.DUMMYFUNCTION("""COMPUTED_VALUE"""),13.5059399999999)</f>
        <v>13.505939999999899</v>
      </c>
      <c r="J1082" s="592" t="str">
        <f ca="1">IFERROR(__xludf.DUMMYFUNCTION("""COMPUTED_VALUE""")," 12.72 ")</f>
        <v xml:space="preserve"> 12.72 </v>
      </c>
      <c r="K1082" s="590" t="str">
        <f ca="1">IFERROR(__xludf.DUMMYFUNCTION("""COMPUTED_VALUE"""),"0.81")</f>
        <v>0.81</v>
      </c>
      <c r="L1082" s="590">
        <f ca="1">IFERROR(__xludf.DUMMYFUNCTION("""COMPUTED_VALUE"""),50)</f>
        <v>50</v>
      </c>
      <c r="M1082" s="590"/>
      <c r="N1082" s="590" t="str">
        <f ca="1">IFERROR(__xludf.DUMMYFUNCTION("""COMPUTED_VALUE"""),"Dị_D&lt;54")</f>
        <v>Dị_D&lt;54</v>
      </c>
      <c r="O1082" s="589"/>
      <c r="P1082" s="590"/>
    </row>
    <row r="1083" spans="1:17" ht="15.75">
      <c r="A1083" s="581" t="str">
        <f ca="1">IFERROR(__xludf.DUMMYFUNCTION("""COMPUTED_VALUE"""),"Hailiang")</f>
        <v>Hailiang</v>
      </c>
      <c r="B1083" s="581" t="str">
        <f ca="1">IFERROR(__xludf.DUMMYFUNCTION("""COMPUTED_VALUE"""),"ĐHLCUONDI")</f>
        <v>ĐHLCUONDI</v>
      </c>
      <c r="C1083" s="581" t="str">
        <f ca="1">IFERROR(__xludf.DUMMYFUNCTION("""COMPUTED_VALUE"""),"DOCHL12708915")</f>
        <v>DOCHL12708915</v>
      </c>
      <c r="D1083" s="582" t="str">
        <f ca="1">IFERROR(__xludf.DUMMYFUNCTION("""COMPUTED_VALUE"""),"Đồng ống Hailiang dạng cuộn 12.7mmx0.89mmx15m")</f>
        <v>Đồng ống Hailiang dạng cuộn 12.7mmx0.89mmx15m</v>
      </c>
      <c r="E1083" s="583">
        <f ca="1">IFERROR(__xludf.DUMMYFUNCTION("""COMPUTED_VALUE"""),0.1)</f>
        <v>0.1</v>
      </c>
      <c r="F1083" s="584" t="str">
        <f ca="1">IFERROR(__xludf.DUMMYFUNCTION("""COMPUTED_VALUE"""),"Cuộn")</f>
        <v>Cuộn</v>
      </c>
      <c r="G1083" s="584" t="str">
        <f ca="1">IFERROR(__xludf.DUMMYFUNCTION("""COMPUTED_VALUE"""),"Cuộn 15m")</f>
        <v>Cuộn 15m</v>
      </c>
      <c r="H1083" s="582"/>
      <c r="I1083" s="585">
        <f ca="1">IFERROR(__xludf.DUMMYFUNCTION("""COMPUTED_VALUE"""),4.422054)</f>
        <v>4.4220540000000002</v>
      </c>
      <c r="J1083" s="586" t="str">
        <f ca="1">IFERROR(__xludf.DUMMYFUNCTION("""COMPUTED_VALUE""")," 12.72 ")</f>
        <v xml:space="preserve"> 12.72 </v>
      </c>
      <c r="K1083" s="584" t="str">
        <f ca="1">IFERROR(__xludf.DUMMYFUNCTION("""COMPUTED_VALUE"""),"0.89")</f>
        <v>0.89</v>
      </c>
      <c r="L1083" s="584">
        <f ca="1">IFERROR(__xludf.DUMMYFUNCTION("""COMPUTED_VALUE"""),15)</f>
        <v>15</v>
      </c>
      <c r="M1083" s="584"/>
      <c r="N1083" s="584" t="str">
        <f ca="1">IFERROR(__xludf.DUMMYFUNCTION("""COMPUTED_VALUE"""),"Dị_D&lt;54")</f>
        <v>Dị_D&lt;54</v>
      </c>
      <c r="O1083" s="583"/>
      <c r="P1083" s="584"/>
    </row>
    <row r="1084" spans="1:17" ht="15.75">
      <c r="A1084" s="587" t="str">
        <f ca="1">IFERROR(__xludf.DUMMYFUNCTION("""COMPUTED_VALUE"""),"Hailiang")</f>
        <v>Hailiang</v>
      </c>
      <c r="B1084" s="587" t="str">
        <f ca="1">IFERROR(__xludf.DUMMYFUNCTION("""COMPUTED_VALUE"""),"ĐHLCUONDI")</f>
        <v>ĐHLCUONDI</v>
      </c>
      <c r="C1084" s="587" t="str">
        <f ca="1">IFERROR(__xludf.DUMMYFUNCTION("""COMPUTED_VALUE"""),"DOCHL12709115")</f>
        <v>DOCHL12709115</v>
      </c>
      <c r="D1084" s="588" t="str">
        <f ca="1">IFERROR(__xludf.DUMMYFUNCTION("""COMPUTED_VALUE"""),"Đồng ống Hailiang dạng cuộn 12.7mmx0.91mmx15m")</f>
        <v>Đồng ống Hailiang dạng cuộn 12.7mmx0.91mmx15m</v>
      </c>
      <c r="E1084" s="589">
        <f ca="1">IFERROR(__xludf.DUMMYFUNCTION("""COMPUTED_VALUE"""),0.1)</f>
        <v>0.1</v>
      </c>
      <c r="F1084" s="590" t="str">
        <f ca="1">IFERROR(__xludf.DUMMYFUNCTION("""COMPUTED_VALUE"""),"Cuộn")</f>
        <v>Cuộn</v>
      </c>
      <c r="G1084" s="590" t="str">
        <f ca="1">IFERROR(__xludf.DUMMYFUNCTION("""COMPUTED_VALUE"""),"Cuộn 15m")</f>
        <v>Cuộn 15m</v>
      </c>
      <c r="H1084" s="588"/>
      <c r="I1084" s="591">
        <f ca="1">IFERROR(__xludf.DUMMYFUNCTION("""COMPUTED_VALUE"""),4.513782)</f>
        <v>4.513782</v>
      </c>
      <c r="J1084" s="592" t="str">
        <f ca="1">IFERROR(__xludf.DUMMYFUNCTION("""COMPUTED_VALUE""")," 12.72 ")</f>
        <v xml:space="preserve"> 12.72 </v>
      </c>
      <c r="K1084" s="590" t="str">
        <f ca="1">IFERROR(__xludf.DUMMYFUNCTION("""COMPUTED_VALUE"""),"0.91")</f>
        <v>0.91</v>
      </c>
      <c r="L1084" s="590">
        <f ca="1">IFERROR(__xludf.DUMMYFUNCTION("""COMPUTED_VALUE"""),15)</f>
        <v>15</v>
      </c>
      <c r="M1084" s="590"/>
      <c r="N1084" s="590" t="str">
        <f ca="1">IFERROR(__xludf.DUMMYFUNCTION("""COMPUTED_VALUE"""),"Dị_D&lt;54")</f>
        <v>Dị_D&lt;54</v>
      </c>
      <c r="O1084" s="589"/>
      <c r="P1084" s="590"/>
    </row>
    <row r="1085" spans="1:17" ht="15.75">
      <c r="A1085" s="581" t="str">
        <f ca="1">IFERROR(__xludf.DUMMYFUNCTION("""COMPUTED_VALUE"""),"Hailiang")</f>
        <v>Hailiang</v>
      </c>
      <c r="B1085" s="581" t="str">
        <f ca="1">IFERROR(__xludf.DUMMYFUNCTION("""COMPUTED_VALUE"""),"ĐHLCUONDI")</f>
        <v>ĐHLCUONDI</v>
      </c>
      <c r="C1085" s="581" t="str">
        <f ca="1">IFERROR(__xludf.DUMMYFUNCTION("""COMPUTED_VALUE"""),"DOCHL158806115")</f>
        <v>DOCHL158806115</v>
      </c>
      <c r="D1085" s="582" t="str">
        <f ca="1">IFERROR(__xludf.DUMMYFUNCTION("""COMPUTED_VALUE"""),"Đồng ống Hailiang dạng cuộn 15.88mmx0.61mmx15m")</f>
        <v>Đồng ống Hailiang dạng cuộn 15.88mmx0.61mmx15m</v>
      </c>
      <c r="E1085" s="583">
        <f ca="1">IFERROR(__xludf.DUMMYFUNCTION("""COMPUTED_VALUE"""),0.1)</f>
        <v>0.1</v>
      </c>
      <c r="F1085" s="584" t="str">
        <f ca="1">IFERROR(__xludf.DUMMYFUNCTION("""COMPUTED_VALUE"""),"Cuộn")</f>
        <v>Cuộn</v>
      </c>
      <c r="G1085" s="584" t="str">
        <f ca="1">IFERROR(__xludf.DUMMYFUNCTION("""COMPUTED_VALUE"""),"Cuộn 15m")</f>
        <v>Cuộn 15m</v>
      </c>
      <c r="H1085" s="582" t="str">
        <f ca="1">IFERROR(__xludf.DUMMYFUNCTION("""COMPUTED_VALUE"""),"5")</f>
        <v>5</v>
      </c>
      <c r="I1085" s="585">
        <f ca="1">IFERROR(__xludf.DUMMYFUNCTION("""COMPUTED_VALUE"""),3.912174)</f>
        <v>3.9121739999999998</v>
      </c>
      <c r="J1085" s="586" t="str">
        <f ca="1">IFERROR(__xludf.DUMMYFUNCTION("""COMPUTED_VALUE""")," 15.88 ")</f>
        <v xml:space="preserve"> 15.88 </v>
      </c>
      <c r="K1085" s="584" t="str">
        <f ca="1">IFERROR(__xludf.DUMMYFUNCTION("""COMPUTED_VALUE"""),"0.61")</f>
        <v>0.61</v>
      </c>
      <c r="L1085" s="584">
        <f ca="1">IFERROR(__xludf.DUMMYFUNCTION("""COMPUTED_VALUE"""),15)</f>
        <v>15</v>
      </c>
      <c r="M1085" s="584"/>
      <c r="N1085" s="584" t="str">
        <f ca="1">IFERROR(__xludf.DUMMYFUNCTION("""COMPUTED_VALUE"""),"Dị_D&lt;54")</f>
        <v>Dị_D&lt;54</v>
      </c>
      <c r="O1085" s="583"/>
      <c r="P1085" s="584"/>
    </row>
    <row r="1086" spans="1:17" ht="15.75">
      <c r="A1086" s="587" t="str">
        <f ca="1">IFERROR(__xludf.DUMMYFUNCTION("""COMPUTED_VALUE"""),"Hailiang")</f>
        <v>Hailiang</v>
      </c>
      <c r="B1086" s="587" t="str">
        <f ca="1">IFERROR(__xludf.DUMMYFUNCTION("""COMPUTED_VALUE"""),"ĐHLCUONDI")</f>
        <v>ĐHLCUONDI</v>
      </c>
      <c r="C1086" s="587" t="str">
        <f ca="1">IFERROR(__xludf.DUMMYFUNCTION("""COMPUTED_VALUE"""),"DOCHL158806515")</f>
        <v>DOCHL158806515</v>
      </c>
      <c r="D1086" s="588" t="str">
        <f ca="1">IFERROR(__xludf.DUMMYFUNCTION("""COMPUTED_VALUE"""),"Đồng ống Hailiang dạng cuộn 15.88mmx0.65mmx15m")</f>
        <v>Đồng ống Hailiang dạng cuộn 15.88mmx0.65mmx15m</v>
      </c>
      <c r="E1086" s="589">
        <f ca="1">IFERROR(__xludf.DUMMYFUNCTION("""COMPUTED_VALUE"""),0.1)</f>
        <v>0.1</v>
      </c>
      <c r="F1086" s="590" t="str">
        <f ca="1">IFERROR(__xludf.DUMMYFUNCTION("""COMPUTED_VALUE"""),"Cuộn")</f>
        <v>Cuộn</v>
      </c>
      <c r="G1086" s="590" t="str">
        <f ca="1">IFERROR(__xludf.DUMMYFUNCTION("""COMPUTED_VALUE"""),"Cuộn 15m")</f>
        <v>Cuộn 15m</v>
      </c>
      <c r="H1086" s="588" t="str">
        <f ca="1">IFERROR(__xludf.DUMMYFUNCTION("""COMPUTED_VALUE"""),"5")</f>
        <v>5</v>
      </c>
      <c r="I1086" s="591">
        <f ca="1">IFERROR(__xludf.DUMMYFUNCTION("""COMPUTED_VALUE"""),4.15778999999999)</f>
        <v>4.1577899999999897</v>
      </c>
      <c r="J1086" s="592" t="str">
        <f ca="1">IFERROR(__xludf.DUMMYFUNCTION("""COMPUTED_VALUE""")," 15.88 ")</f>
        <v xml:space="preserve"> 15.88 </v>
      </c>
      <c r="K1086" s="590" t="str">
        <f ca="1">IFERROR(__xludf.DUMMYFUNCTION("""COMPUTED_VALUE"""),"0.65")</f>
        <v>0.65</v>
      </c>
      <c r="L1086" s="590">
        <f ca="1">IFERROR(__xludf.DUMMYFUNCTION("""COMPUTED_VALUE"""),15)</f>
        <v>15</v>
      </c>
      <c r="M1086" s="590"/>
      <c r="N1086" s="590" t="str">
        <f ca="1">IFERROR(__xludf.DUMMYFUNCTION("""COMPUTED_VALUE"""),"Dị_D&lt;54")</f>
        <v>Dị_D&lt;54</v>
      </c>
      <c r="O1086" s="589"/>
      <c r="P1086" s="590"/>
    </row>
    <row r="1087" spans="1:17" ht="15.75">
      <c r="A1087" s="581" t="str">
        <f ca="1">IFERROR(__xludf.DUMMYFUNCTION("""COMPUTED_VALUE"""),"Hailiang")</f>
        <v>Hailiang</v>
      </c>
      <c r="B1087" s="581" t="str">
        <f ca="1">IFERROR(__xludf.DUMMYFUNCTION("""COMPUTED_VALUE"""),"ĐHLCUONDI")</f>
        <v>ĐHLCUONDI</v>
      </c>
      <c r="C1087" s="581" t="str">
        <f ca="1">IFERROR(__xludf.DUMMYFUNCTION("""COMPUTED_VALUE"""),"DOCHL158807015")</f>
        <v>DOCHL158807015</v>
      </c>
      <c r="D1087" s="582" t="str">
        <f ca="1">IFERROR(__xludf.DUMMYFUNCTION("""COMPUTED_VALUE"""),"Đồng ống Hailiang dạng cuộn 15.88mmx0.70mmx15m")</f>
        <v>Đồng ống Hailiang dạng cuộn 15.88mmx0.70mmx15m</v>
      </c>
      <c r="E1087" s="583">
        <f ca="1">IFERROR(__xludf.DUMMYFUNCTION("""COMPUTED_VALUE"""),0.1)</f>
        <v>0.1</v>
      </c>
      <c r="F1087" s="584" t="str">
        <f ca="1">IFERROR(__xludf.DUMMYFUNCTION("""COMPUTED_VALUE"""),"Cuộn")</f>
        <v>Cuộn</v>
      </c>
      <c r="G1087" s="584" t="str">
        <f ca="1">IFERROR(__xludf.DUMMYFUNCTION("""COMPUTED_VALUE"""),"Cuộn 15m")</f>
        <v>Cuộn 15m</v>
      </c>
      <c r="H1087" s="582" t="str">
        <f ca="1">IFERROR(__xludf.DUMMYFUNCTION("""COMPUTED_VALUE"""),"5")</f>
        <v>5</v>
      </c>
      <c r="I1087" s="585">
        <f ca="1">IFERROR(__xludf.DUMMYFUNCTION("""COMPUTED_VALUE"""),4.46292)</f>
        <v>4.4629200000000004</v>
      </c>
      <c r="J1087" s="586" t="str">
        <f ca="1">IFERROR(__xludf.DUMMYFUNCTION("""COMPUTED_VALUE""")," 15.88 ")</f>
        <v xml:space="preserve"> 15.88 </v>
      </c>
      <c r="K1087" s="584" t="str">
        <f ca="1">IFERROR(__xludf.DUMMYFUNCTION("""COMPUTED_VALUE"""),"0.70")</f>
        <v>0.70</v>
      </c>
      <c r="L1087" s="584">
        <f ca="1">IFERROR(__xludf.DUMMYFUNCTION("""COMPUTED_VALUE"""),15)</f>
        <v>15</v>
      </c>
      <c r="M1087" s="584"/>
      <c r="N1087" s="584" t="str">
        <f ca="1">IFERROR(__xludf.DUMMYFUNCTION("""COMPUTED_VALUE"""),"Dị_D&lt;54")</f>
        <v>Dị_D&lt;54</v>
      </c>
      <c r="O1087" s="583"/>
      <c r="P1087" s="584"/>
    </row>
    <row r="1088" spans="1:17" ht="15.75">
      <c r="A1088" s="587" t="str">
        <f ca="1">IFERROR(__xludf.DUMMYFUNCTION("""COMPUTED_VALUE"""),"Hailiang")</f>
        <v>Hailiang</v>
      </c>
      <c r="B1088" s="587" t="str">
        <f ca="1">IFERROR(__xludf.DUMMYFUNCTION("""COMPUTED_VALUE"""),"ĐHLCUONTD")</f>
        <v>ĐHLCUONTD</v>
      </c>
      <c r="C1088" s="587" t="str">
        <f ca="1">IFERROR(__xludf.DUMMYFUNCTION("""COMPUTED_VALUE"""),"DOCHL158807115")</f>
        <v>DOCHL158807115</v>
      </c>
      <c r="D1088" s="588" t="str">
        <f ca="1">IFERROR(__xludf.DUMMYFUNCTION("""COMPUTED_VALUE"""),"Đồng ống Hailiang dạng cuộn 15.88mmx0.71mmx15m")</f>
        <v>Đồng ống Hailiang dạng cuộn 15.88mmx0.71mmx15m</v>
      </c>
      <c r="E1088" s="589">
        <f ca="1">IFERROR(__xludf.DUMMYFUNCTION("""COMPUTED_VALUE"""),0.1)</f>
        <v>0.1</v>
      </c>
      <c r="F1088" s="590" t="str">
        <f ca="1">IFERROR(__xludf.DUMMYFUNCTION("""COMPUTED_VALUE"""),"Cuộn")</f>
        <v>Cuộn</v>
      </c>
      <c r="G1088" s="590" t="str">
        <f ca="1">IFERROR(__xludf.DUMMYFUNCTION("""COMPUTED_VALUE"""),"Cuộn 15m")</f>
        <v>Cuộn 15m</v>
      </c>
      <c r="H1088" s="588" t="str">
        <f ca="1">IFERROR(__xludf.DUMMYFUNCTION("""COMPUTED_VALUE"""),"5")</f>
        <v>5</v>
      </c>
      <c r="I1088" s="591">
        <f ca="1">IFERROR(__xludf.DUMMYFUNCTION("""COMPUTED_VALUE"""),4.523694)</f>
        <v>4.5236939999999999</v>
      </c>
      <c r="J1088" s="592" t="str">
        <f ca="1">IFERROR(__xludf.DUMMYFUNCTION("""COMPUTED_VALUE""")," 15.88 ")</f>
        <v xml:space="preserve"> 15.88 </v>
      </c>
      <c r="K1088" s="590" t="str">
        <f ca="1">IFERROR(__xludf.DUMMYFUNCTION("""COMPUTED_VALUE"""),"0.71")</f>
        <v>0.71</v>
      </c>
      <c r="L1088" s="590">
        <f ca="1">IFERROR(__xludf.DUMMYFUNCTION("""COMPUTED_VALUE"""),15)</f>
        <v>15</v>
      </c>
      <c r="M1088" s="590"/>
      <c r="N1088" s="590" t="str">
        <f ca="1">IFERROR(__xludf.DUMMYFUNCTION("""COMPUTED_VALUE"""),"Không")</f>
        <v>Không</v>
      </c>
      <c r="O1088" s="589"/>
      <c r="P1088" s="590"/>
      <c r="Q1088" s="885">
        <f ca="1">+$Q$5*I1088</f>
        <v>1040.4496199999999</v>
      </c>
    </row>
    <row r="1089" spans="1:17" ht="15.75">
      <c r="A1089" s="581" t="str">
        <f ca="1">IFERROR(__xludf.DUMMYFUNCTION("""COMPUTED_VALUE"""),"Hailiang")</f>
        <v>Hailiang</v>
      </c>
      <c r="B1089" s="581" t="str">
        <f ca="1">IFERROR(__xludf.DUMMYFUNCTION("""COMPUTED_VALUE"""),"ĐHLCUONDI")</f>
        <v>ĐHLCUONDI</v>
      </c>
      <c r="C1089" s="581" t="str">
        <f ca="1">IFERROR(__xludf.DUMMYFUNCTION("""COMPUTED_VALUE"""),"DOCHL158807515")</f>
        <v>DOCHL158807515</v>
      </c>
      <c r="D1089" s="582" t="str">
        <f ca="1">IFERROR(__xludf.DUMMYFUNCTION("""COMPUTED_VALUE"""),"Đồng ống Hailiang dạng cuộn 15.88mmx0.75mmx15m")</f>
        <v>Đồng ống Hailiang dạng cuộn 15.88mmx0.75mmx15m</v>
      </c>
      <c r="E1089" s="583">
        <f ca="1">IFERROR(__xludf.DUMMYFUNCTION("""COMPUTED_VALUE"""),0.1)</f>
        <v>0.1</v>
      </c>
      <c r="F1089" s="584" t="str">
        <f ca="1">IFERROR(__xludf.DUMMYFUNCTION("""COMPUTED_VALUE"""),"Cuộn")</f>
        <v>Cuộn</v>
      </c>
      <c r="G1089" s="584" t="str">
        <f ca="1">IFERROR(__xludf.DUMMYFUNCTION("""COMPUTED_VALUE"""),"Cuộn 15m")</f>
        <v>Cuộn 15m</v>
      </c>
      <c r="H1089" s="582" t="str">
        <f ca="1">IFERROR(__xludf.DUMMYFUNCTION("""COMPUTED_VALUE"""),"5")</f>
        <v>5</v>
      </c>
      <c r="I1089" s="585">
        <f ca="1">IFERROR(__xludf.DUMMYFUNCTION("""COMPUTED_VALUE"""),4.76595)</f>
        <v>4.7659500000000001</v>
      </c>
      <c r="J1089" s="586" t="str">
        <f ca="1">IFERROR(__xludf.DUMMYFUNCTION("""COMPUTED_VALUE""")," 15.88 ")</f>
        <v xml:space="preserve"> 15.88 </v>
      </c>
      <c r="K1089" s="584" t="str">
        <f ca="1">IFERROR(__xludf.DUMMYFUNCTION("""COMPUTED_VALUE"""),"0.75")</f>
        <v>0.75</v>
      </c>
      <c r="L1089" s="584">
        <f ca="1">IFERROR(__xludf.DUMMYFUNCTION("""COMPUTED_VALUE"""),15)</f>
        <v>15</v>
      </c>
      <c r="M1089" s="584"/>
      <c r="N1089" s="584" t="str">
        <f ca="1">IFERROR(__xludf.DUMMYFUNCTION("""COMPUTED_VALUE"""),"Dị_D&lt;54")</f>
        <v>Dị_D&lt;54</v>
      </c>
      <c r="O1089" s="583"/>
      <c r="P1089" s="584"/>
    </row>
    <row r="1090" spans="1:17" ht="15.75">
      <c r="A1090" s="587" t="str">
        <f ca="1">IFERROR(__xludf.DUMMYFUNCTION("""COMPUTED_VALUE"""),"Hailiang")</f>
        <v>Hailiang</v>
      </c>
      <c r="B1090" s="587" t="str">
        <f ca="1">IFERROR(__xludf.DUMMYFUNCTION("""COMPUTED_VALUE"""),"ĐHLCUONDI")</f>
        <v>ĐHLCUONDI</v>
      </c>
      <c r="C1090" s="587" t="str">
        <f ca="1">IFERROR(__xludf.DUMMYFUNCTION("""COMPUTED_VALUE"""),"DOCHL158808015")</f>
        <v>DOCHL158808015</v>
      </c>
      <c r="D1090" s="588" t="str">
        <f ca="1">IFERROR(__xludf.DUMMYFUNCTION("""COMPUTED_VALUE"""),"Đồng ống Hailiang dạng cuộn 15.88mmx0.80mmx15m")</f>
        <v>Đồng ống Hailiang dạng cuộn 15.88mmx0.80mmx15m</v>
      </c>
      <c r="E1090" s="589">
        <f ca="1">IFERROR(__xludf.DUMMYFUNCTION("""COMPUTED_VALUE"""),0.1)</f>
        <v>0.1</v>
      </c>
      <c r="F1090" s="590" t="str">
        <f ca="1">IFERROR(__xludf.DUMMYFUNCTION("""COMPUTED_VALUE"""),"Cuộn")</f>
        <v>Cuộn</v>
      </c>
      <c r="G1090" s="590" t="str">
        <f ca="1">IFERROR(__xludf.DUMMYFUNCTION("""COMPUTED_VALUE"""),"Cuộn 15m")</f>
        <v>Cuộn 15m</v>
      </c>
      <c r="H1090" s="588" t="str">
        <f ca="1">IFERROR(__xludf.DUMMYFUNCTION("""COMPUTED_VALUE"""),"5")</f>
        <v>5</v>
      </c>
      <c r="I1090" s="591">
        <f ca="1">IFERROR(__xludf.DUMMYFUNCTION("""COMPUTED_VALUE"""),5.06687999999999)</f>
        <v>5.0668799999999896</v>
      </c>
      <c r="J1090" s="592" t="str">
        <f ca="1">IFERROR(__xludf.DUMMYFUNCTION("""COMPUTED_VALUE""")," 15.88 ")</f>
        <v xml:space="preserve"> 15.88 </v>
      </c>
      <c r="K1090" s="590" t="str">
        <f ca="1">IFERROR(__xludf.DUMMYFUNCTION("""COMPUTED_VALUE"""),"0.80")</f>
        <v>0.80</v>
      </c>
      <c r="L1090" s="590">
        <f ca="1">IFERROR(__xludf.DUMMYFUNCTION("""COMPUTED_VALUE"""),15)</f>
        <v>15</v>
      </c>
      <c r="M1090" s="590"/>
      <c r="N1090" s="590" t="str">
        <f ca="1">IFERROR(__xludf.DUMMYFUNCTION("""COMPUTED_VALUE"""),"Dị_D&lt;54")</f>
        <v>Dị_D&lt;54</v>
      </c>
      <c r="O1090" s="589"/>
      <c r="P1090" s="590"/>
    </row>
    <row r="1091" spans="1:17" ht="15.75">
      <c r="A1091" s="581" t="str">
        <f ca="1">IFERROR(__xludf.DUMMYFUNCTION("""COMPUTED_VALUE"""),"Hailiang")</f>
        <v>Hailiang</v>
      </c>
      <c r="B1091" s="581" t="str">
        <f ca="1">IFERROR(__xludf.DUMMYFUNCTION("""COMPUTED_VALUE"""),"ĐHLCUONDI")</f>
        <v>ĐHLCUONDI</v>
      </c>
      <c r="C1091" s="581" t="str">
        <f ca="1">IFERROR(__xludf.DUMMYFUNCTION("""COMPUTED_VALUE"""),"DOCHL158808150")</f>
        <v>DOCHL158808150</v>
      </c>
      <c r="D1091" s="582" t="str">
        <f ca="1">IFERROR(__xludf.DUMMYFUNCTION("""COMPUTED_VALUE"""),"Đồng ống Hailiang dạng cuộn 15.88mmx0.81mmx50m")</f>
        <v>Đồng ống Hailiang dạng cuộn 15.88mmx0.81mmx50m</v>
      </c>
      <c r="E1091" s="583">
        <f ca="1">IFERROR(__xludf.DUMMYFUNCTION("""COMPUTED_VALUE"""),0.1)</f>
        <v>0.1</v>
      </c>
      <c r="F1091" s="584" t="str">
        <f ca="1">IFERROR(__xludf.DUMMYFUNCTION("""COMPUTED_VALUE"""),"Cuộn")</f>
        <v>Cuộn</v>
      </c>
      <c r="G1091" s="584" t="str">
        <f ca="1">IFERROR(__xludf.DUMMYFUNCTION("""COMPUTED_VALUE"""),"Cuộn 50m")</f>
        <v>Cuộn 50m</v>
      </c>
      <c r="H1091" s="582" t="str">
        <f ca="1">IFERROR(__xludf.DUMMYFUNCTION("""COMPUTED_VALUE"""),"5")</f>
        <v>5</v>
      </c>
      <c r="I1091" s="585">
        <f ca="1">IFERROR(__xludf.DUMMYFUNCTION("""COMPUTED_VALUE"""),17.08938)</f>
        <v>17.089379999999998</v>
      </c>
      <c r="J1091" s="586" t="str">
        <f ca="1">IFERROR(__xludf.DUMMYFUNCTION("""COMPUTED_VALUE""")," 15.88 ")</f>
        <v xml:space="preserve"> 15.88 </v>
      </c>
      <c r="K1091" s="584" t="str">
        <f ca="1">IFERROR(__xludf.DUMMYFUNCTION("""COMPUTED_VALUE"""),"0.81")</f>
        <v>0.81</v>
      </c>
      <c r="L1091" s="584">
        <f ca="1">IFERROR(__xludf.DUMMYFUNCTION("""COMPUTED_VALUE"""),50)</f>
        <v>50</v>
      </c>
      <c r="M1091" s="584"/>
      <c r="N1091" s="584" t="str">
        <f ca="1">IFERROR(__xludf.DUMMYFUNCTION("""COMPUTED_VALUE"""),"Dị_D&lt;54")</f>
        <v>Dị_D&lt;54</v>
      </c>
      <c r="O1091" s="583"/>
      <c r="P1091" s="584"/>
    </row>
    <row r="1092" spans="1:17" ht="15.75">
      <c r="A1092" s="587" t="str">
        <f ca="1">IFERROR(__xludf.DUMMYFUNCTION("""COMPUTED_VALUE"""),"Hailiang")</f>
        <v>Hailiang</v>
      </c>
      <c r="B1092" s="587" t="str">
        <f ca="1">IFERROR(__xludf.DUMMYFUNCTION("""COMPUTED_VALUE"""),"ĐHLCUONTD")</f>
        <v>ĐHLCUONTD</v>
      </c>
      <c r="C1092" s="587" t="str">
        <f ca="1">IFERROR(__xludf.DUMMYFUNCTION("""COMPUTED_VALUE"""),"DOCHL158808115")</f>
        <v>DOCHL158808115</v>
      </c>
      <c r="D1092" s="588" t="str">
        <f ca="1">IFERROR(__xludf.DUMMYFUNCTION("""COMPUTED_VALUE"""),"Đồng ống Hailiang dạng cuộn 15.88mmx0.81mmx15m")</f>
        <v>Đồng ống Hailiang dạng cuộn 15.88mmx0.81mmx15m</v>
      </c>
      <c r="E1092" s="589">
        <f ca="1">IFERROR(__xludf.DUMMYFUNCTION("""COMPUTED_VALUE"""),0.1)</f>
        <v>0.1</v>
      </c>
      <c r="F1092" s="590" t="str">
        <f ca="1">IFERROR(__xludf.DUMMYFUNCTION("""COMPUTED_VALUE"""),"Cuộn")</f>
        <v>Cuộn</v>
      </c>
      <c r="G1092" s="590" t="str">
        <f ca="1">IFERROR(__xludf.DUMMYFUNCTION("""COMPUTED_VALUE"""),"Cuộn 15m")</f>
        <v>Cuộn 15m</v>
      </c>
      <c r="H1092" s="588" t="str">
        <f ca="1">IFERROR(__xludf.DUMMYFUNCTION("""COMPUTED_VALUE"""),"5")</f>
        <v>5</v>
      </c>
      <c r="I1092" s="591">
        <f ca="1">IFERROR(__xludf.DUMMYFUNCTION("""COMPUTED_VALUE"""),5.126814)</f>
        <v>5.1268140000000004</v>
      </c>
      <c r="J1092" s="592" t="str">
        <f ca="1">IFERROR(__xludf.DUMMYFUNCTION("""COMPUTED_VALUE""")," 15.88 ")</f>
        <v xml:space="preserve"> 15.88 </v>
      </c>
      <c r="K1092" s="590" t="str">
        <f ca="1">IFERROR(__xludf.DUMMYFUNCTION("""COMPUTED_VALUE"""),"0.81")</f>
        <v>0.81</v>
      </c>
      <c r="L1092" s="590">
        <f ca="1">IFERROR(__xludf.DUMMYFUNCTION("""COMPUTED_VALUE"""),15)</f>
        <v>15</v>
      </c>
      <c r="M1092" s="590"/>
      <c r="N1092" s="590" t="str">
        <f ca="1">IFERROR(__xludf.DUMMYFUNCTION("""COMPUTED_VALUE"""),"Không")</f>
        <v>Không</v>
      </c>
      <c r="O1092" s="589"/>
      <c r="P1092" s="590"/>
      <c r="Q1092" s="885">
        <f ca="1">+$Q$5*I1092</f>
        <v>1179.16722</v>
      </c>
    </row>
    <row r="1093" spans="1:17" ht="15.75">
      <c r="A1093" s="581" t="str">
        <f ca="1">IFERROR(__xludf.DUMMYFUNCTION("""COMPUTED_VALUE"""),"Hailiang")</f>
        <v>Hailiang</v>
      </c>
      <c r="B1093" s="581" t="str">
        <f ca="1">IFERROR(__xludf.DUMMYFUNCTION("""COMPUTED_VALUE"""),"ĐHLCUONDI")</f>
        <v>ĐHLCUONDI</v>
      </c>
      <c r="C1093" s="581" t="str">
        <f ca="1">IFERROR(__xludf.DUMMYFUNCTION("""COMPUTED_VALUE"""),"DOCHL158808915")</f>
        <v>DOCHL158808915</v>
      </c>
      <c r="D1093" s="582" t="str">
        <f ca="1">IFERROR(__xludf.DUMMYFUNCTION("""COMPUTED_VALUE"""),"Đồng ống Hailiang dạng cuộn 15.88x0.89")</f>
        <v>Đồng ống Hailiang dạng cuộn 15.88x0.89</v>
      </c>
      <c r="E1093" s="583">
        <f ca="1">IFERROR(__xludf.DUMMYFUNCTION("""COMPUTED_VALUE"""),0.1)</f>
        <v>0.1</v>
      </c>
      <c r="F1093" s="584" t="str">
        <f ca="1">IFERROR(__xludf.DUMMYFUNCTION("""COMPUTED_VALUE"""),"Cuộn")</f>
        <v>Cuộn</v>
      </c>
      <c r="G1093" s="584" t="str">
        <f ca="1">IFERROR(__xludf.DUMMYFUNCTION("""COMPUTED_VALUE"""),"Cuộn 15m")</f>
        <v>Cuộn 15m</v>
      </c>
      <c r="H1093" s="582" t="str">
        <f ca="1">IFERROR(__xludf.DUMMYFUNCTION("""COMPUTED_VALUE"""),"5")</f>
        <v>5</v>
      </c>
      <c r="I1093" s="585">
        <f ca="1">IFERROR(__xludf.DUMMYFUNCTION("""COMPUTED_VALUE"""),5.603262)</f>
        <v>5.603262</v>
      </c>
      <c r="J1093" s="586" t="str">
        <f ca="1">IFERROR(__xludf.DUMMYFUNCTION("""COMPUTED_VALUE""")," 15.88 ")</f>
        <v xml:space="preserve"> 15.88 </v>
      </c>
      <c r="K1093" s="584" t="str">
        <f ca="1">IFERROR(__xludf.DUMMYFUNCTION("""COMPUTED_VALUE"""),"0.89")</f>
        <v>0.89</v>
      </c>
      <c r="L1093" s="584">
        <f ca="1">IFERROR(__xludf.DUMMYFUNCTION("""COMPUTED_VALUE"""),15)</f>
        <v>15</v>
      </c>
      <c r="M1093" s="584"/>
      <c r="N1093" s="584" t="str">
        <f ca="1">IFERROR(__xludf.DUMMYFUNCTION("""COMPUTED_VALUE"""),"Dị_D&lt;54")</f>
        <v>Dị_D&lt;54</v>
      </c>
      <c r="O1093" s="583"/>
      <c r="P1093" s="584"/>
    </row>
    <row r="1094" spans="1:17" ht="15.75">
      <c r="A1094" s="587" t="str">
        <f ca="1">IFERROR(__xludf.DUMMYFUNCTION("""COMPUTED_VALUE"""),"Hailiang")</f>
        <v>Hailiang</v>
      </c>
      <c r="B1094" s="587" t="str">
        <f ca="1">IFERROR(__xludf.DUMMYFUNCTION("""COMPUTED_VALUE"""),"ĐHLCUONDI")</f>
        <v>ĐHLCUONDI</v>
      </c>
      <c r="C1094" s="587" t="str">
        <f ca="1">IFERROR(__xludf.DUMMYFUNCTION("""COMPUTED_VALUE"""),"DOCHL158808950")</f>
        <v>DOCHL158808950</v>
      </c>
      <c r="D1094" s="588" t="str">
        <f ca="1">IFERROR(__xludf.DUMMYFUNCTION("""COMPUTED_VALUE"""),"Đồng ống Hailiang dạng cuộn 15.88mmx0.89mmx50m")</f>
        <v>Đồng ống Hailiang dạng cuộn 15.88mmx0.89mmx50m</v>
      </c>
      <c r="E1094" s="589">
        <f ca="1">IFERROR(__xludf.DUMMYFUNCTION("""COMPUTED_VALUE"""),0.1)</f>
        <v>0.1</v>
      </c>
      <c r="F1094" s="590" t="str">
        <f ca="1">IFERROR(__xludf.DUMMYFUNCTION("""COMPUTED_VALUE"""),"Cuộn")</f>
        <v>Cuộn</v>
      </c>
      <c r="G1094" s="590" t="str">
        <f ca="1">IFERROR(__xludf.DUMMYFUNCTION("""COMPUTED_VALUE"""),"Cuộn 50m")</f>
        <v>Cuộn 50m</v>
      </c>
      <c r="H1094" s="588" t="str">
        <f ca="1">IFERROR(__xludf.DUMMYFUNCTION("""COMPUTED_VALUE"""),"5")</f>
        <v>5</v>
      </c>
      <c r="I1094" s="591">
        <f ca="1">IFERROR(__xludf.DUMMYFUNCTION("""COMPUTED_VALUE"""),18.67754)</f>
        <v>18.67754</v>
      </c>
      <c r="J1094" s="592" t="str">
        <f ca="1">IFERROR(__xludf.DUMMYFUNCTION("""COMPUTED_VALUE""")," 15.88 ")</f>
        <v xml:space="preserve"> 15.88 </v>
      </c>
      <c r="K1094" s="590" t="str">
        <f ca="1">IFERROR(__xludf.DUMMYFUNCTION("""COMPUTED_VALUE"""),"0.89")</f>
        <v>0.89</v>
      </c>
      <c r="L1094" s="590">
        <f ca="1">IFERROR(__xludf.DUMMYFUNCTION("""COMPUTED_VALUE"""),50)</f>
        <v>50</v>
      </c>
      <c r="M1094" s="590"/>
      <c r="N1094" s="590" t="str">
        <f ca="1">IFERROR(__xludf.DUMMYFUNCTION("""COMPUTED_VALUE"""),"Dị_D&lt;54")</f>
        <v>Dị_D&lt;54</v>
      </c>
      <c r="O1094" s="589"/>
      <c r="P1094" s="590"/>
    </row>
    <row r="1095" spans="1:17" ht="15.75">
      <c r="A1095" s="581" t="str">
        <f ca="1">IFERROR(__xludf.DUMMYFUNCTION("""COMPUTED_VALUE"""),"Hailiang")</f>
        <v>Hailiang</v>
      </c>
      <c r="B1095" s="581" t="str">
        <f ca="1">IFERROR(__xludf.DUMMYFUNCTION("""COMPUTED_VALUE"""),"ĐHLCUONDI")</f>
        <v>ĐHLCUONDI</v>
      </c>
      <c r="C1095" s="581" t="str">
        <f ca="1">IFERROR(__xludf.DUMMYFUNCTION("""COMPUTED_VALUE"""),"DOCHL158809115")</f>
        <v>DOCHL158809115</v>
      </c>
      <c r="D1095" s="582" t="str">
        <f ca="1">IFERROR(__xludf.DUMMYFUNCTION("""COMPUTED_VALUE"""),"Đồng ống Hailiang dạng cuộn 15.88mmx0.91mmx15m")</f>
        <v>Đồng ống Hailiang dạng cuộn 15.88mmx0.91mmx15m</v>
      </c>
      <c r="E1095" s="583">
        <f ca="1">IFERROR(__xludf.DUMMYFUNCTION("""COMPUTED_VALUE"""),0.1)</f>
        <v>0.1</v>
      </c>
      <c r="F1095" s="584" t="str">
        <f ca="1">IFERROR(__xludf.DUMMYFUNCTION("""COMPUTED_VALUE"""),"Cuộn")</f>
        <v>Cuộn</v>
      </c>
      <c r="G1095" s="584" t="str">
        <f ca="1">IFERROR(__xludf.DUMMYFUNCTION("""COMPUTED_VALUE"""),"Cuộn 15m")</f>
        <v>Cuộn 15m</v>
      </c>
      <c r="H1095" s="582" t="str">
        <f ca="1">IFERROR(__xludf.DUMMYFUNCTION("""COMPUTED_VALUE"""),"5")</f>
        <v>5</v>
      </c>
      <c r="I1095" s="585">
        <f ca="1">IFERROR(__xludf.DUMMYFUNCTION("""COMPUTED_VALUE"""),5.721534)</f>
        <v>5.7215340000000001</v>
      </c>
      <c r="J1095" s="586" t="str">
        <f ca="1">IFERROR(__xludf.DUMMYFUNCTION("""COMPUTED_VALUE""")," 15.88 ")</f>
        <v xml:space="preserve"> 15.88 </v>
      </c>
      <c r="K1095" s="584" t="str">
        <f ca="1">IFERROR(__xludf.DUMMYFUNCTION("""COMPUTED_VALUE"""),"0.91")</f>
        <v>0.91</v>
      </c>
      <c r="L1095" s="584">
        <f ca="1">IFERROR(__xludf.DUMMYFUNCTION("""COMPUTED_VALUE"""),15)</f>
        <v>15</v>
      </c>
      <c r="M1095" s="584"/>
      <c r="N1095" s="584" t="str">
        <f ca="1">IFERROR(__xludf.DUMMYFUNCTION("""COMPUTED_VALUE"""),"Dị_D&lt;54")</f>
        <v>Dị_D&lt;54</v>
      </c>
      <c r="O1095" s="583"/>
      <c r="P1095" s="584"/>
    </row>
    <row r="1096" spans="1:17" ht="15.75">
      <c r="A1096" s="587" t="str">
        <f ca="1">IFERROR(__xludf.DUMMYFUNCTION("""COMPUTED_VALUE"""),"Hailiang")</f>
        <v>Hailiang</v>
      </c>
      <c r="B1096" s="587" t="str">
        <f ca="1">IFERROR(__xludf.DUMMYFUNCTION("""COMPUTED_VALUE"""),"ĐHLCUONDI")</f>
        <v>ĐHLCUONDI</v>
      </c>
      <c r="C1096" s="587" t="str">
        <f ca="1">IFERROR(__xludf.DUMMYFUNCTION("""COMPUTED_VALUE"""),"DOCHL158809115.")</f>
        <v>DOCHL158809115.</v>
      </c>
      <c r="D1096" s="588" t="str">
        <f ca="1">IFERROR(__xludf.DUMMYFUNCTION("""COMPUTED_VALUE"""),"Đồng ống Hailiang dạng cuộn 15.88mmx0.91mmx15m")</f>
        <v>Đồng ống Hailiang dạng cuộn 15.88mmx0.91mmx15m</v>
      </c>
      <c r="E1096" s="589">
        <f ca="1">IFERROR(__xludf.DUMMYFUNCTION("""COMPUTED_VALUE"""),0.1)</f>
        <v>0.1</v>
      </c>
      <c r="F1096" s="590" t="str">
        <f ca="1">IFERROR(__xludf.DUMMYFUNCTION("""COMPUTED_VALUE"""),"Cuộn")</f>
        <v>Cuộn</v>
      </c>
      <c r="G1096" s="590" t="str">
        <f ca="1">IFERROR(__xludf.DUMMYFUNCTION("""COMPUTED_VALUE"""),"Cuộn 15m")</f>
        <v>Cuộn 15m</v>
      </c>
      <c r="H1096" s="588" t="str">
        <f ca="1">IFERROR(__xludf.DUMMYFUNCTION("""COMPUTED_VALUE"""),"5")</f>
        <v>5</v>
      </c>
      <c r="I1096" s="591">
        <f ca="1">IFERROR(__xludf.DUMMYFUNCTION("""COMPUTED_VALUE"""),5.721534)</f>
        <v>5.7215340000000001</v>
      </c>
      <c r="J1096" s="592" t="str">
        <f ca="1">IFERROR(__xludf.DUMMYFUNCTION("""COMPUTED_VALUE""")," 15.88 ")</f>
        <v xml:space="preserve"> 15.88 </v>
      </c>
      <c r="K1096" s="590" t="str">
        <f ca="1">IFERROR(__xludf.DUMMYFUNCTION("""COMPUTED_VALUE"""),"0.91")</f>
        <v>0.91</v>
      </c>
      <c r="L1096" s="590">
        <f ca="1">IFERROR(__xludf.DUMMYFUNCTION("""COMPUTED_VALUE"""),15)</f>
        <v>15</v>
      </c>
      <c r="M1096" s="590"/>
      <c r="N1096" s="590" t="str">
        <f ca="1">IFERROR(__xludf.DUMMYFUNCTION("""COMPUTED_VALUE"""),"Dị_D&lt;54")</f>
        <v>Dị_D&lt;54</v>
      </c>
      <c r="O1096" s="589"/>
      <c r="P1096" s="590"/>
    </row>
    <row r="1097" spans="1:17" ht="15.75">
      <c r="A1097" s="581" t="str">
        <f ca="1">IFERROR(__xludf.DUMMYFUNCTION("""COMPUTED_VALUE"""),"Hailiang")</f>
        <v>Hailiang</v>
      </c>
      <c r="B1097" s="581" t="str">
        <f ca="1">IFERROR(__xludf.DUMMYFUNCTION("""COMPUTED_VALUE"""),"ĐHLCUONDI")</f>
        <v>ĐHLCUONDI</v>
      </c>
      <c r="C1097" s="581" t="str">
        <f ca="1">IFERROR(__xludf.DUMMYFUNCTION("""COMPUTED_VALUE"""),"DOCHL15881015")</f>
        <v>DOCHL15881015</v>
      </c>
      <c r="D1097" s="582" t="str">
        <f ca="1">IFERROR(__xludf.DUMMYFUNCTION("""COMPUTED_VALUE"""),"Đồng ống Hailiang dạng cuộn 15.88mmx1.0mmx15m")</f>
        <v>Đồng ống Hailiang dạng cuộn 15.88mmx1.0mmx15m</v>
      </c>
      <c r="E1097" s="583">
        <f ca="1">IFERROR(__xludf.DUMMYFUNCTION("""COMPUTED_VALUE"""),0.1)</f>
        <v>0.1</v>
      </c>
      <c r="F1097" s="584" t="str">
        <f ca="1">IFERROR(__xludf.DUMMYFUNCTION("""COMPUTED_VALUE"""),"Cuộn")</f>
        <v>Cuộn</v>
      </c>
      <c r="G1097" s="584" t="str">
        <f ca="1">IFERROR(__xludf.DUMMYFUNCTION("""COMPUTED_VALUE"""),"Cuộn 15m")</f>
        <v>Cuộn 15m</v>
      </c>
      <c r="H1097" s="582" t="str">
        <f ca="1">IFERROR(__xludf.DUMMYFUNCTION("""COMPUTED_VALUE"""),"5")</f>
        <v>5</v>
      </c>
      <c r="I1097" s="585">
        <f ca="1">IFERROR(__xludf.DUMMYFUNCTION("""COMPUTED_VALUE"""),6.2496)</f>
        <v>6.2496</v>
      </c>
      <c r="J1097" s="586" t="str">
        <f ca="1">IFERROR(__xludf.DUMMYFUNCTION("""COMPUTED_VALUE""")," 15.88 ")</f>
        <v xml:space="preserve"> 15.88 </v>
      </c>
      <c r="K1097" s="584" t="str">
        <f ca="1">IFERROR(__xludf.DUMMYFUNCTION("""COMPUTED_VALUE"""),"1.00")</f>
        <v>1.00</v>
      </c>
      <c r="L1097" s="584">
        <f ca="1">IFERROR(__xludf.DUMMYFUNCTION("""COMPUTED_VALUE"""),15)</f>
        <v>15</v>
      </c>
      <c r="M1097" s="584"/>
      <c r="N1097" s="584" t="str">
        <f ca="1">IFERROR(__xludf.DUMMYFUNCTION("""COMPUTED_VALUE"""),"Dị_D&lt;54")</f>
        <v>Dị_D&lt;54</v>
      </c>
      <c r="O1097" s="583"/>
      <c r="P1097" s="584"/>
    </row>
    <row r="1098" spans="1:17" ht="15.75">
      <c r="A1098" s="587" t="str">
        <f ca="1">IFERROR(__xludf.DUMMYFUNCTION("""COMPUTED_VALUE"""),"Hailiang")</f>
        <v>Hailiang</v>
      </c>
      <c r="B1098" s="587" t="str">
        <f ca="1">IFERROR(__xludf.DUMMYFUNCTION("""COMPUTED_VALUE"""),"ĐHLCUONDI")</f>
        <v>ĐHLCUONDI</v>
      </c>
      <c r="C1098" s="587" t="str">
        <f ca="1">IFERROR(__xludf.DUMMYFUNCTION("""COMPUTED_VALUE"""),"DOCHL158810250")</f>
        <v>DOCHL158810250</v>
      </c>
      <c r="D1098" s="588" t="str">
        <f ca="1">IFERROR(__xludf.DUMMYFUNCTION("""COMPUTED_VALUE"""),"Đồng ống Hailiang dạng cuộn 15.88mmx1.02mmx50m")</f>
        <v>Đồng ống Hailiang dạng cuộn 15.88mmx1.02mmx50m</v>
      </c>
      <c r="E1098" s="589">
        <f ca="1">IFERROR(__xludf.DUMMYFUNCTION("""COMPUTED_VALUE"""),0.1)</f>
        <v>0.1</v>
      </c>
      <c r="F1098" s="590" t="str">
        <f ca="1">IFERROR(__xludf.DUMMYFUNCTION("""COMPUTED_VALUE"""),"Cuộn")</f>
        <v>Cuộn</v>
      </c>
      <c r="G1098" s="590" t="str">
        <f ca="1">IFERROR(__xludf.DUMMYFUNCTION("""COMPUTED_VALUE"""),"Cuộn 50m")</f>
        <v>Cuộn 50m</v>
      </c>
      <c r="H1098" s="588" t="str">
        <f ca="1">IFERROR(__xludf.DUMMYFUNCTION("""COMPUTED_VALUE"""),"5")</f>
        <v>5</v>
      </c>
      <c r="I1098" s="591">
        <f ca="1">IFERROR(__xludf.DUMMYFUNCTION("""COMPUTED_VALUE"""),21.22008)</f>
        <v>21.220079999999999</v>
      </c>
      <c r="J1098" s="592" t="str">
        <f ca="1">IFERROR(__xludf.DUMMYFUNCTION("""COMPUTED_VALUE""")," 15.88 ")</f>
        <v xml:space="preserve"> 15.88 </v>
      </c>
      <c r="K1098" s="590" t="str">
        <f ca="1">IFERROR(__xludf.DUMMYFUNCTION("""COMPUTED_VALUE"""),"1.02")</f>
        <v>1.02</v>
      </c>
      <c r="L1098" s="590">
        <f ca="1">IFERROR(__xludf.DUMMYFUNCTION("""COMPUTED_VALUE"""),50)</f>
        <v>50</v>
      </c>
      <c r="M1098" s="590"/>
      <c r="N1098" s="590" t="str">
        <f ca="1">IFERROR(__xludf.DUMMYFUNCTION("""COMPUTED_VALUE"""),"Dị_D&lt;54")</f>
        <v>Dị_D&lt;54</v>
      </c>
      <c r="O1098" s="589"/>
      <c r="P1098" s="590"/>
    </row>
    <row r="1099" spans="1:17" ht="15.75">
      <c r="A1099" s="581" t="str">
        <f ca="1">IFERROR(__xludf.DUMMYFUNCTION("""COMPUTED_VALUE"""),"Hailiang")</f>
        <v>Hailiang</v>
      </c>
      <c r="B1099" s="581" t="str">
        <f ca="1">IFERROR(__xludf.DUMMYFUNCTION("""COMPUTED_VALUE"""),"ĐHLCUONTD")</f>
        <v>ĐHLCUONTD</v>
      </c>
      <c r="C1099" s="581" t="str">
        <f ca="1">IFERROR(__xludf.DUMMYFUNCTION("""COMPUTED_VALUE"""),"DOCHL158810215")</f>
        <v>DOCHL158810215</v>
      </c>
      <c r="D1099" s="582" t="str">
        <f ca="1">IFERROR(__xludf.DUMMYFUNCTION("""COMPUTED_VALUE"""),"Đồng ống Hailiang dạng cuộn 15.88mmx1.02mmx15m")</f>
        <v>Đồng ống Hailiang dạng cuộn 15.88mmx1.02mmx15m</v>
      </c>
      <c r="E1099" s="583">
        <f ca="1">IFERROR(__xludf.DUMMYFUNCTION("""COMPUTED_VALUE"""),0.1)</f>
        <v>0.1</v>
      </c>
      <c r="F1099" s="584" t="str">
        <f ca="1">IFERROR(__xludf.DUMMYFUNCTION("""COMPUTED_VALUE"""),"Cuộn")</f>
        <v>Cuộn</v>
      </c>
      <c r="G1099" s="584" t="str">
        <f ca="1">IFERROR(__xludf.DUMMYFUNCTION("""COMPUTED_VALUE"""),"Cuộn 15m")</f>
        <v>Cuộn 15m</v>
      </c>
      <c r="H1099" s="582" t="str">
        <f ca="1">IFERROR(__xludf.DUMMYFUNCTION("""COMPUTED_VALUE"""),"5")</f>
        <v>5</v>
      </c>
      <c r="I1099" s="585">
        <f ca="1">IFERROR(__xludf.DUMMYFUNCTION("""COMPUTED_VALUE"""),6.366024)</f>
        <v>6.3660240000000003</v>
      </c>
      <c r="J1099" s="586" t="str">
        <f ca="1">IFERROR(__xludf.DUMMYFUNCTION("""COMPUTED_VALUE""")," 15.88 ")</f>
        <v xml:space="preserve"> 15.88 </v>
      </c>
      <c r="K1099" s="584" t="str">
        <f ca="1">IFERROR(__xludf.DUMMYFUNCTION("""COMPUTED_VALUE"""),"1.02")</f>
        <v>1.02</v>
      </c>
      <c r="L1099" s="584">
        <f ca="1">IFERROR(__xludf.DUMMYFUNCTION("""COMPUTED_VALUE"""),15)</f>
        <v>15</v>
      </c>
      <c r="M1099" s="584"/>
      <c r="N1099" s="584" t="str">
        <f ca="1">IFERROR(__xludf.DUMMYFUNCTION("""COMPUTED_VALUE"""),"Không")</f>
        <v>Không</v>
      </c>
      <c r="O1099" s="583"/>
      <c r="P1099" s="584"/>
      <c r="Q1099" s="885">
        <f ca="1">+$Q$5*I1099</f>
        <v>1464.18552</v>
      </c>
    </row>
    <row r="1100" spans="1:17" ht="15.75">
      <c r="A1100" s="587" t="str">
        <f ca="1">IFERROR(__xludf.DUMMYFUNCTION("""COMPUTED_VALUE"""),"Hailiang")</f>
        <v>Hailiang</v>
      </c>
      <c r="B1100" s="587" t="str">
        <f ca="1">IFERROR(__xludf.DUMMYFUNCTION("""COMPUTED_VALUE"""),"ĐHLCUONDI")</f>
        <v>ĐHLCUONDI</v>
      </c>
      <c r="C1100" s="587" t="str">
        <f ca="1">IFERROR(__xludf.DUMMYFUNCTION("""COMPUTED_VALUE"""),"DOCHL160008015")</f>
        <v>DOCHL160008015</v>
      </c>
      <c r="D1100" s="588" t="str">
        <f ca="1">IFERROR(__xludf.DUMMYFUNCTION("""COMPUTED_VALUE"""),"Đồng ống Hailiang dạng cuộn 16.00mmx0.80mmx15m")</f>
        <v>Đồng ống Hailiang dạng cuộn 16.00mmx0.80mmx15m</v>
      </c>
      <c r="E1100" s="589">
        <f ca="1">IFERROR(__xludf.DUMMYFUNCTION("""COMPUTED_VALUE"""),0.1)</f>
        <v>0.1</v>
      </c>
      <c r="F1100" s="590" t="str">
        <f ca="1">IFERROR(__xludf.DUMMYFUNCTION("""COMPUTED_VALUE"""),"Cuộn")</f>
        <v>Cuộn</v>
      </c>
      <c r="G1100" s="590" t="str">
        <f ca="1">IFERROR(__xludf.DUMMYFUNCTION("""COMPUTED_VALUE"""),"Cuộn 15m")</f>
        <v>Cuộn 15m</v>
      </c>
      <c r="H1100" s="588"/>
      <c r="I1100" s="591">
        <f ca="1">IFERROR(__xludf.DUMMYFUNCTION("""COMPUTED_VALUE"""),5.1072)</f>
        <v>5.1071999999999997</v>
      </c>
      <c r="J1100" s="592" t="str">
        <f ca="1">IFERROR(__xludf.DUMMYFUNCTION("""COMPUTED_VALUE""")," 16.00 ")</f>
        <v xml:space="preserve"> 16.00 </v>
      </c>
      <c r="K1100" s="590" t="str">
        <f ca="1">IFERROR(__xludf.DUMMYFUNCTION("""COMPUTED_VALUE"""),"0.80")</f>
        <v>0.80</v>
      </c>
      <c r="L1100" s="590">
        <f ca="1">IFERROR(__xludf.DUMMYFUNCTION("""COMPUTED_VALUE"""),15)</f>
        <v>15</v>
      </c>
      <c r="M1100" s="590"/>
      <c r="N1100" s="590" t="str">
        <f ca="1">IFERROR(__xludf.DUMMYFUNCTION("""COMPUTED_VALUE"""),"Dị_D&lt;54")</f>
        <v>Dị_D&lt;54</v>
      </c>
      <c r="O1100" s="589"/>
      <c r="P1100" s="590"/>
    </row>
    <row r="1101" spans="1:17" ht="15.75">
      <c r="A1101" s="581" t="str">
        <f ca="1">IFERROR(__xludf.DUMMYFUNCTION("""COMPUTED_VALUE"""),"Hailiang")</f>
        <v>Hailiang</v>
      </c>
      <c r="B1101" s="581" t="str">
        <f ca="1">IFERROR(__xludf.DUMMYFUNCTION("""COMPUTED_VALUE"""),"ĐHLCUONDI")</f>
        <v>ĐHLCUONDI</v>
      </c>
      <c r="C1101" s="581" t="str">
        <f ca="1">IFERROR(__xludf.DUMMYFUNCTION("""COMPUTED_VALUE"""),"DOCHL190512215")</f>
        <v>DOCHL190512215</v>
      </c>
      <c r="D1101" s="582" t="str">
        <f ca="1">IFERROR(__xludf.DUMMYFUNCTION("""COMPUTED_VALUE"""),"Đồng ống Hailiang dạng cuộn 19.05mmx1.22mmx15m")</f>
        <v>Đồng ống Hailiang dạng cuộn 19.05mmx1.22mmx15m</v>
      </c>
      <c r="E1101" s="583">
        <f ca="1">IFERROR(__xludf.DUMMYFUNCTION("""COMPUTED_VALUE"""),0.1)</f>
        <v>0.1</v>
      </c>
      <c r="F1101" s="584" t="str">
        <f ca="1">IFERROR(__xludf.DUMMYFUNCTION("""COMPUTED_VALUE"""),"Cuộn")</f>
        <v>Cuộn</v>
      </c>
      <c r="G1101" s="584" t="str">
        <f ca="1">IFERROR(__xludf.DUMMYFUNCTION("""COMPUTED_VALUE"""),"Cuộn 15m")</f>
        <v>Cuộn 15m</v>
      </c>
      <c r="H1101" s="582" t="str">
        <f ca="1">IFERROR(__xludf.DUMMYFUNCTION("""COMPUTED_VALUE"""),"4")</f>
        <v>4</v>
      </c>
      <c r="I1101" s="585">
        <f ca="1">IFERROR(__xludf.DUMMYFUNCTION("""COMPUTED_VALUE"""),9.136092)</f>
        <v>9.1360919999999997</v>
      </c>
      <c r="J1101" s="586" t="str">
        <f ca="1">IFERROR(__xludf.DUMMYFUNCTION("""COMPUTED_VALUE""")," 19.05 ")</f>
        <v xml:space="preserve"> 19.05 </v>
      </c>
      <c r="K1101" s="584" t="str">
        <f ca="1">IFERROR(__xludf.DUMMYFUNCTION("""COMPUTED_VALUE"""),"1.22")</f>
        <v>1.22</v>
      </c>
      <c r="L1101" s="584">
        <f ca="1">IFERROR(__xludf.DUMMYFUNCTION("""COMPUTED_VALUE"""),15)</f>
        <v>15</v>
      </c>
      <c r="M1101" s="584"/>
      <c r="N1101" s="584" t="str">
        <f ca="1">IFERROR(__xludf.DUMMYFUNCTION("""COMPUTED_VALUE"""),"Dị_D&lt;54")</f>
        <v>Dị_D&lt;54</v>
      </c>
      <c r="O1101" s="583"/>
      <c r="P1101" s="584"/>
    </row>
    <row r="1102" spans="1:17" ht="15.75">
      <c r="A1102" s="587" t="str">
        <f ca="1">IFERROR(__xludf.DUMMYFUNCTION("""COMPUTED_VALUE"""),"Hailiang")</f>
        <v>Hailiang</v>
      </c>
      <c r="B1102" s="587" t="str">
        <f ca="1">IFERROR(__xludf.DUMMYFUNCTION("""COMPUTED_VALUE"""),"ĐHLCUONDI")</f>
        <v>ĐHLCUONDI</v>
      </c>
      <c r="C1102" s="587" t="str">
        <f ca="1">IFERROR(__xludf.DUMMYFUNCTION("""COMPUTED_VALUE"""),"DOCHL190506115")</f>
        <v>DOCHL190506115</v>
      </c>
      <c r="D1102" s="588" t="str">
        <f ca="1">IFERROR(__xludf.DUMMYFUNCTION("""COMPUTED_VALUE"""),"Đồng ống Hailiang dạng cuộn 19.05mmx0.61mmx15m")</f>
        <v>Đồng ống Hailiang dạng cuộn 19.05mmx0.61mmx15m</v>
      </c>
      <c r="E1102" s="589">
        <f ca="1">IFERROR(__xludf.DUMMYFUNCTION("""COMPUTED_VALUE"""),0.1)</f>
        <v>0.1</v>
      </c>
      <c r="F1102" s="590" t="str">
        <f ca="1">IFERROR(__xludf.DUMMYFUNCTION("""COMPUTED_VALUE"""),"Cuộn")</f>
        <v>Cuộn</v>
      </c>
      <c r="G1102" s="590" t="str">
        <f ca="1">IFERROR(__xludf.DUMMYFUNCTION("""COMPUTED_VALUE"""),"Cuộn 15m")</f>
        <v>Cuộn 15m</v>
      </c>
      <c r="H1102" s="588" t="str">
        <f ca="1">IFERROR(__xludf.DUMMYFUNCTION("""COMPUTED_VALUE"""),"4")</f>
        <v>4</v>
      </c>
      <c r="I1102" s="591">
        <f ca="1">IFERROR(__xludf.DUMMYFUNCTION("""COMPUTED_VALUE"""),4.724328)</f>
        <v>4.7243279999999999</v>
      </c>
      <c r="J1102" s="592" t="str">
        <f ca="1">IFERROR(__xludf.DUMMYFUNCTION("""COMPUTED_VALUE""")," 19.05 ")</f>
        <v xml:space="preserve"> 19.05 </v>
      </c>
      <c r="K1102" s="590" t="str">
        <f ca="1">IFERROR(__xludf.DUMMYFUNCTION("""COMPUTED_VALUE"""),"0.61")</f>
        <v>0.61</v>
      </c>
      <c r="L1102" s="590">
        <f ca="1">IFERROR(__xludf.DUMMYFUNCTION("""COMPUTED_VALUE"""),15)</f>
        <v>15</v>
      </c>
      <c r="M1102" s="590"/>
      <c r="N1102" s="590" t="str">
        <f ca="1">IFERROR(__xludf.DUMMYFUNCTION("""COMPUTED_VALUE"""),"Dị_D&lt;54")</f>
        <v>Dị_D&lt;54</v>
      </c>
      <c r="O1102" s="589"/>
      <c r="P1102" s="590"/>
    </row>
    <row r="1103" spans="1:17" ht="15.75">
      <c r="A1103" s="581" t="str">
        <f ca="1">IFERROR(__xludf.DUMMYFUNCTION("""COMPUTED_VALUE"""),"Hailiang")</f>
        <v>Hailiang</v>
      </c>
      <c r="B1103" s="581" t="str">
        <f ca="1">IFERROR(__xludf.DUMMYFUNCTION("""COMPUTED_VALUE"""),"ĐHLCUONDI")</f>
        <v>ĐHLCUONDI</v>
      </c>
      <c r="C1103" s="581" t="str">
        <f ca="1">IFERROR(__xludf.DUMMYFUNCTION("""COMPUTED_VALUE"""),"DOCHL190506515")</f>
        <v>DOCHL190506515</v>
      </c>
      <c r="D1103" s="582" t="str">
        <f ca="1">IFERROR(__xludf.DUMMYFUNCTION("""COMPUTED_VALUE"""),"Đồng ống Hailiang dạng cuộn 19.05mmx0.65mmx15m")</f>
        <v>Đồng ống Hailiang dạng cuộn 19.05mmx0.65mmx15m</v>
      </c>
      <c r="E1103" s="583">
        <f ca="1">IFERROR(__xludf.DUMMYFUNCTION("""COMPUTED_VALUE"""),0.1)</f>
        <v>0.1</v>
      </c>
      <c r="F1103" s="584" t="str">
        <f ca="1">IFERROR(__xludf.DUMMYFUNCTION("""COMPUTED_VALUE"""),"Cuộn")</f>
        <v>Cuộn</v>
      </c>
      <c r="G1103" s="584" t="str">
        <f ca="1">IFERROR(__xludf.DUMMYFUNCTION("""COMPUTED_VALUE"""),"Cuộn 15m")</f>
        <v>Cuộn 15m</v>
      </c>
      <c r="H1103" s="582" t="str">
        <f ca="1">IFERROR(__xludf.DUMMYFUNCTION("""COMPUTED_VALUE"""),"4")</f>
        <v>4</v>
      </c>
      <c r="I1103" s="585">
        <f ca="1">IFERROR(__xludf.DUMMYFUNCTION("""COMPUTED_VALUE"""),5.0232)</f>
        <v>5.0232000000000001</v>
      </c>
      <c r="J1103" s="586" t="str">
        <f ca="1">IFERROR(__xludf.DUMMYFUNCTION("""COMPUTED_VALUE""")," 19.05 ")</f>
        <v xml:space="preserve"> 19.05 </v>
      </c>
      <c r="K1103" s="584" t="str">
        <f ca="1">IFERROR(__xludf.DUMMYFUNCTION("""COMPUTED_VALUE"""),"0.65")</f>
        <v>0.65</v>
      </c>
      <c r="L1103" s="584">
        <f ca="1">IFERROR(__xludf.DUMMYFUNCTION("""COMPUTED_VALUE"""),15)</f>
        <v>15</v>
      </c>
      <c r="M1103" s="584"/>
      <c r="N1103" s="584" t="str">
        <f ca="1">IFERROR(__xludf.DUMMYFUNCTION("""COMPUTED_VALUE"""),"Dị_D&lt;54")</f>
        <v>Dị_D&lt;54</v>
      </c>
      <c r="O1103" s="583"/>
      <c r="P1103" s="584"/>
    </row>
    <row r="1104" spans="1:17" ht="15.75">
      <c r="A1104" s="587" t="str">
        <f ca="1">IFERROR(__xludf.DUMMYFUNCTION("""COMPUTED_VALUE"""),"Hailiang")</f>
        <v>Hailiang</v>
      </c>
      <c r="B1104" s="587" t="str">
        <f ca="1">IFERROR(__xludf.DUMMYFUNCTION("""COMPUTED_VALUE"""),"ĐHLCUONDI")</f>
        <v>ĐHLCUONDI</v>
      </c>
      <c r="C1104" s="587" t="str">
        <f ca="1">IFERROR(__xludf.DUMMYFUNCTION("""COMPUTED_VALUE"""),"DOCHL190507015")</f>
        <v>DOCHL190507015</v>
      </c>
      <c r="D1104" s="588" t="str">
        <f ca="1">IFERROR(__xludf.DUMMYFUNCTION("""COMPUTED_VALUE"""),"Đồng ống Hailiang dạng cuộn 19.05mmx0.70mmx15m")</f>
        <v>Đồng ống Hailiang dạng cuộn 19.05mmx0.70mmx15m</v>
      </c>
      <c r="E1104" s="589">
        <f ca="1">IFERROR(__xludf.DUMMYFUNCTION("""COMPUTED_VALUE"""),0.1)</f>
        <v>0.1</v>
      </c>
      <c r="F1104" s="590" t="str">
        <f ca="1">IFERROR(__xludf.DUMMYFUNCTION("""COMPUTED_VALUE"""),"Cuộn")</f>
        <v>Cuộn</v>
      </c>
      <c r="G1104" s="590" t="str">
        <f ca="1">IFERROR(__xludf.DUMMYFUNCTION("""COMPUTED_VALUE"""),"Cuộn 15m")</f>
        <v>Cuộn 15m</v>
      </c>
      <c r="H1104" s="588" t="str">
        <f ca="1">IFERROR(__xludf.DUMMYFUNCTION("""COMPUTED_VALUE"""),"4")</f>
        <v>4</v>
      </c>
      <c r="I1104" s="591">
        <f ca="1">IFERROR(__xludf.DUMMYFUNCTION("""COMPUTED_VALUE"""),5.3949)</f>
        <v>5.3948999999999998</v>
      </c>
      <c r="J1104" s="592" t="str">
        <f ca="1">IFERROR(__xludf.DUMMYFUNCTION("""COMPUTED_VALUE""")," 19.05 ")</f>
        <v xml:space="preserve"> 19.05 </v>
      </c>
      <c r="K1104" s="590" t="str">
        <f ca="1">IFERROR(__xludf.DUMMYFUNCTION("""COMPUTED_VALUE"""),"0.70")</f>
        <v>0.70</v>
      </c>
      <c r="L1104" s="590">
        <f ca="1">IFERROR(__xludf.DUMMYFUNCTION("""COMPUTED_VALUE"""),15)</f>
        <v>15</v>
      </c>
      <c r="M1104" s="590"/>
      <c r="N1104" s="590" t="str">
        <f ca="1">IFERROR(__xludf.DUMMYFUNCTION("""COMPUTED_VALUE"""),"Dị_D&lt;54")</f>
        <v>Dị_D&lt;54</v>
      </c>
      <c r="O1104" s="589"/>
      <c r="P1104" s="590"/>
    </row>
    <row r="1105" spans="1:17" ht="15.75">
      <c r="A1105" s="581" t="str">
        <f ca="1">IFERROR(__xludf.DUMMYFUNCTION("""COMPUTED_VALUE"""),"Hailiang")</f>
        <v>Hailiang</v>
      </c>
      <c r="B1105" s="581" t="str">
        <f ca="1">IFERROR(__xludf.DUMMYFUNCTION("""COMPUTED_VALUE"""),"ĐHLCUONDI")</f>
        <v>ĐHLCUONDI</v>
      </c>
      <c r="C1105" s="581" t="str">
        <f ca="1">IFERROR(__xludf.DUMMYFUNCTION("""COMPUTED_VALUE"""),"DOCHL190507115")</f>
        <v>DOCHL190507115</v>
      </c>
      <c r="D1105" s="582" t="str">
        <f ca="1">IFERROR(__xludf.DUMMYFUNCTION("""COMPUTED_VALUE"""),"Đồng ống Hailiang dạng cuộn 19.05mmx0.71mmx15m")</f>
        <v>Đồng ống Hailiang dạng cuộn 19.05mmx0.71mmx15m</v>
      </c>
      <c r="E1105" s="583">
        <f ca="1">IFERROR(__xludf.DUMMYFUNCTION("""COMPUTED_VALUE"""),0.1)</f>
        <v>0.1</v>
      </c>
      <c r="F1105" s="584" t="str">
        <f ca="1">IFERROR(__xludf.DUMMYFUNCTION("""COMPUTED_VALUE"""),"Cuộn")</f>
        <v>Cuộn</v>
      </c>
      <c r="G1105" s="584" t="str">
        <f ca="1">IFERROR(__xludf.DUMMYFUNCTION("""COMPUTED_VALUE"""),"Cuộn 15m")</f>
        <v>Cuộn 15m</v>
      </c>
      <c r="H1105" s="582" t="str">
        <f ca="1">IFERROR(__xludf.DUMMYFUNCTION("""COMPUTED_VALUE"""),"4")</f>
        <v>4</v>
      </c>
      <c r="I1105" s="585">
        <f ca="1">IFERROR(__xludf.DUMMYFUNCTION("""COMPUTED_VALUE"""),5.468988)</f>
        <v>5.4689880000000004</v>
      </c>
      <c r="J1105" s="586" t="str">
        <f ca="1">IFERROR(__xludf.DUMMYFUNCTION("""COMPUTED_VALUE""")," 19.05 ")</f>
        <v xml:space="preserve"> 19.05 </v>
      </c>
      <c r="K1105" s="584" t="str">
        <f ca="1">IFERROR(__xludf.DUMMYFUNCTION("""COMPUTED_VALUE"""),"0.71")</f>
        <v>0.71</v>
      </c>
      <c r="L1105" s="584">
        <f ca="1">IFERROR(__xludf.DUMMYFUNCTION("""COMPUTED_VALUE"""),15)</f>
        <v>15</v>
      </c>
      <c r="M1105" s="584"/>
      <c r="N1105" s="584" t="str">
        <f ca="1">IFERROR(__xludf.DUMMYFUNCTION("""COMPUTED_VALUE"""),"Dị_D&lt;54")</f>
        <v>Dị_D&lt;54</v>
      </c>
      <c r="O1105" s="583"/>
      <c r="P1105" s="584"/>
    </row>
    <row r="1106" spans="1:17" ht="15.75">
      <c r="A1106" s="587" t="str">
        <f ca="1">IFERROR(__xludf.DUMMYFUNCTION("""COMPUTED_VALUE"""),"Hailiang")</f>
        <v>Hailiang</v>
      </c>
      <c r="B1106" s="587" t="str">
        <f ca="1">IFERROR(__xludf.DUMMYFUNCTION("""COMPUTED_VALUE"""),"ĐHLCUONDI")</f>
        <v>ĐHLCUONDI</v>
      </c>
      <c r="C1106" s="587" t="str">
        <f ca="1">IFERROR(__xludf.DUMMYFUNCTION("""COMPUTED_VALUE"""),"DOCHL190507515")</f>
        <v>DOCHL190507515</v>
      </c>
      <c r="D1106" s="588" t="str">
        <f ca="1">IFERROR(__xludf.DUMMYFUNCTION("""COMPUTED_VALUE"""),"Đồng ống Hailiang dạng cuộn 19.05mmx0.75mmx15m")</f>
        <v>Đồng ống Hailiang dạng cuộn 19.05mmx0.75mmx15m</v>
      </c>
      <c r="E1106" s="589">
        <f ca="1">IFERROR(__xludf.DUMMYFUNCTION("""COMPUTED_VALUE"""),0.1)</f>
        <v>0.1</v>
      </c>
      <c r="F1106" s="590" t="str">
        <f ca="1">IFERROR(__xludf.DUMMYFUNCTION("""COMPUTED_VALUE"""),"Cuộn")</f>
        <v>Cuộn</v>
      </c>
      <c r="G1106" s="590" t="str">
        <f ca="1">IFERROR(__xludf.DUMMYFUNCTION("""COMPUTED_VALUE"""),"Cuộn 15m")</f>
        <v>Cuộn 15m</v>
      </c>
      <c r="H1106" s="588" t="str">
        <f ca="1">IFERROR(__xludf.DUMMYFUNCTION("""COMPUTED_VALUE"""),"4")</f>
        <v>4</v>
      </c>
      <c r="I1106" s="591">
        <f ca="1">IFERROR(__xludf.DUMMYFUNCTION("""COMPUTED_VALUE"""),5.7645)</f>
        <v>5.7645</v>
      </c>
      <c r="J1106" s="592" t="str">
        <f ca="1">IFERROR(__xludf.DUMMYFUNCTION("""COMPUTED_VALUE""")," 19.05 ")</f>
        <v xml:space="preserve"> 19.05 </v>
      </c>
      <c r="K1106" s="590" t="str">
        <f ca="1">IFERROR(__xludf.DUMMYFUNCTION("""COMPUTED_VALUE"""),"0.75")</f>
        <v>0.75</v>
      </c>
      <c r="L1106" s="590">
        <f ca="1">IFERROR(__xludf.DUMMYFUNCTION("""COMPUTED_VALUE"""),15)</f>
        <v>15</v>
      </c>
      <c r="M1106" s="590"/>
      <c r="N1106" s="590" t="str">
        <f ca="1">IFERROR(__xludf.DUMMYFUNCTION("""COMPUTED_VALUE"""),"Dị_D&lt;54")</f>
        <v>Dị_D&lt;54</v>
      </c>
      <c r="O1106" s="589"/>
      <c r="P1106" s="590"/>
    </row>
    <row r="1107" spans="1:17" ht="15.75">
      <c r="A1107" s="581" t="str">
        <f ca="1">IFERROR(__xludf.DUMMYFUNCTION("""COMPUTED_VALUE"""),"Hailiang")</f>
        <v>Hailiang</v>
      </c>
      <c r="B1107" s="581" t="str">
        <f ca="1">IFERROR(__xludf.DUMMYFUNCTION("""COMPUTED_VALUE"""),"ĐHLCUONDI")</f>
        <v>ĐHLCUONDI</v>
      </c>
      <c r="C1107" s="581" t="str">
        <f ca="1">IFERROR(__xludf.DUMMYFUNCTION("""COMPUTED_VALUE"""),"DOCHL190508015")</f>
        <v>DOCHL190508015</v>
      </c>
      <c r="D1107" s="582" t="str">
        <f ca="1">IFERROR(__xludf.DUMMYFUNCTION("""COMPUTED_VALUE"""),"Đồng ống Hailiang dạng cuộn 19.05mmx0.80mmx15m")</f>
        <v>Đồng ống Hailiang dạng cuộn 19.05mmx0.80mmx15m</v>
      </c>
      <c r="E1107" s="583">
        <f ca="1">IFERROR(__xludf.DUMMYFUNCTION("""COMPUTED_VALUE"""),0.1)</f>
        <v>0.1</v>
      </c>
      <c r="F1107" s="584" t="str">
        <f ca="1">IFERROR(__xludf.DUMMYFUNCTION("""COMPUTED_VALUE"""),"Cuộn")</f>
        <v>Cuộn</v>
      </c>
      <c r="G1107" s="584" t="str">
        <f ca="1">IFERROR(__xludf.DUMMYFUNCTION("""COMPUTED_VALUE"""),"Cuộn 15m")</f>
        <v>Cuộn 15m</v>
      </c>
      <c r="H1107" s="582" t="str">
        <f ca="1">IFERROR(__xludf.DUMMYFUNCTION("""COMPUTED_VALUE"""),"4")</f>
        <v>4</v>
      </c>
      <c r="I1107" s="585">
        <f ca="1">IFERROR(__xludf.DUMMYFUNCTION("""COMPUTED_VALUE"""),6.132)</f>
        <v>6.1319999999999997</v>
      </c>
      <c r="J1107" s="586" t="str">
        <f ca="1">IFERROR(__xludf.DUMMYFUNCTION("""COMPUTED_VALUE""")," 19.05 ")</f>
        <v xml:space="preserve"> 19.05 </v>
      </c>
      <c r="K1107" s="584" t="str">
        <f ca="1">IFERROR(__xludf.DUMMYFUNCTION("""COMPUTED_VALUE"""),"0.80")</f>
        <v>0.80</v>
      </c>
      <c r="L1107" s="584">
        <f ca="1">IFERROR(__xludf.DUMMYFUNCTION("""COMPUTED_VALUE"""),15)</f>
        <v>15</v>
      </c>
      <c r="M1107" s="584"/>
      <c r="N1107" s="584" t="str">
        <f ca="1">IFERROR(__xludf.DUMMYFUNCTION("""COMPUTED_VALUE"""),"Dị_D&lt;54")</f>
        <v>Dị_D&lt;54</v>
      </c>
      <c r="O1107" s="583"/>
      <c r="P1107" s="584"/>
    </row>
    <row r="1108" spans="1:17" ht="15.75">
      <c r="A1108" s="587" t="str">
        <f ca="1">IFERROR(__xludf.DUMMYFUNCTION("""COMPUTED_VALUE"""),"Hailiang")</f>
        <v>Hailiang</v>
      </c>
      <c r="B1108" s="587" t="str">
        <f ca="1">IFERROR(__xludf.DUMMYFUNCTION("""COMPUTED_VALUE"""),"ĐHLCUONTD")</f>
        <v>ĐHLCUONTD</v>
      </c>
      <c r="C1108" s="587" t="str">
        <f ca="1">IFERROR(__xludf.DUMMYFUNCTION("""COMPUTED_VALUE"""),"DOCHL190508115")</f>
        <v>DOCHL190508115</v>
      </c>
      <c r="D1108" s="588" t="str">
        <f ca="1">IFERROR(__xludf.DUMMYFUNCTION("""COMPUTED_VALUE"""),"Đồng ống Hailiang dạng cuộn 19.05mmx0.81mmx15m")</f>
        <v>Đồng ống Hailiang dạng cuộn 19.05mmx0.81mmx15m</v>
      </c>
      <c r="E1108" s="589">
        <f ca="1">IFERROR(__xludf.DUMMYFUNCTION("""COMPUTED_VALUE"""),0.1)</f>
        <v>0.1</v>
      </c>
      <c r="F1108" s="590" t="str">
        <f ca="1">IFERROR(__xludf.DUMMYFUNCTION("""COMPUTED_VALUE"""),"Cuộn")</f>
        <v>Cuộn</v>
      </c>
      <c r="G1108" s="590" t="str">
        <f ca="1">IFERROR(__xludf.DUMMYFUNCTION("""COMPUTED_VALUE"""),"Cuộn 15m")</f>
        <v>Cuộn 15m</v>
      </c>
      <c r="H1108" s="588" t="str">
        <f ca="1">IFERROR(__xludf.DUMMYFUNCTION("""COMPUTED_VALUE"""),"4")</f>
        <v>4</v>
      </c>
      <c r="I1108" s="591">
        <f ca="1">IFERROR(__xludf.DUMMYFUNCTION("""COMPUTED_VALUE"""),6.205248)</f>
        <v>6.2052480000000001</v>
      </c>
      <c r="J1108" s="592" t="str">
        <f ca="1">IFERROR(__xludf.DUMMYFUNCTION("""COMPUTED_VALUE""")," 19.05 ")</f>
        <v xml:space="preserve"> 19.05 </v>
      </c>
      <c r="K1108" s="590" t="str">
        <f ca="1">IFERROR(__xludf.DUMMYFUNCTION("""COMPUTED_VALUE"""),"0.81")</f>
        <v>0.81</v>
      </c>
      <c r="L1108" s="590">
        <f ca="1">IFERROR(__xludf.DUMMYFUNCTION("""COMPUTED_VALUE"""),15)</f>
        <v>15</v>
      </c>
      <c r="M1108" s="590"/>
      <c r="N1108" s="590" t="str">
        <f ca="1">IFERROR(__xludf.DUMMYFUNCTION("""COMPUTED_VALUE"""),"Không")</f>
        <v>Không</v>
      </c>
      <c r="O1108" s="589"/>
      <c r="P1108" s="590"/>
      <c r="Q1108" s="885">
        <f ca="1">+$Q$5*I1108</f>
        <v>1427.2070399999998</v>
      </c>
    </row>
    <row r="1109" spans="1:17" ht="15.75">
      <c r="A1109" s="581" t="str">
        <f ca="1">IFERROR(__xludf.DUMMYFUNCTION("""COMPUTED_VALUE"""),"Hailiang")</f>
        <v>Hailiang</v>
      </c>
      <c r="B1109" s="581" t="str">
        <f ca="1">IFERROR(__xludf.DUMMYFUNCTION("""COMPUTED_VALUE"""),"ĐHLCUONDI")</f>
        <v>ĐHLCUONDI</v>
      </c>
      <c r="C1109" s="581" t="str">
        <f ca="1">IFERROR(__xludf.DUMMYFUNCTION("""COMPUTED_VALUE"""),"DOCHL190509115")</f>
        <v>DOCHL190509115</v>
      </c>
      <c r="D1109" s="582" t="str">
        <f ca="1">IFERROR(__xludf.DUMMYFUNCTION("""COMPUTED_VALUE"""),"Đồng ống Hailiang dạng cuộn 19.05mmx0.91mmx15m")</f>
        <v>Đồng ống Hailiang dạng cuộn 19.05mmx0.91mmx15m</v>
      </c>
      <c r="E1109" s="583">
        <f ca="1">IFERROR(__xludf.DUMMYFUNCTION("""COMPUTED_VALUE"""),0.1)</f>
        <v>0.1</v>
      </c>
      <c r="F1109" s="584" t="str">
        <f ca="1">IFERROR(__xludf.DUMMYFUNCTION("""COMPUTED_VALUE"""),"Cuộn")</f>
        <v>Cuộn</v>
      </c>
      <c r="G1109" s="584" t="str">
        <f ca="1">IFERROR(__xludf.DUMMYFUNCTION("""COMPUTED_VALUE"""),"Cuộn 15m")</f>
        <v>Cuộn 15m</v>
      </c>
      <c r="H1109" s="582" t="str">
        <f ca="1">IFERROR(__xludf.DUMMYFUNCTION("""COMPUTED_VALUE"""),"4")</f>
        <v>4</v>
      </c>
      <c r="I1109" s="585">
        <f ca="1">IFERROR(__xludf.DUMMYFUNCTION("""COMPUTED_VALUE"""),6.933108)</f>
        <v>6.9331079999999998</v>
      </c>
      <c r="J1109" s="586" t="str">
        <f ca="1">IFERROR(__xludf.DUMMYFUNCTION("""COMPUTED_VALUE""")," 19.05 ")</f>
        <v xml:space="preserve"> 19.05 </v>
      </c>
      <c r="K1109" s="584" t="str">
        <f ca="1">IFERROR(__xludf.DUMMYFUNCTION("""COMPUTED_VALUE"""),"0.91")</f>
        <v>0.91</v>
      </c>
      <c r="L1109" s="584">
        <f ca="1">IFERROR(__xludf.DUMMYFUNCTION("""COMPUTED_VALUE"""),15)</f>
        <v>15</v>
      </c>
      <c r="M1109" s="584"/>
      <c r="N1109" s="584" t="str">
        <f ca="1">IFERROR(__xludf.DUMMYFUNCTION("""COMPUTED_VALUE"""),"Dị_D&lt;54")</f>
        <v>Dị_D&lt;54</v>
      </c>
      <c r="O1109" s="583"/>
      <c r="P1109" s="584"/>
    </row>
    <row r="1110" spans="1:17" ht="15.75">
      <c r="A1110" s="587" t="str">
        <f ca="1">IFERROR(__xludf.DUMMYFUNCTION("""COMPUTED_VALUE"""),"Hailiang")</f>
        <v>Hailiang</v>
      </c>
      <c r="B1110" s="587" t="str">
        <f ca="1">IFERROR(__xludf.DUMMYFUNCTION("""COMPUTED_VALUE"""),"ĐHLCUONDI")</f>
        <v>ĐHLCUONDI</v>
      </c>
      <c r="C1110" s="587" t="str">
        <f ca="1">IFERROR(__xludf.DUMMYFUNCTION("""COMPUTED_VALUE"""),"DOCHL19051015")</f>
        <v>DOCHL19051015</v>
      </c>
      <c r="D1110" s="588" t="str">
        <f ca="1">IFERROR(__xludf.DUMMYFUNCTION("""COMPUTED_VALUE"""),"Đồng ống Hailiang dạng cuộn 19.05mmx1.0mmx15m")</f>
        <v>Đồng ống Hailiang dạng cuộn 19.05mmx1.0mmx15m</v>
      </c>
      <c r="E1110" s="589">
        <f ca="1">IFERROR(__xludf.DUMMYFUNCTION("""COMPUTED_VALUE"""),0.1)</f>
        <v>0.1</v>
      </c>
      <c r="F1110" s="590" t="str">
        <f ca="1">IFERROR(__xludf.DUMMYFUNCTION("""COMPUTED_VALUE"""),"Cuộn")</f>
        <v>Cuộn</v>
      </c>
      <c r="G1110" s="590" t="str">
        <f ca="1">IFERROR(__xludf.DUMMYFUNCTION("""COMPUTED_VALUE"""),"Cuộn 15m")</f>
        <v>Cuộn 15m</v>
      </c>
      <c r="H1110" s="588" t="str">
        <f ca="1">IFERROR(__xludf.DUMMYFUNCTION("""COMPUTED_VALUE"""),"4")</f>
        <v>4</v>
      </c>
      <c r="I1110" s="591">
        <f ca="1">IFERROR(__xludf.DUMMYFUNCTION("""COMPUTED_VALUE"""),7.581)</f>
        <v>7.5810000000000004</v>
      </c>
      <c r="J1110" s="592" t="str">
        <f ca="1">IFERROR(__xludf.DUMMYFUNCTION("""COMPUTED_VALUE""")," 19.05 ")</f>
        <v xml:space="preserve"> 19.05 </v>
      </c>
      <c r="K1110" s="590" t="str">
        <f ca="1">IFERROR(__xludf.DUMMYFUNCTION("""COMPUTED_VALUE"""),"1.00")</f>
        <v>1.00</v>
      </c>
      <c r="L1110" s="590">
        <f ca="1">IFERROR(__xludf.DUMMYFUNCTION("""COMPUTED_VALUE"""),15)</f>
        <v>15</v>
      </c>
      <c r="M1110" s="590"/>
      <c r="N1110" s="590" t="str">
        <f ca="1">IFERROR(__xludf.DUMMYFUNCTION("""COMPUTED_VALUE"""),"Dị_D&lt;54")</f>
        <v>Dị_D&lt;54</v>
      </c>
      <c r="O1110" s="589"/>
      <c r="P1110" s="590"/>
    </row>
    <row r="1111" spans="1:17" ht="15.75">
      <c r="A1111" s="581" t="str">
        <f ca="1">IFERROR(__xludf.DUMMYFUNCTION("""COMPUTED_VALUE"""),"Hailiang")</f>
        <v>Hailiang</v>
      </c>
      <c r="B1111" s="581" t="str">
        <f ca="1">IFERROR(__xludf.DUMMYFUNCTION("""COMPUTED_VALUE"""),"ĐHLCUONTD")</f>
        <v>ĐHLCUONTD</v>
      </c>
      <c r="C1111" s="581" t="str">
        <f ca="1">IFERROR(__xludf.DUMMYFUNCTION("""COMPUTED_VALUE"""),"DOCHL190510215")</f>
        <v>DOCHL190510215</v>
      </c>
      <c r="D1111" s="582" t="str">
        <f ca="1">IFERROR(__xludf.DUMMYFUNCTION("""COMPUTED_VALUE"""),"Đồng ống Hailiang dạng cuộn 19.05mmx1.02mmx15m")</f>
        <v>Đồng ống Hailiang dạng cuộn 19.05mmx1.02mmx15m</v>
      </c>
      <c r="E1111" s="583">
        <f ca="1">IFERROR(__xludf.DUMMYFUNCTION("""COMPUTED_VALUE"""),0.1)</f>
        <v>0.1</v>
      </c>
      <c r="F1111" s="584" t="str">
        <f ca="1">IFERROR(__xludf.DUMMYFUNCTION("""COMPUTED_VALUE"""),"Cuộn")</f>
        <v>Cuộn</v>
      </c>
      <c r="G1111" s="584" t="str">
        <f ca="1">IFERROR(__xludf.DUMMYFUNCTION("""COMPUTED_VALUE"""),"Cuộn 15m")</f>
        <v>Cuộn 15m</v>
      </c>
      <c r="H1111" s="582" t="str">
        <f ca="1">IFERROR(__xludf.DUMMYFUNCTION("""COMPUTED_VALUE"""),"4")</f>
        <v>4</v>
      </c>
      <c r="I1111" s="585">
        <f ca="1">IFERROR(__xludf.DUMMYFUNCTION("""COMPUTED_VALUE"""),7.724052)</f>
        <v>7.7240520000000004</v>
      </c>
      <c r="J1111" s="586" t="str">
        <f ca="1">IFERROR(__xludf.DUMMYFUNCTION("""COMPUTED_VALUE""")," 19.05 ")</f>
        <v xml:space="preserve"> 19.05 </v>
      </c>
      <c r="K1111" s="584" t="str">
        <f ca="1">IFERROR(__xludf.DUMMYFUNCTION("""COMPUTED_VALUE"""),"1.02")</f>
        <v>1.02</v>
      </c>
      <c r="L1111" s="584">
        <f ca="1">IFERROR(__xludf.DUMMYFUNCTION("""COMPUTED_VALUE"""),15)</f>
        <v>15</v>
      </c>
      <c r="M1111" s="584"/>
      <c r="N1111" s="584" t="str">
        <f ca="1">IFERROR(__xludf.DUMMYFUNCTION("""COMPUTED_VALUE"""),"Không")</f>
        <v>Không</v>
      </c>
      <c r="O1111" s="583"/>
      <c r="P1111" s="584"/>
      <c r="Q1111" s="885">
        <f ca="1">+$Q$5*I1111</f>
        <v>1776.5319599999998</v>
      </c>
    </row>
    <row r="1112" spans="1:17" ht="15.75">
      <c r="A1112" s="587" t="str">
        <f ca="1">IFERROR(__xludf.DUMMYFUNCTION("""COMPUTED_VALUE"""),"Hailiang")</f>
        <v>Hailiang</v>
      </c>
      <c r="B1112" s="587" t="str">
        <f ca="1">IFERROR(__xludf.DUMMYFUNCTION("""COMPUTED_VALUE"""),"ĐHLCUONDI")</f>
        <v>ĐHLCUONDI</v>
      </c>
      <c r="C1112" s="587" t="str">
        <f ca="1">IFERROR(__xludf.DUMMYFUNCTION("""COMPUTED_VALUE"""),"DOCHL190510715")</f>
        <v>DOCHL190510715</v>
      </c>
      <c r="D1112" s="588" t="str">
        <f ca="1">IFERROR(__xludf.DUMMYFUNCTION("""COMPUTED_VALUE"""),"Đồng ống Hailiang dạng cuộn 19.05mmx1.07mmx15m")</f>
        <v>Đồng ống Hailiang dạng cuộn 19.05mmx1.07mmx15m</v>
      </c>
      <c r="E1112" s="589">
        <f ca="1">IFERROR(__xludf.DUMMYFUNCTION("""COMPUTED_VALUE"""),0.1)</f>
        <v>0.1</v>
      </c>
      <c r="F1112" s="590" t="str">
        <f ca="1">IFERROR(__xludf.DUMMYFUNCTION("""COMPUTED_VALUE"""),"Cuộn")</f>
        <v>Cuộn</v>
      </c>
      <c r="G1112" s="590" t="str">
        <f ca="1">IFERROR(__xludf.DUMMYFUNCTION("""COMPUTED_VALUE"""),"Cuộn 15m")</f>
        <v>Cuộn 15m</v>
      </c>
      <c r="H1112" s="588" t="str">
        <f ca="1">IFERROR(__xludf.DUMMYFUNCTION("""COMPUTED_VALUE"""),"4")</f>
        <v>4</v>
      </c>
      <c r="I1112" s="591">
        <f ca="1">IFERROR(__xludf.DUMMYFUNCTION("""COMPUTED_VALUE"""),8.080212)</f>
        <v>8.0802119999999995</v>
      </c>
      <c r="J1112" s="592" t="str">
        <f ca="1">IFERROR(__xludf.DUMMYFUNCTION("""COMPUTED_VALUE""")," 19.05 ")</f>
        <v xml:space="preserve"> 19.05 </v>
      </c>
      <c r="K1112" s="590" t="str">
        <f ca="1">IFERROR(__xludf.DUMMYFUNCTION("""COMPUTED_VALUE"""),"1.07")</f>
        <v>1.07</v>
      </c>
      <c r="L1112" s="590">
        <f ca="1">IFERROR(__xludf.DUMMYFUNCTION("""COMPUTED_VALUE"""),15)</f>
        <v>15</v>
      </c>
      <c r="M1112" s="590"/>
      <c r="N1112" s="590" t="str">
        <f ca="1">IFERROR(__xludf.DUMMYFUNCTION("""COMPUTED_VALUE"""),"Dị_D&lt;54")</f>
        <v>Dị_D&lt;54</v>
      </c>
      <c r="O1112" s="589"/>
      <c r="P1112" s="590"/>
    </row>
    <row r="1113" spans="1:17" ht="15.75">
      <c r="A1113" s="581" t="str">
        <f ca="1">IFERROR(__xludf.DUMMYFUNCTION("""COMPUTED_VALUE"""),"Hailiang")</f>
        <v>Hailiang</v>
      </c>
      <c r="B1113" s="581" t="str">
        <f ca="1">IFERROR(__xludf.DUMMYFUNCTION("""COMPUTED_VALUE"""),"ĐHLCUONDI")</f>
        <v>ĐHLCUONDI</v>
      </c>
      <c r="C1113" s="581" t="str">
        <f ca="1">IFERROR(__xludf.DUMMYFUNCTION("""COMPUTED_VALUE"""),"DOCHL190511015")</f>
        <v>DOCHL190511015</v>
      </c>
      <c r="D1113" s="582" t="str">
        <f ca="1">IFERROR(__xludf.DUMMYFUNCTION("""COMPUTED_VALUE"""),"Đồng ống Hailiang dạng cuộn 19.05mmx1.10mmx15m")</f>
        <v>Đồng ống Hailiang dạng cuộn 19.05mmx1.10mmx15m</v>
      </c>
      <c r="E1113" s="583">
        <f ca="1">IFERROR(__xludf.DUMMYFUNCTION("""COMPUTED_VALUE"""),0.1)</f>
        <v>0.1</v>
      </c>
      <c r="F1113" s="584" t="str">
        <f ca="1">IFERROR(__xludf.DUMMYFUNCTION("""COMPUTED_VALUE"""),"Cuộn")</f>
        <v>Cuộn</v>
      </c>
      <c r="G1113" s="584" t="str">
        <f ca="1">IFERROR(__xludf.DUMMYFUNCTION("""COMPUTED_VALUE"""),"Cuộn 15m")</f>
        <v>Cuộn 15m</v>
      </c>
      <c r="H1113" s="582" t="str">
        <f ca="1">IFERROR(__xludf.DUMMYFUNCTION("""COMPUTED_VALUE"""),"4")</f>
        <v>4</v>
      </c>
      <c r="I1113" s="585">
        <f ca="1">IFERROR(__xludf.DUMMYFUNCTION("""COMPUTED_VALUE"""),8.2929)</f>
        <v>8.2928999999999995</v>
      </c>
      <c r="J1113" s="586" t="str">
        <f ca="1">IFERROR(__xludf.DUMMYFUNCTION("""COMPUTED_VALUE""")," 19.05 ")</f>
        <v xml:space="preserve"> 19.05 </v>
      </c>
      <c r="K1113" s="584" t="str">
        <f ca="1">IFERROR(__xludf.DUMMYFUNCTION("""COMPUTED_VALUE"""),"1.10")</f>
        <v>1.10</v>
      </c>
      <c r="L1113" s="584">
        <f ca="1">IFERROR(__xludf.DUMMYFUNCTION("""COMPUTED_VALUE"""),15)</f>
        <v>15</v>
      </c>
      <c r="M1113" s="584"/>
      <c r="N1113" s="584" t="str">
        <f ca="1">IFERROR(__xludf.DUMMYFUNCTION("""COMPUTED_VALUE"""),"Dị_D&lt;54")</f>
        <v>Dị_D&lt;54</v>
      </c>
      <c r="O1113" s="583"/>
      <c r="P1113" s="584"/>
    </row>
    <row r="1114" spans="1:17" ht="15.75">
      <c r="A1114" s="587" t="str">
        <f ca="1">IFERROR(__xludf.DUMMYFUNCTION("""COMPUTED_VALUE"""),"Hailiang")</f>
        <v>Hailiang</v>
      </c>
      <c r="B1114" s="587" t="str">
        <f ca="1">IFERROR(__xludf.DUMMYFUNCTION("""COMPUTED_VALUE"""),"ĐHLCUONDI")</f>
        <v>ĐHLCUONDI</v>
      </c>
      <c r="C1114" s="587" t="str">
        <f ca="1">IFERROR(__xludf.DUMMYFUNCTION("""COMPUTED_VALUE"""),"DOCHL222208115")</f>
        <v>DOCHL222208115</v>
      </c>
      <c r="D1114" s="588" t="str">
        <f ca="1">IFERROR(__xludf.DUMMYFUNCTION("""COMPUTED_VALUE"""),"Đồng ống Hailiang dạng cuộn 22.22mmx0.81mmx15m")</f>
        <v>Đồng ống Hailiang dạng cuộn 22.22mmx0.81mmx15m</v>
      </c>
      <c r="E1114" s="589">
        <f ca="1">IFERROR(__xludf.DUMMYFUNCTION("""COMPUTED_VALUE"""),0.1)</f>
        <v>0.1</v>
      </c>
      <c r="F1114" s="590" t="str">
        <f ca="1">IFERROR(__xludf.DUMMYFUNCTION("""COMPUTED_VALUE"""),"Cuộn")</f>
        <v>Cuộn</v>
      </c>
      <c r="G1114" s="590" t="str">
        <f ca="1">IFERROR(__xludf.DUMMYFUNCTION("""COMPUTED_VALUE"""),"Cuộn 15m")</f>
        <v>Cuộn 15m</v>
      </c>
      <c r="H1114" s="588"/>
      <c r="I1114" s="591">
        <f ca="1">IFERROR(__xludf.DUMMYFUNCTION("""COMPUTED_VALUE"""),7.283682)</f>
        <v>7.2836819999999998</v>
      </c>
      <c r="J1114" s="592" t="str">
        <f ca="1">IFERROR(__xludf.DUMMYFUNCTION("""COMPUTED_VALUE""")," 22.22 ")</f>
        <v xml:space="preserve"> 22.22 </v>
      </c>
      <c r="K1114" s="590" t="str">
        <f ca="1">IFERROR(__xludf.DUMMYFUNCTION("""COMPUTED_VALUE"""),"0.81")</f>
        <v>0.81</v>
      </c>
      <c r="L1114" s="590">
        <f ca="1">IFERROR(__xludf.DUMMYFUNCTION("""COMPUTED_VALUE"""),15)</f>
        <v>15</v>
      </c>
      <c r="M1114" s="590"/>
      <c r="N1114" s="590" t="str">
        <f ca="1">IFERROR(__xludf.DUMMYFUNCTION("""COMPUTED_VALUE"""),"Dị_D&lt;54")</f>
        <v>Dị_D&lt;54</v>
      </c>
      <c r="O1114" s="589"/>
      <c r="P1114" s="590"/>
    </row>
    <row r="1115" spans="1:17" ht="15.75">
      <c r="A1115" s="581" t="str">
        <f ca="1">IFERROR(__xludf.DUMMYFUNCTION("""COMPUTED_VALUE"""),"Hailiang")</f>
        <v>Hailiang</v>
      </c>
      <c r="B1115" s="581" t="str">
        <f ca="1">IFERROR(__xludf.DUMMYFUNCTION("""COMPUTED_VALUE"""),"ĐHLCAYDI")</f>
        <v>ĐHLCAYDI</v>
      </c>
      <c r="C1115" s="581" t="str">
        <f ca="1">IFERROR(__xludf.DUMMYFUNCTION("""COMPUTED_VALUE"""),"DOTHL127007129")</f>
        <v>DOTHL127007129</v>
      </c>
      <c r="D1115" s="582" t="str">
        <f ca="1">IFERROR(__xludf.DUMMYFUNCTION("""COMPUTED_VALUE"""),"Đồng ống Hailiang dạng cây 12.70 mmx0.71 mmx2.9")</f>
        <v>Đồng ống Hailiang dạng cây 12.70 mmx0.71 mmx2.9</v>
      </c>
      <c r="E1115" s="583">
        <f ca="1">IFERROR(__xludf.DUMMYFUNCTION("""COMPUTED_VALUE"""),0.1)</f>
        <v>0.1</v>
      </c>
      <c r="F1115" s="584" t="str">
        <f ca="1">IFERROR(__xludf.DUMMYFUNCTION("""COMPUTED_VALUE"""),"Cây")</f>
        <v>Cây</v>
      </c>
      <c r="G1115" s="584" t="str">
        <f ca="1">IFERROR(__xludf.DUMMYFUNCTION("""COMPUTED_VALUE"""),"Cây 2.9m")</f>
        <v>Cây 2.9m</v>
      </c>
      <c r="H1115" s="582" t="str">
        <f ca="1">IFERROR(__xludf.DUMMYFUNCTION("""COMPUTED_VALUE"""),"5")</f>
        <v>5</v>
      </c>
      <c r="I1115" s="585">
        <f ca="1">IFERROR(__xludf.DUMMYFUNCTION("""COMPUTED_VALUE"""),0.691247479999999)</f>
        <v>0.69124747999999903</v>
      </c>
      <c r="J1115" s="586" t="str">
        <f ca="1">IFERROR(__xludf.DUMMYFUNCTION("""COMPUTED_VALUE""")," 12.70 ")</f>
        <v xml:space="preserve"> 12.70 </v>
      </c>
      <c r="K1115" s="584" t="str">
        <f ca="1">IFERROR(__xludf.DUMMYFUNCTION("""COMPUTED_VALUE"""),"0.71")</f>
        <v>0.71</v>
      </c>
      <c r="L1115" s="584">
        <f ca="1">IFERROR(__xludf.DUMMYFUNCTION("""COMPUTED_VALUE"""),2.9)</f>
        <v>2.9</v>
      </c>
      <c r="M1115" s="584"/>
      <c r="N1115" s="584" t="str">
        <f ca="1">IFERROR(__xludf.DUMMYFUNCTION("""COMPUTED_VALUE"""),"Dị_D&lt;54")</f>
        <v>Dị_D&lt;54</v>
      </c>
      <c r="O1115" s="583"/>
      <c r="P1115" s="584"/>
    </row>
    <row r="1116" spans="1:17" ht="15.75">
      <c r="A1116" s="587" t="str">
        <f ca="1">IFERROR(__xludf.DUMMYFUNCTION("""COMPUTED_VALUE"""),"Hailiang")</f>
        <v>Hailiang</v>
      </c>
      <c r="B1116" s="587" t="str">
        <f ca="1">IFERROR(__xludf.DUMMYFUNCTION("""COMPUTED_VALUE"""),"ĐHLCAYDI")</f>
        <v>ĐHLCAYDI</v>
      </c>
      <c r="C1116" s="587" t="str">
        <f ca="1">IFERROR(__xludf.DUMMYFUNCTION("""COMPUTED_VALUE"""),"DOTHL127008129")</f>
        <v>DOTHL127008129</v>
      </c>
      <c r="D1116" s="588" t="str">
        <f ca="1">IFERROR(__xludf.DUMMYFUNCTION("""COMPUTED_VALUE"""),"Đồng ống Hailiang dạng cây 12.70 mmx0.81 mmx2.9")</f>
        <v>Đồng ống Hailiang dạng cây 12.70 mmx0.81 mmx2.9</v>
      </c>
      <c r="E1116" s="589">
        <f ca="1">IFERROR(__xludf.DUMMYFUNCTION("""COMPUTED_VALUE"""),0.1)</f>
        <v>0.1</v>
      </c>
      <c r="F1116" s="590" t="str">
        <f ca="1">IFERROR(__xludf.DUMMYFUNCTION("""COMPUTED_VALUE"""),"Cây")</f>
        <v>Cây</v>
      </c>
      <c r="G1116" s="590" t="str">
        <f ca="1">IFERROR(__xludf.DUMMYFUNCTION("""COMPUTED_VALUE"""),"Cây 2.9m")</f>
        <v>Cây 2.9m</v>
      </c>
      <c r="H1116" s="588" t="str">
        <f ca="1">IFERROR(__xludf.DUMMYFUNCTION("""COMPUTED_VALUE"""),"5")</f>
        <v>5</v>
      </c>
      <c r="I1116" s="591">
        <f ca="1">IFERROR(__xludf.DUMMYFUNCTION("""COMPUTED_VALUE"""),0.782029079999999)</f>
        <v>0.78202907999999904</v>
      </c>
      <c r="J1116" s="592" t="str">
        <f ca="1">IFERROR(__xludf.DUMMYFUNCTION("""COMPUTED_VALUE""")," 12.70 ")</f>
        <v xml:space="preserve"> 12.70 </v>
      </c>
      <c r="K1116" s="590" t="str">
        <f ca="1">IFERROR(__xludf.DUMMYFUNCTION("""COMPUTED_VALUE"""),"0.81")</f>
        <v>0.81</v>
      </c>
      <c r="L1116" s="590">
        <f ca="1">IFERROR(__xludf.DUMMYFUNCTION("""COMPUTED_VALUE"""),2.9)</f>
        <v>2.9</v>
      </c>
      <c r="M1116" s="590"/>
      <c r="N1116" s="590" t="str">
        <f ca="1">IFERROR(__xludf.DUMMYFUNCTION("""COMPUTED_VALUE"""),"Dị_D&lt;54")</f>
        <v>Dị_D&lt;54</v>
      </c>
      <c r="O1116" s="589"/>
      <c r="P1116" s="590"/>
    </row>
    <row r="1117" spans="1:17" ht="15.75">
      <c r="A1117" s="581" t="str">
        <f ca="1">IFERROR(__xludf.DUMMYFUNCTION("""COMPUTED_VALUE"""),"Hailiang")</f>
        <v>Hailiang</v>
      </c>
      <c r="B1117" s="581" t="str">
        <f ca="1">IFERROR(__xludf.DUMMYFUNCTION("""COMPUTED_VALUE"""),"ĐHLCAYDI")</f>
        <v>ĐHLCAYDI</v>
      </c>
      <c r="C1117" s="581" t="str">
        <f ca="1">IFERROR(__xludf.DUMMYFUNCTION("""COMPUTED_VALUE"""),"DOTHL158806129")</f>
        <v>DOTHL158806129</v>
      </c>
      <c r="D1117" s="582" t="str">
        <f ca="1">IFERROR(__xludf.DUMMYFUNCTION("""COMPUTED_VALUE"""),"Đồng ống Hailiang dạng cây 15.88 mmx0.61 mmx2.9")</f>
        <v>Đồng ống Hailiang dạng cây 15.88 mmx0.61 mmx2.9</v>
      </c>
      <c r="E1117" s="583">
        <f ca="1">IFERROR(__xludf.DUMMYFUNCTION("""COMPUTED_VALUE"""),0.1)</f>
        <v>0.1</v>
      </c>
      <c r="F1117" s="584" t="str">
        <f ca="1">IFERROR(__xludf.DUMMYFUNCTION("""COMPUTED_VALUE"""),"Cây")</f>
        <v>Cây</v>
      </c>
      <c r="G1117" s="584" t="str">
        <f ca="1">IFERROR(__xludf.DUMMYFUNCTION("""COMPUTED_VALUE"""),"Cây 2.9m")</f>
        <v>Cây 2.9m</v>
      </c>
      <c r="H1117" s="582" t="str">
        <f ca="1">IFERROR(__xludf.DUMMYFUNCTION("""COMPUTED_VALUE"""),"5")</f>
        <v>5</v>
      </c>
      <c r="I1117" s="585">
        <f ca="1">IFERROR(__xludf.DUMMYFUNCTION("""COMPUTED_VALUE"""),0.75635364)</f>
        <v>0.75635364000000005</v>
      </c>
      <c r="J1117" s="586" t="str">
        <f ca="1">IFERROR(__xludf.DUMMYFUNCTION("""COMPUTED_VALUE""")," 15.88 ")</f>
        <v xml:space="preserve"> 15.88 </v>
      </c>
      <c r="K1117" s="584" t="str">
        <f ca="1">IFERROR(__xludf.DUMMYFUNCTION("""COMPUTED_VALUE"""),"0.61")</f>
        <v>0.61</v>
      </c>
      <c r="L1117" s="584">
        <f ca="1">IFERROR(__xludf.DUMMYFUNCTION("""COMPUTED_VALUE"""),2.9)</f>
        <v>2.9</v>
      </c>
      <c r="M1117" s="584"/>
      <c r="N1117" s="584" t="str">
        <f ca="1">IFERROR(__xludf.DUMMYFUNCTION("""COMPUTED_VALUE"""),"Dị_D&lt;54")</f>
        <v>Dị_D&lt;54</v>
      </c>
      <c r="O1117" s="583"/>
      <c r="P1117" s="584"/>
    </row>
    <row r="1118" spans="1:17" ht="15.75">
      <c r="A1118" s="587" t="str">
        <f ca="1">IFERROR(__xludf.DUMMYFUNCTION("""COMPUTED_VALUE"""),"Hailiang")</f>
        <v>Hailiang</v>
      </c>
      <c r="B1118" s="587" t="str">
        <f ca="1">IFERROR(__xludf.DUMMYFUNCTION("""COMPUTED_VALUE"""),"ĐHLCAYDI")</f>
        <v>ĐHLCAYDI</v>
      </c>
      <c r="C1118" s="587" t="str">
        <f ca="1">IFERROR(__xludf.DUMMYFUNCTION("""COMPUTED_VALUE"""),"DOTHL158807129")</f>
        <v>DOTHL158807129</v>
      </c>
      <c r="D1118" s="588" t="str">
        <f ca="1">IFERROR(__xludf.DUMMYFUNCTION("""COMPUTED_VALUE"""),"Đồng ống Hailiang dạng cây 15.88 mmx0.71 mmx2.9")</f>
        <v>Đồng ống Hailiang dạng cây 15.88 mmx0.71 mmx2.9</v>
      </c>
      <c r="E1118" s="589">
        <f ca="1">IFERROR(__xludf.DUMMYFUNCTION("""COMPUTED_VALUE"""),0.1)</f>
        <v>0.1</v>
      </c>
      <c r="F1118" s="590" t="str">
        <f ca="1">IFERROR(__xludf.DUMMYFUNCTION("""COMPUTED_VALUE"""),"Cây")</f>
        <v>Cây</v>
      </c>
      <c r="G1118" s="590" t="str">
        <f ca="1">IFERROR(__xludf.DUMMYFUNCTION("""COMPUTED_VALUE"""),"Cây 2.9m")</f>
        <v>Cây 2.9m</v>
      </c>
      <c r="H1118" s="588" t="str">
        <f ca="1">IFERROR(__xludf.DUMMYFUNCTION("""COMPUTED_VALUE"""),"5")</f>
        <v>5</v>
      </c>
      <c r="I1118" s="591">
        <f ca="1">IFERROR(__xludf.DUMMYFUNCTION("""COMPUTED_VALUE"""),0.87458084)</f>
        <v>0.87458084000000003</v>
      </c>
      <c r="J1118" s="592" t="str">
        <f ca="1">IFERROR(__xludf.DUMMYFUNCTION("""COMPUTED_VALUE""")," 15.88 ")</f>
        <v xml:space="preserve"> 15.88 </v>
      </c>
      <c r="K1118" s="590" t="str">
        <f ca="1">IFERROR(__xludf.DUMMYFUNCTION("""COMPUTED_VALUE"""),"0.71")</f>
        <v>0.71</v>
      </c>
      <c r="L1118" s="590">
        <f ca="1">IFERROR(__xludf.DUMMYFUNCTION("""COMPUTED_VALUE"""),2.9)</f>
        <v>2.9</v>
      </c>
      <c r="M1118" s="590"/>
      <c r="N1118" s="590" t="str">
        <f ca="1">IFERROR(__xludf.DUMMYFUNCTION("""COMPUTED_VALUE"""),"Dị_D&lt;54")</f>
        <v>Dị_D&lt;54</v>
      </c>
      <c r="O1118" s="589"/>
      <c r="P1118" s="590"/>
    </row>
    <row r="1119" spans="1:17" ht="15.75">
      <c r="A1119" s="581" t="str">
        <f ca="1">IFERROR(__xludf.DUMMYFUNCTION("""COMPUTED_VALUE"""),"Hailiang")</f>
        <v>Hailiang</v>
      </c>
      <c r="B1119" s="581" t="str">
        <f ca="1">IFERROR(__xludf.DUMMYFUNCTION("""COMPUTED_VALUE"""),"ĐHLCAYDI")</f>
        <v>ĐHLCAYDI</v>
      </c>
      <c r="C1119" s="581" t="str">
        <f ca="1">IFERROR(__xludf.DUMMYFUNCTION("""COMPUTED_VALUE"""),"DOTHL158808129")</f>
        <v>DOTHL158808129</v>
      </c>
      <c r="D1119" s="582" t="str">
        <f ca="1">IFERROR(__xludf.DUMMYFUNCTION("""COMPUTED_VALUE"""),"Đồng ống Hailiang dạng cây 15.88mmx0.81mmx2.9")</f>
        <v>Đồng ống Hailiang dạng cây 15.88mmx0.81mmx2.9</v>
      </c>
      <c r="E1119" s="583">
        <f ca="1">IFERROR(__xludf.DUMMYFUNCTION("""COMPUTED_VALUE"""),0.1)</f>
        <v>0.1</v>
      </c>
      <c r="F1119" s="584" t="str">
        <f ca="1">IFERROR(__xludf.DUMMYFUNCTION("""COMPUTED_VALUE"""),"Cây")</f>
        <v>Cây</v>
      </c>
      <c r="G1119" s="584" t="str">
        <f ca="1">IFERROR(__xludf.DUMMYFUNCTION("""COMPUTED_VALUE"""),"Cây 2.9m")</f>
        <v>Cây 2.9m</v>
      </c>
      <c r="H1119" s="582" t="str">
        <f ca="1">IFERROR(__xludf.DUMMYFUNCTION("""COMPUTED_VALUE"""),"5")</f>
        <v>5</v>
      </c>
      <c r="I1119" s="585">
        <f ca="1">IFERROR(__xludf.DUMMYFUNCTION("""COMPUTED_VALUE"""),0.99118404)</f>
        <v>0.99118404000000004</v>
      </c>
      <c r="J1119" s="586" t="str">
        <f ca="1">IFERROR(__xludf.DUMMYFUNCTION("""COMPUTED_VALUE""")," 15.88 ")</f>
        <v xml:space="preserve"> 15.88 </v>
      </c>
      <c r="K1119" s="584" t="str">
        <f ca="1">IFERROR(__xludf.DUMMYFUNCTION("""COMPUTED_VALUE"""),"0.81")</f>
        <v>0.81</v>
      </c>
      <c r="L1119" s="584">
        <f ca="1">IFERROR(__xludf.DUMMYFUNCTION("""COMPUTED_VALUE"""),2.9)</f>
        <v>2.9</v>
      </c>
      <c r="M1119" s="584"/>
      <c r="N1119" s="584" t="str">
        <f ca="1">IFERROR(__xludf.DUMMYFUNCTION("""COMPUTED_VALUE"""),"Dị_D&lt;54")</f>
        <v>Dị_D&lt;54</v>
      </c>
      <c r="O1119" s="583"/>
      <c r="P1119" s="584"/>
    </row>
    <row r="1120" spans="1:17" ht="15.75">
      <c r="A1120" s="587" t="str">
        <f ca="1">IFERROR(__xludf.DUMMYFUNCTION("""COMPUTED_VALUE"""),"Hailiang")</f>
        <v>Hailiang</v>
      </c>
      <c r="B1120" s="587" t="str">
        <f ca="1">IFERROR(__xludf.DUMMYFUNCTION("""COMPUTED_VALUE"""),"ĐHLCAYDI")</f>
        <v>ĐHLCAYDI</v>
      </c>
      <c r="C1120" s="587" t="str">
        <f ca="1">IFERROR(__xludf.DUMMYFUNCTION("""COMPUTED_VALUE"""),"DOTHL158809129")</f>
        <v>DOTHL158809129</v>
      </c>
      <c r="D1120" s="588" t="str">
        <f ca="1">IFERROR(__xludf.DUMMYFUNCTION("""COMPUTED_VALUE"""),"Đồng ống Hailiang dạng cây 15.88mmx0.91mmx2.9")</f>
        <v>Đồng ống Hailiang dạng cây 15.88mmx0.91mmx2.9</v>
      </c>
      <c r="E1120" s="589">
        <f ca="1">IFERROR(__xludf.DUMMYFUNCTION("""COMPUTED_VALUE"""),0.1)</f>
        <v>0.1</v>
      </c>
      <c r="F1120" s="590" t="str">
        <f ca="1">IFERROR(__xludf.DUMMYFUNCTION("""COMPUTED_VALUE"""),"Cây")</f>
        <v>Cây</v>
      </c>
      <c r="G1120" s="590" t="str">
        <f ca="1">IFERROR(__xludf.DUMMYFUNCTION("""COMPUTED_VALUE"""),"Cây 2.9m")</f>
        <v>Cây 2.9m</v>
      </c>
      <c r="H1120" s="588" t="str">
        <f ca="1">IFERROR(__xludf.DUMMYFUNCTION("""COMPUTED_VALUE"""),"5")</f>
        <v>5</v>
      </c>
      <c r="I1120" s="591">
        <f ca="1">IFERROR(__xludf.DUMMYFUNCTION("""COMPUTED_VALUE"""),1.10616324)</f>
        <v>1.1061632400000001</v>
      </c>
      <c r="J1120" s="592" t="str">
        <f ca="1">IFERROR(__xludf.DUMMYFUNCTION("""COMPUTED_VALUE""")," 15.88 ")</f>
        <v xml:space="preserve"> 15.88 </v>
      </c>
      <c r="K1120" s="590" t="str">
        <f ca="1">IFERROR(__xludf.DUMMYFUNCTION("""COMPUTED_VALUE"""),"0.91")</f>
        <v>0.91</v>
      </c>
      <c r="L1120" s="590">
        <f ca="1">IFERROR(__xludf.DUMMYFUNCTION("""COMPUTED_VALUE"""),2.9)</f>
        <v>2.9</v>
      </c>
      <c r="M1120" s="590"/>
      <c r="N1120" s="590" t="str">
        <f ca="1">IFERROR(__xludf.DUMMYFUNCTION("""COMPUTED_VALUE"""),"Dị_D&lt;54")</f>
        <v>Dị_D&lt;54</v>
      </c>
      <c r="O1120" s="589"/>
      <c r="P1120" s="590"/>
    </row>
    <row r="1121" spans="1:17" ht="15.75">
      <c r="A1121" s="581" t="str">
        <f ca="1">IFERROR(__xludf.DUMMYFUNCTION("""COMPUTED_VALUE"""),"Hailiang")</f>
        <v>Hailiang</v>
      </c>
      <c r="B1121" s="581" t="str">
        <f ca="1">IFERROR(__xludf.DUMMYFUNCTION("""COMPUTED_VALUE"""),"ĐHLCAYDI")</f>
        <v>ĐHLCAYDI</v>
      </c>
      <c r="C1121" s="581" t="str">
        <f ca="1">IFERROR(__xludf.DUMMYFUNCTION("""COMPUTED_VALUE"""),"DOTHL158810229")</f>
        <v>DOTHL158810229</v>
      </c>
      <c r="D1121" s="582" t="str">
        <f ca="1">IFERROR(__xludf.DUMMYFUNCTION("""COMPUTED_VALUE"""),"Đồng ống Hailiang dạng cây 15.88mmx1.02mmx2.9")</f>
        <v>Đồng ống Hailiang dạng cây 15.88mmx1.02mmx2.9</v>
      </c>
      <c r="E1121" s="583">
        <f ca="1">IFERROR(__xludf.DUMMYFUNCTION("""COMPUTED_VALUE"""),0.1)</f>
        <v>0.1</v>
      </c>
      <c r="F1121" s="584" t="str">
        <f ca="1">IFERROR(__xludf.DUMMYFUNCTION("""COMPUTED_VALUE"""),"Cây")</f>
        <v>Cây</v>
      </c>
      <c r="G1121" s="584" t="str">
        <f ca="1">IFERROR(__xludf.DUMMYFUNCTION("""COMPUTED_VALUE"""),"Cây 2.9m")</f>
        <v>Cây 2.9m</v>
      </c>
      <c r="H1121" s="582" t="str">
        <f ca="1">IFERROR(__xludf.DUMMYFUNCTION("""COMPUTED_VALUE"""),"5")</f>
        <v>5</v>
      </c>
      <c r="I1121" s="585">
        <f ca="1">IFERROR(__xludf.DUMMYFUNCTION("""COMPUTED_VALUE"""),1.23076464)</f>
        <v>1.2307646400000001</v>
      </c>
      <c r="J1121" s="586" t="str">
        <f ca="1">IFERROR(__xludf.DUMMYFUNCTION("""COMPUTED_VALUE""")," 15.88 ")</f>
        <v xml:space="preserve"> 15.88 </v>
      </c>
      <c r="K1121" s="584" t="str">
        <f ca="1">IFERROR(__xludf.DUMMYFUNCTION("""COMPUTED_VALUE"""),"1.02")</f>
        <v>1.02</v>
      </c>
      <c r="L1121" s="584">
        <f ca="1">IFERROR(__xludf.DUMMYFUNCTION("""COMPUTED_VALUE"""),2.9)</f>
        <v>2.9</v>
      </c>
      <c r="M1121" s="584"/>
      <c r="N1121" s="584" t="str">
        <f ca="1">IFERROR(__xludf.DUMMYFUNCTION("""COMPUTED_VALUE"""),"Dị_D&lt;54")</f>
        <v>Dị_D&lt;54</v>
      </c>
      <c r="O1121" s="583"/>
      <c r="P1121" s="584"/>
    </row>
    <row r="1122" spans="1:17" ht="15.75">
      <c r="A1122" s="587" t="str">
        <f ca="1">IFERROR(__xludf.DUMMYFUNCTION("""COMPUTED_VALUE"""),"Hailiang")</f>
        <v>Hailiang</v>
      </c>
      <c r="B1122" s="587" t="str">
        <f ca="1">IFERROR(__xludf.DUMMYFUNCTION("""COMPUTED_VALUE"""),"ĐHLCAYDI")</f>
        <v>ĐHLCAYDI</v>
      </c>
      <c r="C1122" s="587" t="str">
        <f ca="1">IFERROR(__xludf.DUMMYFUNCTION("""COMPUTED_VALUE"""),"DOTHL190512215")</f>
        <v>DOTHL190512215</v>
      </c>
      <c r="D1122" s="588" t="str">
        <f ca="1">IFERROR(__xludf.DUMMYFUNCTION("""COMPUTED_VALUE"""),"Đồng ống Hailiang dạng cây 19.05mmx1.22mmx15m")</f>
        <v>Đồng ống Hailiang dạng cây 19.05mmx1.22mmx15m</v>
      </c>
      <c r="E1122" s="589">
        <f ca="1">IFERROR(__xludf.DUMMYFUNCTION("""COMPUTED_VALUE"""),0.1)</f>
        <v>0.1</v>
      </c>
      <c r="F1122" s="590" t="str">
        <f ca="1">IFERROR(__xludf.DUMMYFUNCTION("""COMPUTED_VALUE"""),"Cây")</f>
        <v>Cây</v>
      </c>
      <c r="G1122" s="590" t="str">
        <f ca="1">IFERROR(__xludf.DUMMYFUNCTION("""COMPUTED_VALUE"""),"Cây 2.9m")</f>
        <v>Cây 2.9m</v>
      </c>
      <c r="H1122" s="588" t="str">
        <f ca="1">IFERROR(__xludf.DUMMYFUNCTION("""COMPUTED_VALUE"""),"4")</f>
        <v>4</v>
      </c>
      <c r="I1122" s="591">
        <f ca="1">IFERROR(__xludf.DUMMYFUNCTION("""COMPUTED_VALUE"""),1.76631112)</f>
        <v>1.7663111199999999</v>
      </c>
      <c r="J1122" s="592" t="str">
        <f ca="1">IFERROR(__xludf.DUMMYFUNCTION("""COMPUTED_VALUE""")," 19.05 ")</f>
        <v xml:space="preserve"> 19.05 </v>
      </c>
      <c r="K1122" s="590" t="str">
        <f ca="1">IFERROR(__xludf.DUMMYFUNCTION("""COMPUTED_VALUE"""),"1.22")</f>
        <v>1.22</v>
      </c>
      <c r="L1122" s="590">
        <f ca="1">IFERROR(__xludf.DUMMYFUNCTION("""COMPUTED_VALUE"""),2.9)</f>
        <v>2.9</v>
      </c>
      <c r="M1122" s="590"/>
      <c r="N1122" s="590" t="str">
        <f ca="1">IFERROR(__xludf.DUMMYFUNCTION("""COMPUTED_VALUE"""),"Dị_D&lt;54")</f>
        <v>Dị_D&lt;54</v>
      </c>
      <c r="O1122" s="589"/>
      <c r="P1122" s="590"/>
    </row>
    <row r="1123" spans="1:17" ht="15.75">
      <c r="A1123" s="581" t="str">
        <f ca="1">IFERROR(__xludf.DUMMYFUNCTION("""COMPUTED_VALUE"""),"Hailiang")</f>
        <v>Hailiang</v>
      </c>
      <c r="B1123" s="581" t="str">
        <f ca="1">IFERROR(__xludf.DUMMYFUNCTION("""COMPUTED_VALUE"""),"ĐHLCAYDI")</f>
        <v>ĐHLCAYDI</v>
      </c>
      <c r="C1123" s="581" t="str">
        <f ca="1">IFERROR(__xludf.DUMMYFUNCTION("""COMPUTED_VALUE"""),"DOTHL190507129")</f>
        <v>DOTHL190507129</v>
      </c>
      <c r="D1123" s="582" t="str">
        <f ca="1">IFERROR(__xludf.DUMMYFUNCTION("""COMPUTED_VALUE"""),"Đồng ống Hailiang dạng cây 19.05mmx0.71mmx2.9")</f>
        <v>Đồng ống Hailiang dạng cây 19.05mmx0.71mmx2.9</v>
      </c>
      <c r="E1123" s="583">
        <f ca="1">IFERROR(__xludf.DUMMYFUNCTION("""COMPUTED_VALUE"""),0.1)</f>
        <v>0.1</v>
      </c>
      <c r="F1123" s="584" t="str">
        <f ca="1">IFERROR(__xludf.DUMMYFUNCTION("""COMPUTED_VALUE"""),"Cây")</f>
        <v>Cây</v>
      </c>
      <c r="G1123" s="584" t="str">
        <f ca="1">IFERROR(__xludf.DUMMYFUNCTION("""COMPUTED_VALUE"""),"Cây 2.9m")</f>
        <v>Cây 2.9m</v>
      </c>
      <c r="H1123" s="582" t="str">
        <f ca="1">IFERROR(__xludf.DUMMYFUNCTION("""COMPUTED_VALUE"""),"4")</f>
        <v>4</v>
      </c>
      <c r="I1123" s="585">
        <f ca="1">IFERROR(__xludf.DUMMYFUNCTION("""COMPUTED_VALUE"""),1.05733768)</f>
        <v>1.0573376800000001</v>
      </c>
      <c r="J1123" s="586" t="str">
        <f ca="1">IFERROR(__xludf.DUMMYFUNCTION("""COMPUTED_VALUE""")," 19.05 ")</f>
        <v xml:space="preserve"> 19.05 </v>
      </c>
      <c r="K1123" s="584" t="str">
        <f ca="1">IFERROR(__xludf.DUMMYFUNCTION("""COMPUTED_VALUE"""),"0.71")</f>
        <v>0.71</v>
      </c>
      <c r="L1123" s="584">
        <f ca="1">IFERROR(__xludf.DUMMYFUNCTION("""COMPUTED_VALUE"""),2.9)</f>
        <v>2.9</v>
      </c>
      <c r="M1123" s="584"/>
      <c r="N1123" s="584" t="str">
        <f ca="1">IFERROR(__xludf.DUMMYFUNCTION("""COMPUTED_VALUE"""),"Dị_D&lt;54")</f>
        <v>Dị_D&lt;54</v>
      </c>
      <c r="O1123" s="583"/>
      <c r="P1123" s="584"/>
    </row>
    <row r="1124" spans="1:17" ht="15.75">
      <c r="A1124" s="587" t="str">
        <f ca="1">IFERROR(__xludf.DUMMYFUNCTION("""COMPUTED_VALUE"""),"Hailiang")</f>
        <v>Hailiang</v>
      </c>
      <c r="B1124" s="587" t="str">
        <f ca="1">IFERROR(__xludf.DUMMYFUNCTION("""COMPUTED_VALUE"""),"ĐHLCAYDI")</f>
        <v>ĐHLCAYDI</v>
      </c>
      <c r="C1124" s="587" t="str">
        <f ca="1">IFERROR(__xludf.DUMMYFUNCTION("""COMPUTED_VALUE"""),"DOTHL190508129")</f>
        <v>DOTHL190508129</v>
      </c>
      <c r="D1124" s="588" t="str">
        <f ca="1">IFERROR(__xludf.DUMMYFUNCTION("""COMPUTED_VALUE"""),"Đồng ống Hailiang dạng cây 19.05mmx0.81mmx2.9")</f>
        <v>Đồng ống Hailiang dạng cây 19.05mmx0.81mmx2.9</v>
      </c>
      <c r="E1124" s="589">
        <f ca="1">IFERROR(__xludf.DUMMYFUNCTION("""COMPUTED_VALUE"""),0.1)</f>
        <v>0.1</v>
      </c>
      <c r="F1124" s="590" t="str">
        <f ca="1">IFERROR(__xludf.DUMMYFUNCTION("""COMPUTED_VALUE"""),"Cây")</f>
        <v>Cây</v>
      </c>
      <c r="G1124" s="590" t="str">
        <f ca="1">IFERROR(__xludf.DUMMYFUNCTION("""COMPUTED_VALUE"""),"Cây 2.9m")</f>
        <v>Cây 2.9m</v>
      </c>
      <c r="H1124" s="588" t="str">
        <f ca="1">IFERROR(__xludf.DUMMYFUNCTION("""COMPUTED_VALUE"""),"4")</f>
        <v>4</v>
      </c>
      <c r="I1124" s="591">
        <f ca="1">IFERROR(__xludf.DUMMYFUNCTION("""COMPUTED_VALUE"""),1.19968128)</f>
        <v>1.1996812800000001</v>
      </c>
      <c r="J1124" s="592" t="str">
        <f ca="1">IFERROR(__xludf.DUMMYFUNCTION("""COMPUTED_VALUE""")," 19.05 ")</f>
        <v xml:space="preserve"> 19.05 </v>
      </c>
      <c r="K1124" s="590" t="str">
        <f ca="1">IFERROR(__xludf.DUMMYFUNCTION("""COMPUTED_VALUE"""),"0.81")</f>
        <v>0.81</v>
      </c>
      <c r="L1124" s="590">
        <f ca="1">IFERROR(__xludf.DUMMYFUNCTION("""COMPUTED_VALUE"""),2.9)</f>
        <v>2.9</v>
      </c>
      <c r="M1124" s="590"/>
      <c r="N1124" s="590" t="str">
        <f ca="1">IFERROR(__xludf.DUMMYFUNCTION("""COMPUTED_VALUE"""),"Dị_D&lt;54")</f>
        <v>Dị_D&lt;54</v>
      </c>
      <c r="O1124" s="589"/>
      <c r="P1124" s="590"/>
    </row>
    <row r="1125" spans="1:17" ht="15.75">
      <c r="A1125" s="581" t="str">
        <f ca="1">IFERROR(__xludf.DUMMYFUNCTION("""COMPUTED_VALUE"""),"Hailiang")</f>
        <v>Hailiang</v>
      </c>
      <c r="B1125" s="581" t="str">
        <f ca="1">IFERROR(__xludf.DUMMYFUNCTION("""COMPUTED_VALUE"""),"ĐHLCAYDI")</f>
        <v>ĐHLCAYDI</v>
      </c>
      <c r="C1125" s="581" t="str">
        <f ca="1">IFERROR(__xludf.DUMMYFUNCTION("""COMPUTED_VALUE"""),"DOTHL190510029")</f>
        <v>DOTHL190510029</v>
      </c>
      <c r="D1125" s="582" t="str">
        <f ca="1">IFERROR(__xludf.DUMMYFUNCTION("""COMPUTED_VALUE"""),"Đồng ống Hailiang dạng cây 19.05mmx1.00mmx2.9")</f>
        <v>Đồng ống Hailiang dạng cây 19.05mmx1.00mmx2.9</v>
      </c>
      <c r="E1125" s="583">
        <f ca="1">IFERROR(__xludf.DUMMYFUNCTION("""COMPUTED_VALUE"""),0.1)</f>
        <v>0.1</v>
      </c>
      <c r="F1125" s="584" t="str">
        <f ca="1">IFERROR(__xludf.DUMMYFUNCTION("""COMPUTED_VALUE"""),"Cây")</f>
        <v>Cây</v>
      </c>
      <c r="G1125" s="584" t="str">
        <f ca="1">IFERROR(__xludf.DUMMYFUNCTION("""COMPUTED_VALUE"""),"Cây 2.9m")</f>
        <v>Cây 2.9m</v>
      </c>
      <c r="H1125" s="582" t="str">
        <f ca="1">IFERROR(__xludf.DUMMYFUNCTION("""COMPUTED_VALUE"""),"4")</f>
        <v>4</v>
      </c>
      <c r="I1125" s="585">
        <f ca="1">IFERROR(__xludf.DUMMYFUNCTION("""COMPUTED_VALUE"""),1.46566)</f>
        <v>1.46566</v>
      </c>
      <c r="J1125" s="586" t="str">
        <f ca="1">IFERROR(__xludf.DUMMYFUNCTION("""COMPUTED_VALUE""")," 19.05 ")</f>
        <v xml:space="preserve"> 19.05 </v>
      </c>
      <c r="K1125" s="584" t="str">
        <f ca="1">IFERROR(__xludf.DUMMYFUNCTION("""COMPUTED_VALUE"""),"1.00")</f>
        <v>1.00</v>
      </c>
      <c r="L1125" s="584">
        <f ca="1">IFERROR(__xludf.DUMMYFUNCTION("""COMPUTED_VALUE"""),2.9)</f>
        <v>2.9</v>
      </c>
      <c r="M1125" s="584"/>
      <c r="N1125" s="584" t="str">
        <f ca="1">IFERROR(__xludf.DUMMYFUNCTION("""COMPUTED_VALUE"""),"Dị_D&lt;54")</f>
        <v>Dị_D&lt;54</v>
      </c>
      <c r="O1125" s="583"/>
      <c r="P1125" s="584"/>
    </row>
    <row r="1126" spans="1:17" ht="15.75">
      <c r="A1126" s="587" t="str">
        <f ca="1">IFERROR(__xludf.DUMMYFUNCTION("""COMPUTED_VALUE"""),"Hailiang")</f>
        <v>Hailiang</v>
      </c>
      <c r="B1126" s="587" t="str">
        <f ca="1">IFERROR(__xludf.DUMMYFUNCTION("""COMPUTED_VALUE"""),"ĐHLCAYDI")</f>
        <v>ĐHLCAYDI</v>
      </c>
      <c r="C1126" s="587" t="str">
        <f ca="1">IFERROR(__xludf.DUMMYFUNCTION("""COMPUTED_VALUE"""),"DOTHL190510229")</f>
        <v>DOTHL190510229</v>
      </c>
      <c r="D1126" s="588" t="str">
        <f ca="1">IFERROR(__xludf.DUMMYFUNCTION("""COMPUTED_VALUE"""),"Đồng ống Hailiang dạng cây 19.05mmx1.02mmx2.9")</f>
        <v>Đồng ống Hailiang dạng cây 19.05mmx1.02mmx2.9</v>
      </c>
      <c r="E1126" s="589">
        <f ca="1">IFERROR(__xludf.DUMMYFUNCTION("""COMPUTED_VALUE"""),0.1)</f>
        <v>0.1</v>
      </c>
      <c r="F1126" s="590" t="str">
        <f ca="1">IFERROR(__xludf.DUMMYFUNCTION("""COMPUTED_VALUE"""),"Cây")</f>
        <v>Cây</v>
      </c>
      <c r="G1126" s="590" t="str">
        <f ca="1">IFERROR(__xludf.DUMMYFUNCTION("""COMPUTED_VALUE"""),"Cây 2.9m")</f>
        <v>Cây 2.9m</v>
      </c>
      <c r="H1126" s="588" t="str">
        <f ca="1">IFERROR(__xludf.DUMMYFUNCTION("""COMPUTED_VALUE"""),"4")</f>
        <v>4</v>
      </c>
      <c r="I1126" s="591">
        <f ca="1">IFERROR(__xludf.DUMMYFUNCTION("""COMPUTED_VALUE"""),1.49331672)</f>
        <v>1.4933167199999999</v>
      </c>
      <c r="J1126" s="592" t="str">
        <f ca="1">IFERROR(__xludf.DUMMYFUNCTION("""COMPUTED_VALUE""")," 19.05 ")</f>
        <v xml:space="preserve"> 19.05 </v>
      </c>
      <c r="K1126" s="590" t="str">
        <f ca="1">IFERROR(__xludf.DUMMYFUNCTION("""COMPUTED_VALUE"""),"1.02")</f>
        <v>1.02</v>
      </c>
      <c r="L1126" s="590">
        <f ca="1">IFERROR(__xludf.DUMMYFUNCTION("""COMPUTED_VALUE"""),2.9)</f>
        <v>2.9</v>
      </c>
      <c r="M1126" s="590"/>
      <c r="N1126" s="590" t="str">
        <f ca="1">IFERROR(__xludf.DUMMYFUNCTION("""COMPUTED_VALUE"""),"Dị_D&lt;54")</f>
        <v>Dị_D&lt;54</v>
      </c>
      <c r="O1126" s="589"/>
      <c r="P1126" s="590"/>
    </row>
    <row r="1127" spans="1:17" ht="15.75">
      <c r="A1127" s="581" t="str">
        <f ca="1">IFERROR(__xludf.DUMMYFUNCTION("""COMPUTED_VALUE"""),"Hailiang")</f>
        <v>Hailiang</v>
      </c>
      <c r="B1127" s="581" t="str">
        <f ca="1">IFERROR(__xludf.DUMMYFUNCTION("""COMPUTED_VALUE"""),"ĐHLCAYDI")</f>
        <v>ĐHLCAYDI</v>
      </c>
      <c r="C1127" s="581" t="str">
        <f ca="1">IFERROR(__xludf.DUMMYFUNCTION("""COMPUTED_VALUE"""),"DOTHL1905107")</f>
        <v>DOTHL1905107</v>
      </c>
      <c r="D1127" s="582" t="str">
        <f ca="1">IFERROR(__xludf.DUMMYFUNCTION("""COMPUTED_VALUE"""),"Đồng ống Hailiang dạng cây 19.05mmx1.07mmx2.9m")</f>
        <v>Đồng ống Hailiang dạng cây 19.05mmx1.07mmx2.9m</v>
      </c>
      <c r="E1127" s="583">
        <f ca="1">IFERROR(__xludf.DUMMYFUNCTION("""COMPUTED_VALUE"""),0.1)</f>
        <v>0.1</v>
      </c>
      <c r="F1127" s="584" t="str">
        <f ca="1">IFERROR(__xludf.DUMMYFUNCTION("""COMPUTED_VALUE"""),"Cây")</f>
        <v>Cây</v>
      </c>
      <c r="G1127" s="584" t="str">
        <f ca="1">IFERROR(__xludf.DUMMYFUNCTION("""COMPUTED_VALUE"""),"Cây 2.9m")</f>
        <v>Cây 2.9m</v>
      </c>
      <c r="H1127" s="582" t="str">
        <f ca="1">IFERROR(__xludf.DUMMYFUNCTION("""COMPUTED_VALUE"""),"4")</f>
        <v>4</v>
      </c>
      <c r="I1127" s="585">
        <f ca="1">IFERROR(__xludf.DUMMYFUNCTION("""COMPUTED_VALUE"""),1.56217432)</f>
        <v>1.56217432</v>
      </c>
      <c r="J1127" s="586" t="str">
        <f ca="1">IFERROR(__xludf.DUMMYFUNCTION("""COMPUTED_VALUE""")," 19.05 ")</f>
        <v xml:space="preserve"> 19.05 </v>
      </c>
      <c r="K1127" s="584" t="str">
        <f ca="1">IFERROR(__xludf.DUMMYFUNCTION("""COMPUTED_VALUE"""),"1.07")</f>
        <v>1.07</v>
      </c>
      <c r="L1127" s="584">
        <f ca="1">IFERROR(__xludf.DUMMYFUNCTION("""COMPUTED_VALUE"""),2.9)</f>
        <v>2.9</v>
      </c>
      <c r="M1127" s="584"/>
      <c r="N1127" s="584" t="str">
        <f ca="1">IFERROR(__xludf.DUMMYFUNCTION("""COMPUTED_VALUE"""),"Dị_D&lt;54")</f>
        <v>Dị_D&lt;54</v>
      </c>
      <c r="O1127" s="583"/>
      <c r="P1127" s="584"/>
    </row>
    <row r="1128" spans="1:17" ht="15.75">
      <c r="A1128" s="587" t="str">
        <f ca="1">IFERROR(__xludf.DUMMYFUNCTION("""COMPUTED_VALUE"""),"Hailiang")</f>
        <v>Hailiang</v>
      </c>
      <c r="B1128" s="587" t="str">
        <f ca="1">IFERROR(__xludf.DUMMYFUNCTION("""COMPUTED_VALUE"""),"ĐHLCAY")</f>
        <v>ĐHLCAY</v>
      </c>
      <c r="C1128" s="587" t="str">
        <f ca="1">IFERROR(__xludf.DUMMYFUNCTION("""COMPUTED_VALUE"""),"DOTHL190512029")</f>
        <v>DOTHL190512029</v>
      </c>
      <c r="D1128" s="588" t="str">
        <f ca="1">IFERROR(__xludf.DUMMYFUNCTION("""COMPUTED_VALUE"""),"Đồng ống Hailiang dạng cây 19.05mmx1.20mmx2.9")</f>
        <v>Đồng ống Hailiang dạng cây 19.05mmx1.20mmx2.9</v>
      </c>
      <c r="E1128" s="589">
        <f ca="1">IFERROR(__xludf.DUMMYFUNCTION("""COMPUTED_VALUE"""),0.1)</f>
        <v>0.1</v>
      </c>
      <c r="F1128" s="590" t="str">
        <f ca="1">IFERROR(__xludf.DUMMYFUNCTION("""COMPUTED_VALUE"""),"Cây")</f>
        <v>Cây</v>
      </c>
      <c r="G1128" s="590" t="str">
        <f ca="1">IFERROR(__xludf.DUMMYFUNCTION("""COMPUTED_VALUE"""),"Cây 2.9m")</f>
        <v>Cây 2.9m</v>
      </c>
      <c r="H1128" s="588" t="str">
        <f ca="1">IFERROR(__xludf.DUMMYFUNCTION("""COMPUTED_VALUE"""),"4")</f>
        <v>4</v>
      </c>
      <c r="I1128" s="591">
        <f ca="1">IFERROR(__xludf.DUMMYFUNCTION("""COMPUTED_VALUE"""),1.739304)</f>
        <v>1.739304</v>
      </c>
      <c r="J1128" s="592" t="str">
        <f ca="1">IFERROR(__xludf.DUMMYFUNCTION("""COMPUTED_VALUE""")," 19.05 ")</f>
        <v xml:space="preserve"> 19.05 </v>
      </c>
      <c r="K1128" s="590" t="str">
        <f ca="1">IFERROR(__xludf.DUMMYFUNCTION("""COMPUTED_VALUE"""),"1.20")</f>
        <v>1.20</v>
      </c>
      <c r="L1128" s="590">
        <f ca="1">IFERROR(__xludf.DUMMYFUNCTION("""COMPUTED_VALUE"""),2.9)</f>
        <v>2.9</v>
      </c>
      <c r="M1128" s="590"/>
      <c r="N1128" s="590" t="str">
        <f ca="1">IFERROR(__xludf.DUMMYFUNCTION("""COMPUTED_VALUE"""),"Dị_D&lt;54")</f>
        <v>Dị_D&lt;54</v>
      </c>
      <c r="O1128" s="589"/>
      <c r="P1128" s="590"/>
    </row>
    <row r="1129" spans="1:17" ht="15.75">
      <c r="A1129" s="581" t="str">
        <f ca="1">IFERROR(__xludf.DUMMYFUNCTION("""COMPUTED_VALUE"""),"Hailiang")</f>
        <v>Hailiang</v>
      </c>
      <c r="B1129" s="581" t="str">
        <f ca="1">IFERROR(__xludf.DUMMYFUNCTION("""COMPUTED_VALUE"""),"ĐHLCAYDI")</f>
        <v>ĐHLCAYDI</v>
      </c>
      <c r="C1129" s="581" t="str">
        <f ca="1">IFERROR(__xludf.DUMMYFUNCTION("""COMPUTED_VALUE"""),"DOTHL22220829")</f>
        <v>DOTHL22220829</v>
      </c>
      <c r="D1129" s="582" t="str">
        <f ca="1">IFERROR(__xludf.DUMMYFUNCTION("""COMPUTED_VALUE"""),"Đồng ống Hailiang dạng cây 22.22mmx0.80mmx2.9")</f>
        <v>Đồng ống Hailiang dạng cây 22.22mmx0.80mmx2.9</v>
      </c>
      <c r="E1129" s="583">
        <f ca="1">IFERROR(__xludf.DUMMYFUNCTION("""COMPUTED_VALUE"""),0.1)</f>
        <v>0.1</v>
      </c>
      <c r="F1129" s="584" t="str">
        <f ca="1">IFERROR(__xludf.DUMMYFUNCTION("""COMPUTED_VALUE"""),"Cây")</f>
        <v>Cây</v>
      </c>
      <c r="G1129" s="584" t="str">
        <f ca="1">IFERROR(__xludf.DUMMYFUNCTION("""COMPUTED_VALUE"""),"Cây 2.9m")</f>
        <v>Cây 2.9m</v>
      </c>
      <c r="H1129" s="582"/>
      <c r="I1129" s="585">
        <f ca="1">IFERROR(__xludf.DUMMYFUNCTION("""COMPUTED_VALUE"""),1.3914432)</f>
        <v>1.3914432000000001</v>
      </c>
      <c r="J1129" s="586" t="str">
        <f ca="1">IFERROR(__xludf.DUMMYFUNCTION("""COMPUTED_VALUE""")," 22.22 ")</f>
        <v xml:space="preserve"> 22.22 </v>
      </c>
      <c r="K1129" s="584" t="str">
        <f ca="1">IFERROR(__xludf.DUMMYFUNCTION("""COMPUTED_VALUE"""),"0.80")</f>
        <v>0.80</v>
      </c>
      <c r="L1129" s="584">
        <f ca="1">IFERROR(__xludf.DUMMYFUNCTION("""COMPUTED_VALUE"""),2.9)</f>
        <v>2.9</v>
      </c>
      <c r="M1129" s="584"/>
      <c r="N1129" s="584" t="str">
        <f ca="1">IFERROR(__xludf.DUMMYFUNCTION("""COMPUTED_VALUE"""),"Dị_D&lt;54")</f>
        <v>Dị_D&lt;54</v>
      </c>
      <c r="O1129" s="583"/>
      <c r="P1129" s="584"/>
    </row>
    <row r="1130" spans="1:17" ht="15.75">
      <c r="A1130" s="587" t="str">
        <f ca="1">IFERROR(__xludf.DUMMYFUNCTION("""COMPUTED_VALUE"""),"Hailiang")</f>
        <v>Hailiang</v>
      </c>
      <c r="B1130" s="587" t="str">
        <f ca="1">IFERROR(__xludf.DUMMYFUNCTION("""COMPUTED_VALUE"""),"ĐHLCAYCH")</f>
        <v>ĐHLCAYCH</v>
      </c>
      <c r="C1130" s="587" t="str">
        <f ca="1">IFERROR(__xludf.DUMMYFUNCTION("""COMPUTED_VALUE"""),"DOTHL222208129")</f>
        <v>DOTHL222208129</v>
      </c>
      <c r="D1130" s="588" t="str">
        <f ca="1">IFERROR(__xludf.DUMMYFUNCTION("""COMPUTED_VALUE"""),"Đồng ống Hailiang dạng cây 22.22mmx0.81mmx2.9")</f>
        <v>Đồng ống Hailiang dạng cây 22.22mmx0.81mmx2.9</v>
      </c>
      <c r="E1130" s="589">
        <f ca="1">IFERROR(__xludf.DUMMYFUNCTION("""COMPUTED_VALUE"""),0.1)</f>
        <v>0.1</v>
      </c>
      <c r="F1130" s="590" t="str">
        <f ca="1">IFERROR(__xludf.DUMMYFUNCTION("""COMPUTED_VALUE"""),"Cây")</f>
        <v>Cây</v>
      </c>
      <c r="G1130" s="590" t="str">
        <f ca="1">IFERROR(__xludf.DUMMYFUNCTION("""COMPUTED_VALUE"""),"Cây 2.9m")</f>
        <v>Cây 2.9m</v>
      </c>
      <c r="H1130" s="588"/>
      <c r="I1130" s="591">
        <f ca="1">IFERROR(__xludf.DUMMYFUNCTION("""COMPUTED_VALUE"""),1.40817852)</f>
        <v>1.4081785200000001</v>
      </c>
      <c r="J1130" s="592" t="str">
        <f ca="1">IFERROR(__xludf.DUMMYFUNCTION("""COMPUTED_VALUE""")," 22.22 ")</f>
        <v xml:space="preserve"> 22.22 </v>
      </c>
      <c r="K1130" s="590" t="str">
        <f ca="1">IFERROR(__xludf.DUMMYFUNCTION("""COMPUTED_VALUE"""),"0.81")</f>
        <v>0.81</v>
      </c>
      <c r="L1130" s="590">
        <f ca="1">IFERROR(__xludf.DUMMYFUNCTION("""COMPUTED_VALUE"""),2.9)</f>
        <v>2.9</v>
      </c>
      <c r="M1130" s="590"/>
      <c r="N1130" s="590" t="str">
        <f ca="1">IFERROR(__xludf.DUMMYFUNCTION("""COMPUTED_VALUE"""),"Dị_D&lt;54")</f>
        <v>Dị_D&lt;54</v>
      </c>
      <c r="O1130" s="589"/>
      <c r="P1130" s="590"/>
    </row>
    <row r="1131" spans="1:17" ht="15.75">
      <c r="A1131" s="581" t="str">
        <f ca="1">IFERROR(__xludf.DUMMYFUNCTION("""COMPUTED_VALUE"""),"Hailiang")</f>
        <v>Hailiang</v>
      </c>
      <c r="B1131" s="581" t="str">
        <f ca="1">IFERROR(__xludf.DUMMYFUNCTION("""COMPUTED_VALUE"""),"ĐHLCAYDI")</f>
        <v>ĐHLCAYDI</v>
      </c>
      <c r="C1131" s="581" t="str">
        <f ca="1">IFERROR(__xludf.DUMMYFUNCTION("""COMPUTED_VALUE"""),"DOTHL222208158")</f>
        <v>DOTHL222208158</v>
      </c>
      <c r="D1131" s="582" t="str">
        <f ca="1">IFERROR(__xludf.DUMMYFUNCTION("""COMPUTED_VALUE"""),"Đồng ống Hailiang dạng cây 22.22mmx0.81mmx5.8")</f>
        <v>Đồng ống Hailiang dạng cây 22.22mmx0.81mmx5.8</v>
      </c>
      <c r="E1131" s="583">
        <f ca="1">IFERROR(__xludf.DUMMYFUNCTION("""COMPUTED_VALUE"""),0.1)</f>
        <v>0.1</v>
      </c>
      <c r="F1131" s="584" t="str">
        <f ca="1">IFERROR(__xludf.DUMMYFUNCTION("""COMPUTED_VALUE"""),"Cây")</f>
        <v>Cây</v>
      </c>
      <c r="G1131" s="584" t="str">
        <f ca="1">IFERROR(__xludf.DUMMYFUNCTION("""COMPUTED_VALUE"""),"Cây 5.8m")</f>
        <v>Cây 5.8m</v>
      </c>
      <c r="H1131" s="582"/>
      <c r="I1131" s="585">
        <f ca="1">IFERROR(__xludf.DUMMYFUNCTION("""COMPUTED_VALUE"""),2.81635704)</f>
        <v>2.8163570400000002</v>
      </c>
      <c r="J1131" s="586" t="str">
        <f ca="1">IFERROR(__xludf.DUMMYFUNCTION("""COMPUTED_VALUE""")," 22.22 ")</f>
        <v xml:space="preserve"> 22.22 </v>
      </c>
      <c r="K1131" s="584" t="str">
        <f ca="1">IFERROR(__xludf.DUMMYFUNCTION("""COMPUTED_VALUE"""),"0.81")</f>
        <v>0.81</v>
      </c>
      <c r="L1131" s="584">
        <f ca="1">IFERROR(__xludf.DUMMYFUNCTION("""COMPUTED_VALUE"""),5.8)</f>
        <v>5.8</v>
      </c>
      <c r="M1131" s="584"/>
      <c r="N1131" s="584" t="str">
        <f ca="1">IFERROR(__xludf.DUMMYFUNCTION("""COMPUTED_VALUE"""),"Dị_D&lt;54")</f>
        <v>Dị_D&lt;54</v>
      </c>
      <c r="O1131" s="583"/>
      <c r="P1131" s="584"/>
    </row>
    <row r="1132" spans="1:17" ht="15.75">
      <c r="A1132" s="587" t="str">
        <f ca="1">IFERROR(__xludf.DUMMYFUNCTION("""COMPUTED_VALUE"""),"Hailiang")</f>
        <v>Hailiang</v>
      </c>
      <c r="B1132" s="587" t="str">
        <f ca="1">IFERROR(__xludf.DUMMYFUNCTION("""COMPUTED_VALUE"""),"ĐHLCAYDI")</f>
        <v>ĐHLCAYDI</v>
      </c>
      <c r="C1132" s="587" t="str">
        <f ca="1">IFERROR(__xludf.DUMMYFUNCTION("""COMPUTED_VALUE"""),"DOTHL222209129")</f>
        <v>DOTHL222209129</v>
      </c>
      <c r="D1132" s="588" t="str">
        <f ca="1">IFERROR(__xludf.DUMMYFUNCTION("""COMPUTED_VALUE"""),"Đồng ống Hailiang dạng cây 22.22mmx0.91mmx2.9")</f>
        <v>Đồng ống Hailiang dạng cây 22.22mmx0.91mmx2.9</v>
      </c>
      <c r="E1132" s="589">
        <f ca="1">IFERROR(__xludf.DUMMYFUNCTION("""COMPUTED_VALUE"""),0.1)</f>
        <v>0.1</v>
      </c>
      <c r="F1132" s="590" t="str">
        <f ca="1">IFERROR(__xludf.DUMMYFUNCTION("""COMPUTED_VALUE"""),"Cây")</f>
        <v>Cây</v>
      </c>
      <c r="G1132" s="590" t="str">
        <f ca="1">IFERROR(__xludf.DUMMYFUNCTION("""COMPUTED_VALUE"""),"Cây 2.9m")</f>
        <v>Cây 2.9m</v>
      </c>
      <c r="H1132" s="588"/>
      <c r="I1132" s="591">
        <f ca="1">IFERROR(__xludf.DUMMYFUNCTION("""COMPUTED_VALUE"""),1.57463852)</f>
        <v>1.5746385199999999</v>
      </c>
      <c r="J1132" s="592" t="str">
        <f ca="1">IFERROR(__xludf.DUMMYFUNCTION("""COMPUTED_VALUE""")," 22.22 ")</f>
        <v xml:space="preserve"> 22.22 </v>
      </c>
      <c r="K1132" s="590" t="str">
        <f ca="1">IFERROR(__xludf.DUMMYFUNCTION("""COMPUTED_VALUE"""),"0.91")</f>
        <v>0.91</v>
      </c>
      <c r="L1132" s="590">
        <f ca="1">IFERROR(__xludf.DUMMYFUNCTION("""COMPUTED_VALUE"""),2.9)</f>
        <v>2.9</v>
      </c>
      <c r="M1132" s="590"/>
      <c r="N1132" s="590" t="str">
        <f ca="1">IFERROR(__xludf.DUMMYFUNCTION("""COMPUTED_VALUE"""),"Dị_D&lt;54")</f>
        <v>Dị_D&lt;54</v>
      </c>
      <c r="O1132" s="589"/>
      <c r="P1132" s="590"/>
    </row>
    <row r="1133" spans="1:17" ht="15.75">
      <c r="A1133" s="581" t="str">
        <f ca="1">IFERROR(__xludf.DUMMYFUNCTION("""COMPUTED_VALUE"""),"Hailiang")</f>
        <v>Hailiang</v>
      </c>
      <c r="B1133" s="581" t="str">
        <f ca="1">IFERROR(__xludf.DUMMYFUNCTION("""COMPUTED_VALUE"""),"ĐHLCAYDI")</f>
        <v>ĐHLCAYDI</v>
      </c>
      <c r="C1133" s="581" t="str">
        <f ca="1">IFERROR(__xludf.DUMMYFUNCTION("""COMPUTED_VALUE"""),"DOTHL22221029")</f>
        <v>DOTHL22221029</v>
      </c>
      <c r="D1133" s="582" t="str">
        <f ca="1">IFERROR(__xludf.DUMMYFUNCTION("""COMPUTED_VALUE"""),"Đồng ống Hailiang dạng cây 22.22mmx1.0mmx2.9")</f>
        <v>Đồng ống Hailiang dạng cây 22.22mmx1.0mmx2.9</v>
      </c>
      <c r="E1133" s="583">
        <f ca="1">IFERROR(__xludf.DUMMYFUNCTION("""COMPUTED_VALUE"""),0.1)</f>
        <v>0.1</v>
      </c>
      <c r="F1133" s="584" t="str">
        <f ca="1">IFERROR(__xludf.DUMMYFUNCTION("""COMPUTED_VALUE"""),"Cây")</f>
        <v>Cây</v>
      </c>
      <c r="G1133" s="584" t="str">
        <f ca="1">IFERROR(__xludf.DUMMYFUNCTION("""COMPUTED_VALUE"""),"Cây 2.9m")</f>
        <v>Cây 2.9m</v>
      </c>
      <c r="H1133" s="582"/>
      <c r="I1133" s="585">
        <f ca="1">IFERROR(__xludf.DUMMYFUNCTION("""COMPUTED_VALUE"""),1.723064)</f>
        <v>1.7230639999999999</v>
      </c>
      <c r="J1133" s="586" t="str">
        <f ca="1">IFERROR(__xludf.DUMMYFUNCTION("""COMPUTED_VALUE""")," 22.22 ")</f>
        <v xml:space="preserve"> 22.22 </v>
      </c>
      <c r="K1133" s="584" t="str">
        <f ca="1">IFERROR(__xludf.DUMMYFUNCTION("""COMPUTED_VALUE"""),"1.00")</f>
        <v>1.00</v>
      </c>
      <c r="L1133" s="584">
        <f ca="1">IFERROR(__xludf.DUMMYFUNCTION("""COMPUTED_VALUE"""),2.9)</f>
        <v>2.9</v>
      </c>
      <c r="M1133" s="584"/>
      <c r="N1133" s="584" t="str">
        <f ca="1">IFERROR(__xludf.DUMMYFUNCTION("""COMPUTED_VALUE"""),"Dị_D&lt;54")</f>
        <v>Dị_D&lt;54</v>
      </c>
      <c r="O1133" s="583"/>
      <c r="P1133" s="584"/>
    </row>
    <row r="1134" spans="1:17" ht="15.75">
      <c r="A1134" s="587" t="str">
        <f ca="1">IFERROR(__xludf.DUMMYFUNCTION("""COMPUTED_VALUE"""),"Hailiang")</f>
        <v>Hailiang</v>
      </c>
      <c r="B1134" s="587" t="str">
        <f ca="1">IFERROR(__xludf.DUMMYFUNCTION("""COMPUTED_VALUE"""),"ĐHLCAYDI")</f>
        <v>ĐHLCAYDI</v>
      </c>
      <c r="C1134" s="587" t="str">
        <f ca="1">IFERROR(__xludf.DUMMYFUNCTION("""COMPUTED_VALUE"""),"DOTHL22221058")</f>
        <v>DOTHL22221058</v>
      </c>
      <c r="D1134" s="588" t="str">
        <f ca="1">IFERROR(__xludf.DUMMYFUNCTION("""COMPUTED_VALUE"""),"Đồng ống Hailiang dạng cây 22.22mmx1.00mmx5.8")</f>
        <v>Đồng ống Hailiang dạng cây 22.22mmx1.00mmx5.8</v>
      </c>
      <c r="E1134" s="589">
        <f ca="1">IFERROR(__xludf.DUMMYFUNCTION("""COMPUTED_VALUE"""),0.1)</f>
        <v>0.1</v>
      </c>
      <c r="F1134" s="590" t="str">
        <f ca="1">IFERROR(__xludf.DUMMYFUNCTION("""COMPUTED_VALUE"""),"Cây")</f>
        <v>Cây</v>
      </c>
      <c r="G1134" s="590" t="str">
        <f ca="1">IFERROR(__xludf.DUMMYFUNCTION("""COMPUTED_VALUE"""),"Cây 5.8m")</f>
        <v>Cây 5.8m</v>
      </c>
      <c r="H1134" s="588"/>
      <c r="I1134" s="591">
        <f ca="1">IFERROR(__xludf.DUMMYFUNCTION("""COMPUTED_VALUE"""),3.446128)</f>
        <v>3.4461279999999999</v>
      </c>
      <c r="J1134" s="592" t="str">
        <f ca="1">IFERROR(__xludf.DUMMYFUNCTION("""COMPUTED_VALUE""")," 22.22 ")</f>
        <v xml:space="preserve"> 22.22 </v>
      </c>
      <c r="K1134" s="590" t="str">
        <f ca="1">IFERROR(__xludf.DUMMYFUNCTION("""COMPUTED_VALUE"""),"1.00")</f>
        <v>1.00</v>
      </c>
      <c r="L1134" s="590">
        <f ca="1">IFERROR(__xludf.DUMMYFUNCTION("""COMPUTED_VALUE"""),5.8)</f>
        <v>5.8</v>
      </c>
      <c r="M1134" s="590"/>
      <c r="N1134" s="590" t="str">
        <f ca="1">IFERROR(__xludf.DUMMYFUNCTION("""COMPUTED_VALUE"""),"Dị_D&lt;54")</f>
        <v>Dị_D&lt;54</v>
      </c>
      <c r="O1134" s="589"/>
      <c r="P1134" s="590"/>
    </row>
    <row r="1135" spans="1:17" ht="15.75">
      <c r="A1135" s="581" t="str">
        <f ca="1">IFERROR(__xludf.DUMMYFUNCTION("""COMPUTED_VALUE"""),"Hailiang")</f>
        <v>Hailiang</v>
      </c>
      <c r="B1135" s="581" t="str">
        <f ca="1">IFERROR(__xludf.DUMMYFUNCTION("""COMPUTED_VALUE"""),"ĐHLCAYDI")</f>
        <v>ĐHLCAYDI</v>
      </c>
      <c r="C1135" s="581" t="str">
        <f ca="1">IFERROR(__xludf.DUMMYFUNCTION("""COMPUTED_VALUE"""),"DOTHL222210258")</f>
        <v>DOTHL222210258</v>
      </c>
      <c r="D1135" s="582" t="str">
        <f ca="1">IFERROR(__xludf.DUMMYFUNCTION("""COMPUTED_VALUE"""),"Đồng ống Hailiang dạng cây 22.22mmx1.02mmx5.8")</f>
        <v>Đồng ống Hailiang dạng cây 22.22mmx1.02mmx5.8</v>
      </c>
      <c r="E1135" s="583">
        <f ca="1">IFERROR(__xludf.DUMMYFUNCTION("""COMPUTED_VALUE"""),0.1)</f>
        <v>0.1</v>
      </c>
      <c r="F1135" s="584" t="str">
        <f ca="1">IFERROR(__xludf.DUMMYFUNCTION("""COMPUTED_VALUE"""),"Cây")</f>
        <v>Cây</v>
      </c>
      <c r="G1135" s="584" t="str">
        <f ca="1">IFERROR(__xludf.DUMMYFUNCTION("""COMPUTED_VALUE"""),"Cây 5.8m")</f>
        <v>Cây 5.8m</v>
      </c>
      <c r="H1135" s="582"/>
      <c r="I1135" s="585">
        <f ca="1">IFERROR(__xludf.DUMMYFUNCTION("""COMPUTED_VALUE"""),3.5117376)</f>
        <v>3.5117376</v>
      </c>
      <c r="J1135" s="586" t="str">
        <f ca="1">IFERROR(__xludf.DUMMYFUNCTION("""COMPUTED_VALUE""")," 22.22 ")</f>
        <v xml:space="preserve"> 22.22 </v>
      </c>
      <c r="K1135" s="584" t="str">
        <f ca="1">IFERROR(__xludf.DUMMYFUNCTION("""COMPUTED_VALUE"""),"1.02")</f>
        <v>1.02</v>
      </c>
      <c r="L1135" s="584">
        <f ca="1">IFERROR(__xludf.DUMMYFUNCTION("""COMPUTED_VALUE"""),5.8)</f>
        <v>5.8</v>
      </c>
      <c r="M1135" s="584"/>
      <c r="N1135" s="584" t="str">
        <f ca="1">IFERROR(__xludf.DUMMYFUNCTION("""COMPUTED_VALUE"""),"Dị_D&lt;54")</f>
        <v>Dị_D&lt;54</v>
      </c>
      <c r="O1135" s="583"/>
      <c r="P1135" s="584"/>
    </row>
    <row r="1136" spans="1:17" ht="15.75">
      <c r="A1136" s="587" t="str">
        <f ca="1">IFERROR(__xludf.DUMMYFUNCTION("""COMPUTED_VALUE"""),"Hailiang")</f>
        <v>Hailiang</v>
      </c>
      <c r="B1136" s="587" t="str">
        <f ca="1">IFERROR(__xludf.DUMMYFUNCTION("""COMPUTED_VALUE"""),"ĐHLCAYTD")</f>
        <v>ĐHLCAYTD</v>
      </c>
      <c r="C1136" s="587" t="str">
        <f ca="1">IFERROR(__xludf.DUMMYFUNCTION("""COMPUTED_VALUE"""),"DOTHL222210229")</f>
        <v>DOTHL222210229</v>
      </c>
      <c r="D1136" s="588" t="str">
        <f ca="1">IFERROR(__xludf.DUMMYFUNCTION("""COMPUTED_VALUE"""),"Đồng ống Hailiang dạng cây 22.22mmx1.02mmx2.9")</f>
        <v>Đồng ống Hailiang dạng cây 22.22mmx1.02mmx2.9</v>
      </c>
      <c r="E1136" s="589">
        <f ca="1">IFERROR(__xludf.DUMMYFUNCTION("""COMPUTED_VALUE"""),0.1)</f>
        <v>0.1</v>
      </c>
      <c r="F1136" s="590" t="str">
        <f ca="1">IFERROR(__xludf.DUMMYFUNCTION("""COMPUTED_VALUE"""),"Cây")</f>
        <v>Cây</v>
      </c>
      <c r="G1136" s="590" t="str">
        <f ca="1">IFERROR(__xludf.DUMMYFUNCTION("""COMPUTED_VALUE"""),"Cây 2.9m")</f>
        <v>Cây 2.9m</v>
      </c>
      <c r="H1136" s="588"/>
      <c r="I1136" s="591">
        <f ca="1">IFERROR(__xludf.DUMMYFUNCTION("""COMPUTED_VALUE"""),1.7558688)</f>
        <v>1.7558688</v>
      </c>
      <c r="J1136" s="592" t="str">
        <f ca="1">IFERROR(__xludf.DUMMYFUNCTION("""COMPUTED_VALUE""")," 22.22 ")</f>
        <v xml:space="preserve"> 22.22 </v>
      </c>
      <c r="K1136" s="590" t="str">
        <f ca="1">IFERROR(__xludf.DUMMYFUNCTION("""COMPUTED_VALUE"""),"1.02")</f>
        <v>1.02</v>
      </c>
      <c r="L1136" s="590">
        <f ca="1">IFERROR(__xludf.DUMMYFUNCTION("""COMPUTED_VALUE"""),2.9)</f>
        <v>2.9</v>
      </c>
      <c r="M1136" s="590"/>
      <c r="N1136" s="590" t="str">
        <f ca="1">IFERROR(__xludf.DUMMYFUNCTION("""COMPUTED_VALUE"""),"Không")</f>
        <v>Không</v>
      </c>
      <c r="O1136" s="589"/>
      <c r="P1136" s="590"/>
      <c r="Q1136" s="885">
        <f ca="1">+$Q$5*I1136</f>
        <v>403.84982399999996</v>
      </c>
    </row>
    <row r="1137" spans="1:17" ht="15.75">
      <c r="A1137" s="581" t="str">
        <f ca="1">IFERROR(__xludf.DUMMYFUNCTION("""COMPUTED_VALUE"""),"Hailiang")</f>
        <v>Hailiang</v>
      </c>
      <c r="B1137" s="581" t="str">
        <f ca="1">IFERROR(__xludf.DUMMYFUNCTION("""COMPUTED_VALUE"""),"ĐHLCAYDI")</f>
        <v>ĐHLCAYDI</v>
      </c>
      <c r="C1137" s="581" t="str">
        <f ca="1">IFERROR(__xludf.DUMMYFUNCTION("""COMPUTED_VALUE"""),"DOTHL22221129")</f>
        <v>DOTHL22221129</v>
      </c>
      <c r="D1137" s="582" t="str">
        <f ca="1">IFERROR(__xludf.DUMMYFUNCTION("""COMPUTED_VALUE"""),"Đồng ống Hailiang dạng cây 22.22mmx1.1mmx2.9")</f>
        <v>Đồng ống Hailiang dạng cây 22.22mmx1.1mmx2.9</v>
      </c>
      <c r="E1137" s="583">
        <f ca="1">IFERROR(__xludf.DUMMYFUNCTION("""COMPUTED_VALUE"""),0.1)</f>
        <v>0.1</v>
      </c>
      <c r="F1137" s="584" t="str">
        <f ca="1">IFERROR(__xludf.DUMMYFUNCTION("""COMPUTED_VALUE"""),"Cây")</f>
        <v>Cây</v>
      </c>
      <c r="G1137" s="584" t="str">
        <f ca="1">IFERROR(__xludf.DUMMYFUNCTION("""COMPUTED_VALUE"""),"Cây 2.9m")</f>
        <v>Cây 2.9m</v>
      </c>
      <c r="H1137" s="582"/>
      <c r="I1137" s="585">
        <f ca="1">IFERROR(__xludf.DUMMYFUNCTION("""COMPUTED_VALUE"""),1.88643839999999)</f>
        <v>1.8864383999999901</v>
      </c>
      <c r="J1137" s="586" t="str">
        <f ca="1">IFERROR(__xludf.DUMMYFUNCTION("""COMPUTED_VALUE""")," 22.22 ")</f>
        <v xml:space="preserve"> 22.22 </v>
      </c>
      <c r="K1137" s="584" t="str">
        <f ca="1">IFERROR(__xludf.DUMMYFUNCTION("""COMPUTED_VALUE"""),"1.10")</f>
        <v>1.10</v>
      </c>
      <c r="L1137" s="584">
        <f ca="1">IFERROR(__xludf.DUMMYFUNCTION("""COMPUTED_VALUE"""),2.9)</f>
        <v>2.9</v>
      </c>
      <c r="M1137" s="584"/>
      <c r="N1137" s="584" t="str">
        <f ca="1">IFERROR(__xludf.DUMMYFUNCTION("""COMPUTED_VALUE"""),"Dị_D&lt;54")</f>
        <v>Dị_D&lt;54</v>
      </c>
      <c r="O1137" s="583"/>
      <c r="P1137" s="584"/>
    </row>
    <row r="1138" spans="1:17" ht="15.75">
      <c r="A1138" s="587" t="str">
        <f ca="1">IFERROR(__xludf.DUMMYFUNCTION("""COMPUTED_VALUE"""),"Hailiang")</f>
        <v>Hailiang</v>
      </c>
      <c r="B1138" s="587" t="str">
        <f ca="1">IFERROR(__xludf.DUMMYFUNCTION("""COMPUTED_VALUE"""),"ĐHLCAYDI")</f>
        <v>ĐHLCAYDI</v>
      </c>
      <c r="C1138" s="587" t="str">
        <f ca="1">IFERROR(__xludf.DUMMYFUNCTION("""COMPUTED_VALUE"""),"DOTHL222211429")</f>
        <v>DOTHL222211429</v>
      </c>
      <c r="D1138" s="588" t="str">
        <f ca="1">IFERROR(__xludf.DUMMYFUNCTION("""COMPUTED_VALUE"""),"Đồng ống Hailiang dạng cây 22.22mmx1.14mmx2.9")</f>
        <v>Đồng ống Hailiang dạng cây 22.22mmx1.14mmx2.9</v>
      </c>
      <c r="E1138" s="589">
        <f ca="1">IFERROR(__xludf.DUMMYFUNCTION("""COMPUTED_VALUE"""),0.1)</f>
        <v>0.1</v>
      </c>
      <c r="F1138" s="590" t="str">
        <f ca="1">IFERROR(__xludf.DUMMYFUNCTION("""COMPUTED_VALUE"""),"Cây")</f>
        <v>Cây</v>
      </c>
      <c r="G1138" s="590" t="str">
        <f ca="1">IFERROR(__xludf.DUMMYFUNCTION("""COMPUTED_VALUE"""),"Cây 2.9m")</f>
        <v>Cây 2.9m</v>
      </c>
      <c r="H1138" s="588"/>
      <c r="I1138" s="591">
        <f ca="1">IFERROR(__xludf.DUMMYFUNCTION("""COMPUTED_VALUE"""),1.95133343999999)</f>
        <v>1.95133343999999</v>
      </c>
      <c r="J1138" s="592" t="str">
        <f ca="1">IFERROR(__xludf.DUMMYFUNCTION("""COMPUTED_VALUE""")," 22.22 ")</f>
        <v xml:space="preserve"> 22.22 </v>
      </c>
      <c r="K1138" s="590" t="str">
        <f ca="1">IFERROR(__xludf.DUMMYFUNCTION("""COMPUTED_VALUE"""),"1.14")</f>
        <v>1.14</v>
      </c>
      <c r="L1138" s="590">
        <f ca="1">IFERROR(__xludf.DUMMYFUNCTION("""COMPUTED_VALUE"""),2.9)</f>
        <v>2.9</v>
      </c>
      <c r="M1138" s="590"/>
      <c r="N1138" s="590" t="str">
        <f ca="1">IFERROR(__xludf.DUMMYFUNCTION("""COMPUTED_VALUE"""),"Dị_D&lt;54")</f>
        <v>Dị_D&lt;54</v>
      </c>
      <c r="O1138" s="589"/>
      <c r="P1138" s="590"/>
    </row>
    <row r="1139" spans="1:17" ht="15.75">
      <c r="A1139" s="581" t="str">
        <f ca="1">IFERROR(__xludf.DUMMYFUNCTION("""COMPUTED_VALUE"""),"Hailiang")</f>
        <v>Hailiang</v>
      </c>
      <c r="B1139" s="581" t="str">
        <f ca="1">IFERROR(__xludf.DUMMYFUNCTION("""COMPUTED_VALUE"""),"ĐHLCAYDI")</f>
        <v>ĐHLCAYDI</v>
      </c>
      <c r="C1139" s="581" t="str">
        <f ca="1">IFERROR(__xludf.DUMMYFUNCTION("""COMPUTED_VALUE"""),"DOTHL22221258")</f>
        <v>DOTHL22221258</v>
      </c>
      <c r="D1139" s="582" t="str">
        <f ca="1">IFERROR(__xludf.DUMMYFUNCTION("""COMPUTED_VALUE"""),"Đồng ống Hailiang dạng cây 22.22mmx1.2mmx5.8")</f>
        <v>Đồng ống Hailiang dạng cây 22.22mmx1.2mmx5.8</v>
      </c>
      <c r="E1139" s="583">
        <f ca="1">IFERROR(__xludf.DUMMYFUNCTION("""COMPUTED_VALUE"""),0.1)</f>
        <v>0.1</v>
      </c>
      <c r="F1139" s="584" t="str">
        <f ca="1">IFERROR(__xludf.DUMMYFUNCTION("""COMPUTED_VALUE"""),"Cây")</f>
        <v>Cây</v>
      </c>
      <c r="G1139" s="584" t="str">
        <f ca="1">IFERROR(__xludf.DUMMYFUNCTION("""COMPUTED_VALUE"""),"Cây 5.8m")</f>
        <v>Cây 5.8m</v>
      </c>
      <c r="H1139" s="582"/>
      <c r="I1139" s="585">
        <f ca="1">IFERROR(__xludf.DUMMYFUNCTION("""COMPUTED_VALUE"""),4.0963776)</f>
        <v>4.0963776000000003</v>
      </c>
      <c r="J1139" s="586" t="str">
        <f ca="1">IFERROR(__xludf.DUMMYFUNCTION("""COMPUTED_VALUE""")," 22.22 ")</f>
        <v xml:space="preserve"> 22.22 </v>
      </c>
      <c r="K1139" s="584" t="str">
        <f ca="1">IFERROR(__xludf.DUMMYFUNCTION("""COMPUTED_VALUE"""),"1.20")</f>
        <v>1.20</v>
      </c>
      <c r="L1139" s="584">
        <f ca="1">IFERROR(__xludf.DUMMYFUNCTION("""COMPUTED_VALUE"""),5.8)</f>
        <v>5.8</v>
      </c>
      <c r="M1139" s="584"/>
      <c r="N1139" s="584" t="str">
        <f ca="1">IFERROR(__xludf.DUMMYFUNCTION("""COMPUTED_VALUE"""),"Dị_D&lt;54")</f>
        <v>Dị_D&lt;54</v>
      </c>
      <c r="O1139" s="583"/>
      <c r="P1139" s="584"/>
    </row>
    <row r="1140" spans="1:17" ht="15.75">
      <c r="A1140" s="587" t="str">
        <f ca="1">IFERROR(__xludf.DUMMYFUNCTION("""COMPUTED_VALUE"""),"Hailiang")</f>
        <v>Hailiang</v>
      </c>
      <c r="B1140" s="587" t="str">
        <f ca="1">IFERROR(__xludf.DUMMYFUNCTION("""COMPUTED_VALUE"""),"ĐHLCAYIB")</f>
        <v>ĐHLCAYIB</v>
      </c>
      <c r="C1140" s="587" t="str">
        <f ca="1">IFERROR(__xludf.DUMMYFUNCTION("""COMPUTED_VALUE"""),"DOTHL22221229")</f>
        <v>DOTHL22221229</v>
      </c>
      <c r="D1140" s="588" t="str">
        <f ca="1">IFERROR(__xludf.DUMMYFUNCTION("""COMPUTED_VALUE"""),"Đồng ống Hailiang dạng cây 22.22mmx1.22mmx2.9")</f>
        <v>Đồng ống Hailiang dạng cây 22.22mmx1.22mmx2.9</v>
      </c>
      <c r="E1140" s="589">
        <f ca="1">IFERROR(__xludf.DUMMYFUNCTION("""COMPUTED_VALUE"""),0.1)</f>
        <v>0.1</v>
      </c>
      <c r="F1140" s="590" t="str">
        <f ca="1">IFERROR(__xludf.DUMMYFUNCTION("""COMPUTED_VALUE"""),"Cây")</f>
        <v>Cây</v>
      </c>
      <c r="G1140" s="590" t="str">
        <f ca="1">IFERROR(__xludf.DUMMYFUNCTION("""COMPUTED_VALUE"""),"Cây 2.9m")</f>
        <v>Cây 2.9m</v>
      </c>
      <c r="H1140" s="588"/>
      <c r="I1140" s="591">
        <f ca="1">IFERROR(__xludf.DUMMYFUNCTION("""COMPUTED_VALUE"""),2.08034399999999)</f>
        <v>2.08034399999999</v>
      </c>
      <c r="J1140" s="592" t="str">
        <f ca="1">IFERROR(__xludf.DUMMYFUNCTION("""COMPUTED_VALUE""")," 22.22 ")</f>
        <v xml:space="preserve"> 22.22 </v>
      </c>
      <c r="K1140" s="590" t="str">
        <f ca="1">IFERROR(__xludf.DUMMYFUNCTION("""COMPUTED_VALUE"""),"1.22")</f>
        <v>1.22</v>
      </c>
      <c r="L1140" s="590">
        <f ca="1">IFERROR(__xludf.DUMMYFUNCTION("""COMPUTED_VALUE"""),2.9)</f>
        <v>2.9</v>
      </c>
      <c r="M1140" s="590"/>
      <c r="N1140" s="590" t="str">
        <f ca="1">IFERROR(__xludf.DUMMYFUNCTION("""COMPUTED_VALUE"""),"Ít bán")</f>
        <v>Ít bán</v>
      </c>
      <c r="O1140" s="589"/>
      <c r="P1140" s="590"/>
      <c r="Q1140" s="885">
        <f ca="1">+$Q$5*I1140</f>
        <v>478.47911999999764</v>
      </c>
    </row>
    <row r="1141" spans="1:17" ht="15.75">
      <c r="A1141" s="581" t="str">
        <f ca="1">IFERROR(__xludf.DUMMYFUNCTION("""COMPUTED_VALUE"""),"Hailiang")</f>
        <v>Hailiang</v>
      </c>
      <c r="B1141" s="581" t="str">
        <f ca="1">IFERROR(__xludf.DUMMYFUNCTION("""COMPUTED_VALUE"""),"ĐHLCAYDI")</f>
        <v>ĐHLCAYDI</v>
      </c>
      <c r="C1141" s="581" t="str">
        <f ca="1">IFERROR(__xludf.DUMMYFUNCTION("""COMPUTED_VALUE"""),"DOTHL222212258")</f>
        <v>DOTHL222212258</v>
      </c>
      <c r="D1141" s="582" t="str">
        <f ca="1">IFERROR(__xludf.DUMMYFUNCTION("""COMPUTED_VALUE"""),"Đồng ống Hailiang dạng cây 22.22mmx1.22mmx5.8")</f>
        <v>Đồng ống Hailiang dạng cây 22.22mmx1.22mmx5.8</v>
      </c>
      <c r="E1141" s="583">
        <f ca="1">IFERROR(__xludf.DUMMYFUNCTION("""COMPUTED_VALUE"""),0.1)</f>
        <v>0.1</v>
      </c>
      <c r="F1141" s="584" t="str">
        <f ca="1">IFERROR(__xludf.DUMMYFUNCTION("""COMPUTED_VALUE"""),"Cây")</f>
        <v>Cây</v>
      </c>
      <c r="G1141" s="584" t="str">
        <f ca="1">IFERROR(__xludf.DUMMYFUNCTION("""COMPUTED_VALUE"""),"Cây 5.8m")</f>
        <v>Cây 5.8m</v>
      </c>
      <c r="H1141" s="582"/>
      <c r="I1141" s="585">
        <f ca="1">IFERROR(__xludf.DUMMYFUNCTION("""COMPUTED_VALUE"""),4.16068799999999)</f>
        <v>4.1606879999999897</v>
      </c>
      <c r="J1141" s="586" t="str">
        <f ca="1">IFERROR(__xludf.DUMMYFUNCTION("""COMPUTED_VALUE""")," 22.22 ")</f>
        <v xml:space="preserve"> 22.22 </v>
      </c>
      <c r="K1141" s="584" t="str">
        <f ca="1">IFERROR(__xludf.DUMMYFUNCTION("""COMPUTED_VALUE"""),"1.22")</f>
        <v>1.22</v>
      </c>
      <c r="L1141" s="584">
        <f ca="1">IFERROR(__xludf.DUMMYFUNCTION("""COMPUTED_VALUE"""),5.8)</f>
        <v>5.8</v>
      </c>
      <c r="M1141" s="584"/>
      <c r="N1141" s="584" t="str">
        <f ca="1">IFERROR(__xludf.DUMMYFUNCTION("""COMPUTED_VALUE"""),"Dị_D&lt;54")</f>
        <v>Dị_D&lt;54</v>
      </c>
      <c r="O1141" s="583"/>
      <c r="P1141" s="584"/>
    </row>
    <row r="1142" spans="1:17" ht="15.75">
      <c r="A1142" s="587" t="str">
        <f ca="1">IFERROR(__xludf.DUMMYFUNCTION("""COMPUTED_VALUE"""),"Hailiang")</f>
        <v>Hailiang</v>
      </c>
      <c r="B1142" s="587" t="str">
        <f ca="1">IFERROR(__xludf.DUMMYFUNCTION("""COMPUTED_VALUE"""),"ĐHLCAYDI")</f>
        <v>ĐHLCAYDI</v>
      </c>
      <c r="C1142" s="587"/>
      <c r="D1142" s="588" t="str">
        <f ca="1">IFERROR(__xludf.DUMMYFUNCTION("""COMPUTED_VALUE"""),"Đồng ống Hailiang dạng cây 22.22mmx1.22mmx2.9")</f>
        <v>Đồng ống Hailiang dạng cây 22.22mmx1.22mmx2.9</v>
      </c>
      <c r="E1142" s="589">
        <f ca="1">IFERROR(__xludf.DUMMYFUNCTION("""COMPUTED_VALUE"""),0.1)</f>
        <v>0.1</v>
      </c>
      <c r="F1142" s="590" t="str">
        <f ca="1">IFERROR(__xludf.DUMMYFUNCTION("""COMPUTED_VALUE"""),"Cây")</f>
        <v>Cây</v>
      </c>
      <c r="G1142" s="590" t="str">
        <f ca="1">IFERROR(__xludf.DUMMYFUNCTION("""COMPUTED_VALUE"""),"Cây 2.9m")</f>
        <v>Cây 2.9m</v>
      </c>
      <c r="H1142" s="588"/>
      <c r="I1142" s="591">
        <f ca="1">IFERROR(__xludf.DUMMYFUNCTION("""COMPUTED_VALUE"""),2.08034399999999)</f>
        <v>2.08034399999999</v>
      </c>
      <c r="J1142" s="592" t="str">
        <f ca="1">IFERROR(__xludf.DUMMYFUNCTION("""COMPUTED_VALUE""")," 22.22 ")</f>
        <v xml:space="preserve"> 22.22 </v>
      </c>
      <c r="K1142" s="590" t="str">
        <f ca="1">IFERROR(__xludf.DUMMYFUNCTION("""COMPUTED_VALUE"""),"1.22")</f>
        <v>1.22</v>
      </c>
      <c r="L1142" s="590">
        <f ca="1">IFERROR(__xludf.DUMMYFUNCTION("""COMPUTED_VALUE"""),2.9)</f>
        <v>2.9</v>
      </c>
      <c r="M1142" s="590"/>
      <c r="N1142" s="590" t="str">
        <f ca="1">IFERROR(__xludf.DUMMYFUNCTION("""COMPUTED_VALUE"""),"Dị_D&lt;54")</f>
        <v>Dị_D&lt;54</v>
      </c>
      <c r="O1142" s="589"/>
      <c r="P1142" s="590"/>
    </row>
    <row r="1143" spans="1:17" ht="15.75">
      <c r="A1143" s="581" t="str">
        <f ca="1">IFERROR(__xludf.DUMMYFUNCTION("""COMPUTED_VALUE"""),"Hailiang")</f>
        <v>Hailiang</v>
      </c>
      <c r="B1143" s="581" t="str">
        <f ca="1">IFERROR(__xludf.DUMMYFUNCTION("""COMPUTED_VALUE"""),"ĐHLCAYDI")</f>
        <v>ĐHLCAYDI</v>
      </c>
      <c r="C1143" s="581" t="str">
        <f ca="1">IFERROR(__xludf.DUMMYFUNCTION("""COMPUTED_VALUE"""),"DOTHL2540081")</f>
        <v>DOTHL2540081</v>
      </c>
      <c r="D1143" s="582" t="str">
        <f ca="1">IFERROR(__xludf.DUMMYFUNCTION("""COMPUTED_VALUE"""),"Đồng ống Hailiang dạng cây 25.40mmx0.81mmx2.9m")</f>
        <v>Đồng ống Hailiang dạng cây 25.40mmx0.81mmx2.9m</v>
      </c>
      <c r="E1143" s="583">
        <f ca="1">IFERROR(__xludf.DUMMYFUNCTION("""COMPUTED_VALUE"""),0.1)</f>
        <v>0.1</v>
      </c>
      <c r="F1143" s="584" t="str">
        <f ca="1">IFERROR(__xludf.DUMMYFUNCTION("""COMPUTED_VALUE"""),"Cây")</f>
        <v>Cây</v>
      </c>
      <c r="G1143" s="584" t="str">
        <f ca="1">IFERROR(__xludf.DUMMYFUNCTION("""COMPUTED_VALUE"""),"Cây 2.9m")</f>
        <v>Cây 2.9m</v>
      </c>
      <c r="H1143" s="582"/>
      <c r="I1143" s="585">
        <f ca="1">IFERROR(__xludf.DUMMYFUNCTION("""COMPUTED_VALUE"""),1.61733347999999)</f>
        <v>1.6173334799999901</v>
      </c>
      <c r="J1143" s="586" t="str">
        <f ca="1">IFERROR(__xludf.DUMMYFUNCTION("""COMPUTED_VALUE""")," 25.40 ")</f>
        <v xml:space="preserve"> 25.40 </v>
      </c>
      <c r="K1143" s="584" t="str">
        <f ca="1">IFERROR(__xludf.DUMMYFUNCTION("""COMPUTED_VALUE"""),"0.81")</f>
        <v>0.81</v>
      </c>
      <c r="L1143" s="584">
        <f ca="1">IFERROR(__xludf.DUMMYFUNCTION("""COMPUTED_VALUE"""),2.9)</f>
        <v>2.9</v>
      </c>
      <c r="M1143" s="584"/>
      <c r="N1143" s="584" t="str">
        <f ca="1">IFERROR(__xludf.DUMMYFUNCTION("""COMPUTED_VALUE"""),"Dị_D&lt;54")</f>
        <v>Dị_D&lt;54</v>
      </c>
      <c r="O1143" s="583"/>
      <c r="P1143" s="584"/>
    </row>
    <row r="1144" spans="1:17" ht="15.75">
      <c r="A1144" s="587" t="str">
        <f ca="1">IFERROR(__xludf.DUMMYFUNCTION("""COMPUTED_VALUE"""),"Hailiang")</f>
        <v>Hailiang</v>
      </c>
      <c r="B1144" s="587" t="str">
        <f ca="1">IFERROR(__xludf.DUMMYFUNCTION("""COMPUTED_VALUE"""),"ĐHLCAYDI")</f>
        <v>ĐHLCAYDI</v>
      </c>
      <c r="C1144" s="587" t="str">
        <f ca="1">IFERROR(__xludf.DUMMYFUNCTION("""COMPUTED_VALUE"""),"DOTHL25401058")</f>
        <v>DOTHL25401058</v>
      </c>
      <c r="D1144" s="588" t="str">
        <f ca="1">IFERROR(__xludf.DUMMYFUNCTION("""COMPUTED_VALUE"""),"Đồng ống Hailiang dạng cây 25.40mmx1.0mmx5.8m")</f>
        <v>Đồng ống Hailiang dạng cây 25.40mmx1.0mmx5.8m</v>
      </c>
      <c r="E1144" s="589">
        <f ca="1">IFERROR(__xludf.DUMMYFUNCTION("""COMPUTED_VALUE"""),0.1)</f>
        <v>0.1</v>
      </c>
      <c r="F1144" s="590" t="str">
        <f ca="1">IFERROR(__xludf.DUMMYFUNCTION("""COMPUTED_VALUE"""),"Cây")</f>
        <v>Cây</v>
      </c>
      <c r="G1144" s="590" t="str">
        <f ca="1">IFERROR(__xludf.DUMMYFUNCTION("""COMPUTED_VALUE"""),"Cây 5.8m")</f>
        <v>Cây 5.8m</v>
      </c>
      <c r="H1144" s="588"/>
      <c r="I1144" s="591">
        <f ca="1">IFERROR(__xludf.DUMMYFUNCTION("""COMPUTED_VALUE"""),3.96256)</f>
        <v>3.9625599999999999</v>
      </c>
      <c r="J1144" s="592" t="str">
        <f ca="1">IFERROR(__xludf.DUMMYFUNCTION("""COMPUTED_VALUE""")," 25.40 ")</f>
        <v xml:space="preserve"> 25.40 </v>
      </c>
      <c r="K1144" s="590" t="str">
        <f ca="1">IFERROR(__xludf.DUMMYFUNCTION("""COMPUTED_VALUE"""),"1.00")</f>
        <v>1.00</v>
      </c>
      <c r="L1144" s="590">
        <f ca="1">IFERROR(__xludf.DUMMYFUNCTION("""COMPUTED_VALUE"""),5.8)</f>
        <v>5.8</v>
      </c>
      <c r="M1144" s="590"/>
      <c r="N1144" s="590" t="str">
        <f ca="1">IFERROR(__xludf.DUMMYFUNCTION("""COMPUTED_VALUE"""),"Dị_D&lt;54")</f>
        <v>Dị_D&lt;54</v>
      </c>
      <c r="O1144" s="589"/>
      <c r="P1144" s="590"/>
    </row>
    <row r="1145" spans="1:17" ht="15.75">
      <c r="A1145" s="581" t="str">
        <f ca="1">IFERROR(__xludf.DUMMYFUNCTION("""COMPUTED_VALUE"""),"Hailiang")</f>
        <v>Hailiang</v>
      </c>
      <c r="B1145" s="581" t="str">
        <f ca="1">IFERROR(__xludf.DUMMYFUNCTION("""COMPUTED_VALUE"""),"ĐHLCAYCH")</f>
        <v>ĐHLCAYCH</v>
      </c>
      <c r="C1145" s="581" t="str">
        <f ca="1">IFERROR(__xludf.DUMMYFUNCTION("""COMPUTED_VALUE"""),"DOTHL254010229")</f>
        <v>DOTHL254010229</v>
      </c>
      <c r="D1145" s="582" t="str">
        <f ca="1">IFERROR(__xludf.DUMMYFUNCTION("""COMPUTED_VALUE"""),"Đồng ống Hailiang dạng cây 25.40mmx1.02mmx2.9m")</f>
        <v>Đồng ống Hailiang dạng cây 25.40mmx1.02mmx2.9m</v>
      </c>
      <c r="E1145" s="583">
        <f ca="1">IFERROR(__xludf.DUMMYFUNCTION("""COMPUTED_VALUE"""),0.1)</f>
        <v>0.1</v>
      </c>
      <c r="F1145" s="584" t="str">
        <f ca="1">IFERROR(__xludf.DUMMYFUNCTION("""COMPUTED_VALUE"""),"Cây")</f>
        <v>Cây</v>
      </c>
      <c r="G1145" s="584" t="str">
        <f ca="1">IFERROR(__xludf.DUMMYFUNCTION("""COMPUTED_VALUE"""),"Cây 2.9m")</f>
        <v>Cây 2.9m</v>
      </c>
      <c r="H1145" s="582"/>
      <c r="I1145" s="585">
        <f ca="1">IFERROR(__xludf.DUMMYFUNCTION("""COMPUTED_VALUE"""),2.01924912)</f>
        <v>2.01924912</v>
      </c>
      <c r="J1145" s="586" t="str">
        <f ca="1">IFERROR(__xludf.DUMMYFUNCTION("""COMPUTED_VALUE""")," 25.40 ")</f>
        <v xml:space="preserve"> 25.40 </v>
      </c>
      <c r="K1145" s="584" t="str">
        <f ca="1">IFERROR(__xludf.DUMMYFUNCTION("""COMPUTED_VALUE"""),"1.02")</f>
        <v>1.02</v>
      </c>
      <c r="L1145" s="584">
        <f ca="1">IFERROR(__xludf.DUMMYFUNCTION("""COMPUTED_VALUE"""),2.9)</f>
        <v>2.9</v>
      </c>
      <c r="M1145" s="584"/>
      <c r="N1145" s="584" t="str">
        <f ca="1">IFERROR(__xludf.DUMMYFUNCTION("""COMPUTED_VALUE"""),"Dị_D&lt;54")</f>
        <v>Dị_D&lt;54</v>
      </c>
      <c r="O1145" s="583"/>
      <c r="P1145" s="584"/>
    </row>
    <row r="1146" spans="1:17" ht="15.75">
      <c r="A1146" s="587" t="str">
        <f ca="1">IFERROR(__xludf.DUMMYFUNCTION("""COMPUTED_VALUE"""),"Hailiang")</f>
        <v>Hailiang</v>
      </c>
      <c r="B1146" s="587" t="str">
        <f ca="1">IFERROR(__xludf.DUMMYFUNCTION("""COMPUTED_VALUE"""),"ĐHLCAYCH")</f>
        <v>ĐHLCAYCH</v>
      </c>
      <c r="C1146" s="587" t="str">
        <f ca="1">IFERROR(__xludf.DUMMYFUNCTION("""COMPUTED_VALUE"""),"DOTHL254011429")</f>
        <v>DOTHL254011429</v>
      </c>
      <c r="D1146" s="588" t="str">
        <f ca="1">IFERROR(__xludf.DUMMYFUNCTION("""COMPUTED_VALUE"""),"Đồng ống Hailiang dạng cây 25.40mmx1.14mmx2.9m")</f>
        <v>Đồng ống Hailiang dạng cây 25.40mmx1.14mmx2.9m</v>
      </c>
      <c r="E1146" s="589">
        <f ca="1">IFERROR(__xludf.DUMMYFUNCTION("""COMPUTED_VALUE"""),0.1)</f>
        <v>0.1</v>
      </c>
      <c r="F1146" s="590" t="str">
        <f ca="1">IFERROR(__xludf.DUMMYFUNCTION("""COMPUTED_VALUE"""),"Cây")</f>
        <v>Cây</v>
      </c>
      <c r="G1146" s="590" t="str">
        <f ca="1">IFERROR(__xludf.DUMMYFUNCTION("""COMPUTED_VALUE"""),"Cây 2.9m")</f>
        <v>Cây 2.9m</v>
      </c>
      <c r="H1146" s="588"/>
      <c r="I1146" s="591">
        <f ca="1">IFERROR(__xludf.DUMMYFUNCTION("""COMPUTED_VALUE"""),2.24569967999999)</f>
        <v>2.2456996799999902</v>
      </c>
      <c r="J1146" s="592" t="str">
        <f ca="1">IFERROR(__xludf.DUMMYFUNCTION("""COMPUTED_VALUE""")," 25.40 ")</f>
        <v xml:space="preserve"> 25.40 </v>
      </c>
      <c r="K1146" s="590" t="str">
        <f ca="1">IFERROR(__xludf.DUMMYFUNCTION("""COMPUTED_VALUE"""),"1.14")</f>
        <v>1.14</v>
      </c>
      <c r="L1146" s="590">
        <f ca="1">IFERROR(__xludf.DUMMYFUNCTION("""COMPUTED_VALUE"""),2.9)</f>
        <v>2.9</v>
      </c>
      <c r="M1146" s="590"/>
      <c r="N1146" s="590" t="str">
        <f ca="1">IFERROR(__xludf.DUMMYFUNCTION("""COMPUTED_VALUE"""),"Dị_D&lt;54")</f>
        <v>Dị_D&lt;54</v>
      </c>
      <c r="O1146" s="589"/>
      <c r="P1146" s="590"/>
    </row>
    <row r="1147" spans="1:17" ht="15.75">
      <c r="A1147" s="581" t="str">
        <f ca="1">IFERROR(__xludf.DUMMYFUNCTION("""COMPUTED_VALUE"""),"Hailiang")</f>
        <v>Hailiang</v>
      </c>
      <c r="B1147" s="581" t="str">
        <f ca="1">IFERROR(__xludf.DUMMYFUNCTION("""COMPUTED_VALUE"""),"ĐHLCAYDI")</f>
        <v>ĐHLCAYDI</v>
      </c>
      <c r="C1147" s="581" t="str">
        <f ca="1">IFERROR(__xludf.DUMMYFUNCTION("""COMPUTED_VALUE"""),"DOTHL25401229")</f>
        <v>DOTHL25401229</v>
      </c>
      <c r="D1147" s="582" t="str">
        <f ca="1">IFERROR(__xludf.DUMMYFUNCTION("""COMPUTED_VALUE"""),"Đồng ống Hailiang dạng cây 25.40mmx1.2mmx2.9m")</f>
        <v>Đồng ống Hailiang dạng cây 25.40mmx1.2mmx2.9m</v>
      </c>
      <c r="E1147" s="583">
        <f ca="1">IFERROR(__xludf.DUMMYFUNCTION("""COMPUTED_VALUE"""),0.1)</f>
        <v>0.1</v>
      </c>
      <c r="F1147" s="584" t="str">
        <f ca="1">IFERROR(__xludf.DUMMYFUNCTION("""COMPUTED_VALUE"""),"Cây")</f>
        <v>Cây</v>
      </c>
      <c r="G1147" s="584" t="str">
        <f ca="1">IFERROR(__xludf.DUMMYFUNCTION("""COMPUTED_VALUE"""),"Cây 2.9m")</f>
        <v>Cây 2.9m</v>
      </c>
      <c r="H1147" s="582"/>
      <c r="I1147" s="585">
        <f ca="1">IFERROR(__xludf.DUMMYFUNCTION("""COMPUTED_VALUE"""),2.35804799999999)</f>
        <v>2.3580479999999899</v>
      </c>
      <c r="J1147" s="586" t="str">
        <f ca="1">IFERROR(__xludf.DUMMYFUNCTION("""COMPUTED_VALUE""")," 25.40 ")</f>
        <v xml:space="preserve"> 25.40 </v>
      </c>
      <c r="K1147" s="584" t="str">
        <f ca="1">IFERROR(__xludf.DUMMYFUNCTION("""COMPUTED_VALUE"""),"1.20")</f>
        <v>1.20</v>
      </c>
      <c r="L1147" s="584">
        <f ca="1">IFERROR(__xludf.DUMMYFUNCTION("""COMPUTED_VALUE"""),2.9)</f>
        <v>2.9</v>
      </c>
      <c r="M1147" s="584"/>
      <c r="N1147" s="584" t="str">
        <f ca="1">IFERROR(__xludf.DUMMYFUNCTION("""COMPUTED_VALUE"""),"Dị_D&lt;54")</f>
        <v>Dị_D&lt;54</v>
      </c>
      <c r="O1147" s="583"/>
      <c r="P1147" s="584"/>
    </row>
    <row r="1148" spans="1:17" ht="15.75">
      <c r="A1148" s="587" t="str">
        <f ca="1">IFERROR(__xludf.DUMMYFUNCTION("""COMPUTED_VALUE"""),"Hailiang")</f>
        <v>Hailiang</v>
      </c>
      <c r="B1148" s="587" t="str">
        <f ca="1">IFERROR(__xludf.DUMMYFUNCTION("""COMPUTED_VALUE"""),"ĐHLCAYDI")</f>
        <v>ĐHLCAYDI</v>
      </c>
      <c r="C1148" s="587" t="str">
        <f ca="1">IFERROR(__xludf.DUMMYFUNCTION("""COMPUTED_VALUE"""),"DOTHL25401258")</f>
        <v>DOTHL25401258</v>
      </c>
      <c r="D1148" s="588" t="str">
        <f ca="1">IFERROR(__xludf.DUMMYFUNCTION("""COMPUTED_VALUE"""),"Đồng ống Hailiang dạng cây 25.40mmx1.2mmx5.8m")</f>
        <v>Đồng ống Hailiang dạng cây 25.40mmx1.2mmx5.8m</v>
      </c>
      <c r="E1148" s="589">
        <f ca="1">IFERROR(__xludf.DUMMYFUNCTION("""COMPUTED_VALUE"""),0.1)</f>
        <v>0.1</v>
      </c>
      <c r="F1148" s="590" t="str">
        <f ca="1">IFERROR(__xludf.DUMMYFUNCTION("""COMPUTED_VALUE"""),"Cây")</f>
        <v>Cây</v>
      </c>
      <c r="G1148" s="590" t="str">
        <f ca="1">IFERROR(__xludf.DUMMYFUNCTION("""COMPUTED_VALUE"""),"Cây 5.8m")</f>
        <v>Cây 5.8m</v>
      </c>
      <c r="H1148" s="588"/>
      <c r="I1148" s="591">
        <f ca="1">IFERROR(__xludf.DUMMYFUNCTION("""COMPUTED_VALUE"""),4.71609599999999)</f>
        <v>4.7160959999999896</v>
      </c>
      <c r="J1148" s="592" t="str">
        <f ca="1">IFERROR(__xludf.DUMMYFUNCTION("""COMPUTED_VALUE""")," 25.40 ")</f>
        <v xml:space="preserve"> 25.40 </v>
      </c>
      <c r="K1148" s="590" t="str">
        <f ca="1">IFERROR(__xludf.DUMMYFUNCTION("""COMPUTED_VALUE"""),"1.20")</f>
        <v>1.20</v>
      </c>
      <c r="L1148" s="590">
        <f ca="1">IFERROR(__xludf.DUMMYFUNCTION("""COMPUTED_VALUE"""),5.8)</f>
        <v>5.8</v>
      </c>
      <c r="M1148" s="590"/>
      <c r="N1148" s="590" t="str">
        <f ca="1">IFERROR(__xludf.DUMMYFUNCTION("""COMPUTED_VALUE"""),"Dị_D&lt;54")</f>
        <v>Dị_D&lt;54</v>
      </c>
      <c r="O1148" s="589"/>
      <c r="P1148" s="590"/>
    </row>
    <row r="1149" spans="1:17" ht="15.75">
      <c r="A1149" s="581" t="str">
        <f ca="1">IFERROR(__xludf.DUMMYFUNCTION("""COMPUTED_VALUE"""),"Hailiang")</f>
        <v>Hailiang</v>
      </c>
      <c r="B1149" s="581" t="str">
        <f ca="1">IFERROR(__xludf.DUMMYFUNCTION("""COMPUTED_VALUE"""),"ĐHLCAY")</f>
        <v>ĐHLCAY</v>
      </c>
      <c r="C1149" s="581" t="str">
        <f ca="1">IFERROR(__xludf.DUMMYFUNCTION("""COMPUTED_VALUE"""),"DOTHL254012229")</f>
        <v>DOTHL254012229</v>
      </c>
      <c r="D1149" s="582" t="str">
        <f ca="1">IFERROR(__xludf.DUMMYFUNCTION("""COMPUTED_VALUE"""),"Đồng ống Hailiang dạng cây 25.40mmx1.22mmx2.9m")</f>
        <v>Đồng ống Hailiang dạng cây 25.40mmx1.22mmx2.9m</v>
      </c>
      <c r="E1149" s="583">
        <f ca="1">IFERROR(__xludf.DUMMYFUNCTION("""COMPUTED_VALUE"""),0.1)</f>
        <v>0.1</v>
      </c>
      <c r="F1149" s="584" t="str">
        <f ca="1">IFERROR(__xludf.DUMMYFUNCTION("""COMPUTED_VALUE"""),"Cây")</f>
        <v>Cây</v>
      </c>
      <c r="G1149" s="584" t="str">
        <f ca="1">IFERROR(__xludf.DUMMYFUNCTION("""COMPUTED_VALUE"""),"Cây 2.9m")</f>
        <v>Cây 2.9m</v>
      </c>
      <c r="H1149" s="582"/>
      <c r="I1149" s="585">
        <f ca="1">IFERROR(__xludf.DUMMYFUNCTION("""COMPUTED_VALUE"""),2.39536751999999)</f>
        <v>2.39536751999999</v>
      </c>
      <c r="J1149" s="586" t="str">
        <f ca="1">IFERROR(__xludf.DUMMYFUNCTION("""COMPUTED_VALUE""")," 25.40 ")</f>
        <v xml:space="preserve"> 25.40 </v>
      </c>
      <c r="K1149" s="584" t="str">
        <f ca="1">IFERROR(__xludf.DUMMYFUNCTION("""COMPUTED_VALUE"""),"1.22")</f>
        <v>1.22</v>
      </c>
      <c r="L1149" s="584">
        <f ca="1">IFERROR(__xludf.DUMMYFUNCTION("""COMPUTED_VALUE"""),2.9)</f>
        <v>2.9</v>
      </c>
      <c r="M1149" s="584"/>
      <c r="N1149" s="584" t="str">
        <f ca="1">IFERROR(__xludf.DUMMYFUNCTION("""COMPUTED_VALUE"""),"Dị_D&lt;54")</f>
        <v>Dị_D&lt;54</v>
      </c>
      <c r="O1149" s="583"/>
      <c r="P1149" s="584"/>
    </row>
    <row r="1150" spans="1:17" ht="15.75">
      <c r="A1150" s="587" t="str">
        <f ca="1">IFERROR(__xludf.DUMMYFUNCTION("""COMPUTED_VALUE"""),"Hailiang")</f>
        <v>Hailiang</v>
      </c>
      <c r="B1150" s="587" t="str">
        <f ca="1">IFERROR(__xludf.DUMMYFUNCTION("""COMPUTED_VALUE"""),"ĐHLCAYCH")</f>
        <v>ĐHLCAYCH</v>
      </c>
      <c r="C1150" s="587" t="str">
        <f ca="1">IFERROR(__xludf.DUMMYFUNCTION("""COMPUTED_VALUE"""),"DOTHL285808129")</f>
        <v>DOTHL285808129</v>
      </c>
      <c r="D1150" s="588" t="str">
        <f ca="1">IFERROR(__xludf.DUMMYFUNCTION("""COMPUTED_VALUE"""),"Đồng ống Hailiang dạng cây 28.58mmx0.81mmx2.9")</f>
        <v>Đồng ống Hailiang dạng cây 28.58mmx0.81mmx2.9</v>
      </c>
      <c r="E1150" s="589">
        <f ca="1">IFERROR(__xludf.DUMMYFUNCTION("""COMPUTED_VALUE"""),0.1)</f>
        <v>0.1</v>
      </c>
      <c r="F1150" s="590" t="str">
        <f ca="1">IFERROR(__xludf.DUMMYFUNCTION("""COMPUTED_VALUE"""),"Cây")</f>
        <v>Cây</v>
      </c>
      <c r="G1150" s="590" t="str">
        <f ca="1">IFERROR(__xludf.DUMMYFUNCTION("""COMPUTED_VALUE"""),"Cây 2.9m")</f>
        <v>Cây 2.9m</v>
      </c>
      <c r="H1150" s="588"/>
      <c r="I1150" s="591">
        <f ca="1">IFERROR(__xludf.DUMMYFUNCTION("""COMPUTED_VALUE"""),1.82648844)</f>
        <v>1.8264884400000001</v>
      </c>
      <c r="J1150" s="592" t="str">
        <f ca="1">IFERROR(__xludf.DUMMYFUNCTION("""COMPUTED_VALUE""")," 28.58 ")</f>
        <v xml:space="preserve"> 28.58 </v>
      </c>
      <c r="K1150" s="590" t="str">
        <f ca="1">IFERROR(__xludf.DUMMYFUNCTION("""COMPUTED_VALUE"""),"0.81")</f>
        <v>0.81</v>
      </c>
      <c r="L1150" s="590">
        <f ca="1">IFERROR(__xludf.DUMMYFUNCTION("""COMPUTED_VALUE"""),2.9)</f>
        <v>2.9</v>
      </c>
      <c r="M1150" s="590"/>
      <c r="N1150" s="590" t="str">
        <f ca="1">IFERROR(__xludf.DUMMYFUNCTION("""COMPUTED_VALUE"""),"Dị_D&lt;54")</f>
        <v>Dị_D&lt;54</v>
      </c>
      <c r="O1150" s="589"/>
      <c r="P1150" s="590"/>
    </row>
    <row r="1151" spans="1:17" ht="15.75">
      <c r="A1151" s="581" t="str">
        <f ca="1">IFERROR(__xludf.DUMMYFUNCTION("""COMPUTED_VALUE"""),"Hailiang")</f>
        <v>Hailiang</v>
      </c>
      <c r="B1151" s="581" t="str">
        <f ca="1">IFERROR(__xludf.DUMMYFUNCTION("""COMPUTED_VALUE"""),"ĐHLCAYDI")</f>
        <v>ĐHLCAYDI</v>
      </c>
      <c r="C1151" s="581" t="str">
        <f ca="1">IFERROR(__xludf.DUMMYFUNCTION("""COMPUTED_VALUE"""),"DOTHL285808158")</f>
        <v>DOTHL285808158</v>
      </c>
      <c r="D1151" s="582" t="str">
        <f ca="1">IFERROR(__xludf.DUMMYFUNCTION("""COMPUTED_VALUE"""),"Đồng ống Hailiang dạng cây 28.58mmx0.81mmx5.8")</f>
        <v>Đồng ống Hailiang dạng cây 28.58mmx0.81mmx5.8</v>
      </c>
      <c r="E1151" s="583">
        <f ca="1">IFERROR(__xludf.DUMMYFUNCTION("""COMPUTED_VALUE"""),0.1)</f>
        <v>0.1</v>
      </c>
      <c r="F1151" s="584" t="str">
        <f ca="1">IFERROR(__xludf.DUMMYFUNCTION("""COMPUTED_VALUE"""),"Cây")</f>
        <v>Cây</v>
      </c>
      <c r="G1151" s="584" t="str">
        <f ca="1">IFERROR(__xludf.DUMMYFUNCTION("""COMPUTED_VALUE"""),"Cây 5.8m")</f>
        <v>Cây 5.8m</v>
      </c>
      <c r="H1151" s="582"/>
      <c r="I1151" s="585">
        <f ca="1">IFERROR(__xludf.DUMMYFUNCTION("""COMPUTED_VALUE"""),3.65297688)</f>
        <v>3.6529768800000002</v>
      </c>
      <c r="J1151" s="586" t="str">
        <f ca="1">IFERROR(__xludf.DUMMYFUNCTION("""COMPUTED_VALUE""")," 28.58 ")</f>
        <v xml:space="preserve"> 28.58 </v>
      </c>
      <c r="K1151" s="584" t="str">
        <f ca="1">IFERROR(__xludf.DUMMYFUNCTION("""COMPUTED_VALUE"""),"0.81")</f>
        <v>0.81</v>
      </c>
      <c r="L1151" s="584">
        <f ca="1">IFERROR(__xludf.DUMMYFUNCTION("""COMPUTED_VALUE"""),5.8)</f>
        <v>5.8</v>
      </c>
      <c r="M1151" s="584"/>
      <c r="N1151" s="584" t="str">
        <f ca="1">IFERROR(__xludf.DUMMYFUNCTION("""COMPUTED_VALUE"""),"Dị_D&lt;54")</f>
        <v>Dị_D&lt;54</v>
      </c>
      <c r="O1151" s="583"/>
      <c r="P1151" s="584"/>
    </row>
    <row r="1152" spans="1:17" ht="15.75">
      <c r="A1152" s="587" t="str">
        <f ca="1">IFERROR(__xludf.DUMMYFUNCTION("""COMPUTED_VALUE"""),"Hailiang")</f>
        <v>Hailiang</v>
      </c>
      <c r="B1152" s="587" t="str">
        <f ca="1">IFERROR(__xludf.DUMMYFUNCTION("""COMPUTED_VALUE"""),"ĐHLCAYDI")</f>
        <v>ĐHLCAYDI</v>
      </c>
      <c r="C1152" s="587" t="str">
        <f ca="1">IFERROR(__xludf.DUMMYFUNCTION("""COMPUTED_VALUE"""),"DOTHL285809129")</f>
        <v>DOTHL285809129</v>
      </c>
      <c r="D1152" s="588" t="str">
        <f ca="1">IFERROR(__xludf.DUMMYFUNCTION("""COMPUTED_VALUE"""),"Đồng ống Hailiang dạng cây 28.58mmx0.91mmx2.9")</f>
        <v>Đồng ống Hailiang dạng cây 28.58mmx0.91mmx2.9</v>
      </c>
      <c r="E1152" s="589">
        <f ca="1">IFERROR(__xludf.DUMMYFUNCTION("""COMPUTED_VALUE"""),0.1)</f>
        <v>0.1</v>
      </c>
      <c r="F1152" s="590" t="str">
        <f ca="1">IFERROR(__xludf.DUMMYFUNCTION("""COMPUTED_VALUE"""),"Cây")</f>
        <v>Cây</v>
      </c>
      <c r="G1152" s="590" t="str">
        <f ca="1">IFERROR(__xludf.DUMMYFUNCTION("""COMPUTED_VALUE"""),"Cây 2.9m")</f>
        <v>Cây 2.9m</v>
      </c>
      <c r="H1152" s="588"/>
      <c r="I1152" s="591">
        <f ca="1">IFERROR(__xludf.DUMMYFUNCTION("""COMPUTED_VALUE"""),2.04459163999999)</f>
        <v>2.0445916399999899</v>
      </c>
      <c r="J1152" s="592" t="str">
        <f ca="1">IFERROR(__xludf.DUMMYFUNCTION("""COMPUTED_VALUE""")," 28.58 ")</f>
        <v xml:space="preserve"> 28.58 </v>
      </c>
      <c r="K1152" s="590" t="str">
        <f ca="1">IFERROR(__xludf.DUMMYFUNCTION("""COMPUTED_VALUE"""),"0.91")</f>
        <v>0.91</v>
      </c>
      <c r="L1152" s="590">
        <f ca="1">IFERROR(__xludf.DUMMYFUNCTION("""COMPUTED_VALUE"""),2.9)</f>
        <v>2.9</v>
      </c>
      <c r="M1152" s="590"/>
      <c r="N1152" s="590" t="str">
        <f ca="1">IFERROR(__xludf.DUMMYFUNCTION("""COMPUTED_VALUE"""),"Dị_D&lt;54")</f>
        <v>Dị_D&lt;54</v>
      </c>
      <c r="O1152" s="589"/>
      <c r="P1152" s="590"/>
    </row>
    <row r="1153" spans="1:17" ht="15.75">
      <c r="A1153" s="581" t="str">
        <f ca="1">IFERROR(__xludf.DUMMYFUNCTION("""COMPUTED_VALUE"""),"Hailiang")</f>
        <v>Hailiang</v>
      </c>
      <c r="B1153" s="581" t="str">
        <f ca="1">IFERROR(__xludf.DUMMYFUNCTION("""COMPUTED_VALUE"""),"ĐHLCAYDI")</f>
        <v>ĐHLCAYDI</v>
      </c>
      <c r="C1153" s="581" t="str">
        <f ca="1">IFERROR(__xludf.DUMMYFUNCTION("""COMPUTED_VALUE"""),"DOTHL285810058")</f>
        <v>DOTHL285810058</v>
      </c>
      <c r="D1153" s="582" t="str">
        <f ca="1">IFERROR(__xludf.DUMMYFUNCTION("""COMPUTED_VALUE"""),"Đồng ống Hailiang dạng cây 28.58mmx1.00mmx5.8")</f>
        <v>Đồng ống Hailiang dạng cây 28.58mmx1.00mmx5.8</v>
      </c>
      <c r="E1153" s="583">
        <f ca="1">IFERROR(__xludf.DUMMYFUNCTION("""COMPUTED_VALUE"""),0.1)</f>
        <v>0.1</v>
      </c>
      <c r="F1153" s="584" t="str">
        <f ca="1">IFERROR(__xludf.DUMMYFUNCTION("""COMPUTED_VALUE"""),"Cây")</f>
        <v>Cây</v>
      </c>
      <c r="G1153" s="584" t="str">
        <f ca="1">IFERROR(__xludf.DUMMYFUNCTION("""COMPUTED_VALUE"""),"Cây 5.8m")</f>
        <v>Cây 5.8m</v>
      </c>
      <c r="H1153" s="582"/>
      <c r="I1153" s="585">
        <f ca="1">IFERROR(__xludf.DUMMYFUNCTION("""COMPUTED_VALUE"""),4.478992)</f>
        <v>4.4789919999999999</v>
      </c>
      <c r="J1153" s="586" t="str">
        <f ca="1">IFERROR(__xludf.DUMMYFUNCTION("""COMPUTED_VALUE""")," 28.58 ")</f>
        <v xml:space="preserve"> 28.58 </v>
      </c>
      <c r="K1153" s="584" t="str">
        <f ca="1">IFERROR(__xludf.DUMMYFUNCTION("""COMPUTED_VALUE"""),"1.00")</f>
        <v>1.00</v>
      </c>
      <c r="L1153" s="584">
        <f ca="1">IFERROR(__xludf.DUMMYFUNCTION("""COMPUTED_VALUE"""),5.8)</f>
        <v>5.8</v>
      </c>
      <c r="M1153" s="584"/>
      <c r="N1153" s="584" t="str">
        <f ca="1">IFERROR(__xludf.DUMMYFUNCTION("""COMPUTED_VALUE"""),"Dị_D&lt;54")</f>
        <v>Dị_D&lt;54</v>
      </c>
      <c r="O1153" s="583"/>
      <c r="P1153" s="584"/>
    </row>
    <row r="1154" spans="1:17" ht="15.75">
      <c r="A1154" s="587" t="str">
        <f ca="1">IFERROR(__xludf.DUMMYFUNCTION("""COMPUTED_VALUE"""),"Hailiang")</f>
        <v>Hailiang</v>
      </c>
      <c r="B1154" s="587" t="str">
        <f ca="1">IFERROR(__xludf.DUMMYFUNCTION("""COMPUTED_VALUE"""),"ĐHLCAYDI")</f>
        <v>ĐHLCAYDI</v>
      </c>
      <c r="C1154" s="587" t="str">
        <f ca="1">IFERROR(__xludf.DUMMYFUNCTION("""COMPUTED_VALUE"""),"DOTHL285810258")</f>
        <v>DOTHL285810258</v>
      </c>
      <c r="D1154" s="588" t="str">
        <f ca="1">IFERROR(__xludf.DUMMYFUNCTION("""COMPUTED_VALUE"""),"Đồng ống Hailiang dạng cây 28.58mmx1.02mmx5.8")</f>
        <v>Đồng ống Hailiang dạng cây 28.58mmx1.02mmx5.8</v>
      </c>
      <c r="E1154" s="589">
        <f ca="1">IFERROR(__xludf.DUMMYFUNCTION("""COMPUTED_VALUE"""),0.1)</f>
        <v>0.1</v>
      </c>
      <c r="F1154" s="590" t="str">
        <f ca="1">IFERROR(__xludf.DUMMYFUNCTION("""COMPUTED_VALUE"""),"Cây")</f>
        <v>Cây</v>
      </c>
      <c r="G1154" s="590" t="str">
        <f ca="1">IFERROR(__xludf.DUMMYFUNCTION("""COMPUTED_VALUE"""),"Cây 5.8m")</f>
        <v>Cây 5.8m</v>
      </c>
      <c r="H1154" s="588"/>
      <c r="I1154" s="591">
        <f ca="1">IFERROR(__xludf.DUMMYFUNCTION("""COMPUTED_VALUE"""),4.56525888)</f>
        <v>4.56525888</v>
      </c>
      <c r="J1154" s="592" t="str">
        <f ca="1">IFERROR(__xludf.DUMMYFUNCTION("""COMPUTED_VALUE""")," 28.58 ")</f>
        <v xml:space="preserve"> 28.58 </v>
      </c>
      <c r="K1154" s="590" t="str">
        <f ca="1">IFERROR(__xludf.DUMMYFUNCTION("""COMPUTED_VALUE"""),"1.02")</f>
        <v>1.02</v>
      </c>
      <c r="L1154" s="590">
        <f ca="1">IFERROR(__xludf.DUMMYFUNCTION("""COMPUTED_VALUE"""),5.8)</f>
        <v>5.8</v>
      </c>
      <c r="M1154" s="590"/>
      <c r="N1154" s="590" t="str">
        <f ca="1">IFERROR(__xludf.DUMMYFUNCTION("""COMPUTED_VALUE"""),"Dị_D&lt;54")</f>
        <v>Dị_D&lt;54</v>
      </c>
      <c r="O1154" s="589"/>
      <c r="P1154" s="590"/>
    </row>
    <row r="1155" spans="1:17" ht="15.75">
      <c r="A1155" s="581" t="str">
        <f ca="1">IFERROR(__xludf.DUMMYFUNCTION("""COMPUTED_VALUE"""),"Hailiang")</f>
        <v>Hailiang</v>
      </c>
      <c r="B1155" s="581" t="str">
        <f ca="1">IFERROR(__xludf.DUMMYFUNCTION("""COMPUTED_VALUE"""),"ĐHLCAYTD")</f>
        <v>ĐHLCAYTD</v>
      </c>
      <c r="C1155" s="581" t="str">
        <f ca="1">IFERROR(__xludf.DUMMYFUNCTION("""COMPUTED_VALUE"""),"DOTHL285810229")</f>
        <v>DOTHL285810229</v>
      </c>
      <c r="D1155" s="582" t="str">
        <f ca="1">IFERROR(__xludf.DUMMYFUNCTION("""COMPUTED_VALUE"""),"Đồng ống Hailiang dạng cây 28.58mmx1.02mmx2.9m")</f>
        <v>Đồng ống Hailiang dạng cây 28.58mmx1.02mmx2.9m</v>
      </c>
      <c r="E1155" s="583">
        <f ca="1">IFERROR(__xludf.DUMMYFUNCTION("""COMPUTED_VALUE"""),0.1)</f>
        <v>0.1</v>
      </c>
      <c r="F1155" s="584" t="str">
        <f ca="1">IFERROR(__xludf.DUMMYFUNCTION("""COMPUTED_VALUE"""),"Cây")</f>
        <v>Cây</v>
      </c>
      <c r="G1155" s="584" t="str">
        <f ca="1">IFERROR(__xludf.DUMMYFUNCTION("""COMPUTED_VALUE"""),"Cây 2.9m")</f>
        <v>Cây 2.9m</v>
      </c>
      <c r="H1155" s="582"/>
      <c r="I1155" s="585">
        <f ca="1">IFERROR(__xludf.DUMMYFUNCTION("""COMPUTED_VALUE"""),2.28262944)</f>
        <v>2.28262944</v>
      </c>
      <c r="J1155" s="586" t="str">
        <f ca="1">IFERROR(__xludf.DUMMYFUNCTION("""COMPUTED_VALUE""")," 28.58 ")</f>
        <v xml:space="preserve"> 28.58 </v>
      </c>
      <c r="K1155" s="584" t="str">
        <f ca="1">IFERROR(__xludf.DUMMYFUNCTION("""COMPUTED_VALUE"""),"1.02")</f>
        <v>1.02</v>
      </c>
      <c r="L1155" s="584">
        <f ca="1">IFERROR(__xludf.DUMMYFUNCTION("""COMPUTED_VALUE"""),2.9)</f>
        <v>2.9</v>
      </c>
      <c r="M1155" s="584"/>
      <c r="N1155" s="584" t="str">
        <f ca="1">IFERROR(__xludf.DUMMYFUNCTION("""COMPUTED_VALUE"""),"Không")</f>
        <v>Không</v>
      </c>
      <c r="O1155" s="583"/>
      <c r="P1155" s="584"/>
      <c r="Q1155" s="885">
        <f ca="1">+$Q$5*I1155</f>
        <v>525.00477119999994</v>
      </c>
    </row>
    <row r="1156" spans="1:17" ht="15.75">
      <c r="A1156" s="587" t="str">
        <f ca="1">IFERROR(__xludf.DUMMYFUNCTION("""COMPUTED_VALUE"""),"Hailiang")</f>
        <v>Hailiang</v>
      </c>
      <c r="B1156" s="587" t="str">
        <f ca="1">IFERROR(__xludf.DUMMYFUNCTION("""COMPUTED_VALUE"""),"ĐHLCAYDI")</f>
        <v>ĐHLCAYDI</v>
      </c>
      <c r="C1156" s="587" t="str">
        <f ca="1">IFERROR(__xludf.DUMMYFUNCTION("""COMPUTED_VALUE"""),"DOTHL285811029")</f>
        <v>DOTHL285811029</v>
      </c>
      <c r="D1156" s="588" t="str">
        <f ca="1">IFERROR(__xludf.DUMMYFUNCTION("""COMPUTED_VALUE"""),"Đồng ống Hailiang dạng cây 28.58mmx1.10 mmx2.9")</f>
        <v>Đồng ống Hailiang dạng cây 28.58mmx1.10 mmx2.9</v>
      </c>
      <c r="E1156" s="589">
        <f ca="1">IFERROR(__xludf.DUMMYFUNCTION("""COMPUTED_VALUE"""),0.1)</f>
        <v>0.1</v>
      </c>
      <c r="F1156" s="590" t="str">
        <f ca="1">IFERROR(__xludf.DUMMYFUNCTION("""COMPUTED_VALUE"""),"Cây")</f>
        <v>Cây</v>
      </c>
      <c r="G1156" s="590" t="str">
        <f ca="1">IFERROR(__xludf.DUMMYFUNCTION("""COMPUTED_VALUE"""),"Cây 2.9m")</f>
        <v>Cây 2.9m</v>
      </c>
      <c r="H1156" s="588"/>
      <c r="I1156" s="591">
        <f ca="1">IFERROR(__xludf.DUMMYFUNCTION("""COMPUTED_VALUE"""),2.4545136)</f>
        <v>2.4545135999999999</v>
      </c>
      <c r="J1156" s="592" t="str">
        <f ca="1">IFERROR(__xludf.DUMMYFUNCTION("""COMPUTED_VALUE""")," 28.58 ")</f>
        <v xml:space="preserve"> 28.58 </v>
      </c>
      <c r="K1156" s="590" t="str">
        <f ca="1">IFERROR(__xludf.DUMMYFUNCTION("""COMPUTED_VALUE"""),"1.10")</f>
        <v>1.10</v>
      </c>
      <c r="L1156" s="590">
        <f ca="1">IFERROR(__xludf.DUMMYFUNCTION("""COMPUTED_VALUE"""),2.9)</f>
        <v>2.9</v>
      </c>
      <c r="M1156" s="590"/>
      <c r="N1156" s="590" t="str">
        <f ca="1">IFERROR(__xludf.DUMMYFUNCTION("""COMPUTED_VALUE"""),"Dị_D&lt;54")</f>
        <v>Dị_D&lt;54</v>
      </c>
      <c r="O1156" s="589"/>
      <c r="P1156" s="590"/>
    </row>
    <row r="1157" spans="1:17" ht="15.75">
      <c r="A1157" s="581" t="str">
        <f ca="1">IFERROR(__xludf.DUMMYFUNCTION("""COMPUTED_VALUE"""),"Hailiang")</f>
        <v>Hailiang</v>
      </c>
      <c r="B1157" s="581" t="str">
        <f ca="1">IFERROR(__xludf.DUMMYFUNCTION("""COMPUTED_VALUE"""),"ĐHLCAYDI")</f>
        <v>ĐHLCAYDI</v>
      </c>
      <c r="C1157" s="581" t="str">
        <f ca="1">IFERROR(__xludf.DUMMYFUNCTION("""COMPUTED_VALUE"""),"DOTHL28581258")</f>
        <v>DOTHL28581258</v>
      </c>
      <c r="D1157" s="582" t="str">
        <f ca="1">IFERROR(__xludf.DUMMYFUNCTION("""COMPUTED_VALUE"""),"Đồng ống Hailiang dạng cây 28.58mmx1.2mmx5.8")</f>
        <v>Đồng ống Hailiang dạng cây 28.58mmx1.2mmx5.8</v>
      </c>
      <c r="E1157" s="583">
        <f ca="1">IFERROR(__xludf.DUMMYFUNCTION("""COMPUTED_VALUE"""),0.1)</f>
        <v>0.1</v>
      </c>
      <c r="F1157" s="584" t="str">
        <f ca="1">IFERROR(__xludf.DUMMYFUNCTION("""COMPUTED_VALUE"""),"Cây")</f>
        <v>Cây</v>
      </c>
      <c r="G1157" s="584" t="str">
        <f ca="1">IFERROR(__xludf.DUMMYFUNCTION("""COMPUTED_VALUE"""),"Cây 5.8m")</f>
        <v>Cây 5.8m</v>
      </c>
      <c r="H1157" s="582"/>
      <c r="I1157" s="585">
        <f ca="1">IFERROR(__xludf.DUMMYFUNCTION("""COMPUTED_VALUE"""),5.33581439999999)</f>
        <v>5.3358143999999896</v>
      </c>
      <c r="J1157" s="586" t="str">
        <f ca="1">IFERROR(__xludf.DUMMYFUNCTION("""COMPUTED_VALUE""")," 28.58 ")</f>
        <v xml:space="preserve"> 28.58 </v>
      </c>
      <c r="K1157" s="584" t="str">
        <f ca="1">IFERROR(__xludf.DUMMYFUNCTION("""COMPUTED_VALUE"""),"1.20")</f>
        <v>1.20</v>
      </c>
      <c r="L1157" s="584">
        <f ca="1">IFERROR(__xludf.DUMMYFUNCTION("""COMPUTED_VALUE"""),5.8)</f>
        <v>5.8</v>
      </c>
      <c r="M1157" s="584"/>
      <c r="N1157" s="584" t="str">
        <f ca="1">IFERROR(__xludf.DUMMYFUNCTION("""COMPUTED_VALUE"""),"Dị_D&lt;54")</f>
        <v>Dị_D&lt;54</v>
      </c>
      <c r="O1157" s="583"/>
      <c r="P1157" s="584"/>
    </row>
    <row r="1158" spans="1:17" ht="15.75">
      <c r="A1158" s="587" t="str">
        <f ca="1">IFERROR(__xludf.DUMMYFUNCTION("""COMPUTED_VALUE"""),"Hailiang")</f>
        <v>Hailiang</v>
      </c>
      <c r="B1158" s="587" t="str">
        <f ca="1">IFERROR(__xludf.DUMMYFUNCTION("""COMPUTED_VALUE"""),"ĐHLCAYDI")</f>
        <v>ĐHLCAYDI</v>
      </c>
      <c r="C1158" s="587" t="str">
        <f ca="1">IFERROR(__xludf.DUMMYFUNCTION("""COMPUTED_VALUE"""),"DOTHL28581229")</f>
        <v>DOTHL28581229</v>
      </c>
      <c r="D1158" s="588" t="str">
        <f ca="1">IFERROR(__xludf.DUMMYFUNCTION("""COMPUTED_VALUE"""),"Đồng ống Hailiang dạng cây 28.58mmx1.2mmx2.9")</f>
        <v>Đồng ống Hailiang dạng cây 28.58mmx1.2mmx2.9</v>
      </c>
      <c r="E1158" s="589">
        <f ca="1">IFERROR(__xludf.DUMMYFUNCTION("""COMPUTED_VALUE"""),0.1)</f>
        <v>0.1</v>
      </c>
      <c r="F1158" s="590" t="str">
        <f ca="1">IFERROR(__xludf.DUMMYFUNCTION("""COMPUTED_VALUE"""),"Cây")</f>
        <v>Cây</v>
      </c>
      <c r="G1158" s="590" t="str">
        <f ca="1">IFERROR(__xludf.DUMMYFUNCTION("""COMPUTED_VALUE"""),"Cây 2.9m")</f>
        <v>Cây 2.9m</v>
      </c>
      <c r="H1158" s="588"/>
      <c r="I1158" s="591">
        <f ca="1">IFERROR(__xludf.DUMMYFUNCTION("""COMPUTED_VALUE"""),2.66790719999999)</f>
        <v>2.6679071999999899</v>
      </c>
      <c r="J1158" s="592" t="str">
        <f ca="1">IFERROR(__xludf.DUMMYFUNCTION("""COMPUTED_VALUE""")," 28.58 ")</f>
        <v xml:space="preserve"> 28.58 </v>
      </c>
      <c r="K1158" s="590" t="str">
        <f ca="1">IFERROR(__xludf.DUMMYFUNCTION("""COMPUTED_VALUE"""),"1.20")</f>
        <v>1.20</v>
      </c>
      <c r="L1158" s="590">
        <f ca="1">IFERROR(__xludf.DUMMYFUNCTION("""COMPUTED_VALUE"""),2.9)</f>
        <v>2.9</v>
      </c>
      <c r="M1158" s="590"/>
      <c r="N1158" s="590" t="str">
        <f ca="1">IFERROR(__xludf.DUMMYFUNCTION("""COMPUTED_VALUE"""),"Dị_D&lt;54")</f>
        <v>Dị_D&lt;54</v>
      </c>
      <c r="O1158" s="589"/>
      <c r="P1158" s="590"/>
    </row>
    <row r="1159" spans="1:17" ht="15.75">
      <c r="A1159" s="581" t="str">
        <f ca="1">IFERROR(__xludf.DUMMYFUNCTION("""COMPUTED_VALUE"""),"Hailiang")</f>
        <v>Hailiang</v>
      </c>
      <c r="B1159" s="581" t="str">
        <f ca="1">IFERROR(__xludf.DUMMYFUNCTION("""COMPUTED_VALUE"""),"ĐHLCAYTD")</f>
        <v>ĐHLCAYTD</v>
      </c>
      <c r="C1159" s="581" t="str">
        <f ca="1">IFERROR(__xludf.DUMMYFUNCTION("""COMPUTED_VALUE"""),"DOTHL285812229")</f>
        <v>DOTHL285812229</v>
      </c>
      <c r="D1159" s="582" t="str">
        <f ca="1">IFERROR(__xludf.DUMMYFUNCTION("""COMPUTED_VALUE"""),"Đồng ống Hailiang dạng cây 28.58mmx1.22mmx2.9")</f>
        <v>Đồng ống Hailiang dạng cây 28.58mmx1.22mmx2.9</v>
      </c>
      <c r="E1159" s="583">
        <f ca="1">IFERROR(__xludf.DUMMYFUNCTION("""COMPUTED_VALUE"""),0.1)</f>
        <v>0.1</v>
      </c>
      <c r="F1159" s="584" t="str">
        <f ca="1">IFERROR(__xludf.DUMMYFUNCTION("""COMPUTED_VALUE"""),"Cây")</f>
        <v>Cây</v>
      </c>
      <c r="G1159" s="584" t="str">
        <f ca="1">IFERROR(__xludf.DUMMYFUNCTION("""COMPUTED_VALUE"""),"Cây 2.9m")</f>
        <v>Cây 2.9m</v>
      </c>
      <c r="H1159" s="582"/>
      <c r="I1159" s="585">
        <f ca="1">IFERROR(__xludf.DUMMYFUNCTION("""COMPUTED_VALUE"""),2.71039103999999)</f>
        <v>2.71039103999999</v>
      </c>
      <c r="J1159" s="586" t="str">
        <f ca="1">IFERROR(__xludf.DUMMYFUNCTION("""COMPUTED_VALUE""")," 28.58 ")</f>
        <v xml:space="preserve"> 28.58 </v>
      </c>
      <c r="K1159" s="584" t="str">
        <f ca="1">IFERROR(__xludf.DUMMYFUNCTION("""COMPUTED_VALUE"""),"1.22")</f>
        <v>1.22</v>
      </c>
      <c r="L1159" s="584">
        <f ca="1">IFERROR(__xludf.DUMMYFUNCTION("""COMPUTED_VALUE"""),2.9)</f>
        <v>2.9</v>
      </c>
      <c r="M1159" s="584"/>
      <c r="N1159" s="584" t="str">
        <f ca="1">IFERROR(__xludf.DUMMYFUNCTION("""COMPUTED_VALUE"""),"Không")</f>
        <v>Không</v>
      </c>
      <c r="O1159" s="583"/>
      <c r="P1159" s="584"/>
      <c r="Q1159" s="885">
        <f ca="1">+$Q$5*I1159</f>
        <v>623.38993919999757</v>
      </c>
    </row>
    <row r="1160" spans="1:17" ht="15.75">
      <c r="A1160" s="587" t="str">
        <f ca="1">IFERROR(__xludf.DUMMYFUNCTION("""COMPUTED_VALUE"""),"Hailiang")</f>
        <v>Hailiang</v>
      </c>
      <c r="B1160" s="587" t="str">
        <f ca="1">IFERROR(__xludf.DUMMYFUNCTION("""COMPUTED_VALUE"""),"ĐHLCAYDI")</f>
        <v>ĐHLCAYDI</v>
      </c>
      <c r="C1160" s="587" t="str">
        <f ca="1">IFERROR(__xludf.DUMMYFUNCTION("""COMPUTED_VALUE"""),"DOTHL285812715")</f>
        <v>DOTHL285812715</v>
      </c>
      <c r="D1160" s="588" t="str">
        <f ca="1">IFERROR(__xludf.DUMMYFUNCTION("""COMPUTED_VALUE"""),"Đồng ống Hailiang dạng cây 28.58mmx1.27mmx5.8m")</f>
        <v>Đồng ống Hailiang dạng cây 28.58mmx1.27mmx5.8m</v>
      </c>
      <c r="E1160" s="589">
        <f ca="1">IFERROR(__xludf.DUMMYFUNCTION("""COMPUTED_VALUE"""),0.1)</f>
        <v>0.1</v>
      </c>
      <c r="F1160" s="590" t="str">
        <f ca="1">IFERROR(__xludf.DUMMYFUNCTION("""COMPUTED_VALUE"""),"Cây")</f>
        <v>Cây</v>
      </c>
      <c r="G1160" s="590" t="str">
        <f ca="1">IFERROR(__xludf.DUMMYFUNCTION("""COMPUTED_VALUE"""),"Cây 5.8m")</f>
        <v>Cây 5.8m</v>
      </c>
      <c r="H1160" s="588"/>
      <c r="I1160" s="591">
        <f ca="1">IFERROR(__xludf.DUMMYFUNCTION("""COMPUTED_VALUE"""),5.63263288)</f>
        <v>5.6326328800000001</v>
      </c>
      <c r="J1160" s="592" t="str">
        <f ca="1">IFERROR(__xludf.DUMMYFUNCTION("""COMPUTED_VALUE""")," 28.58 ")</f>
        <v xml:space="preserve"> 28.58 </v>
      </c>
      <c r="K1160" s="590" t="str">
        <f ca="1">IFERROR(__xludf.DUMMYFUNCTION("""COMPUTED_VALUE"""),"1.27")</f>
        <v>1.27</v>
      </c>
      <c r="L1160" s="590">
        <f ca="1">IFERROR(__xludf.DUMMYFUNCTION("""COMPUTED_VALUE"""),5.8)</f>
        <v>5.8</v>
      </c>
      <c r="M1160" s="590"/>
      <c r="N1160" s="590" t="str">
        <f ca="1">IFERROR(__xludf.DUMMYFUNCTION("""COMPUTED_VALUE"""),"Dị_D&lt;54")</f>
        <v>Dị_D&lt;54</v>
      </c>
      <c r="O1160" s="589"/>
      <c r="P1160" s="590"/>
    </row>
    <row r="1161" spans="1:17" ht="15.75">
      <c r="A1161" s="581" t="str">
        <f ca="1">IFERROR(__xludf.DUMMYFUNCTION("""COMPUTED_VALUE"""),"Hailiang")</f>
        <v>Hailiang</v>
      </c>
      <c r="B1161" s="581" t="str">
        <f ca="1">IFERROR(__xludf.DUMMYFUNCTION("""COMPUTED_VALUE"""),"ĐHLCAYDI")</f>
        <v>ĐHLCAYDI</v>
      </c>
      <c r="C1161" s="581" t="str">
        <f ca="1">IFERROR(__xludf.DUMMYFUNCTION("""COMPUTED_VALUE"""),"DOTHL285812729")</f>
        <v>DOTHL285812729</v>
      </c>
      <c r="D1161" s="582" t="str">
        <f ca="1">IFERROR(__xludf.DUMMYFUNCTION("""COMPUTED_VALUE"""),"Đồng ống Hailiang dạng cây 28.58mmx1.27mmx2.9m")</f>
        <v>Đồng ống Hailiang dạng cây 28.58mmx1.27mmx2.9m</v>
      </c>
      <c r="E1161" s="583">
        <f ca="1">IFERROR(__xludf.DUMMYFUNCTION("""COMPUTED_VALUE"""),0.1)</f>
        <v>0.1</v>
      </c>
      <c r="F1161" s="584" t="str">
        <f ca="1">IFERROR(__xludf.DUMMYFUNCTION("""COMPUTED_VALUE"""),"Cây")</f>
        <v>Cây</v>
      </c>
      <c r="G1161" s="584" t="str">
        <f ca="1">IFERROR(__xludf.DUMMYFUNCTION("""COMPUTED_VALUE"""),"Cây 2.9m")</f>
        <v>Cây 2.9m</v>
      </c>
      <c r="H1161" s="582"/>
      <c r="I1161" s="585">
        <f ca="1">IFERROR(__xludf.DUMMYFUNCTION("""COMPUTED_VALUE"""),2.81631644)</f>
        <v>2.81631644</v>
      </c>
      <c r="J1161" s="586" t="str">
        <f ca="1">IFERROR(__xludf.DUMMYFUNCTION("""COMPUTED_VALUE""")," 28.58 ")</f>
        <v xml:space="preserve"> 28.58 </v>
      </c>
      <c r="K1161" s="584" t="str">
        <f ca="1">IFERROR(__xludf.DUMMYFUNCTION("""COMPUTED_VALUE"""),"1.27")</f>
        <v>1.27</v>
      </c>
      <c r="L1161" s="584">
        <f ca="1">IFERROR(__xludf.DUMMYFUNCTION("""COMPUTED_VALUE"""),2.9)</f>
        <v>2.9</v>
      </c>
      <c r="M1161" s="584"/>
      <c r="N1161" s="584" t="str">
        <f ca="1">IFERROR(__xludf.DUMMYFUNCTION("""COMPUTED_VALUE"""),"Dị_D&lt;54")</f>
        <v>Dị_D&lt;54</v>
      </c>
      <c r="O1161" s="583"/>
      <c r="P1161" s="584"/>
    </row>
    <row r="1162" spans="1:17" ht="15.75">
      <c r="A1162" s="587" t="str">
        <f ca="1">IFERROR(__xludf.DUMMYFUNCTION("""COMPUTED_VALUE"""),"Hailiang")</f>
        <v>Hailiang</v>
      </c>
      <c r="B1162" s="587" t="str">
        <f ca="1">IFERROR(__xludf.DUMMYFUNCTION("""COMPUTED_VALUE"""),"ĐHLCAYDI")</f>
        <v>ĐHLCAYDI</v>
      </c>
      <c r="C1162" s="587" t="str">
        <f ca="1">IFERROR(__xludf.DUMMYFUNCTION("""COMPUTED_VALUE"""),"DOTHL285814029")</f>
        <v>DOTHL285814029</v>
      </c>
      <c r="D1162" s="588" t="str">
        <f ca="1">IFERROR(__xludf.DUMMYFUNCTION("""COMPUTED_VALUE"""),"Đồng ống Hailiang dạng cây 28.58mmx1.40 mmx2.9")</f>
        <v>Đồng ống Hailiang dạng cây 28.58mmx1.40 mmx2.9</v>
      </c>
      <c r="E1162" s="589">
        <f ca="1">IFERROR(__xludf.DUMMYFUNCTION("""COMPUTED_VALUE"""),0.1)</f>
        <v>0.1</v>
      </c>
      <c r="F1162" s="590" t="str">
        <f ca="1">IFERROR(__xludf.DUMMYFUNCTION("""COMPUTED_VALUE"""),"Cây")</f>
        <v>Cây</v>
      </c>
      <c r="G1162" s="590" t="str">
        <f ca="1">IFERROR(__xludf.DUMMYFUNCTION("""COMPUTED_VALUE"""),"Cây 2.9m")</f>
        <v>Cây 2.9m</v>
      </c>
      <c r="H1162" s="588"/>
      <c r="I1162" s="591">
        <f ca="1">IFERROR(__xludf.DUMMYFUNCTION("""COMPUTED_VALUE"""),3.08982239999999)</f>
        <v>3.0898223999999899</v>
      </c>
      <c r="J1162" s="592" t="str">
        <f ca="1">IFERROR(__xludf.DUMMYFUNCTION("""COMPUTED_VALUE""")," 28.58 ")</f>
        <v xml:space="preserve"> 28.58 </v>
      </c>
      <c r="K1162" s="590" t="str">
        <f ca="1">IFERROR(__xludf.DUMMYFUNCTION("""COMPUTED_VALUE"""),"1.40")</f>
        <v>1.40</v>
      </c>
      <c r="L1162" s="590">
        <f ca="1">IFERROR(__xludf.DUMMYFUNCTION("""COMPUTED_VALUE"""),2.9)</f>
        <v>2.9</v>
      </c>
      <c r="M1162" s="590"/>
      <c r="N1162" s="590" t="str">
        <f ca="1">IFERROR(__xludf.DUMMYFUNCTION("""COMPUTED_VALUE"""),"Dị_D&lt;54")</f>
        <v>Dị_D&lt;54</v>
      </c>
      <c r="O1162" s="589"/>
      <c r="P1162" s="590"/>
    </row>
    <row r="1163" spans="1:17" ht="15.75">
      <c r="A1163" s="581" t="str">
        <f ca="1">IFERROR(__xludf.DUMMYFUNCTION("""COMPUTED_VALUE"""),"Hailiang")</f>
        <v>Hailiang</v>
      </c>
      <c r="B1163" s="581" t="str">
        <f ca="1">IFERROR(__xludf.DUMMYFUNCTION("""COMPUTED_VALUE"""),"ĐHLCAYDI")</f>
        <v>ĐHLCAYDI</v>
      </c>
      <c r="C1163" s="581" t="str">
        <f ca="1">IFERROR(__xludf.DUMMYFUNCTION("""COMPUTED_VALUE"""),"DOTHL28581458")</f>
        <v>DOTHL28581458</v>
      </c>
      <c r="D1163" s="582" t="str">
        <f ca="1">IFERROR(__xludf.DUMMYFUNCTION("""COMPUTED_VALUE"""),"Đồng ống Hailiang dạng cây 28.58mmx1.4mmx5.8")</f>
        <v>Đồng ống Hailiang dạng cây 28.58mmx1.4mmx5.8</v>
      </c>
      <c r="E1163" s="583">
        <f ca="1">IFERROR(__xludf.DUMMYFUNCTION("""COMPUTED_VALUE"""),0.1)</f>
        <v>0.1</v>
      </c>
      <c r="F1163" s="584" t="str">
        <f ca="1">IFERROR(__xludf.DUMMYFUNCTION("""COMPUTED_VALUE"""),"Cây")</f>
        <v>Cây</v>
      </c>
      <c r="G1163" s="584" t="str">
        <f ca="1">IFERROR(__xludf.DUMMYFUNCTION("""COMPUTED_VALUE"""),"Cây 5.8m")</f>
        <v>Cây 5.8m</v>
      </c>
      <c r="H1163" s="582"/>
      <c r="I1163" s="585">
        <f ca="1">IFERROR(__xludf.DUMMYFUNCTION("""COMPUTED_VALUE"""),6.17964479999999)</f>
        <v>6.1796447999999904</v>
      </c>
      <c r="J1163" s="586" t="str">
        <f ca="1">IFERROR(__xludf.DUMMYFUNCTION("""COMPUTED_VALUE""")," 28.58 ")</f>
        <v xml:space="preserve"> 28.58 </v>
      </c>
      <c r="K1163" s="584" t="str">
        <f ca="1">IFERROR(__xludf.DUMMYFUNCTION("""COMPUTED_VALUE"""),"1.40")</f>
        <v>1.40</v>
      </c>
      <c r="L1163" s="584">
        <f ca="1">IFERROR(__xludf.DUMMYFUNCTION("""COMPUTED_VALUE"""),5.8)</f>
        <v>5.8</v>
      </c>
      <c r="M1163" s="584"/>
      <c r="N1163" s="584" t="str">
        <f ca="1">IFERROR(__xludf.DUMMYFUNCTION("""COMPUTED_VALUE"""),"Dị_D&lt;54")</f>
        <v>Dị_D&lt;54</v>
      </c>
      <c r="O1163" s="583"/>
      <c r="P1163" s="584"/>
    </row>
    <row r="1164" spans="1:17" ht="15.75">
      <c r="A1164" s="587" t="str">
        <f ca="1">IFERROR(__xludf.DUMMYFUNCTION("""COMPUTED_VALUE"""),"Hailiang")</f>
        <v>Hailiang</v>
      </c>
      <c r="B1164" s="587" t="str">
        <f ca="1">IFERROR(__xludf.DUMMYFUNCTION("""COMPUTED_VALUE"""),"ĐHLCAYDI")</f>
        <v>ĐHLCAYDI</v>
      </c>
      <c r="C1164" s="587" t="str">
        <f ca="1">IFERROR(__xludf.DUMMYFUNCTION("""COMPUTED_VALUE"""),"DOTHL285814329")</f>
        <v>DOTHL285814329</v>
      </c>
      <c r="D1164" s="588" t="str">
        <f ca="1">IFERROR(__xludf.DUMMYFUNCTION("""COMPUTED_VALUE"""),"Đồng ống Hailiang dạng cây 28.58mmx1.43 mmx2.9")</f>
        <v>Đồng ống Hailiang dạng cây 28.58mmx1.43 mmx2.9</v>
      </c>
      <c r="E1164" s="589">
        <f ca="1">IFERROR(__xludf.DUMMYFUNCTION("""COMPUTED_VALUE"""),0.1)</f>
        <v>0.1</v>
      </c>
      <c r="F1164" s="590" t="str">
        <f ca="1">IFERROR(__xludf.DUMMYFUNCTION("""COMPUTED_VALUE"""),"Cây")</f>
        <v>Cây</v>
      </c>
      <c r="G1164" s="590" t="str">
        <f ca="1">IFERROR(__xludf.DUMMYFUNCTION("""COMPUTED_VALUE"""),"Cây 2.9m")</f>
        <v>Cây 2.9m</v>
      </c>
      <c r="H1164" s="588"/>
      <c r="I1164" s="591">
        <f ca="1">IFERROR(__xludf.DUMMYFUNCTION("""COMPUTED_VALUE"""),3.15254939999999)</f>
        <v>3.1525493999999901</v>
      </c>
      <c r="J1164" s="592" t="str">
        <f ca="1">IFERROR(__xludf.DUMMYFUNCTION("""COMPUTED_VALUE""")," 28.58 ")</f>
        <v xml:space="preserve"> 28.58 </v>
      </c>
      <c r="K1164" s="590" t="str">
        <f ca="1">IFERROR(__xludf.DUMMYFUNCTION("""COMPUTED_VALUE"""),"1.43")</f>
        <v>1.43</v>
      </c>
      <c r="L1164" s="590">
        <f ca="1">IFERROR(__xludf.DUMMYFUNCTION("""COMPUTED_VALUE"""),2.9)</f>
        <v>2.9</v>
      </c>
      <c r="M1164" s="590"/>
      <c r="N1164" s="590" t="str">
        <f ca="1">IFERROR(__xludf.DUMMYFUNCTION("""COMPUTED_VALUE"""),"Dị_D&lt;54")</f>
        <v>Dị_D&lt;54</v>
      </c>
      <c r="O1164" s="589"/>
      <c r="P1164" s="590"/>
    </row>
    <row r="1165" spans="1:17" ht="15.75">
      <c r="A1165" s="581" t="str">
        <f ca="1">IFERROR(__xludf.DUMMYFUNCTION("""COMPUTED_VALUE"""),"Hailiang")</f>
        <v>Hailiang</v>
      </c>
      <c r="B1165" s="581" t="str">
        <f ca="1">IFERROR(__xludf.DUMMYFUNCTION("""COMPUTED_VALUE"""),"ĐHLCAYDI")</f>
        <v>ĐHLCAYDI</v>
      </c>
      <c r="C1165" s="581" t="str">
        <f ca="1">IFERROR(__xludf.DUMMYFUNCTION("""COMPUTED_VALUE"""),"DOTHL285815029")</f>
        <v>DOTHL285815029</v>
      </c>
      <c r="D1165" s="582" t="str">
        <f ca="1">IFERROR(__xludf.DUMMYFUNCTION("""COMPUTED_VALUE"""),"Đồng ống Hailiang dạng cây 28.58mmx1.50 mmx2.9")</f>
        <v>Đồng ống Hailiang dạng cây 28.58mmx1.50 mmx2.9</v>
      </c>
      <c r="E1165" s="583">
        <f ca="1">IFERROR(__xludf.DUMMYFUNCTION("""COMPUTED_VALUE"""),0.1)</f>
        <v>0.1</v>
      </c>
      <c r="F1165" s="584" t="str">
        <f ca="1">IFERROR(__xludf.DUMMYFUNCTION("""COMPUTED_VALUE"""),"Cây")</f>
        <v>Cây</v>
      </c>
      <c r="G1165" s="584" t="str">
        <f ca="1">IFERROR(__xludf.DUMMYFUNCTION("""COMPUTED_VALUE"""),"Cây 2.9m")</f>
        <v>Cây 2.9m</v>
      </c>
      <c r="H1165" s="582"/>
      <c r="I1165" s="585">
        <f ca="1">IFERROR(__xludf.DUMMYFUNCTION("""COMPUTED_VALUE"""),3.29834399999999)</f>
        <v>3.29834399999999</v>
      </c>
      <c r="J1165" s="586" t="str">
        <f ca="1">IFERROR(__xludf.DUMMYFUNCTION("""COMPUTED_VALUE""")," 28.58 ")</f>
        <v xml:space="preserve"> 28.58 </v>
      </c>
      <c r="K1165" s="584" t="str">
        <f ca="1">IFERROR(__xludf.DUMMYFUNCTION("""COMPUTED_VALUE"""),"1.50")</f>
        <v>1.50</v>
      </c>
      <c r="L1165" s="584">
        <f ca="1">IFERROR(__xludf.DUMMYFUNCTION("""COMPUTED_VALUE"""),2.9)</f>
        <v>2.9</v>
      </c>
      <c r="M1165" s="584"/>
      <c r="N1165" s="584" t="str">
        <f ca="1">IFERROR(__xludf.DUMMYFUNCTION("""COMPUTED_VALUE"""),"Dị_D&lt;54")</f>
        <v>Dị_D&lt;54</v>
      </c>
      <c r="O1165" s="583"/>
      <c r="P1165" s="584"/>
    </row>
    <row r="1166" spans="1:17" ht="15.75">
      <c r="A1166" s="587" t="str">
        <f ca="1">IFERROR(__xludf.DUMMYFUNCTION("""COMPUTED_VALUE"""),"Hailiang")</f>
        <v>Hailiang</v>
      </c>
      <c r="B1166" s="587" t="str">
        <f ca="1">IFERROR(__xludf.DUMMYFUNCTION("""COMPUTED_VALUE"""),"ĐHLCAYDI")</f>
        <v>ĐHLCAYDI</v>
      </c>
      <c r="C1166" s="587" t="str">
        <f ca="1">IFERROR(__xludf.DUMMYFUNCTION("""COMPUTED_VALUE"""),"DOTHL31751029")</f>
        <v>DOTHL31751029</v>
      </c>
      <c r="D1166" s="588" t="str">
        <f ca="1">IFERROR(__xludf.DUMMYFUNCTION("""COMPUTED_VALUE"""),"Đồng ống Hailiang dạng cây 31.75mmx1.0mmx3.0")</f>
        <v>Đồng ống Hailiang dạng cây 31.75mmx1.0mmx3.0</v>
      </c>
      <c r="E1166" s="589">
        <f ca="1">IFERROR(__xludf.DUMMYFUNCTION("""COMPUTED_VALUE"""),0.1)</f>
        <v>0.1</v>
      </c>
      <c r="F1166" s="590" t="str">
        <f ca="1">IFERROR(__xludf.DUMMYFUNCTION("""COMPUTED_VALUE"""),"Cây")</f>
        <v>Cây</v>
      </c>
      <c r="G1166" s="590" t="str">
        <f ca="1">IFERROR(__xludf.DUMMYFUNCTION("""COMPUTED_VALUE"""),"Cây 3m")</f>
        <v>Cây 3m</v>
      </c>
      <c r="H1166" s="588"/>
      <c r="I1166" s="591">
        <f ca="1">IFERROR(__xludf.DUMMYFUNCTION("""COMPUTED_VALUE"""),2.583)</f>
        <v>2.5830000000000002</v>
      </c>
      <c r="J1166" s="592" t="str">
        <f ca="1">IFERROR(__xludf.DUMMYFUNCTION("""COMPUTED_VALUE""")," 31.75 ")</f>
        <v xml:space="preserve"> 31.75 </v>
      </c>
      <c r="K1166" s="590" t="str">
        <f ca="1">IFERROR(__xludf.DUMMYFUNCTION("""COMPUTED_VALUE"""),"1.00")</f>
        <v>1.00</v>
      </c>
      <c r="L1166" s="590">
        <f ca="1">IFERROR(__xludf.DUMMYFUNCTION("""COMPUTED_VALUE"""),3)</f>
        <v>3</v>
      </c>
      <c r="M1166" s="590"/>
      <c r="N1166" s="590" t="str">
        <f ca="1">IFERROR(__xludf.DUMMYFUNCTION("""COMPUTED_VALUE"""),"Dị_D&lt;54")</f>
        <v>Dị_D&lt;54</v>
      </c>
      <c r="O1166" s="589"/>
      <c r="P1166" s="590"/>
    </row>
    <row r="1167" spans="1:17" ht="15.75">
      <c r="A1167" s="581" t="str">
        <f ca="1">IFERROR(__xludf.DUMMYFUNCTION("""COMPUTED_VALUE"""),"Hailiang")</f>
        <v>Hailiang</v>
      </c>
      <c r="B1167" s="581" t="str">
        <f ca="1">IFERROR(__xludf.DUMMYFUNCTION("""COMPUTED_VALUE"""),"ĐHLCAYDI")</f>
        <v>ĐHLCAYDI</v>
      </c>
      <c r="C1167" s="581" t="str">
        <f ca="1">IFERROR(__xludf.DUMMYFUNCTION("""COMPUTED_VALUE"""),"DOTHL31751058")</f>
        <v>DOTHL31751058</v>
      </c>
      <c r="D1167" s="582" t="str">
        <f ca="1">IFERROR(__xludf.DUMMYFUNCTION("""COMPUTED_VALUE"""),"Đồng ống Hailiang dạng cây 31.75mmx1.0mmx5.8")</f>
        <v>Đồng ống Hailiang dạng cây 31.75mmx1.0mmx5.8</v>
      </c>
      <c r="E1167" s="583">
        <f ca="1">IFERROR(__xludf.DUMMYFUNCTION("""COMPUTED_VALUE"""),0.1)</f>
        <v>0.1</v>
      </c>
      <c r="F1167" s="584" t="str">
        <f ca="1">IFERROR(__xludf.DUMMYFUNCTION("""COMPUTED_VALUE"""),"Cây")</f>
        <v>Cây</v>
      </c>
      <c r="G1167" s="584" t="str">
        <f ca="1">IFERROR(__xludf.DUMMYFUNCTION("""COMPUTED_VALUE"""),"Cây 5.8m")</f>
        <v>Cây 5.8m</v>
      </c>
      <c r="H1167" s="582"/>
      <c r="I1167" s="585">
        <f ca="1">IFERROR(__xludf.DUMMYFUNCTION("""COMPUTED_VALUE"""),4.99379999999999)</f>
        <v>4.9937999999999896</v>
      </c>
      <c r="J1167" s="586" t="str">
        <f ca="1">IFERROR(__xludf.DUMMYFUNCTION("""COMPUTED_VALUE""")," 31.75 ")</f>
        <v xml:space="preserve"> 31.75 </v>
      </c>
      <c r="K1167" s="584" t="str">
        <f ca="1">IFERROR(__xludf.DUMMYFUNCTION("""COMPUTED_VALUE"""),"1.00")</f>
        <v>1.00</v>
      </c>
      <c r="L1167" s="584">
        <f ca="1">IFERROR(__xludf.DUMMYFUNCTION("""COMPUTED_VALUE"""),5.8)</f>
        <v>5.8</v>
      </c>
      <c r="M1167" s="584"/>
      <c r="N1167" s="584" t="str">
        <f ca="1">IFERROR(__xludf.DUMMYFUNCTION("""COMPUTED_VALUE"""),"Dị_D&lt;54")</f>
        <v>Dị_D&lt;54</v>
      </c>
      <c r="O1167" s="583"/>
      <c r="P1167" s="584"/>
    </row>
    <row r="1168" spans="1:17" ht="15.75">
      <c r="A1168" s="587" t="str">
        <f ca="1">IFERROR(__xludf.DUMMYFUNCTION("""COMPUTED_VALUE"""),"Hailiang")</f>
        <v>Hailiang</v>
      </c>
      <c r="B1168" s="587" t="str">
        <f ca="1">IFERROR(__xludf.DUMMYFUNCTION("""COMPUTED_VALUE"""),"ĐHLCAYCH")</f>
        <v>ĐHLCAYCH</v>
      </c>
      <c r="C1168" s="587" t="str">
        <f ca="1">IFERROR(__xludf.DUMMYFUNCTION("""COMPUTED_VALUE"""),"DOTHL317510229")</f>
        <v>DOTHL317510229</v>
      </c>
      <c r="D1168" s="588" t="str">
        <f ca="1">IFERROR(__xludf.DUMMYFUNCTION("""COMPUTED_VALUE"""),"Đồng ống Hailiang dạng cây 31.75mmx1.02mmx2.9m")</f>
        <v>Đồng ống Hailiang dạng cây 31.75mmx1.02mmx2.9m</v>
      </c>
      <c r="E1168" s="589">
        <f ca="1">IFERROR(__xludf.DUMMYFUNCTION("""COMPUTED_VALUE"""),0.1)</f>
        <v>0.1</v>
      </c>
      <c r="F1168" s="590" t="str">
        <f ca="1">IFERROR(__xludf.DUMMYFUNCTION("""COMPUTED_VALUE"""),"Cây")</f>
        <v>Cây</v>
      </c>
      <c r="G1168" s="590" t="str">
        <f ca="1">IFERROR(__xludf.DUMMYFUNCTION("""COMPUTED_VALUE"""),"Cây 2.9m")</f>
        <v>Cây 2.9m</v>
      </c>
      <c r="H1168" s="588"/>
      <c r="I1168" s="591">
        <f ca="1">IFERROR(__xludf.DUMMYFUNCTION("""COMPUTED_VALUE"""),2.54518152)</f>
        <v>2.5451815199999999</v>
      </c>
      <c r="J1168" s="592" t="str">
        <f ca="1">IFERROR(__xludf.DUMMYFUNCTION("""COMPUTED_VALUE""")," 31.75 ")</f>
        <v xml:space="preserve"> 31.75 </v>
      </c>
      <c r="K1168" s="590" t="str">
        <f ca="1">IFERROR(__xludf.DUMMYFUNCTION("""COMPUTED_VALUE"""),"1.02")</f>
        <v>1.02</v>
      </c>
      <c r="L1168" s="590">
        <f ca="1">IFERROR(__xludf.DUMMYFUNCTION("""COMPUTED_VALUE"""),2.9)</f>
        <v>2.9</v>
      </c>
      <c r="M1168" s="590"/>
      <c r="N1168" s="590" t="str">
        <f ca="1">IFERROR(__xludf.DUMMYFUNCTION("""COMPUTED_VALUE"""),"Dị_D&lt;54")</f>
        <v>Dị_D&lt;54</v>
      </c>
      <c r="O1168" s="589"/>
      <c r="P1168" s="590"/>
    </row>
    <row r="1169" spans="1:17" ht="15.75">
      <c r="A1169" s="581" t="str">
        <f ca="1">IFERROR(__xludf.DUMMYFUNCTION("""COMPUTED_VALUE"""),"Hailiang")</f>
        <v>Hailiang</v>
      </c>
      <c r="B1169" s="581" t="str">
        <f ca="1">IFERROR(__xludf.DUMMYFUNCTION("""COMPUTED_VALUE"""),"ĐHLCAYCH")</f>
        <v>ĐHLCAYCH</v>
      </c>
      <c r="C1169" s="581" t="str">
        <f ca="1">IFERROR(__xludf.DUMMYFUNCTION("""COMPUTED_VALUE"""),"DOTHL317512229")</f>
        <v>DOTHL317512229</v>
      </c>
      <c r="D1169" s="582" t="str">
        <f ca="1">IFERROR(__xludf.DUMMYFUNCTION("""COMPUTED_VALUE"""),"Đồng ống Hailiang dạng cây 31.75mmx1.22mmx2.9m")</f>
        <v>Đồng ống Hailiang dạng cây 31.75mmx1.22mmx2.9m</v>
      </c>
      <c r="E1169" s="583">
        <f ca="1">IFERROR(__xludf.DUMMYFUNCTION("""COMPUTED_VALUE"""),0.1)</f>
        <v>0.1</v>
      </c>
      <c r="F1169" s="584" t="str">
        <f ca="1">IFERROR(__xludf.DUMMYFUNCTION("""COMPUTED_VALUE"""),"Cây")</f>
        <v>Cây</v>
      </c>
      <c r="G1169" s="584" t="str">
        <f ca="1">IFERROR(__xludf.DUMMYFUNCTION("""COMPUTED_VALUE"""),"Cây 2.9m")</f>
        <v>Cây 2.9m</v>
      </c>
      <c r="H1169" s="582"/>
      <c r="I1169" s="585">
        <f ca="1">IFERROR(__xludf.DUMMYFUNCTION("""COMPUTED_VALUE"""),3.02442392)</f>
        <v>3.0244239199999998</v>
      </c>
      <c r="J1169" s="586" t="str">
        <f ca="1">IFERROR(__xludf.DUMMYFUNCTION("""COMPUTED_VALUE""")," 31.75 ")</f>
        <v xml:space="preserve"> 31.75 </v>
      </c>
      <c r="K1169" s="584" t="str">
        <f ca="1">IFERROR(__xludf.DUMMYFUNCTION("""COMPUTED_VALUE"""),"1.22")</f>
        <v>1.22</v>
      </c>
      <c r="L1169" s="584">
        <f ca="1">IFERROR(__xludf.DUMMYFUNCTION("""COMPUTED_VALUE"""),2.9)</f>
        <v>2.9</v>
      </c>
      <c r="M1169" s="584"/>
      <c r="N1169" s="584" t="str">
        <f ca="1">IFERROR(__xludf.DUMMYFUNCTION("""COMPUTED_VALUE"""),"Dị_D&lt;54")</f>
        <v>Dị_D&lt;54</v>
      </c>
      <c r="O1169" s="583"/>
      <c r="P1169" s="584"/>
    </row>
    <row r="1170" spans="1:17" ht="15.75">
      <c r="A1170" s="587" t="str">
        <f ca="1">IFERROR(__xludf.DUMMYFUNCTION("""COMPUTED_VALUE"""),"Hailiang")</f>
        <v>Hailiang</v>
      </c>
      <c r="B1170" s="587" t="str">
        <f ca="1">IFERROR(__xludf.DUMMYFUNCTION("""COMPUTED_VALUE"""),"ĐHLCAYDI")</f>
        <v>ĐHLCAYDI</v>
      </c>
      <c r="C1170" s="587" t="str">
        <f ca="1">IFERROR(__xludf.DUMMYFUNCTION("""COMPUTED_VALUE"""),"DOTHL317513029")</f>
        <v>DOTHL317513029</v>
      </c>
      <c r="D1170" s="588" t="str">
        <f ca="1">IFERROR(__xludf.DUMMYFUNCTION("""COMPUTED_VALUE"""),"Đồng ống Hailiang dạng cây 31.75mmx1.30mmx2.9")</f>
        <v>Đồng ống Hailiang dạng cây 31.75mmx1.30mmx2.9</v>
      </c>
      <c r="E1170" s="589">
        <f ca="1">IFERROR(__xludf.DUMMYFUNCTION("""COMPUTED_VALUE"""),0.1)</f>
        <v>0.1</v>
      </c>
      <c r="F1170" s="590" t="str">
        <f ca="1">IFERROR(__xludf.DUMMYFUNCTION("""COMPUTED_VALUE"""),"Cây")</f>
        <v>Cây</v>
      </c>
      <c r="G1170" s="590" t="str">
        <f ca="1">IFERROR(__xludf.DUMMYFUNCTION("""COMPUTED_VALUE"""),"Cây 2.9m")</f>
        <v>Cây 2.9m</v>
      </c>
      <c r="H1170" s="588"/>
      <c r="I1170" s="591">
        <f ca="1">IFERROR(__xludf.DUMMYFUNCTION("""COMPUTED_VALUE"""),3.214302)</f>
        <v>3.214302</v>
      </c>
      <c r="J1170" s="592" t="str">
        <f ca="1">IFERROR(__xludf.DUMMYFUNCTION("""COMPUTED_VALUE""")," 31.75 ")</f>
        <v xml:space="preserve"> 31.75 </v>
      </c>
      <c r="K1170" s="590" t="str">
        <f ca="1">IFERROR(__xludf.DUMMYFUNCTION("""COMPUTED_VALUE"""),"1.30")</f>
        <v>1.30</v>
      </c>
      <c r="L1170" s="590">
        <f ca="1">IFERROR(__xludf.DUMMYFUNCTION("""COMPUTED_VALUE"""),2.9)</f>
        <v>2.9</v>
      </c>
      <c r="M1170" s="590"/>
      <c r="N1170" s="590" t="str">
        <f ca="1">IFERROR(__xludf.DUMMYFUNCTION("""COMPUTED_VALUE"""),"Dị_D&lt;54")</f>
        <v>Dị_D&lt;54</v>
      </c>
      <c r="O1170" s="589"/>
      <c r="P1170" s="590"/>
    </row>
    <row r="1171" spans="1:17" ht="15.75">
      <c r="A1171" s="581" t="str">
        <f ca="1">IFERROR(__xludf.DUMMYFUNCTION("""COMPUTED_VALUE"""),"Hailiang")</f>
        <v>Hailiang</v>
      </c>
      <c r="B1171" s="581" t="str">
        <f ca="1">IFERROR(__xludf.DUMMYFUNCTION("""COMPUTED_VALUE"""),"ĐHLCAYDI")</f>
        <v>ĐHLCAYDI</v>
      </c>
      <c r="C1171" s="581" t="str">
        <f ca="1">IFERROR(__xludf.DUMMYFUNCTION("""COMPUTED_VALUE"""),"DOTHL317514329")</f>
        <v>DOTHL317514329</v>
      </c>
      <c r="D1171" s="582" t="str">
        <f ca="1">IFERROR(__xludf.DUMMYFUNCTION("""COMPUTED_VALUE"""),"Đồng ống Hailiang dạng cây 31.75mmx1.43mmx2.9")</f>
        <v>Đồng ống Hailiang dạng cây 31.75mmx1.43mmx2.9</v>
      </c>
      <c r="E1171" s="583">
        <f ca="1">IFERROR(__xludf.DUMMYFUNCTION("""COMPUTED_VALUE"""),0.1)</f>
        <v>0.1</v>
      </c>
      <c r="F1171" s="584" t="str">
        <f ca="1">IFERROR(__xludf.DUMMYFUNCTION("""COMPUTED_VALUE"""),"Cây")</f>
        <v>Cây</v>
      </c>
      <c r="G1171" s="584" t="str">
        <f ca="1">IFERROR(__xludf.DUMMYFUNCTION("""COMPUTED_VALUE"""),"Cây 2.9m")</f>
        <v>Cây 2.9m</v>
      </c>
      <c r="H1171" s="582"/>
      <c r="I1171" s="585">
        <f ca="1">IFERROR(__xludf.DUMMYFUNCTION("""COMPUTED_VALUE"""),3.52063711999999)</f>
        <v>3.5206371199999902</v>
      </c>
      <c r="J1171" s="586" t="str">
        <f ca="1">IFERROR(__xludf.DUMMYFUNCTION("""COMPUTED_VALUE""")," 31.75 ")</f>
        <v xml:space="preserve"> 31.75 </v>
      </c>
      <c r="K1171" s="584" t="str">
        <f ca="1">IFERROR(__xludf.DUMMYFUNCTION("""COMPUTED_VALUE"""),"1.43")</f>
        <v>1.43</v>
      </c>
      <c r="L1171" s="584">
        <f ca="1">IFERROR(__xludf.DUMMYFUNCTION("""COMPUTED_VALUE"""),2.9)</f>
        <v>2.9</v>
      </c>
      <c r="M1171" s="584"/>
      <c r="N1171" s="584" t="str">
        <f ca="1">IFERROR(__xludf.DUMMYFUNCTION("""COMPUTED_VALUE"""),"Dị_D&lt;54")</f>
        <v>Dị_D&lt;54</v>
      </c>
      <c r="O1171" s="583"/>
      <c r="P1171" s="584"/>
    </row>
    <row r="1172" spans="1:17" ht="15.75">
      <c r="A1172" s="587" t="str">
        <f ca="1">IFERROR(__xludf.DUMMYFUNCTION("""COMPUTED_VALUE"""),"Hailiang")</f>
        <v>Hailiang</v>
      </c>
      <c r="B1172" s="587" t="str">
        <f ca="1">IFERROR(__xludf.DUMMYFUNCTION("""COMPUTED_VALUE"""),"ĐHLCAYDI")</f>
        <v>ĐHLCAYDI</v>
      </c>
      <c r="C1172" s="587" t="str">
        <f ca="1">IFERROR(__xludf.DUMMYFUNCTION("""COMPUTED_VALUE"""),"DOTHL317515029")</f>
        <v>DOTHL317515029</v>
      </c>
      <c r="D1172" s="588" t="str">
        <f ca="1">IFERROR(__xludf.DUMMYFUNCTION("""COMPUTED_VALUE"""),"Đồng ống Hailiang dạng cây 31.75mmx1.50mmx2.9")</f>
        <v>Đồng ống Hailiang dạng cây 31.75mmx1.50mmx2.9</v>
      </c>
      <c r="E1172" s="589">
        <f ca="1">IFERROR(__xludf.DUMMYFUNCTION("""COMPUTED_VALUE"""),0.1)</f>
        <v>0.1</v>
      </c>
      <c r="F1172" s="590" t="str">
        <f ca="1">IFERROR(__xludf.DUMMYFUNCTION("""COMPUTED_VALUE"""),"Cây")</f>
        <v>Cây</v>
      </c>
      <c r="G1172" s="590" t="str">
        <f ca="1">IFERROR(__xludf.DUMMYFUNCTION("""COMPUTED_VALUE"""),"Cây 2.9m")</f>
        <v>Cây 2.9m</v>
      </c>
      <c r="H1172" s="588"/>
      <c r="I1172" s="591">
        <f ca="1">IFERROR(__xludf.DUMMYFUNCTION("""COMPUTED_VALUE"""),3.68444999999999)</f>
        <v>3.6844499999999898</v>
      </c>
      <c r="J1172" s="592" t="str">
        <f ca="1">IFERROR(__xludf.DUMMYFUNCTION("""COMPUTED_VALUE""")," 31.75 ")</f>
        <v xml:space="preserve"> 31.75 </v>
      </c>
      <c r="K1172" s="590" t="str">
        <f ca="1">IFERROR(__xludf.DUMMYFUNCTION("""COMPUTED_VALUE"""),"1.50")</f>
        <v>1.50</v>
      </c>
      <c r="L1172" s="590">
        <f ca="1">IFERROR(__xludf.DUMMYFUNCTION("""COMPUTED_VALUE"""),2.9)</f>
        <v>2.9</v>
      </c>
      <c r="M1172" s="590"/>
      <c r="N1172" s="590" t="str">
        <f ca="1">IFERROR(__xludf.DUMMYFUNCTION("""COMPUTED_VALUE"""),"Dị_D&lt;54")</f>
        <v>Dị_D&lt;54</v>
      </c>
      <c r="O1172" s="589"/>
      <c r="P1172" s="590"/>
    </row>
    <row r="1173" spans="1:17" ht="15.75">
      <c r="A1173" s="581" t="str">
        <f ca="1">IFERROR(__xludf.DUMMYFUNCTION("""COMPUTED_VALUE"""),"Hailiang")</f>
        <v>Hailiang</v>
      </c>
      <c r="B1173" s="581" t="str">
        <f ca="1">IFERROR(__xludf.DUMMYFUNCTION("""COMPUTED_VALUE"""),"ĐHLCAYDI")</f>
        <v>ĐHLCAYDI</v>
      </c>
      <c r="C1173" s="581" t="str">
        <f ca="1">IFERROR(__xludf.DUMMYFUNCTION("""COMPUTED_VALUE"""),"DOTHL349311029")</f>
        <v>DOTHL349311029</v>
      </c>
      <c r="D1173" s="582" t="str">
        <f ca="1">IFERROR(__xludf.DUMMYFUNCTION("""COMPUTED_VALUE"""),"Đồng ống Hailiang dạng cây 34.93mmx1.10mmx2.9m")</f>
        <v>Đồng ống Hailiang dạng cây 34.93mmx1.10mmx2.9m</v>
      </c>
      <c r="E1173" s="583">
        <f ca="1">IFERROR(__xludf.DUMMYFUNCTION("""COMPUTED_VALUE"""),0.1)</f>
        <v>0.1</v>
      </c>
      <c r="F1173" s="584" t="str">
        <f ca="1">IFERROR(__xludf.DUMMYFUNCTION("""COMPUTED_VALUE"""),"Cây")</f>
        <v>Cây</v>
      </c>
      <c r="G1173" s="584" t="str">
        <f ca="1">IFERROR(__xludf.DUMMYFUNCTION("""COMPUTED_VALUE"""),"Cây 2.9m")</f>
        <v>Cây 2.9m</v>
      </c>
      <c r="H1173" s="582"/>
      <c r="I1173" s="585">
        <f ca="1">IFERROR(__xludf.DUMMYFUNCTION("""COMPUTED_VALUE"""),3.01901599999999)</f>
        <v>3.0190159999999899</v>
      </c>
      <c r="J1173" s="586" t="str">
        <f ca="1">IFERROR(__xludf.DUMMYFUNCTION("""COMPUTED_VALUE""")," 34.90 ")</f>
        <v xml:space="preserve"> 34.90 </v>
      </c>
      <c r="K1173" s="584" t="str">
        <f ca="1">IFERROR(__xludf.DUMMYFUNCTION("""COMPUTED_VALUE"""),"1.10")</f>
        <v>1.10</v>
      </c>
      <c r="L1173" s="584">
        <f ca="1">IFERROR(__xludf.DUMMYFUNCTION("""COMPUTED_VALUE"""),2.9)</f>
        <v>2.9</v>
      </c>
      <c r="M1173" s="584"/>
      <c r="N1173" s="584" t="str">
        <f ca="1">IFERROR(__xludf.DUMMYFUNCTION("""COMPUTED_VALUE"""),"Dị_D&lt;54")</f>
        <v>Dị_D&lt;54</v>
      </c>
      <c r="O1173" s="583"/>
      <c r="P1173" s="584"/>
    </row>
    <row r="1174" spans="1:17" ht="15.75">
      <c r="A1174" s="587" t="str">
        <f ca="1">IFERROR(__xludf.DUMMYFUNCTION("""COMPUTED_VALUE"""),"Hailiang")</f>
        <v>Hailiang</v>
      </c>
      <c r="B1174" s="587" t="str">
        <f ca="1">IFERROR(__xludf.DUMMYFUNCTION("""COMPUTED_VALUE"""),"ĐHLCAYDI")</f>
        <v>ĐHLCAYDI</v>
      </c>
      <c r="C1174" s="587" t="str">
        <f ca="1">IFERROR(__xludf.DUMMYFUNCTION("""COMPUTED_VALUE"""),"DOTHL349312258")</f>
        <v>DOTHL349312258</v>
      </c>
      <c r="D1174" s="588" t="str">
        <f ca="1">IFERROR(__xludf.DUMMYFUNCTION("""COMPUTED_VALUE"""),"Đồng ống Hailiang dạng cây 34.93mmx1.22mmx5.8")</f>
        <v>Đồng ống Hailiang dạng cây 34.93mmx1.22mmx5.8</v>
      </c>
      <c r="E1174" s="589">
        <f ca="1">IFERROR(__xludf.DUMMYFUNCTION("""COMPUTED_VALUE"""),0.1)</f>
        <v>0.1</v>
      </c>
      <c r="F1174" s="590" t="str">
        <f ca="1">IFERROR(__xludf.DUMMYFUNCTION("""COMPUTED_VALUE"""),"Cây")</f>
        <v>Cây</v>
      </c>
      <c r="G1174" s="590" t="str">
        <f ca="1">IFERROR(__xludf.DUMMYFUNCTION("""COMPUTED_VALUE"""),"Cây 5.8m")</f>
        <v>Cây 5.8m</v>
      </c>
      <c r="H1174" s="588"/>
      <c r="I1174" s="591">
        <f ca="1">IFERROR(__xludf.DUMMYFUNCTION("""COMPUTED_VALUE"""),6.67295103999999)</f>
        <v>6.6729510399999903</v>
      </c>
      <c r="J1174" s="592" t="str">
        <f ca="1">IFERROR(__xludf.DUMMYFUNCTION("""COMPUTED_VALUE""")," 34.90 ")</f>
        <v xml:space="preserve"> 34.90 </v>
      </c>
      <c r="K1174" s="590" t="str">
        <f ca="1">IFERROR(__xludf.DUMMYFUNCTION("""COMPUTED_VALUE"""),"1.22")</f>
        <v>1.22</v>
      </c>
      <c r="L1174" s="590">
        <f ca="1">IFERROR(__xludf.DUMMYFUNCTION("""COMPUTED_VALUE"""),5.8)</f>
        <v>5.8</v>
      </c>
      <c r="M1174" s="590"/>
      <c r="N1174" s="590" t="str">
        <f ca="1">IFERROR(__xludf.DUMMYFUNCTION("""COMPUTED_VALUE"""),"Dị_D&lt;54")</f>
        <v>Dị_D&lt;54</v>
      </c>
      <c r="O1174" s="589"/>
      <c r="P1174" s="590"/>
    </row>
    <row r="1175" spans="1:17" ht="15.75">
      <c r="A1175" s="581" t="str">
        <f ca="1">IFERROR(__xludf.DUMMYFUNCTION("""COMPUTED_VALUE"""),"Hailiang")</f>
        <v>Hailiang</v>
      </c>
      <c r="B1175" s="581" t="str">
        <f ca="1">IFERROR(__xludf.DUMMYFUNCTION("""COMPUTED_VALUE"""),"ĐHLCAYDI")</f>
        <v>ĐHLCAYDI</v>
      </c>
      <c r="C1175" s="581" t="str">
        <f ca="1">IFERROR(__xludf.DUMMYFUNCTION("""COMPUTED_VALUE"""),"DOTHL34931029")</f>
        <v>DOTHL34931029</v>
      </c>
      <c r="D1175" s="582" t="str">
        <f ca="1">IFERROR(__xludf.DUMMYFUNCTION("""COMPUTED_VALUE"""),"Đồng ống Hailiang dạng cây 34.93mmx1.0mmx2.9")</f>
        <v>Đồng ống Hailiang dạng cây 34.93mmx1.0mmx2.9</v>
      </c>
      <c r="E1175" s="583">
        <f ca="1">IFERROR(__xludf.DUMMYFUNCTION("""COMPUTED_VALUE"""),0.1)</f>
        <v>0.1</v>
      </c>
      <c r="F1175" s="584" t="str">
        <f ca="1">IFERROR(__xludf.DUMMYFUNCTION("""COMPUTED_VALUE"""),"Cây")</f>
        <v>Cây</v>
      </c>
      <c r="G1175" s="584" t="str">
        <f ca="1">IFERROR(__xludf.DUMMYFUNCTION("""COMPUTED_VALUE"""),"Cây 2.9m")</f>
        <v>Cây 2.9m</v>
      </c>
      <c r="H1175" s="582"/>
      <c r="I1175" s="585">
        <f ca="1">IFERROR(__xludf.DUMMYFUNCTION("""COMPUTED_VALUE"""),2.755116)</f>
        <v>2.7551160000000001</v>
      </c>
      <c r="J1175" s="586" t="str">
        <f ca="1">IFERROR(__xludf.DUMMYFUNCTION("""COMPUTED_VALUE""")," 34.93 ")</f>
        <v xml:space="preserve"> 34.93 </v>
      </c>
      <c r="K1175" s="584" t="str">
        <f ca="1">IFERROR(__xludf.DUMMYFUNCTION("""COMPUTED_VALUE"""),"1.00")</f>
        <v>1.00</v>
      </c>
      <c r="L1175" s="584">
        <f ca="1">IFERROR(__xludf.DUMMYFUNCTION("""COMPUTED_VALUE"""),2.9)</f>
        <v>2.9</v>
      </c>
      <c r="M1175" s="584"/>
      <c r="N1175" s="584" t="str">
        <f ca="1">IFERROR(__xludf.DUMMYFUNCTION("""COMPUTED_VALUE"""),"Dị_D&lt;54")</f>
        <v>Dị_D&lt;54</v>
      </c>
      <c r="O1175" s="583"/>
      <c r="P1175" s="584"/>
    </row>
    <row r="1176" spans="1:17" ht="15.75">
      <c r="A1176" s="587" t="str">
        <f ca="1">IFERROR(__xludf.DUMMYFUNCTION("""COMPUTED_VALUE"""),"Hailiang")</f>
        <v>Hailiang</v>
      </c>
      <c r="B1176" s="587" t="str">
        <f ca="1">IFERROR(__xludf.DUMMYFUNCTION("""COMPUTED_VALUE"""),"ĐHLCAYDI")</f>
        <v>ĐHLCAYDI</v>
      </c>
      <c r="C1176" s="587" t="str">
        <f ca="1">IFERROR(__xludf.DUMMYFUNCTION("""COMPUTED_VALUE"""),"DOTHL34931058")</f>
        <v>DOTHL34931058</v>
      </c>
      <c r="D1176" s="588" t="str">
        <f ca="1">IFERROR(__xludf.DUMMYFUNCTION("""COMPUTED_VALUE"""),"Đồng ống Hailiang dạng cây 34.93mmx1.0mmx5.8")</f>
        <v>Đồng ống Hailiang dạng cây 34.93mmx1.0mmx5.8</v>
      </c>
      <c r="E1176" s="589">
        <f ca="1">IFERROR(__xludf.DUMMYFUNCTION("""COMPUTED_VALUE"""),0.1)</f>
        <v>0.1</v>
      </c>
      <c r="F1176" s="590" t="str">
        <f ca="1">IFERROR(__xludf.DUMMYFUNCTION("""COMPUTED_VALUE"""),"Cây")</f>
        <v>Cây</v>
      </c>
      <c r="G1176" s="590" t="str">
        <f ca="1">IFERROR(__xludf.DUMMYFUNCTION("""COMPUTED_VALUE"""),"Cây 5.8m")</f>
        <v>Cây 5.8m</v>
      </c>
      <c r="H1176" s="588"/>
      <c r="I1176" s="591">
        <f ca="1">IFERROR(__xludf.DUMMYFUNCTION("""COMPUTED_VALUE"""),5.510232)</f>
        <v>5.5102320000000002</v>
      </c>
      <c r="J1176" s="592" t="str">
        <f ca="1">IFERROR(__xludf.DUMMYFUNCTION("""COMPUTED_VALUE""")," 34.93 ")</f>
        <v xml:space="preserve"> 34.93 </v>
      </c>
      <c r="K1176" s="590" t="str">
        <f ca="1">IFERROR(__xludf.DUMMYFUNCTION("""COMPUTED_VALUE"""),"1.00")</f>
        <v>1.00</v>
      </c>
      <c r="L1176" s="590">
        <f ca="1">IFERROR(__xludf.DUMMYFUNCTION("""COMPUTED_VALUE"""),5.8)</f>
        <v>5.8</v>
      </c>
      <c r="M1176" s="590"/>
      <c r="N1176" s="590" t="str">
        <f ca="1">IFERROR(__xludf.DUMMYFUNCTION("""COMPUTED_VALUE"""),"Dị_D&lt;54")</f>
        <v>Dị_D&lt;54</v>
      </c>
      <c r="O1176" s="589"/>
      <c r="P1176" s="590"/>
    </row>
    <row r="1177" spans="1:17" ht="15.75">
      <c r="A1177" s="581" t="str">
        <f ca="1">IFERROR(__xludf.DUMMYFUNCTION("""COMPUTED_VALUE"""),"Hailiang")</f>
        <v>Hailiang</v>
      </c>
      <c r="B1177" s="581" t="str">
        <f ca="1">IFERROR(__xludf.DUMMYFUNCTION("""COMPUTED_VALUE"""),"ĐHLCAYDI")</f>
        <v>ĐHLCAYDI</v>
      </c>
      <c r="C1177" s="581" t="str">
        <f ca="1">IFERROR(__xludf.DUMMYFUNCTION("""COMPUTED_VALUE"""),"DOTHL349310258")</f>
        <v>DOTHL349310258</v>
      </c>
      <c r="D1177" s="582" t="str">
        <f ca="1">IFERROR(__xludf.DUMMYFUNCTION("""COMPUTED_VALUE"""),"Đồng ống Hailiang dạng cây 34.93mmx1.02mmx5.8")</f>
        <v>Đồng ống Hailiang dạng cây 34.93mmx1.02mmx5.8</v>
      </c>
      <c r="E1177" s="583">
        <f ca="1">IFERROR(__xludf.DUMMYFUNCTION("""COMPUTED_VALUE"""),0.1)</f>
        <v>0.1</v>
      </c>
      <c r="F1177" s="584" t="str">
        <f ca="1">IFERROR(__xludf.DUMMYFUNCTION("""COMPUTED_VALUE"""),"Cây")</f>
        <v>Cây</v>
      </c>
      <c r="G1177" s="584" t="str">
        <f ca="1">IFERROR(__xludf.DUMMYFUNCTION("""COMPUTED_VALUE"""),"Cây 5.8m")</f>
        <v>Cây 5.8m</v>
      </c>
      <c r="H1177" s="582"/>
      <c r="I1177" s="585">
        <f ca="1">IFERROR(__xludf.DUMMYFUNCTION("""COMPUTED_VALUE"""),5.61712368)</f>
        <v>5.6171236799999997</v>
      </c>
      <c r="J1177" s="586" t="str">
        <f ca="1">IFERROR(__xludf.DUMMYFUNCTION("""COMPUTED_VALUE""")," 34.93 ")</f>
        <v xml:space="preserve"> 34.93 </v>
      </c>
      <c r="K1177" s="584" t="str">
        <f ca="1">IFERROR(__xludf.DUMMYFUNCTION("""COMPUTED_VALUE"""),"1.02")</f>
        <v>1.02</v>
      </c>
      <c r="L1177" s="584">
        <f ca="1">IFERROR(__xludf.DUMMYFUNCTION("""COMPUTED_VALUE"""),5.8)</f>
        <v>5.8</v>
      </c>
      <c r="M1177" s="584"/>
      <c r="N1177" s="584" t="str">
        <f ca="1">IFERROR(__xludf.DUMMYFUNCTION("""COMPUTED_VALUE"""),"Dị_D&lt;54")</f>
        <v>Dị_D&lt;54</v>
      </c>
      <c r="O1177" s="583"/>
      <c r="P1177" s="584"/>
    </row>
    <row r="1178" spans="1:17" ht="15.75">
      <c r="A1178" s="587" t="str">
        <f ca="1">IFERROR(__xludf.DUMMYFUNCTION("""COMPUTED_VALUE"""),"Hailiang")</f>
        <v>Hailiang</v>
      </c>
      <c r="B1178" s="587" t="str">
        <f ca="1">IFERROR(__xludf.DUMMYFUNCTION("""COMPUTED_VALUE"""),"ĐHLCAYIB")</f>
        <v>ĐHLCAYIB</v>
      </c>
      <c r="C1178" s="587" t="str">
        <f ca="1">IFERROR(__xludf.DUMMYFUNCTION("""COMPUTED_VALUE"""),"DOTHL349310229")</f>
        <v>DOTHL349310229</v>
      </c>
      <c r="D1178" s="588" t="str">
        <f ca="1">IFERROR(__xludf.DUMMYFUNCTION("""COMPUTED_VALUE"""),"Đồng ống Hailiang dạng cây 34.93mmx1.02mmx2.9m")</f>
        <v>Đồng ống Hailiang dạng cây 34.93mmx1.02mmx2.9m</v>
      </c>
      <c r="E1178" s="589">
        <f ca="1">IFERROR(__xludf.DUMMYFUNCTION("""COMPUTED_VALUE"""),0.1)</f>
        <v>0.1</v>
      </c>
      <c r="F1178" s="590" t="str">
        <f ca="1">IFERROR(__xludf.DUMMYFUNCTION("""COMPUTED_VALUE"""),"Cây")</f>
        <v>Cây</v>
      </c>
      <c r="G1178" s="590" t="str">
        <f ca="1">IFERROR(__xludf.DUMMYFUNCTION("""COMPUTED_VALUE"""),"Cây 2.9m")</f>
        <v>Cây 2.9m</v>
      </c>
      <c r="H1178" s="588"/>
      <c r="I1178" s="591">
        <f ca="1">IFERROR(__xludf.DUMMYFUNCTION("""COMPUTED_VALUE"""),2.80856184)</f>
        <v>2.8085618399999999</v>
      </c>
      <c r="J1178" s="592" t="str">
        <f ca="1">IFERROR(__xludf.DUMMYFUNCTION("""COMPUTED_VALUE""")," 34.93 ")</f>
        <v xml:space="preserve"> 34.93 </v>
      </c>
      <c r="K1178" s="590" t="str">
        <f ca="1">IFERROR(__xludf.DUMMYFUNCTION("""COMPUTED_VALUE"""),"1.02")</f>
        <v>1.02</v>
      </c>
      <c r="L1178" s="590">
        <f ca="1">IFERROR(__xludf.DUMMYFUNCTION("""COMPUTED_VALUE"""),2.9)</f>
        <v>2.9</v>
      </c>
      <c r="M1178" s="590"/>
      <c r="N1178" s="590" t="str">
        <f ca="1">IFERROR(__xludf.DUMMYFUNCTION("""COMPUTED_VALUE"""),"Ít bán")</f>
        <v>Ít bán</v>
      </c>
      <c r="O1178" s="589"/>
      <c r="P1178" s="590"/>
      <c r="Q1178" s="885">
        <f ca="1">+$Q$5*I1178</f>
        <v>645.96922319999987</v>
      </c>
    </row>
    <row r="1179" spans="1:17" ht="15.75">
      <c r="A1179" s="581" t="str">
        <f ca="1">IFERROR(__xludf.DUMMYFUNCTION("""COMPUTED_VALUE"""),"Hailiang")</f>
        <v>Hailiang</v>
      </c>
      <c r="B1179" s="581" t="str">
        <f ca="1">IFERROR(__xludf.DUMMYFUNCTION("""COMPUTED_VALUE"""),"ĐHLCAYDI")</f>
        <v>ĐHLCAYDI</v>
      </c>
      <c r="C1179" s="581" t="str">
        <f ca="1">IFERROR(__xludf.DUMMYFUNCTION("""COMPUTED_VALUE"""),"DOTHL34931229")</f>
        <v>DOTHL34931229</v>
      </c>
      <c r="D1179" s="582" t="str">
        <f ca="1">IFERROR(__xludf.DUMMYFUNCTION("""COMPUTED_VALUE"""),"Đồng ống Hailiang dạng cây 34.93mmx1.2mmx2.9")</f>
        <v>Đồng ống Hailiang dạng cây 34.93mmx1.2mmx2.9</v>
      </c>
      <c r="E1179" s="583">
        <f ca="1">IFERROR(__xludf.DUMMYFUNCTION("""COMPUTED_VALUE"""),0.1)</f>
        <v>0.1</v>
      </c>
      <c r="F1179" s="584" t="str">
        <f ca="1">IFERROR(__xludf.DUMMYFUNCTION("""COMPUTED_VALUE"""),"Cây")</f>
        <v>Cây</v>
      </c>
      <c r="G1179" s="584" t="str">
        <f ca="1">IFERROR(__xludf.DUMMYFUNCTION("""COMPUTED_VALUE"""),"Cây 2.9m")</f>
        <v>Cây 2.9m</v>
      </c>
      <c r="H1179" s="582"/>
      <c r="I1179" s="585">
        <f ca="1">IFERROR(__xludf.DUMMYFUNCTION("""COMPUTED_VALUE"""),3.28665119999999)</f>
        <v>3.2866511999999899</v>
      </c>
      <c r="J1179" s="586" t="str">
        <f ca="1">IFERROR(__xludf.DUMMYFUNCTION("""COMPUTED_VALUE""")," 34.93 ")</f>
        <v xml:space="preserve"> 34.93 </v>
      </c>
      <c r="K1179" s="584" t="str">
        <f ca="1">IFERROR(__xludf.DUMMYFUNCTION("""COMPUTED_VALUE"""),"1.20")</f>
        <v>1.20</v>
      </c>
      <c r="L1179" s="584">
        <f ca="1">IFERROR(__xludf.DUMMYFUNCTION("""COMPUTED_VALUE"""),2.9)</f>
        <v>2.9</v>
      </c>
      <c r="M1179" s="584"/>
      <c r="N1179" s="584" t="str">
        <f ca="1">IFERROR(__xludf.DUMMYFUNCTION("""COMPUTED_VALUE"""),"Dị_D&lt;54")</f>
        <v>Dị_D&lt;54</v>
      </c>
      <c r="O1179" s="583"/>
      <c r="P1179" s="584"/>
    </row>
    <row r="1180" spans="1:17" ht="15.75">
      <c r="A1180" s="587" t="str">
        <f ca="1">IFERROR(__xludf.DUMMYFUNCTION("""COMPUTED_VALUE"""),"Hailiang")</f>
        <v>Hailiang</v>
      </c>
      <c r="B1180" s="587" t="str">
        <f ca="1">IFERROR(__xludf.DUMMYFUNCTION("""COMPUTED_VALUE"""),"ĐHLCAYDI")</f>
        <v>ĐHLCAYDI</v>
      </c>
      <c r="C1180" s="587" t="str">
        <f ca="1">IFERROR(__xludf.DUMMYFUNCTION("""COMPUTED_VALUE"""),"DOTHL34931258")</f>
        <v>DOTHL34931258</v>
      </c>
      <c r="D1180" s="588" t="str">
        <f ca="1">IFERROR(__xludf.DUMMYFUNCTION("""COMPUTED_VALUE"""),"Đồng ống Hailiang dạng cây 34.93mmx1.2mmx5.8")</f>
        <v>Đồng ống Hailiang dạng cây 34.93mmx1.2mmx5.8</v>
      </c>
      <c r="E1180" s="589">
        <f ca="1">IFERROR(__xludf.DUMMYFUNCTION("""COMPUTED_VALUE"""),0.1)</f>
        <v>0.1</v>
      </c>
      <c r="F1180" s="590" t="str">
        <f ca="1">IFERROR(__xludf.DUMMYFUNCTION("""COMPUTED_VALUE"""),"Cây")</f>
        <v>Cây</v>
      </c>
      <c r="G1180" s="590" t="str">
        <f ca="1">IFERROR(__xludf.DUMMYFUNCTION("""COMPUTED_VALUE"""),"Cây 5.8m")</f>
        <v>Cây 5.8m</v>
      </c>
      <c r="H1180" s="588"/>
      <c r="I1180" s="591">
        <f ca="1">IFERROR(__xludf.DUMMYFUNCTION("""COMPUTED_VALUE"""),6.57330239999999)</f>
        <v>6.5733023999999904</v>
      </c>
      <c r="J1180" s="592" t="str">
        <f ca="1">IFERROR(__xludf.DUMMYFUNCTION("""COMPUTED_VALUE""")," 34.93 ")</f>
        <v xml:space="preserve"> 34.93 </v>
      </c>
      <c r="K1180" s="590" t="str">
        <f ca="1">IFERROR(__xludf.DUMMYFUNCTION("""COMPUTED_VALUE"""),"1.20")</f>
        <v>1.20</v>
      </c>
      <c r="L1180" s="590">
        <f ca="1">IFERROR(__xludf.DUMMYFUNCTION("""COMPUTED_VALUE"""),5.8)</f>
        <v>5.8</v>
      </c>
      <c r="M1180" s="590"/>
      <c r="N1180" s="590" t="str">
        <f ca="1">IFERROR(__xludf.DUMMYFUNCTION("""COMPUTED_VALUE"""),"Dị_D&lt;54")</f>
        <v>Dị_D&lt;54</v>
      </c>
      <c r="O1180" s="589"/>
      <c r="P1180" s="590"/>
    </row>
    <row r="1181" spans="1:17" ht="15.75">
      <c r="A1181" s="581" t="str">
        <f ca="1">IFERROR(__xludf.DUMMYFUNCTION("""COMPUTED_VALUE"""),"Hailiang")</f>
        <v>Hailiang</v>
      </c>
      <c r="B1181" s="581" t="str">
        <f ca="1">IFERROR(__xludf.DUMMYFUNCTION("""COMPUTED_VALUE"""),"ĐHLCAYTD")</f>
        <v>ĐHLCAYTD</v>
      </c>
      <c r="C1181" s="581" t="str">
        <f ca="1">IFERROR(__xludf.DUMMYFUNCTION("""COMPUTED_VALUE"""),"DOTHL349312229")</f>
        <v>DOTHL349312229</v>
      </c>
      <c r="D1181" s="582" t="str">
        <f ca="1">IFERROR(__xludf.DUMMYFUNCTION("""COMPUTED_VALUE"""),"Đồng ống Hailiang dạng cây 34.93mmx1.22mmx2.9m")</f>
        <v>Đồng ống Hailiang dạng cây 34.93mmx1.22mmx2.9m</v>
      </c>
      <c r="E1181" s="583">
        <f ca="1">IFERROR(__xludf.DUMMYFUNCTION("""COMPUTED_VALUE"""),0.1)</f>
        <v>0.1</v>
      </c>
      <c r="F1181" s="584" t="str">
        <f ca="1">IFERROR(__xludf.DUMMYFUNCTION("""COMPUTED_VALUE"""),"Cây")</f>
        <v>Cây</v>
      </c>
      <c r="G1181" s="584" t="str">
        <f ca="1">IFERROR(__xludf.DUMMYFUNCTION("""COMPUTED_VALUE"""),"Cây 2.9m")</f>
        <v>Cây 2.9m</v>
      </c>
      <c r="H1181" s="582"/>
      <c r="I1181" s="585">
        <f ca="1">IFERROR(__xludf.DUMMYFUNCTION("""COMPUTED_VALUE"""),3.33944744)</f>
        <v>3.3394474399999998</v>
      </c>
      <c r="J1181" s="586" t="str">
        <f ca="1">IFERROR(__xludf.DUMMYFUNCTION("""COMPUTED_VALUE""")," 34.93 ")</f>
        <v xml:space="preserve"> 34.93 </v>
      </c>
      <c r="K1181" s="584" t="str">
        <f ca="1">IFERROR(__xludf.DUMMYFUNCTION("""COMPUTED_VALUE"""),"1.22")</f>
        <v>1.22</v>
      </c>
      <c r="L1181" s="584">
        <f ca="1">IFERROR(__xludf.DUMMYFUNCTION("""COMPUTED_VALUE"""),2.9)</f>
        <v>2.9</v>
      </c>
      <c r="M1181" s="584"/>
      <c r="N1181" s="584" t="str">
        <f ca="1">IFERROR(__xludf.DUMMYFUNCTION("""COMPUTED_VALUE"""),"Không")</f>
        <v>Không</v>
      </c>
      <c r="O1181" s="583"/>
      <c r="P1181" s="584"/>
      <c r="Q1181" s="885">
        <f ca="1">+$Q$5*I1181</f>
        <v>768.07291119999991</v>
      </c>
    </row>
    <row r="1182" spans="1:17" ht="15.75">
      <c r="A1182" s="587" t="str">
        <f ca="1">IFERROR(__xludf.DUMMYFUNCTION("""COMPUTED_VALUE"""),"Hailiang")</f>
        <v>Hailiang</v>
      </c>
      <c r="B1182" s="587" t="str">
        <f ca="1">IFERROR(__xludf.DUMMYFUNCTION("""COMPUTED_VALUE"""),"ĐHLCAYDI")</f>
        <v>ĐHLCAYDI</v>
      </c>
      <c r="C1182" s="587" t="str">
        <f ca="1">IFERROR(__xludf.DUMMYFUNCTION("""COMPUTED_VALUE"""),"DOTHL349313029")</f>
        <v>DOTHL349313029</v>
      </c>
      <c r="D1182" s="588" t="str">
        <f ca="1">IFERROR(__xludf.DUMMYFUNCTION("""COMPUTED_VALUE"""),"Đồng ống Hailiang dạng cây 34.93mmx1.30mmx2.9")</f>
        <v>Đồng ống Hailiang dạng cây 34.93mmx1.30mmx2.9</v>
      </c>
      <c r="E1182" s="589">
        <f ca="1">IFERROR(__xludf.DUMMYFUNCTION("""COMPUTED_VALUE"""),0.1)</f>
        <v>0.1</v>
      </c>
      <c r="F1182" s="590" t="str">
        <f ca="1">IFERROR(__xludf.DUMMYFUNCTION("""COMPUTED_VALUE"""),"Cây")</f>
        <v>Cây</v>
      </c>
      <c r="G1182" s="590" t="str">
        <f ca="1">IFERROR(__xludf.DUMMYFUNCTION("""COMPUTED_VALUE"""),"Cây 2.9m")</f>
        <v>Cây 2.9m</v>
      </c>
      <c r="H1182" s="588"/>
      <c r="I1182" s="591">
        <f ca="1">IFERROR(__xludf.DUMMYFUNCTION("""COMPUTED_VALUE"""),3.5499828)</f>
        <v>3.5499828</v>
      </c>
      <c r="J1182" s="592" t="str">
        <f ca="1">IFERROR(__xludf.DUMMYFUNCTION("""COMPUTED_VALUE""")," 34.93 ")</f>
        <v xml:space="preserve"> 34.93 </v>
      </c>
      <c r="K1182" s="590" t="str">
        <f ca="1">IFERROR(__xludf.DUMMYFUNCTION("""COMPUTED_VALUE"""),"1.30")</f>
        <v>1.30</v>
      </c>
      <c r="L1182" s="590">
        <f ca="1">IFERROR(__xludf.DUMMYFUNCTION("""COMPUTED_VALUE"""),2.9)</f>
        <v>2.9</v>
      </c>
      <c r="M1182" s="590"/>
      <c r="N1182" s="590" t="str">
        <f ca="1">IFERROR(__xludf.DUMMYFUNCTION("""COMPUTED_VALUE"""),"Dị_D&lt;54")</f>
        <v>Dị_D&lt;54</v>
      </c>
      <c r="O1182" s="589"/>
      <c r="P1182" s="590"/>
    </row>
    <row r="1183" spans="1:17" ht="15.75">
      <c r="A1183" s="581" t="str">
        <f ca="1">IFERROR(__xludf.DUMMYFUNCTION("""COMPUTED_VALUE"""),"Hailiang")</f>
        <v>Hailiang</v>
      </c>
      <c r="B1183" s="581" t="str">
        <f ca="1">IFERROR(__xludf.DUMMYFUNCTION("""COMPUTED_VALUE"""),"ĐHLCAYDI")</f>
        <v>ĐHLCAYDI</v>
      </c>
      <c r="C1183" s="581" t="str">
        <f ca="1">IFERROR(__xludf.DUMMYFUNCTION("""COMPUTED_VALUE"""),"DOTHL34931429")</f>
        <v>DOTHL34931429</v>
      </c>
      <c r="D1183" s="582" t="str">
        <f ca="1">IFERROR(__xludf.DUMMYFUNCTION("""COMPUTED_VALUE"""),"Đồng ống Hailiang dạng cây 34.93mmx1.4mmx2.9")</f>
        <v>Đồng ống Hailiang dạng cây 34.93mmx1.4mmx2.9</v>
      </c>
      <c r="E1183" s="583">
        <f ca="1">IFERROR(__xludf.DUMMYFUNCTION("""COMPUTED_VALUE"""),0.1)</f>
        <v>0.1</v>
      </c>
      <c r="F1183" s="584" t="str">
        <f ca="1">IFERROR(__xludf.DUMMYFUNCTION("""COMPUTED_VALUE"""),"Cây")</f>
        <v>Cây</v>
      </c>
      <c r="G1183" s="584" t="str">
        <f ca="1">IFERROR(__xludf.DUMMYFUNCTION("""COMPUTED_VALUE"""),"Cây 2.9m")</f>
        <v>Cây 2.9m</v>
      </c>
      <c r="H1183" s="582"/>
      <c r="I1183" s="585">
        <f ca="1">IFERROR(__xludf.DUMMYFUNCTION("""COMPUTED_VALUE"""),3.8116904)</f>
        <v>3.8116903999999998</v>
      </c>
      <c r="J1183" s="586" t="str">
        <f ca="1">IFERROR(__xludf.DUMMYFUNCTION("""COMPUTED_VALUE""")," 34.93 ")</f>
        <v xml:space="preserve"> 34.93 </v>
      </c>
      <c r="K1183" s="584" t="str">
        <f ca="1">IFERROR(__xludf.DUMMYFUNCTION("""COMPUTED_VALUE"""),"1.40")</f>
        <v>1.40</v>
      </c>
      <c r="L1183" s="584">
        <f ca="1">IFERROR(__xludf.DUMMYFUNCTION("""COMPUTED_VALUE"""),2.9)</f>
        <v>2.9</v>
      </c>
      <c r="M1183" s="584"/>
      <c r="N1183" s="584" t="str">
        <f ca="1">IFERROR(__xludf.DUMMYFUNCTION("""COMPUTED_VALUE"""),"Dị_D&lt;54")</f>
        <v>Dị_D&lt;54</v>
      </c>
      <c r="O1183" s="583"/>
      <c r="P1183" s="584"/>
    </row>
    <row r="1184" spans="1:17" ht="15.75">
      <c r="A1184" s="587" t="str">
        <f ca="1">IFERROR(__xludf.DUMMYFUNCTION("""COMPUTED_VALUE"""),"Hailiang")</f>
        <v>Hailiang</v>
      </c>
      <c r="B1184" s="587" t="str">
        <f ca="1">IFERROR(__xludf.DUMMYFUNCTION("""COMPUTED_VALUE"""),"ĐHLCAYDI")</f>
        <v>ĐHLCAYDI</v>
      </c>
      <c r="C1184" s="587" t="str">
        <f ca="1">IFERROR(__xludf.DUMMYFUNCTION("""COMPUTED_VALUE"""),"DOTHL34931458")</f>
        <v>DOTHL34931458</v>
      </c>
      <c r="D1184" s="588" t="str">
        <f ca="1">IFERROR(__xludf.DUMMYFUNCTION("""COMPUTED_VALUE"""),"Đồng ống Hailiang dạng cây 34.93mmx1.4mmx5.8m")</f>
        <v>Đồng ống Hailiang dạng cây 34.93mmx1.4mmx5.8m</v>
      </c>
      <c r="E1184" s="589">
        <f ca="1">IFERROR(__xludf.DUMMYFUNCTION("""COMPUTED_VALUE"""),0.1)</f>
        <v>0.1</v>
      </c>
      <c r="F1184" s="590" t="str">
        <f ca="1">IFERROR(__xludf.DUMMYFUNCTION("""COMPUTED_VALUE"""),"Cây")</f>
        <v>Cây</v>
      </c>
      <c r="G1184" s="590" t="str">
        <f ca="1">IFERROR(__xludf.DUMMYFUNCTION("""COMPUTED_VALUE"""),"Cây 5.8m")</f>
        <v>Cây 5.8m</v>
      </c>
      <c r="H1184" s="588"/>
      <c r="I1184" s="591">
        <f ca="1">IFERROR(__xludf.DUMMYFUNCTION("""COMPUTED_VALUE"""),7.6233808)</f>
        <v>7.6233807999999996</v>
      </c>
      <c r="J1184" s="592" t="str">
        <f ca="1">IFERROR(__xludf.DUMMYFUNCTION("""COMPUTED_VALUE""")," 34.93 ")</f>
        <v xml:space="preserve"> 34.93 </v>
      </c>
      <c r="K1184" s="590" t="str">
        <f ca="1">IFERROR(__xludf.DUMMYFUNCTION("""COMPUTED_VALUE"""),"1.40")</f>
        <v>1.40</v>
      </c>
      <c r="L1184" s="590">
        <f ca="1">IFERROR(__xludf.DUMMYFUNCTION("""COMPUTED_VALUE"""),5.8)</f>
        <v>5.8</v>
      </c>
      <c r="M1184" s="590"/>
      <c r="N1184" s="590" t="str">
        <f ca="1">IFERROR(__xludf.DUMMYFUNCTION("""COMPUTED_VALUE"""),"Dị_D&lt;54")</f>
        <v>Dị_D&lt;54</v>
      </c>
      <c r="O1184" s="589"/>
      <c r="P1184" s="590"/>
    </row>
    <row r="1185" spans="1:17" ht="15.75">
      <c r="A1185" s="581" t="str">
        <f ca="1">IFERROR(__xludf.DUMMYFUNCTION("""COMPUTED_VALUE"""),"Hailiang")</f>
        <v>Hailiang</v>
      </c>
      <c r="B1185" s="581" t="str">
        <f ca="1">IFERROR(__xludf.DUMMYFUNCTION("""COMPUTED_VALUE"""),"ĐHLCAYDI")</f>
        <v>ĐHLCAYDI</v>
      </c>
      <c r="C1185" s="581" t="str">
        <f ca="1">IFERROR(__xludf.DUMMYFUNCTION("""COMPUTED_VALUE"""),"DOTHL349314329")</f>
        <v>DOTHL349314329</v>
      </c>
      <c r="D1185" s="582" t="str">
        <f ca="1">IFERROR(__xludf.DUMMYFUNCTION("""COMPUTED_VALUE"""),"Đồng ống Hailiang dạng cây 34.93mmx1.43mmx2.9")</f>
        <v>Đồng ống Hailiang dạng cây 34.93mmx1.43mmx2.9</v>
      </c>
      <c r="E1185" s="583">
        <f ca="1">IFERROR(__xludf.DUMMYFUNCTION("""COMPUTED_VALUE"""),0.1)</f>
        <v>0.1</v>
      </c>
      <c r="F1185" s="584" t="str">
        <f ca="1">IFERROR(__xludf.DUMMYFUNCTION("""COMPUTED_VALUE"""),"Cây")</f>
        <v>Cây</v>
      </c>
      <c r="G1185" s="584" t="str">
        <f ca="1">IFERROR(__xludf.DUMMYFUNCTION("""COMPUTED_VALUE"""),"Cây 2.9m")</f>
        <v>Cây 2.9m</v>
      </c>
      <c r="H1185" s="582"/>
      <c r="I1185" s="585">
        <f ca="1">IFERROR(__xludf.DUMMYFUNCTION("""COMPUTED_VALUE"""),3.88988599999999)</f>
        <v>3.88988599999999</v>
      </c>
      <c r="J1185" s="586" t="str">
        <f ca="1">IFERROR(__xludf.DUMMYFUNCTION("""COMPUTED_VALUE""")," 34.93 ")</f>
        <v xml:space="preserve"> 34.93 </v>
      </c>
      <c r="K1185" s="584" t="str">
        <f ca="1">IFERROR(__xludf.DUMMYFUNCTION("""COMPUTED_VALUE"""),"1.43")</f>
        <v>1.43</v>
      </c>
      <c r="L1185" s="584">
        <f ca="1">IFERROR(__xludf.DUMMYFUNCTION("""COMPUTED_VALUE"""),2.9)</f>
        <v>2.9</v>
      </c>
      <c r="M1185" s="584"/>
      <c r="N1185" s="584" t="str">
        <f ca="1">IFERROR(__xludf.DUMMYFUNCTION("""COMPUTED_VALUE"""),"Dị_D&lt;54")</f>
        <v>Dị_D&lt;54</v>
      </c>
      <c r="O1185" s="583"/>
      <c r="P1185" s="584"/>
    </row>
    <row r="1186" spans="1:17" ht="15.75">
      <c r="A1186" s="587" t="str">
        <f ca="1">IFERROR(__xludf.DUMMYFUNCTION("""COMPUTED_VALUE"""),"Hailiang")</f>
        <v>Hailiang</v>
      </c>
      <c r="B1186" s="587" t="str">
        <f ca="1">IFERROR(__xludf.DUMMYFUNCTION("""COMPUTED_VALUE"""),"ĐHLCAYDI")</f>
        <v>ĐHLCAYDI</v>
      </c>
      <c r="C1186" s="587" t="str">
        <f ca="1">IFERROR(__xludf.DUMMYFUNCTION("""COMPUTED_VALUE"""),"DOTHL349315029")</f>
        <v>DOTHL349315029</v>
      </c>
      <c r="D1186" s="588" t="str">
        <f ca="1">IFERROR(__xludf.DUMMYFUNCTION("""COMPUTED_VALUE"""),"Đồng ống Hailiang dạng cây 34.93mmx1.50mmx2.9")</f>
        <v>Đồng ống Hailiang dạng cây 34.93mmx1.50mmx2.9</v>
      </c>
      <c r="E1186" s="589">
        <f ca="1">IFERROR(__xludf.DUMMYFUNCTION("""COMPUTED_VALUE"""),0.1)</f>
        <v>0.1</v>
      </c>
      <c r="F1186" s="590" t="str">
        <f ca="1">IFERROR(__xludf.DUMMYFUNCTION("""COMPUTED_VALUE"""),"Cây")</f>
        <v>Cây</v>
      </c>
      <c r="G1186" s="590" t="str">
        <f ca="1">IFERROR(__xludf.DUMMYFUNCTION("""COMPUTED_VALUE"""),"Cây 2.9m")</f>
        <v>Cây 2.9m</v>
      </c>
      <c r="H1186" s="588"/>
      <c r="I1186" s="591">
        <f ca="1">IFERROR(__xludf.DUMMYFUNCTION("""COMPUTED_VALUE"""),4.071774)</f>
        <v>4.0717739999999996</v>
      </c>
      <c r="J1186" s="592" t="str">
        <f ca="1">IFERROR(__xludf.DUMMYFUNCTION("""COMPUTED_VALUE""")," 34.93 ")</f>
        <v xml:space="preserve"> 34.93 </v>
      </c>
      <c r="K1186" s="590" t="str">
        <f ca="1">IFERROR(__xludf.DUMMYFUNCTION("""COMPUTED_VALUE"""),"1.50")</f>
        <v>1.50</v>
      </c>
      <c r="L1186" s="590">
        <f ca="1">IFERROR(__xludf.DUMMYFUNCTION("""COMPUTED_VALUE"""),2.9)</f>
        <v>2.9</v>
      </c>
      <c r="M1186" s="590"/>
      <c r="N1186" s="590" t="str">
        <f ca="1">IFERROR(__xludf.DUMMYFUNCTION("""COMPUTED_VALUE"""),"Dị_D&lt;54")</f>
        <v>Dị_D&lt;54</v>
      </c>
      <c r="O1186" s="589"/>
      <c r="P1186" s="590"/>
    </row>
    <row r="1187" spans="1:17" ht="15.75">
      <c r="A1187" s="581" t="str">
        <f ca="1">IFERROR(__xludf.DUMMYFUNCTION("""COMPUTED_VALUE"""),"Hailiang")</f>
        <v>Hailiang</v>
      </c>
      <c r="B1187" s="581" t="str">
        <f ca="1">IFERROR(__xludf.DUMMYFUNCTION("""COMPUTED_VALUE"""),"ĐHLCAYDI")</f>
        <v>ĐHLCAYDI</v>
      </c>
      <c r="C1187" s="581" t="str">
        <f ca="1">IFERROR(__xludf.DUMMYFUNCTION("""COMPUTED_VALUE"""),"DOTHL381010229")</f>
        <v>DOTHL381010229</v>
      </c>
      <c r="D1187" s="582" t="str">
        <f ca="1">IFERROR(__xludf.DUMMYFUNCTION("""COMPUTED_VALUE"""),"Đồng ống Hailiang dạng cây 38.10mmx1.02 mmx2.9")</f>
        <v>Đồng ống Hailiang dạng cây 38.10mmx1.02 mmx2.9</v>
      </c>
      <c r="E1187" s="583">
        <f ca="1">IFERROR(__xludf.DUMMYFUNCTION("""COMPUTED_VALUE"""),0.1)</f>
        <v>0.1</v>
      </c>
      <c r="F1187" s="584" t="str">
        <f ca="1">IFERROR(__xludf.DUMMYFUNCTION("""COMPUTED_VALUE"""),"Cây")</f>
        <v>Cây</v>
      </c>
      <c r="G1187" s="584" t="str">
        <f ca="1">IFERROR(__xludf.DUMMYFUNCTION("""COMPUTED_VALUE"""),"Cây 2.9m")</f>
        <v>Cây 2.9m</v>
      </c>
      <c r="H1187" s="582"/>
      <c r="I1187" s="585">
        <f ca="1">IFERROR(__xludf.DUMMYFUNCTION("""COMPUTED_VALUE"""),3.07111391999999)</f>
        <v>3.0711139199999899</v>
      </c>
      <c r="J1187" s="586" t="str">
        <f ca="1">IFERROR(__xludf.DUMMYFUNCTION("""COMPUTED_VALUE""")," 38.10 ")</f>
        <v xml:space="preserve"> 38.10 </v>
      </c>
      <c r="K1187" s="584" t="str">
        <f ca="1">IFERROR(__xludf.DUMMYFUNCTION("""COMPUTED_VALUE"""),"1.02")</f>
        <v>1.02</v>
      </c>
      <c r="L1187" s="584">
        <f ca="1">IFERROR(__xludf.DUMMYFUNCTION("""COMPUTED_VALUE"""),2.9)</f>
        <v>2.9</v>
      </c>
      <c r="M1187" s="584"/>
      <c r="N1187" s="584" t="str">
        <f ca="1">IFERROR(__xludf.DUMMYFUNCTION("""COMPUTED_VALUE"""),"Dị_D&lt;54")</f>
        <v>Dị_D&lt;54</v>
      </c>
      <c r="O1187" s="583"/>
      <c r="P1187" s="584"/>
    </row>
    <row r="1188" spans="1:17" ht="15.75">
      <c r="A1188" s="587" t="str">
        <f ca="1">IFERROR(__xludf.DUMMYFUNCTION("""COMPUTED_VALUE"""),"Hailiang")</f>
        <v>Hailiang</v>
      </c>
      <c r="B1188" s="587" t="str">
        <f ca="1">IFERROR(__xludf.DUMMYFUNCTION("""COMPUTED_VALUE"""),"ĐHLCAYCH")</f>
        <v>ĐHLCAYCH</v>
      </c>
      <c r="C1188" s="587" t="str">
        <f ca="1">IFERROR(__xludf.DUMMYFUNCTION("""COMPUTED_VALUE"""),"DOTHL381012229")</f>
        <v>DOTHL381012229</v>
      </c>
      <c r="D1188" s="588" t="str">
        <f ca="1">IFERROR(__xludf.DUMMYFUNCTION("""COMPUTED_VALUE"""),"Đồng ống Hailiang dạng cây 38.10mmx1.22 mmx2.9")</f>
        <v>Đồng ống Hailiang dạng cây 38.10mmx1.22 mmx2.9</v>
      </c>
      <c r="E1188" s="589">
        <f ca="1">IFERROR(__xludf.DUMMYFUNCTION("""COMPUTED_VALUE"""),0.1)</f>
        <v>0.1</v>
      </c>
      <c r="F1188" s="590" t="str">
        <f ca="1">IFERROR(__xludf.DUMMYFUNCTION("""COMPUTED_VALUE"""),"Cây")</f>
        <v>Cây</v>
      </c>
      <c r="G1188" s="590" t="str">
        <f ca="1">IFERROR(__xludf.DUMMYFUNCTION("""COMPUTED_VALUE"""),"Cây 2.9m")</f>
        <v>Cây 2.9m</v>
      </c>
      <c r="H1188" s="588"/>
      <c r="I1188" s="591">
        <f ca="1">IFERROR(__xludf.DUMMYFUNCTION("""COMPUTED_VALUE"""),3.65348032)</f>
        <v>3.6534803199999999</v>
      </c>
      <c r="J1188" s="592" t="str">
        <f ca="1">IFERROR(__xludf.DUMMYFUNCTION("""COMPUTED_VALUE""")," 38.10 ")</f>
        <v xml:space="preserve"> 38.10 </v>
      </c>
      <c r="K1188" s="590" t="str">
        <f ca="1">IFERROR(__xludf.DUMMYFUNCTION("""COMPUTED_VALUE"""),"1.22")</f>
        <v>1.22</v>
      </c>
      <c r="L1188" s="590">
        <f ca="1">IFERROR(__xludf.DUMMYFUNCTION("""COMPUTED_VALUE"""),2.9)</f>
        <v>2.9</v>
      </c>
      <c r="M1188" s="590"/>
      <c r="N1188" s="590" t="str">
        <f ca="1">IFERROR(__xludf.DUMMYFUNCTION("""COMPUTED_VALUE"""),"Dị_D&lt;54")</f>
        <v>Dị_D&lt;54</v>
      </c>
      <c r="O1188" s="589"/>
      <c r="P1188" s="590"/>
    </row>
    <row r="1189" spans="1:17" ht="15.75">
      <c r="A1189" s="581" t="str">
        <f ca="1">IFERROR(__xludf.DUMMYFUNCTION("""COMPUTED_VALUE"""),"Hailiang")</f>
        <v>Hailiang</v>
      </c>
      <c r="B1189" s="581" t="str">
        <f ca="1">IFERROR(__xludf.DUMMYFUNCTION("""COMPUTED_VALUE"""),"ĐHLCAYDI")</f>
        <v>ĐHLCAYDI</v>
      </c>
      <c r="C1189" s="581" t="str">
        <f ca="1">IFERROR(__xludf.DUMMYFUNCTION("""COMPUTED_VALUE"""),"DOTHL381013229")</f>
        <v>DOTHL381013229</v>
      </c>
      <c r="D1189" s="582" t="str">
        <f ca="1">IFERROR(__xludf.DUMMYFUNCTION("""COMPUTED_VALUE"""),"Đồng ống Hailiang dạng cây 38.10mmx1.32 mmx2.9")</f>
        <v>Đồng ống Hailiang dạng cây 38.10mmx1.32 mmx2.9</v>
      </c>
      <c r="E1189" s="583">
        <f ca="1">IFERROR(__xludf.DUMMYFUNCTION("""COMPUTED_VALUE"""),0.1)</f>
        <v>0.1</v>
      </c>
      <c r="F1189" s="584" t="str">
        <f ca="1">IFERROR(__xludf.DUMMYFUNCTION("""COMPUTED_VALUE"""),"Cây")</f>
        <v>Cây</v>
      </c>
      <c r="G1189" s="584" t="str">
        <f ca="1">IFERROR(__xludf.DUMMYFUNCTION("""COMPUTED_VALUE"""),"Cây 2.9m")</f>
        <v>Cây 2.9m</v>
      </c>
      <c r="H1189" s="582"/>
      <c r="I1189" s="585">
        <f ca="1">IFERROR(__xludf.DUMMYFUNCTION("""COMPUTED_VALUE"""),3.94222752)</f>
        <v>3.9422275199999999</v>
      </c>
      <c r="J1189" s="586" t="str">
        <f ca="1">IFERROR(__xludf.DUMMYFUNCTION("""COMPUTED_VALUE""")," 38.10 ")</f>
        <v xml:space="preserve"> 38.10 </v>
      </c>
      <c r="K1189" s="584" t="str">
        <f ca="1">IFERROR(__xludf.DUMMYFUNCTION("""COMPUTED_VALUE"""),"1.32")</f>
        <v>1.32</v>
      </c>
      <c r="L1189" s="584">
        <f ca="1">IFERROR(__xludf.DUMMYFUNCTION("""COMPUTED_VALUE"""),2.9)</f>
        <v>2.9</v>
      </c>
      <c r="M1189" s="584"/>
      <c r="N1189" s="584" t="str">
        <f ca="1">IFERROR(__xludf.DUMMYFUNCTION("""COMPUTED_VALUE"""),"Dị_D&lt;54")</f>
        <v>Dị_D&lt;54</v>
      </c>
      <c r="O1189" s="583"/>
      <c r="P1189" s="584"/>
    </row>
    <row r="1190" spans="1:17" ht="15.75">
      <c r="A1190" s="587" t="str">
        <f ca="1">IFERROR(__xludf.DUMMYFUNCTION("""COMPUTED_VALUE"""),"Hailiang")</f>
        <v>Hailiang</v>
      </c>
      <c r="B1190" s="587" t="str">
        <f ca="1">IFERROR(__xludf.DUMMYFUNCTION("""COMPUTED_VALUE"""),"ĐHLCAYDI")</f>
        <v>ĐHLCAYDI</v>
      </c>
      <c r="C1190" s="587" t="str">
        <f ca="1">IFERROR(__xludf.DUMMYFUNCTION("""COMPUTED_VALUE"""),"DOTHL381014329")</f>
        <v>DOTHL381014329</v>
      </c>
      <c r="D1190" s="588" t="str">
        <f ca="1">IFERROR(__xludf.DUMMYFUNCTION("""COMPUTED_VALUE"""),"Đồng ống Hailiang dạng cây 38.10mmx1.43 mmx2.9")</f>
        <v>Đồng ống Hailiang dạng cây 38.10mmx1.43 mmx2.9</v>
      </c>
      <c r="E1190" s="589">
        <f ca="1">IFERROR(__xludf.DUMMYFUNCTION("""COMPUTED_VALUE"""),0.1)</f>
        <v>0.1</v>
      </c>
      <c r="F1190" s="590" t="str">
        <f ca="1">IFERROR(__xludf.DUMMYFUNCTION("""COMPUTED_VALUE"""),"Cây")</f>
        <v>Cây</v>
      </c>
      <c r="G1190" s="590" t="str">
        <f ca="1">IFERROR(__xludf.DUMMYFUNCTION("""COMPUTED_VALUE"""),"Cây 2.9m")</f>
        <v>Cây 2.9m</v>
      </c>
      <c r="H1190" s="588"/>
      <c r="I1190" s="591">
        <f ca="1">IFERROR(__xludf.DUMMYFUNCTION("""COMPUTED_VALUE"""),4.25797372)</f>
        <v>4.2579737199999999</v>
      </c>
      <c r="J1190" s="592" t="str">
        <f ca="1">IFERROR(__xludf.DUMMYFUNCTION("""COMPUTED_VALUE""")," 38.10 ")</f>
        <v xml:space="preserve"> 38.10 </v>
      </c>
      <c r="K1190" s="590" t="str">
        <f ca="1">IFERROR(__xludf.DUMMYFUNCTION("""COMPUTED_VALUE"""),"1.43")</f>
        <v>1.43</v>
      </c>
      <c r="L1190" s="590">
        <f ca="1">IFERROR(__xludf.DUMMYFUNCTION("""COMPUTED_VALUE"""),2.9)</f>
        <v>2.9</v>
      </c>
      <c r="M1190" s="590"/>
      <c r="N1190" s="590" t="str">
        <f ca="1">IFERROR(__xludf.DUMMYFUNCTION("""COMPUTED_VALUE"""),"Dị_D&lt;54")</f>
        <v>Dị_D&lt;54</v>
      </c>
      <c r="O1190" s="589"/>
      <c r="P1190" s="590"/>
    </row>
    <row r="1191" spans="1:17" ht="15.75">
      <c r="A1191" s="581" t="str">
        <f ca="1">IFERROR(__xludf.DUMMYFUNCTION("""COMPUTED_VALUE"""),"Hailiang")</f>
        <v>Hailiang</v>
      </c>
      <c r="B1191" s="581" t="str">
        <f ca="1">IFERROR(__xludf.DUMMYFUNCTION("""COMPUTED_VALUE"""),"ĐHLCAYDI")</f>
        <v>ĐHLCAYDI</v>
      </c>
      <c r="C1191" s="581" t="str">
        <f ca="1">IFERROR(__xludf.DUMMYFUNCTION("""COMPUTED_VALUE"""),"DOTHL381015029")</f>
        <v>DOTHL381015029</v>
      </c>
      <c r="D1191" s="582" t="str">
        <f ca="1">IFERROR(__xludf.DUMMYFUNCTION("""COMPUTED_VALUE"""),"Đồng ống Hailiang dạng cây 38.10mmx1.50 mmx2.9")</f>
        <v>Đồng ống Hailiang dạng cây 38.10mmx1.50 mmx2.9</v>
      </c>
      <c r="E1191" s="583">
        <f ca="1">IFERROR(__xludf.DUMMYFUNCTION("""COMPUTED_VALUE"""),0.1)</f>
        <v>0.1</v>
      </c>
      <c r="F1191" s="584" t="str">
        <f ca="1">IFERROR(__xludf.DUMMYFUNCTION("""COMPUTED_VALUE"""),"Cây")</f>
        <v>Cây</v>
      </c>
      <c r="G1191" s="584" t="str">
        <f ca="1">IFERROR(__xludf.DUMMYFUNCTION("""COMPUTED_VALUE"""),"Cây 2.9m")</f>
        <v>Cây 2.9m</v>
      </c>
      <c r="H1191" s="582"/>
      <c r="I1191" s="585">
        <f ca="1">IFERROR(__xludf.DUMMYFUNCTION("""COMPUTED_VALUE"""),4.45788)</f>
        <v>4.4578800000000003</v>
      </c>
      <c r="J1191" s="586" t="str">
        <f ca="1">IFERROR(__xludf.DUMMYFUNCTION("""COMPUTED_VALUE""")," 38.10 ")</f>
        <v xml:space="preserve"> 38.10 </v>
      </c>
      <c r="K1191" s="584" t="str">
        <f ca="1">IFERROR(__xludf.DUMMYFUNCTION("""COMPUTED_VALUE"""),"1.50")</f>
        <v>1.50</v>
      </c>
      <c r="L1191" s="584">
        <f ca="1">IFERROR(__xludf.DUMMYFUNCTION("""COMPUTED_VALUE"""),2.9)</f>
        <v>2.9</v>
      </c>
      <c r="M1191" s="584"/>
      <c r="N1191" s="584" t="str">
        <f ca="1">IFERROR(__xludf.DUMMYFUNCTION("""COMPUTED_VALUE"""),"Dị_D&lt;54")</f>
        <v>Dị_D&lt;54</v>
      </c>
      <c r="O1191" s="583"/>
      <c r="P1191" s="584"/>
    </row>
    <row r="1192" spans="1:17" ht="15.75">
      <c r="A1192" s="587" t="str">
        <f ca="1">IFERROR(__xludf.DUMMYFUNCTION("""COMPUTED_VALUE"""),"Hailiang")</f>
        <v>Hailiang</v>
      </c>
      <c r="B1192" s="587" t="str">
        <f ca="1">IFERROR(__xludf.DUMMYFUNCTION("""COMPUTED_VALUE"""),"ĐHLCAYDI")</f>
        <v>ĐHLCAYDI</v>
      </c>
      <c r="C1192" s="587" t="str">
        <f ca="1">IFERROR(__xludf.DUMMYFUNCTION("""COMPUTED_VALUE"""),"DOTHL41281029")</f>
        <v>DOTHL41281029</v>
      </c>
      <c r="D1192" s="588" t="str">
        <f ca="1">IFERROR(__xludf.DUMMYFUNCTION("""COMPUTED_VALUE"""),"Đồng ống Hailiang dạng cây 41.28mmx1.0mmx2.9")</f>
        <v>Đồng ống Hailiang dạng cây 41.28mmx1.0mmx2.9</v>
      </c>
      <c r="E1192" s="589">
        <f ca="1">IFERROR(__xludf.DUMMYFUNCTION("""COMPUTED_VALUE"""),0.1)</f>
        <v>0.1</v>
      </c>
      <c r="F1192" s="590" t="str">
        <f ca="1">IFERROR(__xludf.DUMMYFUNCTION("""COMPUTED_VALUE"""),"Cây")</f>
        <v>Cây</v>
      </c>
      <c r="G1192" s="590" t="str">
        <f ca="1">IFERROR(__xludf.DUMMYFUNCTION("""COMPUTED_VALUE"""),"Cây 2.9m")</f>
        <v>Cây 2.9m</v>
      </c>
      <c r="H1192" s="588"/>
      <c r="I1192" s="591">
        <f ca="1">IFERROR(__xludf.DUMMYFUNCTION("""COMPUTED_VALUE"""),3.270736)</f>
        <v>3.2707359999999999</v>
      </c>
      <c r="J1192" s="592" t="str">
        <f ca="1">IFERROR(__xludf.DUMMYFUNCTION("""COMPUTED_VALUE""")," 41.28 ")</f>
        <v xml:space="preserve"> 41.28 </v>
      </c>
      <c r="K1192" s="590" t="str">
        <f ca="1">IFERROR(__xludf.DUMMYFUNCTION("""COMPUTED_VALUE"""),"1.00")</f>
        <v>1.00</v>
      </c>
      <c r="L1192" s="590">
        <f ca="1">IFERROR(__xludf.DUMMYFUNCTION("""COMPUTED_VALUE"""),2.9)</f>
        <v>2.9</v>
      </c>
      <c r="M1192" s="590"/>
      <c r="N1192" s="590" t="str">
        <f ca="1">IFERROR(__xludf.DUMMYFUNCTION("""COMPUTED_VALUE"""),"Dị_D&lt;54")</f>
        <v>Dị_D&lt;54</v>
      </c>
      <c r="O1192" s="589"/>
      <c r="P1192" s="590"/>
    </row>
    <row r="1193" spans="1:17" ht="15.75">
      <c r="A1193" s="581" t="str">
        <f ca="1">IFERROR(__xludf.DUMMYFUNCTION("""COMPUTED_VALUE"""),"Hailiang")</f>
        <v>Hailiang</v>
      </c>
      <c r="B1193" s="581" t="str">
        <f ca="1">IFERROR(__xludf.DUMMYFUNCTION("""COMPUTED_VALUE"""),"ĐHLCAYDI")</f>
        <v>ĐHLCAYDI</v>
      </c>
      <c r="C1193" s="581" t="str">
        <f ca="1">IFERROR(__xludf.DUMMYFUNCTION("""COMPUTED_VALUE"""),"DOTHL41281058")</f>
        <v>DOTHL41281058</v>
      </c>
      <c r="D1193" s="582" t="str">
        <f ca="1">IFERROR(__xludf.DUMMYFUNCTION("""COMPUTED_VALUE"""),"Đồng ống Hailiang dạng cây 41.28mmx1.0mmx5.8")</f>
        <v>Đồng ống Hailiang dạng cây 41.28mmx1.0mmx5.8</v>
      </c>
      <c r="E1193" s="583">
        <f ca="1">IFERROR(__xludf.DUMMYFUNCTION("""COMPUTED_VALUE"""),0.1)</f>
        <v>0.1</v>
      </c>
      <c r="F1193" s="584" t="str">
        <f ca="1">IFERROR(__xludf.DUMMYFUNCTION("""COMPUTED_VALUE"""),"Cây")</f>
        <v>Cây</v>
      </c>
      <c r="G1193" s="584" t="str">
        <f ca="1">IFERROR(__xludf.DUMMYFUNCTION("""COMPUTED_VALUE"""),"Cây 5.8m")</f>
        <v>Cây 5.8m</v>
      </c>
      <c r="H1193" s="582"/>
      <c r="I1193" s="585">
        <f ca="1">IFERROR(__xludf.DUMMYFUNCTION("""COMPUTED_VALUE"""),6.541472)</f>
        <v>6.5414719999999997</v>
      </c>
      <c r="J1193" s="586" t="str">
        <f ca="1">IFERROR(__xludf.DUMMYFUNCTION("""COMPUTED_VALUE""")," 41.28 ")</f>
        <v xml:space="preserve"> 41.28 </v>
      </c>
      <c r="K1193" s="584" t="str">
        <f ca="1">IFERROR(__xludf.DUMMYFUNCTION("""COMPUTED_VALUE"""),"1.00")</f>
        <v>1.00</v>
      </c>
      <c r="L1193" s="584">
        <f ca="1">IFERROR(__xludf.DUMMYFUNCTION("""COMPUTED_VALUE"""),5.8)</f>
        <v>5.8</v>
      </c>
      <c r="M1193" s="584"/>
      <c r="N1193" s="584" t="str">
        <f ca="1">IFERROR(__xludf.DUMMYFUNCTION("""COMPUTED_VALUE"""),"Dị_D&lt;54")</f>
        <v>Dị_D&lt;54</v>
      </c>
      <c r="O1193" s="583"/>
      <c r="P1193" s="584"/>
    </row>
    <row r="1194" spans="1:17" ht="15.75">
      <c r="A1194" s="587" t="str">
        <f ca="1">IFERROR(__xludf.DUMMYFUNCTION("""COMPUTED_VALUE"""),"Hailiang")</f>
        <v>Hailiang</v>
      </c>
      <c r="B1194" s="587" t="str">
        <f ca="1">IFERROR(__xludf.DUMMYFUNCTION("""COMPUTED_VALUE"""),"ĐHLCAYDI")</f>
        <v>ĐHLCAYDI</v>
      </c>
      <c r="C1194" s="587" t="str">
        <f ca="1">IFERROR(__xludf.DUMMYFUNCTION("""COMPUTED_VALUE"""),"DOTHL412810229")</f>
        <v>DOTHL412810229</v>
      </c>
      <c r="D1194" s="588" t="str">
        <f ca="1">IFERROR(__xludf.DUMMYFUNCTION("""COMPUTED_VALUE"""),"Đồng ống Hailiang dạng cây 41.28mmx1.02mmx2.9")</f>
        <v>Đồng ống Hailiang dạng cây 41.28mmx1.02mmx2.9</v>
      </c>
      <c r="E1194" s="589">
        <f ca="1">IFERROR(__xludf.DUMMYFUNCTION("""COMPUTED_VALUE"""),0.1)</f>
        <v>0.1</v>
      </c>
      <c r="F1194" s="590" t="str">
        <f ca="1">IFERROR(__xludf.DUMMYFUNCTION("""COMPUTED_VALUE"""),"Cây")</f>
        <v>Cây</v>
      </c>
      <c r="G1194" s="590" t="str">
        <f ca="1">IFERROR(__xludf.DUMMYFUNCTION("""COMPUTED_VALUE"""),"Cây 2.9m")</f>
        <v>Cây 2.9m</v>
      </c>
      <c r="H1194" s="588"/>
      <c r="I1194" s="591">
        <f ca="1">IFERROR(__xludf.DUMMYFUNCTION("""COMPUTED_VALUE"""),3.33449423999999)</f>
        <v>3.33449423999999</v>
      </c>
      <c r="J1194" s="592" t="str">
        <f ca="1">IFERROR(__xludf.DUMMYFUNCTION("""COMPUTED_VALUE""")," 41.28 ")</f>
        <v xml:space="preserve"> 41.28 </v>
      </c>
      <c r="K1194" s="590" t="str">
        <f ca="1">IFERROR(__xludf.DUMMYFUNCTION("""COMPUTED_VALUE"""),"1.02")</f>
        <v>1.02</v>
      </c>
      <c r="L1194" s="590">
        <f ca="1">IFERROR(__xludf.DUMMYFUNCTION("""COMPUTED_VALUE"""),2.9)</f>
        <v>2.9</v>
      </c>
      <c r="M1194" s="590"/>
      <c r="N1194" s="590" t="str">
        <f ca="1">IFERROR(__xludf.DUMMYFUNCTION("""COMPUTED_VALUE"""),"Dị_D&lt;54")</f>
        <v>Dị_D&lt;54</v>
      </c>
      <c r="O1194" s="589"/>
      <c r="P1194" s="590"/>
    </row>
    <row r="1195" spans="1:17" ht="15.75">
      <c r="A1195" s="581" t="str">
        <f ca="1">IFERROR(__xludf.DUMMYFUNCTION("""COMPUTED_VALUE"""),"Hailiang")</f>
        <v>Hailiang</v>
      </c>
      <c r="B1195" s="581" t="str">
        <f ca="1">IFERROR(__xludf.DUMMYFUNCTION("""COMPUTED_VALUE"""),"ĐHLCAYDI")</f>
        <v>ĐHLCAYDI</v>
      </c>
      <c r="C1195" s="581" t="str">
        <f ca="1">IFERROR(__xludf.DUMMYFUNCTION("""COMPUTED_VALUE"""),"DOTHL412810258")</f>
        <v>DOTHL412810258</v>
      </c>
      <c r="D1195" s="582" t="str">
        <f ca="1">IFERROR(__xludf.DUMMYFUNCTION("""COMPUTED_VALUE"""),"Đồng ống Hailiang dạng cây 41.28mmx1.02mmx5.8")</f>
        <v>Đồng ống Hailiang dạng cây 41.28mmx1.02mmx5.8</v>
      </c>
      <c r="E1195" s="583">
        <f ca="1">IFERROR(__xludf.DUMMYFUNCTION("""COMPUTED_VALUE"""),0.1)</f>
        <v>0.1</v>
      </c>
      <c r="F1195" s="584" t="str">
        <f ca="1">IFERROR(__xludf.DUMMYFUNCTION("""COMPUTED_VALUE"""),"Cây")</f>
        <v>Cây</v>
      </c>
      <c r="G1195" s="584" t="str">
        <f ca="1">IFERROR(__xludf.DUMMYFUNCTION("""COMPUTED_VALUE"""),"Cây 5.8m")</f>
        <v>Cây 5.8m</v>
      </c>
      <c r="H1195" s="582"/>
      <c r="I1195" s="585">
        <f ca="1">IFERROR(__xludf.DUMMYFUNCTION("""COMPUTED_VALUE"""),6.66898847999999)</f>
        <v>6.6689884799999897</v>
      </c>
      <c r="J1195" s="586" t="str">
        <f ca="1">IFERROR(__xludf.DUMMYFUNCTION("""COMPUTED_VALUE""")," 41.28 ")</f>
        <v xml:space="preserve"> 41.28 </v>
      </c>
      <c r="K1195" s="584" t="str">
        <f ca="1">IFERROR(__xludf.DUMMYFUNCTION("""COMPUTED_VALUE"""),"1.02")</f>
        <v>1.02</v>
      </c>
      <c r="L1195" s="584">
        <f ca="1">IFERROR(__xludf.DUMMYFUNCTION("""COMPUTED_VALUE"""),5.8)</f>
        <v>5.8</v>
      </c>
      <c r="M1195" s="584"/>
      <c r="N1195" s="584" t="str">
        <f ca="1">IFERROR(__xludf.DUMMYFUNCTION("""COMPUTED_VALUE"""),"Dị_D&lt;54")</f>
        <v>Dị_D&lt;54</v>
      </c>
      <c r="O1195" s="583"/>
      <c r="P1195" s="584"/>
    </row>
    <row r="1196" spans="1:17" ht="15.75">
      <c r="A1196" s="587" t="str">
        <f ca="1">IFERROR(__xludf.DUMMYFUNCTION("""COMPUTED_VALUE"""),"Hailiang")</f>
        <v>Hailiang</v>
      </c>
      <c r="B1196" s="587" t="str">
        <f ca="1">IFERROR(__xludf.DUMMYFUNCTION("""COMPUTED_VALUE"""),"ĐHLCAYDI")</f>
        <v>ĐHLCAYDI</v>
      </c>
      <c r="C1196" s="587" t="str">
        <f ca="1">IFERROR(__xludf.DUMMYFUNCTION("""COMPUTED_VALUE"""),"DOTHL41281258")</f>
        <v>DOTHL41281258</v>
      </c>
      <c r="D1196" s="588" t="str">
        <f ca="1">IFERROR(__xludf.DUMMYFUNCTION("""COMPUTED_VALUE"""),"Đồng ống Hailiang dạng cây 41.28mmx1.2mmx5.8")</f>
        <v>Đồng ống Hailiang dạng cây 41.28mmx1.2mmx5.8</v>
      </c>
      <c r="E1196" s="589">
        <f ca="1">IFERROR(__xludf.DUMMYFUNCTION("""COMPUTED_VALUE"""),0.1)</f>
        <v>0.1</v>
      </c>
      <c r="F1196" s="590" t="str">
        <f ca="1">IFERROR(__xludf.DUMMYFUNCTION("""COMPUTED_VALUE"""),"Cây")</f>
        <v>Cây</v>
      </c>
      <c r="G1196" s="590" t="str">
        <f ca="1">IFERROR(__xludf.DUMMYFUNCTION("""COMPUTED_VALUE"""),"Cây 5.8m")</f>
        <v>Cây 5.8m</v>
      </c>
      <c r="H1196" s="588"/>
      <c r="I1196" s="591">
        <f ca="1">IFERROR(__xludf.DUMMYFUNCTION("""COMPUTED_VALUE"""),7.81079039999999)</f>
        <v>7.8107903999999904</v>
      </c>
      <c r="J1196" s="592" t="str">
        <f ca="1">IFERROR(__xludf.DUMMYFUNCTION("""COMPUTED_VALUE""")," 41.28 ")</f>
        <v xml:space="preserve"> 41.28 </v>
      </c>
      <c r="K1196" s="590" t="str">
        <f ca="1">IFERROR(__xludf.DUMMYFUNCTION("""COMPUTED_VALUE"""),"1.20")</f>
        <v>1.20</v>
      </c>
      <c r="L1196" s="590">
        <f ca="1">IFERROR(__xludf.DUMMYFUNCTION("""COMPUTED_VALUE"""),5.8)</f>
        <v>5.8</v>
      </c>
      <c r="M1196" s="590"/>
      <c r="N1196" s="590" t="str">
        <f ca="1">IFERROR(__xludf.DUMMYFUNCTION("""COMPUTED_VALUE"""),"Dị_D&lt;54")</f>
        <v>Dị_D&lt;54</v>
      </c>
      <c r="O1196" s="589"/>
      <c r="P1196" s="590"/>
    </row>
    <row r="1197" spans="1:17" ht="15.75">
      <c r="A1197" s="581" t="str">
        <f ca="1">IFERROR(__xludf.DUMMYFUNCTION("""COMPUTED_VALUE"""),"Hailiang")</f>
        <v>Hailiang</v>
      </c>
      <c r="B1197" s="581" t="str">
        <f ca="1">IFERROR(__xludf.DUMMYFUNCTION("""COMPUTED_VALUE"""),"ĐHLCAY")</f>
        <v>ĐHLCAY</v>
      </c>
      <c r="C1197" s="581" t="str">
        <f ca="1">IFERROR(__xludf.DUMMYFUNCTION("""COMPUTED_VALUE"""),"DOTHL412812029")</f>
        <v>DOTHL412812029</v>
      </c>
      <c r="D1197" s="582" t="str">
        <f ca="1">IFERROR(__xludf.DUMMYFUNCTION("""COMPUTED_VALUE"""),"Đồng ống Hailiang dạng cây 41.28mmx1.20mmx2.9")</f>
        <v>Đồng ống Hailiang dạng cây 41.28mmx1.20mmx2.9</v>
      </c>
      <c r="E1197" s="583">
        <f ca="1">IFERROR(__xludf.DUMMYFUNCTION("""COMPUTED_VALUE"""),0.1)</f>
        <v>0.1</v>
      </c>
      <c r="F1197" s="584" t="str">
        <f ca="1">IFERROR(__xludf.DUMMYFUNCTION("""COMPUTED_VALUE"""),"Cây")</f>
        <v>Cây</v>
      </c>
      <c r="G1197" s="584" t="str">
        <f ca="1">IFERROR(__xludf.DUMMYFUNCTION("""COMPUTED_VALUE"""),"Cây 2.9m")</f>
        <v>Cây 2.9m</v>
      </c>
      <c r="H1197" s="582"/>
      <c r="I1197" s="585">
        <f ca="1">IFERROR(__xludf.DUMMYFUNCTION("""COMPUTED_VALUE"""),3.90539519999999)</f>
        <v>3.9053951999999899</v>
      </c>
      <c r="J1197" s="586" t="str">
        <f ca="1">IFERROR(__xludf.DUMMYFUNCTION("""COMPUTED_VALUE""")," 41.28 ")</f>
        <v xml:space="preserve"> 41.28 </v>
      </c>
      <c r="K1197" s="584" t="str">
        <f ca="1">IFERROR(__xludf.DUMMYFUNCTION("""COMPUTED_VALUE"""),"1.20")</f>
        <v>1.20</v>
      </c>
      <c r="L1197" s="584">
        <f ca="1">IFERROR(__xludf.DUMMYFUNCTION("""COMPUTED_VALUE"""),2.9)</f>
        <v>2.9</v>
      </c>
      <c r="M1197" s="584"/>
      <c r="N1197" s="584" t="str">
        <f ca="1">IFERROR(__xludf.DUMMYFUNCTION("""COMPUTED_VALUE"""),"Dị_D&lt;54")</f>
        <v>Dị_D&lt;54</v>
      </c>
      <c r="O1197" s="583"/>
      <c r="P1197" s="584"/>
    </row>
    <row r="1198" spans="1:17" ht="15.75">
      <c r="A1198" s="587" t="str">
        <f ca="1">IFERROR(__xludf.DUMMYFUNCTION("""COMPUTED_VALUE"""),"Hailiang")</f>
        <v>Hailiang</v>
      </c>
      <c r="B1198" s="587" t="str">
        <f ca="1">IFERROR(__xludf.DUMMYFUNCTION("""COMPUTED_VALUE"""),"ĐHLCAYDI")</f>
        <v>ĐHLCAYDI</v>
      </c>
      <c r="C1198" s="587" t="str">
        <f ca="1">IFERROR(__xludf.DUMMYFUNCTION("""COMPUTED_VALUE"""),"DOTHL412812258")</f>
        <v>DOTHL412812258</v>
      </c>
      <c r="D1198" s="588" t="str">
        <f ca="1">IFERROR(__xludf.DUMMYFUNCTION("""COMPUTED_VALUE"""),"Đồng ống Hailiang dạng cây 41.28mmx1.22mmx5.8")</f>
        <v>Đồng ống Hailiang dạng cây 41.28mmx1.22mmx5.8</v>
      </c>
      <c r="E1198" s="589">
        <f ca="1">IFERROR(__xludf.DUMMYFUNCTION("""COMPUTED_VALUE"""),0.1)</f>
        <v>0.1</v>
      </c>
      <c r="F1198" s="590" t="str">
        <f ca="1">IFERROR(__xludf.DUMMYFUNCTION("""COMPUTED_VALUE"""),"Cây")</f>
        <v>Cây</v>
      </c>
      <c r="G1198" s="590" t="str">
        <f ca="1">IFERROR(__xludf.DUMMYFUNCTION("""COMPUTED_VALUE"""),"Cây 5.8m")</f>
        <v>Cây 5.8m</v>
      </c>
      <c r="H1198" s="588"/>
      <c r="I1198" s="591">
        <f ca="1">IFERROR(__xludf.DUMMYFUNCTION("""COMPUTED_VALUE"""),7.93700768)</f>
        <v>7.9370076799999998</v>
      </c>
      <c r="J1198" s="592" t="str">
        <f ca="1">IFERROR(__xludf.DUMMYFUNCTION("""COMPUTED_VALUE""")," 41.28 ")</f>
        <v xml:space="preserve"> 41.28 </v>
      </c>
      <c r="K1198" s="590" t="str">
        <f ca="1">IFERROR(__xludf.DUMMYFUNCTION("""COMPUTED_VALUE"""),"1.22")</f>
        <v>1.22</v>
      </c>
      <c r="L1198" s="590">
        <f ca="1">IFERROR(__xludf.DUMMYFUNCTION("""COMPUTED_VALUE"""),5.8)</f>
        <v>5.8</v>
      </c>
      <c r="M1198" s="590"/>
      <c r="N1198" s="590" t="str">
        <f ca="1">IFERROR(__xludf.DUMMYFUNCTION("""COMPUTED_VALUE"""),"Dị_D&lt;54")</f>
        <v>Dị_D&lt;54</v>
      </c>
      <c r="O1198" s="589"/>
      <c r="P1198" s="590"/>
    </row>
    <row r="1199" spans="1:17" ht="15.75">
      <c r="A1199" s="581" t="str">
        <f ca="1">IFERROR(__xludf.DUMMYFUNCTION("""COMPUTED_VALUE"""),"Hailiang")</f>
        <v>Hailiang</v>
      </c>
      <c r="B1199" s="581" t="str">
        <f ca="1">IFERROR(__xludf.DUMMYFUNCTION("""COMPUTED_VALUE"""),"ĐHLCAYTD")</f>
        <v>ĐHLCAYTD</v>
      </c>
      <c r="C1199" s="581" t="str">
        <f ca="1">IFERROR(__xludf.DUMMYFUNCTION("""COMPUTED_VALUE"""),"DOTHL412812229")</f>
        <v>DOTHL412812229</v>
      </c>
      <c r="D1199" s="582" t="str">
        <f ca="1">IFERROR(__xludf.DUMMYFUNCTION("""COMPUTED_VALUE"""),"Đồng ống Hailiang dạng cây 41.28mmx1.22mmx2.9")</f>
        <v>Đồng ống Hailiang dạng cây 41.28mmx1.22mmx2.9</v>
      </c>
      <c r="E1199" s="583">
        <f ca="1">IFERROR(__xludf.DUMMYFUNCTION("""COMPUTED_VALUE"""),0.1)</f>
        <v>0.1</v>
      </c>
      <c r="F1199" s="584" t="str">
        <f ca="1">IFERROR(__xludf.DUMMYFUNCTION("""COMPUTED_VALUE"""),"Cây")</f>
        <v>Cây</v>
      </c>
      <c r="G1199" s="584" t="str">
        <f ca="1">IFERROR(__xludf.DUMMYFUNCTION("""COMPUTED_VALUE"""),"Cây 2.9m")</f>
        <v>Cây 2.9m</v>
      </c>
      <c r="H1199" s="582"/>
      <c r="I1199" s="585">
        <f ca="1">IFERROR(__xludf.DUMMYFUNCTION("""COMPUTED_VALUE"""),3.96850384)</f>
        <v>3.9685038399999999</v>
      </c>
      <c r="J1199" s="586" t="str">
        <f ca="1">IFERROR(__xludf.DUMMYFUNCTION("""COMPUTED_VALUE""")," 41.28 ")</f>
        <v xml:space="preserve"> 41.28 </v>
      </c>
      <c r="K1199" s="584" t="str">
        <f ca="1">IFERROR(__xludf.DUMMYFUNCTION("""COMPUTED_VALUE"""),"1.22")</f>
        <v>1.22</v>
      </c>
      <c r="L1199" s="584">
        <f ca="1">IFERROR(__xludf.DUMMYFUNCTION("""COMPUTED_VALUE"""),2.9)</f>
        <v>2.9</v>
      </c>
      <c r="M1199" s="584"/>
      <c r="N1199" s="584" t="str">
        <f ca="1">IFERROR(__xludf.DUMMYFUNCTION("""COMPUTED_VALUE"""),"Không")</f>
        <v>Không</v>
      </c>
      <c r="O1199" s="583"/>
      <c r="P1199" s="584"/>
      <c r="Q1199" s="885">
        <f ca="1">+$Q$5*I1199</f>
        <v>912.75588319999986</v>
      </c>
    </row>
    <row r="1200" spans="1:17" ht="15.75">
      <c r="A1200" s="587" t="str">
        <f ca="1">IFERROR(__xludf.DUMMYFUNCTION("""COMPUTED_VALUE"""),"Hailiang")</f>
        <v>Hailiang</v>
      </c>
      <c r="B1200" s="587" t="str">
        <f ca="1">IFERROR(__xludf.DUMMYFUNCTION("""COMPUTED_VALUE"""),"ĐHLCAYDI")</f>
        <v>ĐHLCAYDI</v>
      </c>
      <c r="C1200" s="587" t="str">
        <f ca="1">IFERROR(__xludf.DUMMYFUNCTION("""COMPUTED_VALUE"""),"DOTHL412813029")</f>
        <v>DOTHL412813029</v>
      </c>
      <c r="D1200" s="588" t="str">
        <f ca="1">IFERROR(__xludf.DUMMYFUNCTION("""COMPUTED_VALUE"""),"Đồng ống Hailiang dạng cây 41.28mmx1.30mmx2.9m")</f>
        <v>Đồng ống Hailiang dạng cây 41.28mmx1.30mmx2.9m</v>
      </c>
      <c r="E1200" s="589">
        <f ca="1">IFERROR(__xludf.DUMMYFUNCTION("""COMPUTED_VALUE"""),0.1)</f>
        <v>0.1</v>
      </c>
      <c r="F1200" s="590" t="str">
        <f ca="1">IFERROR(__xludf.DUMMYFUNCTION("""COMPUTED_VALUE"""),"Cây")</f>
        <v>Cây</v>
      </c>
      <c r="G1200" s="590" t="str">
        <f ca="1">IFERROR(__xludf.DUMMYFUNCTION("""COMPUTED_VALUE"""),"Cây 2.9m")</f>
        <v>Cây 2.9m</v>
      </c>
      <c r="H1200" s="588"/>
      <c r="I1200" s="591">
        <f ca="1">IFERROR(__xludf.DUMMYFUNCTION("""COMPUTED_VALUE"""),4.2202888)</f>
        <v>4.2202887999999996</v>
      </c>
      <c r="J1200" s="592" t="str">
        <f ca="1">IFERROR(__xludf.DUMMYFUNCTION("""COMPUTED_VALUE""")," 41.28 ")</f>
        <v xml:space="preserve"> 41.28 </v>
      </c>
      <c r="K1200" s="590" t="str">
        <f ca="1">IFERROR(__xludf.DUMMYFUNCTION("""COMPUTED_VALUE"""),"1.30")</f>
        <v>1.30</v>
      </c>
      <c r="L1200" s="590">
        <f ca="1">IFERROR(__xludf.DUMMYFUNCTION("""COMPUTED_VALUE"""),2.9)</f>
        <v>2.9</v>
      </c>
      <c r="M1200" s="590"/>
      <c r="N1200" s="590" t="str">
        <f ca="1">IFERROR(__xludf.DUMMYFUNCTION("""COMPUTED_VALUE"""),"Dị_D&lt;54")</f>
        <v>Dị_D&lt;54</v>
      </c>
      <c r="O1200" s="589"/>
      <c r="P1200" s="590"/>
    </row>
    <row r="1201" spans="1:17" ht="15.75">
      <c r="A1201" s="581" t="str">
        <f ca="1">IFERROR(__xludf.DUMMYFUNCTION("""COMPUTED_VALUE"""),"Hailiang")</f>
        <v>Hailiang</v>
      </c>
      <c r="B1201" s="581" t="str">
        <f ca="1">IFERROR(__xludf.DUMMYFUNCTION("""COMPUTED_VALUE"""),"ĐHLCAYDI")</f>
        <v>ĐHLCAYDI</v>
      </c>
      <c r="C1201" s="581" t="str">
        <f ca="1">IFERROR(__xludf.DUMMYFUNCTION("""COMPUTED_VALUE"""),"DOTHL41281458")</f>
        <v>DOTHL41281458</v>
      </c>
      <c r="D1201" s="582" t="str">
        <f ca="1">IFERROR(__xludf.DUMMYFUNCTION("""COMPUTED_VALUE"""),"Đồng ống Hailiang dạng cây 41.28mmx1.4mmx5.8")</f>
        <v>Đồng ống Hailiang dạng cây 41.28mmx1.4mmx5.8</v>
      </c>
      <c r="E1201" s="583">
        <f ca="1">IFERROR(__xludf.DUMMYFUNCTION("""COMPUTED_VALUE"""),0.1)</f>
        <v>0.1</v>
      </c>
      <c r="F1201" s="584" t="str">
        <f ca="1">IFERROR(__xludf.DUMMYFUNCTION("""COMPUTED_VALUE"""),"Cây")</f>
        <v>Cây</v>
      </c>
      <c r="G1201" s="584" t="str">
        <f ca="1">IFERROR(__xludf.DUMMYFUNCTION("""COMPUTED_VALUE"""),"Cây 5.8m")</f>
        <v>Cây 5.8m</v>
      </c>
      <c r="H1201" s="582"/>
      <c r="I1201" s="585">
        <f ca="1">IFERROR(__xludf.DUMMYFUNCTION("""COMPUTED_VALUE"""),9.06711679999999)</f>
        <v>9.0671167999999902</v>
      </c>
      <c r="J1201" s="586" t="str">
        <f ca="1">IFERROR(__xludf.DUMMYFUNCTION("""COMPUTED_VALUE""")," 41.28 ")</f>
        <v xml:space="preserve"> 41.28 </v>
      </c>
      <c r="K1201" s="584" t="str">
        <f ca="1">IFERROR(__xludf.DUMMYFUNCTION("""COMPUTED_VALUE"""),"1.40")</f>
        <v>1.40</v>
      </c>
      <c r="L1201" s="584">
        <f ca="1">IFERROR(__xludf.DUMMYFUNCTION("""COMPUTED_VALUE"""),5.8)</f>
        <v>5.8</v>
      </c>
      <c r="M1201" s="584"/>
      <c r="N1201" s="584" t="str">
        <f ca="1">IFERROR(__xludf.DUMMYFUNCTION("""COMPUTED_VALUE"""),"Dị_D&lt;54")</f>
        <v>Dị_D&lt;54</v>
      </c>
      <c r="O1201" s="583"/>
      <c r="P1201" s="584"/>
    </row>
    <row r="1202" spans="1:17" ht="15.75">
      <c r="A1202" s="587" t="str">
        <f ca="1">IFERROR(__xludf.DUMMYFUNCTION("""COMPUTED_VALUE"""),"Hailiang")</f>
        <v>Hailiang</v>
      </c>
      <c r="B1202" s="587" t="str">
        <f ca="1">IFERROR(__xludf.DUMMYFUNCTION("""COMPUTED_VALUE"""),"ĐHLCAYDI")</f>
        <v>ĐHLCAYDI</v>
      </c>
      <c r="C1202" s="587" t="str">
        <f ca="1">IFERROR(__xludf.DUMMYFUNCTION("""COMPUTED_VALUE"""),"DOTHL412814358")</f>
        <v>DOTHL412814358</v>
      </c>
      <c r="D1202" s="588" t="str">
        <f ca="1">IFERROR(__xludf.DUMMYFUNCTION("""COMPUTED_VALUE"""),"Đồng ống Hailiang dạng cây 41.28mmx1.43mmx5.8")</f>
        <v>Đồng ống Hailiang dạng cây 41.28mmx1.43mmx5.8</v>
      </c>
      <c r="E1202" s="589">
        <f ca="1">IFERROR(__xludf.DUMMYFUNCTION("""COMPUTED_VALUE"""),0.1)</f>
        <v>0.1</v>
      </c>
      <c r="F1202" s="590" t="str">
        <f ca="1">IFERROR(__xludf.DUMMYFUNCTION("""COMPUTED_VALUE"""),"Cây")</f>
        <v>Cây</v>
      </c>
      <c r="G1202" s="590" t="str">
        <f ca="1">IFERROR(__xludf.DUMMYFUNCTION("""COMPUTED_VALUE"""),"Cây 5.8m")</f>
        <v>Cây 5.8m</v>
      </c>
      <c r="H1202" s="588"/>
      <c r="I1202" s="591">
        <f ca="1">IFERROR(__xludf.DUMMYFUNCTION("""COMPUTED_VALUE"""),9.2544452)</f>
        <v>9.2544451999999993</v>
      </c>
      <c r="J1202" s="592" t="str">
        <f ca="1">IFERROR(__xludf.DUMMYFUNCTION("""COMPUTED_VALUE""")," 41.28 ")</f>
        <v xml:space="preserve"> 41.28 </v>
      </c>
      <c r="K1202" s="590" t="str">
        <f ca="1">IFERROR(__xludf.DUMMYFUNCTION("""COMPUTED_VALUE"""),"1.43")</f>
        <v>1.43</v>
      </c>
      <c r="L1202" s="590">
        <f ca="1">IFERROR(__xludf.DUMMYFUNCTION("""COMPUTED_VALUE"""),5.8)</f>
        <v>5.8</v>
      </c>
      <c r="M1202" s="590"/>
      <c r="N1202" s="590" t="str">
        <f ca="1">IFERROR(__xludf.DUMMYFUNCTION("""COMPUTED_VALUE"""),"Dị_D&lt;54")</f>
        <v>Dị_D&lt;54</v>
      </c>
      <c r="O1202" s="589"/>
      <c r="P1202" s="590"/>
    </row>
    <row r="1203" spans="1:17" ht="15.75">
      <c r="A1203" s="581" t="str">
        <f ca="1">IFERROR(__xludf.DUMMYFUNCTION("""COMPUTED_VALUE"""),"Hailiang")</f>
        <v>Hailiang</v>
      </c>
      <c r="B1203" s="581" t="str">
        <f ca="1">IFERROR(__xludf.DUMMYFUNCTION("""COMPUTED_VALUE"""),"ĐHLCAYIB")</f>
        <v>ĐHLCAYIB</v>
      </c>
      <c r="C1203" s="581" t="str">
        <f ca="1">IFERROR(__xludf.DUMMYFUNCTION("""COMPUTED_VALUE"""),"DOTHL412814329")</f>
        <v>DOTHL412814329</v>
      </c>
      <c r="D1203" s="582" t="str">
        <f ca="1">IFERROR(__xludf.DUMMYFUNCTION("""COMPUTED_VALUE"""),"Đồng ống Hailiang dạng cây 41.28mmx1.43mmx2.9")</f>
        <v>Đồng ống Hailiang dạng cây 41.28mmx1.43mmx2.9</v>
      </c>
      <c r="E1203" s="583">
        <f ca="1">IFERROR(__xludf.DUMMYFUNCTION("""COMPUTED_VALUE"""),0.1)</f>
        <v>0.1</v>
      </c>
      <c r="F1203" s="584" t="str">
        <f ca="1">IFERROR(__xludf.DUMMYFUNCTION("""COMPUTED_VALUE"""),"Cây")</f>
        <v>Cây</v>
      </c>
      <c r="G1203" s="584" t="str">
        <f ca="1">IFERROR(__xludf.DUMMYFUNCTION("""COMPUTED_VALUE"""),"Cây 2.9m")</f>
        <v>Cây 2.9m</v>
      </c>
      <c r="H1203" s="582"/>
      <c r="I1203" s="585">
        <f ca="1">IFERROR(__xludf.DUMMYFUNCTION("""COMPUTED_VALUE"""),4.6272226)</f>
        <v>4.6272225999999996</v>
      </c>
      <c r="J1203" s="586" t="str">
        <f ca="1">IFERROR(__xludf.DUMMYFUNCTION("""COMPUTED_VALUE""")," 41.28 ")</f>
        <v xml:space="preserve"> 41.28 </v>
      </c>
      <c r="K1203" s="584" t="str">
        <f ca="1">IFERROR(__xludf.DUMMYFUNCTION("""COMPUTED_VALUE"""),"1.43")</f>
        <v>1.43</v>
      </c>
      <c r="L1203" s="584">
        <f ca="1">IFERROR(__xludf.DUMMYFUNCTION("""COMPUTED_VALUE"""),2.9)</f>
        <v>2.9</v>
      </c>
      <c r="M1203" s="584"/>
      <c r="N1203" s="584" t="str">
        <f ca="1">IFERROR(__xludf.DUMMYFUNCTION("""COMPUTED_VALUE"""),"Ít bán")</f>
        <v>Ít bán</v>
      </c>
      <c r="O1203" s="583"/>
      <c r="P1203" s="584"/>
      <c r="Q1203" s="885">
        <f ca="1">+$Q$5*I1203</f>
        <v>1064.2611979999997</v>
      </c>
    </row>
    <row r="1204" spans="1:17" ht="15.75">
      <c r="A1204" s="587" t="str">
        <f ca="1">IFERROR(__xludf.DUMMYFUNCTION("""COMPUTED_VALUE"""),"Hailiang")</f>
        <v>Hailiang</v>
      </c>
      <c r="B1204" s="587" t="str">
        <f ca="1">IFERROR(__xludf.DUMMYFUNCTION("""COMPUTED_VALUE"""),"ĐHLCAYDI")</f>
        <v>ĐHLCAYDI</v>
      </c>
      <c r="C1204" s="587" t="str">
        <f ca="1">IFERROR(__xludf.DUMMYFUNCTION("""COMPUTED_VALUE"""),"DOTHL412815029")</f>
        <v>DOTHL412815029</v>
      </c>
      <c r="D1204" s="588" t="str">
        <f ca="1">IFERROR(__xludf.DUMMYFUNCTION("""COMPUTED_VALUE"""),"Đồng ống Hailiang dạng cây 41.28mmx1.50mmx2.9")</f>
        <v>Đồng ống Hailiang dạng cây 41.28mmx1.50mmx2.9</v>
      </c>
      <c r="E1204" s="589">
        <f ca="1">IFERROR(__xludf.DUMMYFUNCTION("""COMPUTED_VALUE"""),0.1)</f>
        <v>0.1</v>
      </c>
      <c r="F1204" s="590" t="str">
        <f ca="1">IFERROR(__xludf.DUMMYFUNCTION("""COMPUTED_VALUE"""),"Cây")</f>
        <v>Cây</v>
      </c>
      <c r="G1204" s="590" t="str">
        <f ca="1">IFERROR(__xludf.DUMMYFUNCTION("""COMPUTED_VALUE"""),"Cây 2.9m")</f>
        <v>Cây 2.9m</v>
      </c>
      <c r="H1204" s="588"/>
      <c r="I1204" s="591">
        <f ca="1">IFERROR(__xludf.DUMMYFUNCTION("""COMPUTED_VALUE"""),4.845204)</f>
        <v>4.8452039999999998</v>
      </c>
      <c r="J1204" s="592" t="str">
        <f ca="1">IFERROR(__xludf.DUMMYFUNCTION("""COMPUTED_VALUE""")," 41.28 ")</f>
        <v xml:space="preserve"> 41.28 </v>
      </c>
      <c r="K1204" s="590" t="str">
        <f ca="1">IFERROR(__xludf.DUMMYFUNCTION("""COMPUTED_VALUE"""),"1.50")</f>
        <v>1.50</v>
      </c>
      <c r="L1204" s="590">
        <f ca="1">IFERROR(__xludf.DUMMYFUNCTION("""COMPUTED_VALUE"""),2.9)</f>
        <v>2.9</v>
      </c>
      <c r="M1204" s="590"/>
      <c r="N1204" s="590" t="str">
        <f ca="1">IFERROR(__xludf.DUMMYFUNCTION("""COMPUTED_VALUE"""),"Dị_D&lt;54")</f>
        <v>Dị_D&lt;54</v>
      </c>
      <c r="O1204" s="589"/>
      <c r="P1204" s="590"/>
    </row>
    <row r="1205" spans="1:17" ht="15.75">
      <c r="A1205" s="581" t="str">
        <f ca="1">IFERROR(__xludf.DUMMYFUNCTION("""COMPUTED_VALUE"""),"Hailiang")</f>
        <v>Hailiang</v>
      </c>
      <c r="B1205" s="581" t="str">
        <f ca="1">IFERROR(__xludf.DUMMYFUNCTION("""COMPUTED_VALUE"""),"ĐHLCAYDI")</f>
        <v>ĐHLCAYDI</v>
      </c>
      <c r="C1205" s="581" t="str">
        <f ca="1">IFERROR(__xludf.DUMMYFUNCTION("""COMPUTED_VALUE"""),"DOTHL412815229")</f>
        <v>DOTHL412815229</v>
      </c>
      <c r="D1205" s="582" t="str">
        <f ca="1">IFERROR(__xludf.DUMMYFUNCTION("""COMPUTED_VALUE"""),"Đồng ống Hailiang dạng cây 41.28mmx1.52mmx2.9m")</f>
        <v>Đồng ống Hailiang dạng cây 41.28mmx1.52mmx2.9m</v>
      </c>
      <c r="E1205" s="583">
        <f ca="1">IFERROR(__xludf.DUMMYFUNCTION("""COMPUTED_VALUE"""),0.1)</f>
        <v>0.1</v>
      </c>
      <c r="F1205" s="584" t="str">
        <f ca="1">IFERROR(__xludf.DUMMYFUNCTION("""COMPUTED_VALUE"""),"Cây")</f>
        <v>Cây</v>
      </c>
      <c r="G1205" s="584" t="str">
        <f ca="1">IFERROR(__xludf.DUMMYFUNCTION("""COMPUTED_VALUE"""),"Cây 2.9m")</f>
        <v>Cây 2.9m</v>
      </c>
      <c r="H1205" s="582"/>
      <c r="I1205" s="585">
        <f ca="1">IFERROR(__xludf.DUMMYFUNCTION("""COMPUTED_VALUE"""),4.90733824)</f>
        <v>4.9073382399999996</v>
      </c>
      <c r="J1205" s="586" t="str">
        <f ca="1">IFERROR(__xludf.DUMMYFUNCTION("""COMPUTED_VALUE""")," 41.28 ")</f>
        <v xml:space="preserve"> 41.28 </v>
      </c>
      <c r="K1205" s="584" t="str">
        <f ca="1">IFERROR(__xludf.DUMMYFUNCTION("""COMPUTED_VALUE"""),"1.52")</f>
        <v>1.52</v>
      </c>
      <c r="L1205" s="584">
        <f ca="1">IFERROR(__xludf.DUMMYFUNCTION("""COMPUTED_VALUE"""),2.9)</f>
        <v>2.9</v>
      </c>
      <c r="M1205" s="584"/>
      <c r="N1205" s="584" t="str">
        <f ca="1">IFERROR(__xludf.DUMMYFUNCTION("""COMPUTED_VALUE"""),"Dị_D&lt;54")</f>
        <v>Dị_D&lt;54</v>
      </c>
      <c r="O1205" s="583"/>
      <c r="P1205" s="584"/>
    </row>
    <row r="1206" spans="1:17" ht="15.75">
      <c r="A1206" s="587" t="str">
        <f ca="1">IFERROR(__xludf.DUMMYFUNCTION("""COMPUTED_VALUE"""),"Hailiang")</f>
        <v>Hailiang</v>
      </c>
      <c r="B1206" s="587" t="str">
        <f ca="1">IFERROR(__xludf.DUMMYFUNCTION("""COMPUTED_VALUE"""),"ĐHLCAYDI")</f>
        <v>ĐHLCAYDI</v>
      </c>
      <c r="C1206" s="587" t="str">
        <f ca="1">IFERROR(__xludf.DUMMYFUNCTION("""COMPUTED_VALUE"""),"DOTHL412815329")</f>
        <v>DOTHL412815329</v>
      </c>
      <c r="D1206" s="588" t="str">
        <f ca="1">IFERROR(__xludf.DUMMYFUNCTION("""COMPUTED_VALUE"""),"Đồng ống Hailiang dạng cây 41.28mmx1.53mmx2.9")</f>
        <v>Đồng ống Hailiang dạng cây 41.28mmx1.53mmx2.9</v>
      </c>
      <c r="E1206" s="589">
        <f ca="1">IFERROR(__xludf.DUMMYFUNCTION("""COMPUTED_VALUE"""),0.1)</f>
        <v>0.1</v>
      </c>
      <c r="F1206" s="590" t="str">
        <f ca="1">IFERROR(__xludf.DUMMYFUNCTION("""COMPUTED_VALUE"""),"Cây")</f>
        <v>Cây</v>
      </c>
      <c r="G1206" s="590" t="str">
        <f ca="1">IFERROR(__xludf.DUMMYFUNCTION("""COMPUTED_VALUE"""),"Cây 2.9m")</f>
        <v>Cây 2.9m</v>
      </c>
      <c r="H1206" s="588"/>
      <c r="I1206" s="591">
        <f ca="1">IFERROR(__xludf.DUMMYFUNCTION("""COMPUTED_VALUE"""),4.938381)</f>
        <v>4.9383809999999997</v>
      </c>
      <c r="J1206" s="592" t="str">
        <f ca="1">IFERROR(__xludf.DUMMYFUNCTION("""COMPUTED_VALUE""")," 41.28 ")</f>
        <v xml:space="preserve"> 41.28 </v>
      </c>
      <c r="K1206" s="590" t="str">
        <f ca="1">IFERROR(__xludf.DUMMYFUNCTION("""COMPUTED_VALUE"""),"1.53")</f>
        <v>1.53</v>
      </c>
      <c r="L1206" s="590">
        <f ca="1">IFERROR(__xludf.DUMMYFUNCTION("""COMPUTED_VALUE"""),2.9)</f>
        <v>2.9</v>
      </c>
      <c r="M1206" s="590"/>
      <c r="N1206" s="590" t="str">
        <f ca="1">IFERROR(__xludf.DUMMYFUNCTION("""COMPUTED_VALUE"""),"Dị_D&lt;54")</f>
        <v>Dị_D&lt;54</v>
      </c>
      <c r="O1206" s="589"/>
      <c r="P1206" s="590"/>
    </row>
    <row r="1207" spans="1:17" ht="15.75">
      <c r="A1207" s="581" t="str">
        <f ca="1">IFERROR(__xludf.DUMMYFUNCTION("""COMPUTED_VALUE"""),"Hailiang")</f>
        <v>Hailiang</v>
      </c>
      <c r="B1207" s="581" t="str">
        <f ca="1">IFERROR(__xludf.DUMMYFUNCTION("""COMPUTED_VALUE"""),"ĐHLCAYDI")</f>
        <v>ĐHLCAYDI</v>
      </c>
      <c r="C1207" s="581" t="str">
        <f ca="1">IFERROR(__xludf.DUMMYFUNCTION("""COMPUTED_VALUE"""),"DOTHL412816029")</f>
        <v>DOTHL412816029</v>
      </c>
      <c r="D1207" s="582" t="str">
        <f ca="1">IFERROR(__xludf.DUMMYFUNCTION("""COMPUTED_VALUE"""),"Đồng ống Hailiang dạng cây 41.28mmx1.60mmx2.9")</f>
        <v>Đồng ống Hailiang dạng cây 41.28mmx1.60mmx2.9</v>
      </c>
      <c r="E1207" s="583">
        <f ca="1">IFERROR(__xludf.DUMMYFUNCTION("""COMPUTED_VALUE"""),0.1)</f>
        <v>0.1</v>
      </c>
      <c r="F1207" s="584" t="str">
        <f ca="1">IFERROR(__xludf.DUMMYFUNCTION("""COMPUTED_VALUE"""),"Cây")</f>
        <v>Cây</v>
      </c>
      <c r="G1207" s="584" t="str">
        <f ca="1">IFERROR(__xludf.DUMMYFUNCTION("""COMPUTED_VALUE"""),"Cây 2.9m")</f>
        <v>Cây 2.9m</v>
      </c>
      <c r="H1207" s="582"/>
      <c r="I1207" s="585">
        <f ca="1">IFERROR(__xludf.DUMMYFUNCTION("""COMPUTED_VALUE"""),5.1552256)</f>
        <v>5.1552255999999996</v>
      </c>
      <c r="J1207" s="586" t="str">
        <f ca="1">IFERROR(__xludf.DUMMYFUNCTION("""COMPUTED_VALUE""")," 41.28 ")</f>
        <v xml:space="preserve"> 41.28 </v>
      </c>
      <c r="K1207" s="584" t="str">
        <f ca="1">IFERROR(__xludf.DUMMYFUNCTION("""COMPUTED_VALUE"""),"1.60")</f>
        <v>1.60</v>
      </c>
      <c r="L1207" s="584">
        <f ca="1">IFERROR(__xludf.DUMMYFUNCTION("""COMPUTED_VALUE"""),2.9)</f>
        <v>2.9</v>
      </c>
      <c r="M1207" s="584"/>
      <c r="N1207" s="584" t="str">
        <f ca="1">IFERROR(__xludf.DUMMYFUNCTION("""COMPUTED_VALUE"""),"Dị_D&lt;54")</f>
        <v>Dị_D&lt;54</v>
      </c>
      <c r="O1207" s="583"/>
      <c r="P1207" s="584"/>
    </row>
    <row r="1208" spans="1:17" ht="15.75">
      <c r="A1208" s="587" t="str">
        <f ca="1">IFERROR(__xludf.DUMMYFUNCTION("""COMPUTED_VALUE"""),"Hailiang")</f>
        <v>Hailiang</v>
      </c>
      <c r="B1208" s="587" t="str">
        <f ca="1">IFERROR(__xludf.DUMMYFUNCTION("""COMPUTED_VALUE"""),"ĐHLCAYDI")</f>
        <v>ĐHLCAYDI</v>
      </c>
      <c r="C1208" s="587" t="str">
        <f ca="1">IFERROR(__xludf.DUMMYFUNCTION("""COMPUTED_VALUE"""),"DOTHL412817029")</f>
        <v>DOTHL412817029</v>
      </c>
      <c r="D1208" s="588" t="str">
        <f ca="1">IFERROR(__xludf.DUMMYFUNCTION("""COMPUTED_VALUE"""),"Đồng ống Hailiang dạng cây 41.28mmx1.70mmx2.9")</f>
        <v>Đồng ống Hailiang dạng cây 41.28mmx1.70mmx2.9</v>
      </c>
      <c r="E1208" s="589">
        <f ca="1">IFERROR(__xludf.DUMMYFUNCTION("""COMPUTED_VALUE"""),0.1)</f>
        <v>0.1</v>
      </c>
      <c r="F1208" s="590" t="str">
        <f ca="1">IFERROR(__xludf.DUMMYFUNCTION("""COMPUTED_VALUE"""),"Cây")</f>
        <v>Cây</v>
      </c>
      <c r="G1208" s="590" t="str">
        <f ca="1">IFERROR(__xludf.DUMMYFUNCTION("""COMPUTED_VALUE"""),"Cây 2.9m")</f>
        <v>Cây 2.9m</v>
      </c>
      <c r="H1208" s="588"/>
      <c r="I1208" s="591">
        <f ca="1">IFERROR(__xludf.DUMMYFUNCTION("""COMPUTED_VALUE"""),5.4636232)</f>
        <v>5.4636231999999998</v>
      </c>
      <c r="J1208" s="592" t="str">
        <f ca="1">IFERROR(__xludf.DUMMYFUNCTION("""COMPUTED_VALUE""")," 41.28 ")</f>
        <v xml:space="preserve"> 41.28 </v>
      </c>
      <c r="K1208" s="590" t="str">
        <f ca="1">IFERROR(__xludf.DUMMYFUNCTION("""COMPUTED_VALUE"""),"1.70")</f>
        <v>1.70</v>
      </c>
      <c r="L1208" s="590">
        <f ca="1">IFERROR(__xludf.DUMMYFUNCTION("""COMPUTED_VALUE"""),2.9)</f>
        <v>2.9</v>
      </c>
      <c r="M1208" s="590"/>
      <c r="N1208" s="590" t="str">
        <f ca="1">IFERROR(__xludf.DUMMYFUNCTION("""COMPUTED_VALUE"""),"Dị_D&lt;54")</f>
        <v>Dị_D&lt;54</v>
      </c>
      <c r="O1208" s="589"/>
      <c r="P1208" s="590"/>
    </row>
    <row r="1209" spans="1:17" ht="15.75">
      <c r="A1209" s="581" t="str">
        <f ca="1">IFERROR(__xludf.DUMMYFUNCTION("""COMPUTED_VALUE"""),"Hailiang")</f>
        <v>Hailiang</v>
      </c>
      <c r="B1209" s="581" t="str">
        <f ca="1">IFERROR(__xludf.DUMMYFUNCTION("""COMPUTED_VALUE"""),"ĐHLCAYDI")</f>
        <v>ĐHLCAYDI</v>
      </c>
      <c r="C1209" s="581" t="str">
        <f ca="1">IFERROR(__xludf.DUMMYFUNCTION("""COMPUTED_VALUE"""),"DOTHL412817829")</f>
        <v>DOTHL412817829</v>
      </c>
      <c r="D1209" s="582" t="str">
        <f ca="1">IFERROR(__xludf.DUMMYFUNCTION("""COMPUTED_VALUE"""),"Đồng ống Hailiang dạng cây 41.28mmx1.78mmx2.9")</f>
        <v>Đồng ống Hailiang dạng cây 41.28mmx1.78mmx2.9</v>
      </c>
      <c r="E1209" s="583">
        <f ca="1">IFERROR(__xludf.DUMMYFUNCTION("""COMPUTED_VALUE"""),0.1)</f>
        <v>0.1</v>
      </c>
      <c r="F1209" s="584" t="str">
        <f ca="1">IFERROR(__xludf.DUMMYFUNCTION("""COMPUTED_VALUE"""),"Cây")</f>
        <v>Cây</v>
      </c>
      <c r="G1209" s="584" t="str">
        <f ca="1">IFERROR(__xludf.DUMMYFUNCTION("""COMPUTED_VALUE"""),"Cây 2.9m")</f>
        <v>Cây 2.9m</v>
      </c>
      <c r="H1209" s="582"/>
      <c r="I1209" s="585">
        <f ca="1">IFERROR(__xludf.DUMMYFUNCTION("""COMPUTED_VALUE"""),5.709172)</f>
        <v>5.7091719999999997</v>
      </c>
      <c r="J1209" s="586" t="str">
        <f ca="1">IFERROR(__xludf.DUMMYFUNCTION("""COMPUTED_VALUE""")," 41.28 ")</f>
        <v xml:space="preserve"> 41.28 </v>
      </c>
      <c r="K1209" s="584" t="str">
        <f ca="1">IFERROR(__xludf.DUMMYFUNCTION("""COMPUTED_VALUE"""),"1.78")</f>
        <v>1.78</v>
      </c>
      <c r="L1209" s="584">
        <f ca="1">IFERROR(__xludf.DUMMYFUNCTION("""COMPUTED_VALUE"""),2.9)</f>
        <v>2.9</v>
      </c>
      <c r="M1209" s="584"/>
      <c r="N1209" s="584" t="str">
        <f ca="1">IFERROR(__xludf.DUMMYFUNCTION("""COMPUTED_VALUE"""),"Dị_D&lt;54")</f>
        <v>Dị_D&lt;54</v>
      </c>
      <c r="O1209" s="583"/>
      <c r="P1209" s="584"/>
    </row>
    <row r="1210" spans="1:17" ht="15.75">
      <c r="A1210" s="587" t="str">
        <f ca="1">IFERROR(__xludf.DUMMYFUNCTION("""COMPUTED_VALUE"""),"Hailiang")</f>
        <v>Hailiang</v>
      </c>
      <c r="B1210" s="587" t="str">
        <f ca="1">IFERROR(__xludf.DUMMYFUNCTION("""COMPUTED_VALUE"""),"ĐHLCAYDI")</f>
        <v>ĐHLCAYDI</v>
      </c>
      <c r="C1210" s="587" t="str">
        <f ca="1">IFERROR(__xludf.DUMMYFUNCTION("""COMPUTED_VALUE"""),"DOTHL44512229")</f>
        <v>DOTHL44512229</v>
      </c>
      <c r="D1210" s="588" t="str">
        <f ca="1">IFERROR(__xludf.DUMMYFUNCTION("""COMPUTED_VALUE"""),"Đồng ống Hailiang dạng cây 44.5mmx1.22mmx2.9m")</f>
        <v>Đồng ống Hailiang dạng cây 44.5mmx1.22mmx2.9m</v>
      </c>
      <c r="E1210" s="589">
        <f ca="1">IFERROR(__xludf.DUMMYFUNCTION("""COMPUTED_VALUE"""),0.1)</f>
        <v>0.1</v>
      </c>
      <c r="F1210" s="590" t="str">
        <f ca="1">IFERROR(__xludf.DUMMYFUNCTION("""COMPUTED_VALUE"""),"Cây")</f>
        <v>Cây</v>
      </c>
      <c r="G1210" s="590" t="str">
        <f ca="1">IFERROR(__xludf.DUMMYFUNCTION("""COMPUTED_VALUE"""),"Cây 2.9m")</f>
        <v>Cây 2.9m</v>
      </c>
      <c r="H1210" s="588"/>
      <c r="I1210" s="591">
        <f ca="1">IFERROR(__xludf.DUMMYFUNCTION("""COMPUTED_VALUE"""),4.28748992)</f>
        <v>4.2874899199999996</v>
      </c>
      <c r="J1210" s="592" t="str">
        <f ca="1">IFERROR(__xludf.DUMMYFUNCTION("""COMPUTED_VALUE""")," 44.50 ")</f>
        <v xml:space="preserve"> 44.50 </v>
      </c>
      <c r="K1210" s="590" t="str">
        <f ca="1">IFERROR(__xludf.DUMMYFUNCTION("""COMPUTED_VALUE"""),"1.22")</f>
        <v>1.22</v>
      </c>
      <c r="L1210" s="590">
        <f ca="1">IFERROR(__xludf.DUMMYFUNCTION("""COMPUTED_VALUE"""),2.9)</f>
        <v>2.9</v>
      </c>
      <c r="M1210" s="590"/>
      <c r="N1210" s="590" t="str">
        <f ca="1">IFERROR(__xludf.DUMMYFUNCTION("""COMPUTED_VALUE"""),"Dị_D&lt;54")</f>
        <v>Dị_D&lt;54</v>
      </c>
      <c r="O1210" s="589"/>
      <c r="P1210" s="590"/>
    </row>
    <row r="1211" spans="1:17" ht="15.75">
      <c r="A1211" s="581" t="str">
        <f ca="1">IFERROR(__xludf.DUMMYFUNCTION("""COMPUTED_VALUE"""),"Hailiang")</f>
        <v>Hailiang</v>
      </c>
      <c r="B1211" s="581" t="str">
        <f ca="1">IFERROR(__xludf.DUMMYFUNCTION("""COMPUTED_VALUE"""),"ĐHLCAYCH")</f>
        <v>ĐHLCAYCH</v>
      </c>
      <c r="C1211" s="581" t="str">
        <f ca="1">IFERROR(__xludf.DUMMYFUNCTION("""COMPUTED_VALUE"""),"DOTHL44514329")</f>
        <v>DOTHL44514329</v>
      </c>
      <c r="D1211" s="582" t="str">
        <f ca="1">IFERROR(__xludf.DUMMYFUNCTION("""COMPUTED_VALUE"""),"Đồng ống Hailiang dạng cây 44.5mmx1.43mmx2.9m")</f>
        <v>Đồng ống Hailiang dạng cây 44.5mmx1.43mmx2.9m</v>
      </c>
      <c r="E1211" s="583">
        <f ca="1">IFERROR(__xludf.DUMMYFUNCTION("""COMPUTED_VALUE"""),0.1)</f>
        <v>0.1</v>
      </c>
      <c r="F1211" s="584" t="str">
        <f ca="1">IFERROR(__xludf.DUMMYFUNCTION("""COMPUTED_VALUE"""),"Cây")</f>
        <v>Cây</v>
      </c>
      <c r="G1211" s="584" t="str">
        <f ca="1">IFERROR(__xludf.DUMMYFUNCTION("""COMPUTED_VALUE"""),"Cây 2.9m")</f>
        <v>Cây 2.9m</v>
      </c>
      <c r="H1211" s="582"/>
      <c r="I1211" s="585">
        <f ca="1">IFERROR(__xludf.DUMMYFUNCTION("""COMPUTED_VALUE"""),5.00111612)</f>
        <v>5.0011161199999998</v>
      </c>
      <c r="J1211" s="586" t="str">
        <f ca="1">IFERROR(__xludf.DUMMYFUNCTION("""COMPUTED_VALUE""")," 44.50 ")</f>
        <v xml:space="preserve"> 44.50 </v>
      </c>
      <c r="K1211" s="584" t="str">
        <f ca="1">IFERROR(__xludf.DUMMYFUNCTION("""COMPUTED_VALUE"""),"1.43")</f>
        <v>1.43</v>
      </c>
      <c r="L1211" s="584">
        <f ca="1">IFERROR(__xludf.DUMMYFUNCTION("""COMPUTED_VALUE"""),2.9)</f>
        <v>2.9</v>
      </c>
      <c r="M1211" s="584"/>
      <c r="N1211" s="584" t="str">
        <f ca="1">IFERROR(__xludf.DUMMYFUNCTION("""COMPUTED_VALUE"""),"Dị_D&lt;54")</f>
        <v>Dị_D&lt;54</v>
      </c>
      <c r="O1211" s="583"/>
      <c r="P1211" s="584"/>
    </row>
    <row r="1212" spans="1:17" ht="15.75">
      <c r="A1212" s="587" t="str">
        <f ca="1">IFERROR(__xludf.DUMMYFUNCTION("""COMPUTED_VALUE"""),"Hailiang")</f>
        <v>Hailiang</v>
      </c>
      <c r="B1212" s="587" t="str">
        <f ca="1">IFERROR(__xludf.DUMMYFUNCTION("""COMPUTED_VALUE"""),"ĐHLCAYCH")</f>
        <v>ĐHLCAYCH</v>
      </c>
      <c r="C1212" s="587" t="str">
        <f ca="1">IFERROR(__xludf.DUMMYFUNCTION("""COMPUTED_VALUE"""),"DOTHL44515029")</f>
        <v>DOTHL44515029</v>
      </c>
      <c r="D1212" s="588" t="str">
        <f ca="1">IFERROR(__xludf.DUMMYFUNCTION("""COMPUTED_VALUE"""),"Đồng ống Hailiang dạng cây 44.5mmx1.50mmx2.9m")</f>
        <v>Đồng ống Hailiang dạng cây 44.5mmx1.50mmx2.9m</v>
      </c>
      <c r="E1212" s="589">
        <f ca="1">IFERROR(__xludf.DUMMYFUNCTION("""COMPUTED_VALUE"""),0.1)</f>
        <v>0.1</v>
      </c>
      <c r="F1212" s="590" t="str">
        <f ca="1">IFERROR(__xludf.DUMMYFUNCTION("""COMPUTED_VALUE"""),"Cây")</f>
        <v>Cây</v>
      </c>
      <c r="G1212" s="590" t="str">
        <f ca="1">IFERROR(__xludf.DUMMYFUNCTION("""COMPUTED_VALUE"""),"Cây 2.9m")</f>
        <v>Cây 2.9m</v>
      </c>
      <c r="H1212" s="588"/>
      <c r="I1212" s="591">
        <f ca="1">IFERROR(__xludf.DUMMYFUNCTION("""COMPUTED_VALUE"""),5.2374)</f>
        <v>5.2374000000000001</v>
      </c>
      <c r="J1212" s="592" t="str">
        <f ca="1">IFERROR(__xludf.DUMMYFUNCTION("""COMPUTED_VALUE""")," 44.50 ")</f>
        <v xml:space="preserve"> 44.50 </v>
      </c>
      <c r="K1212" s="590" t="str">
        <f ca="1">IFERROR(__xludf.DUMMYFUNCTION("""COMPUTED_VALUE"""),"1.50")</f>
        <v>1.50</v>
      </c>
      <c r="L1212" s="590">
        <f ca="1">IFERROR(__xludf.DUMMYFUNCTION("""COMPUTED_VALUE"""),2.9)</f>
        <v>2.9</v>
      </c>
      <c r="M1212" s="590"/>
      <c r="N1212" s="590" t="str">
        <f ca="1">IFERROR(__xludf.DUMMYFUNCTION("""COMPUTED_VALUE"""),"Dị_D&lt;54")</f>
        <v>Dị_D&lt;54</v>
      </c>
      <c r="O1212" s="589"/>
      <c r="P1212" s="590"/>
    </row>
    <row r="1213" spans="1:17" ht="15.75">
      <c r="A1213" s="581" t="str">
        <f ca="1">IFERROR(__xludf.DUMMYFUNCTION("""COMPUTED_VALUE"""),"Hailiang")</f>
        <v>Hailiang</v>
      </c>
      <c r="B1213" s="581" t="str">
        <f ca="1">IFERROR(__xludf.DUMMYFUNCTION("""COMPUTED_VALUE"""),"ĐHLCAYDI")</f>
        <v>ĐHLCAYDI</v>
      </c>
      <c r="C1213" s="581" t="str">
        <f ca="1">IFERROR(__xludf.DUMMYFUNCTION("""COMPUTED_VALUE"""),"DOTHL508014029")</f>
        <v>DOTHL508014029</v>
      </c>
      <c r="D1213" s="582" t="str">
        <f ca="1">IFERROR(__xludf.DUMMYFUNCTION("""COMPUTED_VALUE"""),"Đồng ống Hailiang dạng cây 50.80mmx1.40mmx2.9")</f>
        <v>Đồng ống Hailiang dạng cây 50.80mmx1.40mmx2.9</v>
      </c>
      <c r="E1213" s="583">
        <f ca="1">IFERROR(__xludf.DUMMYFUNCTION("""COMPUTED_VALUE"""),0.1)</f>
        <v>0.1</v>
      </c>
      <c r="F1213" s="584" t="str">
        <f ca="1">IFERROR(__xludf.DUMMYFUNCTION("""COMPUTED_VALUE"""),"Cây")</f>
        <v>Cây</v>
      </c>
      <c r="G1213" s="584" t="str">
        <f ca="1">IFERROR(__xludf.DUMMYFUNCTION("""COMPUTED_VALUE"""),"Cây 2.9m")</f>
        <v>Cây 2.9m</v>
      </c>
      <c r="H1213" s="582"/>
      <c r="I1213" s="585">
        <f ca="1">IFERROR(__xludf.DUMMYFUNCTION("""COMPUTED_VALUE"""),5.615792)</f>
        <v>5.6157919999999999</v>
      </c>
      <c r="J1213" s="586" t="str">
        <f ca="1">IFERROR(__xludf.DUMMYFUNCTION("""COMPUTED_VALUE""")," 50.80 ")</f>
        <v xml:space="preserve"> 50.80 </v>
      </c>
      <c r="K1213" s="584" t="str">
        <f ca="1">IFERROR(__xludf.DUMMYFUNCTION("""COMPUTED_VALUE"""),"1.40")</f>
        <v>1.40</v>
      </c>
      <c r="L1213" s="584">
        <f ca="1">IFERROR(__xludf.DUMMYFUNCTION("""COMPUTED_VALUE"""),2.9)</f>
        <v>2.9</v>
      </c>
      <c r="M1213" s="584"/>
      <c r="N1213" s="584" t="str">
        <f ca="1">IFERROR(__xludf.DUMMYFUNCTION("""COMPUTED_VALUE"""),"Dị_D&lt;54")</f>
        <v>Dị_D&lt;54</v>
      </c>
      <c r="O1213" s="583"/>
      <c r="P1213" s="584"/>
    </row>
    <row r="1214" spans="1:17" ht="15.75">
      <c r="A1214" s="587" t="str">
        <f ca="1">IFERROR(__xludf.DUMMYFUNCTION("""COMPUTED_VALUE"""),"Hailiang")</f>
        <v>Hailiang</v>
      </c>
      <c r="B1214" s="587" t="str">
        <f ca="1">IFERROR(__xludf.DUMMYFUNCTION("""COMPUTED_VALUE"""),"ĐHLCAYDI")</f>
        <v>ĐHLCAYDI</v>
      </c>
      <c r="C1214" s="587" t="str">
        <f ca="1">IFERROR(__xludf.DUMMYFUNCTION("""COMPUTED_VALUE"""),"DOTHL508015029")</f>
        <v>DOTHL508015029</v>
      </c>
      <c r="D1214" s="588" t="str">
        <f ca="1">IFERROR(__xludf.DUMMYFUNCTION("""COMPUTED_VALUE"""),"Đồng ống Hailiang dạng cây 50.80mmx1.50mmx2.9")</f>
        <v>Đồng ống Hailiang dạng cây 50.80mmx1.50mmx2.9</v>
      </c>
      <c r="E1214" s="589">
        <f ca="1">IFERROR(__xludf.DUMMYFUNCTION("""COMPUTED_VALUE"""),0.1)</f>
        <v>0.1</v>
      </c>
      <c r="F1214" s="590" t="str">
        <f ca="1">IFERROR(__xludf.DUMMYFUNCTION("""COMPUTED_VALUE"""),"Cây")</f>
        <v>Cây</v>
      </c>
      <c r="G1214" s="590" t="str">
        <f ca="1">IFERROR(__xludf.DUMMYFUNCTION("""COMPUTED_VALUE"""),"Cây 2.9m")</f>
        <v>Cây 2.9m</v>
      </c>
      <c r="H1214" s="588"/>
      <c r="I1214" s="591">
        <f ca="1">IFERROR(__xludf.DUMMYFUNCTION("""COMPUTED_VALUE"""),6.00473999999999)</f>
        <v>6.0047399999999902</v>
      </c>
      <c r="J1214" s="592" t="str">
        <f ca="1">IFERROR(__xludf.DUMMYFUNCTION("""COMPUTED_VALUE""")," 50.80 ")</f>
        <v xml:space="preserve"> 50.80 </v>
      </c>
      <c r="K1214" s="590" t="str">
        <f ca="1">IFERROR(__xludf.DUMMYFUNCTION("""COMPUTED_VALUE"""),"1.50")</f>
        <v>1.50</v>
      </c>
      <c r="L1214" s="590">
        <f ca="1">IFERROR(__xludf.DUMMYFUNCTION("""COMPUTED_VALUE"""),2.9)</f>
        <v>2.9</v>
      </c>
      <c r="M1214" s="590"/>
      <c r="N1214" s="590" t="str">
        <f ca="1">IFERROR(__xludf.DUMMYFUNCTION("""COMPUTED_VALUE"""),"Dị_D&lt;54")</f>
        <v>Dị_D&lt;54</v>
      </c>
      <c r="O1214" s="589"/>
      <c r="P1214" s="590"/>
    </row>
    <row r="1215" spans="1:17" ht="15.75">
      <c r="A1215" s="581" t="str">
        <f ca="1">IFERROR(__xludf.DUMMYFUNCTION("""COMPUTED_VALUE"""),"Hailiang")</f>
        <v>Hailiang</v>
      </c>
      <c r="B1215" s="581" t="str">
        <f ca="1">IFERROR(__xludf.DUMMYFUNCTION("""COMPUTED_VALUE"""),"ĐHLCAYDI")</f>
        <v>ĐHLCAYDI</v>
      </c>
      <c r="C1215" s="581" t="str">
        <f ca="1">IFERROR(__xludf.DUMMYFUNCTION("""COMPUTED_VALUE"""),"DOTHL539410229")</f>
        <v>DOTHL539410229</v>
      </c>
      <c r="D1215" s="582" t="str">
        <f ca="1">IFERROR(__xludf.DUMMYFUNCTION("""COMPUTED_VALUE"""),"Đồng ống Hailiang dạng cây 53.94mmx1.02mmx2.9m")</f>
        <v>Đồng ống Hailiang dạng cây 53.94mmx1.02mmx2.9m</v>
      </c>
      <c r="E1215" s="583">
        <f ca="1">IFERROR(__xludf.DUMMYFUNCTION("""COMPUTED_VALUE"""),0.1)</f>
        <v>0.1</v>
      </c>
      <c r="F1215" s="584" t="str">
        <f ca="1">IFERROR(__xludf.DUMMYFUNCTION("""COMPUTED_VALUE"""),"Cây")</f>
        <v>Cây</v>
      </c>
      <c r="G1215" s="584" t="str">
        <f ca="1">IFERROR(__xludf.DUMMYFUNCTION("""COMPUTED_VALUE"""),"Cây 2.9m")</f>
        <v>Cây 2.9m</v>
      </c>
      <c r="H1215" s="582"/>
      <c r="I1215" s="585">
        <f ca="1">IFERROR(__xludf.DUMMYFUNCTION("""COMPUTED_VALUE"""),4.38304608)</f>
        <v>4.3830460799999997</v>
      </c>
      <c r="J1215" s="586" t="str">
        <f ca="1">IFERROR(__xludf.DUMMYFUNCTION("""COMPUTED_VALUE""")," 53.94 ")</f>
        <v xml:space="preserve"> 53.94 </v>
      </c>
      <c r="K1215" s="584" t="str">
        <f ca="1">IFERROR(__xludf.DUMMYFUNCTION("""COMPUTED_VALUE"""),"1.02")</f>
        <v>1.02</v>
      </c>
      <c r="L1215" s="584">
        <f ca="1">IFERROR(__xludf.DUMMYFUNCTION("""COMPUTED_VALUE"""),2.9)</f>
        <v>2.9</v>
      </c>
      <c r="M1215" s="584"/>
      <c r="N1215" s="584" t="str">
        <f ca="1">IFERROR(__xludf.DUMMYFUNCTION("""COMPUTED_VALUE"""),"Dị_D54")</f>
        <v>Dị_D54</v>
      </c>
      <c r="O1215" s="583"/>
      <c r="P1215" s="584"/>
    </row>
    <row r="1216" spans="1:17" ht="15.75">
      <c r="A1216" s="587" t="str">
        <f ca="1">IFERROR(__xludf.DUMMYFUNCTION("""COMPUTED_VALUE"""),"Hailiang")</f>
        <v>Hailiang</v>
      </c>
      <c r="B1216" s="587" t="str">
        <f ca="1">IFERROR(__xludf.DUMMYFUNCTION("""COMPUTED_VALUE"""),"ĐHLCAYIB")</f>
        <v>ĐHLCAYIB</v>
      </c>
      <c r="C1216" s="587" t="str">
        <f ca="1">IFERROR(__xludf.DUMMYFUNCTION("""COMPUTED_VALUE"""),"DOTHL539412229")</f>
        <v>DOTHL539412229</v>
      </c>
      <c r="D1216" s="588" t="str">
        <f ca="1">IFERROR(__xludf.DUMMYFUNCTION("""COMPUTED_VALUE"""),"Đồng ống Hailiang dạng cây 53.94mmx1.22mmx2.9m")</f>
        <v>Đồng ống Hailiang dạng cây 53.94mmx1.22mmx2.9m</v>
      </c>
      <c r="E1216" s="589">
        <f ca="1">IFERROR(__xludf.DUMMYFUNCTION("""COMPUTED_VALUE"""),0.1)</f>
        <v>0.1</v>
      </c>
      <c r="F1216" s="590" t="str">
        <f ca="1">IFERROR(__xludf.DUMMYFUNCTION("""COMPUTED_VALUE"""),"Cây")</f>
        <v>Cây</v>
      </c>
      <c r="G1216" s="590" t="str">
        <f ca="1">IFERROR(__xludf.DUMMYFUNCTION("""COMPUTED_VALUE"""),"Cây 2.9m")</f>
        <v>Cây 2.9m</v>
      </c>
      <c r="H1216" s="588"/>
      <c r="I1216" s="591">
        <f ca="1">IFERROR(__xludf.DUMMYFUNCTION("""COMPUTED_VALUE"""),5.22265408)</f>
        <v>5.2226540799999999</v>
      </c>
      <c r="J1216" s="592" t="str">
        <f ca="1">IFERROR(__xludf.DUMMYFUNCTION("""COMPUTED_VALUE""")," 53.94 ")</f>
        <v xml:space="preserve"> 53.94 </v>
      </c>
      <c r="K1216" s="590" t="str">
        <f ca="1">IFERROR(__xludf.DUMMYFUNCTION("""COMPUTED_VALUE"""),"1.22")</f>
        <v>1.22</v>
      </c>
      <c r="L1216" s="590">
        <f ca="1">IFERROR(__xludf.DUMMYFUNCTION("""COMPUTED_VALUE"""),2.9)</f>
        <v>2.9</v>
      </c>
      <c r="M1216" s="590"/>
      <c r="N1216" s="590" t="str">
        <f ca="1">IFERROR(__xludf.DUMMYFUNCTION("""COMPUTED_VALUE"""),"Ít bán")</f>
        <v>Ít bán</v>
      </c>
      <c r="O1216" s="589">
        <f ca="1">IFERROR(__xludf.DUMMYFUNCTION("""COMPUTED_VALUE"""),1.2)</f>
        <v>1.2</v>
      </c>
      <c r="P1216" s="590"/>
      <c r="Q1216" s="885">
        <f ca="1">+$Q$5*I1216</f>
        <v>1201.2104383999999</v>
      </c>
    </row>
    <row r="1217" spans="1:17" ht="15.75">
      <c r="A1217" s="581" t="str">
        <f ca="1">IFERROR(__xludf.DUMMYFUNCTION("""COMPUTED_VALUE"""),"Hailiang")</f>
        <v>Hailiang</v>
      </c>
      <c r="B1217" s="581" t="str">
        <f ca="1">IFERROR(__xludf.DUMMYFUNCTION("""COMPUTED_VALUE"""),"ĐHLCAYIB")</f>
        <v>ĐHLCAYIB</v>
      </c>
      <c r="C1217" s="581" t="str">
        <f ca="1">IFERROR(__xludf.DUMMYFUNCTION("""COMPUTED_VALUE"""),"DOTHL53941429")</f>
        <v>DOTHL53941429</v>
      </c>
      <c r="D1217" s="582" t="str">
        <f ca="1">IFERROR(__xludf.DUMMYFUNCTION("""COMPUTED_VALUE"""),"Đồng ống Hailiang dạng cây 53.94mmx1.4mmx2.9m")</f>
        <v>Đồng ống Hailiang dạng cây 53.94mmx1.4mmx2.9m</v>
      </c>
      <c r="E1217" s="583">
        <f ca="1">IFERROR(__xludf.DUMMYFUNCTION("""COMPUTED_VALUE"""),0.1)</f>
        <v>0.1</v>
      </c>
      <c r="F1217" s="584" t="str">
        <f ca="1">IFERROR(__xludf.DUMMYFUNCTION("""COMPUTED_VALUE"""),"Cây")</f>
        <v>Cây</v>
      </c>
      <c r="G1217" s="584" t="str">
        <f ca="1">IFERROR(__xludf.DUMMYFUNCTION("""COMPUTED_VALUE"""),"Cây 2.9m")</f>
        <v>Cây 2.9m</v>
      </c>
      <c r="H1217" s="582"/>
      <c r="I1217" s="585">
        <f ca="1">IFERROR(__xludf.DUMMYFUNCTION("""COMPUTED_VALUE"""),5.9727472)</f>
        <v>5.9727471999999997</v>
      </c>
      <c r="J1217" s="586" t="str">
        <f ca="1">IFERROR(__xludf.DUMMYFUNCTION("""COMPUTED_VALUE""")," 53.94 ")</f>
        <v xml:space="preserve"> 53.94 </v>
      </c>
      <c r="K1217" s="584" t="str">
        <f ca="1">IFERROR(__xludf.DUMMYFUNCTION("""COMPUTED_VALUE"""),"1.40")</f>
        <v>1.40</v>
      </c>
      <c r="L1217" s="584">
        <f ca="1">IFERROR(__xludf.DUMMYFUNCTION("""COMPUTED_VALUE"""),2.9)</f>
        <v>2.9</v>
      </c>
      <c r="M1217" s="584"/>
      <c r="N1217" s="584" t="str">
        <f ca="1">IFERROR(__xludf.DUMMYFUNCTION("""COMPUTED_VALUE"""),"Ít bán")</f>
        <v>Ít bán</v>
      </c>
      <c r="O1217" s="583">
        <f ca="1">IFERROR(__xludf.DUMMYFUNCTION("""COMPUTED_VALUE"""),1.2)</f>
        <v>1.2</v>
      </c>
      <c r="P1217" s="584"/>
      <c r="Q1217" s="885">
        <f ca="1">+$Q$5*I1217</f>
        <v>1373.7318559999997</v>
      </c>
    </row>
    <row r="1218" spans="1:17" ht="15.75">
      <c r="A1218" s="587" t="str">
        <f ca="1">IFERROR(__xludf.DUMMYFUNCTION("""COMPUTED_VALUE"""),"Hailiang")</f>
        <v>Hailiang</v>
      </c>
      <c r="B1218" s="587" t="str">
        <f ca="1">IFERROR(__xludf.DUMMYFUNCTION("""COMPUTED_VALUE"""),"ĐHLCAYDI")</f>
        <v>ĐHLCAYDI</v>
      </c>
      <c r="C1218" s="587" t="str">
        <f ca="1">IFERROR(__xludf.DUMMYFUNCTION("""COMPUTED_VALUE"""),"DOTHL539810229")</f>
        <v>DOTHL539810229</v>
      </c>
      <c r="D1218" s="588" t="str">
        <f ca="1">IFERROR(__xludf.DUMMYFUNCTION("""COMPUTED_VALUE"""),"Đồng ống Hailiang dạng cây 53.98mmx1.02mmx2.9")</f>
        <v>Đồng ống Hailiang dạng cây 53.98mmx1.02mmx2.9</v>
      </c>
      <c r="E1218" s="589">
        <f ca="1">IFERROR(__xludf.DUMMYFUNCTION("""COMPUTED_VALUE"""),0.1)</f>
        <v>0.1</v>
      </c>
      <c r="F1218" s="590" t="str">
        <f ca="1">IFERROR(__xludf.DUMMYFUNCTION("""COMPUTED_VALUE"""),"Cây")</f>
        <v>Cây</v>
      </c>
      <c r="G1218" s="590" t="str">
        <f ca="1">IFERROR(__xludf.DUMMYFUNCTION("""COMPUTED_VALUE"""),"Cây 2.9m")</f>
        <v>Cây 2.9m</v>
      </c>
      <c r="H1218" s="588"/>
      <c r="I1218" s="591">
        <f ca="1">IFERROR(__xludf.DUMMYFUNCTION("""COMPUTED_VALUE"""),4.38635903999999)</f>
        <v>4.3863590399999897</v>
      </c>
      <c r="J1218" s="592" t="str">
        <f ca="1">IFERROR(__xludf.DUMMYFUNCTION("""COMPUTED_VALUE""")," 53.98 ")</f>
        <v xml:space="preserve"> 53.98 </v>
      </c>
      <c r="K1218" s="590" t="str">
        <f ca="1">IFERROR(__xludf.DUMMYFUNCTION("""COMPUTED_VALUE"""),"1.02")</f>
        <v>1.02</v>
      </c>
      <c r="L1218" s="590">
        <f ca="1">IFERROR(__xludf.DUMMYFUNCTION("""COMPUTED_VALUE"""),2.9)</f>
        <v>2.9</v>
      </c>
      <c r="M1218" s="590"/>
      <c r="N1218" s="590" t="str">
        <f ca="1">IFERROR(__xludf.DUMMYFUNCTION("""COMPUTED_VALUE"""),"Dị_D54")</f>
        <v>Dị_D54</v>
      </c>
      <c r="O1218" s="589"/>
      <c r="P1218" s="590"/>
    </row>
    <row r="1219" spans="1:17" ht="15.75">
      <c r="A1219" s="581" t="str">
        <f ca="1">IFERROR(__xludf.DUMMYFUNCTION("""COMPUTED_VALUE"""),"Hailiang")</f>
        <v>Hailiang</v>
      </c>
      <c r="B1219" s="581" t="str">
        <f ca="1">IFERROR(__xludf.DUMMYFUNCTION("""COMPUTED_VALUE"""),"ĐHLCAYDI")</f>
        <v>ĐHLCAYDI</v>
      </c>
      <c r="C1219" s="581" t="str">
        <f ca="1">IFERROR(__xludf.DUMMYFUNCTION("""COMPUTED_VALUE"""),"DOTHL539814329")</f>
        <v>DOTHL539814329</v>
      </c>
      <c r="D1219" s="582" t="str">
        <f ca="1">IFERROR(__xludf.DUMMYFUNCTION("""COMPUTED_VALUE"""),"Đồng ống Hailiang dạng cây 53.98mmx1.43mmx2.9")</f>
        <v>Đồng ống Hailiang dạng cây 53.98mmx1.43mmx2.9</v>
      </c>
      <c r="E1219" s="583">
        <f ca="1">IFERROR(__xludf.DUMMYFUNCTION("""COMPUTED_VALUE"""),0.1)</f>
        <v>0.1</v>
      </c>
      <c r="F1219" s="584" t="str">
        <f ca="1">IFERROR(__xludf.DUMMYFUNCTION("""COMPUTED_VALUE"""),"Cây")</f>
        <v>Cây</v>
      </c>
      <c r="G1219" s="584" t="str">
        <f ca="1">IFERROR(__xludf.DUMMYFUNCTION("""COMPUTED_VALUE"""),"Cây 2.9m")</f>
        <v>Cây 2.9m</v>
      </c>
      <c r="H1219" s="582"/>
      <c r="I1219" s="585">
        <f ca="1">IFERROR(__xludf.DUMMYFUNCTION("""COMPUTED_VALUE"""),6.10189579999999)</f>
        <v>6.1018957999999897</v>
      </c>
      <c r="J1219" s="586" t="str">
        <f ca="1">IFERROR(__xludf.DUMMYFUNCTION("""COMPUTED_VALUE""")," 53.98 ")</f>
        <v xml:space="preserve"> 53.98 </v>
      </c>
      <c r="K1219" s="584" t="str">
        <f ca="1">IFERROR(__xludf.DUMMYFUNCTION("""COMPUTED_VALUE"""),"1.43")</f>
        <v>1.43</v>
      </c>
      <c r="L1219" s="584">
        <f ca="1">IFERROR(__xludf.DUMMYFUNCTION("""COMPUTED_VALUE"""),2.9)</f>
        <v>2.9</v>
      </c>
      <c r="M1219" s="584"/>
      <c r="N1219" s="584" t="str">
        <f ca="1">IFERROR(__xludf.DUMMYFUNCTION("""COMPUTED_VALUE"""),"Dị_D54")</f>
        <v>Dị_D54</v>
      </c>
      <c r="O1219" s="583"/>
      <c r="P1219" s="584"/>
    </row>
    <row r="1220" spans="1:17" ht="15.75">
      <c r="A1220" s="587" t="str">
        <f ca="1">IFERROR(__xludf.DUMMYFUNCTION("""COMPUTED_VALUE"""),"Hailiang")</f>
        <v>Hailiang</v>
      </c>
      <c r="B1220" s="587" t="str">
        <f ca="1">IFERROR(__xludf.DUMMYFUNCTION("""COMPUTED_VALUE"""),"ĐHLCAYDI")</f>
        <v>ĐHLCAYDI</v>
      </c>
      <c r="C1220" s="587" t="str">
        <f ca="1">IFERROR(__xludf.DUMMYFUNCTION("""COMPUTED_VALUE"""),"DOTHL53981146")</f>
        <v>DOTHL53981146</v>
      </c>
      <c r="D1220" s="588" t="str">
        <f ca="1">IFERROR(__xludf.DUMMYFUNCTION("""COMPUTED_VALUE"""),"Đồng ống Hailiang dạng cây 53.98mmx1.14mmx6")</f>
        <v>Đồng ống Hailiang dạng cây 53.98mmx1.14mmx6</v>
      </c>
      <c r="E1220" s="589">
        <f ca="1">IFERROR(__xludf.DUMMYFUNCTION("""COMPUTED_VALUE"""),0.1)</f>
        <v>0.1</v>
      </c>
      <c r="F1220" s="590" t="str">
        <f ca="1">IFERROR(__xludf.DUMMYFUNCTION("""COMPUTED_VALUE"""),"Cây")</f>
        <v>Cây</v>
      </c>
      <c r="G1220" s="590" t="str">
        <f ca="1">IFERROR(__xludf.DUMMYFUNCTION("""COMPUTED_VALUE"""),"Cây 6m")</f>
        <v>Cây 6m</v>
      </c>
      <c r="H1220" s="588"/>
      <c r="I1220" s="591">
        <f ca="1">IFERROR(__xludf.DUMMYFUNCTION("""COMPUTED_VALUE"""),10.1199167999999)</f>
        <v>10.119916799999899</v>
      </c>
      <c r="J1220" s="592" t="str">
        <f ca="1">IFERROR(__xludf.DUMMYFUNCTION("""COMPUTED_VALUE""")," 53.98 ")</f>
        <v xml:space="preserve"> 53.98 </v>
      </c>
      <c r="K1220" s="590" t="str">
        <f ca="1">IFERROR(__xludf.DUMMYFUNCTION("""COMPUTED_VALUE"""),"1.14")</f>
        <v>1.14</v>
      </c>
      <c r="L1220" s="590">
        <f ca="1">IFERROR(__xludf.DUMMYFUNCTION("""COMPUTED_VALUE"""),6)</f>
        <v>6</v>
      </c>
      <c r="M1220" s="590"/>
      <c r="N1220" s="590" t="str">
        <f ca="1">IFERROR(__xludf.DUMMYFUNCTION("""COMPUTED_VALUE"""),"Dị_D54")</f>
        <v>Dị_D54</v>
      </c>
      <c r="O1220" s="589"/>
      <c r="P1220" s="590"/>
    </row>
    <row r="1221" spans="1:17" ht="15.75">
      <c r="A1221" s="581" t="str">
        <f ca="1">IFERROR(__xludf.DUMMYFUNCTION("""COMPUTED_VALUE"""),"Hailiang")</f>
        <v>Hailiang</v>
      </c>
      <c r="B1221" s="581" t="str">
        <f ca="1">IFERROR(__xludf.DUMMYFUNCTION("""COMPUTED_VALUE"""),"ĐHLCAYDI")</f>
        <v>ĐHLCAYDI</v>
      </c>
      <c r="C1221" s="581" t="str">
        <f ca="1">IFERROR(__xludf.DUMMYFUNCTION("""COMPUTED_VALUE"""),"DOTHL539812029")</f>
        <v>DOTHL539812029</v>
      </c>
      <c r="D1221" s="582" t="str">
        <f ca="1">IFERROR(__xludf.DUMMYFUNCTION("""COMPUTED_VALUE"""),"Đồng ống Hailiang dạng cây 53.98mmx1.20mmx2.9")</f>
        <v>Đồng ống Hailiang dạng cây 53.98mmx1.20mmx2.9</v>
      </c>
      <c r="E1221" s="583">
        <f ca="1">IFERROR(__xludf.DUMMYFUNCTION("""COMPUTED_VALUE"""),0.1)</f>
        <v>0.1</v>
      </c>
      <c r="F1221" s="584" t="str">
        <f ca="1">IFERROR(__xludf.DUMMYFUNCTION("""COMPUTED_VALUE"""),"Cây")</f>
        <v>Cây</v>
      </c>
      <c r="G1221" s="584" t="str">
        <f ca="1">IFERROR(__xludf.DUMMYFUNCTION("""COMPUTED_VALUE"""),"Cây 2.9m")</f>
        <v>Cây 2.9m</v>
      </c>
      <c r="H1221" s="582"/>
      <c r="I1221" s="585">
        <f ca="1">IFERROR(__xludf.DUMMYFUNCTION("""COMPUTED_VALUE"""),5.14288319999999)</f>
        <v>5.1428831999999902</v>
      </c>
      <c r="J1221" s="586" t="str">
        <f ca="1">IFERROR(__xludf.DUMMYFUNCTION("""COMPUTED_VALUE""")," 53.98 ")</f>
        <v xml:space="preserve"> 53.98 </v>
      </c>
      <c r="K1221" s="584" t="str">
        <f ca="1">IFERROR(__xludf.DUMMYFUNCTION("""COMPUTED_VALUE"""),"1.20")</f>
        <v>1.20</v>
      </c>
      <c r="L1221" s="584">
        <f ca="1">IFERROR(__xludf.DUMMYFUNCTION("""COMPUTED_VALUE"""),2.9)</f>
        <v>2.9</v>
      </c>
      <c r="M1221" s="584"/>
      <c r="N1221" s="584" t="str">
        <f ca="1">IFERROR(__xludf.DUMMYFUNCTION("""COMPUTED_VALUE"""),"Dị_D54")</f>
        <v>Dị_D54</v>
      </c>
      <c r="O1221" s="583"/>
      <c r="P1221" s="584"/>
    </row>
    <row r="1222" spans="1:17" ht="15.75">
      <c r="A1222" s="587" t="str">
        <f ca="1">IFERROR(__xludf.DUMMYFUNCTION("""COMPUTED_VALUE"""),"Hailiang")</f>
        <v>Hailiang</v>
      </c>
      <c r="B1222" s="587" t="str">
        <f ca="1">IFERROR(__xludf.DUMMYFUNCTION("""COMPUTED_VALUE"""),"ĐHLCAYDI")</f>
        <v>ĐHLCAYDI</v>
      </c>
      <c r="C1222" s="587" t="str">
        <f ca="1">IFERROR(__xludf.DUMMYFUNCTION("""COMPUTED_VALUE"""),"DOTHL53981203")</f>
        <v>DOTHL53981203</v>
      </c>
      <c r="D1222" s="588" t="str">
        <f ca="1">IFERROR(__xludf.DUMMYFUNCTION("""COMPUTED_VALUE"""),"Đồng ống Hailiang dạng cây 53.98mmx1.20mmx3.0")</f>
        <v>Đồng ống Hailiang dạng cây 53.98mmx1.20mmx3.0</v>
      </c>
      <c r="E1222" s="589">
        <f ca="1">IFERROR(__xludf.DUMMYFUNCTION("""COMPUTED_VALUE"""),0.1)</f>
        <v>0.1</v>
      </c>
      <c r="F1222" s="590" t="str">
        <f ca="1">IFERROR(__xludf.DUMMYFUNCTION("""COMPUTED_VALUE"""),"Cây")</f>
        <v>Cây</v>
      </c>
      <c r="G1222" s="590" t="str">
        <f ca="1">IFERROR(__xludf.DUMMYFUNCTION("""COMPUTED_VALUE"""),"Cây 3m")</f>
        <v>Cây 3m</v>
      </c>
      <c r="H1222" s="588"/>
      <c r="I1222" s="591">
        <f ca="1">IFERROR(__xludf.DUMMYFUNCTION("""COMPUTED_VALUE"""),5.320224)</f>
        <v>5.3202239999999996</v>
      </c>
      <c r="J1222" s="592" t="str">
        <f ca="1">IFERROR(__xludf.DUMMYFUNCTION("""COMPUTED_VALUE""")," 53.98 ")</f>
        <v xml:space="preserve"> 53.98 </v>
      </c>
      <c r="K1222" s="590" t="str">
        <f ca="1">IFERROR(__xludf.DUMMYFUNCTION("""COMPUTED_VALUE"""),"1.20")</f>
        <v>1.20</v>
      </c>
      <c r="L1222" s="590">
        <f ca="1">IFERROR(__xludf.DUMMYFUNCTION("""COMPUTED_VALUE"""),3)</f>
        <v>3</v>
      </c>
      <c r="M1222" s="590"/>
      <c r="N1222" s="590" t="str">
        <f ca="1">IFERROR(__xludf.DUMMYFUNCTION("""COMPUTED_VALUE"""),"Dị_D54")</f>
        <v>Dị_D54</v>
      </c>
      <c r="O1222" s="589"/>
      <c r="P1222" s="590"/>
    </row>
    <row r="1223" spans="1:17" ht="15.75">
      <c r="A1223" s="581" t="str">
        <f ca="1">IFERROR(__xludf.DUMMYFUNCTION("""COMPUTED_VALUE"""),"Hailiang")</f>
        <v>Hailiang</v>
      </c>
      <c r="B1223" s="581" t="str">
        <f ca="1">IFERROR(__xludf.DUMMYFUNCTION("""COMPUTED_VALUE"""),"ĐHLCAYTD")</f>
        <v>ĐHLCAYTD</v>
      </c>
      <c r="C1223" s="581" t="str">
        <f ca="1">IFERROR(__xludf.DUMMYFUNCTION("""COMPUTED_VALUE"""),"DOTHL539812229")</f>
        <v>DOTHL539812229</v>
      </c>
      <c r="D1223" s="582" t="str">
        <f ca="1">IFERROR(__xludf.DUMMYFUNCTION("""COMPUTED_VALUE"""),"Đồng ống Hailiang dạng cây 53.98mmx1.22mmx2.9m")</f>
        <v>Đồng ống Hailiang dạng cây 53.98mmx1.22mmx2.9m</v>
      </c>
      <c r="E1223" s="583">
        <f ca="1">IFERROR(__xludf.DUMMYFUNCTION("""COMPUTED_VALUE"""),0.1)</f>
        <v>0.1</v>
      </c>
      <c r="F1223" s="584" t="str">
        <f ca="1">IFERROR(__xludf.DUMMYFUNCTION("""COMPUTED_VALUE"""),"Cây")</f>
        <v>Cây</v>
      </c>
      <c r="G1223" s="584" t="str">
        <f ca="1">IFERROR(__xludf.DUMMYFUNCTION("""COMPUTED_VALUE"""),"Cây 2.9m")</f>
        <v>Cây 2.9m</v>
      </c>
      <c r="H1223" s="582"/>
      <c r="I1223" s="585">
        <f ca="1">IFERROR(__xludf.DUMMYFUNCTION("""COMPUTED_VALUE"""),5.22661664)</f>
        <v>5.2266166399999996</v>
      </c>
      <c r="J1223" s="586" t="str">
        <f ca="1">IFERROR(__xludf.DUMMYFUNCTION("""COMPUTED_VALUE""")," 53.98 ")</f>
        <v xml:space="preserve"> 53.98 </v>
      </c>
      <c r="K1223" s="584" t="str">
        <f ca="1">IFERROR(__xludf.DUMMYFUNCTION("""COMPUTED_VALUE"""),"1.22")</f>
        <v>1.22</v>
      </c>
      <c r="L1223" s="584">
        <f ca="1">IFERROR(__xludf.DUMMYFUNCTION("""COMPUTED_VALUE"""),2.9)</f>
        <v>2.9</v>
      </c>
      <c r="M1223" s="584"/>
      <c r="N1223" s="584" t="str">
        <f ca="1">IFERROR(__xludf.DUMMYFUNCTION("""COMPUTED_VALUE"""),"Không")</f>
        <v>Không</v>
      </c>
      <c r="O1223" s="583">
        <f ca="1">IFERROR(__xludf.DUMMYFUNCTION("""COMPUTED_VALUE"""),1.05)</f>
        <v>1.05</v>
      </c>
      <c r="P1223" s="584"/>
      <c r="Q1223" s="885">
        <f ca="1">+$Q$5*I1223</f>
        <v>1202.1218271999999</v>
      </c>
    </row>
    <row r="1224" spans="1:17" ht="15.75">
      <c r="A1224" s="587" t="str">
        <f ca="1">IFERROR(__xludf.DUMMYFUNCTION("""COMPUTED_VALUE"""),"Hailiang")</f>
        <v>Hailiang</v>
      </c>
      <c r="B1224" s="587" t="str">
        <f ca="1">IFERROR(__xludf.DUMMYFUNCTION("""COMPUTED_VALUE"""),"ĐHLCAYDI")</f>
        <v>ĐHLCAYDI</v>
      </c>
      <c r="C1224" s="587" t="str">
        <f ca="1">IFERROR(__xludf.DUMMYFUNCTION("""COMPUTED_VALUE"""),"DOTHL539812758")</f>
        <v>DOTHL539812758</v>
      </c>
      <c r="D1224" s="588" t="str">
        <f ca="1">IFERROR(__xludf.DUMMYFUNCTION("""COMPUTED_VALUE"""),"Đồng ống Hailiang dạng cây 53.98mmx1.27mmx5.8")</f>
        <v>Đồng ống Hailiang dạng cây 53.98mmx1.27mmx5.8</v>
      </c>
      <c r="E1224" s="589">
        <f ca="1">IFERROR(__xludf.DUMMYFUNCTION("""COMPUTED_VALUE"""),0.1)</f>
        <v>0.1</v>
      </c>
      <c r="F1224" s="590" t="str">
        <f ca="1">IFERROR(__xludf.DUMMYFUNCTION("""COMPUTED_VALUE"""),"Cây")</f>
        <v>Cây</v>
      </c>
      <c r="G1224" s="590" t="str">
        <f ca="1">IFERROR(__xludf.DUMMYFUNCTION("""COMPUTED_VALUE"""),"Cây 5.8m")</f>
        <v>Cây 5.8m</v>
      </c>
      <c r="H1224" s="588"/>
      <c r="I1224" s="591">
        <f ca="1">IFERROR(__xludf.DUMMYFUNCTION("""COMPUTED_VALUE"""),10.87133208)</f>
        <v>10.87133208</v>
      </c>
      <c r="J1224" s="592" t="str">
        <f ca="1">IFERROR(__xludf.DUMMYFUNCTION("""COMPUTED_VALUE""")," 53.98 ")</f>
        <v xml:space="preserve"> 53.98 </v>
      </c>
      <c r="K1224" s="590" t="str">
        <f ca="1">IFERROR(__xludf.DUMMYFUNCTION("""COMPUTED_VALUE"""),"1.27")</f>
        <v>1.27</v>
      </c>
      <c r="L1224" s="590">
        <f ca="1">IFERROR(__xludf.DUMMYFUNCTION("""COMPUTED_VALUE"""),5.8)</f>
        <v>5.8</v>
      </c>
      <c r="M1224" s="590"/>
      <c r="N1224" s="590" t="str">
        <f ca="1">IFERROR(__xludf.DUMMYFUNCTION("""COMPUTED_VALUE"""),"Dị_D54")</f>
        <v>Dị_D54</v>
      </c>
      <c r="O1224" s="589"/>
      <c r="P1224" s="590"/>
    </row>
    <row r="1225" spans="1:17" ht="15.75">
      <c r="A1225" s="581" t="str">
        <f ca="1">IFERROR(__xludf.DUMMYFUNCTION("""COMPUTED_VALUE"""),"Hailiang")</f>
        <v>Hailiang</v>
      </c>
      <c r="B1225" s="581" t="str">
        <f ca="1">IFERROR(__xludf.DUMMYFUNCTION("""COMPUTED_VALUE"""),"ĐHLCAYDI")</f>
        <v>ĐHLCAYDI</v>
      </c>
      <c r="C1225" s="581" t="str">
        <f ca="1">IFERROR(__xludf.DUMMYFUNCTION("""COMPUTED_VALUE"""),"DOTHL539813529")</f>
        <v>DOTHL539813529</v>
      </c>
      <c r="D1225" s="582" t="str">
        <f ca="1">IFERROR(__xludf.DUMMYFUNCTION("""COMPUTED_VALUE"""),"Đồng ống Hailiang dạng cây 53.98mmx1.35mmx2.9")</f>
        <v>Đồng ống Hailiang dạng cây 53.98mmx1.35mmx2.9</v>
      </c>
      <c r="E1225" s="583">
        <f ca="1">IFERROR(__xludf.DUMMYFUNCTION("""COMPUTED_VALUE"""),0.1)</f>
        <v>0.1</v>
      </c>
      <c r="F1225" s="584" t="str">
        <f ca="1">IFERROR(__xludf.DUMMYFUNCTION("""COMPUTED_VALUE"""),"Cây")</f>
        <v>Cây</v>
      </c>
      <c r="G1225" s="584" t="str">
        <f ca="1">IFERROR(__xludf.DUMMYFUNCTION("""COMPUTED_VALUE"""),"Cây 2.9m")</f>
        <v>Cây 2.9m</v>
      </c>
      <c r="H1225" s="582"/>
      <c r="I1225" s="585">
        <f ca="1">IFERROR(__xludf.DUMMYFUNCTION("""COMPUTED_VALUE"""),5.7693006)</f>
        <v>5.7693006000000002</v>
      </c>
      <c r="J1225" s="586" t="str">
        <f ca="1">IFERROR(__xludf.DUMMYFUNCTION("""COMPUTED_VALUE""")," 53.98 ")</f>
        <v xml:space="preserve"> 53.98 </v>
      </c>
      <c r="K1225" s="584" t="str">
        <f ca="1">IFERROR(__xludf.DUMMYFUNCTION("""COMPUTED_VALUE"""),"1.35")</f>
        <v>1.35</v>
      </c>
      <c r="L1225" s="584">
        <f ca="1">IFERROR(__xludf.DUMMYFUNCTION("""COMPUTED_VALUE"""),2.9)</f>
        <v>2.9</v>
      </c>
      <c r="M1225" s="584"/>
      <c r="N1225" s="584" t="str">
        <f ca="1">IFERROR(__xludf.DUMMYFUNCTION("""COMPUTED_VALUE"""),"Dị_D54")</f>
        <v>Dị_D54</v>
      </c>
      <c r="O1225" s="583"/>
      <c r="P1225" s="584"/>
    </row>
    <row r="1226" spans="1:17" ht="15.75">
      <c r="A1226" s="587" t="str">
        <f ca="1">IFERROR(__xludf.DUMMYFUNCTION("""COMPUTED_VALUE"""),"Hailiang")</f>
        <v>Hailiang</v>
      </c>
      <c r="B1226" s="587" t="str">
        <f ca="1">IFERROR(__xludf.DUMMYFUNCTION("""COMPUTED_VALUE"""),"ĐHLCAYDI")</f>
        <v>ĐHLCAYDI</v>
      </c>
      <c r="C1226" s="587" t="str">
        <f ca="1">IFERROR(__xludf.DUMMYFUNCTION("""COMPUTED_VALUE"""),"DOTHL539814058")</f>
        <v>DOTHL539814058</v>
      </c>
      <c r="D1226" s="588" t="str">
        <f ca="1">IFERROR(__xludf.DUMMYFUNCTION("""COMPUTED_VALUE"""),"Đồng ống Hailiang dạng cây 53.98mmx1.40mmx5.8")</f>
        <v>Đồng ống Hailiang dạng cây 53.98mmx1.40mmx5.8</v>
      </c>
      <c r="E1226" s="589">
        <f ca="1">IFERROR(__xludf.DUMMYFUNCTION("""COMPUTED_VALUE"""),0.1)</f>
        <v>0.1</v>
      </c>
      <c r="F1226" s="590" t="str">
        <f ca="1">IFERROR(__xludf.DUMMYFUNCTION("""COMPUTED_VALUE"""),"Cây")</f>
        <v>Cây</v>
      </c>
      <c r="G1226" s="590" t="str">
        <f ca="1">IFERROR(__xludf.DUMMYFUNCTION("""COMPUTED_VALUE"""),"Cây 5.8m")</f>
        <v>Cây 5.8m</v>
      </c>
      <c r="H1226" s="588"/>
      <c r="I1226" s="591">
        <f ca="1">IFERROR(__xludf.DUMMYFUNCTION("""COMPUTED_VALUE"""),11.9545887999999)</f>
        <v>11.9545887999999</v>
      </c>
      <c r="J1226" s="592" t="str">
        <f ca="1">IFERROR(__xludf.DUMMYFUNCTION("""COMPUTED_VALUE""")," 53.98 ")</f>
        <v xml:space="preserve"> 53.98 </v>
      </c>
      <c r="K1226" s="590" t="str">
        <f ca="1">IFERROR(__xludf.DUMMYFUNCTION("""COMPUTED_VALUE"""),"1.40")</f>
        <v>1.40</v>
      </c>
      <c r="L1226" s="590">
        <f ca="1">IFERROR(__xludf.DUMMYFUNCTION("""COMPUTED_VALUE"""),5.8)</f>
        <v>5.8</v>
      </c>
      <c r="M1226" s="590"/>
      <c r="N1226" s="590" t="str">
        <f ca="1">IFERROR(__xludf.DUMMYFUNCTION("""COMPUTED_VALUE"""),"Dị_D54")</f>
        <v>Dị_D54</v>
      </c>
      <c r="O1226" s="589"/>
      <c r="P1226" s="590"/>
    </row>
    <row r="1227" spans="1:17" ht="15.75">
      <c r="A1227" s="581" t="str">
        <f ca="1">IFERROR(__xludf.DUMMYFUNCTION("""COMPUTED_VALUE"""),"Hailiang")</f>
        <v>Hailiang</v>
      </c>
      <c r="B1227" s="581" t="str">
        <f ca="1">IFERROR(__xludf.DUMMYFUNCTION("""COMPUTED_VALUE"""),"ĐHLCAYIB")</f>
        <v>ĐHLCAYIB</v>
      </c>
      <c r="C1227" s="581" t="str">
        <f ca="1">IFERROR(__xludf.DUMMYFUNCTION("""COMPUTED_VALUE"""),"DOTHL539814029")</f>
        <v>DOTHL539814029</v>
      </c>
      <c r="D1227" s="582" t="str">
        <f ca="1">IFERROR(__xludf.DUMMYFUNCTION("""COMPUTED_VALUE"""),"Đồng ống Hailiang dạng cây 53.98mmx1.40mmx2.9")</f>
        <v>Đồng ống Hailiang dạng cây 53.98mmx1.40mmx2.9</v>
      </c>
      <c r="E1227" s="583">
        <f ca="1">IFERROR(__xludf.DUMMYFUNCTION("""COMPUTED_VALUE"""),0.1)</f>
        <v>0.1</v>
      </c>
      <c r="F1227" s="584" t="str">
        <f ca="1">IFERROR(__xludf.DUMMYFUNCTION("""COMPUTED_VALUE"""),"Cây")</f>
        <v>Cây</v>
      </c>
      <c r="G1227" s="584" t="str">
        <f ca="1">IFERROR(__xludf.DUMMYFUNCTION("""COMPUTED_VALUE"""),"Cây 2.9m")</f>
        <v>Cây 2.9m</v>
      </c>
      <c r="H1227" s="582"/>
      <c r="I1227" s="585">
        <f ca="1">IFERROR(__xludf.DUMMYFUNCTION("""COMPUTED_VALUE"""),5.97729439999999)</f>
        <v>5.9772943999999901</v>
      </c>
      <c r="J1227" s="586" t="str">
        <f ca="1">IFERROR(__xludf.DUMMYFUNCTION("""COMPUTED_VALUE""")," 53.98 ")</f>
        <v xml:space="preserve"> 53.98 </v>
      </c>
      <c r="K1227" s="584" t="str">
        <f ca="1">IFERROR(__xludf.DUMMYFUNCTION("""COMPUTED_VALUE"""),"1.40")</f>
        <v>1.40</v>
      </c>
      <c r="L1227" s="584">
        <f ca="1">IFERROR(__xludf.DUMMYFUNCTION("""COMPUTED_VALUE"""),2.9)</f>
        <v>2.9</v>
      </c>
      <c r="M1227" s="584"/>
      <c r="N1227" s="584" t="str">
        <f ca="1">IFERROR(__xludf.DUMMYFUNCTION("""COMPUTED_VALUE"""),"Ít bán")</f>
        <v>Ít bán</v>
      </c>
      <c r="O1227" s="583">
        <f ca="1">IFERROR(__xludf.DUMMYFUNCTION("""COMPUTED_VALUE"""),1.2)</f>
        <v>1.2</v>
      </c>
      <c r="P1227" s="584"/>
      <c r="Q1227" s="885">
        <f ca="1">+$Q$5*I1227</f>
        <v>1374.7777119999976</v>
      </c>
    </row>
    <row r="1228" spans="1:17" ht="15.75">
      <c r="A1228" s="587" t="str">
        <f ca="1">IFERROR(__xludf.DUMMYFUNCTION("""COMPUTED_VALUE"""),"Hailiang")</f>
        <v>Hailiang</v>
      </c>
      <c r="B1228" s="587" t="str">
        <f ca="1">IFERROR(__xludf.DUMMYFUNCTION("""COMPUTED_VALUE"""),"ĐHLCAYDI")</f>
        <v>ĐHLCAYDI</v>
      </c>
      <c r="C1228" s="587" t="str">
        <f ca="1">IFERROR(__xludf.DUMMYFUNCTION("""COMPUTED_VALUE"""),"DOTHL539814529")</f>
        <v>DOTHL539814529</v>
      </c>
      <c r="D1228" s="588" t="str">
        <f ca="1">IFERROR(__xludf.DUMMYFUNCTION("""COMPUTED_VALUE"""),"Đồng ống Hailiang dạng cây 53.98mmx1.45mmx2.9")</f>
        <v>Đồng ống Hailiang dạng cây 53.98mmx1.45mmx2.9</v>
      </c>
      <c r="E1228" s="589">
        <f ca="1">IFERROR(__xludf.DUMMYFUNCTION("""COMPUTED_VALUE"""),0.1)</f>
        <v>0.1</v>
      </c>
      <c r="F1228" s="590" t="str">
        <f ca="1">IFERROR(__xludf.DUMMYFUNCTION("""COMPUTED_VALUE"""),"Cây")</f>
        <v>Cây</v>
      </c>
      <c r="G1228" s="590" t="str">
        <f ca="1">IFERROR(__xludf.DUMMYFUNCTION("""COMPUTED_VALUE"""),"Cây 2.9m")</f>
        <v>Cây 2.9m</v>
      </c>
      <c r="H1228" s="588"/>
      <c r="I1228" s="591">
        <f ca="1">IFERROR(__xludf.DUMMYFUNCTION("""COMPUTED_VALUE"""),6.18488219999999)</f>
        <v>6.1848821999999899</v>
      </c>
      <c r="J1228" s="592" t="str">
        <f ca="1">IFERROR(__xludf.DUMMYFUNCTION("""COMPUTED_VALUE""")," 53.98 ")</f>
        <v xml:space="preserve"> 53.98 </v>
      </c>
      <c r="K1228" s="590" t="str">
        <f ca="1">IFERROR(__xludf.DUMMYFUNCTION("""COMPUTED_VALUE"""),"1.45")</f>
        <v>1.45</v>
      </c>
      <c r="L1228" s="590">
        <f ca="1">IFERROR(__xludf.DUMMYFUNCTION("""COMPUTED_VALUE"""),2.9)</f>
        <v>2.9</v>
      </c>
      <c r="M1228" s="590"/>
      <c r="N1228" s="590" t="str">
        <f ca="1">IFERROR(__xludf.DUMMYFUNCTION("""COMPUTED_VALUE"""),"Dị_D54")</f>
        <v>Dị_D54</v>
      </c>
      <c r="O1228" s="589"/>
      <c r="P1228" s="590"/>
    </row>
    <row r="1229" spans="1:17" ht="15.75">
      <c r="A1229" s="581" t="str">
        <f ca="1">IFERROR(__xludf.DUMMYFUNCTION("""COMPUTED_VALUE"""),"Hailiang")</f>
        <v>Hailiang</v>
      </c>
      <c r="B1229" s="581" t="str">
        <f ca="1">IFERROR(__xludf.DUMMYFUNCTION("""COMPUTED_VALUE"""),"ĐHLCAYDI")</f>
        <v>ĐHLCAYDI</v>
      </c>
      <c r="C1229" s="581" t="str">
        <f ca="1">IFERROR(__xludf.DUMMYFUNCTION("""COMPUTED_VALUE"""),"DOTHL539815029")</f>
        <v>DOTHL539815029</v>
      </c>
      <c r="D1229" s="582" t="str">
        <f ca="1">IFERROR(__xludf.DUMMYFUNCTION("""COMPUTED_VALUE"""),"Đồng ống Hailiang dạng cây 53.98mmx1.50mmx2.9")</f>
        <v>Đồng ống Hailiang dạng cây 53.98mmx1.50mmx2.9</v>
      </c>
      <c r="E1229" s="583">
        <f ca="1">IFERROR(__xludf.DUMMYFUNCTION("""COMPUTED_VALUE"""),0.1)</f>
        <v>0.1</v>
      </c>
      <c r="F1229" s="584" t="str">
        <f ca="1">IFERROR(__xludf.DUMMYFUNCTION("""COMPUTED_VALUE"""),"Cây")</f>
        <v>Cây</v>
      </c>
      <c r="G1229" s="584" t="str">
        <f ca="1">IFERROR(__xludf.DUMMYFUNCTION("""COMPUTED_VALUE"""),"Cây 2.9m")</f>
        <v>Cây 2.9m</v>
      </c>
      <c r="H1229" s="582"/>
      <c r="I1229" s="585">
        <f ca="1">IFERROR(__xludf.DUMMYFUNCTION("""COMPUTED_VALUE"""),6.39206399999999)</f>
        <v>6.3920639999999898</v>
      </c>
      <c r="J1229" s="586" t="str">
        <f ca="1">IFERROR(__xludf.DUMMYFUNCTION("""COMPUTED_VALUE""")," 53.98 ")</f>
        <v xml:space="preserve"> 53.98 </v>
      </c>
      <c r="K1229" s="584" t="str">
        <f ca="1">IFERROR(__xludf.DUMMYFUNCTION("""COMPUTED_VALUE"""),"1.50")</f>
        <v>1.50</v>
      </c>
      <c r="L1229" s="584">
        <f ca="1">IFERROR(__xludf.DUMMYFUNCTION("""COMPUTED_VALUE"""),2.9)</f>
        <v>2.9</v>
      </c>
      <c r="M1229" s="584"/>
      <c r="N1229" s="584" t="str">
        <f ca="1">IFERROR(__xludf.DUMMYFUNCTION("""COMPUTED_VALUE"""),"Dị_D54")</f>
        <v>Dị_D54</v>
      </c>
      <c r="O1229" s="583"/>
      <c r="P1229" s="584"/>
    </row>
    <row r="1230" spans="1:17" ht="15.75">
      <c r="A1230" s="587" t="str">
        <f ca="1">IFERROR(__xludf.DUMMYFUNCTION("""COMPUTED_VALUE"""),"Hailiang")</f>
        <v>Hailiang</v>
      </c>
      <c r="B1230" s="587" t="str">
        <f ca="1">IFERROR(__xludf.DUMMYFUNCTION("""COMPUTED_VALUE"""),"ĐHLCAYDI")</f>
        <v>ĐHLCAYDI</v>
      </c>
      <c r="C1230" s="587" t="str">
        <f ca="1">IFERROR(__xludf.DUMMYFUNCTION("""COMPUTED_VALUE"""),"DOTHL539815129")</f>
        <v>DOTHL539815129</v>
      </c>
      <c r="D1230" s="588" t="str">
        <f ca="1">IFERROR(__xludf.DUMMYFUNCTION("""COMPUTED_VALUE"""),"Đồng ống Hailiang dạng cây 53.98mmx1.51mmx2.9")</f>
        <v>Đồng ống Hailiang dạng cây 53.98mmx1.51mmx2.9</v>
      </c>
      <c r="E1230" s="589">
        <f ca="1">IFERROR(__xludf.DUMMYFUNCTION("""COMPUTED_VALUE"""),0.1)</f>
        <v>0.1</v>
      </c>
      <c r="F1230" s="590" t="str">
        <f ca="1">IFERROR(__xludf.DUMMYFUNCTION("""COMPUTED_VALUE"""),"Cây")</f>
        <v>Cây</v>
      </c>
      <c r="G1230" s="590" t="str">
        <f ca="1">IFERROR(__xludf.DUMMYFUNCTION("""COMPUTED_VALUE"""),"Cây 2.9m")</f>
        <v>Cây 2.9m</v>
      </c>
      <c r="H1230" s="588"/>
      <c r="I1230" s="591">
        <f ca="1">IFERROR(__xludf.DUMMYFUNCTION("""COMPUTED_VALUE"""),6.43345163999999)</f>
        <v>6.4334516399999897</v>
      </c>
      <c r="J1230" s="592" t="str">
        <f ca="1">IFERROR(__xludf.DUMMYFUNCTION("""COMPUTED_VALUE""")," 53.98 ")</f>
        <v xml:space="preserve"> 53.98 </v>
      </c>
      <c r="K1230" s="590" t="str">
        <f ca="1">IFERROR(__xludf.DUMMYFUNCTION("""COMPUTED_VALUE"""),"1.51")</f>
        <v>1.51</v>
      </c>
      <c r="L1230" s="590">
        <f ca="1">IFERROR(__xludf.DUMMYFUNCTION("""COMPUTED_VALUE"""),2.9)</f>
        <v>2.9</v>
      </c>
      <c r="M1230" s="590"/>
      <c r="N1230" s="590" t="str">
        <f ca="1">IFERROR(__xludf.DUMMYFUNCTION("""COMPUTED_VALUE"""),"Dị_D54")</f>
        <v>Dị_D54</v>
      </c>
      <c r="O1230" s="589"/>
      <c r="P1230" s="590"/>
    </row>
    <row r="1231" spans="1:17" ht="15.75">
      <c r="A1231" s="581" t="str">
        <f ca="1">IFERROR(__xludf.DUMMYFUNCTION("""COMPUTED_VALUE"""),"Hailiang")</f>
        <v>Hailiang</v>
      </c>
      <c r="B1231" s="581" t="str">
        <f ca="1">IFERROR(__xludf.DUMMYFUNCTION("""COMPUTED_VALUE"""),"ĐHLCAYDI")</f>
        <v>ĐHLCAYDI</v>
      </c>
      <c r="C1231" s="581" t="str">
        <f ca="1">IFERROR(__xludf.DUMMYFUNCTION("""COMPUTED_VALUE"""),"DOTHL539815529")</f>
        <v>DOTHL539815529</v>
      </c>
      <c r="D1231" s="582" t="str">
        <f ca="1">IFERROR(__xludf.DUMMYFUNCTION("""COMPUTED_VALUE"""),"Đồng ống Hailiang dạng cây 53.98mmx1.55mmx2.9")</f>
        <v>Đồng ống Hailiang dạng cây 53.98mmx1.55mmx2.9</v>
      </c>
      <c r="E1231" s="583">
        <f ca="1">IFERROR(__xludf.DUMMYFUNCTION("""COMPUTED_VALUE"""),0.1)</f>
        <v>0.1</v>
      </c>
      <c r="F1231" s="584" t="str">
        <f ca="1">IFERROR(__xludf.DUMMYFUNCTION("""COMPUTED_VALUE"""),"Cây")</f>
        <v>Cây</v>
      </c>
      <c r="G1231" s="584" t="str">
        <f ca="1">IFERROR(__xludf.DUMMYFUNCTION("""COMPUTED_VALUE"""),"Cây 2.9m")</f>
        <v>Cây 2.9m</v>
      </c>
      <c r="H1231" s="582"/>
      <c r="I1231" s="585">
        <f ca="1">IFERROR(__xludf.DUMMYFUNCTION("""COMPUTED_VALUE"""),6.5988398)</f>
        <v>6.5988398000000004</v>
      </c>
      <c r="J1231" s="586" t="str">
        <f ca="1">IFERROR(__xludf.DUMMYFUNCTION("""COMPUTED_VALUE""")," 53.98 ")</f>
        <v xml:space="preserve"> 53.98 </v>
      </c>
      <c r="K1231" s="584" t="str">
        <f ca="1">IFERROR(__xludf.DUMMYFUNCTION("""COMPUTED_VALUE"""),"1.55")</f>
        <v>1.55</v>
      </c>
      <c r="L1231" s="584">
        <f ca="1">IFERROR(__xludf.DUMMYFUNCTION("""COMPUTED_VALUE"""),2.9)</f>
        <v>2.9</v>
      </c>
      <c r="M1231" s="584"/>
      <c r="N1231" s="584" t="str">
        <f ca="1">IFERROR(__xludf.DUMMYFUNCTION("""COMPUTED_VALUE"""),"Dị_D54")</f>
        <v>Dị_D54</v>
      </c>
      <c r="O1231" s="583"/>
      <c r="P1231" s="584"/>
    </row>
    <row r="1232" spans="1:17" ht="15.75">
      <c r="A1232" s="587" t="str">
        <f ca="1">IFERROR(__xludf.DUMMYFUNCTION("""COMPUTED_VALUE"""),"Hailiang")</f>
        <v>Hailiang</v>
      </c>
      <c r="B1232" s="587" t="str">
        <f ca="1">IFERROR(__xludf.DUMMYFUNCTION("""COMPUTED_VALUE"""),"ĐHLCAYDI")</f>
        <v>ĐHLCAYDI</v>
      </c>
      <c r="C1232" s="587" t="str">
        <f ca="1">IFERROR(__xludf.DUMMYFUNCTION("""COMPUTED_VALUE"""),"DOTHL539816029")</f>
        <v>DOTHL539816029</v>
      </c>
      <c r="D1232" s="588" t="str">
        <f ca="1">IFERROR(__xludf.DUMMYFUNCTION("""COMPUTED_VALUE"""),"Đồng ống Hailiang dạng cây 53.98mmx1.60mmx2.9")</f>
        <v>Đồng ống Hailiang dạng cây 53.98mmx1.60mmx2.9</v>
      </c>
      <c r="E1232" s="589">
        <f ca="1">IFERROR(__xludf.DUMMYFUNCTION("""COMPUTED_VALUE"""),0.1)</f>
        <v>0.1</v>
      </c>
      <c r="F1232" s="590" t="str">
        <f ca="1">IFERROR(__xludf.DUMMYFUNCTION("""COMPUTED_VALUE"""),"Cây")</f>
        <v>Cây</v>
      </c>
      <c r="G1232" s="590" t="str">
        <f ca="1">IFERROR(__xludf.DUMMYFUNCTION("""COMPUTED_VALUE"""),"Cây 2.9m")</f>
        <v>Cây 2.9m</v>
      </c>
      <c r="H1232" s="588"/>
      <c r="I1232" s="591">
        <f ca="1">IFERROR(__xludf.DUMMYFUNCTION("""COMPUTED_VALUE"""),6.80520959999999)</f>
        <v>6.8052095999999898</v>
      </c>
      <c r="J1232" s="592" t="str">
        <f ca="1">IFERROR(__xludf.DUMMYFUNCTION("""COMPUTED_VALUE""")," 53.98 ")</f>
        <v xml:space="preserve"> 53.98 </v>
      </c>
      <c r="K1232" s="590" t="str">
        <f ca="1">IFERROR(__xludf.DUMMYFUNCTION("""COMPUTED_VALUE"""),"1.60")</f>
        <v>1.60</v>
      </c>
      <c r="L1232" s="590">
        <f ca="1">IFERROR(__xludf.DUMMYFUNCTION("""COMPUTED_VALUE"""),2.9)</f>
        <v>2.9</v>
      </c>
      <c r="M1232" s="590"/>
      <c r="N1232" s="590" t="str">
        <f ca="1">IFERROR(__xludf.DUMMYFUNCTION("""COMPUTED_VALUE"""),"Dị_D54")</f>
        <v>Dị_D54</v>
      </c>
      <c r="O1232" s="589"/>
      <c r="P1232" s="590"/>
    </row>
    <row r="1233" spans="1:16" ht="15.75">
      <c r="A1233" s="581" t="str">
        <f ca="1">IFERROR(__xludf.DUMMYFUNCTION("""COMPUTED_VALUE"""),"Hailiang")</f>
        <v>Hailiang</v>
      </c>
      <c r="B1233" s="581" t="str">
        <f ca="1">IFERROR(__xludf.DUMMYFUNCTION("""COMPUTED_VALUE"""),"ĐHLCAYDI")</f>
        <v>ĐHLCAYDI</v>
      </c>
      <c r="C1233" s="581" t="str">
        <f ca="1">IFERROR(__xludf.DUMMYFUNCTION("""COMPUTED_VALUE"""),"DOTHL53981603")</f>
        <v>DOTHL53981603</v>
      </c>
      <c r="D1233" s="582" t="str">
        <f ca="1">IFERROR(__xludf.DUMMYFUNCTION("""COMPUTED_VALUE"""),"Đồng ống Hailiang dạng cây 53.98mmx1.60mmx3.0")</f>
        <v>Đồng ống Hailiang dạng cây 53.98mmx1.60mmx3.0</v>
      </c>
      <c r="E1233" s="583">
        <f ca="1">IFERROR(__xludf.DUMMYFUNCTION("""COMPUTED_VALUE"""),0.1)</f>
        <v>0.1</v>
      </c>
      <c r="F1233" s="584" t="str">
        <f ca="1">IFERROR(__xludf.DUMMYFUNCTION("""COMPUTED_VALUE"""),"Cây")</f>
        <v>Cây</v>
      </c>
      <c r="G1233" s="584" t="str">
        <f ca="1">IFERROR(__xludf.DUMMYFUNCTION("""COMPUTED_VALUE"""),"Cây 3m")</f>
        <v>Cây 3m</v>
      </c>
      <c r="H1233" s="582"/>
      <c r="I1233" s="585">
        <f ca="1">IFERROR(__xludf.DUMMYFUNCTION("""COMPUTED_VALUE"""),7.03987199999999)</f>
        <v>7.0398719999999901</v>
      </c>
      <c r="J1233" s="586" t="str">
        <f ca="1">IFERROR(__xludf.DUMMYFUNCTION("""COMPUTED_VALUE""")," 53.98 ")</f>
        <v xml:space="preserve"> 53.98 </v>
      </c>
      <c r="K1233" s="584" t="str">
        <f ca="1">IFERROR(__xludf.DUMMYFUNCTION("""COMPUTED_VALUE"""),"1.60")</f>
        <v>1.60</v>
      </c>
      <c r="L1233" s="584">
        <f ca="1">IFERROR(__xludf.DUMMYFUNCTION("""COMPUTED_VALUE"""),3)</f>
        <v>3</v>
      </c>
      <c r="M1233" s="584"/>
      <c r="N1233" s="584" t="str">
        <f ca="1">IFERROR(__xludf.DUMMYFUNCTION("""COMPUTED_VALUE"""),"Dị_D54")</f>
        <v>Dị_D54</v>
      </c>
      <c r="O1233" s="583"/>
      <c r="P1233" s="584"/>
    </row>
    <row r="1234" spans="1:16" ht="15.75">
      <c r="A1234" s="587" t="str">
        <f ca="1">IFERROR(__xludf.DUMMYFUNCTION("""COMPUTED_VALUE"""),"Hailiang")</f>
        <v>Hailiang</v>
      </c>
      <c r="B1234" s="587" t="str">
        <f ca="1">IFERROR(__xludf.DUMMYFUNCTION("""COMPUTED_VALUE"""),"ĐHLCAYDI")</f>
        <v>ĐHLCAYDI</v>
      </c>
      <c r="C1234" s="587" t="str">
        <f ca="1">IFERROR(__xludf.DUMMYFUNCTION("""COMPUTED_VALUE"""),"DOTHL539816529")</f>
        <v>DOTHL539816529</v>
      </c>
      <c r="D1234" s="588" t="str">
        <f ca="1">IFERROR(__xludf.DUMMYFUNCTION("""COMPUTED_VALUE"""),"Đồng ống Hailiang dạng cây 53.98mmx1.65mmx2.9")</f>
        <v>Đồng ống Hailiang dạng cây 53.98mmx1.65mmx2.9</v>
      </c>
      <c r="E1234" s="589">
        <f ca="1">IFERROR(__xludf.DUMMYFUNCTION("""COMPUTED_VALUE"""),0.1)</f>
        <v>0.1</v>
      </c>
      <c r="F1234" s="590" t="str">
        <f ca="1">IFERROR(__xludf.DUMMYFUNCTION("""COMPUTED_VALUE"""),"Cây")</f>
        <v>Cây</v>
      </c>
      <c r="G1234" s="590" t="str">
        <f ca="1">IFERROR(__xludf.DUMMYFUNCTION("""COMPUTED_VALUE"""),"Cây 2.9m")</f>
        <v>Cây 2.9m</v>
      </c>
      <c r="H1234" s="588"/>
      <c r="I1234" s="591">
        <f ca="1">IFERROR(__xludf.DUMMYFUNCTION("""COMPUTED_VALUE"""),7.0111734)</f>
        <v>7.0111733999999997</v>
      </c>
      <c r="J1234" s="592" t="str">
        <f ca="1">IFERROR(__xludf.DUMMYFUNCTION("""COMPUTED_VALUE""")," 53.98 ")</f>
        <v xml:space="preserve"> 53.98 </v>
      </c>
      <c r="K1234" s="590" t="str">
        <f ca="1">IFERROR(__xludf.DUMMYFUNCTION("""COMPUTED_VALUE"""),"1.65")</f>
        <v>1.65</v>
      </c>
      <c r="L1234" s="590">
        <f ca="1">IFERROR(__xludf.DUMMYFUNCTION("""COMPUTED_VALUE"""),2.9)</f>
        <v>2.9</v>
      </c>
      <c r="M1234" s="590"/>
      <c r="N1234" s="590" t="str">
        <f ca="1">IFERROR(__xludf.DUMMYFUNCTION("""COMPUTED_VALUE"""),"Dị_D54")</f>
        <v>Dị_D54</v>
      </c>
      <c r="O1234" s="589"/>
      <c r="P1234" s="590"/>
    </row>
    <row r="1235" spans="1:16" ht="15.75">
      <c r="A1235" s="581" t="str">
        <f ca="1">IFERROR(__xludf.DUMMYFUNCTION("""COMPUTED_VALUE"""),"Hailiang")</f>
        <v>Hailiang</v>
      </c>
      <c r="B1235" s="581" t="str">
        <f ca="1">IFERROR(__xludf.DUMMYFUNCTION("""COMPUTED_VALUE"""),"ĐHLCAYDI")</f>
        <v>ĐHLCAYDI</v>
      </c>
      <c r="C1235" s="581" t="str">
        <f ca="1">IFERROR(__xludf.DUMMYFUNCTION("""COMPUTED_VALUE"""),"DOTHL539817029")</f>
        <v>DOTHL539817029</v>
      </c>
      <c r="D1235" s="582" t="str">
        <f ca="1">IFERROR(__xludf.DUMMYFUNCTION("""COMPUTED_VALUE"""),"Đồng ống Hailiang dạng cây 53.98mmx1.70mmx2.9m")</f>
        <v>Đồng ống Hailiang dạng cây 53.98mmx1.70mmx2.9m</v>
      </c>
      <c r="E1235" s="583">
        <f ca="1">IFERROR(__xludf.DUMMYFUNCTION("""COMPUTED_VALUE"""),0.1)</f>
        <v>0.1</v>
      </c>
      <c r="F1235" s="584" t="str">
        <f ca="1">IFERROR(__xludf.DUMMYFUNCTION("""COMPUTED_VALUE"""),"Cây")</f>
        <v>Cây</v>
      </c>
      <c r="G1235" s="584" t="str">
        <f ca="1">IFERROR(__xludf.DUMMYFUNCTION("""COMPUTED_VALUE"""),"Cây 2.9m")</f>
        <v>Cây 2.9m</v>
      </c>
      <c r="H1235" s="582"/>
      <c r="I1235" s="585">
        <f ca="1">IFERROR(__xludf.DUMMYFUNCTION("""COMPUTED_VALUE"""),7.21673119999999)</f>
        <v>7.2167311999999901</v>
      </c>
      <c r="J1235" s="586" t="str">
        <f ca="1">IFERROR(__xludf.DUMMYFUNCTION("""COMPUTED_VALUE""")," 53.98 ")</f>
        <v xml:space="preserve"> 53.98 </v>
      </c>
      <c r="K1235" s="584" t="str">
        <f ca="1">IFERROR(__xludf.DUMMYFUNCTION("""COMPUTED_VALUE"""),"1.70")</f>
        <v>1.70</v>
      </c>
      <c r="L1235" s="584">
        <f ca="1">IFERROR(__xludf.DUMMYFUNCTION("""COMPUTED_VALUE"""),2.9)</f>
        <v>2.9</v>
      </c>
      <c r="M1235" s="584"/>
      <c r="N1235" s="584" t="str">
        <f ca="1">IFERROR(__xludf.DUMMYFUNCTION("""COMPUTED_VALUE"""),"Dị_D54")</f>
        <v>Dị_D54</v>
      </c>
      <c r="O1235" s="583"/>
      <c r="P1235" s="584"/>
    </row>
    <row r="1236" spans="1:16" ht="15.75">
      <c r="A1236" s="587" t="str">
        <f ca="1">IFERROR(__xludf.DUMMYFUNCTION("""COMPUTED_VALUE"""),"Hailiang")</f>
        <v>Hailiang</v>
      </c>
      <c r="B1236" s="587" t="str">
        <f ca="1">IFERROR(__xludf.DUMMYFUNCTION("""COMPUTED_VALUE"""),"ĐHLCAYDI")</f>
        <v>ĐHLCAYDI</v>
      </c>
      <c r="C1236" s="587" t="str">
        <f ca="1">IFERROR(__xludf.DUMMYFUNCTION("""COMPUTED_VALUE"""),"DOTHL539817829")</f>
        <v>DOTHL539817829</v>
      </c>
      <c r="D1236" s="588" t="str">
        <f ca="1">IFERROR(__xludf.DUMMYFUNCTION("""COMPUTED_VALUE"""),"Đồng ống Hailiang dạng cây 53.98mmx1.78mmx2.9m")</f>
        <v>Đồng ống Hailiang dạng cây 53.98mmx1.78mmx2.9m</v>
      </c>
      <c r="E1236" s="589">
        <f ca="1">IFERROR(__xludf.DUMMYFUNCTION("""COMPUTED_VALUE"""),0.1)</f>
        <v>0.1</v>
      </c>
      <c r="F1236" s="590" t="str">
        <f ca="1">IFERROR(__xludf.DUMMYFUNCTION("""COMPUTED_VALUE"""),"Cây")</f>
        <v>Cây</v>
      </c>
      <c r="G1236" s="590" t="str">
        <f ca="1">IFERROR(__xludf.DUMMYFUNCTION("""COMPUTED_VALUE"""),"Cây 2.9m")</f>
        <v>Cây 2.9m</v>
      </c>
      <c r="H1236" s="588"/>
      <c r="I1236" s="591">
        <f ca="1">IFERROR(__xludf.DUMMYFUNCTION("""COMPUTED_VALUE"""),7.5447792)</f>
        <v>7.5447791999999998</v>
      </c>
      <c r="J1236" s="592" t="str">
        <f ca="1">IFERROR(__xludf.DUMMYFUNCTION("""COMPUTED_VALUE""")," 53.98 ")</f>
        <v xml:space="preserve"> 53.98 </v>
      </c>
      <c r="K1236" s="590" t="str">
        <f ca="1">IFERROR(__xludf.DUMMYFUNCTION("""COMPUTED_VALUE"""),"1.78")</f>
        <v>1.78</v>
      </c>
      <c r="L1236" s="590">
        <f ca="1">IFERROR(__xludf.DUMMYFUNCTION("""COMPUTED_VALUE"""),2.9)</f>
        <v>2.9</v>
      </c>
      <c r="M1236" s="590"/>
      <c r="N1236" s="590" t="str">
        <f ca="1">IFERROR(__xludf.DUMMYFUNCTION("""COMPUTED_VALUE"""),"Dị_D54")</f>
        <v>Dị_D54</v>
      </c>
      <c r="O1236" s="589"/>
      <c r="P1236" s="590"/>
    </row>
    <row r="1237" spans="1:16" ht="15.75">
      <c r="A1237" s="581" t="str">
        <f ca="1">IFERROR(__xludf.DUMMYFUNCTION("""COMPUTED_VALUE"""),"Hailiang")</f>
        <v>Hailiang</v>
      </c>
      <c r="B1237" s="581" t="str">
        <f ca="1">IFERROR(__xludf.DUMMYFUNCTION("""COMPUTED_VALUE"""),"ĐHLCAYDI")</f>
        <v>ĐHLCAYDI</v>
      </c>
      <c r="C1237" s="581" t="str">
        <f ca="1">IFERROR(__xludf.DUMMYFUNCTION("""COMPUTED_VALUE"""),"DOTHL539817858")</f>
        <v>DOTHL539817858</v>
      </c>
      <c r="D1237" s="582" t="str">
        <f ca="1">IFERROR(__xludf.DUMMYFUNCTION("""COMPUTED_VALUE"""),"Đồng ống Hailiang dạng cây 53.98mmx1.78mmx5.8m")</f>
        <v>Đồng ống Hailiang dạng cây 53.98mmx1.78mmx5.8m</v>
      </c>
      <c r="E1237" s="583">
        <f ca="1">IFERROR(__xludf.DUMMYFUNCTION("""COMPUTED_VALUE"""),0.1)</f>
        <v>0.1</v>
      </c>
      <c r="F1237" s="584" t="str">
        <f ca="1">IFERROR(__xludf.DUMMYFUNCTION("""COMPUTED_VALUE"""),"Cây")</f>
        <v>Cây</v>
      </c>
      <c r="G1237" s="584" t="str">
        <f ca="1">IFERROR(__xludf.DUMMYFUNCTION("""COMPUTED_VALUE"""),"Cây 5.8m")</f>
        <v>Cây 5.8m</v>
      </c>
      <c r="H1237" s="582"/>
      <c r="I1237" s="585">
        <f ca="1">IFERROR(__xludf.DUMMYFUNCTION("""COMPUTED_VALUE"""),15.0895584)</f>
        <v>15.0895584</v>
      </c>
      <c r="J1237" s="586" t="str">
        <f ca="1">IFERROR(__xludf.DUMMYFUNCTION("""COMPUTED_VALUE""")," 53.98 ")</f>
        <v xml:space="preserve"> 53.98 </v>
      </c>
      <c r="K1237" s="584" t="str">
        <f ca="1">IFERROR(__xludf.DUMMYFUNCTION("""COMPUTED_VALUE"""),"1.78")</f>
        <v>1.78</v>
      </c>
      <c r="L1237" s="584">
        <f ca="1">IFERROR(__xludf.DUMMYFUNCTION("""COMPUTED_VALUE"""),5.8)</f>
        <v>5.8</v>
      </c>
      <c r="M1237" s="584"/>
      <c r="N1237" s="584" t="str">
        <f ca="1">IFERROR(__xludf.DUMMYFUNCTION("""COMPUTED_VALUE"""),"Dị_D54")</f>
        <v>Dị_D54</v>
      </c>
      <c r="O1237" s="583"/>
      <c r="P1237" s="584"/>
    </row>
    <row r="1238" spans="1:16" ht="15.75">
      <c r="A1238" s="587" t="str">
        <f ca="1">IFERROR(__xludf.DUMMYFUNCTION("""COMPUTED_VALUE"""),"Hailiang")</f>
        <v>Hailiang</v>
      </c>
      <c r="B1238" s="587" t="str">
        <f ca="1">IFERROR(__xludf.DUMMYFUNCTION("""COMPUTED_VALUE"""),"ĐHLCAYDI")</f>
        <v>ĐHLCAYDI</v>
      </c>
      <c r="C1238" s="587" t="str">
        <f ca="1">IFERROR(__xludf.DUMMYFUNCTION("""COMPUTED_VALUE"""),"DOTHL539818029")</f>
        <v>DOTHL539818029</v>
      </c>
      <c r="D1238" s="588" t="str">
        <f ca="1">IFERROR(__xludf.DUMMYFUNCTION("""COMPUTED_VALUE"""),"Đồng ống Hailiang dạng cây 53.98mmx1.80mmx2.9")</f>
        <v>Đồng ống Hailiang dạng cây 53.98mmx1.80mmx2.9</v>
      </c>
      <c r="E1238" s="589">
        <f ca="1">IFERROR(__xludf.DUMMYFUNCTION("""COMPUTED_VALUE"""),0.1)</f>
        <v>0.1</v>
      </c>
      <c r="F1238" s="590" t="str">
        <f ca="1">IFERROR(__xludf.DUMMYFUNCTION("""COMPUTED_VALUE"""),"Cây")</f>
        <v>Cây</v>
      </c>
      <c r="G1238" s="590" t="str">
        <f ca="1">IFERROR(__xludf.DUMMYFUNCTION("""COMPUTED_VALUE"""),"Cây 2.9m")</f>
        <v>Cây 2.9m</v>
      </c>
      <c r="H1238" s="588"/>
      <c r="I1238" s="591">
        <f ca="1">IFERROR(__xludf.DUMMYFUNCTION("""COMPUTED_VALUE"""),7.6266288)</f>
        <v>7.6266287999999998</v>
      </c>
      <c r="J1238" s="592" t="str">
        <f ca="1">IFERROR(__xludf.DUMMYFUNCTION("""COMPUTED_VALUE""")," 53.98 ")</f>
        <v xml:space="preserve"> 53.98 </v>
      </c>
      <c r="K1238" s="590" t="str">
        <f ca="1">IFERROR(__xludf.DUMMYFUNCTION("""COMPUTED_VALUE"""),"1.80")</f>
        <v>1.80</v>
      </c>
      <c r="L1238" s="590">
        <f ca="1">IFERROR(__xludf.DUMMYFUNCTION("""COMPUTED_VALUE"""),2.9)</f>
        <v>2.9</v>
      </c>
      <c r="M1238" s="590"/>
      <c r="N1238" s="590" t="str">
        <f ca="1">IFERROR(__xludf.DUMMYFUNCTION("""COMPUTED_VALUE"""),"Dị_D54")</f>
        <v>Dị_D54</v>
      </c>
      <c r="O1238" s="589"/>
      <c r="P1238" s="590"/>
    </row>
    <row r="1239" spans="1:16" ht="15.75">
      <c r="A1239" s="581" t="str">
        <f ca="1">IFERROR(__xludf.DUMMYFUNCTION("""COMPUTED_VALUE"""),"Hailiang")</f>
        <v>Hailiang</v>
      </c>
      <c r="B1239" s="581" t="str">
        <f ca="1">IFERROR(__xludf.DUMMYFUNCTION("""COMPUTED_VALUE"""),"ĐHLCAYDI")</f>
        <v>ĐHLCAYDI</v>
      </c>
      <c r="C1239" s="581" t="str">
        <f ca="1">IFERROR(__xludf.DUMMYFUNCTION("""COMPUTED_VALUE"""),"DOTHL539818058")</f>
        <v>DOTHL539818058</v>
      </c>
      <c r="D1239" s="582" t="str">
        <f ca="1">IFERROR(__xludf.DUMMYFUNCTION("""COMPUTED_VALUE"""),"Đồng ống Hailiang dạng cây 53.98mmx1.80mmx5.8")</f>
        <v>Đồng ống Hailiang dạng cây 53.98mmx1.80mmx5.8</v>
      </c>
      <c r="E1239" s="583">
        <f ca="1">IFERROR(__xludf.DUMMYFUNCTION("""COMPUTED_VALUE"""),0.1)</f>
        <v>0.1</v>
      </c>
      <c r="F1239" s="584" t="str">
        <f ca="1">IFERROR(__xludf.DUMMYFUNCTION("""COMPUTED_VALUE"""),"Cây")</f>
        <v>Cây</v>
      </c>
      <c r="G1239" s="584" t="str">
        <f ca="1">IFERROR(__xludf.DUMMYFUNCTION("""COMPUTED_VALUE"""),"Cây 5.8m")</f>
        <v>Cây 5.8m</v>
      </c>
      <c r="H1239" s="582"/>
      <c r="I1239" s="585">
        <f ca="1">IFERROR(__xludf.DUMMYFUNCTION("""COMPUTED_VALUE"""),15.2532576)</f>
        <v>15.2532576</v>
      </c>
      <c r="J1239" s="586" t="str">
        <f ca="1">IFERROR(__xludf.DUMMYFUNCTION("""COMPUTED_VALUE""")," 53.98 ")</f>
        <v xml:space="preserve"> 53.98 </v>
      </c>
      <c r="K1239" s="584" t="str">
        <f ca="1">IFERROR(__xludf.DUMMYFUNCTION("""COMPUTED_VALUE"""),"1.80")</f>
        <v>1.80</v>
      </c>
      <c r="L1239" s="584">
        <f ca="1">IFERROR(__xludf.DUMMYFUNCTION("""COMPUTED_VALUE"""),5.8)</f>
        <v>5.8</v>
      </c>
      <c r="M1239" s="584"/>
      <c r="N1239" s="584" t="str">
        <f ca="1">IFERROR(__xludf.DUMMYFUNCTION("""COMPUTED_VALUE"""),"Dị_D54")</f>
        <v>Dị_D54</v>
      </c>
      <c r="O1239" s="583"/>
      <c r="P1239" s="584"/>
    </row>
    <row r="1240" spans="1:16" ht="15.75">
      <c r="A1240" s="587" t="str">
        <f ca="1">IFERROR(__xludf.DUMMYFUNCTION("""COMPUTED_VALUE"""),"Hailiang")</f>
        <v>Hailiang</v>
      </c>
      <c r="B1240" s="587" t="str">
        <f ca="1">IFERROR(__xludf.DUMMYFUNCTION("""COMPUTED_VALUE"""),"ĐHLCAYDI")</f>
        <v>ĐHLCAYDI</v>
      </c>
      <c r="C1240" s="587" t="str">
        <f ca="1">IFERROR(__xludf.DUMMYFUNCTION("""COMPUTED_VALUE"""),"DOTHL539820029")</f>
        <v>DOTHL539820029</v>
      </c>
      <c r="D1240" s="588" t="str">
        <f ca="1">IFERROR(__xludf.DUMMYFUNCTION("""COMPUTED_VALUE"""),"Đồng ống Hailiang dạng cây 53.98mmx2.00mmx2.9")</f>
        <v>Đồng ống Hailiang dạng cây 53.98mmx2.00mmx2.9</v>
      </c>
      <c r="E1240" s="589">
        <f ca="1">IFERROR(__xludf.DUMMYFUNCTION("""COMPUTED_VALUE"""),0.1)</f>
        <v>0.1</v>
      </c>
      <c r="F1240" s="590" t="str">
        <f ca="1">IFERROR(__xludf.DUMMYFUNCTION("""COMPUTED_VALUE"""),"Cây")</f>
        <v>Cây</v>
      </c>
      <c r="G1240" s="590" t="str">
        <f ca="1">IFERROR(__xludf.DUMMYFUNCTION("""COMPUTED_VALUE"""),"Cây 2.9m")</f>
        <v>Cây 2.9m</v>
      </c>
      <c r="H1240" s="588"/>
      <c r="I1240" s="591">
        <f ca="1">IFERROR(__xludf.DUMMYFUNCTION("""COMPUTED_VALUE"""),8.441552)</f>
        <v>8.4415519999999997</v>
      </c>
      <c r="J1240" s="592" t="str">
        <f ca="1">IFERROR(__xludf.DUMMYFUNCTION("""COMPUTED_VALUE""")," 53.98 ")</f>
        <v xml:space="preserve"> 53.98 </v>
      </c>
      <c r="K1240" s="590" t="str">
        <f ca="1">IFERROR(__xludf.DUMMYFUNCTION("""COMPUTED_VALUE"""),"2.00")</f>
        <v>2.00</v>
      </c>
      <c r="L1240" s="590">
        <f ca="1">IFERROR(__xludf.DUMMYFUNCTION("""COMPUTED_VALUE"""),2.9)</f>
        <v>2.9</v>
      </c>
      <c r="M1240" s="590"/>
      <c r="N1240" s="590" t="str">
        <f ca="1">IFERROR(__xludf.DUMMYFUNCTION("""COMPUTED_VALUE"""),"Dị_D54")</f>
        <v>Dị_D54</v>
      </c>
      <c r="O1240" s="589"/>
      <c r="P1240" s="590"/>
    </row>
    <row r="1241" spans="1:16" ht="15.75">
      <c r="A1241" s="581" t="str">
        <f ca="1">IFERROR(__xludf.DUMMYFUNCTION("""COMPUTED_VALUE"""),"Hailiang")</f>
        <v>Hailiang</v>
      </c>
      <c r="B1241" s="581" t="str">
        <f ca="1">IFERROR(__xludf.DUMMYFUNCTION("""COMPUTED_VALUE"""),"ĐHLCAYDI")</f>
        <v>ĐHLCAYDI</v>
      </c>
      <c r="C1241" s="581" t="str">
        <f ca="1">IFERROR(__xludf.DUMMYFUNCTION("""COMPUTED_VALUE"""),"DOTHL539825029")</f>
        <v>DOTHL539825029</v>
      </c>
      <c r="D1241" s="582" t="str">
        <f ca="1">IFERROR(__xludf.DUMMYFUNCTION("""COMPUTED_VALUE"""),"Đồng ống Hailiang dạng cây 53.98mmx2.50mmx2.9")</f>
        <v>Đồng ống Hailiang dạng cây 53.98mmx2.50mmx2.9</v>
      </c>
      <c r="E1241" s="583">
        <f ca="1">IFERROR(__xludf.DUMMYFUNCTION("""COMPUTED_VALUE"""),0.1)</f>
        <v>0.1</v>
      </c>
      <c r="F1241" s="584" t="str">
        <f ca="1">IFERROR(__xludf.DUMMYFUNCTION("""COMPUTED_VALUE"""),"Cây")</f>
        <v>Cây</v>
      </c>
      <c r="G1241" s="584" t="str">
        <f ca="1">IFERROR(__xludf.DUMMYFUNCTION("""COMPUTED_VALUE"""),"Cây 2.9m")</f>
        <v>Cây 2.9m</v>
      </c>
      <c r="H1241" s="582"/>
      <c r="I1241" s="585">
        <f ca="1">IFERROR(__xludf.DUMMYFUNCTION("""COMPUTED_VALUE"""),7.6266288)</f>
        <v>7.6266287999999998</v>
      </c>
      <c r="J1241" s="586" t="str">
        <f ca="1">IFERROR(__xludf.DUMMYFUNCTION("""COMPUTED_VALUE""")," 53.98 ")</f>
        <v xml:space="preserve"> 53.98 </v>
      </c>
      <c r="K1241" s="584" t="str">
        <f ca="1">IFERROR(__xludf.DUMMYFUNCTION("""COMPUTED_VALUE"""),"1.80")</f>
        <v>1.80</v>
      </c>
      <c r="L1241" s="584">
        <f ca="1">IFERROR(__xludf.DUMMYFUNCTION("""COMPUTED_VALUE"""),2.9)</f>
        <v>2.9</v>
      </c>
      <c r="M1241" s="584"/>
      <c r="N1241" s="584" t="str">
        <f ca="1">IFERROR(__xludf.DUMMYFUNCTION("""COMPUTED_VALUE"""),"Dị_D54")</f>
        <v>Dị_D54</v>
      </c>
      <c r="O1241" s="583"/>
      <c r="P1241" s="584"/>
    </row>
    <row r="1242" spans="1:16" ht="15.75">
      <c r="A1242" s="587" t="str">
        <f ca="1">IFERROR(__xludf.DUMMYFUNCTION("""COMPUTED_VALUE"""),"Hailiang")</f>
        <v>Hailiang</v>
      </c>
      <c r="B1242" s="587" t="str">
        <f ca="1">IFERROR(__xludf.DUMMYFUNCTION("""COMPUTED_VALUE"""),"ĐHLCAYDI")</f>
        <v>ĐHLCAYDI</v>
      </c>
      <c r="C1242" s="587" t="str">
        <f ca="1">IFERROR(__xludf.DUMMYFUNCTION("""COMPUTED_VALUE"""),"DOTHL666712229")</f>
        <v>DOTHL666712229</v>
      </c>
      <c r="D1242" s="588" t="str">
        <f ca="1">IFERROR(__xludf.DUMMYFUNCTION("""COMPUTED_VALUE"""),"Đồng ống Hailiang dạng cây 66.67mmx1.22mmx2.9")</f>
        <v>Đồng ống Hailiang dạng cây 66.67mmx1.22mmx2.9</v>
      </c>
      <c r="E1242" s="589">
        <f ca="1">IFERROR(__xludf.DUMMYFUNCTION("""COMPUTED_VALUE"""),0.1)</f>
        <v>0.1</v>
      </c>
      <c r="F1242" s="590" t="str">
        <f ca="1">IFERROR(__xludf.DUMMYFUNCTION("""COMPUTED_VALUE"""),"Cây")</f>
        <v>Cây</v>
      </c>
      <c r="G1242" s="590" t="str">
        <f ca="1">IFERROR(__xludf.DUMMYFUNCTION("""COMPUTED_VALUE"""),"Cây 2.9m")</f>
        <v>Cây 2.9m</v>
      </c>
      <c r="H1242" s="588"/>
      <c r="I1242" s="591">
        <f ca="1">IFERROR(__xludf.DUMMYFUNCTION("""COMPUTED_VALUE"""),6.4837388)</f>
        <v>6.4837388000000002</v>
      </c>
      <c r="J1242" s="592" t="str">
        <f ca="1">IFERROR(__xludf.DUMMYFUNCTION("""COMPUTED_VALUE""")," 66.67 ")</f>
        <v xml:space="preserve"> 66.67 </v>
      </c>
      <c r="K1242" s="590" t="str">
        <f ca="1">IFERROR(__xludf.DUMMYFUNCTION("""COMPUTED_VALUE"""),"1.22")</f>
        <v>1.22</v>
      </c>
      <c r="L1242" s="590">
        <f ca="1">IFERROR(__xludf.DUMMYFUNCTION("""COMPUTED_VALUE"""),2.9)</f>
        <v>2.9</v>
      </c>
      <c r="M1242" s="590"/>
      <c r="N1242" s="590" t="str">
        <f ca="1">IFERROR(__xludf.DUMMYFUNCTION("""COMPUTED_VALUE"""),"Dị_D&gt;54")</f>
        <v>Dị_D&gt;54</v>
      </c>
      <c r="O1242" s="589">
        <f ca="1">IFERROR(__xludf.DUMMYFUNCTION("""COMPUTED_VALUE"""),1)</f>
        <v>1</v>
      </c>
      <c r="P1242" s="590"/>
    </row>
    <row r="1243" spans="1:16" ht="15.75">
      <c r="A1243" s="581" t="str">
        <f ca="1">IFERROR(__xludf.DUMMYFUNCTION("""COMPUTED_VALUE"""),"Hailiang")</f>
        <v>Hailiang</v>
      </c>
      <c r="B1243" s="581" t="str">
        <f ca="1">IFERROR(__xludf.DUMMYFUNCTION("""COMPUTED_VALUE"""),"ĐHLCAYIB")</f>
        <v>ĐHLCAYIB</v>
      </c>
      <c r="C1243" s="581" t="str">
        <f ca="1">IFERROR(__xludf.DUMMYFUNCTION("""COMPUTED_VALUE"""),"DOTHL666714029")</f>
        <v>DOTHL666714029</v>
      </c>
      <c r="D1243" s="582" t="str">
        <f ca="1">IFERROR(__xludf.DUMMYFUNCTION("""COMPUTED_VALUE"""),"Đồng ống Hailiang dạng cây 66.67mmx1.40mmx2.9m")</f>
        <v>Đồng ống Hailiang dạng cây 66.67mmx1.40mmx2.9m</v>
      </c>
      <c r="E1243" s="583">
        <f ca="1">IFERROR(__xludf.DUMMYFUNCTION("""COMPUTED_VALUE"""),0.1)</f>
        <v>0.1</v>
      </c>
      <c r="F1243" s="584" t="str">
        <f ca="1">IFERROR(__xludf.DUMMYFUNCTION("""COMPUTED_VALUE"""),"Cây")</f>
        <v>Cây</v>
      </c>
      <c r="G1243" s="584" t="str">
        <f ca="1">IFERROR(__xludf.DUMMYFUNCTION("""COMPUTED_VALUE"""),"Cây 2.9m")</f>
        <v>Cây 2.9m</v>
      </c>
      <c r="H1243" s="582"/>
      <c r="I1243" s="585">
        <f ca="1">IFERROR(__xludf.DUMMYFUNCTION("""COMPUTED_VALUE"""),7.41989359999999)</f>
        <v>7.4198935999999902</v>
      </c>
      <c r="J1243" s="586" t="str">
        <f ca="1">IFERROR(__xludf.DUMMYFUNCTION("""COMPUTED_VALUE""")," 66.67 ")</f>
        <v xml:space="preserve"> 66.67 </v>
      </c>
      <c r="K1243" s="584" t="str">
        <f ca="1">IFERROR(__xludf.DUMMYFUNCTION("""COMPUTED_VALUE"""),"1.40")</f>
        <v>1.40</v>
      </c>
      <c r="L1243" s="584">
        <f ca="1">IFERROR(__xludf.DUMMYFUNCTION("""COMPUTED_VALUE"""),2.9)</f>
        <v>2.9</v>
      </c>
      <c r="M1243" s="584"/>
      <c r="N1243" s="584" t="str">
        <f ca="1">IFERROR(__xludf.DUMMYFUNCTION("""COMPUTED_VALUE"""),"Dị_D&gt;54")</f>
        <v>Dị_D&gt;54</v>
      </c>
      <c r="O1243" s="583">
        <f ca="1">IFERROR(__xludf.DUMMYFUNCTION("""COMPUTED_VALUE"""),1)</f>
        <v>1</v>
      </c>
      <c r="P1243" s="584"/>
    </row>
    <row r="1244" spans="1:16" ht="15.75">
      <c r="A1244" s="587" t="str">
        <f ca="1">IFERROR(__xludf.DUMMYFUNCTION("""COMPUTED_VALUE"""),"Hailiang")</f>
        <v>Hailiang</v>
      </c>
      <c r="B1244" s="587" t="str">
        <f ca="1">IFERROR(__xludf.DUMMYFUNCTION("""COMPUTED_VALUE"""),"ĐHLCAYDI")</f>
        <v>ĐHLCAYDI</v>
      </c>
      <c r="C1244" s="587" t="str">
        <f ca="1">IFERROR(__xludf.DUMMYFUNCTION("""COMPUTED_VALUE"""),"DOTHL666716029")</f>
        <v>DOTHL666716029</v>
      </c>
      <c r="D1244" s="588" t="str">
        <f ca="1">IFERROR(__xludf.DUMMYFUNCTION("""COMPUTED_VALUE"""),"Đồng ống Hailiang dạng cây 66.67mmx1.60mmx2.9m")</f>
        <v>Đồng ống Hailiang dạng cây 66.67mmx1.60mmx2.9m</v>
      </c>
      <c r="E1244" s="589">
        <f ca="1">IFERROR(__xludf.DUMMYFUNCTION("""COMPUTED_VALUE"""),0.1)</f>
        <v>0.1</v>
      </c>
      <c r="F1244" s="590" t="str">
        <f ca="1">IFERROR(__xludf.DUMMYFUNCTION("""COMPUTED_VALUE"""),"Cây")</f>
        <v>Cây</v>
      </c>
      <c r="G1244" s="590" t="str">
        <f ca="1">IFERROR(__xludf.DUMMYFUNCTION("""COMPUTED_VALUE"""),"Cây 2.9m")</f>
        <v>Cây 2.9m</v>
      </c>
      <c r="H1244" s="588"/>
      <c r="I1244" s="591">
        <f ca="1">IFERROR(__xludf.DUMMYFUNCTION("""COMPUTED_VALUE"""),8.4538944)</f>
        <v>8.4538943999999994</v>
      </c>
      <c r="J1244" s="592" t="str">
        <f ca="1">IFERROR(__xludf.DUMMYFUNCTION("""COMPUTED_VALUE""")," 66.67 ")</f>
        <v xml:space="preserve"> 66.67 </v>
      </c>
      <c r="K1244" s="590" t="str">
        <f ca="1">IFERROR(__xludf.DUMMYFUNCTION("""COMPUTED_VALUE"""),"1.60")</f>
        <v>1.60</v>
      </c>
      <c r="L1244" s="590">
        <f ca="1">IFERROR(__xludf.DUMMYFUNCTION("""COMPUTED_VALUE"""),2.9)</f>
        <v>2.9</v>
      </c>
      <c r="M1244" s="590"/>
      <c r="N1244" s="590" t="str">
        <f ca="1">IFERROR(__xludf.DUMMYFUNCTION("""COMPUTED_VALUE"""),"Dị_D&gt;54")</f>
        <v>Dị_D&gt;54</v>
      </c>
      <c r="O1244" s="589">
        <f ca="1">IFERROR(__xludf.DUMMYFUNCTION("""COMPUTED_VALUE"""),1)</f>
        <v>1</v>
      </c>
      <c r="P1244" s="590"/>
    </row>
    <row r="1245" spans="1:16" ht="15.75">
      <c r="A1245" s="581" t="str">
        <f ca="1">IFERROR(__xludf.DUMMYFUNCTION("""COMPUTED_VALUE"""),"Hailiang")</f>
        <v>Hailiang</v>
      </c>
      <c r="B1245" s="581" t="str">
        <f ca="1">IFERROR(__xludf.DUMMYFUNCTION("""COMPUTED_VALUE"""),"ĐHLCAYDI")</f>
        <v>ĐHLCAYDI</v>
      </c>
      <c r="C1245" s="581" t="str">
        <f ca="1">IFERROR(__xludf.DUMMYFUNCTION("""COMPUTED_VALUE"""),"DOTHL666717029")</f>
        <v>DOTHL666717029</v>
      </c>
      <c r="D1245" s="582" t="str">
        <f ca="1">IFERROR(__xludf.DUMMYFUNCTION("""COMPUTED_VALUE"""),"Đồng ống Hailiang dạng cây 66.67mmx1.70mmx2.9")</f>
        <v>Đồng ống Hailiang dạng cây 66.67mmx1.70mmx2.9</v>
      </c>
      <c r="E1245" s="583">
        <f ca="1">IFERROR(__xludf.DUMMYFUNCTION("""COMPUTED_VALUE"""),0.1)</f>
        <v>0.1</v>
      </c>
      <c r="F1245" s="584" t="str">
        <f ca="1">IFERROR(__xludf.DUMMYFUNCTION("""COMPUTED_VALUE"""),"Cây")</f>
        <v>Cây</v>
      </c>
      <c r="G1245" s="584" t="str">
        <f ca="1">IFERROR(__xludf.DUMMYFUNCTION("""COMPUTED_VALUE"""),"Cây 2.9m")</f>
        <v>Cây 2.9m</v>
      </c>
      <c r="H1245" s="582"/>
      <c r="I1245" s="585">
        <f ca="1">IFERROR(__xludf.DUMMYFUNCTION("""COMPUTED_VALUE"""),8.9684588)</f>
        <v>8.9684588000000005</v>
      </c>
      <c r="J1245" s="586" t="str">
        <f ca="1">IFERROR(__xludf.DUMMYFUNCTION("""COMPUTED_VALUE""")," 66.67 ")</f>
        <v xml:space="preserve"> 66.67 </v>
      </c>
      <c r="K1245" s="584" t="str">
        <f ca="1">IFERROR(__xludf.DUMMYFUNCTION("""COMPUTED_VALUE"""),"1.70")</f>
        <v>1.70</v>
      </c>
      <c r="L1245" s="584">
        <f ca="1">IFERROR(__xludf.DUMMYFUNCTION("""COMPUTED_VALUE"""),2.9)</f>
        <v>2.9</v>
      </c>
      <c r="M1245" s="584"/>
      <c r="N1245" s="584" t="str">
        <f ca="1">IFERROR(__xludf.DUMMYFUNCTION("""COMPUTED_VALUE"""),"Dị_D&gt;54")</f>
        <v>Dị_D&gt;54</v>
      </c>
      <c r="O1245" s="583">
        <f ca="1">IFERROR(__xludf.DUMMYFUNCTION("""COMPUTED_VALUE"""),1)</f>
        <v>1</v>
      </c>
      <c r="P1245" s="584"/>
    </row>
    <row r="1246" spans="1:16" ht="15.75">
      <c r="A1246" s="587" t="str">
        <f ca="1">IFERROR(__xludf.DUMMYFUNCTION("""COMPUTED_VALUE"""),"Hailiang")</f>
        <v>Hailiang</v>
      </c>
      <c r="B1246" s="587" t="str">
        <f ca="1">IFERROR(__xludf.DUMMYFUNCTION("""COMPUTED_VALUE"""),"ĐHLCAYDI")</f>
        <v>ĐHLCAYDI</v>
      </c>
      <c r="C1246" s="587" t="str">
        <f ca="1">IFERROR(__xludf.DUMMYFUNCTION("""COMPUTED_VALUE"""),"DOTHL666718029")</f>
        <v>DOTHL666718029</v>
      </c>
      <c r="D1246" s="588" t="str">
        <f ca="1">IFERROR(__xludf.DUMMYFUNCTION("""COMPUTED_VALUE"""),"Đồng ống Hailiang dạng cây 66.67mmx1.80mmx2.9")</f>
        <v>Đồng ống Hailiang dạng cây 66.67mmx1.80mmx2.9</v>
      </c>
      <c r="E1246" s="589">
        <f ca="1">IFERROR(__xludf.DUMMYFUNCTION("""COMPUTED_VALUE"""),0.1)</f>
        <v>0.1</v>
      </c>
      <c r="F1246" s="590" t="str">
        <f ca="1">IFERROR(__xludf.DUMMYFUNCTION("""COMPUTED_VALUE"""),"Cây")</f>
        <v>Cây</v>
      </c>
      <c r="G1246" s="590" t="str">
        <f ca="1">IFERROR(__xludf.DUMMYFUNCTION("""COMPUTED_VALUE"""),"Cây 2.9m")</f>
        <v>Cây 2.9m</v>
      </c>
      <c r="H1246" s="588"/>
      <c r="I1246" s="591">
        <f ca="1">IFERROR(__xludf.DUMMYFUNCTION("""COMPUTED_VALUE"""),9.4813992)</f>
        <v>9.4813992000000002</v>
      </c>
      <c r="J1246" s="592" t="str">
        <f ca="1">IFERROR(__xludf.DUMMYFUNCTION("""COMPUTED_VALUE""")," 66.67 ")</f>
        <v xml:space="preserve"> 66.67 </v>
      </c>
      <c r="K1246" s="590" t="str">
        <f ca="1">IFERROR(__xludf.DUMMYFUNCTION("""COMPUTED_VALUE"""),"1.80")</f>
        <v>1.80</v>
      </c>
      <c r="L1246" s="590">
        <f ca="1">IFERROR(__xludf.DUMMYFUNCTION("""COMPUTED_VALUE"""),2.9)</f>
        <v>2.9</v>
      </c>
      <c r="M1246" s="590"/>
      <c r="N1246" s="590" t="str">
        <f ca="1">IFERROR(__xludf.DUMMYFUNCTION("""COMPUTED_VALUE"""),"Dị_D&gt;54")</f>
        <v>Dị_D&gt;54</v>
      </c>
      <c r="O1246" s="589">
        <f ca="1">IFERROR(__xludf.DUMMYFUNCTION("""COMPUTED_VALUE"""),1)</f>
        <v>1</v>
      </c>
      <c r="P1246" s="590"/>
    </row>
    <row r="1247" spans="1:16" ht="15.75">
      <c r="A1247" s="581" t="str">
        <f ca="1">IFERROR(__xludf.DUMMYFUNCTION("""COMPUTED_VALUE"""),"Hailiang")</f>
        <v>Hailiang</v>
      </c>
      <c r="B1247" s="581" t="str">
        <f ca="1">IFERROR(__xludf.DUMMYFUNCTION("""COMPUTED_VALUE"""),"ĐHLCAYDI")</f>
        <v>ĐHLCAYDI</v>
      </c>
      <c r="C1247" s="581" t="str">
        <f ca="1">IFERROR(__xludf.DUMMYFUNCTION("""COMPUTED_VALUE"""),"DOTHL66672029")</f>
        <v>DOTHL66672029</v>
      </c>
      <c r="D1247" s="582" t="str">
        <f ca="1">IFERROR(__xludf.DUMMYFUNCTION("""COMPUTED_VALUE"""),"Đồng ống Hailiang dạng cây 66.67mmx2.00mmx2.9")</f>
        <v>Đồng ống Hailiang dạng cây 66.67mmx2.00mmx2.9</v>
      </c>
      <c r="E1247" s="583">
        <f ca="1">IFERROR(__xludf.DUMMYFUNCTION("""COMPUTED_VALUE"""),0.1)</f>
        <v>0.1</v>
      </c>
      <c r="F1247" s="584" t="str">
        <f ca="1">IFERROR(__xludf.DUMMYFUNCTION("""COMPUTED_VALUE"""),"Cây")</f>
        <v>Cây</v>
      </c>
      <c r="G1247" s="584" t="str">
        <f ca="1">IFERROR(__xludf.DUMMYFUNCTION("""COMPUTED_VALUE"""),"Cây 2.9m")</f>
        <v>Cây 2.9m</v>
      </c>
      <c r="H1247" s="582"/>
      <c r="I1247" s="585">
        <f ca="1">IFERROR(__xludf.DUMMYFUNCTION("""COMPUTED_VALUE"""),10.502408)</f>
        <v>10.502408000000001</v>
      </c>
      <c r="J1247" s="586" t="str">
        <f ca="1">IFERROR(__xludf.DUMMYFUNCTION("""COMPUTED_VALUE""")," 66.67 ")</f>
        <v xml:space="preserve"> 66.67 </v>
      </c>
      <c r="K1247" s="584" t="str">
        <f ca="1">IFERROR(__xludf.DUMMYFUNCTION("""COMPUTED_VALUE"""),"2.00")</f>
        <v>2.00</v>
      </c>
      <c r="L1247" s="584">
        <f ca="1">IFERROR(__xludf.DUMMYFUNCTION("""COMPUTED_VALUE"""),2.9)</f>
        <v>2.9</v>
      </c>
      <c r="M1247" s="584"/>
      <c r="N1247" s="584" t="str">
        <f ca="1">IFERROR(__xludf.DUMMYFUNCTION("""COMPUTED_VALUE"""),"Dị_D&gt;54")</f>
        <v>Dị_D&gt;54</v>
      </c>
      <c r="O1247" s="583">
        <f ca="1">IFERROR(__xludf.DUMMYFUNCTION("""COMPUTED_VALUE"""),1)</f>
        <v>1</v>
      </c>
      <c r="P1247" s="584"/>
    </row>
    <row r="1248" spans="1:16" ht="15.75">
      <c r="A1248" s="587" t="str">
        <f ca="1">IFERROR(__xludf.DUMMYFUNCTION("""COMPUTED_VALUE"""),"Hailiang")</f>
        <v>Hailiang</v>
      </c>
      <c r="B1248" s="587" t="str">
        <f ca="1">IFERROR(__xludf.DUMMYFUNCTION("""COMPUTED_VALUE"""),"ĐHLCAYDI")</f>
        <v>ĐHLCAYDI</v>
      </c>
      <c r="C1248" s="587" t="str">
        <f ca="1">IFERROR(__xludf.DUMMYFUNCTION("""COMPUTED_VALUE"""),"DOTHL666720329")</f>
        <v>DOTHL666720329</v>
      </c>
      <c r="D1248" s="588" t="str">
        <f ca="1">IFERROR(__xludf.DUMMYFUNCTION("""COMPUTED_VALUE"""),"Đồng ống Hailiang dạng cây 66.67mmx2.03mmx2.9")</f>
        <v>Đồng ống Hailiang dạng cây 66.67mmx2.03mmx2.9</v>
      </c>
      <c r="E1248" s="589">
        <f ca="1">IFERROR(__xludf.DUMMYFUNCTION("""COMPUTED_VALUE"""),0.1)</f>
        <v>0.1</v>
      </c>
      <c r="F1248" s="590" t="str">
        <f ca="1">IFERROR(__xludf.DUMMYFUNCTION("""COMPUTED_VALUE"""),"Cây")</f>
        <v>Cây</v>
      </c>
      <c r="G1248" s="590" t="str">
        <f ca="1">IFERROR(__xludf.DUMMYFUNCTION("""COMPUTED_VALUE"""),"Cây 2.9m")</f>
        <v>Cây 2.9m</v>
      </c>
      <c r="H1248" s="588"/>
      <c r="I1248" s="591">
        <f ca="1">IFERROR(__xludf.DUMMYFUNCTION("""COMPUTED_VALUE"""),10.65499904)</f>
        <v>10.65499904</v>
      </c>
      <c r="J1248" s="592" t="str">
        <f ca="1">IFERROR(__xludf.DUMMYFUNCTION("""COMPUTED_VALUE""")," 66.67 ")</f>
        <v xml:space="preserve"> 66.67 </v>
      </c>
      <c r="K1248" s="590" t="str">
        <f ca="1">IFERROR(__xludf.DUMMYFUNCTION("""COMPUTED_VALUE"""),"2.03")</f>
        <v>2.03</v>
      </c>
      <c r="L1248" s="590">
        <f ca="1">IFERROR(__xludf.DUMMYFUNCTION("""COMPUTED_VALUE"""),2.9)</f>
        <v>2.9</v>
      </c>
      <c r="M1248" s="590"/>
      <c r="N1248" s="590" t="str">
        <f ca="1">IFERROR(__xludf.DUMMYFUNCTION("""COMPUTED_VALUE"""),"Dị_D&gt;54")</f>
        <v>Dị_D&gt;54</v>
      </c>
      <c r="O1248" s="589">
        <f ca="1">IFERROR(__xludf.DUMMYFUNCTION("""COMPUTED_VALUE"""),1)</f>
        <v>1</v>
      </c>
      <c r="P1248" s="590"/>
    </row>
    <row r="1249" spans="1:17" ht="15.75">
      <c r="A1249" s="581" t="str">
        <f ca="1">IFERROR(__xludf.DUMMYFUNCTION("""COMPUTED_VALUE"""),"Hailiang")</f>
        <v>Hailiang</v>
      </c>
      <c r="B1249" s="581" t="str">
        <f ca="1">IFERROR(__xludf.DUMMYFUNCTION("""COMPUTED_VALUE"""),"ĐHLCAYDI")</f>
        <v>ĐHLCAYDI</v>
      </c>
      <c r="C1249" s="581" t="str">
        <f ca="1">IFERROR(__xludf.DUMMYFUNCTION("""COMPUTED_VALUE"""),"DOTHL760017829")</f>
        <v>DOTHL760017829</v>
      </c>
      <c r="D1249" s="582" t="str">
        <f ca="1">IFERROR(__xludf.DUMMYFUNCTION("""COMPUTED_VALUE"""),"Đồng ống Hailiang dạng cây 76.00mmx1.78mx2.9m")</f>
        <v>Đồng ống Hailiang dạng cây 76.00mmx1.78mx2.9m</v>
      </c>
      <c r="E1249" s="583">
        <f ca="1">IFERROR(__xludf.DUMMYFUNCTION("""COMPUTED_VALUE"""),0.1)</f>
        <v>0.1</v>
      </c>
      <c r="F1249" s="584" t="str">
        <f ca="1">IFERROR(__xludf.DUMMYFUNCTION("""COMPUTED_VALUE"""),"Cây")</f>
        <v>Cây</v>
      </c>
      <c r="G1249" s="584" t="str">
        <f ca="1">IFERROR(__xludf.DUMMYFUNCTION("""COMPUTED_VALUE"""),"Cây 2.9m")</f>
        <v>Cây 2.9m</v>
      </c>
      <c r="H1249" s="582"/>
      <c r="I1249" s="585">
        <f ca="1">IFERROR(__xludf.DUMMYFUNCTION("""COMPUTED_VALUE"""),10.72746192)</f>
        <v>10.72746192</v>
      </c>
      <c r="J1249" s="586" t="str">
        <f ca="1">IFERROR(__xludf.DUMMYFUNCTION("""COMPUTED_VALUE""")," 76.00 ")</f>
        <v xml:space="preserve"> 76.00 </v>
      </c>
      <c r="K1249" s="584" t="str">
        <f ca="1">IFERROR(__xludf.DUMMYFUNCTION("""COMPUTED_VALUE"""),"1.78")</f>
        <v>1.78</v>
      </c>
      <c r="L1249" s="584">
        <f ca="1">IFERROR(__xludf.DUMMYFUNCTION("""COMPUTED_VALUE"""),2.9)</f>
        <v>2.9</v>
      </c>
      <c r="M1249" s="584"/>
      <c r="N1249" s="584" t="str">
        <f ca="1">IFERROR(__xludf.DUMMYFUNCTION("""COMPUTED_VALUE"""),"Dị_D&gt;54")</f>
        <v>Dị_D&gt;54</v>
      </c>
      <c r="O1249" s="583">
        <f ca="1">IFERROR(__xludf.DUMMYFUNCTION("""COMPUTED_VALUE"""),1)</f>
        <v>1</v>
      </c>
      <c r="P1249" s="584"/>
    </row>
    <row r="1250" spans="1:17" ht="15.75">
      <c r="A1250" s="587" t="str">
        <f ca="1">IFERROR(__xludf.DUMMYFUNCTION("""COMPUTED_VALUE"""),"Hailiang")</f>
        <v>Hailiang</v>
      </c>
      <c r="B1250" s="587" t="str">
        <f ca="1">IFERROR(__xludf.DUMMYFUNCTION("""COMPUTED_VALUE"""),"ĐHLCAYDI")</f>
        <v>ĐHLCAYDI</v>
      </c>
      <c r="C1250" s="587" t="str">
        <f ca="1">IFERROR(__xludf.DUMMYFUNCTION("""COMPUTED_VALUE"""),"DOTHL760015029")</f>
        <v>DOTHL760015029</v>
      </c>
      <c r="D1250" s="588" t="str">
        <f ca="1">IFERROR(__xludf.DUMMYFUNCTION("""COMPUTED_VALUE"""),"Đồng ống Hailiang dạng cây 76.00mmx1.50mmx2.9")</f>
        <v>Đồng ống Hailiang dạng cây 76.00mmx1.50mmx2.9</v>
      </c>
      <c r="E1250" s="589">
        <f ca="1">IFERROR(__xludf.DUMMYFUNCTION("""COMPUTED_VALUE"""),0.1)</f>
        <v>0.1</v>
      </c>
      <c r="F1250" s="590" t="str">
        <f ca="1">IFERROR(__xludf.DUMMYFUNCTION("""COMPUTED_VALUE"""),"Cây")</f>
        <v>Cây</v>
      </c>
      <c r="G1250" s="590" t="str">
        <f ca="1">IFERROR(__xludf.DUMMYFUNCTION("""COMPUTED_VALUE"""),"Cây 2.9m")</f>
        <v>Cây 2.9m</v>
      </c>
      <c r="H1250" s="588"/>
      <c r="I1250" s="591">
        <f ca="1">IFERROR(__xludf.DUMMYFUNCTION("""COMPUTED_VALUE"""),9.0741)</f>
        <v>9.0740999999999996</v>
      </c>
      <c r="J1250" s="592" t="str">
        <f ca="1">IFERROR(__xludf.DUMMYFUNCTION("""COMPUTED_VALUE""")," 76.00 ")</f>
        <v xml:space="preserve"> 76.00 </v>
      </c>
      <c r="K1250" s="590" t="str">
        <f ca="1">IFERROR(__xludf.DUMMYFUNCTION("""COMPUTED_VALUE"""),"1.50")</f>
        <v>1.50</v>
      </c>
      <c r="L1250" s="590">
        <f ca="1">IFERROR(__xludf.DUMMYFUNCTION("""COMPUTED_VALUE"""),2.9)</f>
        <v>2.9</v>
      </c>
      <c r="M1250" s="590"/>
      <c r="N1250" s="590" t="str">
        <f ca="1">IFERROR(__xludf.DUMMYFUNCTION("""COMPUTED_VALUE"""),"Dị_D&gt;54")</f>
        <v>Dị_D&gt;54</v>
      </c>
      <c r="O1250" s="589">
        <f ca="1">IFERROR(__xludf.DUMMYFUNCTION("""COMPUTED_VALUE"""),1)</f>
        <v>1</v>
      </c>
      <c r="P1250" s="590"/>
    </row>
    <row r="1251" spans="1:17" ht="15.75">
      <c r="A1251" s="581" t="str">
        <f ca="1">IFERROR(__xludf.DUMMYFUNCTION("""COMPUTED_VALUE"""),"Hailiang")</f>
        <v>Hailiang</v>
      </c>
      <c r="B1251" s="581" t="str">
        <f ca="1">IFERROR(__xludf.DUMMYFUNCTION("""COMPUTED_VALUE"""),"ĐHLCAYDI")</f>
        <v>ĐHLCAYDI</v>
      </c>
      <c r="C1251" s="581" t="str">
        <f ca="1">IFERROR(__xludf.DUMMYFUNCTION("""COMPUTED_VALUE"""),"DOTHL760018029")</f>
        <v>DOTHL760018029</v>
      </c>
      <c r="D1251" s="582" t="str">
        <f ca="1">IFERROR(__xludf.DUMMYFUNCTION("""COMPUTED_VALUE"""),"Đồng ống Hailiang dạng cây 76.00mmx1.80mx2.9m")</f>
        <v>Đồng ống Hailiang dạng cây 76.00mmx1.80mx2.9m</v>
      </c>
      <c r="E1251" s="583">
        <f ca="1">IFERROR(__xludf.DUMMYFUNCTION("""COMPUTED_VALUE"""),0.1)</f>
        <v>0.1</v>
      </c>
      <c r="F1251" s="584" t="str">
        <f ca="1">IFERROR(__xludf.DUMMYFUNCTION("""COMPUTED_VALUE"""),"Cây")</f>
        <v>Cây</v>
      </c>
      <c r="G1251" s="584" t="str">
        <f ca="1">IFERROR(__xludf.DUMMYFUNCTION("""COMPUTED_VALUE"""),"Cây 2.9m")</f>
        <v>Cây 2.9m</v>
      </c>
      <c r="H1251" s="582"/>
      <c r="I1251" s="585">
        <f ca="1">IFERROR(__xludf.DUMMYFUNCTION("""COMPUTED_VALUE"""),10.845072)</f>
        <v>10.845072</v>
      </c>
      <c r="J1251" s="586" t="str">
        <f ca="1">IFERROR(__xludf.DUMMYFUNCTION("""COMPUTED_VALUE""")," 76.00 ")</f>
        <v xml:space="preserve"> 76.00 </v>
      </c>
      <c r="K1251" s="584" t="str">
        <f ca="1">IFERROR(__xludf.DUMMYFUNCTION("""COMPUTED_VALUE"""),"1.80")</f>
        <v>1.80</v>
      </c>
      <c r="L1251" s="584">
        <f ca="1">IFERROR(__xludf.DUMMYFUNCTION("""COMPUTED_VALUE"""),2.9)</f>
        <v>2.9</v>
      </c>
      <c r="M1251" s="584"/>
      <c r="N1251" s="584" t="str">
        <f ca="1">IFERROR(__xludf.DUMMYFUNCTION("""COMPUTED_VALUE"""),"Dị_D&gt;54")</f>
        <v>Dị_D&gt;54</v>
      </c>
      <c r="O1251" s="583">
        <f ca="1">IFERROR(__xludf.DUMMYFUNCTION("""COMPUTED_VALUE"""),1)</f>
        <v>1</v>
      </c>
      <c r="P1251" s="584"/>
    </row>
    <row r="1252" spans="1:17" ht="15.75">
      <c r="A1252" s="587" t="str">
        <f ca="1">IFERROR(__xludf.DUMMYFUNCTION("""COMPUTED_VALUE"""),"Hailiang")</f>
        <v>Hailiang</v>
      </c>
      <c r="B1252" s="587" t="str">
        <f ca="1">IFERROR(__xludf.DUMMYFUNCTION("""COMPUTED_VALUE"""),"ĐHLCAYDI")</f>
        <v>ĐHLCAYDI</v>
      </c>
      <c r="C1252" s="587" t="str">
        <f ca="1">IFERROR(__xludf.DUMMYFUNCTION("""COMPUTED_VALUE"""),"DOTHL762014029")</f>
        <v>DOTHL762014029</v>
      </c>
      <c r="D1252" s="588" t="str">
        <f ca="1">IFERROR(__xludf.DUMMYFUNCTION("""COMPUTED_VALUE"""),"Đồng ống Hailiang dạng cây 76.20mmx1.40mmx2.9m")</f>
        <v>Đồng ống Hailiang dạng cây 76.20mmx1.40mmx2.9m</v>
      </c>
      <c r="E1252" s="589">
        <f ca="1">IFERROR(__xludf.DUMMYFUNCTION("""COMPUTED_VALUE"""),0.1)</f>
        <v>0.1</v>
      </c>
      <c r="F1252" s="590" t="str">
        <f ca="1">IFERROR(__xludf.DUMMYFUNCTION("""COMPUTED_VALUE"""),"Cây")</f>
        <v>Cây</v>
      </c>
      <c r="G1252" s="590" t="str">
        <f ca="1">IFERROR(__xludf.DUMMYFUNCTION("""COMPUTED_VALUE"""),"Cây 2.9m")</f>
        <v>Cây 2.9m</v>
      </c>
      <c r="H1252" s="588"/>
      <c r="I1252" s="591">
        <f ca="1">IFERROR(__xludf.DUMMYFUNCTION("""COMPUTED_VALUE"""),8.50326399999999)</f>
        <v>8.5032639999999908</v>
      </c>
      <c r="J1252" s="592" t="str">
        <f ca="1">IFERROR(__xludf.DUMMYFUNCTION("""COMPUTED_VALUE""")," 76.20 ")</f>
        <v xml:space="preserve"> 76.20 </v>
      </c>
      <c r="K1252" s="590" t="str">
        <f ca="1">IFERROR(__xludf.DUMMYFUNCTION("""COMPUTED_VALUE"""),"1.40")</f>
        <v>1.40</v>
      </c>
      <c r="L1252" s="590">
        <f ca="1">IFERROR(__xludf.DUMMYFUNCTION("""COMPUTED_VALUE"""),2.9)</f>
        <v>2.9</v>
      </c>
      <c r="M1252" s="590"/>
      <c r="N1252" s="590" t="str">
        <f ca="1">IFERROR(__xludf.DUMMYFUNCTION("""COMPUTED_VALUE"""),"Dị_D&gt;54")</f>
        <v>Dị_D&gt;54</v>
      </c>
      <c r="O1252" s="589">
        <f ca="1">IFERROR(__xludf.DUMMYFUNCTION("""COMPUTED_VALUE"""),1)</f>
        <v>1</v>
      </c>
      <c r="P1252" s="590"/>
    </row>
    <row r="1253" spans="1:17" ht="15.75">
      <c r="A1253" s="581" t="str">
        <f ca="1">IFERROR(__xludf.DUMMYFUNCTION("""COMPUTED_VALUE"""),"Hailiang")</f>
        <v>Hailiang</v>
      </c>
      <c r="B1253" s="581" t="str">
        <f ca="1">IFERROR(__xludf.DUMMYFUNCTION("""COMPUTED_VALUE"""),"ĐHLCAYDI")</f>
        <v>ĐHLCAYDI</v>
      </c>
      <c r="C1253" s="581" t="str">
        <f ca="1">IFERROR(__xludf.DUMMYFUNCTION("""COMPUTED_VALUE"""),"DOTHL762014030")</f>
        <v>DOTHL762014030</v>
      </c>
      <c r="D1253" s="582" t="str">
        <f ca="1">IFERROR(__xludf.DUMMYFUNCTION("""COMPUTED_VALUE"""),"Đồng ống Hailiang dạng cây 76.20mmx1.40mmx3m")</f>
        <v>Đồng ống Hailiang dạng cây 76.20mmx1.40mmx3m</v>
      </c>
      <c r="E1253" s="583">
        <f ca="1">IFERROR(__xludf.DUMMYFUNCTION("""COMPUTED_VALUE"""),0.1)</f>
        <v>0.1</v>
      </c>
      <c r="F1253" s="584" t="str">
        <f ca="1">IFERROR(__xludf.DUMMYFUNCTION("""COMPUTED_VALUE"""),"Cây")</f>
        <v>Cây</v>
      </c>
      <c r="G1253" s="584" t="str">
        <f ca="1">IFERROR(__xludf.DUMMYFUNCTION("""COMPUTED_VALUE"""),"Cây 3m")</f>
        <v>Cây 3m</v>
      </c>
      <c r="H1253" s="582"/>
      <c r="I1253" s="585">
        <f ca="1">IFERROR(__xludf.DUMMYFUNCTION("""COMPUTED_VALUE"""),8.79647999999999)</f>
        <v>8.7964799999999901</v>
      </c>
      <c r="J1253" s="586" t="str">
        <f ca="1">IFERROR(__xludf.DUMMYFUNCTION("""COMPUTED_VALUE""")," 76.20 ")</f>
        <v xml:space="preserve"> 76.20 </v>
      </c>
      <c r="K1253" s="584" t="str">
        <f ca="1">IFERROR(__xludf.DUMMYFUNCTION("""COMPUTED_VALUE"""),"1.40")</f>
        <v>1.40</v>
      </c>
      <c r="L1253" s="584">
        <f ca="1">IFERROR(__xludf.DUMMYFUNCTION("""COMPUTED_VALUE"""),3)</f>
        <v>3</v>
      </c>
      <c r="M1253" s="584"/>
      <c r="N1253" s="584" t="str">
        <f ca="1">IFERROR(__xludf.DUMMYFUNCTION("""COMPUTED_VALUE"""),"Dị_D&gt;54")</f>
        <v>Dị_D&gt;54</v>
      </c>
      <c r="O1253" s="583">
        <f ca="1">IFERROR(__xludf.DUMMYFUNCTION("""COMPUTED_VALUE"""),1)</f>
        <v>1</v>
      </c>
      <c r="P1253" s="584"/>
    </row>
    <row r="1254" spans="1:17" ht="15.75">
      <c r="A1254" s="587" t="str">
        <f ca="1">IFERROR(__xludf.DUMMYFUNCTION("""COMPUTED_VALUE"""),"Hailiang")</f>
        <v>Hailiang</v>
      </c>
      <c r="B1254" s="587" t="str">
        <f ca="1">IFERROR(__xludf.DUMMYFUNCTION("""COMPUTED_VALUE"""),"ĐHLCAYDI")</f>
        <v>ĐHLCAYDI</v>
      </c>
      <c r="C1254" s="587" t="str">
        <f ca="1">IFERROR(__xludf.DUMMYFUNCTION("""COMPUTED_VALUE"""),"DOTHL762015029")</f>
        <v>DOTHL762015029</v>
      </c>
      <c r="D1254" s="588" t="str">
        <f ca="1">IFERROR(__xludf.DUMMYFUNCTION("""COMPUTED_VALUE"""),"Đồng ống Hailiang dạng cây 76.20mmx1.50mmx2.9m")</f>
        <v>Đồng ống Hailiang dạng cây 76.20mmx1.50mmx2.9m</v>
      </c>
      <c r="E1254" s="589">
        <f ca="1">IFERROR(__xludf.DUMMYFUNCTION("""COMPUTED_VALUE"""),0.1)</f>
        <v>0.1</v>
      </c>
      <c r="F1254" s="590" t="str">
        <f ca="1">IFERROR(__xludf.DUMMYFUNCTION("""COMPUTED_VALUE"""),"Cây")</f>
        <v>Cây</v>
      </c>
      <c r="G1254" s="590" t="str">
        <f ca="1">IFERROR(__xludf.DUMMYFUNCTION("""COMPUTED_VALUE"""),"Cây 2.9m")</f>
        <v>Cây 2.9m</v>
      </c>
      <c r="H1254" s="588"/>
      <c r="I1254" s="591">
        <f ca="1">IFERROR(__xludf.DUMMYFUNCTION("""COMPUTED_VALUE"""),9.09846)</f>
        <v>9.0984599999999993</v>
      </c>
      <c r="J1254" s="592" t="str">
        <f ca="1">IFERROR(__xludf.DUMMYFUNCTION("""COMPUTED_VALUE""")," 76.20 ")</f>
        <v xml:space="preserve"> 76.20 </v>
      </c>
      <c r="K1254" s="590" t="str">
        <f ca="1">IFERROR(__xludf.DUMMYFUNCTION("""COMPUTED_VALUE"""),"1.50")</f>
        <v>1.50</v>
      </c>
      <c r="L1254" s="590">
        <f ca="1">IFERROR(__xludf.DUMMYFUNCTION("""COMPUTED_VALUE"""),2.9)</f>
        <v>2.9</v>
      </c>
      <c r="M1254" s="590"/>
      <c r="N1254" s="590" t="str">
        <f ca="1">IFERROR(__xludf.DUMMYFUNCTION("""COMPUTED_VALUE"""),"Dị_D&gt;54")</f>
        <v>Dị_D&gt;54</v>
      </c>
      <c r="O1254" s="589">
        <f ca="1">IFERROR(__xludf.DUMMYFUNCTION("""COMPUTED_VALUE"""),1)</f>
        <v>1</v>
      </c>
      <c r="P1254" s="590"/>
    </row>
    <row r="1255" spans="1:17" ht="15.75">
      <c r="A1255" s="581" t="str">
        <f ca="1">IFERROR(__xludf.DUMMYFUNCTION("""COMPUTED_VALUE"""),"Hailiang")</f>
        <v>Hailiang</v>
      </c>
      <c r="B1255" s="581" t="str">
        <f ca="1">IFERROR(__xludf.DUMMYFUNCTION("""COMPUTED_VALUE"""),"ĐHLCAYDI")</f>
        <v>ĐHLCAYDI</v>
      </c>
      <c r="C1255" s="581" t="str">
        <f ca="1">IFERROR(__xludf.DUMMYFUNCTION("""COMPUTED_VALUE"""),"DOTHL762016029")</f>
        <v>DOTHL762016029</v>
      </c>
      <c r="D1255" s="582" t="str">
        <f ca="1">IFERROR(__xludf.DUMMYFUNCTION("""COMPUTED_VALUE"""),"Đồng ống Hailiang dạng cây 76.20mmx1.60mmx2.9m")</f>
        <v>Đồng ống Hailiang dạng cây 76.20mmx1.60mmx2.9m</v>
      </c>
      <c r="E1255" s="583">
        <f ca="1">IFERROR(__xludf.DUMMYFUNCTION("""COMPUTED_VALUE"""),0.1)</f>
        <v>0.1</v>
      </c>
      <c r="F1255" s="584" t="str">
        <f ca="1">IFERROR(__xludf.DUMMYFUNCTION("""COMPUTED_VALUE"""),"Cây")</f>
        <v>Cây</v>
      </c>
      <c r="G1255" s="584" t="str">
        <f ca="1">IFERROR(__xludf.DUMMYFUNCTION("""COMPUTED_VALUE"""),"Cây 2.9m")</f>
        <v>Cây 2.9m</v>
      </c>
      <c r="H1255" s="582"/>
      <c r="I1255" s="585">
        <f ca="1">IFERROR(__xludf.DUMMYFUNCTION("""COMPUTED_VALUE"""),9.692032)</f>
        <v>9.6920319999999993</v>
      </c>
      <c r="J1255" s="586" t="str">
        <f ca="1">IFERROR(__xludf.DUMMYFUNCTION("""COMPUTED_VALUE""")," 76.20 ")</f>
        <v xml:space="preserve"> 76.20 </v>
      </c>
      <c r="K1255" s="584" t="str">
        <f ca="1">IFERROR(__xludf.DUMMYFUNCTION("""COMPUTED_VALUE"""),"1.60")</f>
        <v>1.60</v>
      </c>
      <c r="L1255" s="584">
        <f ca="1">IFERROR(__xludf.DUMMYFUNCTION("""COMPUTED_VALUE"""),2.9)</f>
        <v>2.9</v>
      </c>
      <c r="M1255" s="584"/>
      <c r="N1255" s="584" t="str">
        <f ca="1">IFERROR(__xludf.DUMMYFUNCTION("""COMPUTED_VALUE"""),"Dị_D&gt;54")</f>
        <v>Dị_D&gt;54</v>
      </c>
      <c r="O1255" s="583">
        <f ca="1">IFERROR(__xludf.DUMMYFUNCTION("""COMPUTED_VALUE"""),1)</f>
        <v>1</v>
      </c>
      <c r="P1255" s="584"/>
    </row>
    <row r="1256" spans="1:17" ht="15.75">
      <c r="A1256" s="587" t="str">
        <f ca="1">IFERROR(__xludf.DUMMYFUNCTION("""COMPUTED_VALUE"""),"Hailiang")</f>
        <v>Hailiang</v>
      </c>
      <c r="B1256" s="587" t="str">
        <f ca="1">IFERROR(__xludf.DUMMYFUNCTION("""COMPUTED_VALUE"""),"ĐHLCAYDI")</f>
        <v>ĐHLCAYDI</v>
      </c>
      <c r="C1256" s="587" t="str">
        <f ca="1">IFERROR(__xludf.DUMMYFUNCTION("""COMPUTED_VALUE"""),"DOTHL762017029")</f>
        <v>DOTHL762017029</v>
      </c>
      <c r="D1256" s="588" t="str">
        <f ca="1">IFERROR(__xludf.DUMMYFUNCTION("""COMPUTED_VALUE"""),"Đồng ống Hailiang dạng cây 76.20mmx1.70mmx2.9m")</f>
        <v>Đồng ống Hailiang dạng cây 76.20mmx1.70mmx2.9m</v>
      </c>
      <c r="E1256" s="589">
        <f ca="1">IFERROR(__xludf.DUMMYFUNCTION("""COMPUTED_VALUE"""),0.1)</f>
        <v>0.1</v>
      </c>
      <c r="F1256" s="590" t="str">
        <f ca="1">IFERROR(__xludf.DUMMYFUNCTION("""COMPUTED_VALUE"""),"Cây")</f>
        <v>Cây</v>
      </c>
      <c r="G1256" s="590" t="str">
        <f ca="1">IFERROR(__xludf.DUMMYFUNCTION("""COMPUTED_VALUE"""),"Cây 2.9m")</f>
        <v>Cây 2.9m</v>
      </c>
      <c r="H1256" s="588"/>
      <c r="I1256" s="591">
        <f ca="1">IFERROR(__xludf.DUMMYFUNCTION("""COMPUTED_VALUE"""),10.28398)</f>
        <v>10.28398</v>
      </c>
      <c r="J1256" s="592" t="str">
        <f ca="1">IFERROR(__xludf.DUMMYFUNCTION("""COMPUTED_VALUE""")," 76.20 ")</f>
        <v xml:space="preserve"> 76.20 </v>
      </c>
      <c r="K1256" s="590" t="str">
        <f ca="1">IFERROR(__xludf.DUMMYFUNCTION("""COMPUTED_VALUE"""),"1.70")</f>
        <v>1.70</v>
      </c>
      <c r="L1256" s="590">
        <f ca="1">IFERROR(__xludf.DUMMYFUNCTION("""COMPUTED_VALUE"""),2.9)</f>
        <v>2.9</v>
      </c>
      <c r="M1256" s="590"/>
      <c r="N1256" s="590" t="str">
        <f ca="1">IFERROR(__xludf.DUMMYFUNCTION("""COMPUTED_VALUE"""),"Dị_D&gt;54")</f>
        <v>Dị_D&gt;54</v>
      </c>
      <c r="O1256" s="589">
        <f ca="1">IFERROR(__xludf.DUMMYFUNCTION("""COMPUTED_VALUE"""),1)</f>
        <v>1</v>
      </c>
      <c r="P1256" s="590"/>
    </row>
    <row r="1257" spans="1:17" ht="15.75">
      <c r="A1257" s="581" t="str">
        <f ca="1">IFERROR(__xludf.DUMMYFUNCTION("""COMPUTED_VALUE"""),"Hailiang")</f>
        <v>Hailiang</v>
      </c>
      <c r="B1257" s="581" t="str">
        <f ca="1">IFERROR(__xludf.DUMMYFUNCTION("""COMPUTED_VALUE"""),"ĐHLCAYDI")</f>
        <v>ĐHLCAYDI</v>
      </c>
      <c r="C1257" s="581" t="str">
        <f ca="1">IFERROR(__xludf.DUMMYFUNCTION("""COMPUTED_VALUE"""),"DOTHL762023029")</f>
        <v>DOTHL762023029</v>
      </c>
      <c r="D1257" s="582" t="str">
        <f ca="1">IFERROR(__xludf.DUMMYFUNCTION("""COMPUTED_VALUE"""),"Đồng ống Hailiang dạng cây 76.20mmx2.30mmx2.9")</f>
        <v>Đồng ống Hailiang dạng cây 76.20mmx2.30mmx2.9</v>
      </c>
      <c r="E1257" s="583">
        <f ca="1">IFERROR(__xludf.DUMMYFUNCTION("""COMPUTED_VALUE"""),0.1)</f>
        <v>0.1</v>
      </c>
      <c r="F1257" s="584" t="str">
        <f ca="1">IFERROR(__xludf.DUMMYFUNCTION("""COMPUTED_VALUE"""),"Cây")</f>
        <v>Cây</v>
      </c>
      <c r="G1257" s="584" t="str">
        <f ca="1">IFERROR(__xludf.DUMMYFUNCTION("""COMPUTED_VALUE"""),"Cây 2.9m")</f>
        <v>Cây 2.9m</v>
      </c>
      <c r="H1257" s="582"/>
      <c r="I1257" s="585">
        <f ca="1">IFERROR(__xludf.DUMMYFUNCTION("""COMPUTED_VALUE"""),13.801564)</f>
        <v>13.801564000000001</v>
      </c>
      <c r="J1257" s="586" t="str">
        <f ca="1">IFERROR(__xludf.DUMMYFUNCTION("""COMPUTED_VALUE""")," 76.20 ")</f>
        <v xml:space="preserve"> 76.20 </v>
      </c>
      <c r="K1257" s="584" t="str">
        <f ca="1">IFERROR(__xludf.DUMMYFUNCTION("""COMPUTED_VALUE"""),"2.30")</f>
        <v>2.30</v>
      </c>
      <c r="L1257" s="584">
        <f ca="1">IFERROR(__xludf.DUMMYFUNCTION("""COMPUTED_VALUE"""),2.9)</f>
        <v>2.9</v>
      </c>
      <c r="M1257" s="584"/>
      <c r="N1257" s="584" t="str">
        <f ca="1">IFERROR(__xludf.DUMMYFUNCTION("""COMPUTED_VALUE"""),"Dị_D&gt;54")</f>
        <v>Dị_D&gt;54</v>
      </c>
      <c r="O1257" s="583">
        <f ca="1">IFERROR(__xludf.DUMMYFUNCTION("""COMPUTED_VALUE"""),1)</f>
        <v>1</v>
      </c>
      <c r="P1257" s="584"/>
    </row>
    <row r="1258" spans="1:17" ht="15.75">
      <c r="A1258" s="587" t="str">
        <f ca="1">IFERROR(__xludf.DUMMYFUNCTION("""COMPUTED_VALUE"""),"Hailiang")</f>
        <v>Hailiang</v>
      </c>
      <c r="B1258" s="587" t="str">
        <f ca="1">IFERROR(__xludf.DUMMYFUNCTION("""COMPUTED_VALUE"""),"ĐHLCAYDI")</f>
        <v>ĐHLCAYDI</v>
      </c>
      <c r="C1258" s="587" t="str">
        <f ca="1">IFERROR(__xludf.DUMMYFUNCTION("""COMPUTED_VALUE"""),"DOTHL762025029")</f>
        <v>DOTHL762025029</v>
      </c>
      <c r="D1258" s="588" t="str">
        <f ca="1">IFERROR(__xludf.DUMMYFUNCTION("""COMPUTED_VALUE"""),"Đồng ống Hailiang dạng cây 76.20mmx2.50mmx2.9")</f>
        <v>Đồng ống Hailiang dạng cây 76.20mmx2.50mmx2.9</v>
      </c>
      <c r="E1258" s="589">
        <f ca="1">IFERROR(__xludf.DUMMYFUNCTION("""COMPUTED_VALUE"""),0.1)</f>
        <v>0.1</v>
      </c>
      <c r="F1258" s="590" t="str">
        <f ca="1">IFERROR(__xludf.DUMMYFUNCTION("""COMPUTED_VALUE"""),"Cây")</f>
        <v>Cây</v>
      </c>
      <c r="G1258" s="590" t="str">
        <f ca="1">IFERROR(__xludf.DUMMYFUNCTION("""COMPUTED_VALUE"""),"Cây 2.9m")</f>
        <v>Cây 2.9m</v>
      </c>
      <c r="H1258" s="588"/>
      <c r="I1258" s="591">
        <f ca="1">IFERROR(__xludf.DUMMYFUNCTION("""COMPUTED_VALUE"""),14.9610999999999)</f>
        <v>14.961099999999901</v>
      </c>
      <c r="J1258" s="592" t="str">
        <f ca="1">IFERROR(__xludf.DUMMYFUNCTION("""COMPUTED_VALUE""")," 76.20 ")</f>
        <v xml:space="preserve"> 76.20 </v>
      </c>
      <c r="K1258" s="590" t="str">
        <f ca="1">IFERROR(__xludf.DUMMYFUNCTION("""COMPUTED_VALUE"""),"2.50")</f>
        <v>2.50</v>
      </c>
      <c r="L1258" s="590">
        <f ca="1">IFERROR(__xludf.DUMMYFUNCTION("""COMPUTED_VALUE"""),2.9)</f>
        <v>2.9</v>
      </c>
      <c r="M1258" s="590"/>
      <c r="N1258" s="590" t="str">
        <f ca="1">IFERROR(__xludf.DUMMYFUNCTION("""COMPUTED_VALUE"""),"Dị_D&gt;54")</f>
        <v>Dị_D&gt;54</v>
      </c>
      <c r="O1258" s="589">
        <f ca="1">IFERROR(__xludf.DUMMYFUNCTION("""COMPUTED_VALUE"""),1)</f>
        <v>1</v>
      </c>
      <c r="P1258" s="590"/>
    </row>
    <row r="1259" spans="1:17" ht="15.75">
      <c r="A1259" s="581" t="str">
        <f ca="1">IFERROR(__xludf.DUMMYFUNCTION("""COMPUTED_VALUE"""),"Hailiang")</f>
        <v>Hailiang</v>
      </c>
      <c r="B1259" s="581" t="str">
        <f ca="1">IFERROR(__xludf.DUMMYFUNCTION("""COMPUTED_VALUE"""),"ĐHLCAYDI")</f>
        <v>ĐHLCAYDI</v>
      </c>
      <c r="C1259" s="581" t="str">
        <f ca="1">IFERROR(__xludf.DUMMYFUNCTION("""COMPUTED_VALUE"""),"DOTHL7937518029")</f>
        <v>DOTHL7937518029</v>
      </c>
      <c r="D1259" s="582" t="str">
        <f ca="1">IFERROR(__xludf.DUMMYFUNCTION("""COMPUTED_VALUE"""),"Đồng ống Hailiang dạng cây 79.375mmx1.80mmx2.9m")</f>
        <v>Đồng ống Hailiang dạng cây 79.375mmx1.80mmx2.9m</v>
      </c>
      <c r="E1259" s="583">
        <f ca="1">IFERROR(__xludf.DUMMYFUNCTION("""COMPUTED_VALUE"""),0.1)</f>
        <v>0.1</v>
      </c>
      <c r="F1259" s="584" t="str">
        <f ca="1">IFERROR(__xludf.DUMMYFUNCTION("""COMPUTED_VALUE"""),"Cây")</f>
        <v>Cây</v>
      </c>
      <c r="G1259" s="584" t="str">
        <f ca="1">IFERROR(__xludf.DUMMYFUNCTION("""COMPUTED_VALUE"""),"Cây 2.9m")</f>
        <v>Cây 2.9m</v>
      </c>
      <c r="H1259" s="582"/>
      <c r="I1259" s="585">
        <f ca="1">IFERROR(__xludf.DUMMYFUNCTION("""COMPUTED_VALUE"""),11.3376312)</f>
        <v>11.337631200000001</v>
      </c>
      <c r="J1259" s="586" t="str">
        <f ca="1">IFERROR(__xludf.DUMMYFUNCTION("""COMPUTED_VALUE""")," 79.37 ")</f>
        <v xml:space="preserve"> 79.37 </v>
      </c>
      <c r="K1259" s="584" t="str">
        <f ca="1">IFERROR(__xludf.DUMMYFUNCTION("""COMPUTED_VALUE"""),"1.80")</f>
        <v>1.80</v>
      </c>
      <c r="L1259" s="584">
        <f ca="1">IFERROR(__xludf.DUMMYFUNCTION("""COMPUTED_VALUE"""),2.9)</f>
        <v>2.9</v>
      </c>
      <c r="M1259" s="584"/>
      <c r="N1259" s="584" t="str">
        <f ca="1">IFERROR(__xludf.DUMMYFUNCTION("""COMPUTED_VALUE"""),"Dị_D&gt;54")</f>
        <v>Dị_D&gt;54</v>
      </c>
      <c r="O1259" s="583">
        <f ca="1">IFERROR(__xludf.DUMMYFUNCTION("""COMPUTED_VALUE"""),1)</f>
        <v>1</v>
      </c>
      <c r="P1259" s="584"/>
    </row>
    <row r="1260" spans="1:17" ht="15.75">
      <c r="A1260" s="587" t="str">
        <f ca="1">IFERROR(__xludf.DUMMYFUNCTION("""COMPUTED_VALUE"""),"Hailiang")</f>
        <v>Hailiang</v>
      </c>
      <c r="B1260" s="587" t="str">
        <f ca="1">IFERROR(__xludf.DUMMYFUNCTION("""COMPUTED_VALUE"""),"ĐHLCAYDI")</f>
        <v>ĐHLCAYDI</v>
      </c>
      <c r="C1260" s="587" t="str">
        <f ca="1">IFERROR(__xludf.DUMMYFUNCTION("""COMPUTED_VALUE"""),"DOTHL793822958")</f>
        <v>DOTHL793822958</v>
      </c>
      <c r="D1260" s="588" t="str">
        <f ca="1">IFERROR(__xludf.DUMMYFUNCTION("""COMPUTED_VALUE"""),"Đồng ống Hailiang dạng cây 79.38mmx2.29mmx5.8")</f>
        <v>Đồng ống Hailiang dạng cây 79.38mmx2.29mmx5.8</v>
      </c>
      <c r="E1260" s="589">
        <f ca="1">IFERROR(__xludf.DUMMYFUNCTION("""COMPUTED_VALUE"""),0.1)</f>
        <v>0.1</v>
      </c>
      <c r="F1260" s="590" t="str">
        <f ca="1">IFERROR(__xludf.DUMMYFUNCTION("""COMPUTED_VALUE"""),"Cây")</f>
        <v>Cây</v>
      </c>
      <c r="G1260" s="590" t="str">
        <f ca="1">IFERROR(__xludf.DUMMYFUNCTION("""COMPUTED_VALUE"""),"Cây 5.8m")</f>
        <v>Cây 5.8m</v>
      </c>
      <c r="H1260" s="588"/>
      <c r="I1260" s="591">
        <f ca="1">IFERROR(__xludf.DUMMYFUNCTION("""COMPUTED_VALUE"""),28.66946264)</f>
        <v>28.669462639999999</v>
      </c>
      <c r="J1260" s="592" t="str">
        <f ca="1">IFERROR(__xludf.DUMMYFUNCTION("""COMPUTED_VALUE""")," 79.38 ")</f>
        <v xml:space="preserve"> 79.38 </v>
      </c>
      <c r="K1260" s="590" t="str">
        <f ca="1">IFERROR(__xludf.DUMMYFUNCTION("""COMPUTED_VALUE"""),"2.29")</f>
        <v>2.29</v>
      </c>
      <c r="L1260" s="590">
        <f ca="1">IFERROR(__xludf.DUMMYFUNCTION("""COMPUTED_VALUE"""),5.8)</f>
        <v>5.8</v>
      </c>
      <c r="M1260" s="590"/>
      <c r="N1260" s="590" t="str">
        <f ca="1">IFERROR(__xludf.DUMMYFUNCTION("""COMPUTED_VALUE"""),"Dị_D&gt;54")</f>
        <v>Dị_D&gt;54</v>
      </c>
      <c r="O1260" s="589">
        <f ca="1">IFERROR(__xludf.DUMMYFUNCTION("""COMPUTED_VALUE"""),1)</f>
        <v>1</v>
      </c>
      <c r="P1260" s="590"/>
    </row>
    <row r="1261" spans="1:17" ht="15.75">
      <c r="A1261" s="581" t="str">
        <f ca="1">IFERROR(__xludf.DUMMYFUNCTION("""COMPUTED_VALUE"""),"Hailiang")</f>
        <v>Hailiang</v>
      </c>
      <c r="B1261" s="581" t="str">
        <f ca="1">IFERROR(__xludf.DUMMYFUNCTION("""COMPUTED_VALUE"""),"ĐHLCAYDI")</f>
        <v>ĐHLCAYDI</v>
      </c>
      <c r="C1261" s="581" t="str">
        <f ca="1">IFERROR(__xludf.DUMMYFUNCTION("""COMPUTED_VALUE"""),"DOTHL88902329")</f>
        <v>DOTHL88902329</v>
      </c>
      <c r="D1261" s="582" t="str">
        <f ca="1">IFERROR(__xludf.DUMMYFUNCTION("""COMPUTED_VALUE"""),"Đồng ống Hailiang dạng cây 88.90mmx2.3mmx2.9m")</f>
        <v>Đồng ống Hailiang dạng cây 88.90mmx2.3mmx2.9m</v>
      </c>
      <c r="E1261" s="583">
        <f ca="1">IFERROR(__xludf.DUMMYFUNCTION("""COMPUTED_VALUE"""),0.1)</f>
        <v>0.1</v>
      </c>
      <c r="F1261" s="584" t="str">
        <f ca="1">IFERROR(__xludf.DUMMYFUNCTION("""COMPUTED_VALUE"""),"Cây")</f>
        <v>Cây</v>
      </c>
      <c r="G1261" s="584" t="str">
        <f ca="1">IFERROR(__xludf.DUMMYFUNCTION("""COMPUTED_VALUE"""),"Cây 2.9m")</f>
        <v>Cây 2.9m</v>
      </c>
      <c r="H1261" s="582"/>
      <c r="I1261" s="585">
        <f ca="1">IFERROR(__xludf.DUMMYFUNCTION("""COMPUTED_VALUE"""),16.173416)</f>
        <v>16.173416</v>
      </c>
      <c r="J1261" s="586" t="str">
        <f ca="1">IFERROR(__xludf.DUMMYFUNCTION("""COMPUTED_VALUE""")," 88.90 ")</f>
        <v xml:space="preserve"> 88.90 </v>
      </c>
      <c r="K1261" s="584" t="str">
        <f ca="1">IFERROR(__xludf.DUMMYFUNCTION("""COMPUTED_VALUE"""),"2.30")</f>
        <v>2.30</v>
      </c>
      <c r="L1261" s="584">
        <f ca="1">IFERROR(__xludf.DUMMYFUNCTION("""COMPUTED_VALUE"""),2.9)</f>
        <v>2.9</v>
      </c>
      <c r="M1261" s="584"/>
      <c r="N1261" s="584" t="str">
        <f ca="1">IFERROR(__xludf.DUMMYFUNCTION("""COMPUTED_VALUE"""),"Dị_D&gt;54")</f>
        <v>Dị_D&gt;54</v>
      </c>
      <c r="O1261" s="583">
        <f ca="1">IFERROR(__xludf.DUMMYFUNCTION("""COMPUTED_VALUE"""),1)</f>
        <v>1</v>
      </c>
      <c r="P1261" s="584"/>
    </row>
    <row r="1262" spans="1:17" ht="15.75">
      <c r="A1262" s="587" t="str">
        <f ca="1">IFERROR(__xludf.DUMMYFUNCTION("""COMPUTED_VALUE"""),"Hailiang")</f>
        <v>Hailiang</v>
      </c>
      <c r="B1262" s="587" t="str">
        <f ca="1">IFERROR(__xludf.DUMMYFUNCTION("""COMPUTED_VALUE"""),"ĐHLCAYDI")</f>
        <v>ĐHLCAYDI</v>
      </c>
      <c r="C1262" s="587" t="str">
        <f ca="1">IFERROR(__xludf.DUMMYFUNCTION("""COMPUTED_VALUE"""),"DOTHL1047825029")</f>
        <v>DOTHL1047825029</v>
      </c>
      <c r="D1262" s="588" t="str">
        <f ca="1">IFERROR(__xludf.DUMMYFUNCTION("""COMPUTED_VALUE"""),"Đồng ống Hailiang dạng cây 104.78mmx2.50mmx2.9")</f>
        <v>Đồng ống Hailiang dạng cây 104.78mmx2.50mmx2.9</v>
      </c>
      <c r="E1262" s="589">
        <f ca="1">IFERROR(__xludf.DUMMYFUNCTION("""COMPUTED_VALUE"""),0.1)</f>
        <v>0.1</v>
      </c>
      <c r="F1262" s="590" t="str">
        <f ca="1">IFERROR(__xludf.DUMMYFUNCTION("""COMPUTED_VALUE"""),"Cây")</f>
        <v>Cây</v>
      </c>
      <c r="G1262" s="590" t="str">
        <f ca="1">IFERROR(__xludf.DUMMYFUNCTION("""COMPUTED_VALUE"""),"Cây 2.9m")</f>
        <v>Cây 2.9m</v>
      </c>
      <c r="H1262" s="588"/>
      <c r="I1262" s="591">
        <f ca="1">IFERROR(__xludf.DUMMYFUNCTION("""COMPUTED_VALUE"""),20.76284)</f>
        <v>20.762840000000001</v>
      </c>
      <c r="J1262" s="592" t="str">
        <f ca="1">IFERROR(__xludf.DUMMYFUNCTION("""COMPUTED_VALUE""")," 104.78 ")</f>
        <v xml:space="preserve"> 104.78 </v>
      </c>
      <c r="K1262" s="590" t="str">
        <f ca="1">IFERROR(__xludf.DUMMYFUNCTION("""COMPUTED_VALUE"""),"2.50")</f>
        <v>2.50</v>
      </c>
      <c r="L1262" s="590">
        <f ca="1">IFERROR(__xludf.DUMMYFUNCTION("""COMPUTED_VALUE"""),2.9)</f>
        <v>2.9</v>
      </c>
      <c r="M1262" s="590"/>
      <c r="N1262" s="590" t="str">
        <f ca="1">IFERROR(__xludf.DUMMYFUNCTION("""COMPUTED_VALUE"""),"Dị_D&gt;54")</f>
        <v>Dị_D&gt;54</v>
      </c>
      <c r="O1262" s="589"/>
      <c r="P1262" s="590"/>
    </row>
    <row r="1263" spans="1:17" ht="15.75">
      <c r="A1263" s="581" t="str">
        <f ca="1">IFERROR(__xludf.DUMMYFUNCTION("""COMPUTED_VALUE"""),"Hailiang")</f>
        <v>Hailiang</v>
      </c>
      <c r="B1263" s="581" t="str">
        <f ca="1">IFERROR(__xludf.DUMMYFUNCTION("""COMPUTED_VALUE"""),"ĐHLCAYDI")</f>
        <v>ĐHLCAYDI</v>
      </c>
      <c r="C1263" s="581" t="str">
        <f ca="1">IFERROR(__xludf.DUMMYFUNCTION("""COMPUTED_VALUE"""),"DOTHL10478277958")</f>
        <v>DOTHL10478277958</v>
      </c>
      <c r="D1263" s="582" t="str">
        <f ca="1">IFERROR(__xludf.DUMMYFUNCTION("""COMPUTED_VALUE"""),"Đồng ống Hailiang dạng cây 104.78mmx2.79mmx5.8")</f>
        <v>Đồng ống Hailiang dạng cây 104.78mmx2.79mmx5.8</v>
      </c>
      <c r="E1263" s="583">
        <f ca="1">IFERROR(__xludf.DUMMYFUNCTION("""COMPUTED_VALUE"""),0.1)</f>
        <v>0.1</v>
      </c>
      <c r="F1263" s="584" t="str">
        <f ca="1">IFERROR(__xludf.DUMMYFUNCTION("""COMPUTED_VALUE"""),"Cây")</f>
        <v>Cây</v>
      </c>
      <c r="G1263" s="584" t="str">
        <f ca="1">IFERROR(__xludf.DUMMYFUNCTION("""COMPUTED_VALUE"""),"Cây 5.8m")</f>
        <v>Cây 5.8m</v>
      </c>
      <c r="H1263" s="582"/>
      <c r="I1263" s="585">
        <f ca="1">IFERROR(__xludf.DUMMYFUNCTION("""COMPUTED_VALUE"""),46.21126104)</f>
        <v>46.211261039999997</v>
      </c>
      <c r="J1263" s="586" t="str">
        <f ca="1">IFERROR(__xludf.DUMMYFUNCTION("""COMPUTED_VALUE""")," 104.78 ")</f>
        <v xml:space="preserve"> 104.78 </v>
      </c>
      <c r="K1263" s="584" t="str">
        <f ca="1">IFERROR(__xludf.DUMMYFUNCTION("""COMPUTED_VALUE"""),"2.79")</f>
        <v>2.79</v>
      </c>
      <c r="L1263" s="584">
        <f ca="1">IFERROR(__xludf.DUMMYFUNCTION("""COMPUTED_VALUE"""),5.8)</f>
        <v>5.8</v>
      </c>
      <c r="M1263" s="584"/>
      <c r="N1263" s="584" t="str">
        <f ca="1">IFERROR(__xludf.DUMMYFUNCTION("""COMPUTED_VALUE"""),"Dị_D&gt;54")</f>
        <v>Dị_D&gt;54</v>
      </c>
      <c r="O1263" s="583"/>
      <c r="P1263" s="584"/>
    </row>
    <row r="1264" spans="1:17" ht="15.75">
      <c r="A1264" s="587" t="str">
        <f ca="1">IFERROR(__xludf.DUMMYFUNCTION("""COMPUTED_VALUE"""),"Hailiang")</f>
        <v>Hailiang</v>
      </c>
      <c r="B1264" s="587" t="str">
        <f ca="1">IFERROR(__xludf.DUMMYFUNCTION("""COMPUTED_VALUE"""),"ĐHLBANH")</f>
        <v>ĐHLBANH</v>
      </c>
      <c r="C1264" s="587" t="str">
        <f ca="1">IFERROR(__xludf.DUMMYFUNCTION("""COMPUTED_VALUE"""),"DOHLLWC0635061")</f>
        <v>DOHLLWC0635061</v>
      </c>
      <c r="D1264" s="588" t="str">
        <f ca="1">IFERROR(__xludf.DUMMYFUNCTION("""COMPUTED_VALUE"""),"Đồng cuộn Hailiang LWC 6.35x0.61")</f>
        <v>Đồng cuộn Hailiang LWC 6.35x0.61</v>
      </c>
      <c r="E1264" s="589">
        <f ca="1">IFERROR(__xludf.DUMMYFUNCTION("""COMPUTED_VALUE"""),0.1)</f>
        <v>0.1</v>
      </c>
      <c r="F1264" s="590" t="str">
        <f ca="1">IFERROR(__xludf.DUMMYFUNCTION("""COMPUTED_VALUE"""),"m")</f>
        <v>m</v>
      </c>
      <c r="G1264" s="590" t="str">
        <f ca="1">IFERROR(__xludf.DUMMYFUNCTION("""COMPUTED_VALUE"""),"m")</f>
        <v>m</v>
      </c>
      <c r="H1264" s="588"/>
      <c r="I1264" s="591">
        <f ca="1">IFERROR(__xludf.DUMMYFUNCTION("""COMPUTED_VALUE"""),0.0980391999999999)</f>
        <v>9.8039199999999896E-2</v>
      </c>
      <c r="J1264" s="592" t="str">
        <f ca="1">IFERROR(__xludf.DUMMYFUNCTION("""COMPUTED_VALUE""")," 06.35 ")</f>
        <v xml:space="preserve"> 06.35 </v>
      </c>
      <c r="K1264" s="590" t="str">
        <f ca="1">IFERROR(__xludf.DUMMYFUNCTION("""COMPUTED_VALUE"""),"0.61")</f>
        <v>0.61</v>
      </c>
      <c r="L1264" s="590">
        <f ca="1">IFERROR(__xludf.DUMMYFUNCTION("""COMPUTED_VALUE"""),1)</f>
        <v>1</v>
      </c>
      <c r="M1264" s="590"/>
      <c r="N1264" s="590" t="str">
        <f ca="1">IFERROR(__xludf.DUMMYFUNCTION("""COMPUTED_VALUE"""),"Không")</f>
        <v>Không</v>
      </c>
      <c r="O1264" s="589"/>
      <c r="P1264" s="590"/>
      <c r="Q1264" s="885">
        <f ca="1">+$Q$5*I1264</f>
        <v>22.549015999999973</v>
      </c>
    </row>
    <row r="1265" spans="1:17" ht="15.75">
      <c r="A1265" s="581" t="str">
        <f ca="1">IFERROR(__xludf.DUMMYFUNCTION("""COMPUTED_VALUE"""),"Hailiang")</f>
        <v>Hailiang</v>
      </c>
      <c r="B1265" s="581" t="str">
        <f ca="1">IFERROR(__xludf.DUMMYFUNCTION("""COMPUTED_VALUE"""),"ĐHLBANH")</f>
        <v>ĐHLBANH</v>
      </c>
      <c r="C1265" s="581" t="str">
        <f ca="1">IFERROR(__xludf.DUMMYFUNCTION("""COMPUTED_VALUE"""),"DOHLLWC0635071")</f>
        <v>DOHLLWC0635071</v>
      </c>
      <c r="D1265" s="582" t="str">
        <f ca="1">IFERROR(__xludf.DUMMYFUNCTION("""COMPUTED_VALUE"""),"Đồng cuộn Hailiang LWC 6.35x0.71")</f>
        <v>Đồng cuộn Hailiang LWC 6.35x0.71</v>
      </c>
      <c r="E1265" s="583">
        <f ca="1">IFERROR(__xludf.DUMMYFUNCTION("""COMPUTED_VALUE"""),0.1)</f>
        <v>0.1</v>
      </c>
      <c r="F1265" s="584" t="str">
        <f ca="1">IFERROR(__xludf.DUMMYFUNCTION("""COMPUTED_VALUE"""),"m")</f>
        <v>m</v>
      </c>
      <c r="G1265" s="584" t="str">
        <f ca="1">IFERROR(__xludf.DUMMYFUNCTION("""COMPUTED_VALUE"""),"m")</f>
        <v>m</v>
      </c>
      <c r="H1265" s="582"/>
      <c r="I1265" s="585">
        <f ca="1">IFERROR(__xludf.DUMMYFUNCTION("""COMPUTED_VALUE"""),0.112123199999999)</f>
        <v>0.11212319999999899</v>
      </c>
      <c r="J1265" s="586" t="str">
        <f ca="1">IFERROR(__xludf.DUMMYFUNCTION("""COMPUTED_VALUE""")," 06.35 ")</f>
        <v xml:space="preserve"> 06.35 </v>
      </c>
      <c r="K1265" s="584" t="str">
        <f ca="1">IFERROR(__xludf.DUMMYFUNCTION("""COMPUTED_VALUE"""),"0.71")</f>
        <v>0.71</v>
      </c>
      <c r="L1265" s="584">
        <f ca="1">IFERROR(__xludf.DUMMYFUNCTION("""COMPUTED_VALUE"""),1)</f>
        <v>1</v>
      </c>
      <c r="M1265" s="584"/>
      <c r="N1265" s="584" t="str">
        <f ca="1">IFERROR(__xludf.DUMMYFUNCTION("""COMPUTED_VALUE"""),"Không")</f>
        <v>Không</v>
      </c>
      <c r="O1265" s="583"/>
      <c r="P1265" s="584"/>
      <c r="Q1265" s="885">
        <f ca="1">+$Q$5*I1265</f>
        <v>25.788335999999767</v>
      </c>
    </row>
    <row r="1266" spans="1:17" ht="15.75">
      <c r="A1266" s="587" t="str">
        <f ca="1">IFERROR(__xludf.DUMMYFUNCTION("""COMPUTED_VALUE"""),"Hailiang")</f>
        <v>Hailiang</v>
      </c>
      <c r="B1266" s="587" t="str">
        <f ca="1">IFERROR(__xludf.DUMMYFUNCTION("""COMPUTED_VALUE"""),"ĐHLBANH")</f>
        <v>ĐHLBANH</v>
      </c>
      <c r="C1266" s="587" t="str">
        <f ca="1">IFERROR(__xludf.DUMMYFUNCTION("""COMPUTED_VALUE"""),"DOHLLWC0635081")</f>
        <v>DOHLLWC0635081</v>
      </c>
      <c r="D1266" s="588" t="str">
        <f ca="1">IFERROR(__xludf.DUMMYFUNCTION("""COMPUTED_VALUE"""),"Đồng cuộn Hailiang LWC 6.35x0.81")</f>
        <v>Đồng cuộn Hailiang LWC 6.35x0.81</v>
      </c>
      <c r="E1266" s="589">
        <f ca="1">IFERROR(__xludf.DUMMYFUNCTION("""COMPUTED_VALUE"""),0.1)</f>
        <v>0.1</v>
      </c>
      <c r="F1266" s="590" t="str">
        <f ca="1">IFERROR(__xludf.DUMMYFUNCTION("""COMPUTED_VALUE"""),"m")</f>
        <v>m</v>
      </c>
      <c r="G1266" s="590" t="str">
        <f ca="1">IFERROR(__xludf.DUMMYFUNCTION("""COMPUTED_VALUE"""),"m")</f>
        <v>m</v>
      </c>
      <c r="H1266" s="588"/>
      <c r="I1266" s="591">
        <f ca="1">IFERROR(__xludf.DUMMYFUNCTION("""COMPUTED_VALUE"""),0.1256472)</f>
        <v>0.12564719999999999</v>
      </c>
      <c r="J1266" s="592" t="str">
        <f ca="1">IFERROR(__xludf.DUMMYFUNCTION("""COMPUTED_VALUE""")," 06.35 ")</f>
        <v xml:space="preserve"> 06.35 </v>
      </c>
      <c r="K1266" s="590" t="str">
        <f ca="1">IFERROR(__xludf.DUMMYFUNCTION("""COMPUTED_VALUE"""),"0.81")</f>
        <v>0.81</v>
      </c>
      <c r="L1266" s="590">
        <f ca="1">IFERROR(__xludf.DUMMYFUNCTION("""COMPUTED_VALUE"""),1)</f>
        <v>1</v>
      </c>
      <c r="M1266" s="590"/>
      <c r="N1266" s="590" t="str">
        <f ca="1">IFERROR(__xludf.DUMMYFUNCTION("""COMPUTED_VALUE"""),"Không")</f>
        <v>Không</v>
      </c>
      <c r="O1266" s="589"/>
      <c r="P1266" s="590"/>
      <c r="Q1266" s="885">
        <f ca="1">+$Q$5*I1266</f>
        <v>28.898855999999995</v>
      </c>
    </row>
    <row r="1267" spans="1:17" ht="15.75">
      <c r="A1267" s="581" t="str">
        <f ca="1">IFERROR(__xludf.DUMMYFUNCTION("""COMPUTED_VALUE"""),"Hailiang")</f>
        <v>Hailiang</v>
      </c>
      <c r="B1267" s="581" t="str">
        <f ca="1">IFERROR(__xludf.DUMMYFUNCTION("""COMPUTED_VALUE"""),"ĐHLBANH")</f>
        <v>ĐHLBANH</v>
      </c>
      <c r="C1267" s="581" t="str">
        <f ca="1">IFERROR(__xludf.DUMMYFUNCTION("""COMPUTED_VALUE"""),"DOHLLWC0952061")</f>
        <v>DOHLLWC0952061</v>
      </c>
      <c r="D1267" s="582" t="str">
        <f ca="1">IFERROR(__xludf.DUMMYFUNCTION("""COMPUTED_VALUE"""),"Đồng cuộn Hailiang LWC 9.52x0.61")</f>
        <v>Đồng cuộn Hailiang LWC 9.52x0.61</v>
      </c>
      <c r="E1267" s="583">
        <f ca="1">IFERROR(__xludf.DUMMYFUNCTION("""COMPUTED_VALUE"""),0.1)</f>
        <v>0.1</v>
      </c>
      <c r="F1267" s="584" t="str">
        <f ca="1">IFERROR(__xludf.DUMMYFUNCTION("""COMPUTED_VALUE"""),"m")</f>
        <v>m</v>
      </c>
      <c r="G1267" s="584" t="str">
        <f ca="1">IFERROR(__xludf.DUMMYFUNCTION("""COMPUTED_VALUE"""),"m")</f>
        <v>m</v>
      </c>
      <c r="H1267" s="582"/>
      <c r="I1267" s="585">
        <f ca="1">IFERROR(__xludf.DUMMYFUNCTION("""COMPUTED_VALUE"""),0.1521828)</f>
        <v>0.15218280000000001</v>
      </c>
      <c r="J1267" s="586" t="str">
        <f ca="1">IFERROR(__xludf.DUMMYFUNCTION("""COMPUTED_VALUE""")," 09.52 ")</f>
        <v xml:space="preserve"> 09.52 </v>
      </c>
      <c r="K1267" s="584" t="str">
        <f ca="1">IFERROR(__xludf.DUMMYFUNCTION("""COMPUTED_VALUE"""),"0.61")</f>
        <v>0.61</v>
      </c>
      <c r="L1267" s="584">
        <f ca="1">IFERROR(__xludf.DUMMYFUNCTION("""COMPUTED_VALUE"""),1)</f>
        <v>1</v>
      </c>
      <c r="M1267" s="584"/>
      <c r="N1267" s="584" t="str">
        <f ca="1">IFERROR(__xludf.DUMMYFUNCTION("""COMPUTED_VALUE"""),"Không")</f>
        <v>Không</v>
      </c>
      <c r="O1267" s="583"/>
      <c r="P1267" s="584"/>
      <c r="Q1267" s="885">
        <f ca="1">+$Q$5*I1267</f>
        <v>35.002043999999998</v>
      </c>
    </row>
    <row r="1268" spans="1:17" ht="15.75">
      <c r="A1268" s="587" t="str">
        <f ca="1">IFERROR(__xludf.DUMMYFUNCTION("""COMPUTED_VALUE"""),"Hailiang")</f>
        <v>Hailiang</v>
      </c>
      <c r="B1268" s="587" t="str">
        <f ca="1">IFERROR(__xludf.DUMMYFUNCTION("""COMPUTED_VALUE"""),"ĐHLBANH")</f>
        <v>ĐHLBANH</v>
      </c>
      <c r="C1268" s="587" t="str">
        <f ca="1">IFERROR(__xludf.DUMMYFUNCTION("""COMPUTED_VALUE"""),"DOHLLWC0952071")</f>
        <v>DOHLLWC0952071</v>
      </c>
      <c r="D1268" s="588" t="str">
        <f ca="1">IFERROR(__xludf.DUMMYFUNCTION("""COMPUTED_VALUE"""),"Đồng cuộn Hailiang LWC 9.52x0.71")</f>
        <v>Đồng cuộn Hailiang LWC 9.52x0.71</v>
      </c>
      <c r="E1268" s="589">
        <f ca="1">IFERROR(__xludf.DUMMYFUNCTION("""COMPUTED_VALUE"""),0.1)</f>
        <v>0.1</v>
      </c>
      <c r="F1268" s="590" t="str">
        <f ca="1">IFERROR(__xludf.DUMMYFUNCTION("""COMPUTED_VALUE"""),"m")</f>
        <v>m</v>
      </c>
      <c r="G1268" s="590" t="str">
        <f ca="1">IFERROR(__xludf.DUMMYFUNCTION("""COMPUTED_VALUE"""),"m")</f>
        <v>m</v>
      </c>
      <c r="H1268" s="588"/>
      <c r="I1268" s="591">
        <f ca="1">IFERROR(__xludf.DUMMYFUNCTION("""COMPUTED_VALUE"""),0.175142799999999)</f>
        <v>0.17514279999999899</v>
      </c>
      <c r="J1268" s="592" t="str">
        <f ca="1">IFERROR(__xludf.DUMMYFUNCTION("""COMPUTED_VALUE""")," 09.52 ")</f>
        <v xml:space="preserve"> 09.52 </v>
      </c>
      <c r="K1268" s="590" t="str">
        <f ca="1">IFERROR(__xludf.DUMMYFUNCTION("""COMPUTED_VALUE"""),"0.71")</f>
        <v>0.71</v>
      </c>
      <c r="L1268" s="590">
        <f ca="1">IFERROR(__xludf.DUMMYFUNCTION("""COMPUTED_VALUE"""),1)</f>
        <v>1</v>
      </c>
      <c r="M1268" s="590"/>
      <c r="N1268" s="590" t="str">
        <f ca="1">IFERROR(__xludf.DUMMYFUNCTION("""COMPUTED_VALUE"""),"Không")</f>
        <v>Không</v>
      </c>
      <c r="O1268" s="589"/>
      <c r="P1268" s="590"/>
      <c r="Q1268" s="885">
        <f ca="1">+$Q$5*I1268</f>
        <v>40.282843999999763</v>
      </c>
    </row>
    <row r="1269" spans="1:17" ht="15.75">
      <c r="A1269" s="581" t="str">
        <f ca="1">IFERROR(__xludf.DUMMYFUNCTION("""COMPUTED_VALUE"""),"Hailiang")</f>
        <v>Hailiang</v>
      </c>
      <c r="B1269" s="581" t="str">
        <f ca="1">IFERROR(__xludf.DUMMYFUNCTION("""COMPUTED_VALUE"""),"ĐHLBANH")</f>
        <v>ĐHLBANH</v>
      </c>
      <c r="C1269" s="581" t="str">
        <f ca="1">IFERROR(__xludf.DUMMYFUNCTION("""COMPUTED_VALUE"""),"DOHLLWC0952081")</f>
        <v>DOHLLWC0952081</v>
      </c>
      <c r="D1269" s="582" t="str">
        <f ca="1">IFERROR(__xludf.DUMMYFUNCTION("""COMPUTED_VALUE"""),"Đồng cuộn Hailiang LWC 9.52x0.81")</f>
        <v>Đồng cuộn Hailiang LWC 9.52x0.81</v>
      </c>
      <c r="E1269" s="583">
        <f ca="1">IFERROR(__xludf.DUMMYFUNCTION("""COMPUTED_VALUE"""),0.1)</f>
        <v>0.1</v>
      </c>
      <c r="F1269" s="584" t="str">
        <f ca="1">IFERROR(__xludf.DUMMYFUNCTION("""COMPUTED_VALUE"""),"m")</f>
        <v>m</v>
      </c>
      <c r="G1269" s="584" t="str">
        <f ca="1">IFERROR(__xludf.DUMMYFUNCTION("""COMPUTED_VALUE"""),"m")</f>
        <v>m</v>
      </c>
      <c r="H1269" s="582"/>
      <c r="I1269" s="585">
        <f ca="1">IFERROR(__xludf.DUMMYFUNCTION("""COMPUTED_VALUE"""),0.1975428)</f>
        <v>0.19754279999999999</v>
      </c>
      <c r="J1269" s="586" t="str">
        <f ca="1">IFERROR(__xludf.DUMMYFUNCTION("""COMPUTED_VALUE""")," 09.52 ")</f>
        <v xml:space="preserve"> 09.52 </v>
      </c>
      <c r="K1269" s="584" t="str">
        <f ca="1">IFERROR(__xludf.DUMMYFUNCTION("""COMPUTED_VALUE"""),"0.81")</f>
        <v>0.81</v>
      </c>
      <c r="L1269" s="584">
        <f ca="1">IFERROR(__xludf.DUMMYFUNCTION("""COMPUTED_VALUE"""),1)</f>
        <v>1</v>
      </c>
      <c r="M1269" s="584"/>
      <c r="N1269" s="584" t="str">
        <f ca="1">IFERROR(__xludf.DUMMYFUNCTION("""COMPUTED_VALUE"""),"Không")</f>
        <v>Không</v>
      </c>
      <c r="O1269" s="583"/>
      <c r="P1269" s="584"/>
      <c r="Q1269" s="885">
        <f ca="1">+$Q$5*I1269</f>
        <v>45.434843999999991</v>
      </c>
    </row>
    <row r="1270" spans="1:17" ht="15.75">
      <c r="A1270" s="587" t="str">
        <f ca="1">IFERROR(__xludf.DUMMYFUNCTION("""COMPUTED_VALUE"""),"Hailiang")</f>
        <v>Hailiang</v>
      </c>
      <c r="B1270" s="587" t="str">
        <f ca="1">IFERROR(__xludf.DUMMYFUNCTION("""COMPUTED_VALUE"""),"ĐHLBANH")</f>
        <v>ĐHLBANH</v>
      </c>
      <c r="C1270" s="587" t="str">
        <f ca="1">IFERROR(__xludf.DUMMYFUNCTION("""COMPUTED_VALUE"""),"DOHLLWC1270071")</f>
        <v>DOHLLWC1270071</v>
      </c>
      <c r="D1270" s="588" t="str">
        <f ca="1">IFERROR(__xludf.DUMMYFUNCTION("""COMPUTED_VALUE"""),"Đồng cuộn Hailiang LWC 12.7x0.71")</f>
        <v>Đồng cuộn Hailiang LWC 12.7x0.71</v>
      </c>
      <c r="E1270" s="589">
        <f ca="1">IFERROR(__xludf.DUMMYFUNCTION("""COMPUTED_VALUE"""),0.1)</f>
        <v>0.1</v>
      </c>
      <c r="F1270" s="590" t="str">
        <f ca="1">IFERROR(__xludf.DUMMYFUNCTION("""COMPUTED_VALUE"""),"m")</f>
        <v>m</v>
      </c>
      <c r="G1270" s="590" t="str">
        <f ca="1">IFERROR(__xludf.DUMMYFUNCTION("""COMPUTED_VALUE"""),"m")</f>
        <v>m</v>
      </c>
      <c r="H1270" s="588"/>
      <c r="I1270" s="591">
        <f ca="1">IFERROR(__xludf.DUMMYFUNCTION("""COMPUTED_VALUE"""),0.238361199999999)</f>
        <v>0.238361199999999</v>
      </c>
      <c r="J1270" s="592" t="str">
        <f ca="1">IFERROR(__xludf.DUMMYFUNCTION("""COMPUTED_VALUE""")," 12.70 ")</f>
        <v xml:space="preserve"> 12.70 </v>
      </c>
      <c r="K1270" s="590" t="str">
        <f ca="1">IFERROR(__xludf.DUMMYFUNCTION("""COMPUTED_VALUE"""),"0.71")</f>
        <v>0.71</v>
      </c>
      <c r="L1270" s="590">
        <f ca="1">IFERROR(__xludf.DUMMYFUNCTION("""COMPUTED_VALUE"""),1)</f>
        <v>1</v>
      </c>
      <c r="M1270" s="590"/>
      <c r="N1270" s="590" t="str">
        <f ca="1">IFERROR(__xludf.DUMMYFUNCTION("""COMPUTED_VALUE"""),"Không")</f>
        <v>Không</v>
      </c>
      <c r="O1270" s="589"/>
      <c r="P1270" s="590"/>
      <c r="Q1270" s="885">
        <f ca="1">+$Q$5*I1270</f>
        <v>54.823075999999759</v>
      </c>
    </row>
    <row r="1271" spans="1:17" ht="15.75">
      <c r="A1271" s="581" t="str">
        <f ca="1">IFERROR(__xludf.DUMMYFUNCTION("""COMPUTED_VALUE"""),"Hailiang")</f>
        <v>Hailiang</v>
      </c>
      <c r="B1271" s="581" t="str">
        <f ca="1">IFERROR(__xludf.DUMMYFUNCTION("""COMPUTED_VALUE"""),"ĐHLBANH")</f>
        <v>ĐHLBANH</v>
      </c>
      <c r="C1271" s="581" t="str">
        <f ca="1">IFERROR(__xludf.DUMMYFUNCTION("""COMPUTED_VALUE"""),"DOHLLWC1270081")</f>
        <v>DOHLLWC1270081</v>
      </c>
      <c r="D1271" s="582" t="str">
        <f ca="1">IFERROR(__xludf.DUMMYFUNCTION("""COMPUTED_VALUE"""),"Đồng cuộn Hailiang LWC 12.7x0.81")</f>
        <v>Đồng cuộn Hailiang LWC 12.7x0.81</v>
      </c>
      <c r="E1271" s="583">
        <f ca="1">IFERROR(__xludf.DUMMYFUNCTION("""COMPUTED_VALUE"""),0.1)</f>
        <v>0.1</v>
      </c>
      <c r="F1271" s="584" t="str">
        <f ca="1">IFERROR(__xludf.DUMMYFUNCTION("""COMPUTED_VALUE"""),"m")</f>
        <v>m</v>
      </c>
      <c r="G1271" s="584" t="str">
        <f ca="1">IFERROR(__xludf.DUMMYFUNCTION("""COMPUTED_VALUE"""),"m")</f>
        <v>m</v>
      </c>
      <c r="H1271" s="582"/>
      <c r="I1271" s="585">
        <f ca="1">IFERROR(__xludf.DUMMYFUNCTION("""COMPUTED_VALUE"""),0.2696652)</f>
        <v>0.26966519999999999</v>
      </c>
      <c r="J1271" s="586" t="str">
        <f ca="1">IFERROR(__xludf.DUMMYFUNCTION("""COMPUTED_VALUE""")," 12.70 ")</f>
        <v xml:space="preserve"> 12.70 </v>
      </c>
      <c r="K1271" s="584" t="str">
        <f ca="1">IFERROR(__xludf.DUMMYFUNCTION("""COMPUTED_VALUE"""),"0.81")</f>
        <v>0.81</v>
      </c>
      <c r="L1271" s="584">
        <f ca="1">IFERROR(__xludf.DUMMYFUNCTION("""COMPUTED_VALUE"""),1)</f>
        <v>1</v>
      </c>
      <c r="M1271" s="584"/>
      <c r="N1271" s="584" t="str">
        <f ca="1">IFERROR(__xludf.DUMMYFUNCTION("""COMPUTED_VALUE"""),"Không")</f>
        <v>Không</v>
      </c>
      <c r="O1271" s="583"/>
      <c r="P1271" s="584"/>
      <c r="Q1271" s="885">
        <f ca="1">+$Q$5*I1271</f>
        <v>62.022995999999992</v>
      </c>
    </row>
    <row r="1272" spans="1:17" ht="15.75">
      <c r="A1272" s="587" t="str">
        <f ca="1">IFERROR(__xludf.DUMMYFUNCTION("""COMPUTED_VALUE"""),"Hailiang")</f>
        <v>Hailiang</v>
      </c>
      <c r="B1272" s="587" t="str">
        <f ca="1">IFERROR(__xludf.DUMMYFUNCTION("""COMPUTED_VALUE"""),"ĐHLBANH")</f>
        <v>ĐHLBANH</v>
      </c>
      <c r="C1272" s="587" t="str">
        <f ca="1">IFERROR(__xludf.DUMMYFUNCTION("""COMPUTED_VALUE"""),"DOHLLWC1588102")</f>
        <v>DOHLLWC1588102</v>
      </c>
      <c r="D1272" s="588" t="str">
        <f ca="1">IFERROR(__xludf.DUMMYFUNCTION("""COMPUTED_VALUE"""),"Đồng cuộn Hailiang LWC 15.88x1.02")</f>
        <v>Đồng cuộn Hailiang LWC 15.88x1.02</v>
      </c>
      <c r="E1272" s="589">
        <f ca="1">IFERROR(__xludf.DUMMYFUNCTION("""COMPUTED_VALUE"""),0.1)</f>
        <v>0.1</v>
      </c>
      <c r="F1272" s="590" t="str">
        <f ca="1">IFERROR(__xludf.DUMMYFUNCTION("""COMPUTED_VALUE"""),"m")</f>
        <v>m</v>
      </c>
      <c r="G1272" s="590" t="str">
        <f ca="1">IFERROR(__xludf.DUMMYFUNCTION("""COMPUTED_VALUE"""),"m")</f>
        <v>m</v>
      </c>
      <c r="H1272" s="588"/>
      <c r="I1272" s="591">
        <f ca="1">IFERROR(__xludf.DUMMYFUNCTION("""COMPUTED_VALUE"""),0.4244016)</f>
        <v>0.42440159999999999</v>
      </c>
      <c r="J1272" s="592" t="str">
        <f ca="1">IFERROR(__xludf.DUMMYFUNCTION("""COMPUTED_VALUE""")," 15.88 ")</f>
        <v xml:space="preserve"> 15.88 </v>
      </c>
      <c r="K1272" s="590" t="str">
        <f ca="1">IFERROR(__xludf.DUMMYFUNCTION("""COMPUTED_VALUE"""),"1.02")</f>
        <v>1.02</v>
      </c>
      <c r="L1272" s="590">
        <f ca="1">IFERROR(__xludf.DUMMYFUNCTION("""COMPUTED_VALUE"""),1)</f>
        <v>1</v>
      </c>
      <c r="M1272" s="590"/>
      <c r="N1272" s="590" t="str">
        <f ca="1">IFERROR(__xludf.DUMMYFUNCTION("""COMPUTED_VALUE"""),"Không")</f>
        <v>Không</v>
      </c>
      <c r="O1272" s="589"/>
      <c r="P1272" s="590"/>
      <c r="Q1272" s="885">
        <f ca="1">+$Q$5*I1272</f>
        <v>97.612367999999989</v>
      </c>
    </row>
    <row r="1273" spans="1:17" ht="15.75">
      <c r="A1273" s="581" t="str">
        <f ca="1">IFERROR(__xludf.DUMMYFUNCTION("""COMPUTED_VALUE"""),"Hailiang")</f>
        <v>Hailiang</v>
      </c>
      <c r="B1273" s="581" t="str">
        <f ca="1">IFERROR(__xludf.DUMMYFUNCTION("""COMPUTED_VALUE"""),"ĐHLBANH")</f>
        <v>ĐHLBANH</v>
      </c>
      <c r="C1273" s="581" t="str">
        <f ca="1">IFERROR(__xludf.DUMMYFUNCTION("""COMPUTED_VALUE"""),"DOHLLWC1905102")</f>
        <v>DOHLLWC1905102</v>
      </c>
      <c r="D1273" s="582" t="str">
        <f ca="1">IFERROR(__xludf.DUMMYFUNCTION("""COMPUTED_VALUE"""),"Đồng cuộn Hailiang LWC 19.05x1.02")</f>
        <v>Đồng cuộn Hailiang LWC 19.05x1.02</v>
      </c>
      <c r="E1273" s="583">
        <f ca="1">IFERROR(__xludf.DUMMYFUNCTION("""COMPUTED_VALUE"""),0.1)</f>
        <v>0.1</v>
      </c>
      <c r="F1273" s="584" t="str">
        <f ca="1">IFERROR(__xludf.DUMMYFUNCTION("""COMPUTED_VALUE"""),"m")</f>
        <v>m</v>
      </c>
      <c r="G1273" s="584" t="str">
        <f ca="1">IFERROR(__xludf.DUMMYFUNCTION("""COMPUTED_VALUE"""),"m")</f>
        <v>m</v>
      </c>
      <c r="H1273" s="582"/>
      <c r="I1273" s="585">
        <f ca="1">IFERROR(__xludf.DUMMYFUNCTION("""COMPUTED_VALUE"""),0.5149368)</f>
        <v>0.51493679999999997</v>
      </c>
      <c r="J1273" s="586" t="str">
        <f ca="1">IFERROR(__xludf.DUMMYFUNCTION("""COMPUTED_VALUE""")," 19.05 ")</f>
        <v xml:space="preserve"> 19.05 </v>
      </c>
      <c r="K1273" s="584" t="str">
        <f ca="1">IFERROR(__xludf.DUMMYFUNCTION("""COMPUTED_VALUE"""),"1.02")</f>
        <v>1.02</v>
      </c>
      <c r="L1273" s="584">
        <f ca="1">IFERROR(__xludf.DUMMYFUNCTION("""COMPUTED_VALUE"""),1)</f>
        <v>1</v>
      </c>
      <c r="M1273" s="584"/>
      <c r="N1273" s="584" t="str">
        <f ca="1">IFERROR(__xludf.DUMMYFUNCTION("""COMPUTED_VALUE"""),"Không")</f>
        <v>Không</v>
      </c>
      <c r="O1273" s="583"/>
      <c r="P1273" s="584"/>
      <c r="Q1273" s="885">
        <f ca="1">+$Q$5*I1273</f>
        <v>118.43546399999998</v>
      </c>
    </row>
    <row r="1274" spans="1:17" ht="15.75">
      <c r="A1274" s="587" t="str">
        <f ca="1">IFERROR(__xludf.DUMMYFUNCTION("""COMPUTED_VALUE"""),"Taisei Hailiang")</f>
        <v>Taisei Hailiang</v>
      </c>
      <c r="B1274" s="587" t="str">
        <f ca="1">IFERROR(__xludf.DUMMYFUNCTION("""COMPUTED_VALUE"""),"ĐTSCUONDD")</f>
        <v>ĐTSCUONDD</v>
      </c>
      <c r="C1274" s="587" t="str">
        <f ca="1">IFERROR(__xludf.DUMMYFUNCTION("""COMPUTED_VALUE"""),"DOCHLTS0635061")</f>
        <v>DOCHLTS0635061</v>
      </c>
      <c r="D1274" s="588" t="str">
        <f ca="1">IFERROR(__xludf.DUMMYFUNCTION("""COMPUTED_VALUE"""),"Đồng ống Taisei PC 06.35x0.61 HL")</f>
        <v>Đồng ống Taisei PC 06.35x0.61 HL</v>
      </c>
      <c r="E1274" s="589">
        <f ca="1">IFERROR(__xludf.DUMMYFUNCTION("""COMPUTED_VALUE"""),0.1)</f>
        <v>0.1</v>
      </c>
      <c r="F1274" s="590" t="str">
        <f ca="1">IFERROR(__xludf.DUMMYFUNCTION("""COMPUTED_VALUE"""),"Cuộn")</f>
        <v>Cuộn</v>
      </c>
      <c r="G1274" s="590" t="str">
        <f ca="1">IFERROR(__xludf.DUMMYFUNCTION("""COMPUTED_VALUE"""),"Cuộn 15m")</f>
        <v>Cuộn 15m</v>
      </c>
      <c r="H1274" s="588" t="str">
        <f ca="1">IFERROR(__xludf.DUMMYFUNCTION("""COMPUTED_VALUE"""),"10")</f>
        <v>10</v>
      </c>
      <c r="I1274" s="591">
        <f ca="1">IFERROR(__xludf.DUMMYFUNCTION("""COMPUTED_VALUE"""),1.47058799999999)</f>
        <v>1.47058799999999</v>
      </c>
      <c r="J1274" s="592" t="str">
        <f ca="1">IFERROR(__xludf.DUMMYFUNCTION("""COMPUTED_VALUE""")," 06.35 ")</f>
        <v xml:space="preserve"> 06.35 </v>
      </c>
      <c r="K1274" s="590" t="str">
        <f ca="1">IFERROR(__xludf.DUMMYFUNCTION("""COMPUTED_VALUE"""),"0.61")</f>
        <v>0.61</v>
      </c>
      <c r="L1274" s="590">
        <f ca="1">IFERROR(__xludf.DUMMYFUNCTION("""COMPUTED_VALUE"""),15)</f>
        <v>15</v>
      </c>
      <c r="M1274" s="590"/>
      <c r="N1274" s="590" t="str">
        <f ca="1">IFERROR(__xludf.DUMMYFUNCTION("""COMPUTED_VALUE"""),"Không")</f>
        <v>Không</v>
      </c>
      <c r="O1274" s="589"/>
      <c r="P1274" s="590"/>
      <c r="Q1274" s="885">
        <f ca="1">+$Q$5*I1274</f>
        <v>338.23523999999765</v>
      </c>
    </row>
    <row r="1275" spans="1:17" ht="15.75">
      <c r="A1275" s="581" t="str">
        <f ca="1">IFERROR(__xludf.DUMMYFUNCTION("""COMPUTED_VALUE"""),"Taisei Hailiang")</f>
        <v>Taisei Hailiang</v>
      </c>
      <c r="B1275" s="581" t="str">
        <f ca="1">IFERROR(__xludf.DUMMYFUNCTION("""COMPUTED_VALUE"""),"ĐTSCUONDD")</f>
        <v>ĐTSCUONDD</v>
      </c>
      <c r="C1275" s="581" t="str">
        <f ca="1">IFERROR(__xludf.DUMMYFUNCTION("""COMPUTED_VALUE"""),"DOCHLTS0635071")</f>
        <v>DOCHLTS0635071</v>
      </c>
      <c r="D1275" s="582" t="str">
        <f ca="1">IFERROR(__xludf.DUMMYFUNCTION("""COMPUTED_VALUE"""),"Đồng ống Taisei PC 06.35x0.71 HL")</f>
        <v>Đồng ống Taisei PC 06.35x0.71 HL</v>
      </c>
      <c r="E1275" s="583">
        <f ca="1">IFERROR(__xludf.DUMMYFUNCTION("""COMPUTED_VALUE"""),0.1)</f>
        <v>0.1</v>
      </c>
      <c r="F1275" s="584" t="str">
        <f ca="1">IFERROR(__xludf.DUMMYFUNCTION("""COMPUTED_VALUE"""),"Cuộn")</f>
        <v>Cuộn</v>
      </c>
      <c r="G1275" s="584" t="str">
        <f ca="1">IFERROR(__xludf.DUMMYFUNCTION("""COMPUTED_VALUE"""),"Cuộn 15m")</f>
        <v>Cuộn 15m</v>
      </c>
      <c r="H1275" s="582" t="str">
        <f ca="1">IFERROR(__xludf.DUMMYFUNCTION("""COMPUTED_VALUE"""),"10")</f>
        <v>10</v>
      </c>
      <c r="I1275" s="585">
        <f ca="1">IFERROR(__xludf.DUMMYFUNCTION("""COMPUTED_VALUE"""),1.68184799999999)</f>
        <v>1.68184799999999</v>
      </c>
      <c r="J1275" s="586" t="str">
        <f ca="1">IFERROR(__xludf.DUMMYFUNCTION("""COMPUTED_VALUE""")," 06.35 ")</f>
        <v xml:space="preserve"> 06.35 </v>
      </c>
      <c r="K1275" s="584" t="str">
        <f ca="1">IFERROR(__xludf.DUMMYFUNCTION("""COMPUTED_VALUE"""),"0.71")</f>
        <v>0.71</v>
      </c>
      <c r="L1275" s="584">
        <f ca="1">IFERROR(__xludf.DUMMYFUNCTION("""COMPUTED_VALUE"""),15)</f>
        <v>15</v>
      </c>
      <c r="M1275" s="584"/>
      <c r="N1275" s="584" t="str">
        <f ca="1">IFERROR(__xludf.DUMMYFUNCTION("""COMPUTED_VALUE"""),"Không")</f>
        <v>Không</v>
      </c>
      <c r="O1275" s="583"/>
      <c r="P1275" s="584"/>
      <c r="Q1275" s="885">
        <f ca="1">+$Q$5*I1275</f>
        <v>386.82503999999767</v>
      </c>
    </row>
    <row r="1276" spans="1:17" ht="15.75">
      <c r="A1276" s="587" t="str">
        <f ca="1">IFERROR(__xludf.DUMMYFUNCTION("""COMPUTED_VALUE"""),"Taisei Hailiang")</f>
        <v>Taisei Hailiang</v>
      </c>
      <c r="B1276" s="587" t="str">
        <f ca="1">IFERROR(__xludf.DUMMYFUNCTION("""COMPUTED_VALUE"""),"ĐTSCUONCT")</f>
        <v>ĐTSCUONCT</v>
      </c>
      <c r="C1276" s="587" t="str">
        <f ca="1">IFERROR(__xludf.DUMMYFUNCTION("""COMPUTED_VALUE"""),"DOCHLTS0635081")</f>
        <v>DOCHLTS0635081</v>
      </c>
      <c r="D1276" s="588" t="str">
        <f ca="1">IFERROR(__xludf.DUMMYFUNCTION("""COMPUTED_VALUE"""),"Đồng ống Taisei PC 06.35x0.81 HL")</f>
        <v>Đồng ống Taisei PC 06.35x0.81 HL</v>
      </c>
      <c r="E1276" s="589">
        <f ca="1">IFERROR(__xludf.DUMMYFUNCTION("""COMPUTED_VALUE"""),0.1)</f>
        <v>0.1</v>
      </c>
      <c r="F1276" s="590" t="str">
        <f ca="1">IFERROR(__xludf.DUMMYFUNCTION("""COMPUTED_VALUE"""),"Cuộn")</f>
        <v>Cuộn</v>
      </c>
      <c r="G1276" s="590" t="str">
        <f ca="1">IFERROR(__xludf.DUMMYFUNCTION("""COMPUTED_VALUE"""),"Cuộn 15m")</f>
        <v>Cuộn 15m</v>
      </c>
      <c r="H1276" s="588" t="str">
        <f ca="1">IFERROR(__xludf.DUMMYFUNCTION("""COMPUTED_VALUE"""),"10")</f>
        <v>10</v>
      </c>
      <c r="I1276" s="591">
        <f ca="1">IFERROR(__xludf.DUMMYFUNCTION("""COMPUTED_VALUE"""),1.88470799999999)</f>
        <v>1.8847079999999901</v>
      </c>
      <c r="J1276" s="592" t="str">
        <f ca="1">IFERROR(__xludf.DUMMYFUNCTION("""COMPUTED_VALUE""")," 06.35 ")</f>
        <v xml:space="preserve"> 06.35 </v>
      </c>
      <c r="K1276" s="590" t="str">
        <f ca="1">IFERROR(__xludf.DUMMYFUNCTION("""COMPUTED_VALUE"""),"0.81")</f>
        <v>0.81</v>
      </c>
      <c r="L1276" s="590">
        <f ca="1">IFERROR(__xludf.DUMMYFUNCTION("""COMPUTED_VALUE"""),15)</f>
        <v>15</v>
      </c>
      <c r="M1276" s="590"/>
      <c r="N1276" s="590" t="str">
        <f ca="1">IFERROR(__xludf.DUMMYFUNCTION("""COMPUTED_VALUE"""),"Không")</f>
        <v>Không</v>
      </c>
      <c r="O1276" s="589"/>
      <c r="P1276" s="590"/>
      <c r="Q1276" s="885">
        <f ca="1">+$Q$5*I1276</f>
        <v>433.48283999999768</v>
      </c>
    </row>
    <row r="1277" spans="1:17" ht="15.75">
      <c r="A1277" s="581" t="str">
        <f ca="1">IFERROR(__xludf.DUMMYFUNCTION("""COMPUTED_VALUE"""),"Taisei Hailiang")</f>
        <v>Taisei Hailiang</v>
      </c>
      <c r="B1277" s="581" t="str">
        <f ca="1">IFERROR(__xludf.DUMMYFUNCTION("""COMPUTED_VALUE"""),"ĐTSCUONDD")</f>
        <v>ĐTSCUONDD</v>
      </c>
      <c r="C1277" s="581" t="str">
        <f ca="1">IFERROR(__xludf.DUMMYFUNCTION("""COMPUTED_VALUE"""),"DOCHLTS0952061")</f>
        <v>DOCHLTS0952061</v>
      </c>
      <c r="D1277" s="582" t="str">
        <f ca="1">IFERROR(__xludf.DUMMYFUNCTION("""COMPUTED_VALUE"""),"Đồng ống Taisei PC 09.52x0.61 HL")</f>
        <v>Đồng ống Taisei PC 09.52x0.61 HL</v>
      </c>
      <c r="E1277" s="583">
        <f ca="1">IFERROR(__xludf.DUMMYFUNCTION("""COMPUTED_VALUE"""),0.1)</f>
        <v>0.1</v>
      </c>
      <c r="F1277" s="584" t="str">
        <f ca="1">IFERROR(__xludf.DUMMYFUNCTION("""COMPUTED_VALUE"""),"Cuộn")</f>
        <v>Cuộn</v>
      </c>
      <c r="G1277" s="584" t="str">
        <f ca="1">IFERROR(__xludf.DUMMYFUNCTION("""COMPUTED_VALUE"""),"Cuộn 15m")</f>
        <v>Cuộn 15m</v>
      </c>
      <c r="H1277" s="582" t="str">
        <f ca="1">IFERROR(__xludf.DUMMYFUNCTION("""COMPUTED_VALUE"""),"10")</f>
        <v>10</v>
      </c>
      <c r="I1277" s="585">
        <f ca="1">IFERROR(__xludf.DUMMYFUNCTION("""COMPUTED_VALUE"""),2.282742)</f>
        <v>2.2827419999999998</v>
      </c>
      <c r="J1277" s="586" t="str">
        <f ca="1">IFERROR(__xludf.DUMMYFUNCTION("""COMPUTED_VALUE""")," 09.52 ")</f>
        <v xml:space="preserve"> 09.52 </v>
      </c>
      <c r="K1277" s="584" t="str">
        <f ca="1">IFERROR(__xludf.DUMMYFUNCTION("""COMPUTED_VALUE"""),"0.61")</f>
        <v>0.61</v>
      </c>
      <c r="L1277" s="584">
        <f ca="1">IFERROR(__xludf.DUMMYFUNCTION("""COMPUTED_VALUE"""),15)</f>
        <v>15</v>
      </c>
      <c r="M1277" s="584"/>
      <c r="N1277" s="584" t="str">
        <f ca="1">IFERROR(__xludf.DUMMYFUNCTION("""COMPUTED_VALUE"""),"Không")</f>
        <v>Không</v>
      </c>
      <c r="O1277" s="583"/>
      <c r="P1277" s="584"/>
      <c r="Q1277" s="885">
        <f ca="1">+$Q$5*I1277</f>
        <v>525.0306599999999</v>
      </c>
    </row>
    <row r="1278" spans="1:17" ht="15.75">
      <c r="A1278" s="587" t="str">
        <f ca="1">IFERROR(__xludf.DUMMYFUNCTION("""COMPUTED_VALUE"""),"Taisei Hailiang")</f>
        <v>Taisei Hailiang</v>
      </c>
      <c r="B1278" s="587" t="str">
        <f ca="1">IFERROR(__xludf.DUMMYFUNCTION("""COMPUTED_VALUE"""),"ĐTSCUONDD")</f>
        <v>ĐTSCUONDD</v>
      </c>
      <c r="C1278" s="587" t="str">
        <f ca="1">IFERROR(__xludf.DUMMYFUNCTION("""COMPUTED_VALUE"""),"DOCHLTS0952071")</f>
        <v>DOCHLTS0952071</v>
      </c>
      <c r="D1278" s="588" t="str">
        <f ca="1">IFERROR(__xludf.DUMMYFUNCTION("""COMPUTED_VALUE"""),"Đồng ống Taisei PC 09.52x0.71 HL")</f>
        <v>Đồng ống Taisei PC 09.52x0.71 HL</v>
      </c>
      <c r="E1278" s="589">
        <f ca="1">IFERROR(__xludf.DUMMYFUNCTION("""COMPUTED_VALUE"""),0.1)</f>
        <v>0.1</v>
      </c>
      <c r="F1278" s="590" t="str">
        <f ca="1">IFERROR(__xludf.DUMMYFUNCTION("""COMPUTED_VALUE"""),"Cuộn")</f>
        <v>Cuộn</v>
      </c>
      <c r="G1278" s="590" t="str">
        <f ca="1">IFERROR(__xludf.DUMMYFUNCTION("""COMPUTED_VALUE"""),"Cuộn 15m")</f>
        <v>Cuộn 15m</v>
      </c>
      <c r="H1278" s="588" t="str">
        <f ca="1">IFERROR(__xludf.DUMMYFUNCTION("""COMPUTED_VALUE"""),"10")</f>
        <v>10</v>
      </c>
      <c r="I1278" s="591">
        <f ca="1">IFERROR(__xludf.DUMMYFUNCTION("""COMPUTED_VALUE"""),2.62714199999999)</f>
        <v>2.6271419999999899</v>
      </c>
      <c r="J1278" s="592" t="str">
        <f ca="1">IFERROR(__xludf.DUMMYFUNCTION("""COMPUTED_VALUE""")," 09.52 ")</f>
        <v xml:space="preserve"> 09.52 </v>
      </c>
      <c r="K1278" s="590" t="str">
        <f ca="1">IFERROR(__xludf.DUMMYFUNCTION("""COMPUTED_VALUE"""),"0.71")</f>
        <v>0.71</v>
      </c>
      <c r="L1278" s="590">
        <f ca="1">IFERROR(__xludf.DUMMYFUNCTION("""COMPUTED_VALUE"""),15)</f>
        <v>15</v>
      </c>
      <c r="M1278" s="590"/>
      <c r="N1278" s="590" t="str">
        <f ca="1">IFERROR(__xludf.DUMMYFUNCTION("""COMPUTED_VALUE"""),"Không")</f>
        <v>Không</v>
      </c>
      <c r="O1278" s="589"/>
      <c r="P1278" s="590"/>
      <c r="Q1278" s="885">
        <f ca="1">+$Q$5*I1278</f>
        <v>604.24265999999761</v>
      </c>
    </row>
    <row r="1279" spans="1:17" ht="15.75">
      <c r="A1279" s="581" t="str">
        <f ca="1">IFERROR(__xludf.DUMMYFUNCTION("""COMPUTED_VALUE"""),"Taisei Hailiang")</f>
        <v>Taisei Hailiang</v>
      </c>
      <c r="B1279" s="581" t="str">
        <f ca="1">IFERROR(__xludf.DUMMYFUNCTION("""COMPUTED_VALUE"""),"ĐTSCUONCT")</f>
        <v>ĐTSCUONCT</v>
      </c>
      <c r="C1279" s="581" t="str">
        <f ca="1">IFERROR(__xludf.DUMMYFUNCTION("""COMPUTED_VALUE"""),"DOCHLTS0952081")</f>
        <v>DOCHLTS0952081</v>
      </c>
      <c r="D1279" s="582" t="str">
        <f ca="1">IFERROR(__xludf.DUMMYFUNCTION("""COMPUTED_VALUE"""),"Đồng ống Taisei PC 09.52x0.81 HL")</f>
        <v>Đồng ống Taisei PC 09.52x0.81 HL</v>
      </c>
      <c r="E1279" s="583">
        <f ca="1">IFERROR(__xludf.DUMMYFUNCTION("""COMPUTED_VALUE"""),0.1)</f>
        <v>0.1</v>
      </c>
      <c r="F1279" s="584" t="str">
        <f ca="1">IFERROR(__xludf.DUMMYFUNCTION("""COMPUTED_VALUE"""),"Cuộn")</f>
        <v>Cuộn</v>
      </c>
      <c r="G1279" s="584" t="str">
        <f ca="1">IFERROR(__xludf.DUMMYFUNCTION("""COMPUTED_VALUE"""),"Cuộn 15m")</f>
        <v>Cuộn 15m</v>
      </c>
      <c r="H1279" s="582" t="str">
        <f ca="1">IFERROR(__xludf.DUMMYFUNCTION("""COMPUTED_VALUE"""),"10")</f>
        <v>10</v>
      </c>
      <c r="I1279" s="585">
        <f ca="1">IFERROR(__xludf.DUMMYFUNCTION("""COMPUTED_VALUE"""),2.963142)</f>
        <v>2.9631419999999999</v>
      </c>
      <c r="J1279" s="586" t="str">
        <f ca="1">IFERROR(__xludf.DUMMYFUNCTION("""COMPUTED_VALUE""")," 09.52 ")</f>
        <v xml:space="preserve"> 09.52 </v>
      </c>
      <c r="K1279" s="584" t="str">
        <f ca="1">IFERROR(__xludf.DUMMYFUNCTION("""COMPUTED_VALUE"""),"0.81")</f>
        <v>0.81</v>
      </c>
      <c r="L1279" s="584">
        <f ca="1">IFERROR(__xludf.DUMMYFUNCTION("""COMPUTED_VALUE"""),15)</f>
        <v>15</v>
      </c>
      <c r="M1279" s="584"/>
      <c r="N1279" s="584" t="str">
        <f ca="1">IFERROR(__xludf.DUMMYFUNCTION("""COMPUTED_VALUE"""),"Không")</f>
        <v>Không</v>
      </c>
      <c r="O1279" s="583"/>
      <c r="P1279" s="584"/>
      <c r="Q1279" s="885">
        <f ca="1">+$Q$5*I1279</f>
        <v>681.52265999999986</v>
      </c>
    </row>
    <row r="1280" spans="1:17" ht="15.75">
      <c r="A1280" s="587" t="str">
        <f ca="1">IFERROR(__xludf.DUMMYFUNCTION("""COMPUTED_VALUE"""),"Taisei Hailiang")</f>
        <v>Taisei Hailiang</v>
      </c>
      <c r="B1280" s="587" t="str">
        <f ca="1">IFERROR(__xludf.DUMMYFUNCTION("""COMPUTED_VALUE"""),"ĐTSCUONDD")</f>
        <v>ĐTSCUONDD</v>
      </c>
      <c r="C1280" s="587" t="str">
        <f ca="1">IFERROR(__xludf.DUMMYFUNCTION("""COMPUTED_VALUE"""),"DOCHLTS1270061")</f>
        <v>DOCHLTS1270061</v>
      </c>
      <c r="D1280" s="588" t="str">
        <f ca="1">IFERROR(__xludf.DUMMYFUNCTION("""COMPUTED_VALUE"""),"Đồng ống Taisei PC 12.70x0.61 HL")</f>
        <v>Đồng ống Taisei PC 12.70x0.61 HL</v>
      </c>
      <c r="E1280" s="589">
        <f ca="1">IFERROR(__xludf.DUMMYFUNCTION("""COMPUTED_VALUE"""),0.1)</f>
        <v>0.1</v>
      </c>
      <c r="F1280" s="590" t="str">
        <f ca="1">IFERROR(__xludf.DUMMYFUNCTION("""COMPUTED_VALUE"""),"Cuộn")</f>
        <v>Cuộn</v>
      </c>
      <c r="G1280" s="590" t="str">
        <f ca="1">IFERROR(__xludf.DUMMYFUNCTION("""COMPUTED_VALUE"""),"Cuộn 15m")</f>
        <v>Cuộn 15m</v>
      </c>
      <c r="H1280" s="588" t="str">
        <f ca="1">IFERROR(__xludf.DUMMYFUNCTION("""COMPUTED_VALUE"""),"5")</f>
        <v>5</v>
      </c>
      <c r="I1280" s="591">
        <f ca="1">IFERROR(__xludf.DUMMYFUNCTION("""COMPUTED_VALUE"""),3.097458)</f>
        <v>3.097458</v>
      </c>
      <c r="J1280" s="592" t="str">
        <f ca="1">IFERROR(__xludf.DUMMYFUNCTION("""COMPUTED_VALUE""")," 12.70 ")</f>
        <v xml:space="preserve"> 12.70 </v>
      </c>
      <c r="K1280" s="590" t="str">
        <f ca="1">IFERROR(__xludf.DUMMYFUNCTION("""COMPUTED_VALUE"""),"0.61")</f>
        <v>0.61</v>
      </c>
      <c r="L1280" s="590">
        <f ca="1">IFERROR(__xludf.DUMMYFUNCTION("""COMPUTED_VALUE"""),15)</f>
        <v>15</v>
      </c>
      <c r="M1280" s="590"/>
      <c r="N1280" s="590" t="str">
        <f ca="1">IFERROR(__xludf.DUMMYFUNCTION("""COMPUTED_VALUE"""),"Không")</f>
        <v>Không</v>
      </c>
      <c r="O1280" s="589"/>
      <c r="P1280" s="590"/>
      <c r="Q1280" s="885">
        <f ca="1">+$Q$5*I1280</f>
        <v>712.4153399999999</v>
      </c>
    </row>
    <row r="1281" spans="1:17" ht="15.75">
      <c r="A1281" s="581" t="str">
        <f ca="1">IFERROR(__xludf.DUMMYFUNCTION("""COMPUTED_VALUE"""),"Taisei Hailiang")</f>
        <v>Taisei Hailiang</v>
      </c>
      <c r="B1281" s="581" t="str">
        <f ca="1">IFERROR(__xludf.DUMMYFUNCTION("""COMPUTED_VALUE"""),"ĐTSCUONDD")</f>
        <v>ĐTSCUONDD</v>
      </c>
      <c r="C1281" s="581" t="str">
        <f ca="1">IFERROR(__xludf.DUMMYFUNCTION("""COMPUTED_VALUE"""),"DOCHLTS1270071")</f>
        <v>DOCHLTS1270071</v>
      </c>
      <c r="D1281" s="582" t="str">
        <f ca="1">IFERROR(__xludf.DUMMYFUNCTION("""COMPUTED_VALUE"""),"Đồng ống Taisei PC 12.70x0.71 HL")</f>
        <v>Đồng ống Taisei PC 12.70x0.71 HL</v>
      </c>
      <c r="E1281" s="583">
        <f ca="1">IFERROR(__xludf.DUMMYFUNCTION("""COMPUTED_VALUE"""),0.1)</f>
        <v>0.1</v>
      </c>
      <c r="F1281" s="584" t="str">
        <f ca="1">IFERROR(__xludf.DUMMYFUNCTION("""COMPUTED_VALUE"""),"Cuộn")</f>
        <v>Cuộn</v>
      </c>
      <c r="G1281" s="584" t="str">
        <f ca="1">IFERROR(__xludf.DUMMYFUNCTION("""COMPUTED_VALUE"""),"Cuộn 15m")</f>
        <v>Cuộn 15m</v>
      </c>
      <c r="H1281" s="582" t="str">
        <f ca="1">IFERROR(__xludf.DUMMYFUNCTION("""COMPUTED_VALUE"""),"5")</f>
        <v>5</v>
      </c>
      <c r="I1281" s="585">
        <f ca="1">IFERROR(__xludf.DUMMYFUNCTION("""COMPUTED_VALUE"""),3.57541799999999)</f>
        <v>3.5754179999999902</v>
      </c>
      <c r="J1281" s="586" t="str">
        <f ca="1">IFERROR(__xludf.DUMMYFUNCTION("""COMPUTED_VALUE""")," 12.70 ")</f>
        <v xml:space="preserve"> 12.70 </v>
      </c>
      <c r="K1281" s="584" t="str">
        <f ca="1">IFERROR(__xludf.DUMMYFUNCTION("""COMPUTED_VALUE"""),"0.71")</f>
        <v>0.71</v>
      </c>
      <c r="L1281" s="584">
        <f ca="1">IFERROR(__xludf.DUMMYFUNCTION("""COMPUTED_VALUE"""),15)</f>
        <v>15</v>
      </c>
      <c r="M1281" s="584"/>
      <c r="N1281" s="584" t="str">
        <f ca="1">IFERROR(__xludf.DUMMYFUNCTION("""COMPUTED_VALUE"""),"Không")</f>
        <v>Không</v>
      </c>
      <c r="O1281" s="583"/>
      <c r="P1281" s="584"/>
      <c r="Q1281" s="885">
        <f ca="1">+$Q$5*I1281</f>
        <v>822.3461399999976</v>
      </c>
    </row>
    <row r="1282" spans="1:17" ht="15.75">
      <c r="A1282" s="587" t="str">
        <f ca="1">IFERROR(__xludf.DUMMYFUNCTION("""COMPUTED_VALUE"""),"Taisei Hailiang")</f>
        <v>Taisei Hailiang</v>
      </c>
      <c r="B1282" s="587" t="str">
        <f ca="1">IFERROR(__xludf.DUMMYFUNCTION("""COMPUTED_VALUE"""),"ĐTSCUONCT")</f>
        <v>ĐTSCUONCT</v>
      </c>
      <c r="C1282" s="587" t="str">
        <f ca="1">IFERROR(__xludf.DUMMYFUNCTION("""COMPUTED_VALUE"""),"DOCHLTS1270081")</f>
        <v>DOCHLTS1270081</v>
      </c>
      <c r="D1282" s="588" t="str">
        <f ca="1">IFERROR(__xludf.DUMMYFUNCTION("""COMPUTED_VALUE"""),"Đồng ống Taisei PC 12.70x0.81 HL")</f>
        <v>Đồng ống Taisei PC 12.70x0.81 HL</v>
      </c>
      <c r="E1282" s="589">
        <f ca="1">IFERROR(__xludf.DUMMYFUNCTION("""COMPUTED_VALUE"""),0.1)</f>
        <v>0.1</v>
      </c>
      <c r="F1282" s="590" t="str">
        <f ca="1">IFERROR(__xludf.DUMMYFUNCTION("""COMPUTED_VALUE"""),"Cuộn")</f>
        <v>Cuộn</v>
      </c>
      <c r="G1282" s="590" t="str">
        <f ca="1">IFERROR(__xludf.DUMMYFUNCTION("""COMPUTED_VALUE"""),"Cuộn 15m")</f>
        <v>Cuộn 15m</v>
      </c>
      <c r="H1282" s="588" t="str">
        <f ca="1">IFERROR(__xludf.DUMMYFUNCTION("""COMPUTED_VALUE"""),"5")</f>
        <v>5</v>
      </c>
      <c r="I1282" s="591">
        <f ca="1">IFERROR(__xludf.DUMMYFUNCTION("""COMPUTED_VALUE"""),4.04497799999999)</f>
        <v>4.0449779999999897</v>
      </c>
      <c r="J1282" s="592" t="str">
        <f ca="1">IFERROR(__xludf.DUMMYFUNCTION("""COMPUTED_VALUE""")," 12.70 ")</f>
        <v xml:space="preserve"> 12.70 </v>
      </c>
      <c r="K1282" s="590" t="str">
        <f ca="1">IFERROR(__xludf.DUMMYFUNCTION("""COMPUTED_VALUE"""),"0.81")</f>
        <v>0.81</v>
      </c>
      <c r="L1282" s="590">
        <f ca="1">IFERROR(__xludf.DUMMYFUNCTION("""COMPUTED_VALUE"""),15)</f>
        <v>15</v>
      </c>
      <c r="M1282" s="590"/>
      <c r="N1282" s="590" t="str">
        <f ca="1">IFERROR(__xludf.DUMMYFUNCTION("""COMPUTED_VALUE"""),"Không")</f>
        <v>Không</v>
      </c>
      <c r="O1282" s="589"/>
      <c r="P1282" s="590"/>
      <c r="Q1282" s="885">
        <f ca="1">+$Q$5*I1282</f>
        <v>930.34493999999756</v>
      </c>
    </row>
    <row r="1283" spans="1:17" ht="15.75">
      <c r="A1283" s="581" t="str">
        <f ca="1">IFERROR(__xludf.DUMMYFUNCTION("""COMPUTED_VALUE"""),"Taisei Hailiang")</f>
        <v>Taisei Hailiang</v>
      </c>
      <c r="B1283" s="581" t="str">
        <f ca="1">IFERROR(__xludf.DUMMYFUNCTION("""COMPUTED_VALUE"""),"ĐTSCUONDD")</f>
        <v>ĐTSCUONDD</v>
      </c>
      <c r="C1283" s="581" t="str">
        <f ca="1">IFERROR(__xludf.DUMMYFUNCTION("""COMPUTED_VALUE"""),"DOCHLTS1588071")</f>
        <v>DOCHLTS1588071</v>
      </c>
      <c r="D1283" s="582" t="str">
        <f ca="1">IFERROR(__xludf.DUMMYFUNCTION("""COMPUTED_VALUE"""),"Đồng ống Taisei PC 15.88x0.71 HL")</f>
        <v>Đồng ống Taisei PC 15.88x0.71 HL</v>
      </c>
      <c r="E1283" s="583">
        <f ca="1">IFERROR(__xludf.DUMMYFUNCTION("""COMPUTED_VALUE"""),0.1)</f>
        <v>0.1</v>
      </c>
      <c r="F1283" s="584" t="str">
        <f ca="1">IFERROR(__xludf.DUMMYFUNCTION("""COMPUTED_VALUE"""),"Cuộn")</f>
        <v>Cuộn</v>
      </c>
      <c r="G1283" s="584" t="str">
        <f ca="1">IFERROR(__xludf.DUMMYFUNCTION("""COMPUTED_VALUE"""),"Cuộn 15m")</f>
        <v>Cuộn 15m</v>
      </c>
      <c r="H1283" s="582" t="str">
        <f ca="1">IFERROR(__xludf.DUMMYFUNCTION("""COMPUTED_VALUE"""),"5")</f>
        <v>5</v>
      </c>
      <c r="I1283" s="585">
        <f ca="1">IFERROR(__xludf.DUMMYFUNCTION("""COMPUTED_VALUE"""),4.523694)</f>
        <v>4.5236939999999999</v>
      </c>
      <c r="J1283" s="586" t="str">
        <f ca="1">IFERROR(__xludf.DUMMYFUNCTION("""COMPUTED_VALUE""")," 15.88 ")</f>
        <v xml:space="preserve"> 15.88 </v>
      </c>
      <c r="K1283" s="584" t="str">
        <f ca="1">IFERROR(__xludf.DUMMYFUNCTION("""COMPUTED_VALUE"""),"0.71")</f>
        <v>0.71</v>
      </c>
      <c r="L1283" s="584">
        <f ca="1">IFERROR(__xludf.DUMMYFUNCTION("""COMPUTED_VALUE"""),15)</f>
        <v>15</v>
      </c>
      <c r="M1283" s="584"/>
      <c r="N1283" s="584" t="str">
        <f ca="1">IFERROR(__xludf.DUMMYFUNCTION("""COMPUTED_VALUE"""),"Không")</f>
        <v>Không</v>
      </c>
      <c r="O1283" s="583"/>
      <c r="P1283" s="584"/>
      <c r="Q1283" s="885">
        <f ca="1">+$Q$5*I1283</f>
        <v>1040.4496199999999</v>
      </c>
    </row>
    <row r="1284" spans="1:17" ht="15.75">
      <c r="A1284" s="587" t="str">
        <f ca="1">IFERROR(__xludf.DUMMYFUNCTION("""COMPUTED_VALUE"""),"Taisei Hailiang")</f>
        <v>Taisei Hailiang</v>
      </c>
      <c r="B1284" s="587" t="str">
        <f ca="1">IFERROR(__xludf.DUMMYFUNCTION("""COMPUTED_VALUE"""),"ĐTSCUONCT")</f>
        <v>ĐTSCUONCT</v>
      </c>
      <c r="C1284" s="587" t="str">
        <f ca="1">IFERROR(__xludf.DUMMYFUNCTION("""COMPUTED_VALUE"""),"DOCHLTS1588081")</f>
        <v>DOCHLTS1588081</v>
      </c>
      <c r="D1284" s="588" t="str">
        <f ca="1">IFERROR(__xludf.DUMMYFUNCTION("""COMPUTED_VALUE"""),"Đồng ống Taisei PC 15.88x0.81 HL")</f>
        <v>Đồng ống Taisei PC 15.88x0.81 HL</v>
      </c>
      <c r="E1284" s="589">
        <f ca="1">IFERROR(__xludf.DUMMYFUNCTION("""COMPUTED_VALUE"""),0.1)</f>
        <v>0.1</v>
      </c>
      <c r="F1284" s="590" t="str">
        <f ca="1">IFERROR(__xludf.DUMMYFUNCTION("""COMPUTED_VALUE"""),"Cuộn")</f>
        <v>Cuộn</v>
      </c>
      <c r="G1284" s="590" t="str">
        <f ca="1">IFERROR(__xludf.DUMMYFUNCTION("""COMPUTED_VALUE"""),"Cuộn 15m")</f>
        <v>Cuộn 15m</v>
      </c>
      <c r="H1284" s="588" t="str">
        <f ca="1">IFERROR(__xludf.DUMMYFUNCTION("""COMPUTED_VALUE"""),"5")</f>
        <v>5</v>
      </c>
      <c r="I1284" s="591">
        <f ca="1">IFERROR(__xludf.DUMMYFUNCTION("""COMPUTED_VALUE"""),5.126814)</f>
        <v>5.1268140000000004</v>
      </c>
      <c r="J1284" s="592" t="str">
        <f ca="1">IFERROR(__xludf.DUMMYFUNCTION("""COMPUTED_VALUE""")," 15.88 ")</f>
        <v xml:space="preserve"> 15.88 </v>
      </c>
      <c r="K1284" s="590" t="str">
        <f ca="1">IFERROR(__xludf.DUMMYFUNCTION("""COMPUTED_VALUE"""),"0.81")</f>
        <v>0.81</v>
      </c>
      <c r="L1284" s="590">
        <f ca="1">IFERROR(__xludf.DUMMYFUNCTION("""COMPUTED_VALUE"""),15)</f>
        <v>15</v>
      </c>
      <c r="M1284" s="590"/>
      <c r="N1284" s="590" t="str">
        <f ca="1">IFERROR(__xludf.DUMMYFUNCTION("""COMPUTED_VALUE"""),"Không")</f>
        <v>Không</v>
      </c>
      <c r="O1284" s="589"/>
      <c r="P1284" s="590"/>
      <c r="Q1284" s="885">
        <f ca="1">+$Q$5*I1284</f>
        <v>1179.16722</v>
      </c>
    </row>
    <row r="1285" spans="1:17" ht="15.75">
      <c r="A1285" s="581" t="str">
        <f ca="1">IFERROR(__xludf.DUMMYFUNCTION("""COMPUTED_VALUE"""),"Taisei Hailiang")</f>
        <v>Taisei Hailiang</v>
      </c>
      <c r="B1285" s="581" t="str">
        <f ca="1">IFERROR(__xludf.DUMMYFUNCTION("""COMPUTED_VALUE"""),"ĐTSCUONCT")</f>
        <v>ĐTSCUONCT</v>
      </c>
      <c r="C1285" s="581" t="str">
        <f ca="1">IFERROR(__xludf.DUMMYFUNCTION("""COMPUTED_VALUE"""),"DOCHLTS1588100")</f>
        <v>DOCHLTS1588100</v>
      </c>
      <c r="D1285" s="582" t="str">
        <f ca="1">IFERROR(__xludf.DUMMYFUNCTION("""COMPUTED_VALUE"""),"Đồng ống Taisei PC 15.88x1.00 HL")</f>
        <v>Đồng ống Taisei PC 15.88x1.00 HL</v>
      </c>
      <c r="E1285" s="583">
        <f ca="1">IFERROR(__xludf.DUMMYFUNCTION("""COMPUTED_VALUE"""),0.1)</f>
        <v>0.1</v>
      </c>
      <c r="F1285" s="584" t="str">
        <f ca="1">IFERROR(__xludf.DUMMYFUNCTION("""COMPUTED_VALUE"""),"Cuộn")</f>
        <v>Cuộn</v>
      </c>
      <c r="G1285" s="584" t="str">
        <f ca="1">IFERROR(__xludf.DUMMYFUNCTION("""COMPUTED_VALUE"""),"Cuộn 15m")</f>
        <v>Cuộn 15m</v>
      </c>
      <c r="H1285" s="582" t="str">
        <f ca="1">IFERROR(__xludf.DUMMYFUNCTION("""COMPUTED_VALUE"""),"5")</f>
        <v>5</v>
      </c>
      <c r="I1285" s="585">
        <f ca="1">IFERROR(__xludf.DUMMYFUNCTION("""COMPUTED_VALUE"""),6.2496)</f>
        <v>6.2496</v>
      </c>
      <c r="J1285" s="586" t="str">
        <f ca="1">IFERROR(__xludf.DUMMYFUNCTION("""COMPUTED_VALUE""")," 15.88 ")</f>
        <v xml:space="preserve"> 15.88 </v>
      </c>
      <c r="K1285" s="584" t="str">
        <f ca="1">IFERROR(__xludf.DUMMYFUNCTION("""COMPUTED_VALUE"""),"1.00")</f>
        <v>1.00</v>
      </c>
      <c r="L1285" s="584">
        <f ca="1">IFERROR(__xludf.DUMMYFUNCTION("""COMPUTED_VALUE"""),15)</f>
        <v>15</v>
      </c>
      <c r="M1285" s="584"/>
      <c r="N1285" s="584" t="str">
        <f ca="1">IFERROR(__xludf.DUMMYFUNCTION("""COMPUTED_VALUE"""),"Không")</f>
        <v>Không</v>
      </c>
      <c r="O1285" s="583"/>
      <c r="P1285" s="584"/>
      <c r="Q1285" s="885">
        <f ca="1">+$Q$5*I1285</f>
        <v>1437.4079999999999</v>
      </c>
    </row>
    <row r="1286" spans="1:17" ht="15.75">
      <c r="A1286" s="587" t="str">
        <f ca="1">IFERROR(__xludf.DUMMYFUNCTION("""COMPUTED_VALUE"""),"Taisei Hailiang")</f>
        <v>Taisei Hailiang</v>
      </c>
      <c r="B1286" s="587" t="str">
        <f ca="1">IFERROR(__xludf.DUMMYFUNCTION("""COMPUTED_VALUE"""),"ĐTSCUONDD")</f>
        <v>ĐTSCUONDD</v>
      </c>
      <c r="C1286" s="587" t="str">
        <f ca="1">IFERROR(__xludf.DUMMYFUNCTION("""COMPUTED_VALUE"""),"DOCHLTS1905071")</f>
        <v>DOCHLTS1905071</v>
      </c>
      <c r="D1286" s="588" t="str">
        <f ca="1">IFERROR(__xludf.DUMMYFUNCTION("""COMPUTED_VALUE"""),"Đồng ống Taisei PC 19.05x0.71 HL")</f>
        <v>Đồng ống Taisei PC 19.05x0.71 HL</v>
      </c>
      <c r="E1286" s="589">
        <f ca="1">IFERROR(__xludf.DUMMYFUNCTION("""COMPUTED_VALUE"""),0.1)</f>
        <v>0.1</v>
      </c>
      <c r="F1286" s="590" t="str">
        <f ca="1">IFERROR(__xludf.DUMMYFUNCTION("""COMPUTED_VALUE"""),"Cuộn")</f>
        <v>Cuộn</v>
      </c>
      <c r="G1286" s="590" t="str">
        <f ca="1">IFERROR(__xludf.DUMMYFUNCTION("""COMPUTED_VALUE"""),"Cuộn 15m")</f>
        <v>Cuộn 15m</v>
      </c>
      <c r="H1286" s="588" t="str">
        <f ca="1">IFERROR(__xludf.DUMMYFUNCTION("""COMPUTED_VALUE"""),"4")</f>
        <v>4</v>
      </c>
      <c r="I1286" s="591">
        <f ca="1">IFERROR(__xludf.DUMMYFUNCTION("""COMPUTED_VALUE"""),5.468988)</f>
        <v>5.4689880000000004</v>
      </c>
      <c r="J1286" s="592" t="str">
        <f ca="1">IFERROR(__xludf.DUMMYFUNCTION("""COMPUTED_VALUE""")," 19.05 ")</f>
        <v xml:space="preserve"> 19.05 </v>
      </c>
      <c r="K1286" s="590" t="str">
        <f ca="1">IFERROR(__xludf.DUMMYFUNCTION("""COMPUTED_VALUE"""),"0.71")</f>
        <v>0.71</v>
      </c>
      <c r="L1286" s="590">
        <f ca="1">IFERROR(__xludf.DUMMYFUNCTION("""COMPUTED_VALUE"""),15)</f>
        <v>15</v>
      </c>
      <c r="M1286" s="590"/>
      <c r="N1286" s="590" t="str">
        <f ca="1">IFERROR(__xludf.DUMMYFUNCTION("""COMPUTED_VALUE"""),"Không")</f>
        <v>Không</v>
      </c>
      <c r="O1286" s="589"/>
      <c r="P1286" s="590"/>
      <c r="Q1286" s="885">
        <f ca="1">+$Q$5*I1286</f>
        <v>1257.86724</v>
      </c>
    </row>
    <row r="1287" spans="1:17" ht="15.75">
      <c r="A1287" s="581" t="str">
        <f ca="1">IFERROR(__xludf.DUMMYFUNCTION("""COMPUTED_VALUE"""),"Taisei Hailiang")</f>
        <v>Taisei Hailiang</v>
      </c>
      <c r="B1287" s="581" t="str">
        <f ca="1">IFERROR(__xludf.DUMMYFUNCTION("""COMPUTED_VALUE"""),"ĐTSCUONCT")</f>
        <v>ĐTSCUONCT</v>
      </c>
      <c r="C1287" s="581" t="str">
        <f ca="1">IFERROR(__xludf.DUMMYFUNCTION("""COMPUTED_VALUE"""),"DOCHLTS1905081")</f>
        <v>DOCHLTS1905081</v>
      </c>
      <c r="D1287" s="582" t="str">
        <f ca="1">IFERROR(__xludf.DUMMYFUNCTION("""COMPUTED_VALUE"""),"Đồng ống Taisei PC 19.05x0.81 HL")</f>
        <v>Đồng ống Taisei PC 19.05x0.81 HL</v>
      </c>
      <c r="E1287" s="583">
        <f ca="1">IFERROR(__xludf.DUMMYFUNCTION("""COMPUTED_VALUE"""),0.1)</f>
        <v>0.1</v>
      </c>
      <c r="F1287" s="584" t="str">
        <f ca="1">IFERROR(__xludf.DUMMYFUNCTION("""COMPUTED_VALUE"""),"Cuộn")</f>
        <v>Cuộn</v>
      </c>
      <c r="G1287" s="584" t="str">
        <f ca="1">IFERROR(__xludf.DUMMYFUNCTION("""COMPUTED_VALUE"""),"Cuộn 15m")</f>
        <v>Cuộn 15m</v>
      </c>
      <c r="H1287" s="582" t="str">
        <f ca="1">IFERROR(__xludf.DUMMYFUNCTION("""COMPUTED_VALUE"""),"4")</f>
        <v>4</v>
      </c>
      <c r="I1287" s="585">
        <f ca="1">IFERROR(__xludf.DUMMYFUNCTION("""COMPUTED_VALUE"""),6.205248)</f>
        <v>6.2052480000000001</v>
      </c>
      <c r="J1287" s="586" t="str">
        <f ca="1">IFERROR(__xludf.DUMMYFUNCTION("""COMPUTED_VALUE""")," 19.05 ")</f>
        <v xml:space="preserve"> 19.05 </v>
      </c>
      <c r="K1287" s="584" t="str">
        <f ca="1">IFERROR(__xludf.DUMMYFUNCTION("""COMPUTED_VALUE"""),"0.81")</f>
        <v>0.81</v>
      </c>
      <c r="L1287" s="584">
        <f ca="1">IFERROR(__xludf.DUMMYFUNCTION("""COMPUTED_VALUE"""),15)</f>
        <v>15</v>
      </c>
      <c r="M1287" s="584"/>
      <c r="N1287" s="584" t="str">
        <f ca="1">IFERROR(__xludf.DUMMYFUNCTION("""COMPUTED_VALUE"""),"Không")</f>
        <v>Không</v>
      </c>
      <c r="O1287" s="583"/>
      <c r="P1287" s="584"/>
      <c r="Q1287" s="885">
        <f ca="1">+$Q$5*I1287</f>
        <v>1427.2070399999998</v>
      </c>
    </row>
    <row r="1288" spans="1:17" ht="15.75">
      <c r="A1288" s="587" t="str">
        <f ca="1">IFERROR(__xludf.DUMMYFUNCTION("""COMPUTED_VALUE"""),"Taisei Hailiang")</f>
        <v>Taisei Hailiang</v>
      </c>
      <c r="B1288" s="587" t="str">
        <f ca="1">IFERROR(__xludf.DUMMYFUNCTION("""COMPUTED_VALUE"""),"ĐTSCUONCT")</f>
        <v>ĐTSCUONCT</v>
      </c>
      <c r="C1288" s="587" t="str">
        <f ca="1">IFERROR(__xludf.DUMMYFUNCTION("""COMPUTED_VALUE"""),"DOCHLTS1905100")</f>
        <v>DOCHLTS1905100</v>
      </c>
      <c r="D1288" s="588" t="str">
        <f ca="1">IFERROR(__xludf.DUMMYFUNCTION("""COMPUTED_VALUE"""),"Đồng ống Taisei PC 19.05x1.00 HL")</f>
        <v>Đồng ống Taisei PC 19.05x1.00 HL</v>
      </c>
      <c r="E1288" s="589">
        <f ca="1">IFERROR(__xludf.DUMMYFUNCTION("""COMPUTED_VALUE"""),0.1)</f>
        <v>0.1</v>
      </c>
      <c r="F1288" s="590" t="str">
        <f ca="1">IFERROR(__xludf.DUMMYFUNCTION("""COMPUTED_VALUE"""),"Cuộn")</f>
        <v>Cuộn</v>
      </c>
      <c r="G1288" s="590" t="str">
        <f ca="1">IFERROR(__xludf.DUMMYFUNCTION("""COMPUTED_VALUE"""),"Cuộn 15m")</f>
        <v>Cuộn 15m</v>
      </c>
      <c r="H1288" s="588" t="str">
        <f ca="1">IFERROR(__xludf.DUMMYFUNCTION("""COMPUTED_VALUE"""),"4")</f>
        <v>4</v>
      </c>
      <c r="I1288" s="591">
        <f ca="1">IFERROR(__xludf.DUMMYFUNCTION("""COMPUTED_VALUE"""),7.581)</f>
        <v>7.5810000000000004</v>
      </c>
      <c r="J1288" s="592" t="str">
        <f ca="1">IFERROR(__xludf.DUMMYFUNCTION("""COMPUTED_VALUE""")," 19.05 ")</f>
        <v xml:space="preserve"> 19.05 </v>
      </c>
      <c r="K1288" s="590" t="str">
        <f ca="1">IFERROR(__xludf.DUMMYFUNCTION("""COMPUTED_VALUE"""),"1.00")</f>
        <v>1.00</v>
      </c>
      <c r="L1288" s="590">
        <f ca="1">IFERROR(__xludf.DUMMYFUNCTION("""COMPUTED_VALUE"""),15)</f>
        <v>15</v>
      </c>
      <c r="M1288" s="590"/>
      <c r="N1288" s="590" t="str">
        <f ca="1">IFERROR(__xludf.DUMMYFUNCTION("""COMPUTED_VALUE"""),"Không")</f>
        <v>Không</v>
      </c>
      <c r="O1288" s="589"/>
      <c r="P1288" s="590"/>
      <c r="Q1288" s="885">
        <f ca="1">+$Q$5*I1288</f>
        <v>1743.6299999999999</v>
      </c>
    </row>
    <row r="1289" spans="1:17" ht="15.75">
      <c r="A1289" s="581" t="str">
        <f ca="1">IFERROR(__xludf.DUMMYFUNCTION("""COMPUTED_VALUE"""),"Taisei Việt Nam")</f>
        <v>Taisei Việt Nam</v>
      </c>
      <c r="B1289" s="581" t="str">
        <f ca="1">IFERROR(__xludf.DUMMYFUNCTION("""COMPUTED_VALUE"""),"ĐTSCUONDI")</f>
        <v>ĐTSCUONDI</v>
      </c>
      <c r="C1289" s="581" t="str">
        <f ca="1">IFERROR(__xludf.DUMMYFUNCTION("""COMPUTED_VALUE"""),"DOCTAISEI0635061")</f>
        <v>DOCTAISEI0635061</v>
      </c>
      <c r="D1289" s="582" t="str">
        <f ca="1">IFERROR(__xludf.DUMMYFUNCTION("""COMPUTED_VALUE"""),"Đồng ống TAISEI PC 06.35x0.61")</f>
        <v>Đồng ống TAISEI PC 06.35x0.61</v>
      </c>
      <c r="E1289" s="583">
        <f ca="1">IFERROR(__xludf.DUMMYFUNCTION("""COMPUTED_VALUE"""),0.1)</f>
        <v>0.1</v>
      </c>
      <c r="F1289" s="584" t="str">
        <f ca="1">IFERROR(__xludf.DUMMYFUNCTION("""COMPUTED_VALUE"""),"Cuộn")</f>
        <v>Cuộn</v>
      </c>
      <c r="G1289" s="584" t="str">
        <f ca="1">IFERROR(__xludf.DUMMYFUNCTION("""COMPUTED_VALUE"""),"Cuộn 15m")</f>
        <v>Cuộn 15m</v>
      </c>
      <c r="H1289" s="582" t="str">
        <f ca="1">IFERROR(__xludf.DUMMYFUNCTION("""COMPUTED_VALUE"""),"12")</f>
        <v>12</v>
      </c>
      <c r="I1289" s="585">
        <f ca="1">IFERROR(__xludf.DUMMYFUNCTION("""COMPUTED_VALUE"""),1.47058799999999)</f>
        <v>1.47058799999999</v>
      </c>
      <c r="J1289" s="586" t="str">
        <f ca="1">IFERROR(__xludf.DUMMYFUNCTION("""COMPUTED_VALUE""")," 06.35 ")</f>
        <v xml:space="preserve"> 06.35 </v>
      </c>
      <c r="K1289" s="584" t="str">
        <f ca="1">IFERROR(__xludf.DUMMYFUNCTION("""COMPUTED_VALUE"""),"0.61")</f>
        <v>0.61</v>
      </c>
      <c r="L1289" s="584">
        <f ca="1">IFERROR(__xludf.DUMMYFUNCTION("""COMPUTED_VALUE"""),15)</f>
        <v>15</v>
      </c>
      <c r="M1289" s="584"/>
      <c r="N1289" s="584" t="str">
        <f ca="1">IFERROR(__xludf.DUMMYFUNCTION("""COMPUTED_VALUE"""),"Dị_D&lt;54")</f>
        <v>Dị_D&lt;54</v>
      </c>
      <c r="O1289" s="583">
        <f ca="1">IFERROR(__xludf.DUMMYFUNCTION("""COMPUTED_VALUE"""),1)</f>
        <v>1</v>
      </c>
      <c r="P1289" s="584"/>
    </row>
    <row r="1290" spans="1:17" ht="15.75">
      <c r="A1290" s="587" t="str">
        <f ca="1">IFERROR(__xludf.DUMMYFUNCTION("""COMPUTED_VALUE"""),"Taisei Việt Nam")</f>
        <v>Taisei Việt Nam</v>
      </c>
      <c r="B1290" s="587" t="str">
        <f ca="1">IFERROR(__xludf.DUMMYFUNCTION("""COMPUTED_VALUE"""),"ĐTSCUONDI")</f>
        <v>ĐTSCUONDI</v>
      </c>
      <c r="C1290" s="587" t="str">
        <f ca="1">IFERROR(__xludf.DUMMYFUNCTION("""COMPUTED_VALUE"""),"DOCTAISEI0635071")</f>
        <v>DOCTAISEI0635071</v>
      </c>
      <c r="D1290" s="588" t="str">
        <f ca="1">IFERROR(__xludf.DUMMYFUNCTION("""COMPUTED_VALUE"""),"Đồng ống TAISEI PC 06.35x0.71")</f>
        <v>Đồng ống TAISEI PC 06.35x0.71</v>
      </c>
      <c r="E1290" s="589">
        <f ca="1">IFERROR(__xludf.DUMMYFUNCTION("""COMPUTED_VALUE"""),0.1)</f>
        <v>0.1</v>
      </c>
      <c r="F1290" s="590" t="str">
        <f ca="1">IFERROR(__xludf.DUMMYFUNCTION("""COMPUTED_VALUE"""),"Cuộn")</f>
        <v>Cuộn</v>
      </c>
      <c r="G1290" s="590" t="str">
        <f ca="1">IFERROR(__xludf.DUMMYFUNCTION("""COMPUTED_VALUE"""),"Cuộn 15m")</f>
        <v>Cuộn 15m</v>
      </c>
      <c r="H1290" s="588" t="str">
        <f ca="1">IFERROR(__xludf.DUMMYFUNCTION("""COMPUTED_VALUE"""),"12")</f>
        <v>12</v>
      </c>
      <c r="I1290" s="591">
        <f ca="1">IFERROR(__xludf.DUMMYFUNCTION("""COMPUTED_VALUE"""),1.68184799999999)</f>
        <v>1.68184799999999</v>
      </c>
      <c r="J1290" s="592" t="str">
        <f ca="1">IFERROR(__xludf.DUMMYFUNCTION("""COMPUTED_VALUE""")," 06.35 ")</f>
        <v xml:space="preserve"> 06.35 </v>
      </c>
      <c r="K1290" s="590" t="str">
        <f ca="1">IFERROR(__xludf.DUMMYFUNCTION("""COMPUTED_VALUE"""),"0.71")</f>
        <v>0.71</v>
      </c>
      <c r="L1290" s="590">
        <f ca="1">IFERROR(__xludf.DUMMYFUNCTION("""COMPUTED_VALUE"""),15)</f>
        <v>15</v>
      </c>
      <c r="M1290" s="590"/>
      <c r="N1290" s="590" t="str">
        <f ca="1">IFERROR(__xludf.DUMMYFUNCTION("""COMPUTED_VALUE"""),"Dị_D&lt;54")</f>
        <v>Dị_D&lt;54</v>
      </c>
      <c r="O1290" s="589">
        <f ca="1">IFERROR(__xludf.DUMMYFUNCTION("""COMPUTED_VALUE"""),1)</f>
        <v>1</v>
      </c>
      <c r="P1290" s="590"/>
    </row>
    <row r="1291" spans="1:17" ht="15.75">
      <c r="A1291" s="581" t="str">
        <f ca="1">IFERROR(__xludf.DUMMYFUNCTION("""COMPUTED_VALUE"""),"Taisei Việt Nam")</f>
        <v>Taisei Việt Nam</v>
      </c>
      <c r="B1291" s="581" t="str">
        <f ca="1">IFERROR(__xludf.DUMMYFUNCTION("""COMPUTED_VALUE"""),"ĐTSCUONDI")</f>
        <v>ĐTSCUONDI</v>
      </c>
      <c r="C1291" s="581" t="str">
        <f ca="1">IFERROR(__xludf.DUMMYFUNCTION("""COMPUTED_VALUE"""),"DOCTAISEI0635076")</f>
        <v>DOCTAISEI0635076</v>
      </c>
      <c r="D1291" s="582" t="str">
        <f ca="1">IFERROR(__xludf.DUMMYFUNCTION("""COMPUTED_VALUE"""),"Đồng ống TAISEI PC 06.35x0.76")</f>
        <v>Đồng ống TAISEI PC 06.35x0.76</v>
      </c>
      <c r="E1291" s="583">
        <f ca="1">IFERROR(__xludf.DUMMYFUNCTION("""COMPUTED_VALUE"""),0.1)</f>
        <v>0.1</v>
      </c>
      <c r="F1291" s="584" t="str">
        <f ca="1">IFERROR(__xludf.DUMMYFUNCTION("""COMPUTED_VALUE"""),"Cuộn")</f>
        <v>Cuộn</v>
      </c>
      <c r="G1291" s="584" t="str">
        <f ca="1">IFERROR(__xludf.DUMMYFUNCTION("""COMPUTED_VALUE"""),"Cuộn 15m")</f>
        <v>Cuộn 15m</v>
      </c>
      <c r="H1291" s="582" t="str">
        <f ca="1">IFERROR(__xludf.DUMMYFUNCTION("""COMPUTED_VALUE"""),"12")</f>
        <v>12</v>
      </c>
      <c r="I1291" s="585">
        <f ca="1">IFERROR(__xludf.DUMMYFUNCTION("""COMPUTED_VALUE"""),1.784328)</f>
        <v>1.7843279999999999</v>
      </c>
      <c r="J1291" s="586" t="str">
        <f ca="1">IFERROR(__xludf.DUMMYFUNCTION("""COMPUTED_VALUE""")," 06.35 ")</f>
        <v xml:space="preserve"> 06.35 </v>
      </c>
      <c r="K1291" s="584" t="str">
        <f ca="1">IFERROR(__xludf.DUMMYFUNCTION("""COMPUTED_VALUE"""),"0.76")</f>
        <v>0.76</v>
      </c>
      <c r="L1291" s="584">
        <f ca="1">IFERROR(__xludf.DUMMYFUNCTION("""COMPUTED_VALUE"""),15)</f>
        <v>15</v>
      </c>
      <c r="M1291" s="584"/>
      <c r="N1291" s="584" t="str">
        <f ca="1">IFERROR(__xludf.DUMMYFUNCTION("""COMPUTED_VALUE"""),"Dị_D&lt;54")</f>
        <v>Dị_D&lt;54</v>
      </c>
      <c r="O1291" s="583"/>
      <c r="P1291" s="584"/>
    </row>
    <row r="1292" spans="1:17" ht="15.75">
      <c r="A1292" s="587" t="str">
        <f ca="1">IFERROR(__xludf.DUMMYFUNCTION("""COMPUTED_VALUE"""),"Taisei Việt Nam")</f>
        <v>Taisei Việt Nam</v>
      </c>
      <c r="B1292" s="587" t="str">
        <f ca="1">IFERROR(__xludf.DUMMYFUNCTION("""COMPUTED_VALUE"""),"ĐTSCUONDI")</f>
        <v>ĐTSCUONDI</v>
      </c>
      <c r="C1292" s="587" t="str">
        <f ca="1">IFERROR(__xludf.DUMMYFUNCTION("""COMPUTED_VALUE"""),"DOCTAISEI0635081")</f>
        <v>DOCTAISEI0635081</v>
      </c>
      <c r="D1292" s="588" t="str">
        <f ca="1">IFERROR(__xludf.DUMMYFUNCTION("""COMPUTED_VALUE"""),"Đồng ống TAISEI PC 06.35x0.81 ")</f>
        <v xml:space="preserve">Đồng ống TAISEI PC 06.35x0.81 </v>
      </c>
      <c r="E1292" s="589">
        <f ca="1">IFERROR(__xludf.DUMMYFUNCTION("""COMPUTED_VALUE"""),0.1)</f>
        <v>0.1</v>
      </c>
      <c r="F1292" s="590" t="str">
        <f ca="1">IFERROR(__xludf.DUMMYFUNCTION("""COMPUTED_VALUE"""),"Cuộn")</f>
        <v>Cuộn</v>
      </c>
      <c r="G1292" s="590" t="str">
        <f ca="1">IFERROR(__xludf.DUMMYFUNCTION("""COMPUTED_VALUE"""),"Cuộn 15m")</f>
        <v>Cuộn 15m</v>
      </c>
      <c r="H1292" s="588" t="str">
        <f ca="1">IFERROR(__xludf.DUMMYFUNCTION("""COMPUTED_VALUE"""),"12")</f>
        <v>12</v>
      </c>
      <c r="I1292" s="591">
        <f ca="1">IFERROR(__xludf.DUMMYFUNCTION("""COMPUTED_VALUE"""),1.88470799999999)</f>
        <v>1.8847079999999901</v>
      </c>
      <c r="J1292" s="592" t="str">
        <f ca="1">IFERROR(__xludf.DUMMYFUNCTION("""COMPUTED_VALUE""")," 06.35 ")</f>
        <v xml:space="preserve"> 06.35 </v>
      </c>
      <c r="K1292" s="590" t="str">
        <f ca="1">IFERROR(__xludf.DUMMYFUNCTION("""COMPUTED_VALUE"""),"0.81")</f>
        <v>0.81</v>
      </c>
      <c r="L1292" s="590">
        <f ca="1">IFERROR(__xludf.DUMMYFUNCTION("""COMPUTED_VALUE"""),15)</f>
        <v>15</v>
      </c>
      <c r="M1292" s="590"/>
      <c r="N1292" s="590" t="str">
        <f ca="1">IFERROR(__xludf.DUMMYFUNCTION("""COMPUTED_VALUE"""),"Dị_D&lt;54")</f>
        <v>Dị_D&lt;54</v>
      </c>
      <c r="O1292" s="589">
        <f ca="1">IFERROR(__xludf.DUMMYFUNCTION("""COMPUTED_VALUE"""),1)</f>
        <v>1</v>
      </c>
      <c r="P1292" s="590"/>
    </row>
    <row r="1293" spans="1:17" ht="15.75">
      <c r="A1293" s="581" t="str">
        <f ca="1">IFERROR(__xludf.DUMMYFUNCTION("""COMPUTED_VALUE"""),"Taisei Việt Nam")</f>
        <v>Taisei Việt Nam</v>
      </c>
      <c r="B1293" s="581" t="str">
        <f ca="1">IFERROR(__xludf.DUMMYFUNCTION("""COMPUTED_VALUE"""),"ĐTSCUONDI")</f>
        <v>ĐTSCUONDI</v>
      </c>
      <c r="C1293" s="581" t="str">
        <f ca="1">IFERROR(__xludf.DUMMYFUNCTION("""COMPUTED_VALUE"""),"DOCTAISEI0794071")</f>
        <v>DOCTAISEI0794071</v>
      </c>
      <c r="D1293" s="582" t="str">
        <f ca="1">IFERROR(__xludf.DUMMYFUNCTION("""COMPUTED_VALUE"""),"Đồng ống TAISEI PC 07.94x0.71")</f>
        <v>Đồng ống TAISEI PC 07.94x0.71</v>
      </c>
      <c r="E1293" s="583">
        <f ca="1">IFERROR(__xludf.DUMMYFUNCTION("""COMPUTED_VALUE"""),0.1)</f>
        <v>0.1</v>
      </c>
      <c r="F1293" s="584" t="str">
        <f ca="1">IFERROR(__xludf.DUMMYFUNCTION("""COMPUTED_VALUE"""),"Cuộn")</f>
        <v>Cuộn</v>
      </c>
      <c r="G1293" s="584" t="str">
        <f ca="1">IFERROR(__xludf.DUMMYFUNCTION("""COMPUTED_VALUE"""),"Cuộn 15m")</f>
        <v>Cuộn 15m</v>
      </c>
      <c r="H1293" s="582" t="str">
        <f ca="1">IFERROR(__xludf.DUMMYFUNCTION("""COMPUTED_VALUE"""),"10")</f>
        <v>10</v>
      </c>
      <c r="I1293" s="585">
        <f ca="1">IFERROR(__xludf.DUMMYFUNCTION("""COMPUTED_VALUE"""),2.155986)</f>
        <v>2.155986</v>
      </c>
      <c r="J1293" s="586" t="str">
        <f ca="1">IFERROR(__xludf.DUMMYFUNCTION("""COMPUTED_VALUE""")," 07.94 ")</f>
        <v xml:space="preserve"> 07.94 </v>
      </c>
      <c r="K1293" s="584" t="str">
        <f ca="1">IFERROR(__xludf.DUMMYFUNCTION("""COMPUTED_VALUE"""),"0.71")</f>
        <v>0.71</v>
      </c>
      <c r="L1293" s="584">
        <f ca="1">IFERROR(__xludf.DUMMYFUNCTION("""COMPUTED_VALUE"""),15)</f>
        <v>15</v>
      </c>
      <c r="M1293" s="584"/>
      <c r="N1293" s="584" t="str">
        <f ca="1">IFERROR(__xludf.DUMMYFUNCTION("""COMPUTED_VALUE"""),"Dị_D&lt;54")</f>
        <v>Dị_D&lt;54</v>
      </c>
      <c r="O1293" s="583">
        <f ca="1">IFERROR(__xludf.DUMMYFUNCTION("""COMPUTED_VALUE"""),1)</f>
        <v>1</v>
      </c>
      <c r="P1293" s="584"/>
    </row>
    <row r="1294" spans="1:17" ht="15.75">
      <c r="A1294" s="587" t="str">
        <f ca="1">IFERROR(__xludf.DUMMYFUNCTION("""COMPUTED_VALUE"""),"Taisei Việt Nam")</f>
        <v>Taisei Việt Nam</v>
      </c>
      <c r="B1294" s="587" t="str">
        <f ca="1">IFERROR(__xludf.DUMMYFUNCTION("""COMPUTED_VALUE"""),"ĐTSCUONDI")</f>
        <v>ĐTSCUONDI</v>
      </c>
      <c r="C1294" s="587" t="str">
        <f ca="1">IFERROR(__xludf.DUMMYFUNCTION("""COMPUTED_VALUE"""),"DOCTAISEI0952061")</f>
        <v>DOCTAISEI0952061</v>
      </c>
      <c r="D1294" s="588" t="str">
        <f ca="1">IFERROR(__xludf.DUMMYFUNCTION("""COMPUTED_VALUE"""),"Đồng ống TAISEI PC 09.52x0.61")</f>
        <v>Đồng ống TAISEI PC 09.52x0.61</v>
      </c>
      <c r="E1294" s="589">
        <f ca="1">IFERROR(__xludf.DUMMYFUNCTION("""COMPUTED_VALUE"""),0.1)</f>
        <v>0.1</v>
      </c>
      <c r="F1294" s="590" t="str">
        <f ca="1">IFERROR(__xludf.DUMMYFUNCTION("""COMPUTED_VALUE"""),"Cuộn")</f>
        <v>Cuộn</v>
      </c>
      <c r="G1294" s="590" t="str">
        <f ca="1">IFERROR(__xludf.DUMMYFUNCTION("""COMPUTED_VALUE"""),"Cuộn 15m")</f>
        <v>Cuộn 15m</v>
      </c>
      <c r="H1294" s="588" t="str">
        <f ca="1">IFERROR(__xludf.DUMMYFUNCTION("""COMPUTED_VALUE"""),"9")</f>
        <v>9</v>
      </c>
      <c r="I1294" s="591">
        <f ca="1">IFERROR(__xludf.DUMMYFUNCTION("""COMPUTED_VALUE"""),2.282742)</f>
        <v>2.2827419999999998</v>
      </c>
      <c r="J1294" s="592" t="str">
        <f ca="1">IFERROR(__xludf.DUMMYFUNCTION("""COMPUTED_VALUE""")," 09.52 ")</f>
        <v xml:space="preserve"> 09.52 </v>
      </c>
      <c r="K1294" s="590" t="str">
        <f ca="1">IFERROR(__xludf.DUMMYFUNCTION("""COMPUTED_VALUE"""),"0.61")</f>
        <v>0.61</v>
      </c>
      <c r="L1294" s="590">
        <f ca="1">IFERROR(__xludf.DUMMYFUNCTION("""COMPUTED_VALUE"""),15)</f>
        <v>15</v>
      </c>
      <c r="M1294" s="590"/>
      <c r="N1294" s="590" t="str">
        <f ca="1">IFERROR(__xludf.DUMMYFUNCTION("""COMPUTED_VALUE"""),"Dị_D&lt;54")</f>
        <v>Dị_D&lt;54</v>
      </c>
      <c r="O1294" s="589">
        <f ca="1">IFERROR(__xludf.DUMMYFUNCTION("""COMPUTED_VALUE"""),1)</f>
        <v>1</v>
      </c>
      <c r="P1294" s="590"/>
    </row>
    <row r="1295" spans="1:17" ht="15.75">
      <c r="A1295" s="581" t="str">
        <f ca="1">IFERROR(__xludf.DUMMYFUNCTION("""COMPUTED_VALUE"""),"Taisei Việt Nam")</f>
        <v>Taisei Việt Nam</v>
      </c>
      <c r="B1295" s="581" t="str">
        <f ca="1">IFERROR(__xludf.DUMMYFUNCTION("""COMPUTED_VALUE"""),"ĐTSCUONDI")</f>
        <v>ĐTSCUONDI</v>
      </c>
      <c r="C1295" s="581" t="str">
        <f ca="1">IFERROR(__xludf.DUMMYFUNCTION("""COMPUTED_VALUE"""),"DOCTS0952051")</f>
        <v>DOCTS0952051</v>
      </c>
      <c r="D1295" s="582" t="str">
        <f ca="1">IFERROR(__xludf.DUMMYFUNCTION("""COMPUTED_VALUE"""),"Đồng ống taisei PC 09.52x0.51")</f>
        <v>Đồng ống taisei PC 09.52x0.51</v>
      </c>
      <c r="E1295" s="583">
        <f ca="1">IFERROR(__xludf.DUMMYFUNCTION("""COMPUTED_VALUE"""),0.1)</f>
        <v>0.1</v>
      </c>
      <c r="F1295" s="584" t="str">
        <f ca="1">IFERROR(__xludf.DUMMYFUNCTION("""COMPUTED_VALUE"""),"Cuộn")</f>
        <v>Cuộn</v>
      </c>
      <c r="G1295" s="584" t="str">
        <f ca="1">IFERROR(__xludf.DUMMYFUNCTION("""COMPUTED_VALUE"""),"Cuộn 15m")</f>
        <v>Cuộn 15m</v>
      </c>
      <c r="H1295" s="582" t="str">
        <f ca="1">IFERROR(__xludf.DUMMYFUNCTION("""COMPUTED_VALUE"""),"9")</f>
        <v>9</v>
      </c>
      <c r="I1295" s="585">
        <f ca="1">IFERROR(__xludf.DUMMYFUNCTION("""COMPUTED_VALUE"""),1.929942)</f>
        <v>1.929942</v>
      </c>
      <c r="J1295" s="586" t="str">
        <f ca="1">IFERROR(__xludf.DUMMYFUNCTION("""COMPUTED_VALUE""")," 09.52 ")</f>
        <v xml:space="preserve"> 09.52 </v>
      </c>
      <c r="K1295" s="584" t="str">
        <f ca="1">IFERROR(__xludf.DUMMYFUNCTION("""COMPUTED_VALUE"""),"0.51")</f>
        <v>0.51</v>
      </c>
      <c r="L1295" s="584">
        <f ca="1">IFERROR(__xludf.DUMMYFUNCTION("""COMPUTED_VALUE"""),15)</f>
        <v>15</v>
      </c>
      <c r="M1295" s="584"/>
      <c r="N1295" s="584" t="str">
        <f ca="1">IFERROR(__xludf.DUMMYFUNCTION("""COMPUTED_VALUE"""),"Dị_D&lt;54")</f>
        <v>Dị_D&lt;54</v>
      </c>
      <c r="O1295" s="583"/>
      <c r="P1295" s="584"/>
    </row>
    <row r="1296" spans="1:17" ht="15.75">
      <c r="A1296" s="587" t="str">
        <f ca="1">IFERROR(__xludf.DUMMYFUNCTION("""COMPUTED_VALUE"""),"Taisei Việt Nam")</f>
        <v>Taisei Việt Nam</v>
      </c>
      <c r="B1296" s="587" t="str">
        <f ca="1">IFERROR(__xludf.DUMMYFUNCTION("""COMPUTED_VALUE"""),"ĐTSCUONDI")</f>
        <v>ĐTSCUONDI</v>
      </c>
      <c r="C1296" s="587" t="str">
        <f ca="1">IFERROR(__xludf.DUMMYFUNCTION("""COMPUTED_VALUE"""),"DOCTAISEI095207115")</f>
        <v>DOCTAISEI095207115</v>
      </c>
      <c r="D1296" s="588" t="str">
        <f ca="1">IFERROR(__xludf.DUMMYFUNCTION("""COMPUTED_VALUE"""),"Đồng ống TAISEI PC 09.52x0.71x15m ")</f>
        <v xml:space="preserve">Đồng ống TAISEI PC 09.52x0.71x15m </v>
      </c>
      <c r="E1296" s="589">
        <f ca="1">IFERROR(__xludf.DUMMYFUNCTION("""COMPUTED_VALUE"""),0.1)</f>
        <v>0.1</v>
      </c>
      <c r="F1296" s="590" t="str">
        <f ca="1">IFERROR(__xludf.DUMMYFUNCTION("""COMPUTED_VALUE"""),"Cuộn")</f>
        <v>Cuộn</v>
      </c>
      <c r="G1296" s="590" t="str">
        <f ca="1">IFERROR(__xludf.DUMMYFUNCTION("""COMPUTED_VALUE"""),"Cuộn 15m")</f>
        <v>Cuộn 15m</v>
      </c>
      <c r="H1296" s="588" t="str">
        <f ca="1">IFERROR(__xludf.DUMMYFUNCTION("""COMPUTED_VALUE"""),"9")</f>
        <v>9</v>
      </c>
      <c r="I1296" s="591">
        <f ca="1">IFERROR(__xludf.DUMMYFUNCTION("""COMPUTED_VALUE"""),2.62714199999999)</f>
        <v>2.6271419999999899</v>
      </c>
      <c r="J1296" s="592" t="str">
        <f ca="1">IFERROR(__xludf.DUMMYFUNCTION("""COMPUTED_VALUE""")," 09.52 ")</f>
        <v xml:space="preserve"> 09.52 </v>
      </c>
      <c r="K1296" s="590" t="str">
        <f ca="1">IFERROR(__xludf.DUMMYFUNCTION("""COMPUTED_VALUE"""),"0.71")</f>
        <v>0.71</v>
      </c>
      <c r="L1296" s="590">
        <f ca="1">IFERROR(__xludf.DUMMYFUNCTION("""COMPUTED_VALUE"""),15)</f>
        <v>15</v>
      </c>
      <c r="M1296" s="590"/>
      <c r="N1296" s="590" t="str">
        <f ca="1">IFERROR(__xludf.DUMMYFUNCTION("""COMPUTED_VALUE"""),"Dị_D&lt;54")</f>
        <v>Dị_D&lt;54</v>
      </c>
      <c r="O1296" s="589">
        <f ca="1">IFERROR(__xludf.DUMMYFUNCTION("""COMPUTED_VALUE"""),1)</f>
        <v>1</v>
      </c>
      <c r="P1296" s="590"/>
    </row>
    <row r="1297" spans="1:17" ht="15.75">
      <c r="A1297" s="581" t="str">
        <f ca="1">IFERROR(__xludf.DUMMYFUNCTION("""COMPUTED_VALUE"""),"Taisei Việt Nam")</f>
        <v>Taisei Việt Nam</v>
      </c>
      <c r="B1297" s="581" t="str">
        <f ca="1">IFERROR(__xludf.DUMMYFUNCTION("""COMPUTED_VALUE"""),"ĐTSCUONDI")</f>
        <v>ĐTSCUONDI</v>
      </c>
      <c r="C1297" s="581" t="str">
        <f ca="1">IFERROR(__xludf.DUMMYFUNCTION("""COMPUTED_VALUE"""),"DOCTAISEI0952081")</f>
        <v>DOCTAISEI0952081</v>
      </c>
      <c r="D1297" s="582" t="str">
        <f ca="1">IFERROR(__xludf.DUMMYFUNCTION("""COMPUTED_VALUE"""),"Đồng ống TAISEI PC 09.52x0.81 ")</f>
        <v xml:space="preserve">Đồng ống TAISEI PC 09.52x0.81 </v>
      </c>
      <c r="E1297" s="583">
        <f ca="1">IFERROR(__xludf.DUMMYFUNCTION("""COMPUTED_VALUE"""),0.1)</f>
        <v>0.1</v>
      </c>
      <c r="F1297" s="584" t="str">
        <f ca="1">IFERROR(__xludf.DUMMYFUNCTION("""COMPUTED_VALUE"""),"Cuộn")</f>
        <v>Cuộn</v>
      </c>
      <c r="G1297" s="584" t="str">
        <f ca="1">IFERROR(__xludf.DUMMYFUNCTION("""COMPUTED_VALUE"""),"Cuộn 15m")</f>
        <v>Cuộn 15m</v>
      </c>
      <c r="H1297" s="582" t="str">
        <f ca="1">IFERROR(__xludf.DUMMYFUNCTION("""COMPUTED_VALUE"""),"9")</f>
        <v>9</v>
      </c>
      <c r="I1297" s="585">
        <f ca="1">IFERROR(__xludf.DUMMYFUNCTION("""COMPUTED_VALUE"""),2.963142)</f>
        <v>2.9631419999999999</v>
      </c>
      <c r="J1297" s="586" t="str">
        <f ca="1">IFERROR(__xludf.DUMMYFUNCTION("""COMPUTED_VALUE""")," 09.52 ")</f>
        <v xml:space="preserve"> 09.52 </v>
      </c>
      <c r="K1297" s="584" t="str">
        <f ca="1">IFERROR(__xludf.DUMMYFUNCTION("""COMPUTED_VALUE"""),"0.81")</f>
        <v>0.81</v>
      </c>
      <c r="L1297" s="584">
        <f ca="1">IFERROR(__xludf.DUMMYFUNCTION("""COMPUTED_VALUE"""),15)</f>
        <v>15</v>
      </c>
      <c r="M1297" s="584"/>
      <c r="N1297" s="584" t="str">
        <f ca="1">IFERROR(__xludf.DUMMYFUNCTION("""COMPUTED_VALUE"""),"Dị_D&lt;54")</f>
        <v>Dị_D&lt;54</v>
      </c>
      <c r="O1297" s="583">
        <f ca="1">IFERROR(__xludf.DUMMYFUNCTION("""COMPUTED_VALUE"""),1)</f>
        <v>1</v>
      </c>
      <c r="P1297" s="584"/>
    </row>
    <row r="1298" spans="1:17" ht="15.75">
      <c r="A1298" s="587" t="str">
        <f ca="1">IFERROR(__xludf.DUMMYFUNCTION("""COMPUTED_VALUE"""),"Taisei Việt Nam")</f>
        <v>Taisei Việt Nam</v>
      </c>
      <c r="B1298" s="587" t="str">
        <f ca="1">IFERROR(__xludf.DUMMYFUNCTION("""COMPUTED_VALUE"""),"ĐTSCUONDI")</f>
        <v>ĐTSCUONDI</v>
      </c>
      <c r="C1298" s="587" t="str">
        <f ca="1">IFERROR(__xludf.DUMMYFUNCTION("""COMPUTED_VALUE"""),"DOCTS1200100")</f>
        <v>DOCTS1200100</v>
      </c>
      <c r="D1298" s="588" t="str">
        <f ca="1">IFERROR(__xludf.DUMMYFUNCTION("""COMPUTED_VALUE"""),"Đồng ống PC Taisei 12.00x1.00x15m")</f>
        <v>Đồng ống PC Taisei 12.00x1.00x15m</v>
      </c>
      <c r="E1298" s="589">
        <f ca="1">IFERROR(__xludf.DUMMYFUNCTION("""COMPUTED_VALUE"""),0.1)</f>
        <v>0.1</v>
      </c>
      <c r="F1298" s="590" t="str">
        <f ca="1">IFERROR(__xludf.DUMMYFUNCTION("""COMPUTED_VALUE"""),"Cuộn")</f>
        <v>Cuộn</v>
      </c>
      <c r="G1298" s="590" t="str">
        <f ca="1">IFERROR(__xludf.DUMMYFUNCTION("""COMPUTED_VALUE"""),"Cuộn 15m")</f>
        <v>Cuộn 15m</v>
      </c>
      <c r="H1298" s="588" t="str">
        <f ca="1">IFERROR(__xludf.DUMMYFUNCTION("""COMPUTED_VALUE"""),"7")</f>
        <v>7</v>
      </c>
      <c r="I1298" s="591">
        <f ca="1">IFERROR(__xludf.DUMMYFUNCTION("""COMPUTED_VALUE"""),4.62)</f>
        <v>4.62</v>
      </c>
      <c r="J1298" s="592" t="str">
        <f ca="1">IFERROR(__xludf.DUMMYFUNCTION("""COMPUTED_VALUE""")," 12.00 ")</f>
        <v xml:space="preserve"> 12.00 </v>
      </c>
      <c r="K1298" s="590" t="str">
        <f ca="1">IFERROR(__xludf.DUMMYFUNCTION("""COMPUTED_VALUE"""),"1.00")</f>
        <v>1.00</v>
      </c>
      <c r="L1298" s="590">
        <f ca="1">IFERROR(__xludf.DUMMYFUNCTION("""COMPUTED_VALUE"""),15)</f>
        <v>15</v>
      </c>
      <c r="M1298" s="590"/>
      <c r="N1298" s="590" t="str">
        <f ca="1">IFERROR(__xludf.DUMMYFUNCTION("""COMPUTED_VALUE"""),"Dị_D&lt;54")</f>
        <v>Dị_D&lt;54</v>
      </c>
      <c r="O1298" s="589">
        <f ca="1">IFERROR(__xludf.DUMMYFUNCTION("""COMPUTED_VALUE"""),1)</f>
        <v>1</v>
      </c>
      <c r="P1298" s="590"/>
    </row>
    <row r="1299" spans="1:17" ht="15.75">
      <c r="A1299" s="581" t="str">
        <f ca="1">IFERROR(__xludf.DUMMYFUNCTION("""COMPUTED_VALUE"""),"Taisei Việt Nam")</f>
        <v>Taisei Việt Nam</v>
      </c>
      <c r="B1299" s="581" t="str">
        <f ca="1">IFERROR(__xludf.DUMMYFUNCTION("""COMPUTED_VALUE"""),"ĐTSCUONDI")</f>
        <v>ĐTSCUONDI</v>
      </c>
      <c r="C1299" s="581" t="str">
        <f ca="1">IFERROR(__xludf.DUMMYFUNCTION("""COMPUTED_VALUE"""),"DOCTAISEI1270061")</f>
        <v>DOCTAISEI1270061</v>
      </c>
      <c r="D1299" s="582" t="str">
        <f ca="1">IFERROR(__xludf.DUMMYFUNCTION("""COMPUTED_VALUE"""),"Đồng ống TAISEI PC 12.70x0.61")</f>
        <v>Đồng ống TAISEI PC 12.70x0.61</v>
      </c>
      <c r="E1299" s="583">
        <f ca="1">IFERROR(__xludf.DUMMYFUNCTION("""COMPUTED_VALUE"""),0.1)</f>
        <v>0.1</v>
      </c>
      <c r="F1299" s="584" t="str">
        <f ca="1">IFERROR(__xludf.DUMMYFUNCTION("""COMPUTED_VALUE"""),"Cuộn")</f>
        <v>Cuộn</v>
      </c>
      <c r="G1299" s="584" t="str">
        <f ca="1">IFERROR(__xludf.DUMMYFUNCTION("""COMPUTED_VALUE"""),"Cuộn 15m")</f>
        <v>Cuộn 15m</v>
      </c>
      <c r="H1299" s="582" t="str">
        <f ca="1">IFERROR(__xludf.DUMMYFUNCTION("""COMPUTED_VALUE"""),"7")</f>
        <v>7</v>
      </c>
      <c r="I1299" s="585">
        <f ca="1">IFERROR(__xludf.DUMMYFUNCTION("""COMPUTED_VALUE"""),3.097458)</f>
        <v>3.097458</v>
      </c>
      <c r="J1299" s="586" t="str">
        <f ca="1">IFERROR(__xludf.DUMMYFUNCTION("""COMPUTED_VALUE""")," 12.70 ")</f>
        <v xml:space="preserve"> 12.70 </v>
      </c>
      <c r="K1299" s="584" t="str">
        <f ca="1">IFERROR(__xludf.DUMMYFUNCTION("""COMPUTED_VALUE"""),"0.61")</f>
        <v>0.61</v>
      </c>
      <c r="L1299" s="584">
        <f ca="1">IFERROR(__xludf.DUMMYFUNCTION("""COMPUTED_VALUE"""),15)</f>
        <v>15</v>
      </c>
      <c r="M1299" s="584"/>
      <c r="N1299" s="584" t="str">
        <f ca="1">IFERROR(__xludf.DUMMYFUNCTION("""COMPUTED_VALUE"""),"Dị_D&lt;54")</f>
        <v>Dị_D&lt;54</v>
      </c>
      <c r="O1299" s="583">
        <f ca="1">IFERROR(__xludf.DUMMYFUNCTION("""COMPUTED_VALUE"""),1)</f>
        <v>1</v>
      </c>
      <c r="P1299" s="584"/>
    </row>
    <row r="1300" spans="1:17" ht="15.75">
      <c r="A1300" s="587" t="str">
        <f ca="1">IFERROR(__xludf.DUMMYFUNCTION("""COMPUTED_VALUE"""),"Taisei Việt Nam")</f>
        <v>Taisei Việt Nam</v>
      </c>
      <c r="B1300" s="587" t="str">
        <f ca="1">IFERROR(__xludf.DUMMYFUNCTION("""COMPUTED_VALUE"""),"ĐTSCUONDI")</f>
        <v>ĐTSCUONDI</v>
      </c>
      <c r="C1300" s="587" t="str">
        <f ca="1">IFERROR(__xludf.DUMMYFUNCTION("""COMPUTED_VALUE"""),"DOCTAISEI1270071")</f>
        <v>DOCTAISEI1270071</v>
      </c>
      <c r="D1300" s="588" t="str">
        <f ca="1">IFERROR(__xludf.DUMMYFUNCTION("""COMPUTED_VALUE"""),"Đồng ống TAISEI PC 12.70x0.71 ")</f>
        <v xml:space="preserve">Đồng ống TAISEI PC 12.70x0.71 </v>
      </c>
      <c r="E1300" s="589">
        <f ca="1">IFERROR(__xludf.DUMMYFUNCTION("""COMPUTED_VALUE"""),0.1)</f>
        <v>0.1</v>
      </c>
      <c r="F1300" s="590" t="str">
        <f ca="1">IFERROR(__xludf.DUMMYFUNCTION("""COMPUTED_VALUE"""),"Cuộn")</f>
        <v>Cuộn</v>
      </c>
      <c r="G1300" s="590" t="str">
        <f ca="1">IFERROR(__xludf.DUMMYFUNCTION("""COMPUTED_VALUE"""),"Cuộn 15m")</f>
        <v>Cuộn 15m</v>
      </c>
      <c r="H1300" s="588" t="str">
        <f ca="1">IFERROR(__xludf.DUMMYFUNCTION("""COMPUTED_VALUE"""),"7")</f>
        <v>7</v>
      </c>
      <c r="I1300" s="591">
        <f ca="1">IFERROR(__xludf.DUMMYFUNCTION("""COMPUTED_VALUE"""),3.57541799999999)</f>
        <v>3.5754179999999902</v>
      </c>
      <c r="J1300" s="592" t="str">
        <f ca="1">IFERROR(__xludf.DUMMYFUNCTION("""COMPUTED_VALUE""")," 12.70 ")</f>
        <v xml:space="preserve"> 12.70 </v>
      </c>
      <c r="K1300" s="590" t="str">
        <f ca="1">IFERROR(__xludf.DUMMYFUNCTION("""COMPUTED_VALUE"""),"0.71")</f>
        <v>0.71</v>
      </c>
      <c r="L1300" s="590">
        <f ca="1">IFERROR(__xludf.DUMMYFUNCTION("""COMPUTED_VALUE"""),15)</f>
        <v>15</v>
      </c>
      <c r="M1300" s="590"/>
      <c r="N1300" s="590" t="str">
        <f ca="1">IFERROR(__xludf.DUMMYFUNCTION("""COMPUTED_VALUE"""),"Dị_D&lt;54")</f>
        <v>Dị_D&lt;54</v>
      </c>
      <c r="O1300" s="589">
        <f ca="1">IFERROR(__xludf.DUMMYFUNCTION("""COMPUTED_VALUE"""),1)</f>
        <v>1</v>
      </c>
      <c r="P1300" s="590"/>
    </row>
    <row r="1301" spans="1:17" ht="15.75">
      <c r="A1301" s="581" t="str">
        <f ca="1">IFERROR(__xludf.DUMMYFUNCTION("""COMPUTED_VALUE"""),"Taisei Việt Nam")</f>
        <v>Taisei Việt Nam</v>
      </c>
      <c r="B1301" s="581" t="str">
        <f ca="1">IFERROR(__xludf.DUMMYFUNCTION("""COMPUTED_VALUE"""),"ĐTSCUONDI")</f>
        <v>ĐTSCUONDI</v>
      </c>
      <c r="C1301" s="581" t="str">
        <f ca="1">IFERROR(__xludf.DUMMYFUNCTION("""COMPUTED_VALUE"""),"DOCTAISEI1270081")</f>
        <v>DOCTAISEI1270081</v>
      </c>
      <c r="D1301" s="582" t="str">
        <f ca="1">IFERROR(__xludf.DUMMYFUNCTION("""COMPUTED_VALUE"""),"Đồng ống TAISEI PC 12.70x0.81 ")</f>
        <v xml:space="preserve">Đồng ống TAISEI PC 12.70x0.81 </v>
      </c>
      <c r="E1301" s="583">
        <f ca="1">IFERROR(__xludf.DUMMYFUNCTION("""COMPUTED_VALUE"""),0.1)</f>
        <v>0.1</v>
      </c>
      <c r="F1301" s="584" t="str">
        <f ca="1">IFERROR(__xludf.DUMMYFUNCTION("""COMPUTED_VALUE"""),"Cuộn")</f>
        <v>Cuộn</v>
      </c>
      <c r="G1301" s="584" t="str">
        <f ca="1">IFERROR(__xludf.DUMMYFUNCTION("""COMPUTED_VALUE"""),"Cuộn 15m")</f>
        <v>Cuộn 15m</v>
      </c>
      <c r="H1301" s="582" t="str">
        <f ca="1">IFERROR(__xludf.DUMMYFUNCTION("""COMPUTED_VALUE"""),"7")</f>
        <v>7</v>
      </c>
      <c r="I1301" s="585">
        <f ca="1">IFERROR(__xludf.DUMMYFUNCTION("""COMPUTED_VALUE"""),4.04497799999999)</f>
        <v>4.0449779999999897</v>
      </c>
      <c r="J1301" s="586" t="str">
        <f ca="1">IFERROR(__xludf.DUMMYFUNCTION("""COMPUTED_VALUE""")," 12.70 ")</f>
        <v xml:space="preserve"> 12.70 </v>
      </c>
      <c r="K1301" s="584" t="str">
        <f ca="1">IFERROR(__xludf.DUMMYFUNCTION("""COMPUTED_VALUE"""),"0.81")</f>
        <v>0.81</v>
      </c>
      <c r="L1301" s="584">
        <f ca="1">IFERROR(__xludf.DUMMYFUNCTION("""COMPUTED_VALUE"""),15)</f>
        <v>15</v>
      </c>
      <c r="M1301" s="584"/>
      <c r="N1301" s="584" t="str">
        <f ca="1">IFERROR(__xludf.DUMMYFUNCTION("""COMPUTED_VALUE"""),"Dị_D&lt;54")</f>
        <v>Dị_D&lt;54</v>
      </c>
      <c r="O1301" s="583">
        <f ca="1">IFERROR(__xludf.DUMMYFUNCTION("""COMPUTED_VALUE"""),1)</f>
        <v>1</v>
      </c>
      <c r="P1301" s="584"/>
    </row>
    <row r="1302" spans="1:17" ht="15.75">
      <c r="A1302" s="587" t="str">
        <f ca="1">IFERROR(__xludf.DUMMYFUNCTION("""COMPUTED_VALUE"""),"Taisei Việt Nam")</f>
        <v>Taisei Việt Nam</v>
      </c>
      <c r="B1302" s="587" t="str">
        <f ca="1">IFERROR(__xludf.DUMMYFUNCTION("""COMPUTED_VALUE"""),"ĐTSCUONDI")</f>
        <v>ĐTSCUONDI</v>
      </c>
      <c r="C1302" s="587" t="str">
        <f ca="1">IFERROR(__xludf.DUMMYFUNCTION("""COMPUTED_VALUE"""),"DOCTAISEI1588102")</f>
        <v>DOCTAISEI1588102</v>
      </c>
      <c r="D1302" s="588" t="str">
        <f ca="1">IFERROR(__xludf.DUMMYFUNCTION("""COMPUTED_VALUE"""),"Đồng ống TAISEI PC 15.88x1.02")</f>
        <v>Đồng ống TAISEI PC 15.88x1.02</v>
      </c>
      <c r="E1302" s="589">
        <f ca="1">IFERROR(__xludf.DUMMYFUNCTION("""COMPUTED_VALUE"""),0.1)</f>
        <v>0.1</v>
      </c>
      <c r="F1302" s="590" t="str">
        <f ca="1">IFERROR(__xludf.DUMMYFUNCTION("""COMPUTED_VALUE"""),"Cuộn")</f>
        <v>Cuộn</v>
      </c>
      <c r="G1302" s="590" t="str">
        <f ca="1">IFERROR(__xludf.DUMMYFUNCTION("""COMPUTED_VALUE"""),"Cuộn 15m")</f>
        <v>Cuộn 15m</v>
      </c>
      <c r="H1302" s="588" t="str">
        <f ca="1">IFERROR(__xludf.DUMMYFUNCTION("""COMPUTED_VALUE"""),"5")</f>
        <v>5</v>
      </c>
      <c r="I1302" s="591">
        <f ca="1">IFERROR(__xludf.DUMMYFUNCTION("""COMPUTED_VALUE"""),6.366024)</f>
        <v>6.3660240000000003</v>
      </c>
      <c r="J1302" s="592" t="str">
        <f ca="1">IFERROR(__xludf.DUMMYFUNCTION("""COMPUTED_VALUE""")," 15.88 ")</f>
        <v xml:space="preserve"> 15.88 </v>
      </c>
      <c r="K1302" s="590" t="str">
        <f ca="1">IFERROR(__xludf.DUMMYFUNCTION("""COMPUTED_VALUE"""),"1.02")</f>
        <v>1.02</v>
      </c>
      <c r="L1302" s="590">
        <f ca="1">IFERROR(__xludf.DUMMYFUNCTION("""COMPUTED_VALUE"""),15)</f>
        <v>15</v>
      </c>
      <c r="M1302" s="590"/>
      <c r="N1302" s="590" t="str">
        <f ca="1">IFERROR(__xludf.DUMMYFUNCTION("""COMPUTED_VALUE"""),"Dị_D&lt;54")</f>
        <v>Dị_D&lt;54</v>
      </c>
      <c r="O1302" s="589">
        <f ca="1">IFERROR(__xludf.DUMMYFUNCTION("""COMPUTED_VALUE"""),1)</f>
        <v>1</v>
      </c>
      <c r="P1302" s="590"/>
    </row>
    <row r="1303" spans="1:17" ht="15.75">
      <c r="A1303" s="581" t="str">
        <f ca="1">IFERROR(__xludf.DUMMYFUNCTION("""COMPUTED_VALUE"""),"Taisei Việt Nam")</f>
        <v>Taisei Việt Nam</v>
      </c>
      <c r="B1303" s="581" t="str">
        <f ca="1">IFERROR(__xludf.DUMMYFUNCTION("""COMPUTED_VALUE"""),"ĐTSCUONDI")</f>
        <v>ĐTSCUONDI</v>
      </c>
      <c r="C1303" s="581" t="str">
        <f ca="1">IFERROR(__xludf.DUMMYFUNCTION("""COMPUTED_VALUE"""),"DOCTAISEI1588071")</f>
        <v>DOCTAISEI1588071</v>
      </c>
      <c r="D1303" s="582" t="str">
        <f ca="1">IFERROR(__xludf.DUMMYFUNCTION("""COMPUTED_VALUE"""),"Đồng ống TAISEI PC 15.88x0.71")</f>
        <v>Đồng ống TAISEI PC 15.88x0.71</v>
      </c>
      <c r="E1303" s="583">
        <f ca="1">IFERROR(__xludf.DUMMYFUNCTION("""COMPUTED_VALUE"""),0.1)</f>
        <v>0.1</v>
      </c>
      <c r="F1303" s="584" t="str">
        <f ca="1">IFERROR(__xludf.DUMMYFUNCTION("""COMPUTED_VALUE"""),"Cuộn")</f>
        <v>Cuộn</v>
      </c>
      <c r="G1303" s="584" t="str">
        <f ca="1">IFERROR(__xludf.DUMMYFUNCTION("""COMPUTED_VALUE"""),"Cuộn 15m")</f>
        <v>Cuộn 15m</v>
      </c>
      <c r="H1303" s="582" t="str">
        <f ca="1">IFERROR(__xludf.DUMMYFUNCTION("""COMPUTED_VALUE"""),"5")</f>
        <v>5</v>
      </c>
      <c r="I1303" s="585">
        <f ca="1">IFERROR(__xludf.DUMMYFUNCTION("""COMPUTED_VALUE"""),4.523694)</f>
        <v>4.5236939999999999</v>
      </c>
      <c r="J1303" s="586" t="str">
        <f ca="1">IFERROR(__xludf.DUMMYFUNCTION("""COMPUTED_VALUE""")," 15.88 ")</f>
        <v xml:space="preserve"> 15.88 </v>
      </c>
      <c r="K1303" s="584" t="str">
        <f ca="1">IFERROR(__xludf.DUMMYFUNCTION("""COMPUTED_VALUE"""),"0.71")</f>
        <v>0.71</v>
      </c>
      <c r="L1303" s="584">
        <f ca="1">IFERROR(__xludf.DUMMYFUNCTION("""COMPUTED_VALUE"""),15)</f>
        <v>15</v>
      </c>
      <c r="M1303" s="584"/>
      <c r="N1303" s="584" t="str">
        <f ca="1">IFERROR(__xludf.DUMMYFUNCTION("""COMPUTED_VALUE"""),"Dị_D&lt;54")</f>
        <v>Dị_D&lt;54</v>
      </c>
      <c r="O1303" s="583">
        <f ca="1">IFERROR(__xludf.DUMMYFUNCTION("""COMPUTED_VALUE"""),1)</f>
        <v>1</v>
      </c>
      <c r="P1303" s="584"/>
    </row>
    <row r="1304" spans="1:17" ht="15.75">
      <c r="A1304" s="587" t="str">
        <f ca="1">IFERROR(__xludf.DUMMYFUNCTION("""COMPUTED_VALUE"""),"Taisei Việt Nam")</f>
        <v>Taisei Việt Nam</v>
      </c>
      <c r="B1304" s="587" t="str">
        <f ca="1">IFERROR(__xludf.DUMMYFUNCTION("""COMPUTED_VALUE"""),"ĐTSCUONDI")</f>
        <v>ĐTSCUONDI</v>
      </c>
      <c r="C1304" s="587" t="str">
        <f ca="1">IFERROR(__xludf.DUMMYFUNCTION("""COMPUTED_VALUE"""),"DOCTAISEI1588081")</f>
        <v>DOCTAISEI1588081</v>
      </c>
      <c r="D1304" s="588" t="str">
        <f ca="1">IFERROR(__xludf.DUMMYFUNCTION("""COMPUTED_VALUE"""),"Đồng ống TAISEI PC 15.88x0.81 ")</f>
        <v xml:space="preserve">Đồng ống TAISEI PC 15.88x0.81 </v>
      </c>
      <c r="E1304" s="589">
        <f ca="1">IFERROR(__xludf.DUMMYFUNCTION("""COMPUTED_VALUE"""),0.1)</f>
        <v>0.1</v>
      </c>
      <c r="F1304" s="590" t="str">
        <f ca="1">IFERROR(__xludf.DUMMYFUNCTION("""COMPUTED_VALUE"""),"Cuộn")</f>
        <v>Cuộn</v>
      </c>
      <c r="G1304" s="590" t="str">
        <f ca="1">IFERROR(__xludf.DUMMYFUNCTION("""COMPUTED_VALUE"""),"Cuộn 15m")</f>
        <v>Cuộn 15m</v>
      </c>
      <c r="H1304" s="588" t="str">
        <f ca="1">IFERROR(__xludf.DUMMYFUNCTION("""COMPUTED_VALUE"""),"5")</f>
        <v>5</v>
      </c>
      <c r="I1304" s="591">
        <f ca="1">IFERROR(__xludf.DUMMYFUNCTION("""COMPUTED_VALUE"""),5.126814)</f>
        <v>5.1268140000000004</v>
      </c>
      <c r="J1304" s="592" t="str">
        <f ca="1">IFERROR(__xludf.DUMMYFUNCTION("""COMPUTED_VALUE""")," 15.88 ")</f>
        <v xml:space="preserve"> 15.88 </v>
      </c>
      <c r="K1304" s="590" t="str">
        <f ca="1">IFERROR(__xludf.DUMMYFUNCTION("""COMPUTED_VALUE"""),"0.81")</f>
        <v>0.81</v>
      </c>
      <c r="L1304" s="590">
        <f ca="1">IFERROR(__xludf.DUMMYFUNCTION("""COMPUTED_VALUE"""),15)</f>
        <v>15</v>
      </c>
      <c r="M1304" s="590"/>
      <c r="N1304" s="590" t="str">
        <f ca="1">IFERROR(__xludf.DUMMYFUNCTION("""COMPUTED_VALUE"""),"Dị_D&lt;54")</f>
        <v>Dị_D&lt;54</v>
      </c>
      <c r="O1304" s="589">
        <f ca="1">IFERROR(__xludf.DUMMYFUNCTION("""COMPUTED_VALUE"""),1)</f>
        <v>1</v>
      </c>
      <c r="P1304" s="590"/>
    </row>
    <row r="1305" spans="1:17" ht="15.75">
      <c r="A1305" s="581" t="str">
        <f ca="1">IFERROR(__xludf.DUMMYFUNCTION("""COMPUTED_VALUE"""),"Taisei Việt Nam")</f>
        <v>Taisei Việt Nam</v>
      </c>
      <c r="B1305" s="581" t="str">
        <f ca="1">IFERROR(__xludf.DUMMYFUNCTION("""COMPUTED_VALUE"""),"ĐTSCUONDI")</f>
        <v>ĐTSCUONDI</v>
      </c>
      <c r="C1305" s="581" t="str">
        <f ca="1">IFERROR(__xludf.DUMMYFUNCTION("""COMPUTED_VALUE"""),"DOCTAISEI1588089")</f>
        <v>DOCTAISEI1588089</v>
      </c>
      <c r="D1305" s="582" t="str">
        <f ca="1">IFERROR(__xludf.DUMMYFUNCTION("""COMPUTED_VALUE"""),"Đồng ống TAISEI PC 15.88x0.89")</f>
        <v>Đồng ống TAISEI PC 15.88x0.89</v>
      </c>
      <c r="E1305" s="583">
        <f ca="1">IFERROR(__xludf.DUMMYFUNCTION("""COMPUTED_VALUE"""),0.1)</f>
        <v>0.1</v>
      </c>
      <c r="F1305" s="584" t="str">
        <f ca="1">IFERROR(__xludf.DUMMYFUNCTION("""COMPUTED_VALUE"""),"Cuộn")</f>
        <v>Cuộn</v>
      </c>
      <c r="G1305" s="584" t="str">
        <f ca="1">IFERROR(__xludf.DUMMYFUNCTION("""COMPUTED_VALUE"""),"Cuộn 15m")</f>
        <v>Cuộn 15m</v>
      </c>
      <c r="H1305" s="582" t="str">
        <f ca="1">IFERROR(__xludf.DUMMYFUNCTION("""COMPUTED_VALUE"""),"5")</f>
        <v>5</v>
      </c>
      <c r="I1305" s="585">
        <f ca="1">IFERROR(__xludf.DUMMYFUNCTION("""COMPUTED_VALUE"""),5.603262)</f>
        <v>5.603262</v>
      </c>
      <c r="J1305" s="586" t="str">
        <f ca="1">IFERROR(__xludf.DUMMYFUNCTION("""COMPUTED_VALUE""")," 15.88 ")</f>
        <v xml:space="preserve"> 15.88 </v>
      </c>
      <c r="K1305" s="584" t="str">
        <f ca="1">IFERROR(__xludf.DUMMYFUNCTION("""COMPUTED_VALUE"""),"0.89")</f>
        <v>0.89</v>
      </c>
      <c r="L1305" s="584">
        <f ca="1">IFERROR(__xludf.DUMMYFUNCTION("""COMPUTED_VALUE"""),15)</f>
        <v>15</v>
      </c>
      <c r="M1305" s="584"/>
      <c r="N1305" s="584" t="str">
        <f ca="1">IFERROR(__xludf.DUMMYFUNCTION("""COMPUTED_VALUE"""),"Dị_D&lt;54")</f>
        <v>Dị_D&lt;54</v>
      </c>
      <c r="O1305" s="583"/>
      <c r="P1305" s="584"/>
    </row>
    <row r="1306" spans="1:17" ht="15.75">
      <c r="A1306" s="587" t="str">
        <f ca="1">IFERROR(__xludf.DUMMYFUNCTION("""COMPUTED_VALUE"""),"Taisei Việt Nam")</f>
        <v>Taisei Việt Nam</v>
      </c>
      <c r="B1306" s="587" t="str">
        <f ca="1">IFERROR(__xludf.DUMMYFUNCTION("""COMPUTED_VALUE"""),"ĐTSCUONDI")</f>
        <v>ĐTSCUONDI</v>
      </c>
      <c r="C1306" s="587" t="str">
        <f ca="1">IFERROR(__xludf.DUMMYFUNCTION("""COMPUTED_VALUE"""),"DOCTAISEI1588100")</f>
        <v>DOCTAISEI1588100</v>
      </c>
      <c r="D1306" s="588" t="str">
        <f ca="1">IFERROR(__xludf.DUMMYFUNCTION("""COMPUTED_VALUE"""),"Đồng ống TAISEI PC 15.88x1.00")</f>
        <v>Đồng ống TAISEI PC 15.88x1.00</v>
      </c>
      <c r="E1306" s="589">
        <f ca="1">IFERROR(__xludf.DUMMYFUNCTION("""COMPUTED_VALUE"""),0.1)</f>
        <v>0.1</v>
      </c>
      <c r="F1306" s="590" t="str">
        <f ca="1">IFERROR(__xludf.DUMMYFUNCTION("""COMPUTED_VALUE"""),"Cuộn")</f>
        <v>Cuộn</v>
      </c>
      <c r="G1306" s="590" t="str">
        <f ca="1">IFERROR(__xludf.DUMMYFUNCTION("""COMPUTED_VALUE"""),"Cuộn 15m")</f>
        <v>Cuộn 15m</v>
      </c>
      <c r="H1306" s="588" t="str">
        <f ca="1">IFERROR(__xludf.DUMMYFUNCTION("""COMPUTED_VALUE"""),"5")</f>
        <v>5</v>
      </c>
      <c r="I1306" s="591">
        <f ca="1">IFERROR(__xludf.DUMMYFUNCTION("""COMPUTED_VALUE"""),6.2496)</f>
        <v>6.2496</v>
      </c>
      <c r="J1306" s="592" t="str">
        <f ca="1">IFERROR(__xludf.DUMMYFUNCTION("""COMPUTED_VALUE""")," 15.88 ")</f>
        <v xml:space="preserve"> 15.88 </v>
      </c>
      <c r="K1306" s="590" t="str">
        <f ca="1">IFERROR(__xludf.DUMMYFUNCTION("""COMPUTED_VALUE"""),"1.00")</f>
        <v>1.00</v>
      </c>
      <c r="L1306" s="590">
        <f ca="1">IFERROR(__xludf.DUMMYFUNCTION("""COMPUTED_VALUE"""),15)</f>
        <v>15</v>
      </c>
      <c r="M1306" s="590"/>
      <c r="N1306" s="590" t="str">
        <f ca="1">IFERROR(__xludf.DUMMYFUNCTION("""COMPUTED_VALUE"""),"Dị_D&lt;54")</f>
        <v>Dị_D&lt;54</v>
      </c>
      <c r="O1306" s="589">
        <f ca="1">IFERROR(__xludf.DUMMYFUNCTION("""COMPUTED_VALUE"""),1)</f>
        <v>1</v>
      </c>
      <c r="P1306" s="590"/>
    </row>
    <row r="1307" spans="1:17" ht="15.75">
      <c r="A1307" s="581" t="str">
        <f ca="1">IFERROR(__xludf.DUMMYFUNCTION("""COMPUTED_VALUE"""),"Taisei Việt Nam")</f>
        <v>Taisei Việt Nam</v>
      </c>
      <c r="B1307" s="581" t="str">
        <f ca="1">IFERROR(__xludf.DUMMYFUNCTION("""COMPUTED_VALUE"""),"ĐTSCUONDI")</f>
        <v>ĐTSCUONDI</v>
      </c>
      <c r="C1307" s="581" t="str">
        <f ca="1">IFERROR(__xludf.DUMMYFUNCTION("""COMPUTED_VALUE"""),"DOCTAISEI1905102")</f>
        <v>DOCTAISEI1905102</v>
      </c>
      <c r="D1307" s="582" t="str">
        <f ca="1">IFERROR(__xludf.DUMMYFUNCTION("""COMPUTED_VALUE"""),"Đồng ống TAISEI PC 19.05x1.02")</f>
        <v>Đồng ống TAISEI PC 19.05x1.02</v>
      </c>
      <c r="E1307" s="583">
        <f ca="1">IFERROR(__xludf.DUMMYFUNCTION("""COMPUTED_VALUE"""),0.1)</f>
        <v>0.1</v>
      </c>
      <c r="F1307" s="584" t="str">
        <f ca="1">IFERROR(__xludf.DUMMYFUNCTION("""COMPUTED_VALUE"""),"Cuộn")</f>
        <v>Cuộn</v>
      </c>
      <c r="G1307" s="584" t="str">
        <f ca="1">IFERROR(__xludf.DUMMYFUNCTION("""COMPUTED_VALUE"""),"Cuộn 15m")</f>
        <v>Cuộn 15m</v>
      </c>
      <c r="H1307" s="582" t="str">
        <f ca="1">IFERROR(__xludf.DUMMYFUNCTION("""COMPUTED_VALUE"""),"4")</f>
        <v>4</v>
      </c>
      <c r="I1307" s="585">
        <f ca="1">IFERROR(__xludf.DUMMYFUNCTION("""COMPUTED_VALUE"""),7.724052)</f>
        <v>7.7240520000000004</v>
      </c>
      <c r="J1307" s="586" t="str">
        <f ca="1">IFERROR(__xludf.DUMMYFUNCTION("""COMPUTED_VALUE""")," 19.05 ")</f>
        <v xml:space="preserve"> 19.05 </v>
      </c>
      <c r="K1307" s="584" t="str">
        <f ca="1">IFERROR(__xludf.DUMMYFUNCTION("""COMPUTED_VALUE"""),"1.02")</f>
        <v>1.02</v>
      </c>
      <c r="L1307" s="584">
        <f ca="1">IFERROR(__xludf.DUMMYFUNCTION("""COMPUTED_VALUE"""),15)</f>
        <v>15</v>
      </c>
      <c r="M1307" s="584"/>
      <c r="N1307" s="584" t="str">
        <f ca="1">IFERROR(__xludf.DUMMYFUNCTION("""COMPUTED_VALUE"""),"Dị_D&lt;54")</f>
        <v>Dị_D&lt;54</v>
      </c>
      <c r="O1307" s="583"/>
      <c r="P1307" s="584"/>
    </row>
    <row r="1308" spans="1:17" ht="15.75">
      <c r="A1308" s="587" t="str">
        <f ca="1">IFERROR(__xludf.DUMMYFUNCTION("""COMPUTED_VALUE"""),"Taisei Việt Nam")</f>
        <v>Taisei Việt Nam</v>
      </c>
      <c r="B1308" s="587" t="str">
        <f ca="1">IFERROR(__xludf.DUMMYFUNCTION("""COMPUTED_VALUE"""),"ĐTSCUONDI")</f>
        <v>ĐTSCUONDI</v>
      </c>
      <c r="C1308" s="587" t="str">
        <f ca="1">IFERROR(__xludf.DUMMYFUNCTION("""COMPUTED_VALUE"""),"DOCTAISEI1905107")</f>
        <v>DOCTAISEI1905107</v>
      </c>
      <c r="D1308" s="588" t="str">
        <f ca="1">IFERROR(__xludf.DUMMYFUNCTION("""COMPUTED_VALUE"""),"Đồng ống TAISEI PC 19.05x1.07")</f>
        <v>Đồng ống TAISEI PC 19.05x1.07</v>
      </c>
      <c r="E1308" s="589">
        <f ca="1">IFERROR(__xludf.DUMMYFUNCTION("""COMPUTED_VALUE"""),0.1)</f>
        <v>0.1</v>
      </c>
      <c r="F1308" s="590" t="str">
        <f ca="1">IFERROR(__xludf.DUMMYFUNCTION("""COMPUTED_VALUE"""),"Cuộn")</f>
        <v>Cuộn</v>
      </c>
      <c r="G1308" s="590" t="str">
        <f ca="1">IFERROR(__xludf.DUMMYFUNCTION("""COMPUTED_VALUE"""),"Cuộn 15m")</f>
        <v>Cuộn 15m</v>
      </c>
      <c r="H1308" s="588" t="str">
        <f ca="1">IFERROR(__xludf.DUMMYFUNCTION("""COMPUTED_VALUE"""),"4")</f>
        <v>4</v>
      </c>
      <c r="I1308" s="591">
        <f ca="1">IFERROR(__xludf.DUMMYFUNCTION("""COMPUTED_VALUE"""),8.080212)</f>
        <v>8.0802119999999995</v>
      </c>
      <c r="J1308" s="592" t="str">
        <f ca="1">IFERROR(__xludf.DUMMYFUNCTION("""COMPUTED_VALUE""")," 19.05 ")</f>
        <v xml:space="preserve"> 19.05 </v>
      </c>
      <c r="K1308" s="590" t="str">
        <f ca="1">IFERROR(__xludf.DUMMYFUNCTION("""COMPUTED_VALUE"""),"1.07")</f>
        <v>1.07</v>
      </c>
      <c r="L1308" s="590">
        <f ca="1">IFERROR(__xludf.DUMMYFUNCTION("""COMPUTED_VALUE"""),15)</f>
        <v>15</v>
      </c>
      <c r="M1308" s="590"/>
      <c r="N1308" s="590" t="str">
        <f ca="1">IFERROR(__xludf.DUMMYFUNCTION("""COMPUTED_VALUE"""),"Dị_D&lt;54")</f>
        <v>Dị_D&lt;54</v>
      </c>
      <c r="O1308" s="589"/>
      <c r="P1308" s="590"/>
    </row>
    <row r="1309" spans="1:17" ht="15.75">
      <c r="A1309" s="581" t="str">
        <f ca="1">IFERROR(__xludf.DUMMYFUNCTION("""COMPUTED_VALUE"""),"Taisei Việt Nam")</f>
        <v>Taisei Việt Nam</v>
      </c>
      <c r="B1309" s="581" t="str">
        <f ca="1">IFERROR(__xludf.DUMMYFUNCTION("""COMPUTED_VALUE"""),"ĐTSCUONDI")</f>
        <v>ĐTSCUONDI</v>
      </c>
      <c r="C1309" s="581" t="str">
        <f ca="1">IFERROR(__xludf.DUMMYFUNCTION("""COMPUTED_VALUE"""),"DOCTAISEI1905081")</f>
        <v>DOCTAISEI1905081</v>
      </c>
      <c r="D1309" s="582" t="str">
        <f ca="1">IFERROR(__xludf.DUMMYFUNCTION("""COMPUTED_VALUE"""),"Đồng ống TAISEI PC 19.05x0.81")</f>
        <v>Đồng ống TAISEI PC 19.05x0.81</v>
      </c>
      <c r="E1309" s="583">
        <f ca="1">IFERROR(__xludf.DUMMYFUNCTION("""COMPUTED_VALUE"""),0.1)</f>
        <v>0.1</v>
      </c>
      <c r="F1309" s="584" t="str">
        <f ca="1">IFERROR(__xludf.DUMMYFUNCTION("""COMPUTED_VALUE"""),"Cuộn")</f>
        <v>Cuộn</v>
      </c>
      <c r="G1309" s="584" t="str">
        <f ca="1">IFERROR(__xludf.DUMMYFUNCTION("""COMPUTED_VALUE"""),"Cuộn 15m")</f>
        <v>Cuộn 15m</v>
      </c>
      <c r="H1309" s="582" t="str">
        <f ca="1">IFERROR(__xludf.DUMMYFUNCTION("""COMPUTED_VALUE"""),"4")</f>
        <v>4</v>
      </c>
      <c r="I1309" s="585">
        <f ca="1">IFERROR(__xludf.DUMMYFUNCTION("""COMPUTED_VALUE"""),6.205248)</f>
        <v>6.2052480000000001</v>
      </c>
      <c r="J1309" s="586" t="str">
        <f ca="1">IFERROR(__xludf.DUMMYFUNCTION("""COMPUTED_VALUE""")," 19.05 ")</f>
        <v xml:space="preserve"> 19.05 </v>
      </c>
      <c r="K1309" s="584" t="str">
        <f ca="1">IFERROR(__xludf.DUMMYFUNCTION("""COMPUTED_VALUE"""),"0.81")</f>
        <v>0.81</v>
      </c>
      <c r="L1309" s="584">
        <f ca="1">IFERROR(__xludf.DUMMYFUNCTION("""COMPUTED_VALUE"""),15)</f>
        <v>15</v>
      </c>
      <c r="M1309" s="584"/>
      <c r="N1309" s="584" t="str">
        <f ca="1">IFERROR(__xludf.DUMMYFUNCTION("""COMPUTED_VALUE"""),"Dị_D&lt;54")</f>
        <v>Dị_D&lt;54</v>
      </c>
      <c r="O1309" s="583">
        <f ca="1">IFERROR(__xludf.DUMMYFUNCTION("""COMPUTED_VALUE"""),1)</f>
        <v>1</v>
      </c>
      <c r="P1309" s="584"/>
    </row>
    <row r="1310" spans="1:17" ht="15.75">
      <c r="A1310" s="587" t="str">
        <f ca="1">IFERROR(__xludf.DUMMYFUNCTION("""COMPUTED_VALUE"""),"Taisei Việt Nam")</f>
        <v>Taisei Việt Nam</v>
      </c>
      <c r="B1310" s="587" t="str">
        <f ca="1">IFERROR(__xludf.DUMMYFUNCTION("""COMPUTED_VALUE"""),"ĐTSCUONDI")</f>
        <v>ĐTSCUONDI</v>
      </c>
      <c r="C1310" s="587" t="str">
        <f ca="1">IFERROR(__xludf.DUMMYFUNCTION("""COMPUTED_VALUE"""),"DOCTAISEI1905089")</f>
        <v>DOCTAISEI1905089</v>
      </c>
      <c r="D1310" s="588" t="str">
        <f ca="1">IFERROR(__xludf.DUMMYFUNCTION("""COMPUTED_VALUE"""),"Đồng ống TAISEI PC 19.05x0.89")</f>
        <v>Đồng ống TAISEI PC 19.05x0.89</v>
      </c>
      <c r="E1310" s="589">
        <f ca="1">IFERROR(__xludf.DUMMYFUNCTION("""COMPUTED_VALUE"""),0.1)</f>
        <v>0.1</v>
      </c>
      <c r="F1310" s="590" t="str">
        <f ca="1">IFERROR(__xludf.DUMMYFUNCTION("""COMPUTED_VALUE"""),"Cuộn")</f>
        <v>Cuộn</v>
      </c>
      <c r="G1310" s="590" t="str">
        <f ca="1">IFERROR(__xludf.DUMMYFUNCTION("""COMPUTED_VALUE"""),"Cuộn 15m")</f>
        <v>Cuộn 15m</v>
      </c>
      <c r="H1310" s="588" t="str">
        <f ca="1">IFERROR(__xludf.DUMMYFUNCTION("""COMPUTED_VALUE"""),"4")</f>
        <v>4</v>
      </c>
      <c r="I1310" s="591">
        <f ca="1">IFERROR(__xludf.DUMMYFUNCTION("""COMPUTED_VALUE"""),6.788208)</f>
        <v>6.788208</v>
      </c>
      <c r="J1310" s="592" t="str">
        <f ca="1">IFERROR(__xludf.DUMMYFUNCTION("""COMPUTED_VALUE""")," 19.05 ")</f>
        <v xml:space="preserve"> 19.05 </v>
      </c>
      <c r="K1310" s="590" t="str">
        <f ca="1">IFERROR(__xludf.DUMMYFUNCTION("""COMPUTED_VALUE"""),"0.89")</f>
        <v>0.89</v>
      </c>
      <c r="L1310" s="590">
        <f ca="1">IFERROR(__xludf.DUMMYFUNCTION("""COMPUTED_VALUE"""),15)</f>
        <v>15</v>
      </c>
      <c r="M1310" s="590"/>
      <c r="N1310" s="590" t="str">
        <f ca="1">IFERROR(__xludf.DUMMYFUNCTION("""COMPUTED_VALUE"""),"Dị_D&lt;54")</f>
        <v>Dị_D&lt;54</v>
      </c>
      <c r="O1310" s="589"/>
      <c r="P1310" s="590"/>
    </row>
    <row r="1311" spans="1:17" ht="15.75">
      <c r="A1311" s="581" t="str">
        <f ca="1">IFERROR(__xludf.DUMMYFUNCTION("""COMPUTED_VALUE"""),"Taisei Việt Nam")</f>
        <v>Taisei Việt Nam</v>
      </c>
      <c r="B1311" s="581" t="str">
        <f ca="1">IFERROR(__xludf.DUMMYFUNCTION("""COMPUTED_VALUE"""),"ĐTSCUONDI")</f>
        <v>ĐTSCUONDI</v>
      </c>
      <c r="C1311" s="581" t="str">
        <f ca="1">IFERROR(__xludf.DUMMYFUNCTION("""COMPUTED_VALUE"""),"DOCTAISEI1905100")</f>
        <v>DOCTAISEI1905100</v>
      </c>
      <c r="D1311" s="582" t="str">
        <f ca="1">IFERROR(__xludf.DUMMYFUNCTION("""COMPUTED_VALUE"""),"Đồng ống TAISEI PC 19.05x1.00")</f>
        <v>Đồng ống TAISEI PC 19.05x1.00</v>
      </c>
      <c r="E1311" s="583">
        <f ca="1">IFERROR(__xludf.DUMMYFUNCTION("""COMPUTED_VALUE"""),0.1)</f>
        <v>0.1</v>
      </c>
      <c r="F1311" s="584" t="str">
        <f ca="1">IFERROR(__xludf.DUMMYFUNCTION("""COMPUTED_VALUE"""),"Cuộn")</f>
        <v>Cuộn</v>
      </c>
      <c r="G1311" s="584" t="str">
        <f ca="1">IFERROR(__xludf.DUMMYFUNCTION("""COMPUTED_VALUE"""),"Cuộn 15m")</f>
        <v>Cuộn 15m</v>
      </c>
      <c r="H1311" s="582" t="str">
        <f ca="1">IFERROR(__xludf.DUMMYFUNCTION("""COMPUTED_VALUE"""),"4")</f>
        <v>4</v>
      </c>
      <c r="I1311" s="585">
        <f ca="1">IFERROR(__xludf.DUMMYFUNCTION("""COMPUTED_VALUE"""),7.581)</f>
        <v>7.5810000000000004</v>
      </c>
      <c r="J1311" s="586" t="str">
        <f ca="1">IFERROR(__xludf.DUMMYFUNCTION("""COMPUTED_VALUE""")," 19.05 ")</f>
        <v xml:space="preserve"> 19.05 </v>
      </c>
      <c r="K1311" s="584" t="str">
        <f ca="1">IFERROR(__xludf.DUMMYFUNCTION("""COMPUTED_VALUE"""),"1.00")</f>
        <v>1.00</v>
      </c>
      <c r="L1311" s="584">
        <f ca="1">IFERROR(__xludf.DUMMYFUNCTION("""COMPUTED_VALUE"""),15)</f>
        <v>15</v>
      </c>
      <c r="M1311" s="584"/>
      <c r="N1311" s="584" t="str">
        <f ca="1">IFERROR(__xludf.DUMMYFUNCTION("""COMPUTED_VALUE"""),"Dị_D&lt;54")</f>
        <v>Dị_D&lt;54</v>
      </c>
      <c r="O1311" s="583">
        <f ca="1">IFERROR(__xludf.DUMMYFUNCTION("""COMPUTED_VALUE"""),1)</f>
        <v>1</v>
      </c>
      <c r="P1311" s="584"/>
    </row>
    <row r="1312" spans="1:17" ht="15.75">
      <c r="A1312" s="587" t="str">
        <f ca="1">IFERROR(__xludf.DUMMYFUNCTION("""COMPUTED_VALUE"""),"Taisei Việt Nam")</f>
        <v>Taisei Việt Nam</v>
      </c>
      <c r="B1312" s="587" t="str">
        <f ca="1">IFERROR(__xludf.DUMMYFUNCTION("""COMPUTED_VALUE"""),"ĐTSCAY")</f>
        <v>ĐTSCAY</v>
      </c>
      <c r="C1312" s="587" t="str">
        <f ca="1">IFERROR(__xludf.DUMMYFUNCTION("""COMPUTED_VALUE"""),"DOTVNTS158807129")</f>
        <v>DOTVNTS158807129</v>
      </c>
      <c r="D1312" s="588" t="str">
        <f ca="1">IFERROR(__xludf.DUMMYFUNCTION("""COMPUTED_VALUE"""),"Đồng ống thẳng 15.88x0.71x2.9m Taisei")</f>
        <v>Đồng ống thẳng 15.88x0.71x2.9m Taisei</v>
      </c>
      <c r="E1312" s="589">
        <f ca="1">IFERROR(__xludf.DUMMYFUNCTION("""COMPUTED_VALUE"""),0.1)</f>
        <v>0.1</v>
      </c>
      <c r="F1312" s="590" t="str">
        <f ca="1">IFERROR(__xludf.DUMMYFUNCTION("""COMPUTED_VALUE"""),"Cây")</f>
        <v>Cây</v>
      </c>
      <c r="G1312" s="590" t="str">
        <f ca="1">IFERROR(__xludf.DUMMYFUNCTION("""COMPUTED_VALUE"""),"Cây 2.9m")</f>
        <v>Cây 2.9m</v>
      </c>
      <c r="H1312" s="588"/>
      <c r="I1312" s="591">
        <f ca="1">IFERROR(__xludf.DUMMYFUNCTION("""COMPUTED_VALUE"""),0.87458084)</f>
        <v>0.87458084000000003</v>
      </c>
      <c r="J1312" s="592" t="str">
        <f ca="1">IFERROR(__xludf.DUMMYFUNCTION("""COMPUTED_VALUE""")," 15.88 ")</f>
        <v xml:space="preserve"> 15.88 </v>
      </c>
      <c r="K1312" s="590" t="str">
        <f ca="1">IFERROR(__xludf.DUMMYFUNCTION("""COMPUTED_VALUE"""),"0.71")</f>
        <v>0.71</v>
      </c>
      <c r="L1312" s="590">
        <f ca="1">IFERROR(__xludf.DUMMYFUNCTION("""COMPUTED_VALUE"""),2.9)</f>
        <v>2.9</v>
      </c>
      <c r="M1312" s="590"/>
      <c r="N1312" s="590" t="str">
        <f ca="1">IFERROR(__xludf.DUMMYFUNCTION("""COMPUTED_VALUE"""),"Không")</f>
        <v>Không</v>
      </c>
      <c r="O1312" s="589"/>
      <c r="P1312" s="590"/>
      <c r="Q1312" s="885">
        <f ca="1">+$Q$5*I1312</f>
        <v>201.15359319999999</v>
      </c>
    </row>
    <row r="1313" spans="1:17" ht="15.75">
      <c r="A1313" s="581" t="str">
        <f ca="1">IFERROR(__xludf.DUMMYFUNCTION("""COMPUTED_VALUE"""),"Taisei Việt Nam")</f>
        <v>Taisei Việt Nam</v>
      </c>
      <c r="B1313" s="581" t="str">
        <f ca="1">IFERROR(__xludf.DUMMYFUNCTION("""COMPUTED_VALUE"""),"ĐTSCAY")</f>
        <v>ĐTSCAY</v>
      </c>
      <c r="C1313" s="581" t="str">
        <f ca="1">IFERROR(__xludf.DUMMYFUNCTION("""COMPUTED_VALUE"""),"DOTVNTS190509129")</f>
        <v>DOTVNTS190509129</v>
      </c>
      <c r="D1313" s="582" t="str">
        <f ca="1">IFERROR(__xludf.DUMMYFUNCTION("""COMPUTED_VALUE"""),"Đồng ống thẳng Taisei 19.05 x 0.91 x 2.9m")</f>
        <v>Đồng ống thẳng Taisei 19.05 x 0.91 x 2.9m</v>
      </c>
      <c r="E1313" s="583">
        <f ca="1">IFERROR(__xludf.DUMMYFUNCTION("""COMPUTED_VALUE"""),0.1)</f>
        <v>0.1</v>
      </c>
      <c r="F1313" s="584" t="str">
        <f ca="1">IFERROR(__xludf.DUMMYFUNCTION("""COMPUTED_VALUE"""),"Cây")</f>
        <v>Cây</v>
      </c>
      <c r="G1313" s="584" t="str">
        <f ca="1">IFERROR(__xludf.DUMMYFUNCTION("""COMPUTED_VALUE"""),"Cây 2.9m")</f>
        <v>Cây 2.9m</v>
      </c>
      <c r="H1313" s="582"/>
      <c r="I1313" s="585">
        <f ca="1">IFERROR(__xludf.DUMMYFUNCTION("""COMPUTED_VALUE"""),1.19968128)</f>
        <v>1.1996812800000001</v>
      </c>
      <c r="J1313" s="586" t="str">
        <f ca="1">IFERROR(__xludf.DUMMYFUNCTION("""COMPUTED_VALUE""")," 19.05 ")</f>
        <v xml:space="preserve"> 19.05 </v>
      </c>
      <c r="K1313" s="584" t="str">
        <f ca="1">IFERROR(__xludf.DUMMYFUNCTION("""COMPUTED_VALUE"""),"0.81")</f>
        <v>0.81</v>
      </c>
      <c r="L1313" s="584">
        <f ca="1">IFERROR(__xludf.DUMMYFUNCTION("""COMPUTED_VALUE"""),2.9)</f>
        <v>2.9</v>
      </c>
      <c r="M1313" s="584"/>
      <c r="N1313" s="584" t="str">
        <f ca="1">IFERROR(__xludf.DUMMYFUNCTION("""COMPUTED_VALUE"""),"Không")</f>
        <v>Không</v>
      </c>
      <c r="O1313" s="583"/>
      <c r="P1313" s="584"/>
      <c r="Q1313" s="885">
        <f ca="1">+$Q$5*I1313</f>
        <v>275.92669439999997</v>
      </c>
    </row>
    <row r="1314" spans="1:17" ht="15.75">
      <c r="A1314" s="587" t="str">
        <f ca="1">IFERROR(__xludf.DUMMYFUNCTION("""COMPUTED_VALUE"""),"Taisei Việt Nam")</f>
        <v>Taisei Việt Nam</v>
      </c>
      <c r="B1314" s="587" t="str">
        <f ca="1">IFERROR(__xludf.DUMMYFUNCTION("""COMPUTED_VALUE"""),"ĐTSCAYIB")</f>
        <v>ĐTSCAYIB</v>
      </c>
      <c r="C1314" s="587" t="str">
        <f ca="1">IFERROR(__xludf.DUMMYFUNCTION("""COMPUTED_VALUE"""),"DOTVNTS1905100")</f>
        <v>DOTVNTS1905100</v>
      </c>
      <c r="D1314" s="588" t="str">
        <f ca="1">IFERROR(__xludf.DUMMYFUNCTION("""COMPUTED_VALUE"""),"Đồng ống thẳng Taisei 19.05x1.00")</f>
        <v>Đồng ống thẳng Taisei 19.05x1.00</v>
      </c>
      <c r="E1314" s="589">
        <f ca="1">IFERROR(__xludf.DUMMYFUNCTION("""COMPUTED_VALUE"""),0.1)</f>
        <v>0.1</v>
      </c>
      <c r="F1314" s="590" t="str">
        <f ca="1">IFERROR(__xludf.DUMMYFUNCTION("""COMPUTED_VALUE"""),"Cây")</f>
        <v>Cây</v>
      </c>
      <c r="G1314" s="590" t="str">
        <f ca="1">IFERROR(__xludf.DUMMYFUNCTION("""COMPUTED_VALUE"""),"Cây 2.9m")</f>
        <v>Cây 2.9m</v>
      </c>
      <c r="H1314" s="588"/>
      <c r="I1314" s="591">
        <f ca="1">IFERROR(__xludf.DUMMYFUNCTION("""COMPUTED_VALUE"""),1.46566)</f>
        <v>1.46566</v>
      </c>
      <c r="J1314" s="592" t="str">
        <f ca="1">IFERROR(__xludf.DUMMYFUNCTION("""COMPUTED_VALUE""")," 19.05 ")</f>
        <v xml:space="preserve"> 19.05 </v>
      </c>
      <c r="K1314" s="590" t="str">
        <f ca="1">IFERROR(__xludf.DUMMYFUNCTION("""COMPUTED_VALUE"""),"1.00")</f>
        <v>1.00</v>
      </c>
      <c r="L1314" s="590">
        <f ca="1">IFERROR(__xludf.DUMMYFUNCTION("""COMPUTED_VALUE"""),2.9)</f>
        <v>2.9</v>
      </c>
      <c r="M1314" s="590"/>
      <c r="N1314" s="590" t="str">
        <f ca="1">IFERROR(__xludf.DUMMYFUNCTION("""COMPUTED_VALUE"""),"Không")</f>
        <v>Không</v>
      </c>
      <c r="O1314" s="589"/>
      <c r="P1314" s="590"/>
      <c r="Q1314" s="885">
        <f ca="1">+$Q$5*I1314</f>
        <v>337.10179999999997</v>
      </c>
    </row>
    <row r="1315" spans="1:17" ht="15.75">
      <c r="A1315" s="581" t="str">
        <f ca="1">IFERROR(__xludf.DUMMYFUNCTION("""COMPUTED_VALUE"""),"Taisei Việt Nam")</f>
        <v>Taisei Việt Nam</v>
      </c>
      <c r="B1315" s="581" t="str">
        <f ca="1">IFERROR(__xludf.DUMMYFUNCTION("""COMPUTED_VALUE"""),"ĐTSCAY")</f>
        <v>ĐTSCAY</v>
      </c>
      <c r="C1315" s="581" t="str">
        <f ca="1">IFERROR(__xludf.DUMMYFUNCTION("""COMPUTED_VALUE"""),"DOTVNTS127007129")</f>
        <v>DOTVNTS127007129</v>
      </c>
      <c r="D1315" s="582" t="str">
        <f ca="1">IFERROR(__xludf.DUMMYFUNCTION("""COMPUTED_VALUE"""),"Đồng ống thẳng Taisei 12.70 x 0.71 x 2.9m")</f>
        <v>Đồng ống thẳng Taisei 12.70 x 0.71 x 2.9m</v>
      </c>
      <c r="E1315" s="583">
        <f ca="1">IFERROR(__xludf.DUMMYFUNCTION("""COMPUTED_VALUE"""),0.1)</f>
        <v>0.1</v>
      </c>
      <c r="F1315" s="584" t="str">
        <f ca="1">IFERROR(__xludf.DUMMYFUNCTION("""COMPUTED_VALUE"""),"Cây")</f>
        <v>Cây</v>
      </c>
      <c r="G1315" s="584" t="str">
        <f ca="1">IFERROR(__xludf.DUMMYFUNCTION("""COMPUTED_VALUE"""),"Cây 2.9m")</f>
        <v>Cây 2.9m</v>
      </c>
      <c r="H1315" s="582"/>
      <c r="I1315" s="585">
        <f ca="1">IFERROR(__xludf.DUMMYFUNCTION("""COMPUTED_VALUE"""),0.691247479999999)</f>
        <v>0.69124747999999903</v>
      </c>
      <c r="J1315" s="586" t="str">
        <f ca="1">IFERROR(__xludf.DUMMYFUNCTION("""COMPUTED_VALUE""")," 12.70 ")</f>
        <v xml:space="preserve"> 12.70 </v>
      </c>
      <c r="K1315" s="584" t="str">
        <f ca="1">IFERROR(__xludf.DUMMYFUNCTION("""COMPUTED_VALUE"""),"0.71")</f>
        <v>0.71</v>
      </c>
      <c r="L1315" s="584">
        <f ca="1">IFERROR(__xludf.DUMMYFUNCTION("""COMPUTED_VALUE"""),2.9)</f>
        <v>2.9</v>
      </c>
      <c r="M1315" s="584"/>
      <c r="N1315" s="584" t="str">
        <f ca="1">IFERROR(__xludf.DUMMYFUNCTION("""COMPUTED_VALUE"""),"Không")</f>
        <v>Không</v>
      </c>
      <c r="O1315" s="583"/>
      <c r="P1315" s="584"/>
      <c r="Q1315" s="885">
        <f ca="1">+$Q$5*I1315</f>
        <v>158.98692039999975</v>
      </c>
    </row>
    <row r="1316" spans="1:17" ht="15.75">
      <c r="A1316" s="587" t="str">
        <f ca="1">IFERROR(__xludf.DUMMYFUNCTION("""COMPUTED_VALUE"""),"Taisei Việt Nam")</f>
        <v>Taisei Việt Nam</v>
      </c>
      <c r="B1316" s="587" t="str">
        <f ca="1">IFERROR(__xludf.DUMMYFUNCTION("""COMPUTED_VALUE"""),"ĐTSCAY")</f>
        <v>ĐTSCAY</v>
      </c>
      <c r="C1316" s="587" t="str">
        <f ca="1">IFERROR(__xludf.DUMMYFUNCTION("""COMPUTED_VALUE"""),"DOTVNTS127008129")</f>
        <v>DOTVNTS127008129</v>
      </c>
      <c r="D1316" s="588" t="str">
        <f ca="1">IFERROR(__xludf.DUMMYFUNCTION("""COMPUTED_VALUE"""),"Đồng ống thẳng Taisei 12.70 x 0.81 x 2.9m")</f>
        <v>Đồng ống thẳng Taisei 12.70 x 0.81 x 2.9m</v>
      </c>
      <c r="E1316" s="589">
        <f ca="1">IFERROR(__xludf.DUMMYFUNCTION("""COMPUTED_VALUE"""),0.1)</f>
        <v>0.1</v>
      </c>
      <c r="F1316" s="590" t="str">
        <f ca="1">IFERROR(__xludf.DUMMYFUNCTION("""COMPUTED_VALUE"""),"Cây")</f>
        <v>Cây</v>
      </c>
      <c r="G1316" s="590" t="str">
        <f ca="1">IFERROR(__xludf.DUMMYFUNCTION("""COMPUTED_VALUE"""),"Cây 2.9m")</f>
        <v>Cây 2.9m</v>
      </c>
      <c r="H1316" s="588"/>
      <c r="I1316" s="591">
        <f ca="1">IFERROR(__xludf.DUMMYFUNCTION("""COMPUTED_VALUE"""),0.782029079999999)</f>
        <v>0.78202907999999904</v>
      </c>
      <c r="J1316" s="592" t="str">
        <f ca="1">IFERROR(__xludf.DUMMYFUNCTION("""COMPUTED_VALUE""")," 12.70 ")</f>
        <v xml:space="preserve"> 12.70 </v>
      </c>
      <c r="K1316" s="590" t="str">
        <f ca="1">IFERROR(__xludf.DUMMYFUNCTION("""COMPUTED_VALUE"""),"0.81")</f>
        <v>0.81</v>
      </c>
      <c r="L1316" s="590">
        <f ca="1">IFERROR(__xludf.DUMMYFUNCTION("""COMPUTED_VALUE"""),2.9)</f>
        <v>2.9</v>
      </c>
      <c r="M1316" s="590"/>
      <c r="N1316" s="590" t="str">
        <f ca="1">IFERROR(__xludf.DUMMYFUNCTION("""COMPUTED_VALUE"""),"Không")</f>
        <v>Không</v>
      </c>
      <c r="O1316" s="589"/>
      <c r="P1316" s="590"/>
      <c r="Q1316" s="885">
        <f ca="1">+$Q$5*I1316</f>
        <v>179.86668839999976</v>
      </c>
    </row>
    <row r="1317" spans="1:17" ht="15.75">
      <c r="A1317" s="581" t="str">
        <f ca="1">IFERROR(__xludf.DUMMYFUNCTION("""COMPUTED_VALUE"""),"Taisei Việt Nam")</f>
        <v>Taisei Việt Nam</v>
      </c>
      <c r="B1317" s="581" t="str">
        <f ca="1">IFERROR(__xludf.DUMMYFUNCTION("""COMPUTED_VALUE"""),"ĐTSCAY")</f>
        <v>ĐTSCAY</v>
      </c>
      <c r="C1317" s="581" t="str">
        <f ca="1">IFERROR(__xludf.DUMMYFUNCTION("""COMPUTED_VALUE"""),"DOTVNTS28581129")</f>
        <v>DOTVNTS28581129</v>
      </c>
      <c r="D1317" s="582" t="str">
        <f ca="1">IFERROR(__xludf.DUMMYFUNCTION("""COMPUTED_VALUE"""),"Đồng ống thẳng Taisei 28.58 x 1.1 x 2.9m")</f>
        <v>Đồng ống thẳng Taisei 28.58 x 1.1 x 2.9m</v>
      </c>
      <c r="E1317" s="583">
        <f ca="1">IFERROR(__xludf.DUMMYFUNCTION("""COMPUTED_VALUE"""),0.1)</f>
        <v>0.1</v>
      </c>
      <c r="F1317" s="584" t="str">
        <f ca="1">IFERROR(__xludf.DUMMYFUNCTION("""COMPUTED_VALUE"""),"Cây")</f>
        <v>Cây</v>
      </c>
      <c r="G1317" s="584" t="str">
        <f ca="1">IFERROR(__xludf.DUMMYFUNCTION("""COMPUTED_VALUE"""),"Cây 2.9m")</f>
        <v>Cây 2.9m</v>
      </c>
      <c r="H1317" s="582"/>
      <c r="I1317" s="585">
        <f ca="1">IFERROR(__xludf.DUMMYFUNCTION("""COMPUTED_VALUE"""),2.4545136)</f>
        <v>2.4545135999999999</v>
      </c>
      <c r="J1317" s="586" t="str">
        <f ca="1">IFERROR(__xludf.DUMMYFUNCTION("""COMPUTED_VALUE""")," 28.58 ")</f>
        <v xml:space="preserve"> 28.58 </v>
      </c>
      <c r="K1317" s="584" t="str">
        <f ca="1">IFERROR(__xludf.DUMMYFUNCTION("""COMPUTED_VALUE"""),"1.10")</f>
        <v>1.10</v>
      </c>
      <c r="L1317" s="584">
        <f ca="1">IFERROR(__xludf.DUMMYFUNCTION("""COMPUTED_VALUE"""),2.9)</f>
        <v>2.9</v>
      </c>
      <c r="M1317" s="584"/>
      <c r="N1317" s="584" t="str">
        <f ca="1">IFERROR(__xludf.DUMMYFUNCTION("""COMPUTED_VALUE"""),"Dị_D&lt;54")</f>
        <v>Dị_D&lt;54</v>
      </c>
      <c r="O1317" s="583"/>
      <c r="P1317" s="584"/>
    </row>
    <row r="1318" spans="1:17" ht="15.75">
      <c r="A1318" s="587" t="str">
        <f ca="1">IFERROR(__xludf.DUMMYFUNCTION("""COMPUTED_VALUE"""),"Taisei Việt Nam")</f>
        <v>Taisei Việt Nam</v>
      </c>
      <c r="B1318" s="587" t="str">
        <f ca="1">IFERROR(__xludf.DUMMYFUNCTION("""COMPUTED_VALUE"""),"ĐTSCAYDI")</f>
        <v>ĐTSCAYDI</v>
      </c>
      <c r="C1318" s="587" t="str">
        <f ca="1">IFERROR(__xludf.DUMMYFUNCTION("""COMPUTED_VALUE"""),"DOTVNTS158810029")</f>
        <v>DOTVNTS158810029</v>
      </c>
      <c r="D1318" s="588" t="str">
        <f ca="1">IFERROR(__xludf.DUMMYFUNCTION("""COMPUTED_VALUE"""),"Đồng ống thẳng 15.88x1.0x2.9m Taisei")</f>
        <v>Đồng ống thẳng 15.88x1.0x2.9m Taisei</v>
      </c>
      <c r="E1318" s="589">
        <f ca="1">IFERROR(__xludf.DUMMYFUNCTION("""COMPUTED_VALUE"""),0.1)</f>
        <v>0.1</v>
      </c>
      <c r="F1318" s="590" t="str">
        <f ca="1">IFERROR(__xludf.DUMMYFUNCTION("""COMPUTED_VALUE"""),"Cây")</f>
        <v>Cây</v>
      </c>
      <c r="G1318" s="590" t="str">
        <f ca="1">IFERROR(__xludf.DUMMYFUNCTION("""COMPUTED_VALUE"""),"Cây 2.9m")</f>
        <v>Cây 2.9m</v>
      </c>
      <c r="H1318" s="588"/>
      <c r="I1318" s="591">
        <f ca="1">IFERROR(__xludf.DUMMYFUNCTION("""COMPUTED_VALUE"""),1.208256)</f>
        <v>1.208256</v>
      </c>
      <c r="J1318" s="592" t="str">
        <f ca="1">IFERROR(__xludf.DUMMYFUNCTION("""COMPUTED_VALUE""")," 15.88 ")</f>
        <v xml:space="preserve"> 15.88 </v>
      </c>
      <c r="K1318" s="590" t="str">
        <f ca="1">IFERROR(__xludf.DUMMYFUNCTION("""COMPUTED_VALUE"""),"1.00")</f>
        <v>1.00</v>
      </c>
      <c r="L1318" s="590">
        <f ca="1">IFERROR(__xludf.DUMMYFUNCTION("""COMPUTED_VALUE"""),2.9)</f>
        <v>2.9</v>
      </c>
      <c r="M1318" s="590"/>
      <c r="N1318" s="590" t="str">
        <f ca="1">IFERROR(__xludf.DUMMYFUNCTION("""COMPUTED_VALUE"""),"Dị_D&lt;54")</f>
        <v>Dị_D&lt;54</v>
      </c>
      <c r="O1318" s="589">
        <f ca="1">IFERROR(__xludf.DUMMYFUNCTION("""COMPUTED_VALUE"""),1)</f>
        <v>1</v>
      </c>
      <c r="P1318" s="590"/>
    </row>
    <row r="1319" spans="1:17" ht="15.75">
      <c r="A1319" s="581" t="str">
        <f ca="1">IFERROR(__xludf.DUMMYFUNCTION("""COMPUTED_VALUE"""),"Taisei Việt Nam")</f>
        <v>Taisei Việt Nam</v>
      </c>
      <c r="B1319" s="581" t="str">
        <f ca="1">IFERROR(__xludf.DUMMYFUNCTION("""COMPUTED_VALUE"""),"ĐTSCAYDI")</f>
        <v>ĐTSCAYDI</v>
      </c>
      <c r="C1319" s="581" t="str">
        <f ca="1">IFERROR(__xludf.DUMMYFUNCTION("""COMPUTED_VALUE"""),"DOTVNTS222208129")</f>
        <v>DOTVNTS222208129</v>
      </c>
      <c r="D1319" s="582" t="str">
        <f ca="1">IFERROR(__xludf.DUMMYFUNCTION("""COMPUTED_VALUE"""),"Đồng ống thẳng 22.22x0.81x2.9m Taisei")</f>
        <v>Đồng ống thẳng 22.22x0.81x2.9m Taisei</v>
      </c>
      <c r="E1319" s="583">
        <f ca="1">IFERROR(__xludf.DUMMYFUNCTION("""COMPUTED_VALUE"""),0.1)</f>
        <v>0.1</v>
      </c>
      <c r="F1319" s="584" t="str">
        <f ca="1">IFERROR(__xludf.DUMMYFUNCTION("""COMPUTED_VALUE"""),"Cây")</f>
        <v>Cây</v>
      </c>
      <c r="G1319" s="584" t="str">
        <f ca="1">IFERROR(__xludf.DUMMYFUNCTION("""COMPUTED_VALUE"""),"Cây 2.9m")</f>
        <v>Cây 2.9m</v>
      </c>
      <c r="H1319" s="582"/>
      <c r="I1319" s="585">
        <f ca="1">IFERROR(__xludf.DUMMYFUNCTION("""COMPUTED_VALUE"""),1.40817852)</f>
        <v>1.4081785200000001</v>
      </c>
      <c r="J1319" s="586" t="str">
        <f ca="1">IFERROR(__xludf.DUMMYFUNCTION("""COMPUTED_VALUE""")," 22.22 ")</f>
        <v xml:space="preserve"> 22.22 </v>
      </c>
      <c r="K1319" s="584" t="str">
        <f ca="1">IFERROR(__xludf.DUMMYFUNCTION("""COMPUTED_VALUE"""),"0.81")</f>
        <v>0.81</v>
      </c>
      <c r="L1319" s="584">
        <f ca="1">IFERROR(__xludf.DUMMYFUNCTION("""COMPUTED_VALUE"""),2.9)</f>
        <v>2.9</v>
      </c>
      <c r="M1319" s="584"/>
      <c r="N1319" s="584" t="str">
        <f ca="1">IFERROR(__xludf.DUMMYFUNCTION("""COMPUTED_VALUE"""),"Dị_D&lt;54")</f>
        <v>Dị_D&lt;54</v>
      </c>
      <c r="O1319" s="583"/>
      <c r="P1319" s="584"/>
    </row>
    <row r="1320" spans="1:17" ht="15.75">
      <c r="A1320" s="587" t="str">
        <f ca="1">IFERROR(__xludf.DUMMYFUNCTION("""COMPUTED_VALUE"""),"Taisei Việt Nam")</f>
        <v>Taisei Việt Nam</v>
      </c>
      <c r="B1320" s="587" t="str">
        <f ca="1">IFERROR(__xludf.DUMMYFUNCTION("""COMPUTED_VALUE"""),"ĐTSCAYDI")</f>
        <v>ĐTSCAYDI</v>
      </c>
      <c r="C1320" s="587" t="str">
        <f ca="1">IFERROR(__xludf.DUMMYFUNCTION("""COMPUTED_VALUE"""),"DOTVNTS222209129")</f>
        <v>DOTVNTS222209129</v>
      </c>
      <c r="D1320" s="588" t="str">
        <f ca="1">IFERROR(__xludf.DUMMYFUNCTION("""COMPUTED_VALUE"""),"Đồng ống thẳng 22.22x0.91x2.9m Taisei")</f>
        <v>Đồng ống thẳng 22.22x0.91x2.9m Taisei</v>
      </c>
      <c r="E1320" s="589">
        <f ca="1">IFERROR(__xludf.DUMMYFUNCTION("""COMPUTED_VALUE"""),0.1)</f>
        <v>0.1</v>
      </c>
      <c r="F1320" s="590" t="str">
        <f ca="1">IFERROR(__xludf.DUMMYFUNCTION("""COMPUTED_VALUE"""),"Cây")</f>
        <v>Cây</v>
      </c>
      <c r="G1320" s="590" t="str">
        <f ca="1">IFERROR(__xludf.DUMMYFUNCTION("""COMPUTED_VALUE"""),"Cây 2.9m")</f>
        <v>Cây 2.9m</v>
      </c>
      <c r="H1320" s="588"/>
      <c r="I1320" s="591">
        <f ca="1">IFERROR(__xludf.DUMMYFUNCTION("""COMPUTED_VALUE"""),1.57463852)</f>
        <v>1.5746385199999999</v>
      </c>
      <c r="J1320" s="592" t="str">
        <f ca="1">IFERROR(__xludf.DUMMYFUNCTION("""COMPUTED_VALUE""")," 22.22 ")</f>
        <v xml:space="preserve"> 22.22 </v>
      </c>
      <c r="K1320" s="590" t="str">
        <f ca="1">IFERROR(__xludf.DUMMYFUNCTION("""COMPUTED_VALUE"""),"0.91")</f>
        <v>0.91</v>
      </c>
      <c r="L1320" s="590">
        <f ca="1">IFERROR(__xludf.DUMMYFUNCTION("""COMPUTED_VALUE"""),2.9)</f>
        <v>2.9</v>
      </c>
      <c r="M1320" s="590"/>
      <c r="N1320" s="590" t="str">
        <f ca="1">IFERROR(__xludf.DUMMYFUNCTION("""COMPUTED_VALUE"""),"Dị_D&lt;54")</f>
        <v>Dị_D&lt;54</v>
      </c>
      <c r="O1320" s="589"/>
      <c r="P1320" s="590"/>
    </row>
    <row r="1321" spans="1:17" ht="15.75">
      <c r="A1321" s="581" t="str">
        <f ca="1">IFERROR(__xludf.DUMMYFUNCTION("""COMPUTED_VALUE"""),"Taisei Việt Nam")</f>
        <v>Taisei Việt Nam</v>
      </c>
      <c r="B1321" s="581" t="str">
        <f ca="1">IFERROR(__xludf.DUMMYFUNCTION("""COMPUTED_VALUE"""),"ĐTSCAYDI")</f>
        <v>ĐTSCAYDI</v>
      </c>
      <c r="C1321" s="581" t="str">
        <f ca="1">IFERROR(__xludf.DUMMYFUNCTION("""COMPUTED_VALUE"""),"DOTVNTS22221029")</f>
        <v>DOTVNTS22221029</v>
      </c>
      <c r="D1321" s="582" t="str">
        <f ca="1">IFERROR(__xludf.DUMMYFUNCTION("""COMPUTED_VALUE"""),"Đồng ống thẳng 22.22x1.0x2.9m Taisei")</f>
        <v>Đồng ống thẳng 22.22x1.0x2.9m Taisei</v>
      </c>
      <c r="E1321" s="583">
        <f ca="1">IFERROR(__xludf.DUMMYFUNCTION("""COMPUTED_VALUE"""),0.1)</f>
        <v>0.1</v>
      </c>
      <c r="F1321" s="584" t="str">
        <f ca="1">IFERROR(__xludf.DUMMYFUNCTION("""COMPUTED_VALUE"""),"Cây")</f>
        <v>Cây</v>
      </c>
      <c r="G1321" s="584" t="str">
        <f ca="1">IFERROR(__xludf.DUMMYFUNCTION("""COMPUTED_VALUE"""),"Cây 2.9m")</f>
        <v>Cây 2.9m</v>
      </c>
      <c r="H1321" s="582"/>
      <c r="I1321" s="585">
        <f ca="1">IFERROR(__xludf.DUMMYFUNCTION("""COMPUTED_VALUE"""),1.723064)</f>
        <v>1.7230639999999999</v>
      </c>
      <c r="J1321" s="586" t="str">
        <f ca="1">IFERROR(__xludf.DUMMYFUNCTION("""COMPUTED_VALUE""")," 22.22 ")</f>
        <v xml:space="preserve"> 22.22 </v>
      </c>
      <c r="K1321" s="584" t="str">
        <f ca="1">IFERROR(__xludf.DUMMYFUNCTION("""COMPUTED_VALUE"""),"1.00")</f>
        <v>1.00</v>
      </c>
      <c r="L1321" s="584">
        <f ca="1">IFERROR(__xludf.DUMMYFUNCTION("""COMPUTED_VALUE"""),2.9)</f>
        <v>2.9</v>
      </c>
      <c r="M1321" s="584"/>
      <c r="N1321" s="584" t="str">
        <f ca="1">IFERROR(__xludf.DUMMYFUNCTION("""COMPUTED_VALUE"""),"Dị_D&lt;54")</f>
        <v>Dị_D&lt;54</v>
      </c>
      <c r="O1321" s="583"/>
      <c r="P1321" s="584"/>
    </row>
    <row r="1322" spans="1:17" ht="15.75">
      <c r="A1322" s="587" t="str">
        <f ca="1">IFERROR(__xludf.DUMMYFUNCTION("""COMPUTED_VALUE"""),"Taisei Việt Nam")</f>
        <v>Taisei Việt Nam</v>
      </c>
      <c r="B1322" s="587" t="str">
        <f ca="1">IFERROR(__xludf.DUMMYFUNCTION("""COMPUTED_VALUE"""),"ĐTSCAYDI")</f>
        <v>ĐTSCAYDI</v>
      </c>
      <c r="C1322" s="587" t="str">
        <f ca="1">IFERROR(__xludf.DUMMYFUNCTION("""COMPUTED_VALUE"""),"DOTVNTS222210229")</f>
        <v>DOTVNTS222210229</v>
      </c>
      <c r="D1322" s="588" t="str">
        <f ca="1">IFERROR(__xludf.DUMMYFUNCTION("""COMPUTED_VALUE"""),"Đồng ống thẳng 22.22x1.02x2.9m Taisei")</f>
        <v>Đồng ống thẳng 22.22x1.02x2.9m Taisei</v>
      </c>
      <c r="E1322" s="589">
        <f ca="1">IFERROR(__xludf.DUMMYFUNCTION("""COMPUTED_VALUE"""),0.1)</f>
        <v>0.1</v>
      </c>
      <c r="F1322" s="590" t="str">
        <f ca="1">IFERROR(__xludf.DUMMYFUNCTION("""COMPUTED_VALUE"""),"Cây")</f>
        <v>Cây</v>
      </c>
      <c r="G1322" s="590" t="str">
        <f ca="1">IFERROR(__xludf.DUMMYFUNCTION("""COMPUTED_VALUE"""),"Cây 2.9m")</f>
        <v>Cây 2.9m</v>
      </c>
      <c r="H1322" s="588"/>
      <c r="I1322" s="591">
        <f ca="1">IFERROR(__xludf.DUMMYFUNCTION("""COMPUTED_VALUE"""),1.7558688)</f>
        <v>1.7558688</v>
      </c>
      <c r="J1322" s="592" t="str">
        <f ca="1">IFERROR(__xludf.DUMMYFUNCTION("""COMPUTED_VALUE""")," 22.22 ")</f>
        <v xml:space="preserve"> 22.22 </v>
      </c>
      <c r="K1322" s="590" t="str">
        <f ca="1">IFERROR(__xludf.DUMMYFUNCTION("""COMPUTED_VALUE"""),"1.02")</f>
        <v>1.02</v>
      </c>
      <c r="L1322" s="590">
        <f ca="1">IFERROR(__xludf.DUMMYFUNCTION("""COMPUTED_VALUE"""),2.9)</f>
        <v>2.9</v>
      </c>
      <c r="M1322" s="590"/>
      <c r="N1322" s="590" t="str">
        <f ca="1">IFERROR(__xludf.DUMMYFUNCTION("""COMPUTED_VALUE"""),"Dị_D&lt;54")</f>
        <v>Dị_D&lt;54</v>
      </c>
      <c r="O1322" s="589"/>
      <c r="P1322" s="590"/>
    </row>
    <row r="1323" spans="1:17" ht="15.75">
      <c r="A1323" s="581" t="str">
        <f ca="1">IFERROR(__xludf.DUMMYFUNCTION("""COMPUTED_VALUE"""),"Taisei Việt Nam")</f>
        <v>Taisei Việt Nam</v>
      </c>
      <c r="B1323" s="581" t="str">
        <f ca="1">IFERROR(__xludf.DUMMYFUNCTION("""COMPUTED_VALUE"""),"ĐTSCAY")</f>
        <v>ĐTSCAY</v>
      </c>
      <c r="C1323" s="581" t="str">
        <f ca="1">IFERROR(__xludf.DUMMYFUNCTION("""COMPUTED_VALUE"""),"DOTVNTS222211429")</f>
        <v>DOTVNTS222211429</v>
      </c>
      <c r="D1323" s="582" t="str">
        <f ca="1">IFERROR(__xludf.DUMMYFUNCTION("""COMPUTED_VALUE"""),"Đồng ống thẳng 22.22x1.14x2.9m Taisei")</f>
        <v>Đồng ống thẳng 22.22x1.14x2.9m Taisei</v>
      </c>
      <c r="E1323" s="583">
        <f ca="1">IFERROR(__xludf.DUMMYFUNCTION("""COMPUTED_VALUE"""),0.1)</f>
        <v>0.1</v>
      </c>
      <c r="F1323" s="584" t="str">
        <f ca="1">IFERROR(__xludf.DUMMYFUNCTION("""COMPUTED_VALUE"""),"Cây")</f>
        <v>Cây</v>
      </c>
      <c r="G1323" s="584" t="str">
        <f ca="1">IFERROR(__xludf.DUMMYFUNCTION("""COMPUTED_VALUE"""),"Cây 2.9m")</f>
        <v>Cây 2.9m</v>
      </c>
      <c r="H1323" s="582"/>
      <c r="I1323" s="585">
        <f ca="1">IFERROR(__xludf.DUMMYFUNCTION("""COMPUTED_VALUE"""),1.95133343999999)</f>
        <v>1.95133343999999</v>
      </c>
      <c r="J1323" s="586" t="str">
        <f ca="1">IFERROR(__xludf.DUMMYFUNCTION("""COMPUTED_VALUE""")," 22.22 ")</f>
        <v xml:space="preserve"> 22.22 </v>
      </c>
      <c r="K1323" s="584" t="str">
        <f ca="1">IFERROR(__xludf.DUMMYFUNCTION("""COMPUTED_VALUE"""),"1.14")</f>
        <v>1.14</v>
      </c>
      <c r="L1323" s="584">
        <f ca="1">IFERROR(__xludf.DUMMYFUNCTION("""COMPUTED_VALUE"""),2.9)</f>
        <v>2.9</v>
      </c>
      <c r="M1323" s="584"/>
      <c r="N1323" s="584" t="str">
        <f ca="1">IFERROR(__xludf.DUMMYFUNCTION("""COMPUTED_VALUE"""),"Dị_D&lt;54")</f>
        <v>Dị_D&lt;54</v>
      </c>
      <c r="O1323" s="583"/>
      <c r="P1323" s="584"/>
    </row>
    <row r="1324" spans="1:17" ht="15.75">
      <c r="A1324" s="587" t="str">
        <f ca="1">IFERROR(__xludf.DUMMYFUNCTION("""COMPUTED_VALUE"""),"Taisei Việt Nam")</f>
        <v>Taisei Việt Nam</v>
      </c>
      <c r="B1324" s="587" t="str">
        <f ca="1">IFERROR(__xludf.DUMMYFUNCTION("""COMPUTED_VALUE"""),"ĐTSCAYDI")</f>
        <v>ĐTSCAYDI</v>
      </c>
      <c r="C1324" s="587" t="str">
        <f ca="1">IFERROR(__xludf.DUMMYFUNCTION("""COMPUTED_VALUE"""),"DOTVNTS222212029")</f>
        <v>DOTVNTS222212029</v>
      </c>
      <c r="D1324" s="588" t="str">
        <f ca="1">IFERROR(__xludf.DUMMYFUNCTION("""COMPUTED_VALUE"""),"Đồng ống thẳng 22.22x1.20x2.9m Taisei")</f>
        <v>Đồng ống thẳng 22.22x1.20x2.9m Taisei</v>
      </c>
      <c r="E1324" s="589">
        <f ca="1">IFERROR(__xludf.DUMMYFUNCTION("""COMPUTED_VALUE"""),0.1)</f>
        <v>0.1</v>
      </c>
      <c r="F1324" s="590" t="str">
        <f ca="1">IFERROR(__xludf.DUMMYFUNCTION("""COMPUTED_VALUE"""),"Cây")</f>
        <v>Cây</v>
      </c>
      <c r="G1324" s="590" t="str">
        <f ca="1">IFERROR(__xludf.DUMMYFUNCTION("""COMPUTED_VALUE"""),"Cây 2.9m")</f>
        <v>Cây 2.9m</v>
      </c>
      <c r="H1324" s="588"/>
      <c r="I1324" s="591">
        <f ca="1">IFERROR(__xludf.DUMMYFUNCTION("""COMPUTED_VALUE"""),2.0481888)</f>
        <v>2.0481888000000001</v>
      </c>
      <c r="J1324" s="592" t="str">
        <f ca="1">IFERROR(__xludf.DUMMYFUNCTION("""COMPUTED_VALUE""")," 22.22 ")</f>
        <v xml:space="preserve"> 22.22 </v>
      </c>
      <c r="K1324" s="590" t="str">
        <f ca="1">IFERROR(__xludf.DUMMYFUNCTION("""COMPUTED_VALUE"""),"1.20")</f>
        <v>1.20</v>
      </c>
      <c r="L1324" s="590">
        <f ca="1">IFERROR(__xludf.DUMMYFUNCTION("""COMPUTED_VALUE"""),2.9)</f>
        <v>2.9</v>
      </c>
      <c r="M1324" s="590"/>
      <c r="N1324" s="590" t="str">
        <f ca="1">IFERROR(__xludf.DUMMYFUNCTION("""COMPUTED_VALUE"""),"Dị_D&lt;54")</f>
        <v>Dị_D&lt;54</v>
      </c>
      <c r="O1324" s="589"/>
      <c r="P1324" s="590"/>
    </row>
    <row r="1325" spans="1:17" ht="15.75">
      <c r="A1325" s="581" t="str">
        <f ca="1">IFERROR(__xludf.DUMMYFUNCTION("""COMPUTED_VALUE"""),"Taisei Việt Nam")</f>
        <v>Taisei Việt Nam</v>
      </c>
      <c r="B1325" s="581" t="str">
        <f ca="1">IFERROR(__xludf.DUMMYFUNCTION("""COMPUTED_VALUE"""),"ĐTSCAYDI")</f>
        <v>ĐTSCAYDI</v>
      </c>
      <c r="C1325" s="581" t="str">
        <f ca="1">IFERROR(__xludf.DUMMYFUNCTION("""COMPUTED_VALUE"""),"DOTVNTS25401029")</f>
        <v>DOTVNTS25401029</v>
      </c>
      <c r="D1325" s="582" t="str">
        <f ca="1">IFERROR(__xludf.DUMMYFUNCTION("""COMPUTED_VALUE"""),"Đồng ống thẳng 25.40x1.0x2.9m Taisei")</f>
        <v>Đồng ống thẳng 25.40x1.0x2.9m Taisei</v>
      </c>
      <c r="E1325" s="583">
        <f ca="1">IFERROR(__xludf.DUMMYFUNCTION("""COMPUTED_VALUE"""),0.1)</f>
        <v>0.1</v>
      </c>
      <c r="F1325" s="584" t="str">
        <f ca="1">IFERROR(__xludf.DUMMYFUNCTION("""COMPUTED_VALUE"""),"Cây")</f>
        <v>Cây</v>
      </c>
      <c r="G1325" s="584" t="str">
        <f ca="1">IFERROR(__xludf.DUMMYFUNCTION("""COMPUTED_VALUE"""),"Cây 2.9m")</f>
        <v>Cây 2.9m</v>
      </c>
      <c r="H1325" s="582"/>
      <c r="I1325" s="585">
        <f ca="1">IFERROR(__xludf.DUMMYFUNCTION("""COMPUTED_VALUE"""),1.98128)</f>
        <v>1.9812799999999999</v>
      </c>
      <c r="J1325" s="586" t="str">
        <f ca="1">IFERROR(__xludf.DUMMYFUNCTION("""COMPUTED_VALUE""")," 25.40 ")</f>
        <v xml:space="preserve"> 25.40 </v>
      </c>
      <c r="K1325" s="584" t="str">
        <f ca="1">IFERROR(__xludf.DUMMYFUNCTION("""COMPUTED_VALUE"""),"1.00")</f>
        <v>1.00</v>
      </c>
      <c r="L1325" s="584">
        <f ca="1">IFERROR(__xludf.DUMMYFUNCTION("""COMPUTED_VALUE"""),2.9)</f>
        <v>2.9</v>
      </c>
      <c r="M1325" s="584"/>
      <c r="N1325" s="584" t="str">
        <f ca="1">IFERROR(__xludf.DUMMYFUNCTION("""COMPUTED_VALUE"""),"Dị_D&lt;54")</f>
        <v>Dị_D&lt;54</v>
      </c>
      <c r="O1325" s="583"/>
      <c r="P1325" s="584"/>
    </row>
    <row r="1326" spans="1:17" ht="15.75">
      <c r="A1326" s="587" t="str">
        <f ca="1">IFERROR(__xludf.DUMMYFUNCTION("""COMPUTED_VALUE"""),"Taisei Việt Nam")</f>
        <v>Taisei Việt Nam</v>
      </c>
      <c r="B1326" s="587" t="str">
        <f ca="1">IFERROR(__xludf.DUMMYFUNCTION("""COMPUTED_VALUE"""),"ĐTSCAYDI")</f>
        <v>ĐTSCAYDI</v>
      </c>
      <c r="C1326" s="587" t="str">
        <f ca="1">IFERROR(__xludf.DUMMYFUNCTION("""COMPUTED_VALUE"""),"DOTVNTS254012029")</f>
        <v>DOTVNTS254012029</v>
      </c>
      <c r="D1326" s="588" t="str">
        <f ca="1">IFERROR(__xludf.DUMMYFUNCTION("""COMPUTED_VALUE"""),"Đồng ống thẳng Taisei 25.40x1.20x2.9")</f>
        <v>Đồng ống thẳng Taisei 25.40x1.20x2.9</v>
      </c>
      <c r="E1326" s="589">
        <f ca="1">IFERROR(__xludf.DUMMYFUNCTION("""COMPUTED_VALUE"""),0.1)</f>
        <v>0.1</v>
      </c>
      <c r="F1326" s="590" t="str">
        <f ca="1">IFERROR(__xludf.DUMMYFUNCTION("""COMPUTED_VALUE"""),"Cây")</f>
        <v>Cây</v>
      </c>
      <c r="G1326" s="590" t="str">
        <f ca="1">IFERROR(__xludf.DUMMYFUNCTION("""COMPUTED_VALUE"""),"Cây 2.9m")</f>
        <v>Cây 2.9m</v>
      </c>
      <c r="H1326" s="588"/>
      <c r="I1326" s="591">
        <f ca="1">IFERROR(__xludf.DUMMYFUNCTION("""COMPUTED_VALUE"""),1.98128)</f>
        <v>1.9812799999999999</v>
      </c>
      <c r="J1326" s="592" t="str">
        <f ca="1">IFERROR(__xludf.DUMMYFUNCTION("""COMPUTED_VALUE""")," 25.40 ")</f>
        <v xml:space="preserve"> 25.40 </v>
      </c>
      <c r="K1326" s="590" t="str">
        <f ca="1">IFERROR(__xludf.DUMMYFUNCTION("""COMPUTED_VALUE"""),"1.00")</f>
        <v>1.00</v>
      </c>
      <c r="L1326" s="590">
        <f ca="1">IFERROR(__xludf.DUMMYFUNCTION("""COMPUTED_VALUE"""),2.9)</f>
        <v>2.9</v>
      </c>
      <c r="M1326" s="590"/>
      <c r="N1326" s="590" t="str">
        <f ca="1">IFERROR(__xludf.DUMMYFUNCTION("""COMPUTED_VALUE"""),"Dị_D&lt;54")</f>
        <v>Dị_D&lt;54</v>
      </c>
      <c r="O1326" s="589"/>
      <c r="P1326" s="590"/>
    </row>
    <row r="1327" spans="1:17" ht="15.75">
      <c r="A1327" s="581" t="str">
        <f ca="1">IFERROR(__xludf.DUMMYFUNCTION("""COMPUTED_VALUE"""),"Taisei Việt Nam")</f>
        <v>Taisei Việt Nam</v>
      </c>
      <c r="B1327" s="581" t="str">
        <f ca="1">IFERROR(__xludf.DUMMYFUNCTION("""COMPUTED_VALUE"""),"ĐTSCAYDI")</f>
        <v>ĐTSCAYDI</v>
      </c>
      <c r="C1327" s="581" t="str">
        <f ca="1">IFERROR(__xludf.DUMMYFUNCTION("""COMPUTED_VALUE"""),"DOTVNTS285812729")</f>
        <v>DOTVNTS285812729</v>
      </c>
      <c r="D1327" s="582" t="str">
        <f ca="1">IFERROR(__xludf.DUMMYFUNCTION("""COMPUTED_VALUE"""),"Đồng ống thẳng 28.58x1.27x2.9m Taisei ")</f>
        <v xml:space="preserve">Đồng ống thẳng 28.58x1.27x2.9m Taisei </v>
      </c>
      <c r="E1327" s="583">
        <f ca="1">IFERROR(__xludf.DUMMYFUNCTION("""COMPUTED_VALUE"""),0.1)</f>
        <v>0.1</v>
      </c>
      <c r="F1327" s="584" t="str">
        <f ca="1">IFERROR(__xludf.DUMMYFUNCTION("""COMPUTED_VALUE"""),"Cây")</f>
        <v>Cây</v>
      </c>
      <c r="G1327" s="584" t="str">
        <f ca="1">IFERROR(__xludf.DUMMYFUNCTION("""COMPUTED_VALUE"""),"Cây 2.9m")</f>
        <v>Cây 2.9m</v>
      </c>
      <c r="H1327" s="582"/>
      <c r="I1327" s="585">
        <f ca="1">IFERROR(__xludf.DUMMYFUNCTION("""COMPUTED_VALUE"""),2.81631644)</f>
        <v>2.81631644</v>
      </c>
      <c r="J1327" s="586" t="str">
        <f ca="1">IFERROR(__xludf.DUMMYFUNCTION("""COMPUTED_VALUE""")," 28.58 ")</f>
        <v xml:space="preserve"> 28.58 </v>
      </c>
      <c r="K1327" s="584" t="str">
        <f ca="1">IFERROR(__xludf.DUMMYFUNCTION("""COMPUTED_VALUE"""),"1.27")</f>
        <v>1.27</v>
      </c>
      <c r="L1327" s="584">
        <f ca="1">IFERROR(__xludf.DUMMYFUNCTION("""COMPUTED_VALUE"""),2.9)</f>
        <v>2.9</v>
      </c>
      <c r="M1327" s="584"/>
      <c r="N1327" s="584" t="str">
        <f ca="1">IFERROR(__xludf.DUMMYFUNCTION("""COMPUTED_VALUE"""),"Dị_D&lt;54")</f>
        <v>Dị_D&lt;54</v>
      </c>
      <c r="O1327" s="583"/>
      <c r="P1327" s="584"/>
    </row>
    <row r="1328" spans="1:17" ht="15.75">
      <c r="A1328" s="587" t="str">
        <f ca="1">IFERROR(__xludf.DUMMYFUNCTION("""COMPUTED_VALUE"""),"Taisei Việt Nam")</f>
        <v>Taisei Việt Nam</v>
      </c>
      <c r="B1328" s="587" t="str">
        <f ca="1">IFERROR(__xludf.DUMMYFUNCTION("""COMPUTED_VALUE"""),"ĐTSCAYDI")</f>
        <v>ĐTSCAYDI</v>
      </c>
      <c r="C1328" s="587" t="str">
        <f ca="1">IFERROR(__xludf.DUMMYFUNCTION("""COMPUTED_VALUE"""),"DOTVNTS285808129")</f>
        <v>DOTVNTS285808129</v>
      </c>
      <c r="D1328" s="588" t="str">
        <f ca="1">IFERROR(__xludf.DUMMYFUNCTION("""COMPUTED_VALUE"""),"Đồng ống thẳng 28.58x0.81x2.9m Taisei")</f>
        <v>Đồng ống thẳng 28.58x0.81x2.9m Taisei</v>
      </c>
      <c r="E1328" s="589">
        <f ca="1">IFERROR(__xludf.DUMMYFUNCTION("""COMPUTED_VALUE"""),0.1)</f>
        <v>0.1</v>
      </c>
      <c r="F1328" s="590" t="str">
        <f ca="1">IFERROR(__xludf.DUMMYFUNCTION("""COMPUTED_VALUE"""),"Cây")</f>
        <v>Cây</v>
      </c>
      <c r="G1328" s="590" t="str">
        <f ca="1">IFERROR(__xludf.DUMMYFUNCTION("""COMPUTED_VALUE"""),"Cây 2.9m")</f>
        <v>Cây 2.9m</v>
      </c>
      <c r="H1328" s="588"/>
      <c r="I1328" s="591">
        <f ca="1">IFERROR(__xludf.DUMMYFUNCTION("""COMPUTED_VALUE"""),1.82648844)</f>
        <v>1.8264884400000001</v>
      </c>
      <c r="J1328" s="592" t="str">
        <f ca="1">IFERROR(__xludf.DUMMYFUNCTION("""COMPUTED_VALUE""")," 28.58 ")</f>
        <v xml:space="preserve"> 28.58 </v>
      </c>
      <c r="K1328" s="590" t="str">
        <f ca="1">IFERROR(__xludf.DUMMYFUNCTION("""COMPUTED_VALUE"""),"0.81")</f>
        <v>0.81</v>
      </c>
      <c r="L1328" s="590">
        <f ca="1">IFERROR(__xludf.DUMMYFUNCTION("""COMPUTED_VALUE"""),2.9)</f>
        <v>2.9</v>
      </c>
      <c r="M1328" s="590"/>
      <c r="N1328" s="590" t="str">
        <f ca="1">IFERROR(__xludf.DUMMYFUNCTION("""COMPUTED_VALUE"""),"Dị_D&lt;54")</f>
        <v>Dị_D&lt;54</v>
      </c>
      <c r="O1328" s="589"/>
      <c r="P1328" s="590"/>
    </row>
    <row r="1329" spans="1:17" ht="15.75">
      <c r="A1329" s="581" t="str">
        <f ca="1">IFERROR(__xludf.DUMMYFUNCTION("""COMPUTED_VALUE"""),"Taisei Việt Nam")</f>
        <v>Taisei Việt Nam</v>
      </c>
      <c r="B1329" s="581" t="str">
        <f ca="1">IFERROR(__xludf.DUMMYFUNCTION("""COMPUTED_VALUE"""),"ĐTSCAYDI")</f>
        <v>ĐTSCAYDI</v>
      </c>
      <c r="C1329" s="581" t="str">
        <f ca="1">IFERROR(__xludf.DUMMYFUNCTION("""COMPUTED_VALUE"""),"DOTVNTS28581029")</f>
        <v>DOTVNTS28581029</v>
      </c>
      <c r="D1329" s="582" t="str">
        <f ca="1">IFERROR(__xludf.DUMMYFUNCTION("""COMPUTED_VALUE"""),"Đồng ống thẳng 28.58x1.0x2.9m Taisei ")</f>
        <v xml:space="preserve">Đồng ống thẳng 28.58x1.0x2.9m Taisei </v>
      </c>
      <c r="E1329" s="583">
        <f ca="1">IFERROR(__xludf.DUMMYFUNCTION("""COMPUTED_VALUE"""),0.1)</f>
        <v>0.1</v>
      </c>
      <c r="F1329" s="584" t="str">
        <f ca="1">IFERROR(__xludf.DUMMYFUNCTION("""COMPUTED_VALUE"""),"Cây")</f>
        <v>Cây</v>
      </c>
      <c r="G1329" s="584" t="str">
        <f ca="1">IFERROR(__xludf.DUMMYFUNCTION("""COMPUTED_VALUE"""),"Cây 2.9m")</f>
        <v>Cây 2.9m</v>
      </c>
      <c r="H1329" s="582"/>
      <c r="I1329" s="585">
        <f ca="1">IFERROR(__xludf.DUMMYFUNCTION("""COMPUTED_VALUE"""),2.239496)</f>
        <v>2.2394959999999999</v>
      </c>
      <c r="J1329" s="586" t="str">
        <f ca="1">IFERROR(__xludf.DUMMYFUNCTION("""COMPUTED_VALUE""")," 28.58 ")</f>
        <v xml:space="preserve"> 28.58 </v>
      </c>
      <c r="K1329" s="584" t="str">
        <f ca="1">IFERROR(__xludf.DUMMYFUNCTION("""COMPUTED_VALUE"""),"1.00")</f>
        <v>1.00</v>
      </c>
      <c r="L1329" s="584">
        <f ca="1">IFERROR(__xludf.DUMMYFUNCTION("""COMPUTED_VALUE"""),2.9)</f>
        <v>2.9</v>
      </c>
      <c r="M1329" s="584"/>
      <c r="N1329" s="584" t="str">
        <f ca="1">IFERROR(__xludf.DUMMYFUNCTION("""COMPUTED_VALUE"""),"Dị_D&lt;54")</f>
        <v>Dị_D&lt;54</v>
      </c>
      <c r="O1329" s="583"/>
      <c r="P1329" s="584"/>
    </row>
    <row r="1330" spans="1:17" ht="15.75">
      <c r="A1330" s="587" t="str">
        <f ca="1">IFERROR(__xludf.DUMMYFUNCTION("""COMPUTED_VALUE"""),"Taisei Việt Nam")</f>
        <v>Taisei Việt Nam</v>
      </c>
      <c r="B1330" s="587" t="str">
        <f ca="1">IFERROR(__xludf.DUMMYFUNCTION("""COMPUTED_VALUE"""),"ĐTSCAYDI")</f>
        <v>ĐTSCAYDI</v>
      </c>
      <c r="C1330" s="587" t="str">
        <f ca="1">IFERROR(__xludf.DUMMYFUNCTION("""COMPUTED_VALUE"""),"DOTVNTS285812029")</f>
        <v>DOTVNTS285812029</v>
      </c>
      <c r="D1330" s="588" t="str">
        <f ca="1">IFERROR(__xludf.DUMMYFUNCTION("""COMPUTED_VALUE"""),"Đồng ống thẳng 28.58x1.20x2.9m Taisei ")</f>
        <v xml:space="preserve">Đồng ống thẳng 28.58x1.20x2.9m Taisei </v>
      </c>
      <c r="E1330" s="589">
        <f ca="1">IFERROR(__xludf.DUMMYFUNCTION("""COMPUTED_VALUE"""),0.1)</f>
        <v>0.1</v>
      </c>
      <c r="F1330" s="590" t="str">
        <f ca="1">IFERROR(__xludf.DUMMYFUNCTION("""COMPUTED_VALUE"""),"Cây")</f>
        <v>Cây</v>
      </c>
      <c r="G1330" s="590" t="str">
        <f ca="1">IFERROR(__xludf.DUMMYFUNCTION("""COMPUTED_VALUE"""),"Cây 2.9m")</f>
        <v>Cây 2.9m</v>
      </c>
      <c r="H1330" s="588"/>
      <c r="I1330" s="591">
        <f ca="1">IFERROR(__xludf.DUMMYFUNCTION("""COMPUTED_VALUE"""),2.66790719999999)</f>
        <v>2.6679071999999899</v>
      </c>
      <c r="J1330" s="592" t="str">
        <f ca="1">IFERROR(__xludf.DUMMYFUNCTION("""COMPUTED_VALUE""")," 28.58 ")</f>
        <v xml:space="preserve"> 28.58 </v>
      </c>
      <c r="K1330" s="590" t="str">
        <f ca="1">IFERROR(__xludf.DUMMYFUNCTION("""COMPUTED_VALUE"""),"1.20")</f>
        <v>1.20</v>
      </c>
      <c r="L1330" s="590">
        <f ca="1">IFERROR(__xludf.DUMMYFUNCTION("""COMPUTED_VALUE"""),2.9)</f>
        <v>2.9</v>
      </c>
      <c r="M1330" s="590"/>
      <c r="N1330" s="590" t="str">
        <f ca="1">IFERROR(__xludf.DUMMYFUNCTION("""COMPUTED_VALUE"""),"Dị_D&lt;54")</f>
        <v>Dị_D&lt;54</v>
      </c>
      <c r="O1330" s="589"/>
      <c r="P1330" s="590"/>
    </row>
    <row r="1331" spans="1:17" ht="15.75">
      <c r="A1331" s="581" t="str">
        <f ca="1">IFERROR(__xludf.DUMMYFUNCTION("""COMPUTED_VALUE"""),"Taisei Việt Nam")</f>
        <v>Taisei Việt Nam</v>
      </c>
      <c r="B1331" s="581" t="str">
        <f ca="1">IFERROR(__xludf.DUMMYFUNCTION("""COMPUTED_VALUE"""),"ĐTSCAYDI")</f>
        <v>ĐTSCAYDI</v>
      </c>
      <c r="C1331" s="581" t="str">
        <f ca="1">IFERROR(__xludf.DUMMYFUNCTION("""COMPUTED_VALUE"""),"DOTVNTS285812229")</f>
        <v>DOTVNTS285812229</v>
      </c>
      <c r="D1331" s="582" t="str">
        <f ca="1">IFERROR(__xludf.DUMMYFUNCTION("""COMPUTED_VALUE"""),"Đồng ống thẳng 28.58x1.22x2.9m Taisei ")</f>
        <v xml:space="preserve">Đồng ống thẳng 28.58x1.22x2.9m Taisei </v>
      </c>
      <c r="E1331" s="583">
        <f ca="1">IFERROR(__xludf.DUMMYFUNCTION("""COMPUTED_VALUE"""),0.1)</f>
        <v>0.1</v>
      </c>
      <c r="F1331" s="584" t="str">
        <f ca="1">IFERROR(__xludf.DUMMYFUNCTION("""COMPUTED_VALUE"""),"Cây")</f>
        <v>Cây</v>
      </c>
      <c r="G1331" s="584" t="str">
        <f ca="1">IFERROR(__xludf.DUMMYFUNCTION("""COMPUTED_VALUE"""),"Cây 2.9m")</f>
        <v>Cây 2.9m</v>
      </c>
      <c r="H1331" s="582"/>
      <c r="I1331" s="585">
        <f ca="1">IFERROR(__xludf.DUMMYFUNCTION("""COMPUTED_VALUE"""),2.71039103999999)</f>
        <v>2.71039103999999</v>
      </c>
      <c r="J1331" s="586" t="str">
        <f ca="1">IFERROR(__xludf.DUMMYFUNCTION("""COMPUTED_VALUE""")," 28.58 ")</f>
        <v xml:space="preserve"> 28.58 </v>
      </c>
      <c r="K1331" s="584" t="str">
        <f ca="1">IFERROR(__xludf.DUMMYFUNCTION("""COMPUTED_VALUE"""),"1.22")</f>
        <v>1.22</v>
      </c>
      <c r="L1331" s="584">
        <f ca="1">IFERROR(__xludf.DUMMYFUNCTION("""COMPUTED_VALUE"""),2.9)</f>
        <v>2.9</v>
      </c>
      <c r="M1331" s="584"/>
      <c r="N1331" s="584" t="str">
        <f ca="1">IFERROR(__xludf.DUMMYFUNCTION("""COMPUTED_VALUE"""),"Dị_D&lt;54")</f>
        <v>Dị_D&lt;54</v>
      </c>
      <c r="O1331" s="583"/>
      <c r="P1331" s="584"/>
    </row>
    <row r="1332" spans="1:17" ht="15.75">
      <c r="A1332" s="587" t="str">
        <f ca="1">IFERROR(__xludf.DUMMYFUNCTION("""COMPUTED_VALUE"""),"Taisei Việt Nam")</f>
        <v>Taisei Việt Nam</v>
      </c>
      <c r="B1332" s="587" t="str">
        <f ca="1">IFERROR(__xludf.DUMMYFUNCTION("""COMPUTED_VALUE"""),"ĐTSCAYDI")</f>
        <v>ĐTSCAYDI</v>
      </c>
      <c r="C1332" s="587" t="str">
        <f ca="1">IFERROR(__xludf.DUMMYFUNCTION("""COMPUTED_VALUE"""),"DOTVNTS285814029")</f>
        <v>DOTVNTS285814029</v>
      </c>
      <c r="D1332" s="588" t="str">
        <f ca="1">IFERROR(__xludf.DUMMYFUNCTION("""COMPUTED_VALUE"""),"Đồng ống thẳng 28.58x1.40x2.9m Taisei ")</f>
        <v xml:space="preserve">Đồng ống thẳng 28.58x1.40x2.9m Taisei </v>
      </c>
      <c r="E1332" s="589">
        <f ca="1">IFERROR(__xludf.DUMMYFUNCTION("""COMPUTED_VALUE"""),0.1)</f>
        <v>0.1</v>
      </c>
      <c r="F1332" s="590" t="str">
        <f ca="1">IFERROR(__xludf.DUMMYFUNCTION("""COMPUTED_VALUE"""),"Cây")</f>
        <v>Cây</v>
      </c>
      <c r="G1332" s="590" t="str">
        <f ca="1">IFERROR(__xludf.DUMMYFUNCTION("""COMPUTED_VALUE"""),"Cây 2.9m")</f>
        <v>Cây 2.9m</v>
      </c>
      <c r="H1332" s="588"/>
      <c r="I1332" s="591">
        <f ca="1">IFERROR(__xludf.DUMMYFUNCTION("""COMPUTED_VALUE"""),3.08982239999999)</f>
        <v>3.0898223999999899</v>
      </c>
      <c r="J1332" s="592" t="str">
        <f ca="1">IFERROR(__xludf.DUMMYFUNCTION("""COMPUTED_VALUE""")," 28.58 ")</f>
        <v xml:space="preserve"> 28.58 </v>
      </c>
      <c r="K1332" s="590" t="str">
        <f ca="1">IFERROR(__xludf.DUMMYFUNCTION("""COMPUTED_VALUE"""),"1.40")</f>
        <v>1.40</v>
      </c>
      <c r="L1332" s="590">
        <f ca="1">IFERROR(__xludf.DUMMYFUNCTION("""COMPUTED_VALUE"""),2.9)</f>
        <v>2.9</v>
      </c>
      <c r="M1332" s="590"/>
      <c r="N1332" s="590" t="str">
        <f ca="1">IFERROR(__xludf.DUMMYFUNCTION("""COMPUTED_VALUE"""),"Không")</f>
        <v>Không</v>
      </c>
      <c r="O1332" s="589"/>
      <c r="P1332" s="590"/>
      <c r="Q1332" s="885">
        <f ca="1">+$Q$5*I1332</f>
        <v>710.65915199999756</v>
      </c>
    </row>
    <row r="1333" spans="1:17" ht="15.75">
      <c r="A1333" s="581" t="str">
        <f ca="1">IFERROR(__xludf.DUMMYFUNCTION("""COMPUTED_VALUE"""),"Taisei Việt Nam")</f>
        <v>Taisei Việt Nam</v>
      </c>
      <c r="B1333" s="581" t="str">
        <f ca="1">IFERROR(__xludf.DUMMYFUNCTION("""COMPUTED_VALUE"""),"ĐTSCAYDI")</f>
        <v>ĐTSCAYDI</v>
      </c>
      <c r="C1333" s="581" t="str">
        <f ca="1">IFERROR(__xludf.DUMMYFUNCTION("""COMPUTED_VALUE"""),"DOTVNTS31751129")</f>
        <v>DOTVNTS31751129</v>
      </c>
      <c r="D1333" s="582" t="str">
        <f ca="1">IFERROR(__xludf.DUMMYFUNCTION("""COMPUTED_VALUE"""),"Đồng ống thẳng Taisei 31.75 x 1.1 x 2.9m")</f>
        <v>Đồng ống thẳng Taisei 31.75 x 1.1 x 2.9m</v>
      </c>
      <c r="E1333" s="583">
        <f ca="1">IFERROR(__xludf.DUMMYFUNCTION("""COMPUTED_VALUE"""),0.1)</f>
        <v>0.1</v>
      </c>
      <c r="F1333" s="584" t="str">
        <f ca="1">IFERROR(__xludf.DUMMYFUNCTION("""COMPUTED_VALUE"""),"Cây")</f>
        <v>Cây</v>
      </c>
      <c r="G1333" s="584" t="str">
        <f ca="1">IFERROR(__xludf.DUMMYFUNCTION("""COMPUTED_VALUE"""),"Cây 2.9m")</f>
        <v>Cây 2.9m</v>
      </c>
      <c r="H1333" s="582"/>
      <c r="I1333" s="585">
        <f ca="1">IFERROR(__xludf.DUMMYFUNCTION("""COMPUTED_VALUE"""),2.737658)</f>
        <v>2.7376580000000001</v>
      </c>
      <c r="J1333" s="586" t="str">
        <f ca="1">IFERROR(__xludf.DUMMYFUNCTION("""COMPUTED_VALUE""")," 31.75 ")</f>
        <v xml:space="preserve"> 31.75 </v>
      </c>
      <c r="K1333" s="584" t="str">
        <f ca="1">IFERROR(__xludf.DUMMYFUNCTION("""COMPUTED_VALUE"""),"1.10")</f>
        <v>1.10</v>
      </c>
      <c r="L1333" s="584">
        <f ca="1">IFERROR(__xludf.DUMMYFUNCTION("""COMPUTED_VALUE"""),2.9)</f>
        <v>2.9</v>
      </c>
      <c r="M1333" s="584"/>
      <c r="N1333" s="584" t="str">
        <f ca="1">IFERROR(__xludf.DUMMYFUNCTION("""COMPUTED_VALUE"""),"Dị_D&lt;54")</f>
        <v>Dị_D&lt;54</v>
      </c>
      <c r="O1333" s="583"/>
      <c r="P1333" s="584"/>
    </row>
    <row r="1334" spans="1:17" ht="15.75">
      <c r="A1334" s="587" t="str">
        <f ca="1">IFERROR(__xludf.DUMMYFUNCTION("""COMPUTED_VALUE"""),"Taisei Việt Nam")</f>
        <v>Taisei Việt Nam</v>
      </c>
      <c r="B1334" s="587" t="str">
        <f ca="1">IFERROR(__xludf.DUMMYFUNCTION("""COMPUTED_VALUE"""),"ĐTSCAYDI")</f>
        <v>ĐTSCAYDI</v>
      </c>
      <c r="C1334" s="587" t="str">
        <f ca="1">IFERROR(__xludf.DUMMYFUNCTION("""COMPUTED_VALUE"""),"DOTVNTS317512029")</f>
        <v>DOTVNTS317512029</v>
      </c>
      <c r="D1334" s="588" t="str">
        <f ca="1">IFERROR(__xludf.DUMMYFUNCTION("""COMPUTED_VALUE"""),"Đồng ống thẳng 31.75x1.2x2.9m Taisei ")</f>
        <v xml:space="preserve">Đồng ống thẳng 31.75x1.2x2.9m Taisei </v>
      </c>
      <c r="E1334" s="589">
        <f ca="1">IFERROR(__xludf.DUMMYFUNCTION("""COMPUTED_VALUE"""),0.1)</f>
        <v>0.1</v>
      </c>
      <c r="F1334" s="590" t="str">
        <f ca="1">IFERROR(__xludf.DUMMYFUNCTION("""COMPUTED_VALUE"""),"Cây")</f>
        <v>Cây</v>
      </c>
      <c r="G1334" s="590" t="str">
        <f ca="1">IFERROR(__xludf.DUMMYFUNCTION("""COMPUTED_VALUE"""),"Cây 2.9m")</f>
        <v>Cây 2.9m</v>
      </c>
      <c r="H1334" s="588"/>
      <c r="I1334" s="591">
        <f ca="1">IFERROR(__xludf.DUMMYFUNCTION("""COMPUTED_VALUE"""),2.97679199999999)</f>
        <v>2.9767919999999899</v>
      </c>
      <c r="J1334" s="592" t="str">
        <f ca="1">IFERROR(__xludf.DUMMYFUNCTION("""COMPUTED_VALUE""")," 31.75 ")</f>
        <v xml:space="preserve"> 31.75 </v>
      </c>
      <c r="K1334" s="590" t="str">
        <f ca="1">IFERROR(__xludf.DUMMYFUNCTION("""COMPUTED_VALUE"""),"1.20")</f>
        <v>1.20</v>
      </c>
      <c r="L1334" s="590">
        <f ca="1">IFERROR(__xludf.DUMMYFUNCTION("""COMPUTED_VALUE"""),2.9)</f>
        <v>2.9</v>
      </c>
      <c r="M1334" s="590"/>
      <c r="N1334" s="590" t="str">
        <f ca="1">IFERROR(__xludf.DUMMYFUNCTION("""COMPUTED_VALUE"""),"Dị_D&lt;54")</f>
        <v>Dị_D&lt;54</v>
      </c>
      <c r="O1334" s="589"/>
      <c r="P1334" s="590"/>
    </row>
    <row r="1335" spans="1:17" ht="15.75">
      <c r="A1335" s="581" t="str">
        <f ca="1">IFERROR(__xludf.DUMMYFUNCTION("""COMPUTED_VALUE"""),"Taisei Việt Nam")</f>
        <v>Taisei Việt Nam</v>
      </c>
      <c r="B1335" s="581" t="str">
        <f ca="1">IFERROR(__xludf.DUMMYFUNCTION("""COMPUTED_VALUE"""),"ĐTSCAYDI")</f>
        <v>ĐTSCAYDI</v>
      </c>
      <c r="C1335" s="581" t="str">
        <f ca="1">IFERROR(__xludf.DUMMYFUNCTION("""COMPUTED_VALUE"""),"DOTVNTS34931029")</f>
        <v>DOTVNTS34931029</v>
      </c>
      <c r="D1335" s="582" t="str">
        <f ca="1">IFERROR(__xludf.DUMMYFUNCTION("""COMPUTED_VALUE"""),"Đồng ống thẳng 34.93x1.0x2.9m Taisei")</f>
        <v>Đồng ống thẳng 34.93x1.0x2.9m Taisei</v>
      </c>
      <c r="E1335" s="583">
        <f ca="1">IFERROR(__xludf.DUMMYFUNCTION("""COMPUTED_VALUE"""),0.1)</f>
        <v>0.1</v>
      </c>
      <c r="F1335" s="584" t="str">
        <f ca="1">IFERROR(__xludf.DUMMYFUNCTION("""COMPUTED_VALUE"""),"Cây")</f>
        <v>Cây</v>
      </c>
      <c r="G1335" s="584" t="str">
        <f ca="1">IFERROR(__xludf.DUMMYFUNCTION("""COMPUTED_VALUE"""),"Cây 2.9m")</f>
        <v>Cây 2.9m</v>
      </c>
      <c r="H1335" s="582"/>
      <c r="I1335" s="585">
        <f ca="1">IFERROR(__xludf.DUMMYFUNCTION("""COMPUTED_VALUE"""),2.755116)</f>
        <v>2.7551160000000001</v>
      </c>
      <c r="J1335" s="586" t="str">
        <f ca="1">IFERROR(__xludf.DUMMYFUNCTION("""COMPUTED_VALUE""")," 34.93 ")</f>
        <v xml:space="preserve"> 34.93 </v>
      </c>
      <c r="K1335" s="584" t="str">
        <f ca="1">IFERROR(__xludf.DUMMYFUNCTION("""COMPUTED_VALUE"""),"1.00")</f>
        <v>1.00</v>
      </c>
      <c r="L1335" s="584">
        <f ca="1">IFERROR(__xludf.DUMMYFUNCTION("""COMPUTED_VALUE"""),2.9)</f>
        <v>2.9</v>
      </c>
      <c r="M1335" s="584"/>
      <c r="N1335" s="584" t="str">
        <f ca="1">IFERROR(__xludf.DUMMYFUNCTION("""COMPUTED_VALUE"""),"Dị_D&lt;54")</f>
        <v>Dị_D&lt;54</v>
      </c>
      <c r="O1335" s="583"/>
      <c r="P1335" s="584"/>
    </row>
    <row r="1336" spans="1:17" ht="15.75">
      <c r="A1336" s="587" t="str">
        <f ca="1">IFERROR(__xludf.DUMMYFUNCTION("""COMPUTED_VALUE"""),"Taisei Việt Nam")</f>
        <v>Taisei Việt Nam</v>
      </c>
      <c r="B1336" s="587" t="str">
        <f ca="1">IFERROR(__xludf.DUMMYFUNCTION("""COMPUTED_VALUE"""),"ĐTSCAYDI")</f>
        <v>ĐTSCAYDI</v>
      </c>
      <c r="C1336" s="587" t="str">
        <f ca="1">IFERROR(__xludf.DUMMYFUNCTION("""COMPUTED_VALUE"""),"DOTVNTS349312029")</f>
        <v>DOTVNTS349312029</v>
      </c>
      <c r="D1336" s="588" t="str">
        <f ca="1">IFERROR(__xludf.DUMMYFUNCTION("""COMPUTED_VALUE"""),"Đồng ống thẳng 34.93x1.2x2.9m Taisei ")</f>
        <v xml:space="preserve">Đồng ống thẳng 34.93x1.2x2.9m Taisei </v>
      </c>
      <c r="E1336" s="589">
        <f ca="1">IFERROR(__xludf.DUMMYFUNCTION("""COMPUTED_VALUE"""),0.1)</f>
        <v>0.1</v>
      </c>
      <c r="F1336" s="590" t="str">
        <f ca="1">IFERROR(__xludf.DUMMYFUNCTION("""COMPUTED_VALUE"""),"Cây")</f>
        <v>Cây</v>
      </c>
      <c r="G1336" s="590" t="str">
        <f ca="1">IFERROR(__xludf.DUMMYFUNCTION("""COMPUTED_VALUE"""),"Cây 2.9m")</f>
        <v>Cây 2.9m</v>
      </c>
      <c r="H1336" s="588"/>
      <c r="I1336" s="591">
        <f ca="1">IFERROR(__xludf.DUMMYFUNCTION("""COMPUTED_VALUE"""),3.28665119999999)</f>
        <v>3.2866511999999899</v>
      </c>
      <c r="J1336" s="592" t="str">
        <f ca="1">IFERROR(__xludf.DUMMYFUNCTION("""COMPUTED_VALUE""")," 34.93 ")</f>
        <v xml:space="preserve"> 34.93 </v>
      </c>
      <c r="K1336" s="590" t="str">
        <f ca="1">IFERROR(__xludf.DUMMYFUNCTION("""COMPUTED_VALUE"""),"1.20")</f>
        <v>1.20</v>
      </c>
      <c r="L1336" s="590">
        <f ca="1">IFERROR(__xludf.DUMMYFUNCTION("""COMPUTED_VALUE"""),2.9)</f>
        <v>2.9</v>
      </c>
      <c r="M1336" s="590"/>
      <c r="N1336" s="590" t="str">
        <f ca="1">IFERROR(__xludf.DUMMYFUNCTION("""COMPUTED_VALUE"""),"Dị_D&lt;54")</f>
        <v>Dị_D&lt;54</v>
      </c>
      <c r="O1336" s="589"/>
      <c r="P1336" s="590"/>
    </row>
    <row r="1337" spans="1:17" ht="15.75">
      <c r="A1337" s="581" t="str">
        <f ca="1">IFERROR(__xludf.DUMMYFUNCTION("""COMPUTED_VALUE"""),"Taisei Việt Nam")</f>
        <v>Taisei Việt Nam</v>
      </c>
      <c r="B1337" s="581" t="str">
        <f ca="1">IFERROR(__xludf.DUMMYFUNCTION("""COMPUTED_VALUE"""),"ĐTSCAYDI")</f>
        <v>ĐTSCAYDI</v>
      </c>
      <c r="C1337" s="581" t="str">
        <f ca="1">IFERROR(__xludf.DUMMYFUNCTION("""COMPUTED_VALUE"""),"DOTVNTS34931429")</f>
        <v>DOTVNTS34931429</v>
      </c>
      <c r="D1337" s="582" t="str">
        <f ca="1">IFERROR(__xludf.DUMMYFUNCTION("""COMPUTED_VALUE"""),"Đồng ống thẳng 34.93x1.4x2.9m Taisei ")</f>
        <v xml:space="preserve">Đồng ống thẳng 34.93x1.4x2.9m Taisei </v>
      </c>
      <c r="E1337" s="583">
        <f ca="1">IFERROR(__xludf.DUMMYFUNCTION("""COMPUTED_VALUE"""),0.1)</f>
        <v>0.1</v>
      </c>
      <c r="F1337" s="584" t="str">
        <f ca="1">IFERROR(__xludf.DUMMYFUNCTION("""COMPUTED_VALUE"""),"Cây")</f>
        <v>Cây</v>
      </c>
      <c r="G1337" s="584" t="str">
        <f ca="1">IFERROR(__xludf.DUMMYFUNCTION("""COMPUTED_VALUE"""),"Cây 2.9m")</f>
        <v>Cây 2.9m</v>
      </c>
      <c r="H1337" s="582"/>
      <c r="I1337" s="585">
        <f ca="1">IFERROR(__xludf.DUMMYFUNCTION("""COMPUTED_VALUE"""),3.8116904)</f>
        <v>3.8116903999999998</v>
      </c>
      <c r="J1337" s="586" t="str">
        <f ca="1">IFERROR(__xludf.DUMMYFUNCTION("""COMPUTED_VALUE""")," 34.93 ")</f>
        <v xml:space="preserve"> 34.93 </v>
      </c>
      <c r="K1337" s="584" t="str">
        <f ca="1">IFERROR(__xludf.DUMMYFUNCTION("""COMPUTED_VALUE"""),"1.40")</f>
        <v>1.40</v>
      </c>
      <c r="L1337" s="584">
        <f ca="1">IFERROR(__xludf.DUMMYFUNCTION("""COMPUTED_VALUE"""),2.9)</f>
        <v>2.9</v>
      </c>
      <c r="M1337" s="584"/>
      <c r="N1337" s="584" t="str">
        <f ca="1">IFERROR(__xludf.DUMMYFUNCTION("""COMPUTED_VALUE"""),"Dị_D&lt;54")</f>
        <v>Dị_D&lt;54</v>
      </c>
      <c r="O1337" s="583"/>
      <c r="P1337" s="584"/>
    </row>
    <row r="1338" spans="1:17" ht="15.75">
      <c r="A1338" s="587" t="str">
        <f ca="1">IFERROR(__xludf.DUMMYFUNCTION("""COMPUTED_VALUE"""),"Taisei Việt Nam")</f>
        <v>Taisei Việt Nam</v>
      </c>
      <c r="B1338" s="587" t="str">
        <f ca="1">IFERROR(__xludf.DUMMYFUNCTION("""COMPUTED_VALUE"""),"ĐTSCAYDI")</f>
        <v>ĐTSCAYDI</v>
      </c>
      <c r="C1338" s="587" t="str">
        <f ca="1">IFERROR(__xludf.DUMMYFUNCTION("""COMPUTED_VALUE"""),"DOTVNTS381012029")</f>
        <v>DOTVNTS381012029</v>
      </c>
      <c r="D1338" s="588" t="str">
        <f ca="1">IFERROR(__xludf.DUMMYFUNCTION("""COMPUTED_VALUE"""),"Đồng ống thẳng 38.10x1.2x2.9m Taisei")</f>
        <v>Đồng ống thẳng 38.10x1.2x2.9m Taisei</v>
      </c>
      <c r="E1338" s="589">
        <f ca="1">IFERROR(__xludf.DUMMYFUNCTION("""COMPUTED_VALUE"""),0.1)</f>
        <v>0.1</v>
      </c>
      <c r="F1338" s="590" t="str">
        <f ca="1">IFERROR(__xludf.DUMMYFUNCTION("""COMPUTED_VALUE"""),"Cây")</f>
        <v>Cây</v>
      </c>
      <c r="G1338" s="590" t="str">
        <f ca="1">IFERROR(__xludf.DUMMYFUNCTION("""COMPUTED_VALUE"""),"Cây 2.9m")</f>
        <v>Cây 2.9m</v>
      </c>
      <c r="H1338" s="588"/>
      <c r="I1338" s="591">
        <f ca="1">IFERROR(__xludf.DUMMYFUNCTION("""COMPUTED_VALUE"""),3.59553599999999)</f>
        <v>3.5955359999999899</v>
      </c>
      <c r="J1338" s="592" t="str">
        <f ca="1">IFERROR(__xludf.DUMMYFUNCTION("""COMPUTED_VALUE""")," 38.10 ")</f>
        <v xml:space="preserve"> 38.10 </v>
      </c>
      <c r="K1338" s="590" t="str">
        <f ca="1">IFERROR(__xludf.DUMMYFUNCTION("""COMPUTED_VALUE"""),"1.20")</f>
        <v>1.20</v>
      </c>
      <c r="L1338" s="590">
        <f ca="1">IFERROR(__xludf.DUMMYFUNCTION("""COMPUTED_VALUE"""),2.9)</f>
        <v>2.9</v>
      </c>
      <c r="M1338" s="590"/>
      <c r="N1338" s="590" t="str">
        <f ca="1">IFERROR(__xludf.DUMMYFUNCTION("""COMPUTED_VALUE"""),"Dị_D&lt;54")</f>
        <v>Dị_D&lt;54</v>
      </c>
      <c r="O1338" s="589"/>
      <c r="P1338" s="590"/>
    </row>
    <row r="1339" spans="1:17" ht="15.75">
      <c r="A1339" s="581" t="str">
        <f ca="1">IFERROR(__xludf.DUMMYFUNCTION("""COMPUTED_VALUE"""),"Taisei Việt Nam")</f>
        <v>Taisei Việt Nam</v>
      </c>
      <c r="B1339" s="581" t="str">
        <f ca="1">IFERROR(__xludf.DUMMYFUNCTION("""COMPUTED_VALUE"""),"ĐTSCAYDI")</f>
        <v>ĐTSCAYDI</v>
      </c>
      <c r="C1339" s="581" t="str">
        <f ca="1">IFERROR(__xludf.DUMMYFUNCTION("""COMPUTED_VALUE"""),"DOTVNTS381014029")</f>
        <v>DOTVNTS381014029</v>
      </c>
      <c r="D1339" s="582" t="str">
        <f ca="1">IFERROR(__xludf.DUMMYFUNCTION("""COMPUTED_VALUE"""),"Đồng ống thẳng 38.10x1.4x2.9m Taisei")</f>
        <v>Đồng ống thẳng 38.10x1.4x2.9m Taisei</v>
      </c>
      <c r="E1339" s="583">
        <f ca="1">IFERROR(__xludf.DUMMYFUNCTION("""COMPUTED_VALUE"""),0.1)</f>
        <v>0.1</v>
      </c>
      <c r="F1339" s="584" t="str">
        <f ca="1">IFERROR(__xludf.DUMMYFUNCTION("""COMPUTED_VALUE"""),"Cây")</f>
        <v>Cây</v>
      </c>
      <c r="G1339" s="584" t="str">
        <f ca="1">IFERROR(__xludf.DUMMYFUNCTION("""COMPUTED_VALUE"""),"Cây 2.9m")</f>
        <v>Cây 2.9m</v>
      </c>
      <c r="H1339" s="582"/>
      <c r="I1339" s="585">
        <f ca="1">IFERROR(__xludf.DUMMYFUNCTION("""COMPUTED_VALUE"""),4.172056)</f>
        <v>4.1720560000000004</v>
      </c>
      <c r="J1339" s="586" t="str">
        <f ca="1">IFERROR(__xludf.DUMMYFUNCTION("""COMPUTED_VALUE""")," 38.10 ")</f>
        <v xml:space="preserve"> 38.10 </v>
      </c>
      <c r="K1339" s="584" t="str">
        <f ca="1">IFERROR(__xludf.DUMMYFUNCTION("""COMPUTED_VALUE"""),"1.40")</f>
        <v>1.40</v>
      </c>
      <c r="L1339" s="584">
        <f ca="1">IFERROR(__xludf.DUMMYFUNCTION("""COMPUTED_VALUE"""),2.9)</f>
        <v>2.9</v>
      </c>
      <c r="M1339" s="584"/>
      <c r="N1339" s="584" t="str">
        <f ca="1">IFERROR(__xludf.DUMMYFUNCTION("""COMPUTED_VALUE"""),"Ít bán")</f>
        <v>Ít bán</v>
      </c>
      <c r="O1339" s="583"/>
      <c r="P1339" s="584"/>
      <c r="Q1339" s="885">
        <f ca="1">+$Q$5*I1339</f>
        <v>959.57287999999994</v>
      </c>
    </row>
    <row r="1340" spans="1:17" ht="15.75">
      <c r="A1340" s="587" t="str">
        <f ca="1">IFERROR(__xludf.DUMMYFUNCTION("""COMPUTED_VALUE"""),"Taisei Việt Nam")</f>
        <v>Taisei Việt Nam</v>
      </c>
      <c r="B1340" s="587" t="str">
        <f ca="1">IFERROR(__xludf.DUMMYFUNCTION("""COMPUTED_VALUE"""),"ĐTSCAYDI")</f>
        <v>ĐTSCAYDI</v>
      </c>
      <c r="C1340" s="587" t="str">
        <f ca="1">IFERROR(__xludf.DUMMYFUNCTION("""COMPUTED_VALUE"""),"DOTVNTS412810029")</f>
        <v>DOTVNTS412810029</v>
      </c>
      <c r="D1340" s="588" t="str">
        <f ca="1">IFERROR(__xludf.DUMMYFUNCTION("""COMPUTED_VALUE"""),"Đồng ống thẳng 41.28x1.0x2.9m Taisei ")</f>
        <v xml:space="preserve">Đồng ống thẳng 41.28x1.0x2.9m Taisei </v>
      </c>
      <c r="E1340" s="589">
        <f ca="1">IFERROR(__xludf.DUMMYFUNCTION("""COMPUTED_VALUE"""),0.1)</f>
        <v>0.1</v>
      </c>
      <c r="F1340" s="590" t="str">
        <f ca="1">IFERROR(__xludf.DUMMYFUNCTION("""COMPUTED_VALUE"""),"Cây")</f>
        <v>Cây</v>
      </c>
      <c r="G1340" s="590" t="str">
        <f ca="1">IFERROR(__xludf.DUMMYFUNCTION("""COMPUTED_VALUE"""),"Cây 2.9m")</f>
        <v>Cây 2.9m</v>
      </c>
      <c r="H1340" s="588"/>
      <c r="I1340" s="591">
        <f ca="1">IFERROR(__xludf.DUMMYFUNCTION("""COMPUTED_VALUE"""),3.270736)</f>
        <v>3.2707359999999999</v>
      </c>
      <c r="J1340" s="592" t="str">
        <f ca="1">IFERROR(__xludf.DUMMYFUNCTION("""COMPUTED_VALUE""")," 41.28 ")</f>
        <v xml:space="preserve"> 41.28 </v>
      </c>
      <c r="K1340" s="590" t="str">
        <f ca="1">IFERROR(__xludf.DUMMYFUNCTION("""COMPUTED_VALUE"""),"1.00")</f>
        <v>1.00</v>
      </c>
      <c r="L1340" s="590">
        <f ca="1">IFERROR(__xludf.DUMMYFUNCTION("""COMPUTED_VALUE"""),2.9)</f>
        <v>2.9</v>
      </c>
      <c r="M1340" s="590"/>
      <c r="N1340" s="590" t="str">
        <f ca="1">IFERROR(__xludf.DUMMYFUNCTION("""COMPUTED_VALUE"""),"Dị_D&lt;54")</f>
        <v>Dị_D&lt;54</v>
      </c>
      <c r="O1340" s="589"/>
      <c r="P1340" s="590"/>
    </row>
    <row r="1341" spans="1:17" ht="15.75">
      <c r="A1341" s="581" t="str">
        <f ca="1">IFERROR(__xludf.DUMMYFUNCTION("""COMPUTED_VALUE"""),"Taisei Việt Nam")</f>
        <v>Taisei Việt Nam</v>
      </c>
      <c r="B1341" s="581" t="str">
        <f ca="1">IFERROR(__xludf.DUMMYFUNCTION("""COMPUTED_VALUE"""),"ĐTSCAYDI")</f>
        <v>ĐTSCAYDI</v>
      </c>
      <c r="C1341" s="581" t="str">
        <f ca="1">IFERROR(__xludf.DUMMYFUNCTION("""COMPUTED_VALUE"""),"DOTVNTS412812029")</f>
        <v>DOTVNTS412812029</v>
      </c>
      <c r="D1341" s="582" t="str">
        <f ca="1">IFERROR(__xludf.DUMMYFUNCTION("""COMPUTED_VALUE"""),"Đồng ống thẳng 41.28x1.2x2.9m Taisei ")</f>
        <v xml:space="preserve">Đồng ống thẳng 41.28x1.2x2.9m Taisei </v>
      </c>
      <c r="E1341" s="583">
        <f ca="1">IFERROR(__xludf.DUMMYFUNCTION("""COMPUTED_VALUE"""),0.1)</f>
        <v>0.1</v>
      </c>
      <c r="F1341" s="584" t="str">
        <f ca="1">IFERROR(__xludf.DUMMYFUNCTION("""COMPUTED_VALUE"""),"Cây")</f>
        <v>Cây</v>
      </c>
      <c r="G1341" s="584" t="str">
        <f ca="1">IFERROR(__xludf.DUMMYFUNCTION("""COMPUTED_VALUE"""),"Cây 2.9m")</f>
        <v>Cây 2.9m</v>
      </c>
      <c r="H1341" s="582"/>
      <c r="I1341" s="585">
        <f ca="1">IFERROR(__xludf.DUMMYFUNCTION("""COMPUTED_VALUE"""),3.90539519999999)</f>
        <v>3.9053951999999899</v>
      </c>
      <c r="J1341" s="586" t="str">
        <f ca="1">IFERROR(__xludf.DUMMYFUNCTION("""COMPUTED_VALUE""")," 41.28 ")</f>
        <v xml:space="preserve"> 41.28 </v>
      </c>
      <c r="K1341" s="584" t="str">
        <f ca="1">IFERROR(__xludf.DUMMYFUNCTION("""COMPUTED_VALUE"""),"1.20")</f>
        <v>1.20</v>
      </c>
      <c r="L1341" s="584">
        <f ca="1">IFERROR(__xludf.DUMMYFUNCTION("""COMPUTED_VALUE"""),2.9)</f>
        <v>2.9</v>
      </c>
      <c r="M1341" s="584"/>
      <c r="N1341" s="584" t="str">
        <f ca="1">IFERROR(__xludf.DUMMYFUNCTION("""COMPUTED_VALUE"""),"Dị_D&lt;54")</f>
        <v>Dị_D&lt;54</v>
      </c>
      <c r="O1341" s="583"/>
      <c r="P1341" s="584"/>
    </row>
    <row r="1342" spans="1:17" ht="15.75">
      <c r="A1342" s="587" t="str">
        <f ca="1">IFERROR(__xludf.DUMMYFUNCTION("""COMPUTED_VALUE"""),"Taisei Việt Nam")</f>
        <v>Taisei Việt Nam</v>
      </c>
      <c r="B1342" s="587" t="str">
        <f ca="1">IFERROR(__xludf.DUMMYFUNCTION("""COMPUTED_VALUE"""),"ĐTSCAYDI")</f>
        <v>ĐTSCAYDI</v>
      </c>
      <c r="C1342" s="587" t="str">
        <f ca="1">IFERROR(__xludf.DUMMYFUNCTION("""COMPUTED_VALUE"""),"DOTVNTS412814029")</f>
        <v>DOTVNTS412814029</v>
      </c>
      <c r="D1342" s="588" t="str">
        <f ca="1">IFERROR(__xludf.DUMMYFUNCTION("""COMPUTED_VALUE"""),"Đồng ống thẳng 41.28x1.40x2.9m Taisei")</f>
        <v>Đồng ống thẳng 41.28x1.40x2.9m Taisei</v>
      </c>
      <c r="E1342" s="589">
        <f ca="1">IFERROR(__xludf.DUMMYFUNCTION("""COMPUTED_VALUE"""),0.1)</f>
        <v>0.1</v>
      </c>
      <c r="F1342" s="590" t="str">
        <f ca="1">IFERROR(__xludf.DUMMYFUNCTION("""COMPUTED_VALUE"""),"Cây")</f>
        <v>Cây</v>
      </c>
      <c r="G1342" s="590" t="str">
        <f ca="1">IFERROR(__xludf.DUMMYFUNCTION("""COMPUTED_VALUE"""),"Cây 2.9m")</f>
        <v>Cây 2.9m</v>
      </c>
      <c r="H1342" s="588"/>
      <c r="I1342" s="591">
        <f ca="1">IFERROR(__xludf.DUMMYFUNCTION("""COMPUTED_VALUE"""),4.53355839999999)</f>
        <v>4.5335583999999898</v>
      </c>
      <c r="J1342" s="592" t="str">
        <f ca="1">IFERROR(__xludf.DUMMYFUNCTION("""COMPUTED_VALUE""")," 41.28 ")</f>
        <v xml:space="preserve"> 41.28 </v>
      </c>
      <c r="K1342" s="590" t="str">
        <f ca="1">IFERROR(__xludf.DUMMYFUNCTION("""COMPUTED_VALUE"""),"1.40")</f>
        <v>1.40</v>
      </c>
      <c r="L1342" s="590">
        <f ca="1">IFERROR(__xludf.DUMMYFUNCTION("""COMPUTED_VALUE"""),2.9)</f>
        <v>2.9</v>
      </c>
      <c r="M1342" s="590"/>
      <c r="N1342" s="590" t="str">
        <f ca="1">IFERROR(__xludf.DUMMYFUNCTION("""COMPUTED_VALUE"""),"Dị_D&lt;54")</f>
        <v>Dị_D&lt;54</v>
      </c>
      <c r="O1342" s="589"/>
      <c r="P1342" s="590"/>
    </row>
    <row r="1343" spans="1:17" ht="15.75">
      <c r="A1343" s="581" t="str">
        <f ca="1">IFERROR(__xludf.DUMMYFUNCTION("""COMPUTED_VALUE"""),"Taisei Việt Nam")</f>
        <v>Taisei Việt Nam</v>
      </c>
      <c r="B1343" s="581" t="str">
        <f ca="1">IFERROR(__xludf.DUMMYFUNCTION("""COMPUTED_VALUE"""),"ĐTSCAYDI")</f>
        <v>ĐTSCAYDI</v>
      </c>
      <c r="C1343" s="581" t="str">
        <f ca="1">IFERROR(__xludf.DUMMYFUNCTION("""COMPUTED_VALUE"""),"DOTVNTS412814329")</f>
        <v>DOTVNTS412814329</v>
      </c>
      <c r="D1343" s="582" t="str">
        <f ca="1">IFERROR(__xludf.DUMMYFUNCTION("""COMPUTED_VALUE"""),"Đồng ống thẳng 41.28x1.43x2.9m Taisei")</f>
        <v>Đồng ống thẳng 41.28x1.43x2.9m Taisei</v>
      </c>
      <c r="E1343" s="583">
        <f ca="1">IFERROR(__xludf.DUMMYFUNCTION("""COMPUTED_VALUE"""),0.1)</f>
        <v>0.1</v>
      </c>
      <c r="F1343" s="584" t="str">
        <f ca="1">IFERROR(__xludf.DUMMYFUNCTION("""COMPUTED_VALUE"""),"Cây")</f>
        <v>Cây</v>
      </c>
      <c r="G1343" s="584" t="str">
        <f ca="1">IFERROR(__xludf.DUMMYFUNCTION("""COMPUTED_VALUE"""),"Cây 2.9m")</f>
        <v>Cây 2.9m</v>
      </c>
      <c r="H1343" s="582"/>
      <c r="I1343" s="585">
        <f ca="1">IFERROR(__xludf.DUMMYFUNCTION("""COMPUTED_VALUE"""),4.6272226)</f>
        <v>4.6272225999999996</v>
      </c>
      <c r="J1343" s="586" t="str">
        <f ca="1">IFERROR(__xludf.DUMMYFUNCTION("""COMPUTED_VALUE""")," 41.28 ")</f>
        <v xml:space="preserve"> 41.28 </v>
      </c>
      <c r="K1343" s="584" t="str">
        <f ca="1">IFERROR(__xludf.DUMMYFUNCTION("""COMPUTED_VALUE"""),"1.43")</f>
        <v>1.43</v>
      </c>
      <c r="L1343" s="584">
        <f ca="1">IFERROR(__xludf.DUMMYFUNCTION("""COMPUTED_VALUE"""),2.9)</f>
        <v>2.9</v>
      </c>
      <c r="M1343" s="584"/>
      <c r="N1343" s="584" t="str">
        <f ca="1">IFERROR(__xludf.DUMMYFUNCTION("""COMPUTED_VALUE"""),"Dị_D&lt;54")</f>
        <v>Dị_D&lt;54</v>
      </c>
      <c r="O1343" s="583"/>
      <c r="P1343" s="584"/>
    </row>
    <row r="1344" spans="1:17" ht="15.75">
      <c r="A1344" s="587" t="str">
        <f ca="1">IFERROR(__xludf.DUMMYFUNCTION("""COMPUTED_VALUE"""),"Taisei Việt Nam")</f>
        <v>Taisei Việt Nam</v>
      </c>
      <c r="B1344" s="587" t="str">
        <f ca="1">IFERROR(__xludf.DUMMYFUNCTION("""COMPUTED_VALUE"""),"ĐTSCAYDI")</f>
        <v>ĐTSCAYDI</v>
      </c>
      <c r="C1344" s="587" t="str">
        <f ca="1">IFERROR(__xludf.DUMMYFUNCTION("""COMPUTED_VALUE"""),"DOTVNTS41281529")</f>
        <v>DOTVNTS41281529</v>
      </c>
      <c r="D1344" s="588" t="str">
        <f ca="1">IFERROR(__xludf.DUMMYFUNCTION("""COMPUTED_VALUE"""),"Đồng ống thẳng 41.28 x 1.5 x 2.9m Taisei")</f>
        <v>Đồng ống thẳng 41.28 x 1.5 x 2.9m Taisei</v>
      </c>
      <c r="E1344" s="589">
        <f ca="1">IFERROR(__xludf.DUMMYFUNCTION("""COMPUTED_VALUE"""),0.1)</f>
        <v>0.1</v>
      </c>
      <c r="F1344" s="590" t="str">
        <f ca="1">IFERROR(__xludf.DUMMYFUNCTION("""COMPUTED_VALUE"""),"Cây")</f>
        <v>Cây</v>
      </c>
      <c r="G1344" s="590" t="str">
        <f ca="1">IFERROR(__xludf.DUMMYFUNCTION("""COMPUTED_VALUE"""),"Cây 2.9m")</f>
        <v>Cây 2.9m</v>
      </c>
      <c r="H1344" s="588"/>
      <c r="I1344" s="591">
        <f ca="1">IFERROR(__xludf.DUMMYFUNCTION("""COMPUTED_VALUE"""),4.845204)</f>
        <v>4.8452039999999998</v>
      </c>
      <c r="J1344" s="592" t="str">
        <f ca="1">IFERROR(__xludf.DUMMYFUNCTION("""COMPUTED_VALUE""")," 41.28 ")</f>
        <v xml:space="preserve"> 41.28 </v>
      </c>
      <c r="K1344" s="590" t="str">
        <f ca="1">IFERROR(__xludf.DUMMYFUNCTION("""COMPUTED_VALUE"""),"1.50")</f>
        <v>1.50</v>
      </c>
      <c r="L1344" s="590">
        <f ca="1">IFERROR(__xludf.DUMMYFUNCTION("""COMPUTED_VALUE"""),2.9)</f>
        <v>2.9</v>
      </c>
      <c r="M1344" s="590"/>
      <c r="N1344" s="590" t="str">
        <f ca="1">IFERROR(__xludf.DUMMYFUNCTION("""COMPUTED_VALUE"""),"Dị_D&lt;54")</f>
        <v>Dị_D&lt;54</v>
      </c>
      <c r="O1344" s="589"/>
      <c r="P1344" s="590"/>
    </row>
    <row r="1345" spans="1:16" ht="15.75">
      <c r="A1345" s="581" t="str">
        <f ca="1">IFERROR(__xludf.DUMMYFUNCTION("""COMPUTED_VALUE"""),"Taisei Việt Nam")</f>
        <v>Taisei Việt Nam</v>
      </c>
      <c r="B1345" s="581" t="str">
        <f ca="1">IFERROR(__xludf.DUMMYFUNCTION("""COMPUTED_VALUE"""),"ĐTSCAYDI")</f>
        <v>ĐTSCAYDI</v>
      </c>
      <c r="C1345" s="581" t="str">
        <f ca="1">IFERROR(__xludf.DUMMYFUNCTION("""COMPUTED_VALUE"""),"DOTVNTS412815229")</f>
        <v>DOTVNTS412815229</v>
      </c>
      <c r="D1345" s="582" t="str">
        <f ca="1">IFERROR(__xludf.DUMMYFUNCTION("""COMPUTED_VALUE"""),"Đồng ống thẳng 41.28x1.52x2.9m Taisei")</f>
        <v>Đồng ống thẳng 41.28x1.52x2.9m Taisei</v>
      </c>
      <c r="E1345" s="583">
        <f ca="1">IFERROR(__xludf.DUMMYFUNCTION("""COMPUTED_VALUE"""),0.1)</f>
        <v>0.1</v>
      </c>
      <c r="F1345" s="584" t="str">
        <f ca="1">IFERROR(__xludf.DUMMYFUNCTION("""COMPUTED_VALUE"""),"Cây")</f>
        <v>Cây</v>
      </c>
      <c r="G1345" s="584" t="str">
        <f ca="1">IFERROR(__xludf.DUMMYFUNCTION("""COMPUTED_VALUE"""),"Cây 2.9m")</f>
        <v>Cây 2.9m</v>
      </c>
      <c r="H1345" s="582"/>
      <c r="I1345" s="585">
        <f ca="1">IFERROR(__xludf.DUMMYFUNCTION("""COMPUTED_VALUE"""),4.90733824)</f>
        <v>4.9073382399999996</v>
      </c>
      <c r="J1345" s="586" t="str">
        <f ca="1">IFERROR(__xludf.DUMMYFUNCTION("""COMPUTED_VALUE""")," 41.28 ")</f>
        <v xml:space="preserve"> 41.28 </v>
      </c>
      <c r="K1345" s="584" t="str">
        <f ca="1">IFERROR(__xludf.DUMMYFUNCTION("""COMPUTED_VALUE"""),"1.52")</f>
        <v>1.52</v>
      </c>
      <c r="L1345" s="584">
        <f ca="1">IFERROR(__xludf.DUMMYFUNCTION("""COMPUTED_VALUE"""),2.9)</f>
        <v>2.9</v>
      </c>
      <c r="M1345" s="584"/>
      <c r="N1345" s="584" t="str">
        <f ca="1">IFERROR(__xludf.DUMMYFUNCTION("""COMPUTED_VALUE"""),"Dị_D&lt;54")</f>
        <v>Dị_D&lt;54</v>
      </c>
      <c r="O1345" s="583"/>
      <c r="P1345" s="584"/>
    </row>
    <row r="1346" spans="1:16" ht="15.75">
      <c r="A1346" s="587" t="str">
        <f ca="1">IFERROR(__xludf.DUMMYFUNCTION("""COMPUTED_VALUE"""),"Taisei Việt Nam")</f>
        <v>Taisei Việt Nam</v>
      </c>
      <c r="B1346" s="587" t="str">
        <f ca="1">IFERROR(__xludf.DUMMYFUNCTION("""COMPUTED_VALUE"""),"ĐTSCAYDI")</f>
        <v>ĐTSCAYDI</v>
      </c>
      <c r="C1346" s="587" t="str">
        <f ca="1">IFERROR(__xludf.DUMMYFUNCTION("""COMPUTED_VALUE"""),"DOTVNTS349313629")</f>
        <v>DOTVNTS349313629</v>
      </c>
      <c r="D1346" s="588" t="str">
        <f ca="1">IFERROR(__xludf.DUMMYFUNCTION("""COMPUTED_VALUE"""),"Đồng ống thẳng Taisei 34.93 x 1.36 x 2.9m")</f>
        <v>Đồng ống thẳng Taisei 34.93 x 1.36 x 2.9m</v>
      </c>
      <c r="E1346" s="589">
        <f ca="1">IFERROR(__xludf.DUMMYFUNCTION("""COMPUTED_VALUE"""),0.1)</f>
        <v>0.1</v>
      </c>
      <c r="F1346" s="590" t="str">
        <f ca="1">IFERROR(__xludf.DUMMYFUNCTION("""COMPUTED_VALUE"""),"Cây")</f>
        <v>Cây</v>
      </c>
      <c r="G1346" s="590" t="str">
        <f ca="1">IFERROR(__xludf.DUMMYFUNCTION("""COMPUTED_VALUE"""),"Cây 2.9m")</f>
        <v>Cây 2.9m</v>
      </c>
      <c r="H1346" s="588"/>
      <c r="I1346" s="591">
        <f ca="1">IFERROR(__xludf.DUMMYFUNCTION("""COMPUTED_VALUE"""),3.70720224)</f>
        <v>3.70720224</v>
      </c>
      <c r="J1346" s="592" t="str">
        <f ca="1">IFERROR(__xludf.DUMMYFUNCTION("""COMPUTED_VALUE""")," 34.93 ")</f>
        <v xml:space="preserve"> 34.93 </v>
      </c>
      <c r="K1346" s="590" t="str">
        <f ca="1">IFERROR(__xludf.DUMMYFUNCTION("""COMPUTED_VALUE"""),"1.36")</f>
        <v>1.36</v>
      </c>
      <c r="L1346" s="590">
        <f ca="1">IFERROR(__xludf.DUMMYFUNCTION("""COMPUTED_VALUE"""),2.9)</f>
        <v>2.9</v>
      </c>
      <c r="M1346" s="590"/>
      <c r="N1346" s="590" t="str">
        <f ca="1">IFERROR(__xludf.DUMMYFUNCTION("""COMPUTED_VALUE"""),"Dị_D&lt;54")</f>
        <v>Dị_D&lt;54</v>
      </c>
      <c r="O1346" s="589"/>
      <c r="P1346" s="590"/>
    </row>
    <row r="1347" spans="1:16" ht="15.75">
      <c r="A1347" s="581" t="str">
        <f ca="1">IFERROR(__xludf.DUMMYFUNCTION("""COMPUTED_VALUE"""),"Taisei Việt Nam")</f>
        <v>Taisei Việt Nam</v>
      </c>
      <c r="B1347" s="581" t="str">
        <f ca="1">IFERROR(__xludf.DUMMYFUNCTION("""COMPUTED_VALUE"""),"ĐTSCAYDI")</f>
        <v>ĐTSCAYDI</v>
      </c>
      <c r="C1347" s="581" t="str">
        <f ca="1">IFERROR(__xludf.DUMMYFUNCTION("""COMPUTED_VALUE"""),"DOTVNTS539814329")</f>
        <v>DOTVNTS539814329</v>
      </c>
      <c r="D1347" s="582" t="str">
        <f ca="1">IFERROR(__xludf.DUMMYFUNCTION("""COMPUTED_VALUE"""),"Đồng ống thẳng 53.98x1.43x2.9m Taisei")</f>
        <v>Đồng ống thẳng 53.98x1.43x2.9m Taisei</v>
      </c>
      <c r="E1347" s="583">
        <f ca="1">IFERROR(__xludf.DUMMYFUNCTION("""COMPUTED_VALUE"""),0.1)</f>
        <v>0.1</v>
      </c>
      <c r="F1347" s="584" t="str">
        <f ca="1">IFERROR(__xludf.DUMMYFUNCTION("""COMPUTED_VALUE"""),"Cây")</f>
        <v>Cây</v>
      </c>
      <c r="G1347" s="584" t="str">
        <f ca="1">IFERROR(__xludf.DUMMYFUNCTION("""COMPUTED_VALUE"""),"Cây 2.9m")</f>
        <v>Cây 2.9m</v>
      </c>
      <c r="H1347" s="582"/>
      <c r="I1347" s="585">
        <f ca="1">IFERROR(__xludf.DUMMYFUNCTION("""COMPUTED_VALUE"""),6.10189579999999)</f>
        <v>6.1018957999999897</v>
      </c>
      <c r="J1347" s="586" t="str">
        <f ca="1">IFERROR(__xludf.DUMMYFUNCTION("""COMPUTED_VALUE""")," 53.98 ")</f>
        <v xml:space="preserve"> 53.98 </v>
      </c>
      <c r="K1347" s="584" t="str">
        <f ca="1">IFERROR(__xludf.DUMMYFUNCTION("""COMPUTED_VALUE"""),"1.43")</f>
        <v>1.43</v>
      </c>
      <c r="L1347" s="584">
        <f ca="1">IFERROR(__xludf.DUMMYFUNCTION("""COMPUTED_VALUE"""),2.9)</f>
        <v>2.9</v>
      </c>
      <c r="M1347" s="584"/>
      <c r="N1347" s="584" t="str">
        <f ca="1">IFERROR(__xludf.DUMMYFUNCTION("""COMPUTED_VALUE"""),"Dị_D54")</f>
        <v>Dị_D54</v>
      </c>
      <c r="O1347" s="583"/>
      <c r="P1347" s="584"/>
    </row>
    <row r="1348" spans="1:16" ht="15.75">
      <c r="A1348" s="587" t="str">
        <f ca="1">IFERROR(__xludf.DUMMYFUNCTION("""COMPUTED_VALUE"""),"Taisei Việt Nam")</f>
        <v>Taisei Việt Nam</v>
      </c>
      <c r="B1348" s="587" t="str">
        <f ca="1">IFERROR(__xludf.DUMMYFUNCTION("""COMPUTED_VALUE"""),"ĐTSCAYDI")</f>
        <v>ĐTSCAYDI</v>
      </c>
      <c r="C1348" s="587" t="str">
        <f ca="1">IFERROR(__xludf.DUMMYFUNCTION("""COMPUTED_VALUE"""),"DOTTS047605130")</f>
        <v>DOTTS047605130</v>
      </c>
      <c r="D1348" s="588" t="str">
        <f ca="1">IFERROR(__xludf.DUMMYFUNCTION("""COMPUTED_VALUE"""),"Đồng ống thẳng Taisei 4.76x0.51x3.0")</f>
        <v>Đồng ống thẳng Taisei 4.76x0.51x3.0</v>
      </c>
      <c r="E1348" s="589">
        <f ca="1">IFERROR(__xludf.DUMMYFUNCTION("""COMPUTED_VALUE"""),0.1)</f>
        <v>0.1</v>
      </c>
      <c r="F1348" s="590" t="str">
        <f ca="1">IFERROR(__xludf.DUMMYFUNCTION("""COMPUTED_VALUE"""),"Cây")</f>
        <v>Cây</v>
      </c>
      <c r="G1348" s="590" t="str">
        <f ca="1">IFERROR(__xludf.DUMMYFUNCTION("""COMPUTED_VALUE"""),"Cây 3m")</f>
        <v>Cây 3m</v>
      </c>
      <c r="H1348" s="588"/>
      <c r="I1348" s="591">
        <f ca="1">IFERROR(__xludf.DUMMYFUNCTION("""COMPUTED_VALUE"""),0.18207)</f>
        <v>0.18207000000000001</v>
      </c>
      <c r="J1348" s="592" t="str">
        <f ca="1">IFERROR(__xludf.DUMMYFUNCTION("""COMPUTED_VALUE""")," 04.76 ")</f>
        <v xml:space="preserve"> 04.76 </v>
      </c>
      <c r="K1348" s="590" t="str">
        <f ca="1">IFERROR(__xludf.DUMMYFUNCTION("""COMPUTED_VALUE"""),"0.51")</f>
        <v>0.51</v>
      </c>
      <c r="L1348" s="590">
        <f ca="1">IFERROR(__xludf.DUMMYFUNCTION("""COMPUTED_VALUE"""),3)</f>
        <v>3</v>
      </c>
      <c r="M1348" s="590"/>
      <c r="N1348" s="590" t="str">
        <f ca="1">IFERROR(__xludf.DUMMYFUNCTION("""COMPUTED_VALUE"""),"Dị_D&lt;54")</f>
        <v>Dị_D&lt;54</v>
      </c>
      <c r="O1348" s="589"/>
      <c r="P1348" s="590"/>
    </row>
    <row r="1349" spans="1:16" ht="15.75">
      <c r="A1349" s="581" t="str">
        <f ca="1">IFERROR(__xludf.DUMMYFUNCTION("""COMPUTED_VALUE"""),"Taisei Việt Nam")</f>
        <v>Taisei Việt Nam</v>
      </c>
      <c r="B1349" s="581" t="str">
        <f ca="1">IFERROR(__xludf.DUMMYFUNCTION("""COMPUTED_VALUE"""),"ĐTSCAYDI")</f>
        <v>ĐTSCAYDI</v>
      </c>
      <c r="C1349" s="581" t="str">
        <f ca="1">IFERROR(__xludf.DUMMYFUNCTION("""COMPUTED_VALUE"""),"DOTTS055005130")</f>
        <v>DOTTS055005130</v>
      </c>
      <c r="D1349" s="582" t="str">
        <f ca="1">IFERROR(__xludf.DUMMYFUNCTION("""COMPUTED_VALUE"""),"Đồng ống thẳng Taisei 05.50x0.51x3.0")</f>
        <v>Đồng ống thẳng Taisei 05.50x0.51x3.0</v>
      </c>
      <c r="E1349" s="583">
        <f ca="1">IFERROR(__xludf.DUMMYFUNCTION("""COMPUTED_VALUE"""),0.1)</f>
        <v>0.1</v>
      </c>
      <c r="F1349" s="584" t="str">
        <f ca="1">IFERROR(__xludf.DUMMYFUNCTION("""COMPUTED_VALUE"""),"Cây")</f>
        <v>Cây</v>
      </c>
      <c r="G1349" s="584" t="str">
        <f ca="1">IFERROR(__xludf.DUMMYFUNCTION("""COMPUTED_VALUE"""),"Cây 3m")</f>
        <v>Cây 3m</v>
      </c>
      <c r="H1349" s="582"/>
      <c r="I1349" s="585">
        <f ca="1">IFERROR(__xludf.DUMMYFUNCTION("""COMPUTED_VALUE"""),0.2137716)</f>
        <v>0.21377160000000001</v>
      </c>
      <c r="J1349" s="586" t="str">
        <f ca="1">IFERROR(__xludf.DUMMYFUNCTION("""COMPUTED_VALUE""")," 05.50 ")</f>
        <v xml:space="preserve"> 05.50 </v>
      </c>
      <c r="K1349" s="584" t="str">
        <f ca="1">IFERROR(__xludf.DUMMYFUNCTION("""COMPUTED_VALUE"""),"0.51")</f>
        <v>0.51</v>
      </c>
      <c r="L1349" s="584">
        <f ca="1">IFERROR(__xludf.DUMMYFUNCTION("""COMPUTED_VALUE"""),3)</f>
        <v>3</v>
      </c>
      <c r="M1349" s="584"/>
      <c r="N1349" s="584" t="str">
        <f ca="1">IFERROR(__xludf.DUMMYFUNCTION("""COMPUTED_VALUE"""),"Dị_D&lt;54")</f>
        <v>Dị_D&lt;54</v>
      </c>
      <c r="O1349" s="583"/>
      <c r="P1349" s="584"/>
    </row>
    <row r="1350" spans="1:16" ht="15.75">
      <c r="A1350" s="587" t="str">
        <f ca="1">IFERROR(__xludf.DUMMYFUNCTION("""COMPUTED_VALUE"""),"Taisei Việt Nam")</f>
        <v>Taisei Việt Nam</v>
      </c>
      <c r="B1350" s="587" t="str">
        <f ca="1">IFERROR(__xludf.DUMMYFUNCTION("""COMPUTED_VALUE"""),"ĐTSCAYDI")</f>
        <v>ĐTSCAYDI</v>
      </c>
      <c r="C1350" s="587" t="str">
        <f ca="1">IFERROR(__xludf.DUMMYFUNCTION("""COMPUTED_VALUE"""),"DOTTS063505130")</f>
        <v>DOTTS063505130</v>
      </c>
      <c r="D1350" s="588" t="str">
        <f ca="1">IFERROR(__xludf.DUMMYFUNCTION("""COMPUTED_VALUE"""),"Đồng ống thẳng Taisei 06.35x0.51x3.0")</f>
        <v>Đồng ống thẳng Taisei 06.35x0.51x3.0</v>
      </c>
      <c r="E1350" s="589">
        <f ca="1">IFERROR(__xludf.DUMMYFUNCTION("""COMPUTED_VALUE"""),0.1)</f>
        <v>0.1</v>
      </c>
      <c r="F1350" s="590" t="str">
        <f ca="1">IFERROR(__xludf.DUMMYFUNCTION("""COMPUTED_VALUE"""),"Cây")</f>
        <v>Cây</v>
      </c>
      <c r="G1350" s="590" t="str">
        <f ca="1">IFERROR(__xludf.DUMMYFUNCTION("""COMPUTED_VALUE"""),"Cây 3m")</f>
        <v>Cây 3m</v>
      </c>
      <c r="H1350" s="588"/>
      <c r="I1350" s="591">
        <f ca="1">IFERROR(__xludf.DUMMYFUNCTION("""COMPUTED_VALUE"""),0.2501856)</f>
        <v>0.25018560000000001</v>
      </c>
      <c r="J1350" s="592" t="str">
        <f ca="1">IFERROR(__xludf.DUMMYFUNCTION("""COMPUTED_VALUE""")," 06.35 ")</f>
        <v xml:space="preserve"> 06.35 </v>
      </c>
      <c r="K1350" s="590" t="str">
        <f ca="1">IFERROR(__xludf.DUMMYFUNCTION("""COMPUTED_VALUE"""),"0.51")</f>
        <v>0.51</v>
      </c>
      <c r="L1350" s="590">
        <f ca="1">IFERROR(__xludf.DUMMYFUNCTION("""COMPUTED_VALUE"""),3)</f>
        <v>3</v>
      </c>
      <c r="M1350" s="590"/>
      <c r="N1350" s="590" t="str">
        <f ca="1">IFERROR(__xludf.DUMMYFUNCTION("""COMPUTED_VALUE"""),"Dị_D&lt;54")</f>
        <v>Dị_D&lt;54</v>
      </c>
      <c r="O1350" s="589"/>
      <c r="P1350" s="590"/>
    </row>
    <row r="1351" spans="1:16" ht="15.75">
      <c r="A1351" s="581" t="str">
        <f ca="1">IFERROR(__xludf.DUMMYFUNCTION("""COMPUTED_VALUE"""),"Taisei Việt Nam")</f>
        <v>Taisei Việt Nam</v>
      </c>
      <c r="B1351" s="581" t="str">
        <f ca="1">IFERROR(__xludf.DUMMYFUNCTION("""COMPUTED_VALUE"""),"ĐTSCAYDI")</f>
        <v>ĐTSCAYDI</v>
      </c>
      <c r="C1351" s="581" t="str">
        <f ca="1">IFERROR(__xludf.DUMMYFUNCTION("""COMPUTED_VALUE"""),"DOTTS064004530")</f>
        <v>DOTTS064004530</v>
      </c>
      <c r="D1351" s="582" t="str">
        <f ca="1">IFERROR(__xludf.DUMMYFUNCTION("""COMPUTED_VALUE"""),"Đồng ống thẳng Taisei 06.40x0.45x3.0")</f>
        <v>Đồng ống thẳng Taisei 06.40x0.45x3.0</v>
      </c>
      <c r="E1351" s="583">
        <f ca="1">IFERROR(__xludf.DUMMYFUNCTION("""COMPUTED_VALUE"""),0.1)</f>
        <v>0.1</v>
      </c>
      <c r="F1351" s="584" t="str">
        <f ca="1">IFERROR(__xludf.DUMMYFUNCTION("""COMPUTED_VALUE"""),"Cây")</f>
        <v>Cây</v>
      </c>
      <c r="G1351" s="584" t="str">
        <f ca="1">IFERROR(__xludf.DUMMYFUNCTION("""COMPUTED_VALUE"""),"Cây 3m")</f>
        <v>Cây 3m</v>
      </c>
      <c r="H1351" s="582"/>
      <c r="I1351" s="585">
        <f ca="1">IFERROR(__xludf.DUMMYFUNCTION("""COMPUTED_VALUE"""),0.22491)</f>
        <v>0.22491</v>
      </c>
      <c r="J1351" s="586" t="str">
        <f ca="1">IFERROR(__xludf.DUMMYFUNCTION("""COMPUTED_VALUE""")," 06.40 ")</f>
        <v xml:space="preserve"> 06.40 </v>
      </c>
      <c r="K1351" s="584" t="str">
        <f ca="1">IFERROR(__xludf.DUMMYFUNCTION("""COMPUTED_VALUE"""),"0.45")</f>
        <v>0.45</v>
      </c>
      <c r="L1351" s="584">
        <f ca="1">IFERROR(__xludf.DUMMYFUNCTION("""COMPUTED_VALUE"""),3)</f>
        <v>3</v>
      </c>
      <c r="M1351" s="584"/>
      <c r="N1351" s="584" t="str">
        <f ca="1">IFERROR(__xludf.DUMMYFUNCTION("""COMPUTED_VALUE"""),"Dị_D&lt;54")</f>
        <v>Dị_D&lt;54</v>
      </c>
      <c r="O1351" s="583"/>
      <c r="P1351" s="584"/>
    </row>
    <row r="1352" spans="1:16" ht="15.75">
      <c r="A1352" s="587" t="str">
        <f ca="1">IFERROR(__xludf.DUMMYFUNCTION("""COMPUTED_VALUE"""),"Taisei Việt Nam")</f>
        <v>Taisei Việt Nam</v>
      </c>
      <c r="B1352" s="587" t="str">
        <f ca="1">IFERROR(__xludf.DUMMYFUNCTION("""COMPUTED_VALUE"""),"ĐTSCAYDI")</f>
        <v>ĐTSCAYDI</v>
      </c>
      <c r="C1352" s="587" t="str">
        <f ca="1">IFERROR(__xludf.DUMMYFUNCTION("""COMPUTED_VALUE"""),"DOTTS065005030")</f>
        <v>DOTTS065005030</v>
      </c>
      <c r="D1352" s="588" t="str">
        <f ca="1">IFERROR(__xludf.DUMMYFUNCTION("""COMPUTED_VALUE"""),"Đồng ống thẳng Taisei 06.50x0.50x3.0")</f>
        <v>Đồng ống thẳng Taisei 06.50x0.50x3.0</v>
      </c>
      <c r="E1352" s="589">
        <f ca="1">IFERROR(__xludf.DUMMYFUNCTION("""COMPUTED_VALUE"""),0.1)</f>
        <v>0.1</v>
      </c>
      <c r="F1352" s="590" t="str">
        <f ca="1">IFERROR(__xludf.DUMMYFUNCTION("""COMPUTED_VALUE"""),"Cây")</f>
        <v>Cây</v>
      </c>
      <c r="G1352" s="590" t="str">
        <f ca="1">IFERROR(__xludf.DUMMYFUNCTION("""COMPUTED_VALUE"""),"Cây 3m")</f>
        <v>Cây 3m</v>
      </c>
      <c r="H1352" s="588"/>
      <c r="I1352" s="591">
        <f ca="1">IFERROR(__xludf.DUMMYFUNCTION("""COMPUTED_VALUE"""),0.252)</f>
        <v>0.252</v>
      </c>
      <c r="J1352" s="592" t="str">
        <f ca="1">IFERROR(__xludf.DUMMYFUNCTION("""COMPUTED_VALUE""")," 06.50 ")</f>
        <v xml:space="preserve"> 06.50 </v>
      </c>
      <c r="K1352" s="590" t="str">
        <f ca="1">IFERROR(__xludf.DUMMYFUNCTION("""COMPUTED_VALUE"""),"0.50")</f>
        <v>0.50</v>
      </c>
      <c r="L1352" s="590">
        <f ca="1">IFERROR(__xludf.DUMMYFUNCTION("""COMPUTED_VALUE"""),3)</f>
        <v>3</v>
      </c>
      <c r="M1352" s="590"/>
      <c r="N1352" s="590" t="str">
        <f ca="1">IFERROR(__xludf.DUMMYFUNCTION("""COMPUTED_VALUE"""),"Dị_D&lt;54")</f>
        <v>Dị_D&lt;54</v>
      </c>
      <c r="O1352" s="589"/>
      <c r="P1352" s="590"/>
    </row>
    <row r="1353" spans="1:16" ht="15.75">
      <c r="A1353" s="581" t="str">
        <f ca="1">IFERROR(__xludf.DUMMYFUNCTION("""COMPUTED_VALUE"""),"Taisei Việt Nam")</f>
        <v>Taisei Việt Nam</v>
      </c>
      <c r="B1353" s="581" t="str">
        <f ca="1">IFERROR(__xludf.DUMMYFUNCTION("""COMPUTED_VALUE"""),"ĐTSCAYDI")</f>
        <v>ĐTSCAYDI</v>
      </c>
      <c r="C1353" s="581" t="str">
        <f ca="1">IFERROR(__xludf.DUMMYFUNCTION("""COMPUTED_VALUE"""),"DOTTS065005530")</f>
        <v>DOTTS065005530</v>
      </c>
      <c r="D1353" s="582" t="str">
        <f ca="1">IFERROR(__xludf.DUMMYFUNCTION("""COMPUTED_VALUE"""),"Đồng ống thẳng Taisei 06.50x0.55x3.0")</f>
        <v>Đồng ống thẳng Taisei 06.50x0.55x3.0</v>
      </c>
      <c r="E1353" s="583">
        <f ca="1">IFERROR(__xludf.DUMMYFUNCTION("""COMPUTED_VALUE"""),0.1)</f>
        <v>0.1</v>
      </c>
      <c r="F1353" s="584" t="str">
        <f ca="1">IFERROR(__xludf.DUMMYFUNCTION("""COMPUTED_VALUE"""),"Cây")</f>
        <v>Cây</v>
      </c>
      <c r="G1353" s="584" t="str">
        <f ca="1">IFERROR(__xludf.DUMMYFUNCTION("""COMPUTED_VALUE"""),"Cây 3m")</f>
        <v>Cây 3m</v>
      </c>
      <c r="H1353" s="582"/>
      <c r="I1353" s="585">
        <f ca="1">IFERROR(__xludf.DUMMYFUNCTION("""COMPUTED_VALUE"""),0.27489)</f>
        <v>0.27489000000000002</v>
      </c>
      <c r="J1353" s="586" t="str">
        <f ca="1">IFERROR(__xludf.DUMMYFUNCTION("""COMPUTED_VALUE""")," 06.50 ")</f>
        <v xml:space="preserve"> 06.50 </v>
      </c>
      <c r="K1353" s="584" t="str">
        <f ca="1">IFERROR(__xludf.DUMMYFUNCTION("""COMPUTED_VALUE"""),"0.55")</f>
        <v>0.55</v>
      </c>
      <c r="L1353" s="584">
        <f ca="1">IFERROR(__xludf.DUMMYFUNCTION("""COMPUTED_VALUE"""),3)</f>
        <v>3</v>
      </c>
      <c r="M1353" s="584"/>
      <c r="N1353" s="584" t="str">
        <f ca="1">IFERROR(__xludf.DUMMYFUNCTION("""COMPUTED_VALUE"""),"Dị_D&lt;54")</f>
        <v>Dị_D&lt;54</v>
      </c>
      <c r="O1353" s="583"/>
      <c r="P1353" s="584"/>
    </row>
    <row r="1354" spans="1:16" ht="15.75">
      <c r="A1354" s="587" t="str">
        <f ca="1">IFERROR(__xludf.DUMMYFUNCTION("""COMPUTED_VALUE"""),"Taisei Việt Nam")</f>
        <v>Taisei Việt Nam</v>
      </c>
      <c r="B1354" s="587" t="str">
        <f ca="1">IFERROR(__xludf.DUMMYFUNCTION("""COMPUTED_VALUE"""),"ĐTSCAYDI")</f>
        <v>ĐTSCAYDI</v>
      </c>
      <c r="C1354" s="587" t="str">
        <f ca="1">IFERROR(__xludf.DUMMYFUNCTION("""COMPUTED_VALUE"""),"DOTTS065007030")</f>
        <v>DOTTS065007030</v>
      </c>
      <c r="D1354" s="588" t="str">
        <f ca="1">IFERROR(__xludf.DUMMYFUNCTION("""COMPUTED_VALUE"""),"Đồng ống thẳng Taisei 06.50x0.70x3.0")</f>
        <v>Đồng ống thẳng Taisei 06.50x0.70x3.0</v>
      </c>
      <c r="E1354" s="589">
        <f ca="1">IFERROR(__xludf.DUMMYFUNCTION("""COMPUTED_VALUE"""),0.1)</f>
        <v>0.1</v>
      </c>
      <c r="F1354" s="590" t="str">
        <f ca="1">IFERROR(__xludf.DUMMYFUNCTION("""COMPUTED_VALUE"""),"Cây")</f>
        <v>Cây</v>
      </c>
      <c r="G1354" s="590" t="str">
        <f ca="1">IFERROR(__xludf.DUMMYFUNCTION("""COMPUTED_VALUE"""),"Cây 3m")</f>
        <v>Cây 3m</v>
      </c>
      <c r="H1354" s="588"/>
      <c r="I1354" s="591">
        <f ca="1">IFERROR(__xludf.DUMMYFUNCTION("""COMPUTED_VALUE"""),0.341039999999999)</f>
        <v>0.34103999999999901</v>
      </c>
      <c r="J1354" s="592" t="str">
        <f ca="1">IFERROR(__xludf.DUMMYFUNCTION("""COMPUTED_VALUE""")," 06.50 ")</f>
        <v xml:space="preserve"> 06.50 </v>
      </c>
      <c r="K1354" s="590" t="str">
        <f ca="1">IFERROR(__xludf.DUMMYFUNCTION("""COMPUTED_VALUE"""),"0.70")</f>
        <v>0.70</v>
      </c>
      <c r="L1354" s="590">
        <f ca="1">IFERROR(__xludf.DUMMYFUNCTION("""COMPUTED_VALUE"""),3)</f>
        <v>3</v>
      </c>
      <c r="M1354" s="590"/>
      <c r="N1354" s="590" t="str">
        <f ca="1">IFERROR(__xludf.DUMMYFUNCTION("""COMPUTED_VALUE"""),"Dị_D&lt;54")</f>
        <v>Dị_D&lt;54</v>
      </c>
      <c r="O1354" s="589"/>
      <c r="P1354" s="590"/>
    </row>
    <row r="1355" spans="1:16" ht="15.75">
      <c r="A1355" s="581" t="str">
        <f ca="1">IFERROR(__xludf.DUMMYFUNCTION("""COMPUTED_VALUE"""),"Taisei Việt Nam")</f>
        <v>Taisei Việt Nam</v>
      </c>
      <c r="B1355" s="581" t="str">
        <f ca="1">IFERROR(__xludf.DUMMYFUNCTION("""COMPUTED_VALUE"""),"ĐTSCAYDI")</f>
        <v>ĐTSCAYDI</v>
      </c>
      <c r="C1355" s="581" t="str">
        <f ca="1">IFERROR(__xludf.DUMMYFUNCTION("""COMPUTED_VALUE"""),"DOTTS070005530")</f>
        <v>DOTTS070005530</v>
      </c>
      <c r="D1355" s="582" t="str">
        <f ca="1">IFERROR(__xludf.DUMMYFUNCTION("""COMPUTED_VALUE"""),"Đồng ống thẳng Taisei 07.00x0.55x3.0")</f>
        <v>Đồng ống thẳng Taisei 07.00x0.55x3.0</v>
      </c>
      <c r="E1355" s="583">
        <f ca="1">IFERROR(__xludf.DUMMYFUNCTION("""COMPUTED_VALUE"""),0.1)</f>
        <v>0.1</v>
      </c>
      <c r="F1355" s="584" t="str">
        <f ca="1">IFERROR(__xludf.DUMMYFUNCTION("""COMPUTED_VALUE"""),"Cây")</f>
        <v>Cây</v>
      </c>
      <c r="G1355" s="584" t="str">
        <f ca="1">IFERROR(__xludf.DUMMYFUNCTION("""COMPUTED_VALUE"""),"Cây 3m")</f>
        <v>Cây 3m</v>
      </c>
      <c r="H1355" s="582"/>
      <c r="I1355" s="585">
        <f ca="1">IFERROR(__xludf.DUMMYFUNCTION("""COMPUTED_VALUE"""),0.29799)</f>
        <v>0.29798999999999998</v>
      </c>
      <c r="J1355" s="586" t="str">
        <f ca="1">IFERROR(__xludf.DUMMYFUNCTION("""COMPUTED_VALUE""")," 07.00 ")</f>
        <v xml:space="preserve"> 07.00 </v>
      </c>
      <c r="K1355" s="584" t="str">
        <f ca="1">IFERROR(__xludf.DUMMYFUNCTION("""COMPUTED_VALUE"""),"0.55")</f>
        <v>0.55</v>
      </c>
      <c r="L1355" s="584">
        <f ca="1">IFERROR(__xludf.DUMMYFUNCTION("""COMPUTED_VALUE"""),3)</f>
        <v>3</v>
      </c>
      <c r="M1355" s="584"/>
      <c r="N1355" s="584" t="str">
        <f ca="1">IFERROR(__xludf.DUMMYFUNCTION("""COMPUTED_VALUE"""),"Dị_D&lt;54")</f>
        <v>Dị_D&lt;54</v>
      </c>
      <c r="O1355" s="583"/>
      <c r="P1355" s="584"/>
    </row>
    <row r="1356" spans="1:16" ht="15.75">
      <c r="A1356" s="587" t="str">
        <f ca="1">IFERROR(__xludf.DUMMYFUNCTION("""COMPUTED_VALUE"""),"Taisei Việt Nam")</f>
        <v>Taisei Việt Nam</v>
      </c>
      <c r="B1356" s="587" t="str">
        <f ca="1">IFERROR(__xludf.DUMMYFUNCTION("""COMPUTED_VALUE"""),"ĐTSCAYDI")</f>
        <v>ĐTSCAYDI</v>
      </c>
      <c r="C1356" s="587" t="str">
        <f ca="1">IFERROR(__xludf.DUMMYFUNCTION("""COMPUTED_VALUE"""),"DOTTS070006130")</f>
        <v>DOTTS070006130</v>
      </c>
      <c r="D1356" s="588" t="str">
        <f ca="1">IFERROR(__xludf.DUMMYFUNCTION("""COMPUTED_VALUE"""),"Đồng ống thẳng Taisei 07.00x0.61x3.0")</f>
        <v>Đồng ống thẳng Taisei 07.00x0.61x3.0</v>
      </c>
      <c r="E1356" s="589">
        <f ca="1">IFERROR(__xludf.DUMMYFUNCTION("""COMPUTED_VALUE"""),0.1)</f>
        <v>0.1</v>
      </c>
      <c r="F1356" s="590" t="str">
        <f ca="1">IFERROR(__xludf.DUMMYFUNCTION("""COMPUTED_VALUE"""),"Cây")</f>
        <v>Cây</v>
      </c>
      <c r="G1356" s="590" t="str">
        <f ca="1">IFERROR(__xludf.DUMMYFUNCTION("""COMPUTED_VALUE"""),"Cây 3m")</f>
        <v>Cây 3m</v>
      </c>
      <c r="H1356" s="588"/>
      <c r="I1356" s="591">
        <f ca="1">IFERROR(__xludf.DUMMYFUNCTION("""COMPUTED_VALUE"""),0.3274236)</f>
        <v>0.32742359999999998</v>
      </c>
      <c r="J1356" s="592" t="str">
        <f ca="1">IFERROR(__xludf.DUMMYFUNCTION("""COMPUTED_VALUE""")," 07.00 ")</f>
        <v xml:space="preserve"> 07.00 </v>
      </c>
      <c r="K1356" s="590" t="str">
        <f ca="1">IFERROR(__xludf.DUMMYFUNCTION("""COMPUTED_VALUE"""),"0.61")</f>
        <v>0.61</v>
      </c>
      <c r="L1356" s="590">
        <f ca="1">IFERROR(__xludf.DUMMYFUNCTION("""COMPUTED_VALUE"""),3)</f>
        <v>3</v>
      </c>
      <c r="M1356" s="590"/>
      <c r="N1356" s="590" t="str">
        <f ca="1">IFERROR(__xludf.DUMMYFUNCTION("""COMPUTED_VALUE"""),"Dị_D&lt;54")</f>
        <v>Dị_D&lt;54</v>
      </c>
      <c r="O1356" s="589"/>
      <c r="P1356" s="590"/>
    </row>
    <row r="1357" spans="1:16" ht="15.75">
      <c r="A1357" s="581" t="str">
        <f ca="1">IFERROR(__xludf.DUMMYFUNCTION("""COMPUTED_VALUE"""),"Taisei Việt Nam")</f>
        <v>Taisei Việt Nam</v>
      </c>
      <c r="B1357" s="581" t="str">
        <f ca="1">IFERROR(__xludf.DUMMYFUNCTION("""COMPUTED_VALUE"""),"ĐTSCAYDI")</f>
        <v>ĐTSCAYDI</v>
      </c>
      <c r="C1357" s="581" t="str">
        <f ca="1">IFERROR(__xludf.DUMMYFUNCTION("""COMPUTED_VALUE"""),"DOTTS075006030")</f>
        <v>DOTTS075006030</v>
      </c>
      <c r="D1357" s="582" t="str">
        <f ca="1">IFERROR(__xludf.DUMMYFUNCTION("""COMPUTED_VALUE"""),"Đồng ống thẳng Taisei 07.50x0.60x3.0")</f>
        <v>Đồng ống thẳng Taisei 07.50x0.60x3.0</v>
      </c>
      <c r="E1357" s="583">
        <f ca="1">IFERROR(__xludf.DUMMYFUNCTION("""COMPUTED_VALUE"""),0.1)</f>
        <v>0.1</v>
      </c>
      <c r="F1357" s="584" t="str">
        <f ca="1">IFERROR(__xludf.DUMMYFUNCTION("""COMPUTED_VALUE"""),"Cây")</f>
        <v>Cây</v>
      </c>
      <c r="G1357" s="584" t="str">
        <f ca="1">IFERROR(__xludf.DUMMYFUNCTION("""COMPUTED_VALUE"""),"Cây 3m")</f>
        <v>Cây 3m</v>
      </c>
      <c r="H1357" s="582"/>
      <c r="I1357" s="585">
        <f ca="1">IFERROR(__xludf.DUMMYFUNCTION("""COMPUTED_VALUE"""),0.347759999999999)</f>
        <v>0.34775999999999901</v>
      </c>
      <c r="J1357" s="586" t="str">
        <f ca="1">IFERROR(__xludf.DUMMYFUNCTION("""COMPUTED_VALUE""")," 07.50 ")</f>
        <v xml:space="preserve"> 07.50 </v>
      </c>
      <c r="K1357" s="584" t="str">
        <f ca="1">IFERROR(__xludf.DUMMYFUNCTION("""COMPUTED_VALUE"""),"0.60")</f>
        <v>0.60</v>
      </c>
      <c r="L1357" s="584">
        <f ca="1">IFERROR(__xludf.DUMMYFUNCTION("""COMPUTED_VALUE"""),3)</f>
        <v>3</v>
      </c>
      <c r="M1357" s="584"/>
      <c r="N1357" s="584" t="str">
        <f ca="1">IFERROR(__xludf.DUMMYFUNCTION("""COMPUTED_VALUE"""),"Dị_D&lt;54")</f>
        <v>Dị_D&lt;54</v>
      </c>
      <c r="O1357" s="583"/>
      <c r="P1357" s="584"/>
    </row>
    <row r="1358" spans="1:16" ht="15.75">
      <c r="A1358" s="587" t="str">
        <f ca="1">IFERROR(__xludf.DUMMYFUNCTION("""COMPUTED_VALUE"""),"Taisei Việt Nam")</f>
        <v>Taisei Việt Nam</v>
      </c>
      <c r="B1358" s="587" t="str">
        <f ca="1">IFERROR(__xludf.DUMMYFUNCTION("""COMPUTED_VALUE"""),"ĐTSCAYDI")</f>
        <v>ĐTSCAYDI</v>
      </c>
      <c r="C1358" s="587" t="str">
        <f ca="1">IFERROR(__xludf.DUMMYFUNCTION("""COMPUTED_VALUE"""),"DOTTS075008030")</f>
        <v>DOTTS075008030</v>
      </c>
      <c r="D1358" s="588" t="str">
        <f ca="1">IFERROR(__xludf.DUMMYFUNCTION("""COMPUTED_VALUE"""),"Đồng ống thẳng Taisei 07.50x0.80x3.0")</f>
        <v>Đồng ống thẳng Taisei 07.50x0.80x3.0</v>
      </c>
      <c r="E1358" s="589">
        <f ca="1">IFERROR(__xludf.DUMMYFUNCTION("""COMPUTED_VALUE"""),0.1)</f>
        <v>0.1</v>
      </c>
      <c r="F1358" s="590" t="str">
        <f ca="1">IFERROR(__xludf.DUMMYFUNCTION("""COMPUTED_VALUE"""),"Cây")</f>
        <v>Cây</v>
      </c>
      <c r="G1358" s="590" t="str">
        <f ca="1">IFERROR(__xludf.DUMMYFUNCTION("""COMPUTED_VALUE"""),"Cây 3m")</f>
        <v>Cây 3m</v>
      </c>
      <c r="H1358" s="588"/>
      <c r="I1358" s="591">
        <f ca="1">IFERROR(__xludf.DUMMYFUNCTION("""COMPUTED_VALUE"""),0.45024)</f>
        <v>0.45023999999999997</v>
      </c>
      <c r="J1358" s="592" t="str">
        <f ca="1">IFERROR(__xludf.DUMMYFUNCTION("""COMPUTED_VALUE""")," 07.50 ")</f>
        <v xml:space="preserve"> 07.50 </v>
      </c>
      <c r="K1358" s="590" t="str">
        <f ca="1">IFERROR(__xludf.DUMMYFUNCTION("""COMPUTED_VALUE"""),"0.80")</f>
        <v>0.80</v>
      </c>
      <c r="L1358" s="590">
        <f ca="1">IFERROR(__xludf.DUMMYFUNCTION("""COMPUTED_VALUE"""),3)</f>
        <v>3</v>
      </c>
      <c r="M1358" s="590"/>
      <c r="N1358" s="590" t="str">
        <f ca="1">IFERROR(__xludf.DUMMYFUNCTION("""COMPUTED_VALUE"""),"Dị_D&lt;54")</f>
        <v>Dị_D&lt;54</v>
      </c>
      <c r="O1358" s="589"/>
      <c r="P1358" s="590"/>
    </row>
    <row r="1359" spans="1:16" ht="15.75">
      <c r="A1359" s="581" t="str">
        <f ca="1">IFERROR(__xludf.DUMMYFUNCTION("""COMPUTED_VALUE"""),"Taisei Việt Nam")</f>
        <v>Taisei Việt Nam</v>
      </c>
      <c r="B1359" s="581" t="str">
        <f ca="1">IFERROR(__xludf.DUMMYFUNCTION("""COMPUTED_VALUE"""),"ĐTSCAYDI")</f>
        <v>ĐTSCAYDI</v>
      </c>
      <c r="C1359" s="581" t="str">
        <f ca="1">IFERROR(__xludf.DUMMYFUNCTION("""COMPUTED_VALUE"""),"DOTTS0800071305")</f>
        <v>DOTTS0800071305</v>
      </c>
      <c r="D1359" s="582" t="str">
        <f ca="1">IFERROR(__xludf.DUMMYFUNCTION("""COMPUTED_VALUE"""),"Đồng ống thẳng Taisei 08.00x0.71x3.05")</f>
        <v>Đồng ống thẳng Taisei 08.00x0.71x3.05</v>
      </c>
      <c r="E1359" s="583">
        <f ca="1">IFERROR(__xludf.DUMMYFUNCTION("""COMPUTED_VALUE"""),0.1)</f>
        <v>0.1</v>
      </c>
      <c r="F1359" s="584" t="str">
        <f ca="1">IFERROR(__xludf.DUMMYFUNCTION("""COMPUTED_VALUE"""),"Cây")</f>
        <v>Cây</v>
      </c>
      <c r="G1359" s="584" t="str">
        <f ca="1">IFERROR(__xludf.DUMMYFUNCTION("""COMPUTED_VALUE"""),"Cây 3.05m")</f>
        <v>Cây 3.05m</v>
      </c>
      <c r="H1359" s="582"/>
      <c r="I1359" s="585">
        <f ca="1">IFERROR(__xludf.DUMMYFUNCTION("""COMPUTED_VALUE"""),0.442021859999999)</f>
        <v>0.44202185999999899</v>
      </c>
      <c r="J1359" s="586" t="str">
        <f ca="1">IFERROR(__xludf.DUMMYFUNCTION("""COMPUTED_VALUE""")," 08.00 ")</f>
        <v xml:space="preserve"> 08.00 </v>
      </c>
      <c r="K1359" s="584" t="str">
        <f ca="1">IFERROR(__xludf.DUMMYFUNCTION("""COMPUTED_VALUE"""),"0.71")</f>
        <v>0.71</v>
      </c>
      <c r="L1359" s="584">
        <f ca="1">IFERROR(__xludf.DUMMYFUNCTION("""COMPUTED_VALUE"""),3.05)</f>
        <v>3.05</v>
      </c>
      <c r="M1359" s="584"/>
      <c r="N1359" s="584" t="str">
        <f ca="1">IFERROR(__xludf.DUMMYFUNCTION("""COMPUTED_VALUE"""),"Dị_D&lt;54")</f>
        <v>Dị_D&lt;54</v>
      </c>
      <c r="O1359" s="583"/>
      <c r="P1359" s="584"/>
    </row>
    <row r="1360" spans="1:16" ht="15.75">
      <c r="A1360" s="587" t="str">
        <f ca="1">IFERROR(__xludf.DUMMYFUNCTION("""COMPUTED_VALUE"""),"Taisei Việt Nam")</f>
        <v>Taisei Việt Nam</v>
      </c>
      <c r="B1360" s="587" t="str">
        <f ca="1">IFERROR(__xludf.DUMMYFUNCTION("""COMPUTED_VALUE"""),"ĐTSCAYDI")</f>
        <v>ĐTSCAYDI</v>
      </c>
      <c r="C1360" s="587" t="str">
        <f ca="1">IFERROR(__xludf.DUMMYFUNCTION("""COMPUTED_VALUE"""),"DOTTS085006830")</f>
        <v>DOTTS085006830</v>
      </c>
      <c r="D1360" s="588" t="str">
        <f ca="1">IFERROR(__xludf.DUMMYFUNCTION("""COMPUTED_VALUE"""),"Đồng ống thẳng Taisei 08.50x0.68x3.0")</f>
        <v>Đồng ống thẳng Taisei 08.50x0.68x3.0</v>
      </c>
      <c r="E1360" s="589">
        <f ca="1">IFERROR(__xludf.DUMMYFUNCTION("""COMPUTED_VALUE"""),0.1)</f>
        <v>0.1</v>
      </c>
      <c r="F1360" s="590" t="str">
        <f ca="1">IFERROR(__xludf.DUMMYFUNCTION("""COMPUTED_VALUE"""),"Cây")</f>
        <v>Cây</v>
      </c>
      <c r="G1360" s="590" t="str">
        <f ca="1">IFERROR(__xludf.DUMMYFUNCTION("""COMPUTED_VALUE"""),"Cây 3m")</f>
        <v>Cây 3m</v>
      </c>
      <c r="H1360" s="588"/>
      <c r="I1360" s="591">
        <f ca="1">IFERROR(__xludf.DUMMYFUNCTION("""COMPUTED_VALUE"""),0.4466784)</f>
        <v>0.44667839999999998</v>
      </c>
      <c r="J1360" s="592" t="str">
        <f ca="1">IFERROR(__xludf.DUMMYFUNCTION("""COMPUTED_VALUE""")," 08.50 ")</f>
        <v xml:space="preserve"> 08.50 </v>
      </c>
      <c r="K1360" s="590" t="str">
        <f ca="1">IFERROR(__xludf.DUMMYFUNCTION("""COMPUTED_VALUE"""),"0.68")</f>
        <v>0.68</v>
      </c>
      <c r="L1360" s="590">
        <f ca="1">IFERROR(__xludf.DUMMYFUNCTION("""COMPUTED_VALUE"""),3)</f>
        <v>3</v>
      </c>
      <c r="M1360" s="590"/>
      <c r="N1360" s="590" t="str">
        <f ca="1">IFERROR(__xludf.DUMMYFUNCTION("""COMPUTED_VALUE"""),"Dị_D&lt;54")</f>
        <v>Dị_D&lt;54</v>
      </c>
      <c r="O1360" s="589"/>
      <c r="P1360" s="590"/>
    </row>
    <row r="1361" spans="1:16" ht="15.75">
      <c r="A1361" s="581" t="str">
        <f ca="1">IFERROR(__xludf.DUMMYFUNCTION("""COMPUTED_VALUE"""),"Taisei Việt Nam")</f>
        <v>Taisei Việt Nam</v>
      </c>
      <c r="B1361" s="581" t="str">
        <f ca="1">IFERROR(__xludf.DUMMYFUNCTION("""COMPUTED_VALUE"""),"ĐTSCAYDI")</f>
        <v>ĐTSCAYDI</v>
      </c>
      <c r="C1361" s="581" t="str">
        <f ca="1">IFERROR(__xludf.DUMMYFUNCTION("""COMPUTED_VALUE"""),"DOTTS086006130")</f>
        <v>DOTTS086006130</v>
      </c>
      <c r="D1361" s="582" t="str">
        <f ca="1">IFERROR(__xludf.DUMMYFUNCTION("""COMPUTED_VALUE"""),"Đồng ống thẳng Taisei 08.60x0.61x3.0")</f>
        <v>Đồng ống thẳng Taisei 08.60x0.61x3.0</v>
      </c>
      <c r="E1361" s="583">
        <f ca="1">IFERROR(__xludf.DUMMYFUNCTION("""COMPUTED_VALUE"""),0.1)</f>
        <v>0.1</v>
      </c>
      <c r="F1361" s="584" t="str">
        <f ca="1">IFERROR(__xludf.DUMMYFUNCTION("""COMPUTED_VALUE"""),"Cây")</f>
        <v>Cây</v>
      </c>
      <c r="G1361" s="584" t="str">
        <f ca="1">IFERROR(__xludf.DUMMYFUNCTION("""COMPUTED_VALUE"""),"Cây 3m")</f>
        <v>Cây 3m</v>
      </c>
      <c r="H1361" s="582"/>
      <c r="I1361" s="585">
        <f ca="1">IFERROR(__xludf.DUMMYFUNCTION("""COMPUTED_VALUE"""),0.4094076)</f>
        <v>0.40940759999999998</v>
      </c>
      <c r="J1361" s="586" t="str">
        <f ca="1">IFERROR(__xludf.DUMMYFUNCTION("""COMPUTED_VALUE""")," 08.60 ")</f>
        <v xml:space="preserve"> 08.60 </v>
      </c>
      <c r="K1361" s="584" t="str">
        <f ca="1">IFERROR(__xludf.DUMMYFUNCTION("""COMPUTED_VALUE"""),"0.61")</f>
        <v>0.61</v>
      </c>
      <c r="L1361" s="584">
        <f ca="1">IFERROR(__xludf.DUMMYFUNCTION("""COMPUTED_VALUE"""),3)</f>
        <v>3</v>
      </c>
      <c r="M1361" s="584"/>
      <c r="N1361" s="584" t="str">
        <f ca="1">IFERROR(__xludf.DUMMYFUNCTION("""COMPUTED_VALUE"""),"Dị_D&lt;54")</f>
        <v>Dị_D&lt;54</v>
      </c>
      <c r="O1361" s="583"/>
      <c r="P1361" s="584"/>
    </row>
    <row r="1362" spans="1:16" ht="15.75">
      <c r="A1362" s="587" t="str">
        <f ca="1">IFERROR(__xludf.DUMMYFUNCTION("""COMPUTED_VALUE"""),"Taisei Việt Nam")</f>
        <v>Taisei Việt Nam</v>
      </c>
      <c r="B1362" s="587" t="str">
        <f ca="1">IFERROR(__xludf.DUMMYFUNCTION("""COMPUTED_VALUE"""),"ĐTSCAYDI")</f>
        <v>ĐTSCAYDI</v>
      </c>
      <c r="C1362" s="587" t="str">
        <f ca="1">IFERROR(__xludf.DUMMYFUNCTION("""COMPUTED_VALUE"""),"DOTTS090007030")</f>
        <v>DOTTS090007030</v>
      </c>
      <c r="D1362" s="588" t="str">
        <f ca="1">IFERROR(__xludf.DUMMYFUNCTION("""COMPUTED_VALUE"""),"Đồng ống thẳng Taisei 09.00x0.70x3.0")</f>
        <v>Đồng ống thẳng Taisei 09.00x0.70x3.0</v>
      </c>
      <c r="E1362" s="589">
        <f ca="1">IFERROR(__xludf.DUMMYFUNCTION("""COMPUTED_VALUE"""),0.1)</f>
        <v>0.1</v>
      </c>
      <c r="F1362" s="590" t="str">
        <f ca="1">IFERROR(__xludf.DUMMYFUNCTION("""COMPUTED_VALUE"""),"Cây")</f>
        <v>Cây</v>
      </c>
      <c r="G1362" s="590" t="str">
        <f ca="1">IFERROR(__xludf.DUMMYFUNCTION("""COMPUTED_VALUE"""),"Cây 3m")</f>
        <v>Cây 3m</v>
      </c>
      <c r="H1362" s="588"/>
      <c r="I1362" s="591">
        <f ca="1">IFERROR(__xludf.DUMMYFUNCTION("""COMPUTED_VALUE"""),0.48804)</f>
        <v>0.48803999999999997</v>
      </c>
      <c r="J1362" s="592" t="str">
        <f ca="1">IFERROR(__xludf.DUMMYFUNCTION("""COMPUTED_VALUE""")," 09.00 ")</f>
        <v xml:space="preserve"> 09.00 </v>
      </c>
      <c r="K1362" s="590" t="str">
        <f ca="1">IFERROR(__xludf.DUMMYFUNCTION("""COMPUTED_VALUE"""),"0.70")</f>
        <v>0.70</v>
      </c>
      <c r="L1362" s="590">
        <f ca="1">IFERROR(__xludf.DUMMYFUNCTION("""COMPUTED_VALUE"""),3)</f>
        <v>3</v>
      </c>
      <c r="M1362" s="590"/>
      <c r="N1362" s="590" t="str">
        <f ca="1">IFERROR(__xludf.DUMMYFUNCTION("""COMPUTED_VALUE"""),"Dị_D&lt;54")</f>
        <v>Dị_D&lt;54</v>
      </c>
      <c r="O1362" s="589"/>
      <c r="P1362" s="590"/>
    </row>
    <row r="1363" spans="1:16" ht="15.75">
      <c r="A1363" s="581" t="str">
        <f ca="1">IFERROR(__xludf.DUMMYFUNCTION("""COMPUTED_VALUE"""),"Taisei Việt Nam")</f>
        <v>Taisei Việt Nam</v>
      </c>
      <c r="B1363" s="581" t="str">
        <f ca="1">IFERROR(__xludf.DUMMYFUNCTION("""COMPUTED_VALUE"""),"ĐTSCAYDI")</f>
        <v>ĐTSCAYDI</v>
      </c>
      <c r="C1363" s="581" t="str">
        <f ca="1">IFERROR(__xludf.DUMMYFUNCTION("""COMPUTED_VALUE"""),"DOTTS090009030")</f>
        <v>DOTTS090009030</v>
      </c>
      <c r="D1363" s="582" t="str">
        <f ca="1">IFERROR(__xludf.DUMMYFUNCTION("""COMPUTED_VALUE"""),"Đồng ống thẳng Taisei 09.00x0.90x3.0")</f>
        <v>Đồng ống thẳng Taisei 09.00x0.90x3.0</v>
      </c>
      <c r="E1363" s="583">
        <f ca="1">IFERROR(__xludf.DUMMYFUNCTION("""COMPUTED_VALUE"""),0.1)</f>
        <v>0.1</v>
      </c>
      <c r="F1363" s="584" t="str">
        <f ca="1">IFERROR(__xludf.DUMMYFUNCTION("""COMPUTED_VALUE"""),"Cây")</f>
        <v>Cây</v>
      </c>
      <c r="G1363" s="584" t="str">
        <f ca="1">IFERROR(__xludf.DUMMYFUNCTION("""COMPUTED_VALUE"""),"Cây 3m")</f>
        <v>Cây 3m</v>
      </c>
      <c r="H1363" s="582"/>
      <c r="I1363" s="585">
        <f ca="1">IFERROR(__xludf.DUMMYFUNCTION("""COMPUTED_VALUE"""),0.61236)</f>
        <v>0.61236000000000002</v>
      </c>
      <c r="J1363" s="586" t="str">
        <f ca="1">IFERROR(__xludf.DUMMYFUNCTION("""COMPUTED_VALUE""")," 09.00 ")</f>
        <v xml:space="preserve"> 09.00 </v>
      </c>
      <c r="K1363" s="584" t="str">
        <f ca="1">IFERROR(__xludf.DUMMYFUNCTION("""COMPUTED_VALUE"""),"0.90")</f>
        <v>0.90</v>
      </c>
      <c r="L1363" s="584">
        <f ca="1">IFERROR(__xludf.DUMMYFUNCTION("""COMPUTED_VALUE"""),3)</f>
        <v>3</v>
      </c>
      <c r="M1363" s="584"/>
      <c r="N1363" s="584" t="str">
        <f ca="1">IFERROR(__xludf.DUMMYFUNCTION("""COMPUTED_VALUE"""),"Dị_D&lt;54")</f>
        <v>Dị_D&lt;54</v>
      </c>
      <c r="O1363" s="583"/>
      <c r="P1363" s="584"/>
    </row>
    <row r="1364" spans="1:16" ht="15.75">
      <c r="A1364" s="587" t="str">
        <f ca="1">IFERROR(__xludf.DUMMYFUNCTION("""COMPUTED_VALUE"""),"Taisei Việt Nam")</f>
        <v>Taisei Việt Nam</v>
      </c>
      <c r="B1364" s="587" t="str">
        <f ca="1">IFERROR(__xludf.DUMMYFUNCTION("""COMPUTED_VALUE"""),"ĐTSCAYDI")</f>
        <v>ĐTSCAYDI</v>
      </c>
      <c r="C1364" s="587" t="str">
        <f ca="1">IFERROR(__xludf.DUMMYFUNCTION("""COMPUTED_VALUE"""),"DOTTS090010030")</f>
        <v>DOTTS090010030</v>
      </c>
      <c r="D1364" s="588" t="str">
        <f ca="1">IFERROR(__xludf.DUMMYFUNCTION("""COMPUTED_VALUE"""),"Đồng ống thẳng Taisei 09.00x1.00x3.0")</f>
        <v>Đồng ống thẳng Taisei 09.00x1.00x3.0</v>
      </c>
      <c r="E1364" s="589">
        <f ca="1">IFERROR(__xludf.DUMMYFUNCTION("""COMPUTED_VALUE"""),0.1)</f>
        <v>0.1</v>
      </c>
      <c r="F1364" s="590" t="str">
        <f ca="1">IFERROR(__xludf.DUMMYFUNCTION("""COMPUTED_VALUE"""),"Cây")</f>
        <v>Cây</v>
      </c>
      <c r="G1364" s="590" t="str">
        <f ca="1">IFERROR(__xludf.DUMMYFUNCTION("""COMPUTED_VALUE"""),"Cây 3m")</f>
        <v>Cây 3m</v>
      </c>
      <c r="H1364" s="588"/>
      <c r="I1364" s="591">
        <f ca="1">IFERROR(__xludf.DUMMYFUNCTION("""COMPUTED_VALUE"""),0.672)</f>
        <v>0.67200000000000004</v>
      </c>
      <c r="J1364" s="592" t="str">
        <f ca="1">IFERROR(__xludf.DUMMYFUNCTION("""COMPUTED_VALUE""")," 09.00 ")</f>
        <v xml:space="preserve"> 09.00 </v>
      </c>
      <c r="K1364" s="590" t="str">
        <f ca="1">IFERROR(__xludf.DUMMYFUNCTION("""COMPUTED_VALUE"""),"1.00")</f>
        <v>1.00</v>
      </c>
      <c r="L1364" s="590">
        <f ca="1">IFERROR(__xludf.DUMMYFUNCTION("""COMPUTED_VALUE"""),3)</f>
        <v>3</v>
      </c>
      <c r="M1364" s="590"/>
      <c r="N1364" s="590" t="str">
        <f ca="1">IFERROR(__xludf.DUMMYFUNCTION("""COMPUTED_VALUE"""),"Dị_D&lt;54")</f>
        <v>Dị_D&lt;54</v>
      </c>
      <c r="O1364" s="589"/>
      <c r="P1364" s="590"/>
    </row>
    <row r="1365" spans="1:16" ht="15.75">
      <c r="A1365" s="581" t="str">
        <f ca="1">IFERROR(__xludf.DUMMYFUNCTION("""COMPUTED_VALUE"""),"Taisei Việt Nam")</f>
        <v>Taisei Việt Nam</v>
      </c>
      <c r="B1365" s="581" t="str">
        <f ca="1">IFERROR(__xludf.DUMMYFUNCTION("""COMPUTED_VALUE"""),"ĐTSCAYDI")</f>
        <v>ĐTSCAYDI</v>
      </c>
      <c r="C1365" s="581" t="str">
        <f ca="1">IFERROR(__xludf.DUMMYFUNCTION("""COMPUTED_VALUE"""),"DOTTS0900071304")</f>
        <v>DOTTS0900071304</v>
      </c>
      <c r="D1365" s="582" t="str">
        <f ca="1">IFERROR(__xludf.DUMMYFUNCTION("""COMPUTED_VALUE"""),"Đồng ống thẳng Taisei 09.00x0.71x3.04")</f>
        <v>Đồng ống thẳng Taisei 09.00x0.71x3.04</v>
      </c>
      <c r="E1365" s="583">
        <f ca="1">IFERROR(__xludf.DUMMYFUNCTION("""COMPUTED_VALUE"""),0.1)</f>
        <v>0.1</v>
      </c>
      <c r="F1365" s="584" t="str">
        <f ca="1">IFERROR(__xludf.DUMMYFUNCTION("""COMPUTED_VALUE"""),"Cây")</f>
        <v>Cây</v>
      </c>
      <c r="G1365" s="584" t="str">
        <f ca="1">IFERROR(__xludf.DUMMYFUNCTION("""COMPUTED_VALUE"""),"Cây 3.04m")</f>
        <v>Cây 3.04m</v>
      </c>
      <c r="H1365" s="582"/>
      <c r="I1365" s="585">
        <f ca="1">IFERROR(__xludf.DUMMYFUNCTION("""COMPUTED_VALUE"""),0.501007808)</f>
        <v>0.501007808</v>
      </c>
      <c r="J1365" s="586" t="str">
        <f ca="1">IFERROR(__xludf.DUMMYFUNCTION("""COMPUTED_VALUE""")," 09.00 ")</f>
        <v xml:space="preserve"> 09.00 </v>
      </c>
      <c r="K1365" s="584" t="str">
        <f ca="1">IFERROR(__xludf.DUMMYFUNCTION("""COMPUTED_VALUE"""),"0.71")</f>
        <v>0.71</v>
      </c>
      <c r="L1365" s="584">
        <f ca="1">IFERROR(__xludf.DUMMYFUNCTION("""COMPUTED_VALUE"""),3.04)</f>
        <v>3.04</v>
      </c>
      <c r="M1365" s="584"/>
      <c r="N1365" s="584" t="str">
        <f ca="1">IFERROR(__xludf.DUMMYFUNCTION("""COMPUTED_VALUE"""),"Dị_D&lt;54")</f>
        <v>Dị_D&lt;54</v>
      </c>
      <c r="O1365" s="583"/>
      <c r="P1365" s="584"/>
    </row>
    <row r="1366" spans="1:16" ht="15.75">
      <c r="A1366" s="587" t="str">
        <f ca="1">IFERROR(__xludf.DUMMYFUNCTION("""COMPUTED_VALUE"""),"Taisei Việt Nam")</f>
        <v>Taisei Việt Nam</v>
      </c>
      <c r="B1366" s="587" t="str">
        <f ca="1">IFERROR(__xludf.DUMMYFUNCTION("""COMPUTED_VALUE"""),"ĐTSCAYDI")</f>
        <v>ĐTSCAYDI</v>
      </c>
      <c r="C1366" s="587" t="str">
        <f ca="1">IFERROR(__xludf.DUMMYFUNCTION("""COMPUTED_VALUE"""),"DOTTS0950078030")</f>
        <v>DOTTS0950078030</v>
      </c>
      <c r="D1366" s="588" t="str">
        <f ca="1">IFERROR(__xludf.DUMMYFUNCTION("""COMPUTED_VALUE"""),"Đồng ống thẳng Taisei 09.50x0.78x3.0")</f>
        <v>Đồng ống thẳng Taisei 09.50x0.78x3.0</v>
      </c>
      <c r="E1366" s="589">
        <f ca="1">IFERROR(__xludf.DUMMYFUNCTION("""COMPUTED_VALUE"""),0.1)</f>
        <v>0.1</v>
      </c>
      <c r="F1366" s="590" t="str">
        <f ca="1">IFERROR(__xludf.DUMMYFUNCTION("""COMPUTED_VALUE"""),"Cây")</f>
        <v>Cây</v>
      </c>
      <c r="G1366" s="590" t="str">
        <f ca="1">IFERROR(__xludf.DUMMYFUNCTION("""COMPUTED_VALUE"""),"Cây 3m")</f>
        <v>Cây 3m</v>
      </c>
      <c r="H1366" s="588"/>
      <c r="I1366" s="591">
        <f ca="1">IFERROR(__xludf.DUMMYFUNCTION("""COMPUTED_VALUE"""),0.5713344)</f>
        <v>0.57133440000000002</v>
      </c>
      <c r="J1366" s="592" t="str">
        <f ca="1">IFERROR(__xludf.DUMMYFUNCTION("""COMPUTED_VALUE""")," 09.50 ")</f>
        <v xml:space="preserve"> 09.50 </v>
      </c>
      <c r="K1366" s="590" t="str">
        <f ca="1">IFERROR(__xludf.DUMMYFUNCTION("""COMPUTED_VALUE"""),"0.78")</f>
        <v>0.78</v>
      </c>
      <c r="L1366" s="590">
        <f ca="1">IFERROR(__xludf.DUMMYFUNCTION("""COMPUTED_VALUE"""),3)</f>
        <v>3</v>
      </c>
      <c r="M1366" s="590"/>
      <c r="N1366" s="590" t="str">
        <f ca="1">IFERROR(__xludf.DUMMYFUNCTION("""COMPUTED_VALUE"""),"Dị_D&lt;54")</f>
        <v>Dị_D&lt;54</v>
      </c>
      <c r="O1366" s="589"/>
      <c r="P1366" s="590"/>
    </row>
    <row r="1367" spans="1:16" ht="15.75">
      <c r="A1367" s="581" t="str">
        <f ca="1">IFERROR(__xludf.DUMMYFUNCTION("""COMPUTED_VALUE"""),"Taisei Việt Nam")</f>
        <v>Taisei Việt Nam</v>
      </c>
      <c r="B1367" s="581" t="str">
        <f ca="1">IFERROR(__xludf.DUMMYFUNCTION("""COMPUTED_VALUE"""),"ĐTSCAYDI")</f>
        <v>ĐTSCAYDI</v>
      </c>
      <c r="C1367" s="581" t="str">
        <f ca="1">IFERROR(__xludf.DUMMYFUNCTION("""COMPUTED_VALUE"""),"DOTTS096006530")</f>
        <v>DOTTS096006530</v>
      </c>
      <c r="D1367" s="582" t="str">
        <f ca="1">IFERROR(__xludf.DUMMYFUNCTION("""COMPUTED_VALUE"""),"Đồng ống thẳng Taisei 09.60x0.65x3.0")</f>
        <v>Đồng ống thẳng Taisei 09.60x0.65x3.0</v>
      </c>
      <c r="E1367" s="583">
        <f ca="1">IFERROR(__xludf.DUMMYFUNCTION("""COMPUTED_VALUE"""),0.1)</f>
        <v>0.1</v>
      </c>
      <c r="F1367" s="584" t="str">
        <f ca="1">IFERROR(__xludf.DUMMYFUNCTION("""COMPUTED_VALUE"""),"Cây")</f>
        <v>Cây</v>
      </c>
      <c r="G1367" s="584" t="str">
        <f ca="1">IFERROR(__xludf.DUMMYFUNCTION("""COMPUTED_VALUE"""),"Cây 3m")</f>
        <v>Cây 3m</v>
      </c>
      <c r="H1367" s="582"/>
      <c r="I1367" s="585">
        <f ca="1">IFERROR(__xludf.DUMMYFUNCTION("""COMPUTED_VALUE"""),0.48867)</f>
        <v>0.48866999999999999</v>
      </c>
      <c r="J1367" s="586" t="str">
        <f ca="1">IFERROR(__xludf.DUMMYFUNCTION("""COMPUTED_VALUE""")," 09.60 ")</f>
        <v xml:space="preserve"> 09.60 </v>
      </c>
      <c r="K1367" s="584" t="str">
        <f ca="1">IFERROR(__xludf.DUMMYFUNCTION("""COMPUTED_VALUE"""),"0.65")</f>
        <v>0.65</v>
      </c>
      <c r="L1367" s="584">
        <f ca="1">IFERROR(__xludf.DUMMYFUNCTION("""COMPUTED_VALUE"""),3)</f>
        <v>3</v>
      </c>
      <c r="M1367" s="584"/>
      <c r="N1367" s="584" t="str">
        <f ca="1">IFERROR(__xludf.DUMMYFUNCTION("""COMPUTED_VALUE"""),"Dị_D&lt;54")</f>
        <v>Dị_D&lt;54</v>
      </c>
      <c r="O1367" s="583"/>
      <c r="P1367" s="584"/>
    </row>
    <row r="1368" spans="1:16" ht="15.75">
      <c r="A1368" s="587" t="str">
        <f ca="1">IFERROR(__xludf.DUMMYFUNCTION("""COMPUTED_VALUE"""),"Taisei Việt Nam")</f>
        <v>Taisei Việt Nam</v>
      </c>
      <c r="B1368" s="587" t="str">
        <f ca="1">IFERROR(__xludf.DUMMYFUNCTION("""COMPUTED_VALUE"""),"ĐTSCAYDI")</f>
        <v>ĐTSCAYDI</v>
      </c>
      <c r="C1368" s="587" t="str">
        <f ca="1">IFERROR(__xludf.DUMMYFUNCTION("""COMPUTED_VALUE"""),"DOTTS1000061304")</f>
        <v>DOTTS1000061304</v>
      </c>
      <c r="D1368" s="588" t="str">
        <f ca="1">IFERROR(__xludf.DUMMYFUNCTION("""COMPUTED_VALUE"""),"Đồng ống thẳng Taisei 10.00x0.61x3.04")</f>
        <v>Đồng ống thẳng Taisei 10.00x0.61x3.04</v>
      </c>
      <c r="E1368" s="589">
        <f ca="1">IFERROR(__xludf.DUMMYFUNCTION("""COMPUTED_VALUE"""),0.1)</f>
        <v>0.1</v>
      </c>
      <c r="F1368" s="590" t="str">
        <f ca="1">IFERROR(__xludf.DUMMYFUNCTION("""COMPUTED_VALUE"""),"Cây")</f>
        <v>Cây</v>
      </c>
      <c r="G1368" s="590" t="str">
        <f ca="1">IFERROR(__xludf.DUMMYFUNCTION("""COMPUTED_VALUE"""),"Cây 3.04m")</f>
        <v>Cây 3.04m</v>
      </c>
      <c r="H1368" s="588"/>
      <c r="I1368" s="591">
        <f ca="1">IFERROR(__xludf.DUMMYFUNCTION("""COMPUTED_VALUE"""),0.487558848)</f>
        <v>0.48755884799999999</v>
      </c>
      <c r="J1368" s="592" t="str">
        <f ca="1">IFERROR(__xludf.DUMMYFUNCTION("""COMPUTED_VALUE""")," 10.00 ")</f>
        <v xml:space="preserve"> 10.00 </v>
      </c>
      <c r="K1368" s="590" t="str">
        <f ca="1">IFERROR(__xludf.DUMMYFUNCTION("""COMPUTED_VALUE"""),"0.61")</f>
        <v>0.61</v>
      </c>
      <c r="L1368" s="590">
        <f ca="1">IFERROR(__xludf.DUMMYFUNCTION("""COMPUTED_VALUE"""),3.04)</f>
        <v>3.04</v>
      </c>
      <c r="M1368" s="590"/>
      <c r="N1368" s="590" t="str">
        <f ca="1">IFERROR(__xludf.DUMMYFUNCTION("""COMPUTED_VALUE"""),"Dị_D&lt;54")</f>
        <v>Dị_D&lt;54</v>
      </c>
      <c r="O1368" s="589"/>
      <c r="P1368" s="590"/>
    </row>
    <row r="1369" spans="1:16" ht="15.75">
      <c r="A1369" s="581" t="str">
        <f ca="1">IFERROR(__xludf.DUMMYFUNCTION("""COMPUTED_VALUE"""),"Taisei Việt Nam")</f>
        <v>Taisei Việt Nam</v>
      </c>
      <c r="B1369" s="581" t="str">
        <f ca="1">IFERROR(__xludf.DUMMYFUNCTION("""COMPUTED_VALUE"""),"ĐTSCAYDI")</f>
        <v>ĐTSCAYDI</v>
      </c>
      <c r="C1369" s="581" t="str">
        <f ca="1">IFERROR(__xludf.DUMMYFUNCTION("""COMPUTED_VALUE"""),"DOTTS100008003")</f>
        <v>DOTTS100008003</v>
      </c>
      <c r="D1369" s="582" t="str">
        <f ca="1">IFERROR(__xludf.DUMMYFUNCTION("""COMPUTED_VALUE"""),"Đồng ống thẳng Taisei 10.00x0.80x3.0")</f>
        <v>Đồng ống thẳng Taisei 10.00x0.80x3.0</v>
      </c>
      <c r="E1369" s="583">
        <f ca="1">IFERROR(__xludf.DUMMYFUNCTION("""COMPUTED_VALUE"""),0.1)</f>
        <v>0.1</v>
      </c>
      <c r="F1369" s="584" t="str">
        <f ca="1">IFERROR(__xludf.DUMMYFUNCTION("""COMPUTED_VALUE"""),"Cây")</f>
        <v>Cây</v>
      </c>
      <c r="G1369" s="584" t="str">
        <f ca="1">IFERROR(__xludf.DUMMYFUNCTION("""COMPUTED_VALUE"""),"Cây 3m")</f>
        <v>Cây 3m</v>
      </c>
      <c r="H1369" s="582"/>
      <c r="I1369" s="585">
        <f ca="1">IFERROR(__xludf.DUMMYFUNCTION("""COMPUTED_VALUE"""),0.618239999999999)</f>
        <v>0.61823999999999901</v>
      </c>
      <c r="J1369" s="586" t="str">
        <f ca="1">IFERROR(__xludf.DUMMYFUNCTION("""COMPUTED_VALUE""")," 10.00 ")</f>
        <v xml:space="preserve"> 10.00 </v>
      </c>
      <c r="K1369" s="584" t="str">
        <f ca="1">IFERROR(__xludf.DUMMYFUNCTION("""COMPUTED_VALUE"""),"0.80")</f>
        <v>0.80</v>
      </c>
      <c r="L1369" s="584">
        <f ca="1">IFERROR(__xludf.DUMMYFUNCTION("""COMPUTED_VALUE"""),3)</f>
        <v>3</v>
      </c>
      <c r="M1369" s="584"/>
      <c r="N1369" s="584" t="str">
        <f ca="1">IFERROR(__xludf.DUMMYFUNCTION("""COMPUTED_VALUE"""),"Dị_D&lt;54")</f>
        <v>Dị_D&lt;54</v>
      </c>
      <c r="O1369" s="583"/>
      <c r="P1369" s="584"/>
    </row>
    <row r="1370" spans="1:16" ht="15.75">
      <c r="A1370" s="587" t="str">
        <f ca="1">IFERROR(__xludf.DUMMYFUNCTION("""COMPUTED_VALUE"""),"Taisei Việt Nam")</f>
        <v>Taisei Việt Nam</v>
      </c>
      <c r="B1370" s="587" t="str">
        <f ca="1">IFERROR(__xludf.DUMMYFUNCTION("""COMPUTED_VALUE"""),"ĐTSCAYDI")</f>
        <v>ĐTSCAYDI</v>
      </c>
      <c r="C1370" s="587" t="str">
        <f ca="1">IFERROR(__xludf.DUMMYFUNCTION("""COMPUTED_VALUE"""),"DOTTS1000081304")</f>
        <v>DOTTS1000081304</v>
      </c>
      <c r="D1370" s="588" t="str">
        <f ca="1">IFERROR(__xludf.DUMMYFUNCTION("""COMPUTED_VALUE"""),"Đồng ống thẳng Taisei 10.00x0.81x3.04")</f>
        <v>Đồng ống thẳng Taisei 10.00x0.81x3.04</v>
      </c>
      <c r="E1370" s="589">
        <f ca="1">IFERROR(__xludf.DUMMYFUNCTION("""COMPUTED_VALUE"""),0.1)</f>
        <v>0.1</v>
      </c>
      <c r="F1370" s="590" t="str">
        <f ca="1">IFERROR(__xludf.DUMMYFUNCTION("""COMPUTED_VALUE"""),"Cây")</f>
        <v>Cây</v>
      </c>
      <c r="G1370" s="590" t="str">
        <f ca="1">IFERROR(__xludf.DUMMYFUNCTION("""COMPUTED_VALUE"""),"Cây 3.04m")</f>
        <v>Cây 3.04m</v>
      </c>
      <c r="H1370" s="588"/>
      <c r="I1370" s="591">
        <f ca="1">IFERROR(__xludf.DUMMYFUNCTION("""COMPUTED_VALUE"""),0.633624768)</f>
        <v>0.633624768</v>
      </c>
      <c r="J1370" s="592" t="str">
        <f ca="1">IFERROR(__xludf.DUMMYFUNCTION("""COMPUTED_VALUE""")," 10.00 ")</f>
        <v xml:space="preserve"> 10.00 </v>
      </c>
      <c r="K1370" s="590" t="str">
        <f ca="1">IFERROR(__xludf.DUMMYFUNCTION("""COMPUTED_VALUE"""),"0.81")</f>
        <v>0.81</v>
      </c>
      <c r="L1370" s="590">
        <f ca="1">IFERROR(__xludf.DUMMYFUNCTION("""COMPUTED_VALUE"""),3.04)</f>
        <v>3.04</v>
      </c>
      <c r="M1370" s="590"/>
      <c r="N1370" s="590" t="str">
        <f ca="1">IFERROR(__xludf.DUMMYFUNCTION("""COMPUTED_VALUE"""),"Dị_D&lt;54")</f>
        <v>Dị_D&lt;54</v>
      </c>
      <c r="O1370" s="589"/>
      <c r="P1370" s="590"/>
    </row>
    <row r="1371" spans="1:16" ht="15.75">
      <c r="A1371" s="581" t="str">
        <f ca="1">IFERROR(__xludf.DUMMYFUNCTION("""COMPUTED_VALUE"""),"Taisei Việt Nam")</f>
        <v>Taisei Việt Nam</v>
      </c>
      <c r="B1371" s="581" t="str">
        <f ca="1">IFERROR(__xludf.DUMMYFUNCTION("""COMPUTED_VALUE"""),"ĐTSCAYDI")</f>
        <v>ĐTSCAYDI</v>
      </c>
      <c r="C1371" s="581" t="str">
        <f ca="1">IFERROR(__xludf.DUMMYFUNCTION("""COMPUTED_VALUE"""),"DOTTS100008530")</f>
        <v>DOTTS100008530</v>
      </c>
      <c r="D1371" s="582" t="str">
        <f ca="1">IFERROR(__xludf.DUMMYFUNCTION("""COMPUTED_VALUE"""),"Đồng ống thẳng Taisei 10.00x0.85x3.0")</f>
        <v>Đồng ống thẳng Taisei 10.00x0.85x3.0</v>
      </c>
      <c r="E1371" s="583">
        <f ca="1">IFERROR(__xludf.DUMMYFUNCTION("""COMPUTED_VALUE"""),0.1)</f>
        <v>0.1</v>
      </c>
      <c r="F1371" s="584" t="str">
        <f ca="1">IFERROR(__xludf.DUMMYFUNCTION("""COMPUTED_VALUE"""),"Cây")</f>
        <v>Cây</v>
      </c>
      <c r="G1371" s="584" t="str">
        <f ca="1">IFERROR(__xludf.DUMMYFUNCTION("""COMPUTED_VALUE"""),"Cây 3m")</f>
        <v>Cây 3m</v>
      </c>
      <c r="H1371" s="582"/>
      <c r="I1371" s="585">
        <f ca="1">IFERROR(__xludf.DUMMYFUNCTION("""COMPUTED_VALUE"""),0.65331)</f>
        <v>0.65330999999999995</v>
      </c>
      <c r="J1371" s="586" t="str">
        <f ca="1">IFERROR(__xludf.DUMMYFUNCTION("""COMPUTED_VALUE""")," 10.00 ")</f>
        <v xml:space="preserve"> 10.00 </v>
      </c>
      <c r="K1371" s="584" t="str">
        <f ca="1">IFERROR(__xludf.DUMMYFUNCTION("""COMPUTED_VALUE"""),"0.85")</f>
        <v>0.85</v>
      </c>
      <c r="L1371" s="584">
        <f ca="1">IFERROR(__xludf.DUMMYFUNCTION("""COMPUTED_VALUE"""),3)</f>
        <v>3</v>
      </c>
      <c r="M1371" s="584"/>
      <c r="N1371" s="584" t="str">
        <f ca="1">IFERROR(__xludf.DUMMYFUNCTION("""COMPUTED_VALUE"""),"Dị_D&lt;54")</f>
        <v>Dị_D&lt;54</v>
      </c>
      <c r="O1371" s="583"/>
      <c r="P1371" s="584"/>
    </row>
    <row r="1372" spans="1:16" ht="15.75">
      <c r="A1372" s="587" t="str">
        <f ca="1">IFERROR(__xludf.DUMMYFUNCTION("""COMPUTED_VALUE"""),"Taisei Việt Nam")</f>
        <v>Taisei Việt Nam</v>
      </c>
      <c r="B1372" s="587" t="str">
        <f ca="1">IFERROR(__xludf.DUMMYFUNCTION("""COMPUTED_VALUE"""),"ĐTSCAYDI")</f>
        <v>ĐTSCAYDI</v>
      </c>
      <c r="C1372" s="587" t="str">
        <f ca="1">IFERROR(__xludf.DUMMYFUNCTION("""COMPUTED_VALUE"""),"DOTTS115008530")</f>
        <v>DOTTS115008530</v>
      </c>
      <c r="D1372" s="588" t="str">
        <f ca="1">IFERROR(__xludf.DUMMYFUNCTION("""COMPUTED_VALUE"""),"Đồng ống thẳng Taisei 11.50x0.85x3.0")</f>
        <v>Đồng ống thẳng Taisei 11.50x0.85x3.0</v>
      </c>
      <c r="E1372" s="589">
        <f ca="1">IFERROR(__xludf.DUMMYFUNCTION("""COMPUTED_VALUE"""),0.1)</f>
        <v>0.1</v>
      </c>
      <c r="F1372" s="590" t="str">
        <f ca="1">IFERROR(__xludf.DUMMYFUNCTION("""COMPUTED_VALUE"""),"Cây")</f>
        <v>Cây</v>
      </c>
      <c r="G1372" s="590" t="str">
        <f ca="1">IFERROR(__xludf.DUMMYFUNCTION("""COMPUTED_VALUE"""),"Cây 3m")</f>
        <v>Cây 3m</v>
      </c>
      <c r="H1372" s="588"/>
      <c r="I1372" s="591">
        <f ca="1">IFERROR(__xludf.DUMMYFUNCTION("""COMPUTED_VALUE"""),0.76041)</f>
        <v>0.76041000000000003</v>
      </c>
      <c r="J1372" s="592" t="str">
        <f ca="1">IFERROR(__xludf.DUMMYFUNCTION("""COMPUTED_VALUE""")," 11.50 ")</f>
        <v xml:space="preserve"> 11.50 </v>
      </c>
      <c r="K1372" s="590" t="str">
        <f ca="1">IFERROR(__xludf.DUMMYFUNCTION("""COMPUTED_VALUE"""),"0.85")</f>
        <v>0.85</v>
      </c>
      <c r="L1372" s="590">
        <f ca="1">IFERROR(__xludf.DUMMYFUNCTION("""COMPUTED_VALUE"""),3)</f>
        <v>3</v>
      </c>
      <c r="M1372" s="590"/>
      <c r="N1372" s="590" t="str">
        <f ca="1">IFERROR(__xludf.DUMMYFUNCTION("""COMPUTED_VALUE"""),"Dị_D&lt;54")</f>
        <v>Dị_D&lt;54</v>
      </c>
      <c r="O1372" s="589"/>
      <c r="P1372" s="590"/>
    </row>
    <row r="1373" spans="1:16" ht="15.75">
      <c r="A1373" s="581" t="str">
        <f ca="1">IFERROR(__xludf.DUMMYFUNCTION("""COMPUTED_VALUE"""),"Taisei Việt Nam")</f>
        <v>Taisei Việt Nam</v>
      </c>
      <c r="B1373" s="581" t="str">
        <f ca="1">IFERROR(__xludf.DUMMYFUNCTION("""COMPUTED_VALUE"""),"ĐTSCAYDI")</f>
        <v>ĐTSCAYDI</v>
      </c>
      <c r="C1373" s="581" t="str">
        <f ca="1">IFERROR(__xludf.DUMMYFUNCTION("""COMPUTED_VALUE"""),"DOTTS120008130")</f>
        <v>DOTTS120008130</v>
      </c>
      <c r="D1373" s="582" t="str">
        <f ca="1">IFERROR(__xludf.DUMMYFUNCTION("""COMPUTED_VALUE"""),"Đồng ống thẳng Taisei 12.00x0.81x3.0")</f>
        <v>Đồng ống thẳng Taisei 12.00x0.81x3.0</v>
      </c>
      <c r="E1373" s="583">
        <f ca="1">IFERROR(__xludf.DUMMYFUNCTION("""COMPUTED_VALUE"""),0.1)</f>
        <v>0.1</v>
      </c>
      <c r="F1373" s="584" t="str">
        <f ca="1">IFERROR(__xludf.DUMMYFUNCTION("""COMPUTED_VALUE"""),"Cây")</f>
        <v>Cây</v>
      </c>
      <c r="G1373" s="584" t="str">
        <f ca="1">IFERROR(__xludf.DUMMYFUNCTION("""COMPUTED_VALUE"""),"Cây 3m")</f>
        <v>Cây 3m</v>
      </c>
      <c r="H1373" s="582"/>
      <c r="I1373" s="585">
        <f ca="1">IFERROR(__xludf.DUMMYFUNCTION("""COMPUTED_VALUE"""),0.7613676)</f>
        <v>0.76136760000000003</v>
      </c>
      <c r="J1373" s="586" t="str">
        <f ca="1">IFERROR(__xludf.DUMMYFUNCTION("""COMPUTED_VALUE""")," 12.00 ")</f>
        <v xml:space="preserve"> 12.00 </v>
      </c>
      <c r="K1373" s="584" t="str">
        <f ca="1">IFERROR(__xludf.DUMMYFUNCTION("""COMPUTED_VALUE"""),"0.81")</f>
        <v>0.81</v>
      </c>
      <c r="L1373" s="584">
        <f ca="1">IFERROR(__xludf.DUMMYFUNCTION("""COMPUTED_VALUE"""),3)</f>
        <v>3</v>
      </c>
      <c r="M1373" s="584"/>
      <c r="N1373" s="584" t="str">
        <f ca="1">IFERROR(__xludf.DUMMYFUNCTION("""COMPUTED_VALUE"""),"Dị_D&lt;54")</f>
        <v>Dị_D&lt;54</v>
      </c>
      <c r="O1373" s="583"/>
      <c r="P1373" s="584"/>
    </row>
    <row r="1374" spans="1:16" ht="15.75">
      <c r="A1374" s="587" t="str">
        <f ca="1">IFERROR(__xludf.DUMMYFUNCTION("""COMPUTED_VALUE"""),"Taisei Việt Nam")</f>
        <v>Taisei Việt Nam</v>
      </c>
      <c r="B1374" s="587" t="str">
        <f ca="1">IFERROR(__xludf.DUMMYFUNCTION("""COMPUTED_VALUE"""),"ĐTSCAYDI")</f>
        <v>ĐTSCAYDI</v>
      </c>
      <c r="C1374" s="587" t="str">
        <f ca="1">IFERROR(__xludf.DUMMYFUNCTION("""COMPUTED_VALUE"""),"DOTTS120008830")</f>
        <v>DOTTS120008830</v>
      </c>
      <c r="D1374" s="588" t="str">
        <f ca="1">IFERROR(__xludf.DUMMYFUNCTION("""COMPUTED_VALUE"""),"Đồng ống thẳng Taisei 12.00x0.88x3.0")</f>
        <v>Đồng ống thẳng Taisei 12.00x0.88x3.0</v>
      </c>
      <c r="E1374" s="589">
        <f ca="1">IFERROR(__xludf.DUMMYFUNCTION("""COMPUTED_VALUE"""),0.1)</f>
        <v>0.1</v>
      </c>
      <c r="F1374" s="590" t="str">
        <f ca="1">IFERROR(__xludf.DUMMYFUNCTION("""COMPUTED_VALUE"""),"Cây")</f>
        <v>Cây</v>
      </c>
      <c r="G1374" s="590" t="str">
        <f ca="1">IFERROR(__xludf.DUMMYFUNCTION("""COMPUTED_VALUE"""),"Cây 3m")</f>
        <v>Cây 3m</v>
      </c>
      <c r="H1374" s="588"/>
      <c r="I1374" s="591">
        <f ca="1">IFERROR(__xludf.DUMMYFUNCTION("""COMPUTED_VALUE"""),0.8219904)</f>
        <v>0.82199040000000001</v>
      </c>
      <c r="J1374" s="592" t="str">
        <f ca="1">IFERROR(__xludf.DUMMYFUNCTION("""COMPUTED_VALUE""")," 12.00 ")</f>
        <v xml:space="preserve"> 12.00 </v>
      </c>
      <c r="K1374" s="590" t="str">
        <f ca="1">IFERROR(__xludf.DUMMYFUNCTION("""COMPUTED_VALUE"""),"0.88")</f>
        <v>0.88</v>
      </c>
      <c r="L1374" s="590">
        <f ca="1">IFERROR(__xludf.DUMMYFUNCTION("""COMPUTED_VALUE"""),3)</f>
        <v>3</v>
      </c>
      <c r="M1374" s="590"/>
      <c r="N1374" s="590" t="str">
        <f ca="1">IFERROR(__xludf.DUMMYFUNCTION("""COMPUTED_VALUE"""),"Dị_D&lt;54")</f>
        <v>Dị_D&lt;54</v>
      </c>
      <c r="O1374" s="589"/>
      <c r="P1374" s="590"/>
    </row>
    <row r="1375" spans="1:16" ht="15.75">
      <c r="A1375" s="581" t="str">
        <f ca="1">IFERROR(__xludf.DUMMYFUNCTION("""COMPUTED_VALUE"""),"Taisei Việt Nam")</f>
        <v>Taisei Việt Nam</v>
      </c>
      <c r="B1375" s="581" t="str">
        <f ca="1">IFERROR(__xludf.DUMMYFUNCTION("""COMPUTED_VALUE"""),"ĐTSCAYDI")</f>
        <v>ĐTSCAYDI</v>
      </c>
      <c r="C1375" s="581" t="str">
        <f ca="1">IFERROR(__xludf.DUMMYFUNCTION("""COMPUTED_VALUE"""),"DOTTS120009030")</f>
        <v>DOTTS120009030</v>
      </c>
      <c r="D1375" s="582" t="str">
        <f ca="1">IFERROR(__xludf.DUMMYFUNCTION("""COMPUTED_VALUE"""),"Đồng ống thẳng Taisei 12.00x0.90x3.0")</f>
        <v>Đồng ống thẳng Taisei 12.00x0.90x3.0</v>
      </c>
      <c r="E1375" s="583">
        <f ca="1">IFERROR(__xludf.DUMMYFUNCTION("""COMPUTED_VALUE"""),0.1)</f>
        <v>0.1</v>
      </c>
      <c r="F1375" s="584" t="str">
        <f ca="1">IFERROR(__xludf.DUMMYFUNCTION("""COMPUTED_VALUE"""),"Cây")</f>
        <v>Cây</v>
      </c>
      <c r="G1375" s="584" t="str">
        <f ca="1">IFERROR(__xludf.DUMMYFUNCTION("""COMPUTED_VALUE"""),"Cây 3m")</f>
        <v>Cây 3m</v>
      </c>
      <c r="H1375" s="582"/>
      <c r="I1375" s="585">
        <f ca="1">IFERROR(__xludf.DUMMYFUNCTION("""COMPUTED_VALUE"""),0.83916)</f>
        <v>0.83916000000000002</v>
      </c>
      <c r="J1375" s="586" t="str">
        <f ca="1">IFERROR(__xludf.DUMMYFUNCTION("""COMPUTED_VALUE""")," 12.00 ")</f>
        <v xml:space="preserve"> 12.00 </v>
      </c>
      <c r="K1375" s="584" t="str">
        <f ca="1">IFERROR(__xludf.DUMMYFUNCTION("""COMPUTED_VALUE"""),"0.90")</f>
        <v>0.90</v>
      </c>
      <c r="L1375" s="584">
        <f ca="1">IFERROR(__xludf.DUMMYFUNCTION("""COMPUTED_VALUE"""),3)</f>
        <v>3</v>
      </c>
      <c r="M1375" s="584"/>
      <c r="N1375" s="584" t="str">
        <f ca="1">IFERROR(__xludf.DUMMYFUNCTION("""COMPUTED_VALUE"""),"Dị_D&lt;54")</f>
        <v>Dị_D&lt;54</v>
      </c>
      <c r="O1375" s="583"/>
      <c r="P1375" s="584"/>
    </row>
    <row r="1376" spans="1:16" ht="15.75">
      <c r="A1376" s="587" t="str">
        <f ca="1">IFERROR(__xludf.DUMMYFUNCTION("""COMPUTED_VALUE"""),"Taisei Việt Nam")</f>
        <v>Taisei Việt Nam</v>
      </c>
      <c r="B1376" s="587" t="str">
        <f ca="1">IFERROR(__xludf.DUMMYFUNCTION("""COMPUTED_VALUE"""),"ĐTSCAYDI")</f>
        <v>ĐTSCAYDI</v>
      </c>
      <c r="C1376" s="587" t="str">
        <f ca="1">IFERROR(__xludf.DUMMYFUNCTION("""COMPUTED_VALUE"""),"DOTTS120009530")</f>
        <v>DOTTS120009530</v>
      </c>
      <c r="D1376" s="588" t="str">
        <f ca="1">IFERROR(__xludf.DUMMYFUNCTION("""COMPUTED_VALUE"""),"Đồng ống thẳng Taisei 12.00x0.95x3.0")</f>
        <v>Đồng ống thẳng Taisei 12.00x0.95x3.0</v>
      </c>
      <c r="E1376" s="589">
        <f ca="1">IFERROR(__xludf.DUMMYFUNCTION("""COMPUTED_VALUE"""),0.1)</f>
        <v>0.1</v>
      </c>
      <c r="F1376" s="590" t="str">
        <f ca="1">IFERROR(__xludf.DUMMYFUNCTION("""COMPUTED_VALUE"""),"Cây")</f>
        <v>Cây</v>
      </c>
      <c r="G1376" s="590" t="str">
        <f ca="1">IFERROR(__xludf.DUMMYFUNCTION("""COMPUTED_VALUE"""),"Cây 3m")</f>
        <v>Cây 3m</v>
      </c>
      <c r="H1376" s="588"/>
      <c r="I1376" s="591">
        <f ca="1">IFERROR(__xludf.DUMMYFUNCTION("""COMPUTED_VALUE"""),0.88179)</f>
        <v>0.88178999999999996</v>
      </c>
      <c r="J1376" s="592" t="str">
        <f ca="1">IFERROR(__xludf.DUMMYFUNCTION("""COMPUTED_VALUE""")," 12.00 ")</f>
        <v xml:space="preserve"> 12.00 </v>
      </c>
      <c r="K1376" s="590" t="str">
        <f ca="1">IFERROR(__xludf.DUMMYFUNCTION("""COMPUTED_VALUE"""),"0.95")</f>
        <v>0.95</v>
      </c>
      <c r="L1376" s="590">
        <f ca="1">IFERROR(__xludf.DUMMYFUNCTION("""COMPUTED_VALUE"""),3)</f>
        <v>3</v>
      </c>
      <c r="M1376" s="590"/>
      <c r="N1376" s="590" t="str">
        <f ca="1">IFERROR(__xludf.DUMMYFUNCTION("""COMPUTED_VALUE"""),"Dị_D&lt;54")</f>
        <v>Dị_D&lt;54</v>
      </c>
      <c r="O1376" s="589"/>
      <c r="P1376" s="590"/>
    </row>
    <row r="1377" spans="1:16" ht="15.75">
      <c r="A1377" s="581" t="str">
        <f ca="1">IFERROR(__xludf.DUMMYFUNCTION("""COMPUTED_VALUE"""),"Taisei Việt Nam")</f>
        <v>Taisei Việt Nam</v>
      </c>
      <c r="B1377" s="581" t="str">
        <f ca="1">IFERROR(__xludf.DUMMYFUNCTION("""COMPUTED_VALUE"""),"ĐTSCAYDI")</f>
        <v>ĐTSCAYDI</v>
      </c>
      <c r="C1377" s="581" t="str">
        <f ca="1">IFERROR(__xludf.DUMMYFUNCTION("""COMPUTED_VALUE"""),"DOTTS120009130")</f>
        <v>DOTTS120009130</v>
      </c>
      <c r="D1377" s="582" t="str">
        <f ca="1">IFERROR(__xludf.DUMMYFUNCTION("""COMPUTED_VALUE"""),"Đồng ống thẳng Taisei 12.00x0.91x3.0")</f>
        <v>Đồng ống thẳng Taisei 12.00x0.91x3.0</v>
      </c>
      <c r="E1377" s="583">
        <f ca="1">IFERROR(__xludf.DUMMYFUNCTION("""COMPUTED_VALUE"""),0.1)</f>
        <v>0.1</v>
      </c>
      <c r="F1377" s="584" t="str">
        <f ca="1">IFERROR(__xludf.DUMMYFUNCTION("""COMPUTED_VALUE"""),"Cây")</f>
        <v>Cây</v>
      </c>
      <c r="G1377" s="584" t="str">
        <f ca="1">IFERROR(__xludf.DUMMYFUNCTION("""COMPUTED_VALUE"""),"Cây 3m")</f>
        <v>Cây 3m</v>
      </c>
      <c r="H1377" s="582"/>
      <c r="I1377" s="585">
        <f ca="1">IFERROR(__xludf.DUMMYFUNCTION("""COMPUTED_VALUE"""),0.8477196)</f>
        <v>0.84771960000000002</v>
      </c>
      <c r="J1377" s="586" t="str">
        <f ca="1">IFERROR(__xludf.DUMMYFUNCTION("""COMPUTED_VALUE""")," 12.00 ")</f>
        <v xml:space="preserve"> 12.00 </v>
      </c>
      <c r="K1377" s="584" t="str">
        <f ca="1">IFERROR(__xludf.DUMMYFUNCTION("""COMPUTED_VALUE"""),"0.91")</f>
        <v>0.91</v>
      </c>
      <c r="L1377" s="584">
        <f ca="1">IFERROR(__xludf.DUMMYFUNCTION("""COMPUTED_VALUE"""),3)</f>
        <v>3</v>
      </c>
      <c r="M1377" s="584"/>
      <c r="N1377" s="584" t="str">
        <f ca="1">IFERROR(__xludf.DUMMYFUNCTION("""COMPUTED_VALUE"""),"Dị_D&lt;54")</f>
        <v>Dị_D&lt;54</v>
      </c>
      <c r="O1377" s="583"/>
      <c r="P1377" s="584"/>
    </row>
    <row r="1378" spans="1:16" ht="15.75">
      <c r="A1378" s="587" t="str">
        <f ca="1">IFERROR(__xludf.DUMMYFUNCTION("""COMPUTED_VALUE"""),"Taisei Việt Nam")</f>
        <v>Taisei Việt Nam</v>
      </c>
      <c r="B1378" s="587" t="str">
        <f ca="1">IFERROR(__xludf.DUMMYFUNCTION("""COMPUTED_VALUE"""),"ĐTSCAYDI")</f>
        <v>ĐTSCAYDI</v>
      </c>
      <c r="C1378" s="587" t="str">
        <f ca="1">IFERROR(__xludf.DUMMYFUNCTION("""COMPUTED_VALUE"""),"DOTTS120010030")</f>
        <v>DOTTS120010030</v>
      </c>
      <c r="D1378" s="588" t="str">
        <f ca="1">IFERROR(__xludf.DUMMYFUNCTION("""COMPUTED_VALUE"""),"Đồng ống thẳng Taisei 12.00x1.00x3.0")</f>
        <v>Đồng ống thẳng Taisei 12.00x1.00x3.0</v>
      </c>
      <c r="E1378" s="589">
        <f ca="1">IFERROR(__xludf.DUMMYFUNCTION("""COMPUTED_VALUE"""),0.1)</f>
        <v>0.1</v>
      </c>
      <c r="F1378" s="590" t="str">
        <f ca="1">IFERROR(__xludf.DUMMYFUNCTION("""COMPUTED_VALUE"""),"Cây")</f>
        <v>Cây</v>
      </c>
      <c r="G1378" s="590" t="str">
        <f ca="1">IFERROR(__xludf.DUMMYFUNCTION("""COMPUTED_VALUE"""),"Cây 3m")</f>
        <v>Cây 3m</v>
      </c>
      <c r="H1378" s="588"/>
      <c r="I1378" s="591">
        <f ca="1">IFERROR(__xludf.DUMMYFUNCTION("""COMPUTED_VALUE"""),0.923999999999999)</f>
        <v>0.92399999999999904</v>
      </c>
      <c r="J1378" s="592" t="str">
        <f ca="1">IFERROR(__xludf.DUMMYFUNCTION("""COMPUTED_VALUE""")," 12.00 ")</f>
        <v xml:space="preserve"> 12.00 </v>
      </c>
      <c r="K1378" s="590" t="str">
        <f ca="1">IFERROR(__xludf.DUMMYFUNCTION("""COMPUTED_VALUE"""),"1.00")</f>
        <v>1.00</v>
      </c>
      <c r="L1378" s="590">
        <f ca="1">IFERROR(__xludf.DUMMYFUNCTION("""COMPUTED_VALUE"""),3)</f>
        <v>3</v>
      </c>
      <c r="M1378" s="590"/>
      <c r="N1378" s="590" t="str">
        <f ca="1">IFERROR(__xludf.DUMMYFUNCTION("""COMPUTED_VALUE"""),"Dị_D&lt;54")</f>
        <v>Dị_D&lt;54</v>
      </c>
      <c r="O1378" s="589"/>
      <c r="P1378" s="590"/>
    </row>
    <row r="1379" spans="1:16" ht="15.75">
      <c r="A1379" s="581" t="str">
        <f ca="1">IFERROR(__xludf.DUMMYFUNCTION("""COMPUTED_VALUE"""),"Taisei Việt Nam")</f>
        <v>Taisei Việt Nam</v>
      </c>
      <c r="B1379" s="581" t="str">
        <f ca="1">IFERROR(__xludf.DUMMYFUNCTION("""COMPUTED_VALUE"""),"ĐTSCAYDI")</f>
        <v>ĐTSCAYDI</v>
      </c>
      <c r="C1379" s="581" t="str">
        <f ca="1">IFERROR(__xludf.DUMMYFUNCTION("""COMPUTED_VALUE"""),"DOTTS125013030")</f>
        <v>DOTTS125013030</v>
      </c>
      <c r="D1379" s="582" t="str">
        <f ca="1">IFERROR(__xludf.DUMMYFUNCTION("""COMPUTED_VALUE"""),"Đồng ống thẳng Taisei 12.50x1.30x3.0")</f>
        <v>Đồng ống thẳng Taisei 12.50x1.30x3.0</v>
      </c>
      <c r="E1379" s="583">
        <f ca="1">IFERROR(__xludf.DUMMYFUNCTION("""COMPUTED_VALUE"""),0.1)</f>
        <v>0.1</v>
      </c>
      <c r="F1379" s="584" t="str">
        <f ca="1">IFERROR(__xludf.DUMMYFUNCTION("""COMPUTED_VALUE"""),"Cây")</f>
        <v>Cây</v>
      </c>
      <c r="G1379" s="584" t="str">
        <f ca="1">IFERROR(__xludf.DUMMYFUNCTION("""COMPUTED_VALUE"""),"Cây 3m")</f>
        <v>Cây 3m</v>
      </c>
      <c r="H1379" s="582"/>
      <c r="I1379" s="585">
        <f ca="1">IFERROR(__xludf.DUMMYFUNCTION("""COMPUTED_VALUE"""),1.22304)</f>
        <v>1.2230399999999999</v>
      </c>
      <c r="J1379" s="586" t="str">
        <f ca="1">IFERROR(__xludf.DUMMYFUNCTION("""COMPUTED_VALUE""")," 12.50 ")</f>
        <v xml:space="preserve"> 12.50 </v>
      </c>
      <c r="K1379" s="584" t="str">
        <f ca="1">IFERROR(__xludf.DUMMYFUNCTION("""COMPUTED_VALUE"""),"1.30")</f>
        <v>1.30</v>
      </c>
      <c r="L1379" s="584">
        <f ca="1">IFERROR(__xludf.DUMMYFUNCTION("""COMPUTED_VALUE"""),3)</f>
        <v>3</v>
      </c>
      <c r="M1379" s="584"/>
      <c r="N1379" s="584" t="str">
        <f ca="1">IFERROR(__xludf.DUMMYFUNCTION("""COMPUTED_VALUE"""),"Dị_D&lt;54")</f>
        <v>Dị_D&lt;54</v>
      </c>
      <c r="O1379" s="583"/>
      <c r="P1379" s="584"/>
    </row>
    <row r="1380" spans="1:16" ht="15.75">
      <c r="A1380" s="587" t="str">
        <f ca="1">IFERROR(__xludf.DUMMYFUNCTION("""COMPUTED_VALUE"""),"Taisei Việt Nam")</f>
        <v>Taisei Việt Nam</v>
      </c>
      <c r="B1380" s="587" t="str">
        <f ca="1">IFERROR(__xludf.DUMMYFUNCTION("""COMPUTED_VALUE"""),"ĐTSCAYDI")</f>
        <v>ĐTSCAYDI</v>
      </c>
      <c r="C1380" s="587" t="str">
        <f ca="1">IFERROR(__xludf.DUMMYFUNCTION("""COMPUTED_VALUE"""),"DOTTS127005158")</f>
        <v>DOTTS127005158</v>
      </c>
      <c r="D1380" s="588" t="str">
        <f ca="1">IFERROR(__xludf.DUMMYFUNCTION("""COMPUTED_VALUE"""),"Đồng ống thẳng Taisei 12.70x0.51x5.8")</f>
        <v>Đồng ống thẳng Taisei 12.70x0.51x5.8</v>
      </c>
      <c r="E1380" s="589">
        <f ca="1">IFERROR(__xludf.DUMMYFUNCTION("""COMPUTED_VALUE"""),0.1)</f>
        <v>0.1</v>
      </c>
      <c r="F1380" s="590" t="str">
        <f ca="1">IFERROR(__xludf.DUMMYFUNCTION("""COMPUTED_VALUE"""),"Cây")</f>
        <v>Cây</v>
      </c>
      <c r="G1380" s="590" t="str">
        <f ca="1">IFERROR(__xludf.DUMMYFUNCTION("""COMPUTED_VALUE"""),"Cây 5.8m")</f>
        <v>Cây 5.8m</v>
      </c>
      <c r="H1380" s="588" t="str">
        <f ca="1">IFERROR(__xludf.DUMMYFUNCTION("""COMPUTED_VALUE"""),"60")</f>
        <v>60</v>
      </c>
      <c r="I1380" s="591">
        <f ca="1">IFERROR(__xludf.DUMMYFUNCTION("""COMPUTED_VALUE"""),1.00962456)</f>
        <v>1.00962456</v>
      </c>
      <c r="J1380" s="592" t="str">
        <f ca="1">IFERROR(__xludf.DUMMYFUNCTION("""COMPUTED_VALUE""")," 12.70 ")</f>
        <v xml:space="preserve"> 12.70 </v>
      </c>
      <c r="K1380" s="590" t="str">
        <f ca="1">IFERROR(__xludf.DUMMYFUNCTION("""COMPUTED_VALUE"""),"0.51")</f>
        <v>0.51</v>
      </c>
      <c r="L1380" s="590">
        <f ca="1">IFERROR(__xludf.DUMMYFUNCTION("""COMPUTED_VALUE"""),5.8)</f>
        <v>5.8</v>
      </c>
      <c r="M1380" s="590"/>
      <c r="N1380" s="590" t="str">
        <f ca="1">IFERROR(__xludf.DUMMYFUNCTION("""COMPUTED_VALUE"""),"Dị_D&lt;54")</f>
        <v>Dị_D&lt;54</v>
      </c>
      <c r="O1380" s="589"/>
      <c r="P1380" s="590"/>
    </row>
    <row r="1381" spans="1:16" ht="15.75">
      <c r="A1381" s="581" t="str">
        <f ca="1">IFERROR(__xludf.DUMMYFUNCTION("""COMPUTED_VALUE"""),"Taisei Việt Nam")</f>
        <v>Taisei Việt Nam</v>
      </c>
      <c r="B1381" s="581" t="str">
        <f ca="1">IFERROR(__xludf.DUMMYFUNCTION("""COMPUTED_VALUE"""),"ĐTSCAYDI")</f>
        <v>ĐTSCAYDI</v>
      </c>
      <c r="C1381" s="581" t="str">
        <f ca="1">IFERROR(__xludf.DUMMYFUNCTION("""COMPUTED_VALUE"""),"DOTTS135010530")</f>
        <v>DOTTS135010530</v>
      </c>
      <c r="D1381" s="582" t="str">
        <f ca="1">IFERROR(__xludf.DUMMYFUNCTION("""COMPUTED_VALUE"""),"Đồng ống thẳng Taisei 13.50x1.05x3.0")</f>
        <v>Đồng ống thẳng Taisei 13.50x1.05x3.0</v>
      </c>
      <c r="E1381" s="583">
        <f ca="1">IFERROR(__xludf.DUMMYFUNCTION("""COMPUTED_VALUE"""),0.1)</f>
        <v>0.1</v>
      </c>
      <c r="F1381" s="584" t="str">
        <f ca="1">IFERROR(__xludf.DUMMYFUNCTION("""COMPUTED_VALUE"""),"Cây")</f>
        <v>Cây</v>
      </c>
      <c r="G1381" s="584" t="str">
        <f ca="1">IFERROR(__xludf.DUMMYFUNCTION("""COMPUTED_VALUE"""),"Cây 3m")</f>
        <v>Cây 3m</v>
      </c>
      <c r="H1381" s="582"/>
      <c r="I1381" s="585">
        <f ca="1">IFERROR(__xludf.DUMMYFUNCTION("""COMPUTED_VALUE"""),1.09809)</f>
        <v>1.09809</v>
      </c>
      <c r="J1381" s="586" t="str">
        <f ca="1">IFERROR(__xludf.DUMMYFUNCTION("""COMPUTED_VALUE""")," 13.50 ")</f>
        <v xml:space="preserve"> 13.50 </v>
      </c>
      <c r="K1381" s="584" t="str">
        <f ca="1">IFERROR(__xludf.DUMMYFUNCTION("""COMPUTED_VALUE"""),"1.05")</f>
        <v>1.05</v>
      </c>
      <c r="L1381" s="584">
        <f ca="1">IFERROR(__xludf.DUMMYFUNCTION("""COMPUTED_VALUE"""),3)</f>
        <v>3</v>
      </c>
      <c r="M1381" s="584"/>
      <c r="N1381" s="584" t="str">
        <f ca="1">IFERROR(__xludf.DUMMYFUNCTION("""COMPUTED_VALUE"""),"Dị_D&lt;54")</f>
        <v>Dị_D&lt;54</v>
      </c>
      <c r="O1381" s="583"/>
      <c r="P1381" s="584"/>
    </row>
    <row r="1382" spans="1:16" ht="15.75">
      <c r="A1382" s="587" t="str">
        <f ca="1">IFERROR(__xludf.DUMMYFUNCTION("""COMPUTED_VALUE"""),"Taisei Việt Nam")</f>
        <v>Taisei Việt Nam</v>
      </c>
      <c r="B1382" s="587" t="str">
        <f ca="1">IFERROR(__xludf.DUMMYFUNCTION("""COMPUTED_VALUE"""),"ĐTSCAYDI")</f>
        <v>ĐTSCAYDI</v>
      </c>
      <c r="C1382" s="587" t="str">
        <f ca="1">IFERROR(__xludf.DUMMYFUNCTION("""COMPUTED_VALUE"""),"DOTTS140011030")</f>
        <v>DOTTS140011030</v>
      </c>
      <c r="D1382" s="588" t="str">
        <f ca="1">IFERROR(__xludf.DUMMYFUNCTION("""COMPUTED_VALUE"""),"Đồng ống thẳng Taisei 14.00x1.10x3.0")</f>
        <v>Đồng ống thẳng Taisei 14.00x1.10x3.0</v>
      </c>
      <c r="E1382" s="589">
        <f ca="1">IFERROR(__xludf.DUMMYFUNCTION("""COMPUTED_VALUE"""),0.1)</f>
        <v>0.1</v>
      </c>
      <c r="F1382" s="590" t="str">
        <f ca="1">IFERROR(__xludf.DUMMYFUNCTION("""COMPUTED_VALUE"""),"Cây")</f>
        <v>Cây</v>
      </c>
      <c r="G1382" s="590" t="str">
        <f ca="1">IFERROR(__xludf.DUMMYFUNCTION("""COMPUTED_VALUE"""),"Cây 3m")</f>
        <v>Cây 3m</v>
      </c>
      <c r="H1382" s="588"/>
      <c r="I1382" s="591">
        <f ca="1">IFERROR(__xludf.DUMMYFUNCTION("""COMPUTED_VALUE"""),1.19196)</f>
        <v>1.1919599999999999</v>
      </c>
      <c r="J1382" s="592" t="str">
        <f ca="1">IFERROR(__xludf.DUMMYFUNCTION("""COMPUTED_VALUE""")," 14.00 ")</f>
        <v xml:space="preserve"> 14.00 </v>
      </c>
      <c r="K1382" s="590" t="str">
        <f ca="1">IFERROR(__xludf.DUMMYFUNCTION("""COMPUTED_VALUE"""),"1.10")</f>
        <v>1.10</v>
      </c>
      <c r="L1382" s="590">
        <f ca="1">IFERROR(__xludf.DUMMYFUNCTION("""COMPUTED_VALUE"""),3)</f>
        <v>3</v>
      </c>
      <c r="M1382" s="590"/>
      <c r="N1382" s="590" t="str">
        <f ca="1">IFERROR(__xludf.DUMMYFUNCTION("""COMPUTED_VALUE"""),"Dị_D&lt;54")</f>
        <v>Dị_D&lt;54</v>
      </c>
      <c r="O1382" s="589"/>
      <c r="P1382" s="590"/>
    </row>
    <row r="1383" spans="1:16" ht="15.75">
      <c r="A1383" s="581" t="str">
        <f ca="1">IFERROR(__xludf.DUMMYFUNCTION("""COMPUTED_VALUE"""),"Taisei Việt Nam")</f>
        <v>Taisei Việt Nam</v>
      </c>
      <c r="B1383" s="581" t="str">
        <f ca="1">IFERROR(__xludf.DUMMYFUNCTION("""COMPUTED_VALUE"""),"ĐTSCAYDI")</f>
        <v>ĐTSCAYDI</v>
      </c>
      <c r="C1383" s="581" t="str">
        <f ca="1">IFERROR(__xludf.DUMMYFUNCTION("""COMPUTED_VALUE"""),"DOTTS140011530")</f>
        <v>DOTTS140011530</v>
      </c>
      <c r="D1383" s="582" t="str">
        <f ca="1">IFERROR(__xludf.DUMMYFUNCTION("""COMPUTED_VALUE"""),"Đồng ống thẳng Taisei 14.00x1.15x3.0")</f>
        <v>Đồng ống thẳng Taisei 14.00x1.15x3.0</v>
      </c>
      <c r="E1383" s="583">
        <f ca="1">IFERROR(__xludf.DUMMYFUNCTION("""COMPUTED_VALUE"""),0.1)</f>
        <v>0.1</v>
      </c>
      <c r="F1383" s="584" t="str">
        <f ca="1">IFERROR(__xludf.DUMMYFUNCTION("""COMPUTED_VALUE"""),"Cây")</f>
        <v>Cây</v>
      </c>
      <c r="G1383" s="584" t="str">
        <f ca="1">IFERROR(__xludf.DUMMYFUNCTION("""COMPUTED_VALUE"""),"Cây 3m")</f>
        <v>Cây 3m</v>
      </c>
      <c r="H1383" s="582"/>
      <c r="I1383" s="585">
        <f ca="1">IFERROR(__xludf.DUMMYFUNCTION("""COMPUTED_VALUE"""),1.24131)</f>
        <v>1.2413099999999999</v>
      </c>
      <c r="J1383" s="586" t="str">
        <f ca="1">IFERROR(__xludf.DUMMYFUNCTION("""COMPUTED_VALUE""")," 14.00 ")</f>
        <v xml:space="preserve"> 14.00 </v>
      </c>
      <c r="K1383" s="584" t="str">
        <f ca="1">IFERROR(__xludf.DUMMYFUNCTION("""COMPUTED_VALUE"""),"1.15")</f>
        <v>1.15</v>
      </c>
      <c r="L1383" s="584">
        <f ca="1">IFERROR(__xludf.DUMMYFUNCTION("""COMPUTED_VALUE"""),3)</f>
        <v>3</v>
      </c>
      <c r="M1383" s="584"/>
      <c r="N1383" s="584" t="str">
        <f ca="1">IFERROR(__xludf.DUMMYFUNCTION("""COMPUTED_VALUE"""),"Dị_D&lt;54")</f>
        <v>Dị_D&lt;54</v>
      </c>
      <c r="O1383" s="583"/>
      <c r="P1383" s="584"/>
    </row>
    <row r="1384" spans="1:16" ht="15.75">
      <c r="A1384" s="587" t="str">
        <f ca="1">IFERROR(__xludf.DUMMYFUNCTION("""COMPUTED_VALUE"""),"Taisei Việt Nam")</f>
        <v>Taisei Việt Nam</v>
      </c>
      <c r="B1384" s="587" t="str">
        <f ca="1">IFERROR(__xludf.DUMMYFUNCTION("""COMPUTED_VALUE"""),"ĐTSCAYDI")</f>
        <v>ĐTSCAYDI</v>
      </c>
      <c r="C1384" s="587" t="str">
        <f ca="1">IFERROR(__xludf.DUMMYFUNCTION("""COMPUTED_VALUE"""),"DOTTS145015030")</f>
        <v>DOTTS145015030</v>
      </c>
      <c r="D1384" s="588" t="str">
        <f ca="1">IFERROR(__xludf.DUMMYFUNCTION("""COMPUTED_VALUE"""),"Đồng ống thẳng Taisei 14.50x1.50x3.0")</f>
        <v>Đồng ống thẳng Taisei 14.50x1.50x3.0</v>
      </c>
      <c r="E1384" s="589">
        <f ca="1">IFERROR(__xludf.DUMMYFUNCTION("""COMPUTED_VALUE"""),0.1)</f>
        <v>0.1</v>
      </c>
      <c r="F1384" s="590" t="str">
        <f ca="1">IFERROR(__xludf.DUMMYFUNCTION("""COMPUTED_VALUE"""),"Cây")</f>
        <v>Cây</v>
      </c>
      <c r="G1384" s="590" t="str">
        <f ca="1">IFERROR(__xludf.DUMMYFUNCTION("""COMPUTED_VALUE"""),"Cây 3m")</f>
        <v>Cây 3m</v>
      </c>
      <c r="H1384" s="588"/>
      <c r="I1384" s="591">
        <f ca="1">IFERROR(__xludf.DUMMYFUNCTION("""COMPUTED_VALUE"""),1.638)</f>
        <v>1.6379999999999999</v>
      </c>
      <c r="J1384" s="592" t="str">
        <f ca="1">IFERROR(__xludf.DUMMYFUNCTION("""COMPUTED_VALUE""")," 14.50 ")</f>
        <v xml:space="preserve"> 14.50 </v>
      </c>
      <c r="K1384" s="590" t="str">
        <f ca="1">IFERROR(__xludf.DUMMYFUNCTION("""COMPUTED_VALUE"""),"1.50")</f>
        <v>1.50</v>
      </c>
      <c r="L1384" s="590">
        <f ca="1">IFERROR(__xludf.DUMMYFUNCTION("""COMPUTED_VALUE"""),3)</f>
        <v>3</v>
      </c>
      <c r="M1384" s="590"/>
      <c r="N1384" s="590" t="str">
        <f ca="1">IFERROR(__xludf.DUMMYFUNCTION("""COMPUTED_VALUE"""),"Dị_D&lt;54")</f>
        <v>Dị_D&lt;54</v>
      </c>
      <c r="O1384" s="589"/>
      <c r="P1384" s="590"/>
    </row>
    <row r="1385" spans="1:16" ht="15.75">
      <c r="A1385" s="581" t="str">
        <f ca="1">IFERROR(__xludf.DUMMYFUNCTION("""COMPUTED_VALUE"""),"Taisei Việt Nam")</f>
        <v>Taisei Việt Nam</v>
      </c>
      <c r="B1385" s="581" t="str">
        <f ca="1">IFERROR(__xludf.DUMMYFUNCTION("""COMPUTED_VALUE"""),"ĐTSCAYDI")</f>
        <v>ĐTSCAYDI</v>
      </c>
      <c r="C1385" s="581" t="str">
        <f ca="1">IFERROR(__xludf.DUMMYFUNCTION("""COMPUTED_VALUE"""),"DOTTS155012030")</f>
        <v>DOTTS155012030</v>
      </c>
      <c r="D1385" s="582" t="str">
        <f ca="1">IFERROR(__xludf.DUMMYFUNCTION("""COMPUTED_VALUE"""),"Đồng ống thẳng taisei  15.50x1.20x3.0")</f>
        <v>Đồng ống thẳng taisei  15.50x1.20x3.0</v>
      </c>
      <c r="E1385" s="583">
        <f ca="1">IFERROR(__xludf.DUMMYFUNCTION("""COMPUTED_VALUE"""),0.1)</f>
        <v>0.1</v>
      </c>
      <c r="F1385" s="584" t="str">
        <f ca="1">IFERROR(__xludf.DUMMYFUNCTION("""COMPUTED_VALUE"""),"Cây")</f>
        <v>Cây</v>
      </c>
      <c r="G1385" s="584" t="str">
        <f ca="1">IFERROR(__xludf.DUMMYFUNCTION("""COMPUTED_VALUE"""),"Cây 3m")</f>
        <v>Cây 3m</v>
      </c>
      <c r="H1385" s="582"/>
      <c r="I1385" s="585">
        <f ca="1">IFERROR(__xludf.DUMMYFUNCTION("""COMPUTED_VALUE"""),1.44144)</f>
        <v>1.4414400000000001</v>
      </c>
      <c r="J1385" s="586" t="str">
        <f ca="1">IFERROR(__xludf.DUMMYFUNCTION("""COMPUTED_VALUE""")," 15.50 ")</f>
        <v xml:space="preserve"> 15.50 </v>
      </c>
      <c r="K1385" s="584" t="str">
        <f ca="1">IFERROR(__xludf.DUMMYFUNCTION("""COMPUTED_VALUE"""),"1.20")</f>
        <v>1.20</v>
      </c>
      <c r="L1385" s="584">
        <f ca="1">IFERROR(__xludf.DUMMYFUNCTION("""COMPUTED_VALUE"""),3)</f>
        <v>3</v>
      </c>
      <c r="M1385" s="584"/>
      <c r="N1385" s="584" t="str">
        <f ca="1">IFERROR(__xludf.DUMMYFUNCTION("""COMPUTED_VALUE"""),"Dị_D&lt;54")</f>
        <v>Dị_D&lt;54</v>
      </c>
      <c r="O1385" s="583"/>
      <c r="P1385" s="584"/>
    </row>
    <row r="1386" spans="1:16" ht="15.75">
      <c r="A1386" s="587" t="str">
        <f ca="1">IFERROR(__xludf.DUMMYFUNCTION("""COMPUTED_VALUE"""),"Taisei Việt Nam")</f>
        <v>Taisei Việt Nam</v>
      </c>
      <c r="B1386" s="587" t="str">
        <f ca="1">IFERROR(__xludf.DUMMYFUNCTION("""COMPUTED_VALUE"""),"ĐTSCAYDI")</f>
        <v>ĐTSCAYDI</v>
      </c>
      <c r="C1386" s="587" t="str">
        <f ca="1">IFERROR(__xludf.DUMMYFUNCTION("""COMPUTED_VALUE"""),"DOTTS158805158")</f>
        <v>DOTTS158805158</v>
      </c>
      <c r="D1386" s="588" t="str">
        <f ca="1">IFERROR(__xludf.DUMMYFUNCTION("""COMPUTED_VALUE"""),"Đồng ống thẳng Taisei 15.88x0.51x5.8")</f>
        <v>Đồng ống thẳng Taisei 15.88x0.51x5.8</v>
      </c>
      <c r="E1386" s="589">
        <f ca="1">IFERROR(__xludf.DUMMYFUNCTION("""COMPUTED_VALUE"""),0.1)</f>
        <v>0.1</v>
      </c>
      <c r="F1386" s="590" t="str">
        <f ca="1">IFERROR(__xludf.DUMMYFUNCTION("""COMPUTED_VALUE"""),"Cây")</f>
        <v>Cây</v>
      </c>
      <c r="G1386" s="590" t="str">
        <f ca="1">IFERROR(__xludf.DUMMYFUNCTION("""COMPUTED_VALUE"""),"Cây 5.8m")</f>
        <v>Cây 5.8m</v>
      </c>
      <c r="H1386" s="588"/>
      <c r="I1386" s="591">
        <f ca="1">IFERROR(__xludf.DUMMYFUNCTION("""COMPUTED_VALUE"""),1.27300488)</f>
        <v>1.27300488</v>
      </c>
      <c r="J1386" s="592" t="str">
        <f ca="1">IFERROR(__xludf.DUMMYFUNCTION("""COMPUTED_VALUE""")," 15.88 ")</f>
        <v xml:space="preserve"> 15.88 </v>
      </c>
      <c r="K1386" s="590" t="str">
        <f ca="1">IFERROR(__xludf.DUMMYFUNCTION("""COMPUTED_VALUE"""),"0.51")</f>
        <v>0.51</v>
      </c>
      <c r="L1386" s="590">
        <f ca="1">IFERROR(__xludf.DUMMYFUNCTION("""COMPUTED_VALUE"""),5.8)</f>
        <v>5.8</v>
      </c>
      <c r="M1386" s="590"/>
      <c r="N1386" s="590" t="str">
        <f ca="1">IFERROR(__xludf.DUMMYFUNCTION("""COMPUTED_VALUE"""),"Dị_D&lt;54")</f>
        <v>Dị_D&lt;54</v>
      </c>
      <c r="O1386" s="589"/>
      <c r="P1386" s="590"/>
    </row>
    <row r="1387" spans="1:16" ht="15.75">
      <c r="A1387" s="581" t="str">
        <f ca="1">IFERROR(__xludf.DUMMYFUNCTION("""COMPUTED_VALUE"""),"Taisei Việt Nam")</f>
        <v>Taisei Việt Nam</v>
      </c>
      <c r="B1387" s="581" t="str">
        <f ca="1">IFERROR(__xludf.DUMMYFUNCTION("""COMPUTED_VALUE"""),"ĐTSCAYDI")</f>
        <v>ĐTSCAYDI</v>
      </c>
      <c r="C1387" s="581" t="str">
        <f ca="1">IFERROR(__xludf.DUMMYFUNCTION("""COMPUTED_VALUE"""),"DOTTS160012030")</f>
        <v>DOTTS160012030</v>
      </c>
      <c r="D1387" s="582" t="str">
        <f ca="1">IFERROR(__xludf.DUMMYFUNCTION("""COMPUTED_VALUE"""),"Đồng ống thẳng Taisei 16.00x1.20x3.0")</f>
        <v>Đồng ống thẳng Taisei 16.00x1.20x3.0</v>
      </c>
      <c r="E1387" s="583">
        <f ca="1">IFERROR(__xludf.DUMMYFUNCTION("""COMPUTED_VALUE"""),0.1)</f>
        <v>0.1</v>
      </c>
      <c r="F1387" s="584" t="str">
        <f ca="1">IFERROR(__xludf.DUMMYFUNCTION("""COMPUTED_VALUE"""),"Cây")</f>
        <v>Cây</v>
      </c>
      <c r="G1387" s="584" t="str">
        <f ca="1">IFERROR(__xludf.DUMMYFUNCTION("""COMPUTED_VALUE"""),"Cây 3m")</f>
        <v>Cây 3m</v>
      </c>
      <c r="H1387" s="582"/>
      <c r="I1387" s="585">
        <f ca="1">IFERROR(__xludf.DUMMYFUNCTION("""COMPUTED_VALUE"""),1.49184)</f>
        <v>1.4918400000000001</v>
      </c>
      <c r="J1387" s="586" t="str">
        <f ca="1">IFERROR(__xludf.DUMMYFUNCTION("""COMPUTED_VALUE""")," 16.00 ")</f>
        <v xml:space="preserve"> 16.00 </v>
      </c>
      <c r="K1387" s="584" t="str">
        <f ca="1">IFERROR(__xludf.DUMMYFUNCTION("""COMPUTED_VALUE"""),"1.20")</f>
        <v>1.20</v>
      </c>
      <c r="L1387" s="584">
        <f ca="1">IFERROR(__xludf.DUMMYFUNCTION("""COMPUTED_VALUE"""),3)</f>
        <v>3</v>
      </c>
      <c r="M1387" s="584"/>
      <c r="N1387" s="584" t="str">
        <f ca="1">IFERROR(__xludf.DUMMYFUNCTION("""COMPUTED_VALUE"""),"Dị_D&lt;54")</f>
        <v>Dị_D&lt;54</v>
      </c>
      <c r="O1387" s="583"/>
      <c r="P1387" s="584"/>
    </row>
    <row r="1388" spans="1:16" ht="15.75">
      <c r="A1388" s="587" t="str">
        <f ca="1">IFERROR(__xludf.DUMMYFUNCTION("""COMPUTED_VALUE"""),"Taisei Việt Nam")</f>
        <v>Taisei Việt Nam</v>
      </c>
      <c r="B1388" s="587" t="str">
        <f ca="1">IFERROR(__xludf.DUMMYFUNCTION("""COMPUTED_VALUE"""),"ĐTSCAYDI")</f>
        <v>ĐTSCAYDI</v>
      </c>
      <c r="C1388" s="587" t="str">
        <f ca="1">IFERROR(__xludf.DUMMYFUNCTION("""COMPUTED_VALUE"""),"DOTTS160013030")</f>
        <v>DOTTS160013030</v>
      </c>
      <c r="D1388" s="588" t="str">
        <f ca="1">IFERROR(__xludf.DUMMYFUNCTION("""COMPUTED_VALUE"""),"Đồng ống thẳng Taisei 16.00x1.30x3.0")</f>
        <v>Đồng ống thẳng Taisei 16.00x1.30x3.0</v>
      </c>
      <c r="E1388" s="589">
        <f ca="1">IFERROR(__xludf.DUMMYFUNCTION("""COMPUTED_VALUE"""),0.1)</f>
        <v>0.1</v>
      </c>
      <c r="F1388" s="590" t="str">
        <f ca="1">IFERROR(__xludf.DUMMYFUNCTION("""COMPUTED_VALUE"""),"Cây")</f>
        <v>Cây</v>
      </c>
      <c r="G1388" s="590" t="str">
        <f ca="1">IFERROR(__xludf.DUMMYFUNCTION("""COMPUTED_VALUE"""),"Cây 3m")</f>
        <v>Cây 3m</v>
      </c>
      <c r="H1388" s="588"/>
      <c r="I1388" s="591">
        <f ca="1">IFERROR(__xludf.DUMMYFUNCTION("""COMPUTED_VALUE"""),1.60524)</f>
        <v>1.60524</v>
      </c>
      <c r="J1388" s="592" t="str">
        <f ca="1">IFERROR(__xludf.DUMMYFUNCTION("""COMPUTED_VALUE""")," 16.00 ")</f>
        <v xml:space="preserve"> 16.00 </v>
      </c>
      <c r="K1388" s="590" t="str">
        <f ca="1">IFERROR(__xludf.DUMMYFUNCTION("""COMPUTED_VALUE"""),"1.30")</f>
        <v>1.30</v>
      </c>
      <c r="L1388" s="590">
        <f ca="1">IFERROR(__xludf.DUMMYFUNCTION("""COMPUTED_VALUE"""),3)</f>
        <v>3</v>
      </c>
      <c r="M1388" s="590"/>
      <c r="N1388" s="590" t="str">
        <f ca="1">IFERROR(__xludf.DUMMYFUNCTION("""COMPUTED_VALUE"""),"Dị_D&lt;54")</f>
        <v>Dị_D&lt;54</v>
      </c>
      <c r="O1388" s="589"/>
      <c r="P1388" s="590"/>
    </row>
    <row r="1389" spans="1:16" ht="15.75">
      <c r="A1389" s="581" t="str">
        <f ca="1">IFERROR(__xludf.DUMMYFUNCTION("""COMPUTED_VALUE"""),"Taisei Việt Nam")</f>
        <v>Taisei Việt Nam</v>
      </c>
      <c r="B1389" s="581" t="str">
        <f ca="1">IFERROR(__xludf.DUMMYFUNCTION("""COMPUTED_VALUE"""),"ĐTSCAYDI")</f>
        <v>ĐTSCAYDI</v>
      </c>
      <c r="C1389" s="581" t="str">
        <f ca="1">IFERROR(__xludf.DUMMYFUNCTION("""COMPUTED_VALUE"""),"DOTTS20001731")</f>
        <v>DOTTS20001731</v>
      </c>
      <c r="D1389" s="582" t="str">
        <f ca="1">IFERROR(__xludf.DUMMYFUNCTION("""COMPUTED_VALUE"""),"Đồng ống thẳng Taisei 20.00x1.7x3.1")</f>
        <v>Đồng ống thẳng Taisei 20.00x1.7x3.1</v>
      </c>
      <c r="E1389" s="583">
        <f ca="1">IFERROR(__xludf.DUMMYFUNCTION("""COMPUTED_VALUE"""),0.1)</f>
        <v>0.1</v>
      </c>
      <c r="F1389" s="584" t="str">
        <f ca="1">IFERROR(__xludf.DUMMYFUNCTION("""COMPUTED_VALUE"""),"Cây")</f>
        <v>Cây</v>
      </c>
      <c r="G1389" s="584" t="str">
        <f ca="1">IFERROR(__xludf.DUMMYFUNCTION("""COMPUTED_VALUE"""),"Cây 3.1m")</f>
        <v>Cây 3.1m</v>
      </c>
      <c r="H1389" s="582"/>
      <c r="I1389" s="585">
        <f ca="1">IFERROR(__xludf.DUMMYFUNCTION("""COMPUTED_VALUE"""),2.763712)</f>
        <v>2.7637119999999999</v>
      </c>
      <c r="J1389" s="586" t="str">
        <f ca="1">IFERROR(__xludf.DUMMYFUNCTION("""COMPUTED_VALUE""")," 21.50 ")</f>
        <v xml:space="preserve"> 21.50 </v>
      </c>
      <c r="K1389" s="584" t="str">
        <f ca="1">IFERROR(__xludf.DUMMYFUNCTION("""COMPUTED_VALUE"""),"1.60")</f>
        <v>1.60</v>
      </c>
      <c r="L1389" s="584">
        <f ca="1">IFERROR(__xludf.DUMMYFUNCTION("""COMPUTED_VALUE"""),3.1)</f>
        <v>3.1</v>
      </c>
      <c r="M1389" s="584"/>
      <c r="N1389" s="584" t="str">
        <f ca="1">IFERROR(__xludf.DUMMYFUNCTION("""COMPUTED_VALUE"""),"Dị_D&lt;54")</f>
        <v>Dị_D&lt;54</v>
      </c>
      <c r="O1389" s="583"/>
      <c r="P1389" s="584"/>
    </row>
    <row r="1390" spans="1:16" ht="15.75">
      <c r="A1390" s="587" t="str">
        <f ca="1">IFERROR(__xludf.DUMMYFUNCTION("""COMPUTED_VALUE"""),"Taisei Việt Nam")</f>
        <v>Taisei Việt Nam</v>
      </c>
      <c r="B1390" s="587" t="str">
        <f ca="1">IFERROR(__xludf.DUMMYFUNCTION("""COMPUTED_VALUE"""),"ĐTSCAYDI")</f>
        <v>ĐTSCAYDI</v>
      </c>
      <c r="C1390" s="587" t="str">
        <f ca="1">IFERROR(__xludf.DUMMYFUNCTION("""COMPUTED_VALUE"""),"DOTTS175017030")</f>
        <v>DOTTS175017030</v>
      </c>
      <c r="D1390" s="588" t="str">
        <f ca="1">IFERROR(__xludf.DUMMYFUNCTION("""COMPUTED_VALUE"""),"Đồng ống thẳng Taisei 17.50x1.70x3.0")</f>
        <v>Đồng ống thẳng Taisei 17.50x1.70x3.0</v>
      </c>
      <c r="E1390" s="589">
        <f ca="1">IFERROR(__xludf.DUMMYFUNCTION("""COMPUTED_VALUE"""),0.1)</f>
        <v>0.1</v>
      </c>
      <c r="F1390" s="590" t="str">
        <f ca="1">IFERROR(__xludf.DUMMYFUNCTION("""COMPUTED_VALUE"""),"Cây")</f>
        <v>Cây</v>
      </c>
      <c r="G1390" s="590" t="str">
        <f ca="1">IFERROR(__xludf.DUMMYFUNCTION("""COMPUTED_VALUE"""),"Cây 3m")</f>
        <v>Cây 3m</v>
      </c>
      <c r="H1390" s="588"/>
      <c r="I1390" s="591">
        <f ca="1">IFERROR(__xludf.DUMMYFUNCTION("""COMPUTED_VALUE"""),2.25624)</f>
        <v>2.25624</v>
      </c>
      <c r="J1390" s="592" t="str">
        <f ca="1">IFERROR(__xludf.DUMMYFUNCTION("""COMPUTED_VALUE""")," 17.50 ")</f>
        <v xml:space="preserve"> 17.50 </v>
      </c>
      <c r="K1390" s="590" t="str">
        <f ca="1">IFERROR(__xludf.DUMMYFUNCTION("""COMPUTED_VALUE"""),"1.70")</f>
        <v>1.70</v>
      </c>
      <c r="L1390" s="590">
        <f ca="1">IFERROR(__xludf.DUMMYFUNCTION("""COMPUTED_VALUE"""),3)</f>
        <v>3</v>
      </c>
      <c r="M1390" s="590"/>
      <c r="N1390" s="590" t="str">
        <f ca="1">IFERROR(__xludf.DUMMYFUNCTION("""COMPUTED_VALUE"""),"Dị_D&lt;54")</f>
        <v>Dị_D&lt;54</v>
      </c>
      <c r="O1390" s="589"/>
      <c r="P1390" s="590"/>
    </row>
    <row r="1391" spans="1:16" ht="15.75">
      <c r="A1391" s="581" t="str">
        <f ca="1">IFERROR(__xludf.DUMMYFUNCTION("""COMPUTED_VALUE"""),"Taisei Việt Nam")</f>
        <v>Taisei Việt Nam</v>
      </c>
      <c r="B1391" s="581" t="str">
        <f ca="1">IFERROR(__xludf.DUMMYFUNCTION("""COMPUTED_VALUE"""),"ĐTSCAYDI")</f>
        <v>ĐTSCAYDI</v>
      </c>
      <c r="C1391" s="581" t="str">
        <f ca="1">IFERROR(__xludf.DUMMYFUNCTION("""COMPUTED_VALUE"""),"DOTTS180014530")</f>
        <v>DOTTS180014530</v>
      </c>
      <c r="D1391" s="582" t="str">
        <f ca="1">IFERROR(__xludf.DUMMYFUNCTION("""COMPUTED_VALUE"""),"Đồng ống thẳng Taisei 18.00x1.45x3.0")</f>
        <v>Đồng ống thẳng Taisei 18.00x1.45x3.0</v>
      </c>
      <c r="E1391" s="583">
        <f ca="1">IFERROR(__xludf.DUMMYFUNCTION("""COMPUTED_VALUE"""),0.1)</f>
        <v>0.1</v>
      </c>
      <c r="F1391" s="584" t="str">
        <f ca="1">IFERROR(__xludf.DUMMYFUNCTION("""COMPUTED_VALUE"""),"Cây")</f>
        <v>Cây</v>
      </c>
      <c r="G1391" s="584" t="str">
        <f ca="1">IFERROR(__xludf.DUMMYFUNCTION("""COMPUTED_VALUE"""),"Cây 3m")</f>
        <v>Cây 3m</v>
      </c>
      <c r="H1391" s="582"/>
      <c r="I1391" s="585">
        <f ca="1">IFERROR(__xludf.DUMMYFUNCTION("""COMPUTED_VALUE"""),2.01579)</f>
        <v>2.01579</v>
      </c>
      <c r="J1391" s="586" t="str">
        <f ca="1">IFERROR(__xludf.DUMMYFUNCTION("""COMPUTED_VALUE""")," 18.00 ")</f>
        <v xml:space="preserve"> 18.00 </v>
      </c>
      <c r="K1391" s="584" t="str">
        <f ca="1">IFERROR(__xludf.DUMMYFUNCTION("""COMPUTED_VALUE"""),"1.45")</f>
        <v>1.45</v>
      </c>
      <c r="L1391" s="584">
        <f ca="1">IFERROR(__xludf.DUMMYFUNCTION("""COMPUTED_VALUE"""),3)</f>
        <v>3</v>
      </c>
      <c r="M1391" s="584"/>
      <c r="N1391" s="584" t="str">
        <f ca="1">IFERROR(__xludf.DUMMYFUNCTION("""COMPUTED_VALUE"""),"Dị_D&lt;54")</f>
        <v>Dị_D&lt;54</v>
      </c>
      <c r="O1391" s="583"/>
      <c r="P1391" s="584"/>
    </row>
    <row r="1392" spans="1:16" ht="15.75">
      <c r="A1392" s="587" t="str">
        <f ca="1">IFERROR(__xludf.DUMMYFUNCTION("""COMPUTED_VALUE"""),"Taisei Việt Nam")</f>
        <v>Taisei Việt Nam</v>
      </c>
      <c r="B1392" s="587" t="str">
        <f ca="1">IFERROR(__xludf.DUMMYFUNCTION("""COMPUTED_VALUE"""),"ĐTSCAYDI")</f>
        <v>ĐTSCAYDI</v>
      </c>
      <c r="C1392" s="587" t="str">
        <f ca="1">IFERROR(__xludf.DUMMYFUNCTION("""COMPUTED_VALUE"""),"DOTTS180015030")</f>
        <v>DOTTS180015030</v>
      </c>
      <c r="D1392" s="588" t="str">
        <f ca="1">IFERROR(__xludf.DUMMYFUNCTION("""COMPUTED_VALUE"""),"Đồng ống thẳng Taisei 18.00x1.50x3.0")</f>
        <v>Đồng ống thẳng Taisei 18.00x1.50x3.0</v>
      </c>
      <c r="E1392" s="589">
        <f ca="1">IFERROR(__xludf.DUMMYFUNCTION("""COMPUTED_VALUE"""),0.1)</f>
        <v>0.1</v>
      </c>
      <c r="F1392" s="590" t="str">
        <f ca="1">IFERROR(__xludf.DUMMYFUNCTION("""COMPUTED_VALUE"""),"Cây")</f>
        <v>Cây</v>
      </c>
      <c r="G1392" s="590" t="str">
        <f ca="1">IFERROR(__xludf.DUMMYFUNCTION("""COMPUTED_VALUE"""),"Cây 3m")</f>
        <v>Cây 3m</v>
      </c>
      <c r="H1392" s="588"/>
      <c r="I1392" s="591">
        <f ca="1">IFERROR(__xludf.DUMMYFUNCTION("""COMPUTED_VALUE"""),2.079)</f>
        <v>2.0790000000000002</v>
      </c>
      <c r="J1392" s="592" t="str">
        <f ca="1">IFERROR(__xludf.DUMMYFUNCTION("""COMPUTED_VALUE""")," 18.00 ")</f>
        <v xml:space="preserve"> 18.00 </v>
      </c>
      <c r="K1392" s="590" t="str">
        <f ca="1">IFERROR(__xludf.DUMMYFUNCTION("""COMPUTED_VALUE"""),"1.50")</f>
        <v>1.50</v>
      </c>
      <c r="L1392" s="590">
        <f ca="1">IFERROR(__xludf.DUMMYFUNCTION("""COMPUTED_VALUE"""),3)</f>
        <v>3</v>
      </c>
      <c r="M1392" s="590"/>
      <c r="N1392" s="590" t="str">
        <f ca="1">IFERROR(__xludf.DUMMYFUNCTION("""COMPUTED_VALUE"""),"Dị_D&lt;54")</f>
        <v>Dị_D&lt;54</v>
      </c>
      <c r="O1392" s="589"/>
      <c r="P1392" s="590"/>
    </row>
    <row r="1393" spans="1:16" ht="15.75">
      <c r="A1393" s="581" t="str">
        <f ca="1">IFERROR(__xludf.DUMMYFUNCTION("""COMPUTED_VALUE"""),"Taisei Việt Nam")</f>
        <v>Taisei Việt Nam</v>
      </c>
      <c r="B1393" s="581" t="str">
        <f ca="1">IFERROR(__xludf.DUMMYFUNCTION("""COMPUTED_VALUE"""),"ĐTSCAYDI")</f>
        <v>ĐTSCAYDI</v>
      </c>
      <c r="C1393" s="581" t="str">
        <f ca="1">IFERROR(__xludf.DUMMYFUNCTION("""COMPUTED_VALUE"""),"DOTTS195019530")</f>
        <v>DOTTS195019530</v>
      </c>
      <c r="D1393" s="582" t="str">
        <f ca="1">IFERROR(__xludf.DUMMYFUNCTION("""COMPUTED_VALUE"""),"Đồng ống thẳng Taisei 19.50x1.95x3.0")</f>
        <v>Đồng ống thẳng Taisei 19.50x1.95x3.0</v>
      </c>
      <c r="E1393" s="583">
        <f ca="1">IFERROR(__xludf.DUMMYFUNCTION("""COMPUTED_VALUE"""),0.1)</f>
        <v>0.1</v>
      </c>
      <c r="F1393" s="584" t="str">
        <f ca="1">IFERROR(__xludf.DUMMYFUNCTION("""COMPUTED_VALUE"""),"Cây")</f>
        <v>Cây</v>
      </c>
      <c r="G1393" s="584" t="str">
        <f ca="1">IFERROR(__xludf.DUMMYFUNCTION("""COMPUTED_VALUE"""),"Cây 3m")</f>
        <v>Cây 3m</v>
      </c>
      <c r="H1393" s="582"/>
      <c r="I1393" s="585">
        <f ca="1">IFERROR(__xludf.DUMMYFUNCTION("""COMPUTED_VALUE"""),2.87469)</f>
        <v>2.8746900000000002</v>
      </c>
      <c r="J1393" s="586" t="str">
        <f ca="1">IFERROR(__xludf.DUMMYFUNCTION("""COMPUTED_VALUE""")," 19.50 ")</f>
        <v xml:space="preserve"> 19.50 </v>
      </c>
      <c r="K1393" s="584" t="str">
        <f ca="1">IFERROR(__xludf.DUMMYFUNCTION("""COMPUTED_VALUE"""),"1.95")</f>
        <v>1.95</v>
      </c>
      <c r="L1393" s="584">
        <f ca="1">IFERROR(__xludf.DUMMYFUNCTION("""COMPUTED_VALUE"""),3)</f>
        <v>3</v>
      </c>
      <c r="M1393" s="584"/>
      <c r="N1393" s="584" t="str">
        <f ca="1">IFERROR(__xludf.DUMMYFUNCTION("""COMPUTED_VALUE"""),"Dị_D&lt;54")</f>
        <v>Dị_D&lt;54</v>
      </c>
      <c r="O1393" s="583"/>
      <c r="P1393" s="584"/>
    </row>
    <row r="1394" spans="1:16" ht="15.75">
      <c r="A1394" s="587" t="str">
        <f ca="1">IFERROR(__xludf.DUMMYFUNCTION("""COMPUTED_VALUE"""),"Taisei Việt Nam")</f>
        <v>Taisei Việt Nam</v>
      </c>
      <c r="B1394" s="587" t="str">
        <f ca="1">IFERROR(__xludf.DUMMYFUNCTION("""COMPUTED_VALUE"""),"ĐTSCAYDI")</f>
        <v>ĐTSCAYDI</v>
      </c>
      <c r="C1394" s="587" t="str">
        <f ca="1">IFERROR(__xludf.DUMMYFUNCTION("""COMPUTED_VALUE"""),"DOTTS2000160298")</f>
        <v>DOTTS2000160298</v>
      </c>
      <c r="D1394" s="588" t="str">
        <f ca="1">IFERROR(__xludf.DUMMYFUNCTION("""COMPUTED_VALUE"""),"Đồng ống thẳng Taisei 20.00x1.60x2.98")</f>
        <v>Đồng ống thẳng Taisei 20.00x1.60x2.98</v>
      </c>
      <c r="E1394" s="589">
        <f ca="1">IFERROR(__xludf.DUMMYFUNCTION("""COMPUTED_VALUE"""),0.1)</f>
        <v>0.1</v>
      </c>
      <c r="F1394" s="590" t="str">
        <f ca="1">IFERROR(__xludf.DUMMYFUNCTION("""COMPUTED_VALUE"""),"Cây")</f>
        <v>Cây</v>
      </c>
      <c r="G1394" s="590" t="str">
        <f ca="1">IFERROR(__xludf.DUMMYFUNCTION("""COMPUTED_VALUE"""),"Cây 2.98m")</f>
        <v>Cây 2.98m</v>
      </c>
      <c r="H1394" s="588"/>
      <c r="I1394" s="591">
        <f ca="1">IFERROR(__xludf.DUMMYFUNCTION("""COMPUTED_VALUE"""),2.4564736)</f>
        <v>2.4564735999999998</v>
      </c>
      <c r="J1394" s="592" t="str">
        <f ca="1">IFERROR(__xludf.DUMMYFUNCTION("""COMPUTED_VALUE""")," 20.00 ")</f>
        <v xml:space="preserve"> 20.00 </v>
      </c>
      <c r="K1394" s="590" t="str">
        <f ca="1">IFERROR(__xludf.DUMMYFUNCTION("""COMPUTED_VALUE"""),"1.60")</f>
        <v>1.60</v>
      </c>
      <c r="L1394" s="590"/>
      <c r="M1394" s="590"/>
      <c r="N1394" s="590" t="str">
        <f ca="1">IFERROR(__xludf.DUMMYFUNCTION("""COMPUTED_VALUE"""),"Dị_D&lt;54")</f>
        <v>Dị_D&lt;54</v>
      </c>
      <c r="O1394" s="589"/>
      <c r="P1394" s="590"/>
    </row>
    <row r="1395" spans="1:16" ht="15.75">
      <c r="A1395" s="581" t="str">
        <f ca="1">IFERROR(__xludf.DUMMYFUNCTION("""COMPUTED_VALUE"""),"Taisei Việt Nam")</f>
        <v>Taisei Việt Nam</v>
      </c>
      <c r="B1395" s="581" t="str">
        <f ca="1">IFERROR(__xludf.DUMMYFUNCTION("""COMPUTED_VALUE"""),"ĐTSCAYDI")</f>
        <v>ĐTSCAYDI</v>
      </c>
      <c r="C1395" s="581" t="str">
        <f ca="1">IFERROR(__xludf.DUMMYFUNCTION("""COMPUTED_VALUE"""),"DOTTS200015530")</f>
        <v>DOTTS200015530</v>
      </c>
      <c r="D1395" s="582" t="str">
        <f ca="1">IFERROR(__xludf.DUMMYFUNCTION("""COMPUTED_VALUE"""),"Đồng ống thẳng Taisei 20.00x1.55x3.0")</f>
        <v>Đồng ống thẳng Taisei 20.00x1.55x3.0</v>
      </c>
      <c r="E1395" s="583">
        <f ca="1">IFERROR(__xludf.DUMMYFUNCTION("""COMPUTED_VALUE"""),0.1)</f>
        <v>0.1</v>
      </c>
      <c r="F1395" s="584" t="str">
        <f ca="1">IFERROR(__xludf.DUMMYFUNCTION("""COMPUTED_VALUE"""),"Cây")</f>
        <v>Cây</v>
      </c>
      <c r="G1395" s="584" t="str">
        <f ca="1">IFERROR(__xludf.DUMMYFUNCTION("""COMPUTED_VALUE"""),"Cây 3m")</f>
        <v>Cây 3m</v>
      </c>
      <c r="H1395" s="582"/>
      <c r="I1395" s="585">
        <f ca="1">IFERROR(__xludf.DUMMYFUNCTION("""COMPUTED_VALUE"""),2.40219)</f>
        <v>2.40219</v>
      </c>
      <c r="J1395" s="586" t="str">
        <f ca="1">IFERROR(__xludf.DUMMYFUNCTION("""COMPUTED_VALUE""")," 20.00 ")</f>
        <v xml:space="preserve"> 20.00 </v>
      </c>
      <c r="K1395" s="584" t="str">
        <f ca="1">IFERROR(__xludf.DUMMYFUNCTION("""COMPUTED_VALUE"""),"1.55")</f>
        <v>1.55</v>
      </c>
      <c r="L1395" s="584">
        <f ca="1">IFERROR(__xludf.DUMMYFUNCTION("""COMPUTED_VALUE"""),3)</f>
        <v>3</v>
      </c>
      <c r="M1395" s="584"/>
      <c r="N1395" s="584" t="str">
        <f ca="1">IFERROR(__xludf.DUMMYFUNCTION("""COMPUTED_VALUE"""),"Dị_D&lt;54")</f>
        <v>Dị_D&lt;54</v>
      </c>
      <c r="O1395" s="583"/>
      <c r="P1395" s="584"/>
    </row>
    <row r="1396" spans="1:16" ht="15.75">
      <c r="A1396" s="587" t="str">
        <f ca="1">IFERROR(__xludf.DUMMYFUNCTION("""COMPUTED_VALUE"""),"Taisei Việt Nam")</f>
        <v>Taisei Việt Nam</v>
      </c>
      <c r="B1396" s="587" t="str">
        <f ca="1">IFERROR(__xludf.DUMMYFUNCTION("""COMPUTED_VALUE"""),"ĐTSCAYDI")</f>
        <v>ĐTSCAYDI</v>
      </c>
      <c r="C1396" s="587" t="str">
        <f ca="1">IFERROR(__xludf.DUMMYFUNCTION("""COMPUTED_VALUE"""),"DOTTS210015030")</f>
        <v>DOTTS210015030</v>
      </c>
      <c r="D1396" s="588" t="str">
        <f ca="1">IFERROR(__xludf.DUMMYFUNCTION("""COMPUTED_VALUE"""),"Đồng ống thẳng taisei  21.00x1.50x3.0")</f>
        <v>Đồng ống thẳng taisei  21.00x1.50x3.0</v>
      </c>
      <c r="E1396" s="589">
        <f ca="1">IFERROR(__xludf.DUMMYFUNCTION("""COMPUTED_VALUE"""),0.1)</f>
        <v>0.1</v>
      </c>
      <c r="F1396" s="590" t="str">
        <f ca="1">IFERROR(__xludf.DUMMYFUNCTION("""COMPUTED_VALUE"""),"Cây")</f>
        <v>Cây</v>
      </c>
      <c r="G1396" s="590" t="str">
        <f ca="1">IFERROR(__xludf.DUMMYFUNCTION("""COMPUTED_VALUE"""),"Cây 3m")</f>
        <v>Cây 3m</v>
      </c>
      <c r="H1396" s="588"/>
      <c r="I1396" s="591">
        <f ca="1">IFERROR(__xludf.DUMMYFUNCTION("""COMPUTED_VALUE"""),2.457)</f>
        <v>2.4569999999999999</v>
      </c>
      <c r="J1396" s="592" t="str">
        <f ca="1">IFERROR(__xludf.DUMMYFUNCTION("""COMPUTED_VALUE""")," 21.00 ")</f>
        <v xml:space="preserve"> 21.00 </v>
      </c>
      <c r="K1396" s="590" t="str">
        <f ca="1">IFERROR(__xludf.DUMMYFUNCTION("""COMPUTED_VALUE"""),"1.50")</f>
        <v>1.50</v>
      </c>
      <c r="L1396" s="590">
        <f ca="1">IFERROR(__xludf.DUMMYFUNCTION("""COMPUTED_VALUE"""),3)</f>
        <v>3</v>
      </c>
      <c r="M1396" s="590"/>
      <c r="N1396" s="590" t="str">
        <f ca="1">IFERROR(__xludf.DUMMYFUNCTION("""COMPUTED_VALUE"""),"Dị_D&lt;54")</f>
        <v>Dị_D&lt;54</v>
      </c>
      <c r="O1396" s="589"/>
      <c r="P1396" s="590"/>
    </row>
    <row r="1397" spans="1:16" ht="15.75">
      <c r="A1397" s="581" t="str">
        <f ca="1">IFERROR(__xludf.DUMMYFUNCTION("""COMPUTED_VALUE"""),"Taisei Việt Nam")</f>
        <v>Taisei Việt Nam</v>
      </c>
      <c r="B1397" s="581" t="str">
        <f ca="1">IFERROR(__xludf.DUMMYFUNCTION("""COMPUTED_VALUE"""),"ĐTSCAYDI")</f>
        <v>ĐTSCAYDI</v>
      </c>
      <c r="C1397" s="581" t="str">
        <f ca="1">IFERROR(__xludf.DUMMYFUNCTION("""COMPUTED_VALUE"""),"DOTTS215016030")</f>
        <v>DOTTS215016030</v>
      </c>
      <c r="D1397" s="582" t="str">
        <f ca="1">IFERROR(__xludf.DUMMYFUNCTION("""COMPUTED_VALUE"""),"Đồng ống thẳng Taisei 21.50x1.60x3.0")</f>
        <v>Đồng ống thẳng Taisei 21.50x1.60x3.0</v>
      </c>
      <c r="E1397" s="583">
        <f ca="1">IFERROR(__xludf.DUMMYFUNCTION("""COMPUTED_VALUE"""),0.1)</f>
        <v>0.1</v>
      </c>
      <c r="F1397" s="584" t="str">
        <f ca="1">IFERROR(__xludf.DUMMYFUNCTION("""COMPUTED_VALUE"""),"Cây")</f>
        <v>Cây</v>
      </c>
      <c r="G1397" s="584" t="str">
        <f ca="1">IFERROR(__xludf.DUMMYFUNCTION("""COMPUTED_VALUE"""),"Cây 3m")</f>
        <v>Cây 3m</v>
      </c>
      <c r="H1397" s="582"/>
      <c r="I1397" s="585">
        <f ca="1">IFERROR(__xludf.DUMMYFUNCTION("""COMPUTED_VALUE"""),2.67456)</f>
        <v>2.67456</v>
      </c>
      <c r="J1397" s="586" t="str">
        <f ca="1">IFERROR(__xludf.DUMMYFUNCTION("""COMPUTED_VALUE""")," 21.50 ")</f>
        <v xml:space="preserve"> 21.50 </v>
      </c>
      <c r="K1397" s="584" t="str">
        <f ca="1">IFERROR(__xludf.DUMMYFUNCTION("""COMPUTED_VALUE"""),"1.60")</f>
        <v>1.60</v>
      </c>
      <c r="L1397" s="584">
        <f ca="1">IFERROR(__xludf.DUMMYFUNCTION("""COMPUTED_VALUE"""),3)</f>
        <v>3</v>
      </c>
      <c r="M1397" s="584"/>
      <c r="N1397" s="584" t="str">
        <f ca="1">IFERROR(__xludf.DUMMYFUNCTION("""COMPUTED_VALUE"""),"Dị_D&lt;54")</f>
        <v>Dị_D&lt;54</v>
      </c>
      <c r="O1397" s="583"/>
      <c r="P1397" s="584"/>
    </row>
    <row r="1398" spans="1:16" ht="15.75">
      <c r="A1398" s="587" t="str">
        <f ca="1">IFERROR(__xludf.DUMMYFUNCTION("""COMPUTED_VALUE"""),"Taisei Việt Nam")</f>
        <v>Taisei Việt Nam</v>
      </c>
      <c r="B1398" s="587" t="str">
        <f ca="1">IFERROR(__xludf.DUMMYFUNCTION("""COMPUTED_VALUE"""),"ĐTSCAYDI")</f>
        <v>ĐTSCAYDI</v>
      </c>
      <c r="C1398" s="587" t="str">
        <f ca="1">IFERROR(__xludf.DUMMYFUNCTION("""COMPUTED_VALUE"""),"DOTTS220016530")</f>
        <v>DOTTS220016530</v>
      </c>
      <c r="D1398" s="588" t="str">
        <f ca="1">IFERROR(__xludf.DUMMYFUNCTION("""COMPUTED_VALUE"""),"Đồng ống thẳng Taisei 22.00x1.65x3.0")</f>
        <v>Đồng ống thẳng Taisei 22.00x1.65x3.0</v>
      </c>
      <c r="E1398" s="589">
        <f ca="1">IFERROR(__xludf.DUMMYFUNCTION("""COMPUTED_VALUE"""),0.1)</f>
        <v>0.1</v>
      </c>
      <c r="F1398" s="590" t="str">
        <f ca="1">IFERROR(__xludf.DUMMYFUNCTION("""COMPUTED_VALUE"""),"Cây")</f>
        <v>Cây</v>
      </c>
      <c r="G1398" s="590" t="str">
        <f ca="1">IFERROR(__xludf.DUMMYFUNCTION("""COMPUTED_VALUE"""),"Cây 3m")</f>
        <v>Cây 3m</v>
      </c>
      <c r="H1398" s="588"/>
      <c r="I1398" s="591">
        <f ca="1">IFERROR(__xludf.DUMMYFUNCTION("""COMPUTED_VALUE"""),2.82051)</f>
        <v>2.8205100000000001</v>
      </c>
      <c r="J1398" s="592" t="str">
        <f ca="1">IFERROR(__xludf.DUMMYFUNCTION("""COMPUTED_VALUE""")," 22.00 ")</f>
        <v xml:space="preserve"> 22.00 </v>
      </c>
      <c r="K1398" s="590" t="str">
        <f ca="1">IFERROR(__xludf.DUMMYFUNCTION("""COMPUTED_VALUE"""),"1.65")</f>
        <v>1.65</v>
      </c>
      <c r="L1398" s="590">
        <f ca="1">IFERROR(__xludf.DUMMYFUNCTION("""COMPUTED_VALUE"""),3)</f>
        <v>3</v>
      </c>
      <c r="M1398" s="590"/>
      <c r="N1398" s="590" t="str">
        <f ca="1">IFERROR(__xludf.DUMMYFUNCTION("""COMPUTED_VALUE"""),"Dị_D&lt;54")</f>
        <v>Dị_D&lt;54</v>
      </c>
      <c r="O1398" s="589"/>
      <c r="P1398" s="590"/>
    </row>
    <row r="1399" spans="1:16" ht="15.75">
      <c r="A1399" s="581" t="str">
        <f ca="1">IFERROR(__xludf.DUMMYFUNCTION("""COMPUTED_VALUE"""),"Taisei Việt Nam")</f>
        <v>Taisei Việt Nam</v>
      </c>
      <c r="B1399" s="581" t="str">
        <f ca="1">IFERROR(__xludf.DUMMYFUNCTION("""COMPUTED_VALUE"""),"ĐTSCAYDI")</f>
        <v>ĐTSCAYDI</v>
      </c>
      <c r="C1399" s="581" t="str">
        <f ca="1">IFERROR(__xludf.DUMMYFUNCTION("""COMPUTED_VALUE"""),"DOTTS220017030")</f>
        <v>DOTTS220017030</v>
      </c>
      <c r="D1399" s="582" t="str">
        <f ca="1">IFERROR(__xludf.DUMMYFUNCTION("""COMPUTED_VALUE"""),"Đồng ống thẳng Taisei 22.00x1.70x3.0")</f>
        <v>Đồng ống thẳng Taisei 22.00x1.70x3.0</v>
      </c>
      <c r="E1399" s="583">
        <f ca="1">IFERROR(__xludf.DUMMYFUNCTION("""COMPUTED_VALUE"""),0.1)</f>
        <v>0.1</v>
      </c>
      <c r="F1399" s="584" t="str">
        <f ca="1">IFERROR(__xludf.DUMMYFUNCTION("""COMPUTED_VALUE"""),"Cây")</f>
        <v>Cây</v>
      </c>
      <c r="G1399" s="584" t="str">
        <f ca="1">IFERROR(__xludf.DUMMYFUNCTION("""COMPUTED_VALUE"""),"Cây 3m")</f>
        <v>Cây 3m</v>
      </c>
      <c r="H1399" s="582"/>
      <c r="I1399" s="585">
        <f ca="1">IFERROR(__xludf.DUMMYFUNCTION("""COMPUTED_VALUE"""),2.89884)</f>
        <v>2.8988399999999999</v>
      </c>
      <c r="J1399" s="586" t="str">
        <f ca="1">IFERROR(__xludf.DUMMYFUNCTION("""COMPUTED_VALUE""")," 22.00 ")</f>
        <v xml:space="preserve"> 22.00 </v>
      </c>
      <c r="K1399" s="584" t="str">
        <f ca="1">IFERROR(__xludf.DUMMYFUNCTION("""COMPUTED_VALUE"""),"1.70")</f>
        <v>1.70</v>
      </c>
      <c r="L1399" s="584">
        <f ca="1">IFERROR(__xludf.DUMMYFUNCTION("""COMPUTED_VALUE"""),3)</f>
        <v>3</v>
      </c>
      <c r="M1399" s="584"/>
      <c r="N1399" s="584" t="str">
        <f ca="1">IFERROR(__xludf.DUMMYFUNCTION("""COMPUTED_VALUE"""),"Dị_D&lt;54")</f>
        <v>Dị_D&lt;54</v>
      </c>
      <c r="O1399" s="583"/>
      <c r="P1399" s="584"/>
    </row>
    <row r="1400" spans="1:16" ht="15.75">
      <c r="A1400" s="587" t="str">
        <f ca="1">IFERROR(__xludf.DUMMYFUNCTION("""COMPUTED_VALUE"""),"Taisei Việt Nam")</f>
        <v>Taisei Việt Nam</v>
      </c>
      <c r="B1400" s="587" t="str">
        <f ca="1">IFERROR(__xludf.DUMMYFUNCTION("""COMPUTED_VALUE"""),"ĐTSCAYDI")</f>
        <v>ĐTSCAYDI</v>
      </c>
      <c r="C1400" s="587" t="str">
        <f ca="1">IFERROR(__xludf.DUMMYFUNCTION("""COMPUTED_VALUE"""),"DOTTS2200180313")</f>
        <v>DOTTS2200180313</v>
      </c>
      <c r="D1400" s="588" t="str">
        <f ca="1">IFERROR(__xludf.DUMMYFUNCTION("""COMPUTED_VALUE"""),"Đồng ống thẳng Taisei 22.00x1.80x3.13")</f>
        <v>Đồng ống thẳng Taisei 22.00x1.80x3.13</v>
      </c>
      <c r="E1400" s="589">
        <f ca="1">IFERROR(__xludf.DUMMYFUNCTION("""COMPUTED_VALUE"""),0.1)</f>
        <v>0.1</v>
      </c>
      <c r="F1400" s="590" t="str">
        <f ca="1">IFERROR(__xludf.DUMMYFUNCTION("""COMPUTED_VALUE"""),"Cây")</f>
        <v>Cây</v>
      </c>
      <c r="G1400" s="590" t="str">
        <f ca="1">IFERROR(__xludf.DUMMYFUNCTION("""COMPUTED_VALUE"""),"Cây 3.13m")</f>
        <v>Cây 3.13m</v>
      </c>
      <c r="H1400" s="588"/>
      <c r="I1400" s="591">
        <f ca="1">IFERROR(__xludf.DUMMYFUNCTION("""COMPUTED_VALUE"""),3.1865904)</f>
        <v>3.1865904</v>
      </c>
      <c r="J1400" s="592" t="str">
        <f ca="1">IFERROR(__xludf.DUMMYFUNCTION("""COMPUTED_VALUE""")," 22.00 ")</f>
        <v xml:space="preserve"> 22.00 </v>
      </c>
      <c r="K1400" s="590" t="str">
        <f ca="1">IFERROR(__xludf.DUMMYFUNCTION("""COMPUTED_VALUE"""),"1.80")</f>
        <v>1.80</v>
      </c>
      <c r="L1400" s="590">
        <f ca="1">IFERROR(__xludf.DUMMYFUNCTION("""COMPUTED_VALUE"""),3.13)</f>
        <v>3.13</v>
      </c>
      <c r="M1400" s="590"/>
      <c r="N1400" s="590" t="str">
        <f ca="1">IFERROR(__xludf.DUMMYFUNCTION("""COMPUTED_VALUE"""),"Dị_D&lt;54")</f>
        <v>Dị_D&lt;54</v>
      </c>
      <c r="O1400" s="589"/>
      <c r="P1400" s="590"/>
    </row>
    <row r="1401" spans="1:16" ht="15.75">
      <c r="A1401" s="581" t="str">
        <f ca="1">IFERROR(__xludf.DUMMYFUNCTION("""COMPUTED_VALUE"""),"Taisei Việt Nam")</f>
        <v>Taisei Việt Nam</v>
      </c>
      <c r="B1401" s="581" t="str">
        <f ca="1">IFERROR(__xludf.DUMMYFUNCTION("""COMPUTED_VALUE"""),"ĐTSCAYDI")</f>
        <v>ĐTSCAYDI</v>
      </c>
      <c r="C1401" s="581" t="str">
        <f ca="1">IFERROR(__xludf.DUMMYFUNCTION("""COMPUTED_VALUE"""),"DOTTS240018030")</f>
        <v>DOTTS240018030</v>
      </c>
      <c r="D1401" s="582" t="str">
        <f ca="1">IFERROR(__xludf.DUMMYFUNCTION("""COMPUTED_VALUE"""),"Đồng ống thẳng taisei 24.00x1.80x3.0")</f>
        <v>Đồng ống thẳng taisei 24.00x1.80x3.0</v>
      </c>
      <c r="E1401" s="583">
        <f ca="1">IFERROR(__xludf.DUMMYFUNCTION("""COMPUTED_VALUE"""),0.1)</f>
        <v>0.1</v>
      </c>
      <c r="F1401" s="584" t="str">
        <f ca="1">IFERROR(__xludf.DUMMYFUNCTION("""COMPUTED_VALUE"""),"Cây")</f>
        <v>Cây</v>
      </c>
      <c r="G1401" s="584" t="str">
        <f ca="1">IFERROR(__xludf.DUMMYFUNCTION("""COMPUTED_VALUE"""),"Cây 3m")</f>
        <v>Cây 3m</v>
      </c>
      <c r="H1401" s="582"/>
      <c r="I1401" s="585">
        <f ca="1">IFERROR(__xludf.DUMMYFUNCTION("""COMPUTED_VALUE"""),3.35664)</f>
        <v>3.3566400000000001</v>
      </c>
      <c r="J1401" s="586" t="str">
        <f ca="1">IFERROR(__xludf.DUMMYFUNCTION("""COMPUTED_VALUE""")," 24.00 ")</f>
        <v xml:space="preserve"> 24.00 </v>
      </c>
      <c r="K1401" s="584" t="str">
        <f ca="1">IFERROR(__xludf.DUMMYFUNCTION("""COMPUTED_VALUE"""),"1.80")</f>
        <v>1.80</v>
      </c>
      <c r="L1401" s="584">
        <f ca="1">IFERROR(__xludf.DUMMYFUNCTION("""COMPUTED_VALUE"""),3)</f>
        <v>3</v>
      </c>
      <c r="M1401" s="584"/>
      <c r="N1401" s="584" t="str">
        <f ca="1">IFERROR(__xludf.DUMMYFUNCTION("""COMPUTED_VALUE"""),"Dị_D&lt;54")</f>
        <v>Dị_D&lt;54</v>
      </c>
      <c r="O1401" s="583"/>
      <c r="P1401" s="584"/>
    </row>
    <row r="1402" spans="1:16" ht="15.75">
      <c r="A1402" s="587" t="str">
        <f ca="1">IFERROR(__xludf.DUMMYFUNCTION("""COMPUTED_VALUE"""),"Taisei Việt Nam")</f>
        <v>Taisei Việt Nam</v>
      </c>
      <c r="B1402" s="587" t="str">
        <f ca="1">IFERROR(__xludf.DUMMYFUNCTION("""COMPUTED_VALUE"""),"ĐTSCAYDI")</f>
        <v>ĐTSCAYDI</v>
      </c>
      <c r="C1402" s="587" t="str">
        <f ca="1">IFERROR(__xludf.DUMMYFUNCTION("""COMPUTED_VALUE"""),"DOTTS250017030")</f>
        <v>DOTTS250017030</v>
      </c>
      <c r="D1402" s="588" t="str">
        <f ca="1">IFERROR(__xludf.DUMMYFUNCTION("""COMPUTED_VALUE"""),"Đồng ống thẳng Taisei 25.00x1.70x3.0")</f>
        <v>Đồng ống thẳng Taisei 25.00x1.70x3.0</v>
      </c>
      <c r="E1402" s="589">
        <f ca="1">IFERROR(__xludf.DUMMYFUNCTION("""COMPUTED_VALUE"""),0.1)</f>
        <v>0.1</v>
      </c>
      <c r="F1402" s="590" t="str">
        <f ca="1">IFERROR(__xludf.DUMMYFUNCTION("""COMPUTED_VALUE"""),"Cây")</f>
        <v>Cây</v>
      </c>
      <c r="G1402" s="590" t="str">
        <f ca="1">IFERROR(__xludf.DUMMYFUNCTION("""COMPUTED_VALUE"""),"Cây 3m")</f>
        <v>Cây 3m</v>
      </c>
      <c r="H1402" s="588"/>
      <c r="I1402" s="591">
        <f ca="1">IFERROR(__xludf.DUMMYFUNCTION("""COMPUTED_VALUE"""),3.32724)</f>
        <v>3.3272400000000002</v>
      </c>
      <c r="J1402" s="592" t="str">
        <f ca="1">IFERROR(__xludf.DUMMYFUNCTION("""COMPUTED_VALUE""")," 25.00 ")</f>
        <v xml:space="preserve"> 25.00 </v>
      </c>
      <c r="K1402" s="590" t="str">
        <f ca="1">IFERROR(__xludf.DUMMYFUNCTION("""COMPUTED_VALUE"""),"1.70")</f>
        <v>1.70</v>
      </c>
      <c r="L1402" s="590">
        <f ca="1">IFERROR(__xludf.DUMMYFUNCTION("""COMPUTED_VALUE"""),3)</f>
        <v>3</v>
      </c>
      <c r="M1402" s="590"/>
      <c r="N1402" s="590" t="str">
        <f ca="1">IFERROR(__xludf.DUMMYFUNCTION("""COMPUTED_VALUE"""),"Dị_D&lt;54")</f>
        <v>Dị_D&lt;54</v>
      </c>
      <c r="O1402" s="589"/>
      <c r="P1402" s="590"/>
    </row>
    <row r="1403" spans="1:16" ht="15.75">
      <c r="A1403" s="581" t="str">
        <f ca="1">IFERROR(__xludf.DUMMYFUNCTION("""COMPUTED_VALUE"""),"Taisei Việt Nam")</f>
        <v>Taisei Việt Nam</v>
      </c>
      <c r="B1403" s="581" t="str">
        <f ca="1">IFERROR(__xludf.DUMMYFUNCTION("""COMPUTED_VALUE"""),"ĐTSCAYDI")</f>
        <v>ĐTSCAYDI</v>
      </c>
      <c r="C1403" s="581" t="str">
        <f ca="1">IFERROR(__xludf.DUMMYFUNCTION("""COMPUTED_VALUE"""),"DOTTS250017530")</f>
        <v>DOTTS250017530</v>
      </c>
      <c r="D1403" s="582" t="str">
        <f ca="1">IFERROR(__xludf.DUMMYFUNCTION("""COMPUTED_VALUE"""),"Đồng ống thẳng Taisei 25.00x1.75x3.0")</f>
        <v>Đồng ống thẳng Taisei 25.00x1.75x3.0</v>
      </c>
      <c r="E1403" s="583">
        <f ca="1">IFERROR(__xludf.DUMMYFUNCTION("""COMPUTED_VALUE"""),0.1)</f>
        <v>0.1</v>
      </c>
      <c r="F1403" s="584" t="str">
        <f ca="1">IFERROR(__xludf.DUMMYFUNCTION("""COMPUTED_VALUE"""),"Cây")</f>
        <v>Cây</v>
      </c>
      <c r="G1403" s="584" t="str">
        <f ca="1">IFERROR(__xludf.DUMMYFUNCTION("""COMPUTED_VALUE"""),"Cây 3m")</f>
        <v>Cây 3m</v>
      </c>
      <c r="H1403" s="582"/>
      <c r="I1403" s="585">
        <f ca="1">IFERROR(__xludf.DUMMYFUNCTION("""COMPUTED_VALUE"""),3.41775)</f>
        <v>3.4177499999999998</v>
      </c>
      <c r="J1403" s="586" t="str">
        <f ca="1">IFERROR(__xludf.DUMMYFUNCTION("""COMPUTED_VALUE""")," 25.00 ")</f>
        <v xml:space="preserve"> 25.00 </v>
      </c>
      <c r="K1403" s="584" t="str">
        <f ca="1">IFERROR(__xludf.DUMMYFUNCTION("""COMPUTED_VALUE"""),"1.75")</f>
        <v>1.75</v>
      </c>
      <c r="L1403" s="584">
        <f ca="1">IFERROR(__xludf.DUMMYFUNCTION("""COMPUTED_VALUE"""),3)</f>
        <v>3</v>
      </c>
      <c r="M1403" s="584"/>
      <c r="N1403" s="584" t="str">
        <f ca="1">IFERROR(__xludf.DUMMYFUNCTION("""COMPUTED_VALUE"""),"Dị_D&lt;54")</f>
        <v>Dị_D&lt;54</v>
      </c>
      <c r="O1403" s="583"/>
      <c r="P1403" s="584"/>
    </row>
    <row r="1404" spans="1:16" ht="15.75">
      <c r="A1404" s="587" t="str">
        <f ca="1">IFERROR(__xludf.DUMMYFUNCTION("""COMPUTED_VALUE"""),"Taisei Việt Nam")</f>
        <v>Taisei Việt Nam</v>
      </c>
      <c r="B1404" s="587" t="str">
        <f ca="1">IFERROR(__xludf.DUMMYFUNCTION("""COMPUTED_VALUE"""),"ĐTSCAYDI")</f>
        <v>ĐTSCAYDI</v>
      </c>
      <c r="C1404" s="587" t="str">
        <f ca="1">IFERROR(__xludf.DUMMYFUNCTION("""COMPUTED_VALUE"""),"DOTTS250020030")</f>
        <v>DOTTS250020030</v>
      </c>
      <c r="D1404" s="588" t="str">
        <f ca="1">IFERROR(__xludf.DUMMYFUNCTION("""COMPUTED_VALUE"""),"Đồng ống thẳng Taisei 25.00x2.00x3.0")</f>
        <v>Đồng ống thẳng Taisei 25.00x2.00x3.0</v>
      </c>
      <c r="E1404" s="589">
        <f ca="1">IFERROR(__xludf.DUMMYFUNCTION("""COMPUTED_VALUE"""),0.1)</f>
        <v>0.1</v>
      </c>
      <c r="F1404" s="590" t="str">
        <f ca="1">IFERROR(__xludf.DUMMYFUNCTION("""COMPUTED_VALUE"""),"Cây")</f>
        <v>Cây</v>
      </c>
      <c r="G1404" s="590" t="str">
        <f ca="1">IFERROR(__xludf.DUMMYFUNCTION("""COMPUTED_VALUE"""),"Cây 3m")</f>
        <v>Cây 3m</v>
      </c>
      <c r="H1404" s="588"/>
      <c r="I1404" s="591">
        <f ca="1">IFERROR(__xludf.DUMMYFUNCTION("""COMPUTED_VALUE"""),3.864)</f>
        <v>3.8639999999999999</v>
      </c>
      <c r="J1404" s="592" t="str">
        <f ca="1">IFERROR(__xludf.DUMMYFUNCTION("""COMPUTED_VALUE""")," 25.00 ")</f>
        <v xml:space="preserve"> 25.00 </v>
      </c>
      <c r="K1404" s="590" t="str">
        <f ca="1">IFERROR(__xludf.DUMMYFUNCTION("""COMPUTED_VALUE"""),"2.00")</f>
        <v>2.00</v>
      </c>
      <c r="L1404" s="590">
        <f ca="1">IFERROR(__xludf.DUMMYFUNCTION("""COMPUTED_VALUE"""),3)</f>
        <v>3</v>
      </c>
      <c r="M1404" s="590"/>
      <c r="N1404" s="590" t="str">
        <f ca="1">IFERROR(__xludf.DUMMYFUNCTION("""COMPUTED_VALUE"""),"Dị_D&lt;54")</f>
        <v>Dị_D&lt;54</v>
      </c>
      <c r="O1404" s="589"/>
      <c r="P1404" s="590"/>
    </row>
    <row r="1405" spans="1:16" ht="15.75">
      <c r="A1405" s="581" t="str">
        <f ca="1">IFERROR(__xludf.DUMMYFUNCTION("""COMPUTED_VALUE"""),"Taisei Việt Nam")</f>
        <v>Taisei Việt Nam</v>
      </c>
      <c r="B1405" s="581" t="str">
        <f ca="1">IFERROR(__xludf.DUMMYFUNCTION("""COMPUTED_VALUE"""),"ĐTSCAYDI")</f>
        <v>ĐTSCAYDI</v>
      </c>
      <c r="C1405" s="581" t="str">
        <f ca="1">IFERROR(__xludf.DUMMYFUNCTION("""COMPUTED_VALUE"""),"DOTTS254012029")</f>
        <v>DOTTS254012029</v>
      </c>
      <c r="D1405" s="582" t="str">
        <f ca="1">IFERROR(__xludf.DUMMYFUNCTION("""COMPUTED_VALUE"""),"Đồng ống thẳng Taisei 25.40x1.20x2.9")</f>
        <v>Đồng ống thẳng Taisei 25.40x1.20x2.9</v>
      </c>
      <c r="E1405" s="583">
        <f ca="1">IFERROR(__xludf.DUMMYFUNCTION("""COMPUTED_VALUE"""),0.1)</f>
        <v>0.1</v>
      </c>
      <c r="F1405" s="584" t="str">
        <f ca="1">IFERROR(__xludf.DUMMYFUNCTION("""COMPUTED_VALUE"""),"Cây")</f>
        <v>Cây</v>
      </c>
      <c r="G1405" s="584" t="str">
        <f ca="1">IFERROR(__xludf.DUMMYFUNCTION("""COMPUTED_VALUE"""),"Cây 2.9m")</f>
        <v>Cây 2.9m</v>
      </c>
      <c r="H1405" s="582"/>
      <c r="I1405" s="585">
        <f ca="1">IFERROR(__xludf.DUMMYFUNCTION("""COMPUTED_VALUE"""),2.35804799999999)</f>
        <v>2.3580479999999899</v>
      </c>
      <c r="J1405" s="586" t="str">
        <f ca="1">IFERROR(__xludf.DUMMYFUNCTION("""COMPUTED_VALUE""")," 25.40 ")</f>
        <v xml:space="preserve"> 25.40 </v>
      </c>
      <c r="K1405" s="584" t="str">
        <f ca="1">IFERROR(__xludf.DUMMYFUNCTION("""COMPUTED_VALUE"""),"1.20")</f>
        <v>1.20</v>
      </c>
      <c r="L1405" s="584">
        <f ca="1">IFERROR(__xludf.DUMMYFUNCTION("""COMPUTED_VALUE"""),2.9)</f>
        <v>2.9</v>
      </c>
      <c r="M1405" s="584"/>
      <c r="N1405" s="584" t="str">
        <f ca="1">IFERROR(__xludf.DUMMYFUNCTION("""COMPUTED_VALUE"""),"Dị_D&lt;54")</f>
        <v>Dị_D&lt;54</v>
      </c>
      <c r="O1405" s="583"/>
      <c r="P1405" s="584"/>
    </row>
    <row r="1406" spans="1:16" ht="15.75">
      <c r="A1406" s="587" t="str">
        <f ca="1">IFERROR(__xludf.DUMMYFUNCTION("""COMPUTED_VALUE"""),"Taisei Việt Nam")</f>
        <v>Taisei Việt Nam</v>
      </c>
      <c r="B1406" s="587" t="str">
        <f ca="1">IFERROR(__xludf.DUMMYFUNCTION("""COMPUTED_VALUE"""),"ĐTSCAYDI")</f>
        <v>ĐTSCAYDI</v>
      </c>
      <c r="C1406" s="587" t="str">
        <f ca="1">IFERROR(__xludf.DUMMYFUNCTION("""COMPUTED_VALUE"""),"DOTTS265022030")</f>
        <v>DOTTS265022030</v>
      </c>
      <c r="D1406" s="588" t="str">
        <f ca="1">IFERROR(__xludf.DUMMYFUNCTION("""COMPUTED_VALUE"""),"Đồng ống thẳng Taisei 26.50x2.2x3.0")</f>
        <v>Đồng ống thẳng Taisei 26.50x2.2x3.0</v>
      </c>
      <c r="E1406" s="589">
        <f ca="1">IFERROR(__xludf.DUMMYFUNCTION("""COMPUTED_VALUE"""),0.1)</f>
        <v>0.1</v>
      </c>
      <c r="F1406" s="590" t="str">
        <f ca="1">IFERROR(__xludf.DUMMYFUNCTION("""COMPUTED_VALUE"""),"Cây")</f>
        <v>Cây</v>
      </c>
      <c r="G1406" s="590" t="str">
        <f ca="1">IFERROR(__xludf.DUMMYFUNCTION("""COMPUTED_VALUE"""),"Cây 3m")</f>
        <v>Cây 3m</v>
      </c>
      <c r="H1406" s="588"/>
      <c r="I1406" s="591">
        <f ca="1">IFERROR(__xludf.DUMMYFUNCTION("""COMPUTED_VALUE"""),4.49064)</f>
        <v>4.49064</v>
      </c>
      <c r="J1406" s="592" t="str">
        <f ca="1">IFERROR(__xludf.DUMMYFUNCTION("""COMPUTED_VALUE""")," 26.50 ")</f>
        <v xml:space="preserve"> 26.50 </v>
      </c>
      <c r="K1406" s="590" t="str">
        <f ca="1">IFERROR(__xludf.DUMMYFUNCTION("""COMPUTED_VALUE"""),"2.20")</f>
        <v>2.20</v>
      </c>
      <c r="L1406" s="590">
        <f ca="1">IFERROR(__xludf.DUMMYFUNCTION("""COMPUTED_VALUE"""),3)</f>
        <v>3</v>
      </c>
      <c r="M1406" s="590"/>
      <c r="N1406" s="590" t="str">
        <f ca="1">IFERROR(__xludf.DUMMYFUNCTION("""COMPUTED_VALUE"""),"Dị_D&lt;54")</f>
        <v>Dị_D&lt;54</v>
      </c>
      <c r="O1406" s="589"/>
      <c r="P1406" s="590"/>
    </row>
    <row r="1407" spans="1:16" ht="15.75">
      <c r="A1407" s="581" t="str">
        <f ca="1">IFERROR(__xludf.DUMMYFUNCTION("""COMPUTED_VALUE"""),"Taisei Việt Nam")</f>
        <v>Taisei Việt Nam</v>
      </c>
      <c r="B1407" s="581" t="str">
        <f ca="1">IFERROR(__xludf.DUMMYFUNCTION("""COMPUTED_VALUE"""),"ĐTSCAYDI")</f>
        <v>ĐTSCAYDI</v>
      </c>
      <c r="C1407" s="581" t="str">
        <f ca="1">IFERROR(__xludf.DUMMYFUNCTION("""COMPUTED_VALUE"""),"DOTTS265026030")</f>
        <v>DOTTS265026030</v>
      </c>
      <c r="D1407" s="582" t="str">
        <f ca="1">IFERROR(__xludf.DUMMYFUNCTION("""COMPUTED_VALUE"""),"Đồng ống thẳng Taisei 26.50x2.6x3.0")</f>
        <v>Đồng ống thẳng Taisei 26.50x2.6x3.0</v>
      </c>
      <c r="E1407" s="583">
        <f ca="1">IFERROR(__xludf.DUMMYFUNCTION("""COMPUTED_VALUE"""),0.1)</f>
        <v>0.1</v>
      </c>
      <c r="F1407" s="584" t="str">
        <f ca="1">IFERROR(__xludf.DUMMYFUNCTION("""COMPUTED_VALUE"""),"Cây")</f>
        <v>Cây</v>
      </c>
      <c r="G1407" s="584" t="str">
        <f ca="1">IFERROR(__xludf.DUMMYFUNCTION("""COMPUTED_VALUE"""),"Cây 3m")</f>
        <v>Cây 3m</v>
      </c>
      <c r="H1407" s="582"/>
      <c r="I1407" s="585">
        <f ca="1">IFERROR(__xludf.DUMMYFUNCTION("""COMPUTED_VALUE"""),5.21976)</f>
        <v>5.21976</v>
      </c>
      <c r="J1407" s="586" t="str">
        <f ca="1">IFERROR(__xludf.DUMMYFUNCTION("""COMPUTED_VALUE""")," 26.50 ")</f>
        <v xml:space="preserve"> 26.50 </v>
      </c>
      <c r="K1407" s="584" t="str">
        <f ca="1">IFERROR(__xludf.DUMMYFUNCTION("""COMPUTED_VALUE"""),"2.60")</f>
        <v>2.60</v>
      </c>
      <c r="L1407" s="584">
        <f ca="1">IFERROR(__xludf.DUMMYFUNCTION("""COMPUTED_VALUE"""),3)</f>
        <v>3</v>
      </c>
      <c r="M1407" s="584"/>
      <c r="N1407" s="584" t="str">
        <f ca="1">IFERROR(__xludf.DUMMYFUNCTION("""COMPUTED_VALUE"""),"Dị_D&lt;54")</f>
        <v>Dị_D&lt;54</v>
      </c>
      <c r="O1407" s="583"/>
      <c r="P1407" s="584"/>
    </row>
    <row r="1408" spans="1:16" ht="15.75">
      <c r="A1408" s="587" t="str">
        <f ca="1">IFERROR(__xludf.DUMMYFUNCTION("""COMPUTED_VALUE"""),"Taisei Việt Nam")</f>
        <v>Taisei Việt Nam</v>
      </c>
      <c r="B1408" s="587" t="str">
        <f ca="1">IFERROR(__xludf.DUMMYFUNCTION("""COMPUTED_VALUE"""),"ĐTSCAYDI")</f>
        <v>ĐTSCAYDI</v>
      </c>
      <c r="C1408" s="587" t="str">
        <f ca="1">IFERROR(__xludf.DUMMYFUNCTION("""COMPUTED_VALUE"""),"DOTTS280021030")</f>
        <v>DOTTS280021030</v>
      </c>
      <c r="D1408" s="588" t="str">
        <f ca="1">IFERROR(__xludf.DUMMYFUNCTION("""COMPUTED_VALUE"""),"Đồng ống thẳng taisei 28.00x2.10x3.0")</f>
        <v>Đồng ống thẳng taisei 28.00x2.10x3.0</v>
      </c>
      <c r="E1408" s="589">
        <f ca="1">IFERROR(__xludf.DUMMYFUNCTION("""COMPUTED_VALUE"""),0.1)</f>
        <v>0.1</v>
      </c>
      <c r="F1408" s="590" t="str">
        <f ca="1">IFERROR(__xludf.DUMMYFUNCTION("""COMPUTED_VALUE"""),"Cây")</f>
        <v>Cây</v>
      </c>
      <c r="G1408" s="590" t="str">
        <f ca="1">IFERROR(__xludf.DUMMYFUNCTION("""COMPUTED_VALUE"""),"Cây 3m")</f>
        <v>Cây 3m</v>
      </c>
      <c r="H1408" s="588"/>
      <c r="I1408" s="591">
        <f ca="1">IFERROR(__xludf.DUMMYFUNCTION("""COMPUTED_VALUE"""),4.56876)</f>
        <v>4.5687600000000002</v>
      </c>
      <c r="J1408" s="592" t="str">
        <f ca="1">IFERROR(__xludf.DUMMYFUNCTION("""COMPUTED_VALUE""")," 28.00 ")</f>
        <v xml:space="preserve"> 28.00 </v>
      </c>
      <c r="K1408" s="590" t="str">
        <f ca="1">IFERROR(__xludf.DUMMYFUNCTION("""COMPUTED_VALUE"""),"2.10")</f>
        <v>2.10</v>
      </c>
      <c r="L1408" s="590">
        <f ca="1">IFERROR(__xludf.DUMMYFUNCTION("""COMPUTED_VALUE"""),3)</f>
        <v>3</v>
      </c>
      <c r="M1408" s="590"/>
      <c r="N1408" s="590" t="str">
        <f ca="1">IFERROR(__xludf.DUMMYFUNCTION("""COMPUTED_VALUE"""),"Dị_D&lt;54")</f>
        <v>Dị_D&lt;54</v>
      </c>
      <c r="O1408" s="589"/>
      <c r="P1408" s="590"/>
    </row>
    <row r="1409" spans="1:16" ht="15.75">
      <c r="A1409" s="581" t="str">
        <f ca="1">IFERROR(__xludf.DUMMYFUNCTION("""COMPUTED_VALUE"""),"Taisei Việt Nam")</f>
        <v>Taisei Việt Nam</v>
      </c>
      <c r="B1409" s="581" t="str">
        <f ca="1">IFERROR(__xludf.DUMMYFUNCTION("""COMPUTED_VALUE"""),"ĐTSCAYDI")</f>
        <v>ĐTSCAYDI</v>
      </c>
      <c r="C1409" s="581" t="str">
        <f ca="1">IFERROR(__xludf.DUMMYFUNCTION("""COMPUTED_VALUE"""),"DOTTS290022030")</f>
        <v>DOTTS290022030</v>
      </c>
      <c r="D1409" s="582" t="str">
        <f ca="1">IFERROR(__xludf.DUMMYFUNCTION("""COMPUTED_VALUE"""),"Đồng ống thẳng Taisei 29.00x2.20x3.0")</f>
        <v>Đồng ống thẳng Taisei 29.00x2.20x3.0</v>
      </c>
      <c r="E1409" s="583">
        <f ca="1">IFERROR(__xludf.DUMMYFUNCTION("""COMPUTED_VALUE"""),0.1)</f>
        <v>0.1</v>
      </c>
      <c r="F1409" s="584" t="str">
        <f ca="1">IFERROR(__xludf.DUMMYFUNCTION("""COMPUTED_VALUE"""),"Cây")</f>
        <v>Cây</v>
      </c>
      <c r="G1409" s="584" t="str">
        <f ca="1">IFERROR(__xludf.DUMMYFUNCTION("""COMPUTED_VALUE"""),"Cây 3m")</f>
        <v>Cây 3m</v>
      </c>
      <c r="H1409" s="582"/>
      <c r="I1409" s="585">
        <f ca="1">IFERROR(__xludf.DUMMYFUNCTION("""COMPUTED_VALUE"""),4.95264)</f>
        <v>4.9526399999999997</v>
      </c>
      <c r="J1409" s="586" t="str">
        <f ca="1">IFERROR(__xludf.DUMMYFUNCTION("""COMPUTED_VALUE""")," 29.00 ")</f>
        <v xml:space="preserve"> 29.00 </v>
      </c>
      <c r="K1409" s="584" t="str">
        <f ca="1">IFERROR(__xludf.DUMMYFUNCTION("""COMPUTED_VALUE"""),"2.20")</f>
        <v>2.20</v>
      </c>
      <c r="L1409" s="584">
        <f ca="1">IFERROR(__xludf.DUMMYFUNCTION("""COMPUTED_VALUE"""),3)</f>
        <v>3</v>
      </c>
      <c r="M1409" s="584"/>
      <c r="N1409" s="584" t="str">
        <f ca="1">IFERROR(__xludf.DUMMYFUNCTION("""COMPUTED_VALUE"""),"Dị_D&lt;54")</f>
        <v>Dị_D&lt;54</v>
      </c>
      <c r="O1409" s="583"/>
      <c r="P1409" s="584"/>
    </row>
    <row r="1410" spans="1:16" ht="15.75">
      <c r="A1410" s="587" t="str">
        <f ca="1">IFERROR(__xludf.DUMMYFUNCTION("""COMPUTED_VALUE"""),"Taisei Việt Nam")</f>
        <v>Taisei Việt Nam</v>
      </c>
      <c r="B1410" s="587" t="str">
        <f ca="1">IFERROR(__xludf.DUMMYFUNCTION("""COMPUTED_VALUE"""),"ĐTSCAYDI")</f>
        <v>ĐTSCAYDI</v>
      </c>
      <c r="C1410" s="587" t="str">
        <f ca="1">IFERROR(__xludf.DUMMYFUNCTION("""COMPUTED_VALUE"""),"DOTTS290022530")</f>
        <v>DOTTS290022530</v>
      </c>
      <c r="D1410" s="588" t="str">
        <f ca="1">IFERROR(__xludf.DUMMYFUNCTION("""COMPUTED_VALUE"""),"Đồng ống thẳng Taisei 29.00x2.25x3.0")</f>
        <v>Đồng ống thẳng Taisei 29.00x2.25x3.0</v>
      </c>
      <c r="E1410" s="589">
        <f ca="1">IFERROR(__xludf.DUMMYFUNCTION("""COMPUTED_VALUE"""),0.1)</f>
        <v>0.1</v>
      </c>
      <c r="F1410" s="590" t="str">
        <f ca="1">IFERROR(__xludf.DUMMYFUNCTION("""COMPUTED_VALUE"""),"Cây")</f>
        <v>Cây</v>
      </c>
      <c r="G1410" s="590" t="str">
        <f ca="1">IFERROR(__xludf.DUMMYFUNCTION("""COMPUTED_VALUE"""),"Cây 3m")</f>
        <v>Cây 3m</v>
      </c>
      <c r="H1410" s="588"/>
      <c r="I1410" s="591">
        <f ca="1">IFERROR(__xludf.DUMMYFUNCTION("""COMPUTED_VALUE"""),5.05575)</f>
        <v>5.0557499999999997</v>
      </c>
      <c r="J1410" s="592" t="str">
        <f ca="1">IFERROR(__xludf.DUMMYFUNCTION("""COMPUTED_VALUE""")," 29.00 ")</f>
        <v xml:space="preserve"> 29.00 </v>
      </c>
      <c r="K1410" s="590" t="str">
        <f ca="1">IFERROR(__xludf.DUMMYFUNCTION("""COMPUTED_VALUE"""),"2.25")</f>
        <v>2.25</v>
      </c>
      <c r="L1410" s="590">
        <f ca="1">IFERROR(__xludf.DUMMYFUNCTION("""COMPUTED_VALUE"""),3)</f>
        <v>3</v>
      </c>
      <c r="M1410" s="590"/>
      <c r="N1410" s="590" t="str">
        <f ca="1">IFERROR(__xludf.DUMMYFUNCTION("""COMPUTED_VALUE"""),"Dị_D&lt;54")</f>
        <v>Dị_D&lt;54</v>
      </c>
      <c r="O1410" s="589"/>
      <c r="P1410" s="590"/>
    </row>
    <row r="1411" spans="1:16" ht="15.75">
      <c r="A1411" s="581" t="str">
        <f ca="1">IFERROR(__xludf.DUMMYFUNCTION("""COMPUTED_VALUE"""),"Taisei Việt Nam")</f>
        <v>Taisei Việt Nam</v>
      </c>
      <c r="B1411" s="581" t="str">
        <f ca="1">IFERROR(__xludf.DUMMYFUNCTION("""COMPUTED_VALUE"""),"ĐTSCAYDI")</f>
        <v>ĐTSCAYDI</v>
      </c>
      <c r="C1411" s="581" t="str">
        <f ca="1">IFERROR(__xludf.DUMMYFUNCTION("""COMPUTED_VALUE"""),"DOTTS2900230300")</f>
        <v>DOTTS2900230300</v>
      </c>
      <c r="D1411" s="582" t="str">
        <f ca="1">IFERROR(__xludf.DUMMYFUNCTION("""COMPUTED_VALUE"""),"Đồng ống thẳng Taisei 29.00x2.30x3.0")</f>
        <v>Đồng ống thẳng Taisei 29.00x2.30x3.0</v>
      </c>
      <c r="E1411" s="583">
        <f ca="1">IFERROR(__xludf.DUMMYFUNCTION("""COMPUTED_VALUE"""),0.1)</f>
        <v>0.1</v>
      </c>
      <c r="F1411" s="584" t="str">
        <f ca="1">IFERROR(__xludf.DUMMYFUNCTION("""COMPUTED_VALUE"""),"Cây")</f>
        <v>Cây</v>
      </c>
      <c r="G1411" s="584" t="str">
        <f ca="1">IFERROR(__xludf.DUMMYFUNCTION("""COMPUTED_VALUE"""),"Cây 3m")</f>
        <v>Cây 3m</v>
      </c>
      <c r="H1411" s="582"/>
      <c r="I1411" s="585">
        <f ca="1">IFERROR(__xludf.DUMMYFUNCTION("""COMPUTED_VALUE"""),5.15844)</f>
        <v>5.1584399999999997</v>
      </c>
      <c r="J1411" s="586" t="str">
        <f ca="1">IFERROR(__xludf.DUMMYFUNCTION("""COMPUTED_VALUE""")," 29.00 ")</f>
        <v xml:space="preserve"> 29.00 </v>
      </c>
      <c r="K1411" s="584" t="str">
        <f ca="1">IFERROR(__xludf.DUMMYFUNCTION("""COMPUTED_VALUE"""),"2.30")</f>
        <v>2.30</v>
      </c>
      <c r="L1411" s="584">
        <f ca="1">IFERROR(__xludf.DUMMYFUNCTION("""COMPUTED_VALUE"""),3)</f>
        <v>3</v>
      </c>
      <c r="M1411" s="584"/>
      <c r="N1411" s="584" t="str">
        <f ca="1">IFERROR(__xludf.DUMMYFUNCTION("""COMPUTED_VALUE"""),"Dị_D&lt;54")</f>
        <v>Dị_D&lt;54</v>
      </c>
      <c r="O1411" s="583"/>
      <c r="P1411" s="584"/>
    </row>
    <row r="1412" spans="1:16" ht="15.75">
      <c r="A1412" s="587" t="str">
        <f ca="1">IFERROR(__xludf.DUMMYFUNCTION("""COMPUTED_VALUE"""),"Taisei Việt Nam")</f>
        <v>Taisei Việt Nam</v>
      </c>
      <c r="B1412" s="587" t="str">
        <f ca="1">IFERROR(__xludf.DUMMYFUNCTION("""COMPUTED_VALUE"""),"ĐTSCAYDI")</f>
        <v>ĐTSCAYDI</v>
      </c>
      <c r="C1412" s="587" t="str">
        <f ca="1">IFERROR(__xludf.DUMMYFUNCTION("""COMPUTED_VALUE"""),"DOTTS2900230305")</f>
        <v>DOTTS2900230305</v>
      </c>
      <c r="D1412" s="588" t="str">
        <f ca="1">IFERROR(__xludf.DUMMYFUNCTION("""COMPUTED_VALUE"""),"Đồng ống thẳng Taisei 29.00x2.30x3.05")</f>
        <v>Đồng ống thẳng Taisei 29.00x2.30x3.05</v>
      </c>
      <c r="E1412" s="589">
        <f ca="1">IFERROR(__xludf.DUMMYFUNCTION("""COMPUTED_VALUE"""),0.1)</f>
        <v>0.1</v>
      </c>
      <c r="F1412" s="590" t="str">
        <f ca="1">IFERROR(__xludf.DUMMYFUNCTION("""COMPUTED_VALUE"""),"Cây")</f>
        <v>Cây</v>
      </c>
      <c r="G1412" s="590" t="str">
        <f ca="1">IFERROR(__xludf.DUMMYFUNCTION("""COMPUTED_VALUE"""),"Cây 3.05m")</f>
        <v>Cây 3.05m</v>
      </c>
      <c r="H1412" s="588"/>
      <c r="I1412" s="591">
        <f ca="1">IFERROR(__xludf.DUMMYFUNCTION("""COMPUTED_VALUE"""),5.24441399999999)</f>
        <v>5.2444139999999901</v>
      </c>
      <c r="J1412" s="592" t="str">
        <f ca="1">IFERROR(__xludf.DUMMYFUNCTION("""COMPUTED_VALUE""")," 29.00 ")</f>
        <v xml:space="preserve"> 29.00 </v>
      </c>
      <c r="K1412" s="590" t="str">
        <f ca="1">IFERROR(__xludf.DUMMYFUNCTION("""COMPUTED_VALUE"""),"2.30")</f>
        <v>2.30</v>
      </c>
      <c r="L1412" s="590">
        <f ca="1">IFERROR(__xludf.DUMMYFUNCTION("""COMPUTED_VALUE"""),3.05)</f>
        <v>3.05</v>
      </c>
      <c r="M1412" s="590"/>
      <c r="N1412" s="590" t="str">
        <f ca="1">IFERROR(__xludf.DUMMYFUNCTION("""COMPUTED_VALUE"""),"Dị_D&lt;54")</f>
        <v>Dị_D&lt;54</v>
      </c>
      <c r="O1412" s="589"/>
      <c r="P1412" s="590"/>
    </row>
    <row r="1413" spans="1:16" ht="15.75">
      <c r="A1413" s="581" t="str">
        <f ca="1">IFERROR(__xludf.DUMMYFUNCTION("""COMPUTED_VALUE"""),"Taisei Việt Nam")</f>
        <v>Taisei Việt Nam</v>
      </c>
      <c r="B1413" s="581" t="str">
        <f ca="1">IFERROR(__xludf.DUMMYFUNCTION("""COMPUTED_VALUE"""),"ĐTSCAYDI")</f>
        <v>ĐTSCAYDI</v>
      </c>
      <c r="C1413" s="581" t="str">
        <f ca="1">IFERROR(__xludf.DUMMYFUNCTION("""COMPUTED_VALUE"""),"DOTTS300028030")</f>
        <v>DOTTS300028030</v>
      </c>
      <c r="D1413" s="582" t="str">
        <f ca="1">IFERROR(__xludf.DUMMYFUNCTION("""COMPUTED_VALUE"""),"Đồng ống thẳng Taisei 30.00x2.80x3.0")</f>
        <v>Đồng ống thẳng Taisei 30.00x2.80x3.0</v>
      </c>
      <c r="E1413" s="583">
        <f ca="1">IFERROR(__xludf.DUMMYFUNCTION("""COMPUTED_VALUE"""),0.1)</f>
        <v>0.1</v>
      </c>
      <c r="F1413" s="584" t="str">
        <f ca="1">IFERROR(__xludf.DUMMYFUNCTION("""COMPUTED_VALUE"""),"Cây")</f>
        <v>Cây</v>
      </c>
      <c r="G1413" s="584" t="str">
        <f ca="1">IFERROR(__xludf.DUMMYFUNCTION("""COMPUTED_VALUE"""),"Cây 3m")</f>
        <v>Cây 3m</v>
      </c>
      <c r="H1413" s="582"/>
      <c r="I1413" s="585">
        <f ca="1">IFERROR(__xludf.DUMMYFUNCTION("""COMPUTED_VALUE"""),6.39744)</f>
        <v>6.3974399999999996</v>
      </c>
      <c r="J1413" s="586" t="str">
        <f ca="1">IFERROR(__xludf.DUMMYFUNCTION("""COMPUTED_VALUE""")," 30.00 ")</f>
        <v xml:space="preserve"> 30.00 </v>
      </c>
      <c r="K1413" s="584" t="str">
        <f ca="1">IFERROR(__xludf.DUMMYFUNCTION("""COMPUTED_VALUE"""),"2.80")</f>
        <v>2.80</v>
      </c>
      <c r="L1413" s="584">
        <f ca="1">IFERROR(__xludf.DUMMYFUNCTION("""COMPUTED_VALUE"""),3)</f>
        <v>3</v>
      </c>
      <c r="M1413" s="584"/>
      <c r="N1413" s="584" t="str">
        <f ca="1">IFERROR(__xludf.DUMMYFUNCTION("""COMPUTED_VALUE"""),"Dị_D&lt;54")</f>
        <v>Dị_D&lt;54</v>
      </c>
      <c r="O1413" s="583"/>
      <c r="P1413" s="584"/>
    </row>
    <row r="1414" spans="1:16" ht="15.75">
      <c r="A1414" s="587" t="str">
        <f ca="1">IFERROR(__xludf.DUMMYFUNCTION("""COMPUTED_VALUE"""),"Taisei Việt Nam")</f>
        <v>Taisei Việt Nam</v>
      </c>
      <c r="B1414" s="587" t="str">
        <f ca="1">IFERROR(__xludf.DUMMYFUNCTION("""COMPUTED_VALUE"""),"ĐTSCAYDI")</f>
        <v>ĐTSCAYDI</v>
      </c>
      <c r="C1414" s="587" t="str">
        <f ca="1">IFERROR(__xludf.DUMMYFUNCTION("""COMPUTED_VALUE"""),"DOTTS330026030")</f>
        <v>DOTTS330026030</v>
      </c>
      <c r="D1414" s="588" t="str">
        <f ca="1">IFERROR(__xludf.DUMMYFUNCTION("""COMPUTED_VALUE"""),"Đồng ống thẳng Taisei 33.00x2.60x3.0")</f>
        <v>Đồng ống thẳng Taisei 33.00x2.60x3.0</v>
      </c>
      <c r="E1414" s="589">
        <f ca="1">IFERROR(__xludf.DUMMYFUNCTION("""COMPUTED_VALUE"""),0.1)</f>
        <v>0.1</v>
      </c>
      <c r="F1414" s="590" t="str">
        <f ca="1">IFERROR(__xludf.DUMMYFUNCTION("""COMPUTED_VALUE"""),"Cây")</f>
        <v>Cây</v>
      </c>
      <c r="G1414" s="590" t="str">
        <f ca="1">IFERROR(__xludf.DUMMYFUNCTION("""COMPUTED_VALUE"""),"Cây 3m")</f>
        <v>Cây 3m</v>
      </c>
      <c r="H1414" s="588"/>
      <c r="I1414" s="591">
        <f ca="1">IFERROR(__xludf.DUMMYFUNCTION("""COMPUTED_VALUE"""),6.63936)</f>
        <v>6.6393599999999999</v>
      </c>
      <c r="J1414" s="592" t="str">
        <f ca="1">IFERROR(__xludf.DUMMYFUNCTION("""COMPUTED_VALUE""")," 33.00 ")</f>
        <v xml:space="preserve"> 33.00 </v>
      </c>
      <c r="K1414" s="590" t="str">
        <f ca="1">IFERROR(__xludf.DUMMYFUNCTION("""COMPUTED_VALUE"""),"2.60")</f>
        <v>2.60</v>
      </c>
      <c r="L1414" s="590">
        <f ca="1">IFERROR(__xludf.DUMMYFUNCTION("""COMPUTED_VALUE"""),3)</f>
        <v>3</v>
      </c>
      <c r="M1414" s="590"/>
      <c r="N1414" s="590" t="str">
        <f ca="1">IFERROR(__xludf.DUMMYFUNCTION("""COMPUTED_VALUE"""),"Dị_D&lt;54")</f>
        <v>Dị_D&lt;54</v>
      </c>
      <c r="O1414" s="589"/>
      <c r="P1414" s="590"/>
    </row>
    <row r="1415" spans="1:16" ht="15.75">
      <c r="A1415" s="581" t="str">
        <f ca="1">IFERROR(__xludf.DUMMYFUNCTION("""COMPUTED_VALUE"""),"Taisei Việt Nam")</f>
        <v>Taisei Việt Nam</v>
      </c>
      <c r="B1415" s="581" t="str">
        <f ca="1">IFERROR(__xludf.DUMMYFUNCTION("""COMPUTED_VALUE"""),"ĐTSBANH")</f>
        <v>ĐTSBANH</v>
      </c>
      <c r="C1415" s="581" t="str">
        <f ca="1">IFERROR(__xludf.DUMMYFUNCTION("""COMPUTED_VALUE"""),"DOLWCTS0500051")</f>
        <v>DOLWCTS0500051</v>
      </c>
      <c r="D1415" s="582" t="str">
        <f ca="1">IFERROR(__xludf.DUMMYFUNCTION("""COMPUTED_VALUE"""),"Đồng ống LWC Taisei 5.00x0.51 ")</f>
        <v xml:space="preserve">Đồng ống LWC Taisei 5.00x0.51 </v>
      </c>
      <c r="E1415" s="583">
        <f ca="1">IFERROR(__xludf.DUMMYFUNCTION("""COMPUTED_VALUE"""),0.1)</f>
        <v>0.1</v>
      </c>
      <c r="F1415" s="584" t="str">
        <f ca="1">IFERROR(__xludf.DUMMYFUNCTION("""COMPUTED_VALUE"""),"m")</f>
        <v>m</v>
      </c>
      <c r="G1415" s="584" t="str">
        <f ca="1">IFERROR(__xludf.DUMMYFUNCTION("""COMPUTED_VALUE"""),"m")</f>
        <v>m</v>
      </c>
      <c r="H1415" s="582"/>
      <c r="I1415" s="585">
        <f ca="1">IFERROR(__xludf.DUMMYFUNCTION("""COMPUTED_VALUE"""),0.0641172)</f>
        <v>6.4117199999999999E-2</v>
      </c>
      <c r="J1415" s="586" t="str">
        <f ca="1">IFERROR(__xludf.DUMMYFUNCTION("""COMPUTED_VALUE""")," 05.00 ")</f>
        <v xml:space="preserve"> 05.00 </v>
      </c>
      <c r="K1415" s="584" t="str">
        <f ca="1">IFERROR(__xludf.DUMMYFUNCTION("""COMPUTED_VALUE"""),"0.51")</f>
        <v>0.51</v>
      </c>
      <c r="L1415" s="584">
        <f ca="1">IFERROR(__xludf.DUMMYFUNCTION("""COMPUTED_VALUE"""),1)</f>
        <v>1</v>
      </c>
      <c r="M1415" s="584"/>
      <c r="N1415" s="584" t="str">
        <f ca="1">IFERROR(__xludf.DUMMYFUNCTION("""COMPUTED_VALUE"""),"Dị_D&lt;54")</f>
        <v>Dị_D&lt;54</v>
      </c>
      <c r="O1415" s="583"/>
      <c r="P1415" s="584"/>
    </row>
    <row r="1416" spans="1:16" ht="15.75">
      <c r="A1416" s="587" t="str">
        <f ca="1">IFERROR(__xludf.DUMMYFUNCTION("""COMPUTED_VALUE"""),"Taisei Việt Nam")</f>
        <v>Taisei Việt Nam</v>
      </c>
      <c r="B1416" s="587" t="str">
        <f ca="1">IFERROR(__xludf.DUMMYFUNCTION("""COMPUTED_VALUE"""),"ĐTSBANH")</f>
        <v>ĐTSBANH</v>
      </c>
      <c r="C1416" s="587" t="str">
        <f ca="1">IFERROR(__xludf.DUMMYFUNCTION("""COMPUTED_VALUE"""),"DOLWCTS0550051")</f>
        <v>DOLWCTS0550051</v>
      </c>
      <c r="D1416" s="588" t="str">
        <f ca="1">IFERROR(__xludf.DUMMYFUNCTION("""COMPUTED_VALUE"""),"Đồng ống LWC Taisei 5.50x0.51")</f>
        <v>Đồng ống LWC Taisei 5.50x0.51</v>
      </c>
      <c r="E1416" s="589">
        <f ca="1">IFERROR(__xludf.DUMMYFUNCTION("""COMPUTED_VALUE"""),0.1)</f>
        <v>0.1</v>
      </c>
      <c r="F1416" s="590" t="str">
        <f ca="1">IFERROR(__xludf.DUMMYFUNCTION("""COMPUTED_VALUE"""),"m")</f>
        <v>m</v>
      </c>
      <c r="G1416" s="590" t="str">
        <f ca="1">IFERROR(__xludf.DUMMYFUNCTION("""COMPUTED_VALUE"""),"m")</f>
        <v>m</v>
      </c>
      <c r="H1416" s="588"/>
      <c r="I1416" s="591">
        <f ca="1">IFERROR(__xludf.DUMMYFUNCTION("""COMPUTED_VALUE"""),0.0712572)</f>
        <v>7.1257200000000007E-2</v>
      </c>
      <c r="J1416" s="592" t="str">
        <f ca="1">IFERROR(__xludf.DUMMYFUNCTION("""COMPUTED_VALUE""")," 05.50 ")</f>
        <v xml:space="preserve"> 05.50 </v>
      </c>
      <c r="K1416" s="590" t="str">
        <f ca="1">IFERROR(__xludf.DUMMYFUNCTION("""COMPUTED_VALUE"""),"0.51")</f>
        <v>0.51</v>
      </c>
      <c r="L1416" s="590">
        <f ca="1">IFERROR(__xludf.DUMMYFUNCTION("""COMPUTED_VALUE"""),1)</f>
        <v>1</v>
      </c>
      <c r="M1416" s="590"/>
      <c r="N1416" s="590" t="str">
        <f ca="1">IFERROR(__xludf.DUMMYFUNCTION("""COMPUTED_VALUE"""),"Dị_D&lt;54")</f>
        <v>Dị_D&lt;54</v>
      </c>
      <c r="O1416" s="589"/>
      <c r="P1416" s="590"/>
    </row>
    <row r="1417" spans="1:16" ht="15.75">
      <c r="A1417" s="581" t="str">
        <f ca="1">IFERROR(__xludf.DUMMYFUNCTION("""COMPUTED_VALUE"""),"Taisei Việt Nam")</f>
        <v>Taisei Việt Nam</v>
      </c>
      <c r="B1417" s="581" t="str">
        <f ca="1">IFERROR(__xludf.DUMMYFUNCTION("""COMPUTED_VALUE"""),"ĐTSBANH")</f>
        <v>ĐTSBANH</v>
      </c>
      <c r="C1417" s="581" t="str">
        <f ca="1">IFERROR(__xludf.DUMMYFUNCTION("""COMPUTED_VALUE"""),"DOLWCTS0635055")</f>
        <v>DOLWCTS0635055</v>
      </c>
      <c r="D1417" s="582" t="str">
        <f ca="1">IFERROR(__xludf.DUMMYFUNCTION("""COMPUTED_VALUE"""),"Đồng ống LWC Taisei 06.35x0.55")</f>
        <v>Đồng ống LWC Taisei 06.35x0.55</v>
      </c>
      <c r="E1417" s="583">
        <f ca="1">IFERROR(__xludf.DUMMYFUNCTION("""COMPUTED_VALUE"""),0.1)</f>
        <v>0.1</v>
      </c>
      <c r="F1417" s="584" t="str">
        <f ca="1">IFERROR(__xludf.DUMMYFUNCTION("""COMPUTED_VALUE"""),"m")</f>
        <v>m</v>
      </c>
      <c r="G1417" s="584" t="str">
        <f ca="1">IFERROR(__xludf.DUMMYFUNCTION("""COMPUTED_VALUE"""),"m")</f>
        <v>m</v>
      </c>
      <c r="H1417" s="582"/>
      <c r="I1417" s="585">
        <f ca="1">IFERROR(__xludf.DUMMYFUNCTION("""COMPUTED_VALUE"""),0.08932)</f>
        <v>8.9319999999999997E-2</v>
      </c>
      <c r="J1417" s="586" t="str">
        <f ca="1">IFERROR(__xludf.DUMMYFUNCTION("""COMPUTED_VALUE""")," 06.35 ")</f>
        <v xml:space="preserve"> 06.35 </v>
      </c>
      <c r="K1417" s="584" t="str">
        <f ca="1">IFERROR(__xludf.DUMMYFUNCTION("""COMPUTED_VALUE"""),"0.55")</f>
        <v>0.55</v>
      </c>
      <c r="L1417" s="584">
        <f ca="1">IFERROR(__xludf.DUMMYFUNCTION("""COMPUTED_VALUE"""),1)</f>
        <v>1</v>
      </c>
      <c r="M1417" s="584"/>
      <c r="N1417" s="584" t="str">
        <f ca="1">IFERROR(__xludf.DUMMYFUNCTION("""COMPUTED_VALUE"""),"Dị_D&lt;54")</f>
        <v>Dị_D&lt;54</v>
      </c>
      <c r="O1417" s="583"/>
      <c r="P1417" s="584"/>
    </row>
    <row r="1418" spans="1:16" ht="15.75">
      <c r="A1418" s="587" t="str">
        <f ca="1">IFERROR(__xludf.DUMMYFUNCTION("""COMPUTED_VALUE"""),"Taisei Việt Nam")</f>
        <v>Taisei Việt Nam</v>
      </c>
      <c r="B1418" s="587" t="str">
        <f ca="1">IFERROR(__xludf.DUMMYFUNCTION("""COMPUTED_VALUE"""),"ĐTSBANH")</f>
        <v>ĐTSBANH</v>
      </c>
      <c r="C1418" s="587" t="str">
        <f ca="1">IFERROR(__xludf.DUMMYFUNCTION("""COMPUTED_VALUE"""),"DOLWCTSKI0635051")</f>
        <v>DOLWCTSKI0635051</v>
      </c>
      <c r="D1418" s="588" t="str">
        <f ca="1">IFERROR(__xludf.DUMMYFUNCTION("""COMPUTED_VALUE"""),"Đồng ống LWC Taisei KI 06.35x0.51")</f>
        <v>Đồng ống LWC Taisei KI 06.35x0.51</v>
      </c>
      <c r="E1418" s="589">
        <f ca="1">IFERROR(__xludf.DUMMYFUNCTION("""COMPUTED_VALUE"""),0.1)</f>
        <v>0.1</v>
      </c>
      <c r="F1418" s="590" t="str">
        <f ca="1">IFERROR(__xludf.DUMMYFUNCTION("""COMPUTED_VALUE"""),"m")</f>
        <v>m</v>
      </c>
      <c r="G1418" s="590" t="str">
        <f ca="1">IFERROR(__xludf.DUMMYFUNCTION("""COMPUTED_VALUE"""),"m")</f>
        <v>m</v>
      </c>
      <c r="H1418" s="588"/>
      <c r="I1418" s="591">
        <f ca="1">IFERROR(__xludf.DUMMYFUNCTION("""COMPUTED_VALUE"""),0.0833952)</f>
        <v>8.3395200000000003E-2</v>
      </c>
      <c r="J1418" s="592" t="str">
        <f ca="1">IFERROR(__xludf.DUMMYFUNCTION("""COMPUTED_VALUE""")," 06.35 ")</f>
        <v xml:space="preserve"> 06.35 </v>
      </c>
      <c r="K1418" s="590" t="str">
        <f ca="1">IFERROR(__xludf.DUMMYFUNCTION("""COMPUTED_VALUE"""),"0.51")</f>
        <v>0.51</v>
      </c>
      <c r="L1418" s="590">
        <f ca="1">IFERROR(__xludf.DUMMYFUNCTION("""COMPUTED_VALUE"""),1)</f>
        <v>1</v>
      </c>
      <c r="M1418" s="590" t="str">
        <f ca="1">IFERROR(__xludf.DUMMYFUNCTION("""COMPUTED_VALUE"""),"KI")</f>
        <v>KI</v>
      </c>
      <c r="N1418" s="590" t="str">
        <f ca="1">IFERROR(__xludf.DUMMYFUNCTION("""COMPUTED_VALUE"""),"Dị_D&lt;54")</f>
        <v>Dị_D&lt;54</v>
      </c>
      <c r="O1418" s="589">
        <f ca="1">IFERROR(__xludf.DUMMYFUNCTION("""COMPUTED_VALUE"""),1)</f>
        <v>1</v>
      </c>
      <c r="P1418" s="590"/>
    </row>
    <row r="1419" spans="1:16" ht="15.75">
      <c r="A1419" s="581" t="str">
        <f ca="1">IFERROR(__xludf.DUMMYFUNCTION("""COMPUTED_VALUE"""),"Taisei Việt Nam")</f>
        <v>Taisei Việt Nam</v>
      </c>
      <c r="B1419" s="581" t="str">
        <f ca="1">IFERROR(__xludf.DUMMYFUNCTION("""COMPUTED_VALUE"""),"ĐTSBANH")</f>
        <v>ĐTSBANH</v>
      </c>
      <c r="C1419" s="581" t="str">
        <f ca="1">IFERROR(__xludf.DUMMYFUNCTION("""COMPUTED_VALUE"""),"DOLWCTS0635061")</f>
        <v>DOLWCTS0635061</v>
      </c>
      <c r="D1419" s="582" t="str">
        <f ca="1">IFERROR(__xludf.DUMMYFUNCTION("""COMPUTED_VALUE"""),"Đồng ống LWC Taisei 06.35x0.61")</f>
        <v>Đồng ống LWC Taisei 06.35x0.61</v>
      </c>
      <c r="E1419" s="583">
        <f ca="1">IFERROR(__xludf.DUMMYFUNCTION("""COMPUTED_VALUE"""),0.1)</f>
        <v>0.1</v>
      </c>
      <c r="F1419" s="584" t="str">
        <f ca="1">IFERROR(__xludf.DUMMYFUNCTION("""COMPUTED_VALUE"""),"m")</f>
        <v>m</v>
      </c>
      <c r="G1419" s="584" t="str">
        <f ca="1">IFERROR(__xludf.DUMMYFUNCTION("""COMPUTED_VALUE"""),"m")</f>
        <v>m</v>
      </c>
      <c r="H1419" s="582"/>
      <c r="I1419" s="585">
        <f ca="1">IFERROR(__xludf.DUMMYFUNCTION("""COMPUTED_VALUE"""),0.0980391999999999)</f>
        <v>9.8039199999999896E-2</v>
      </c>
      <c r="J1419" s="586" t="str">
        <f ca="1">IFERROR(__xludf.DUMMYFUNCTION("""COMPUTED_VALUE""")," 06.35 ")</f>
        <v xml:space="preserve"> 06.35 </v>
      </c>
      <c r="K1419" s="584" t="str">
        <f ca="1">IFERROR(__xludf.DUMMYFUNCTION("""COMPUTED_VALUE"""),"0.61")</f>
        <v>0.61</v>
      </c>
      <c r="L1419" s="584">
        <f ca="1">IFERROR(__xludf.DUMMYFUNCTION("""COMPUTED_VALUE"""),1)</f>
        <v>1</v>
      </c>
      <c r="M1419" s="584"/>
      <c r="N1419" s="584" t="str">
        <f ca="1">IFERROR(__xludf.DUMMYFUNCTION("""COMPUTED_VALUE"""),"Dị_D&lt;54")</f>
        <v>Dị_D&lt;54</v>
      </c>
      <c r="O1419" s="583">
        <f ca="1">IFERROR(__xludf.DUMMYFUNCTION("""COMPUTED_VALUE"""),1)</f>
        <v>1</v>
      </c>
      <c r="P1419" s="584"/>
    </row>
    <row r="1420" spans="1:16" ht="15.75">
      <c r="A1420" s="587" t="str">
        <f ca="1">IFERROR(__xludf.DUMMYFUNCTION("""COMPUTED_VALUE"""),"Taisei Việt Nam")</f>
        <v>Taisei Việt Nam</v>
      </c>
      <c r="B1420" s="587" t="str">
        <f ca="1">IFERROR(__xludf.DUMMYFUNCTION("""COMPUTED_VALUE"""),"ĐTSBANH")</f>
        <v>ĐTSBANH</v>
      </c>
      <c r="C1420" s="587" t="str">
        <f ca="1">IFERROR(__xludf.DUMMYFUNCTION("""COMPUTED_VALUE"""),"DOLWCTSKI0635061")</f>
        <v>DOLWCTSKI0635061</v>
      </c>
      <c r="D1420" s="588" t="str">
        <f ca="1">IFERROR(__xludf.DUMMYFUNCTION("""COMPUTED_VALUE"""),"Đồng ống LWC Taisei KI 06.35x0.61")</f>
        <v>Đồng ống LWC Taisei KI 06.35x0.61</v>
      </c>
      <c r="E1420" s="589">
        <f ca="1">IFERROR(__xludf.DUMMYFUNCTION("""COMPUTED_VALUE"""),0.1)</f>
        <v>0.1</v>
      </c>
      <c r="F1420" s="590" t="str">
        <f ca="1">IFERROR(__xludf.DUMMYFUNCTION("""COMPUTED_VALUE"""),"m")</f>
        <v>m</v>
      </c>
      <c r="G1420" s="590" t="str">
        <f ca="1">IFERROR(__xludf.DUMMYFUNCTION("""COMPUTED_VALUE"""),"m")</f>
        <v>m</v>
      </c>
      <c r="H1420" s="588"/>
      <c r="I1420" s="591">
        <f ca="1">IFERROR(__xludf.DUMMYFUNCTION("""COMPUTED_VALUE"""),0.0980391999999999)</f>
        <v>9.8039199999999896E-2</v>
      </c>
      <c r="J1420" s="592" t="str">
        <f ca="1">IFERROR(__xludf.DUMMYFUNCTION("""COMPUTED_VALUE""")," 06.35 ")</f>
        <v xml:space="preserve"> 06.35 </v>
      </c>
      <c r="K1420" s="590" t="str">
        <f ca="1">IFERROR(__xludf.DUMMYFUNCTION("""COMPUTED_VALUE"""),"0.61")</f>
        <v>0.61</v>
      </c>
      <c r="L1420" s="590">
        <f ca="1">IFERROR(__xludf.DUMMYFUNCTION("""COMPUTED_VALUE"""),1)</f>
        <v>1</v>
      </c>
      <c r="M1420" s="590" t="str">
        <f ca="1">IFERROR(__xludf.DUMMYFUNCTION("""COMPUTED_VALUE"""),"KI")</f>
        <v>KI</v>
      </c>
      <c r="N1420" s="590" t="str">
        <f ca="1">IFERROR(__xludf.DUMMYFUNCTION("""COMPUTED_VALUE"""),"Dị_D&lt;54")</f>
        <v>Dị_D&lt;54</v>
      </c>
      <c r="O1420" s="589">
        <f ca="1">IFERROR(__xludf.DUMMYFUNCTION("""COMPUTED_VALUE"""),1)</f>
        <v>1</v>
      </c>
      <c r="P1420" s="590"/>
    </row>
    <row r="1421" spans="1:16" ht="15.75">
      <c r="A1421" s="581" t="str">
        <f ca="1">IFERROR(__xludf.DUMMYFUNCTION("""COMPUTED_VALUE"""),"Taisei Việt Nam")</f>
        <v>Taisei Việt Nam</v>
      </c>
      <c r="B1421" s="581" t="str">
        <f ca="1">IFERROR(__xludf.DUMMYFUNCTION("""COMPUTED_VALUE"""),"ĐTSBANH")</f>
        <v>ĐTSBANH</v>
      </c>
      <c r="C1421" s="581" t="str">
        <f ca="1">IFERROR(__xludf.DUMMYFUNCTION("""COMPUTED_VALUE"""),"DOLWCTS0635065")</f>
        <v>DOLWCTS0635065</v>
      </c>
      <c r="D1421" s="582" t="str">
        <f ca="1">IFERROR(__xludf.DUMMYFUNCTION("""COMPUTED_VALUE"""),"Đồng ống LWC Taisei 06.35x0.65")</f>
        <v>Đồng ống LWC Taisei 06.35x0.65</v>
      </c>
      <c r="E1421" s="583">
        <f ca="1">IFERROR(__xludf.DUMMYFUNCTION("""COMPUTED_VALUE"""),0.1)</f>
        <v>0.1</v>
      </c>
      <c r="F1421" s="584" t="str">
        <f ca="1">IFERROR(__xludf.DUMMYFUNCTION("""COMPUTED_VALUE"""),"m")</f>
        <v>m</v>
      </c>
      <c r="G1421" s="584" t="str">
        <f ca="1">IFERROR(__xludf.DUMMYFUNCTION("""COMPUTED_VALUE"""),"m")</f>
        <v>m</v>
      </c>
      <c r="H1421" s="582"/>
      <c r="I1421" s="585">
        <f ca="1">IFERROR(__xludf.DUMMYFUNCTION("""COMPUTED_VALUE"""),0.103739999999999)</f>
        <v>0.103739999999999</v>
      </c>
      <c r="J1421" s="586" t="str">
        <f ca="1">IFERROR(__xludf.DUMMYFUNCTION("""COMPUTED_VALUE""")," 06.35 ")</f>
        <v xml:space="preserve"> 06.35 </v>
      </c>
      <c r="K1421" s="584" t="str">
        <f ca="1">IFERROR(__xludf.DUMMYFUNCTION("""COMPUTED_VALUE"""),"0.65")</f>
        <v>0.65</v>
      </c>
      <c r="L1421" s="584">
        <f ca="1">IFERROR(__xludf.DUMMYFUNCTION("""COMPUTED_VALUE"""),1)</f>
        <v>1</v>
      </c>
      <c r="M1421" s="584"/>
      <c r="N1421" s="584" t="str">
        <f ca="1">IFERROR(__xludf.DUMMYFUNCTION("""COMPUTED_VALUE"""),"Dị_D&lt;54")</f>
        <v>Dị_D&lt;54</v>
      </c>
      <c r="O1421" s="583"/>
      <c r="P1421" s="584"/>
    </row>
    <row r="1422" spans="1:16" ht="15.75">
      <c r="A1422" s="587" t="str">
        <f ca="1">IFERROR(__xludf.DUMMYFUNCTION("""COMPUTED_VALUE"""),"Taisei Việt Nam")</f>
        <v>Taisei Việt Nam</v>
      </c>
      <c r="B1422" s="587" t="str">
        <f ca="1">IFERROR(__xludf.DUMMYFUNCTION("""COMPUTED_VALUE"""),"ĐTSBANH")</f>
        <v>ĐTSBANH</v>
      </c>
      <c r="C1422" s="587" t="str">
        <f ca="1">IFERROR(__xludf.DUMMYFUNCTION("""COMPUTED_VALUE"""),"DOLWCTSKI0635055")</f>
        <v>DOLWCTSKI0635055</v>
      </c>
      <c r="D1422" s="588" t="str">
        <f ca="1">IFERROR(__xludf.DUMMYFUNCTION("""COMPUTED_VALUE"""),"Đồng ống LWC Taisei KI 06.35x0.55")</f>
        <v>Đồng ống LWC Taisei KI 06.35x0.55</v>
      </c>
      <c r="E1422" s="589">
        <f ca="1">IFERROR(__xludf.DUMMYFUNCTION("""COMPUTED_VALUE"""),0.1)</f>
        <v>0.1</v>
      </c>
      <c r="F1422" s="590" t="str">
        <f ca="1">IFERROR(__xludf.DUMMYFUNCTION("""COMPUTED_VALUE"""),"m")</f>
        <v>m</v>
      </c>
      <c r="G1422" s="590" t="str">
        <f ca="1">IFERROR(__xludf.DUMMYFUNCTION("""COMPUTED_VALUE"""),"m")</f>
        <v>m</v>
      </c>
      <c r="H1422" s="588"/>
      <c r="I1422" s="591">
        <f ca="1">IFERROR(__xludf.DUMMYFUNCTION("""COMPUTED_VALUE"""),0.08932)</f>
        <v>8.9319999999999997E-2</v>
      </c>
      <c r="J1422" s="592" t="str">
        <f ca="1">IFERROR(__xludf.DUMMYFUNCTION("""COMPUTED_VALUE""")," 06.35 ")</f>
        <v xml:space="preserve"> 06.35 </v>
      </c>
      <c r="K1422" s="590" t="str">
        <f ca="1">IFERROR(__xludf.DUMMYFUNCTION("""COMPUTED_VALUE"""),"0.55")</f>
        <v>0.55</v>
      </c>
      <c r="L1422" s="590">
        <f ca="1">IFERROR(__xludf.DUMMYFUNCTION("""COMPUTED_VALUE"""),1)</f>
        <v>1</v>
      </c>
      <c r="M1422" s="590" t="str">
        <f ca="1">IFERROR(__xludf.DUMMYFUNCTION("""COMPUTED_VALUE"""),"KI")</f>
        <v>KI</v>
      </c>
      <c r="N1422" s="590" t="str">
        <f ca="1">IFERROR(__xludf.DUMMYFUNCTION("""COMPUTED_VALUE"""),"Dị_D&lt;54")</f>
        <v>Dị_D&lt;54</v>
      </c>
      <c r="O1422" s="589"/>
      <c r="P1422" s="590"/>
    </row>
    <row r="1423" spans="1:16" ht="15.75">
      <c r="A1423" s="581" t="str">
        <f ca="1">IFERROR(__xludf.DUMMYFUNCTION("""COMPUTED_VALUE"""),"Taisei Việt Nam")</f>
        <v>Taisei Việt Nam</v>
      </c>
      <c r="B1423" s="581" t="str">
        <f ca="1">IFERROR(__xludf.DUMMYFUNCTION("""COMPUTED_VALUE"""),"ĐTSBANH")</f>
        <v>ĐTSBANH</v>
      </c>
      <c r="C1423" s="581" t="str">
        <f ca="1">IFERROR(__xludf.DUMMYFUNCTION("""COMPUTED_VALUE"""),"DOLWCTSKI0635065")</f>
        <v>DOLWCTSKI0635065</v>
      </c>
      <c r="D1423" s="582" t="str">
        <f ca="1">IFERROR(__xludf.DUMMYFUNCTION("""COMPUTED_VALUE"""),"Đồng ống LWC Taisei KI 06.35x0.65")</f>
        <v>Đồng ống LWC Taisei KI 06.35x0.65</v>
      </c>
      <c r="E1423" s="583">
        <f ca="1">IFERROR(__xludf.DUMMYFUNCTION("""COMPUTED_VALUE"""),0.1)</f>
        <v>0.1</v>
      </c>
      <c r="F1423" s="584" t="str">
        <f ca="1">IFERROR(__xludf.DUMMYFUNCTION("""COMPUTED_VALUE"""),"m")</f>
        <v>m</v>
      </c>
      <c r="G1423" s="584" t="str">
        <f ca="1">IFERROR(__xludf.DUMMYFUNCTION("""COMPUTED_VALUE"""),"m")</f>
        <v>m</v>
      </c>
      <c r="H1423" s="582"/>
      <c r="I1423" s="585">
        <f ca="1">IFERROR(__xludf.DUMMYFUNCTION("""COMPUTED_VALUE"""),0.103739999999999)</f>
        <v>0.103739999999999</v>
      </c>
      <c r="J1423" s="586" t="str">
        <f ca="1">IFERROR(__xludf.DUMMYFUNCTION("""COMPUTED_VALUE""")," 06.35 ")</f>
        <v xml:space="preserve"> 06.35 </v>
      </c>
      <c r="K1423" s="584" t="str">
        <f ca="1">IFERROR(__xludf.DUMMYFUNCTION("""COMPUTED_VALUE"""),"0.65")</f>
        <v>0.65</v>
      </c>
      <c r="L1423" s="584">
        <f ca="1">IFERROR(__xludf.DUMMYFUNCTION("""COMPUTED_VALUE"""),1)</f>
        <v>1</v>
      </c>
      <c r="M1423" s="584" t="str">
        <f ca="1">IFERROR(__xludf.DUMMYFUNCTION("""COMPUTED_VALUE"""),"KI")</f>
        <v>KI</v>
      </c>
      <c r="N1423" s="584" t="str">
        <f ca="1">IFERROR(__xludf.DUMMYFUNCTION("""COMPUTED_VALUE"""),"Dị_D&lt;54")</f>
        <v>Dị_D&lt;54</v>
      </c>
      <c r="O1423" s="583"/>
      <c r="P1423" s="584"/>
    </row>
    <row r="1424" spans="1:16" ht="15.75">
      <c r="A1424" s="587" t="str">
        <f ca="1">IFERROR(__xludf.DUMMYFUNCTION("""COMPUTED_VALUE"""),"Taisei Việt Nam")</f>
        <v>Taisei Việt Nam</v>
      </c>
      <c r="B1424" s="587" t="str">
        <f ca="1">IFERROR(__xludf.DUMMYFUNCTION("""COMPUTED_VALUE"""),"ĐTSBANH")</f>
        <v>ĐTSBANH</v>
      </c>
      <c r="C1424" s="587" t="str">
        <f ca="1">IFERROR(__xludf.DUMMYFUNCTION("""COMPUTED_VALUE"""),"DOLWCTS0635071")</f>
        <v>DOLWCTS0635071</v>
      </c>
      <c r="D1424" s="588" t="str">
        <f ca="1">IFERROR(__xludf.DUMMYFUNCTION("""COMPUTED_VALUE"""),"Đồng ống LWC Taisei 06.35x0.71")</f>
        <v>Đồng ống LWC Taisei 06.35x0.71</v>
      </c>
      <c r="E1424" s="589">
        <f ca="1">IFERROR(__xludf.DUMMYFUNCTION("""COMPUTED_VALUE"""),0.1)</f>
        <v>0.1</v>
      </c>
      <c r="F1424" s="590" t="str">
        <f ca="1">IFERROR(__xludf.DUMMYFUNCTION("""COMPUTED_VALUE"""),"m")</f>
        <v>m</v>
      </c>
      <c r="G1424" s="590" t="str">
        <f ca="1">IFERROR(__xludf.DUMMYFUNCTION("""COMPUTED_VALUE"""),"m")</f>
        <v>m</v>
      </c>
      <c r="H1424" s="588"/>
      <c r="I1424" s="591">
        <f ca="1">IFERROR(__xludf.DUMMYFUNCTION("""COMPUTED_VALUE"""),0.112123199999999)</f>
        <v>0.11212319999999899</v>
      </c>
      <c r="J1424" s="592" t="str">
        <f ca="1">IFERROR(__xludf.DUMMYFUNCTION("""COMPUTED_VALUE""")," 06.35 ")</f>
        <v xml:space="preserve"> 06.35 </v>
      </c>
      <c r="K1424" s="590" t="str">
        <f ca="1">IFERROR(__xludf.DUMMYFUNCTION("""COMPUTED_VALUE"""),"0.71")</f>
        <v>0.71</v>
      </c>
      <c r="L1424" s="590">
        <f ca="1">IFERROR(__xludf.DUMMYFUNCTION("""COMPUTED_VALUE"""),1)</f>
        <v>1</v>
      </c>
      <c r="M1424" s="590"/>
      <c r="N1424" s="590" t="str">
        <f ca="1">IFERROR(__xludf.DUMMYFUNCTION("""COMPUTED_VALUE"""),"Dị_D&lt;54")</f>
        <v>Dị_D&lt;54</v>
      </c>
      <c r="O1424" s="589">
        <f ca="1">IFERROR(__xludf.DUMMYFUNCTION("""COMPUTED_VALUE"""),1)</f>
        <v>1</v>
      </c>
      <c r="P1424" s="590"/>
    </row>
    <row r="1425" spans="1:17" ht="15.75">
      <c r="A1425" s="581" t="str">
        <f ca="1">IFERROR(__xludf.DUMMYFUNCTION("""COMPUTED_VALUE"""),"Taisei Việt Nam")</f>
        <v>Taisei Việt Nam</v>
      </c>
      <c r="B1425" s="581" t="str">
        <f ca="1">IFERROR(__xludf.DUMMYFUNCTION("""COMPUTED_VALUE"""),"ĐTSBANH")</f>
        <v>ĐTSBANH</v>
      </c>
      <c r="C1425" s="581" t="str">
        <f ca="1">IFERROR(__xludf.DUMMYFUNCTION("""COMPUTED_VALUE"""),"DOLWCTSKI0635071")</f>
        <v>DOLWCTSKI0635071</v>
      </c>
      <c r="D1425" s="582" t="str">
        <f ca="1">IFERROR(__xludf.DUMMYFUNCTION("""COMPUTED_VALUE"""),"Đồng ống LWC Taisei KI 06.35x0.71")</f>
        <v>Đồng ống LWC Taisei KI 06.35x0.71</v>
      </c>
      <c r="E1425" s="583">
        <f ca="1">IFERROR(__xludf.DUMMYFUNCTION("""COMPUTED_VALUE"""),0.1)</f>
        <v>0.1</v>
      </c>
      <c r="F1425" s="584" t="str">
        <f ca="1">IFERROR(__xludf.DUMMYFUNCTION("""COMPUTED_VALUE"""),"m")</f>
        <v>m</v>
      </c>
      <c r="G1425" s="584" t="str">
        <f ca="1">IFERROR(__xludf.DUMMYFUNCTION("""COMPUTED_VALUE"""),"m")</f>
        <v>m</v>
      </c>
      <c r="H1425" s="582"/>
      <c r="I1425" s="585">
        <f ca="1">IFERROR(__xludf.DUMMYFUNCTION("""COMPUTED_VALUE"""),0.112123199999999)</f>
        <v>0.11212319999999899</v>
      </c>
      <c r="J1425" s="586" t="str">
        <f ca="1">IFERROR(__xludf.DUMMYFUNCTION("""COMPUTED_VALUE""")," 06.35 ")</f>
        <v xml:space="preserve"> 06.35 </v>
      </c>
      <c r="K1425" s="584" t="str">
        <f ca="1">IFERROR(__xludf.DUMMYFUNCTION("""COMPUTED_VALUE"""),"0.71")</f>
        <v>0.71</v>
      </c>
      <c r="L1425" s="584">
        <f ca="1">IFERROR(__xludf.DUMMYFUNCTION("""COMPUTED_VALUE"""),1)</f>
        <v>1</v>
      </c>
      <c r="M1425" s="584" t="str">
        <f ca="1">IFERROR(__xludf.DUMMYFUNCTION("""COMPUTED_VALUE"""),"KI")</f>
        <v>KI</v>
      </c>
      <c r="N1425" s="584" t="str">
        <f ca="1">IFERROR(__xludf.DUMMYFUNCTION("""COMPUTED_VALUE"""),"Dị_D&lt;54")</f>
        <v>Dị_D&lt;54</v>
      </c>
      <c r="O1425" s="583">
        <f ca="1">IFERROR(__xludf.DUMMYFUNCTION("""COMPUTED_VALUE"""),1)</f>
        <v>1</v>
      </c>
      <c r="P1425" s="584"/>
    </row>
    <row r="1426" spans="1:17" ht="15.75">
      <c r="A1426" s="587" t="str">
        <f ca="1">IFERROR(__xludf.DUMMYFUNCTION("""COMPUTED_VALUE"""),"Taisei Việt Nam")</f>
        <v>Taisei Việt Nam</v>
      </c>
      <c r="B1426" s="587" t="str">
        <f ca="1">IFERROR(__xludf.DUMMYFUNCTION("""COMPUTED_VALUE"""),"ĐTSBANH")</f>
        <v>ĐTSBANH</v>
      </c>
      <c r="C1426" s="587" t="str">
        <f ca="1">IFERROR(__xludf.DUMMYFUNCTION("""COMPUTED_VALUE"""),"DOLWCTS0635081")</f>
        <v>DOLWCTS0635081</v>
      </c>
      <c r="D1426" s="588" t="str">
        <f ca="1">IFERROR(__xludf.DUMMYFUNCTION("""COMPUTED_VALUE"""),"Đồng ống LWC Taisei 06.35x0.81")</f>
        <v>Đồng ống LWC Taisei 06.35x0.81</v>
      </c>
      <c r="E1426" s="589">
        <f ca="1">IFERROR(__xludf.DUMMYFUNCTION("""COMPUTED_VALUE"""),0.1)</f>
        <v>0.1</v>
      </c>
      <c r="F1426" s="590" t="str">
        <f ca="1">IFERROR(__xludf.DUMMYFUNCTION("""COMPUTED_VALUE"""),"m")</f>
        <v>m</v>
      </c>
      <c r="G1426" s="590" t="str">
        <f ca="1">IFERROR(__xludf.DUMMYFUNCTION("""COMPUTED_VALUE"""),"m")</f>
        <v>m</v>
      </c>
      <c r="H1426" s="588"/>
      <c r="I1426" s="591">
        <f ca="1">IFERROR(__xludf.DUMMYFUNCTION("""COMPUTED_VALUE"""),0.1256472)</f>
        <v>0.12564719999999999</v>
      </c>
      <c r="J1426" s="592" t="str">
        <f ca="1">IFERROR(__xludf.DUMMYFUNCTION("""COMPUTED_VALUE""")," 06.35 ")</f>
        <v xml:space="preserve"> 06.35 </v>
      </c>
      <c r="K1426" s="590" t="str">
        <f ca="1">IFERROR(__xludf.DUMMYFUNCTION("""COMPUTED_VALUE"""),"0.81")</f>
        <v>0.81</v>
      </c>
      <c r="L1426" s="590">
        <f ca="1">IFERROR(__xludf.DUMMYFUNCTION("""COMPUTED_VALUE"""),1)</f>
        <v>1</v>
      </c>
      <c r="M1426" s="590"/>
      <c r="N1426" s="590" t="str">
        <f ca="1">IFERROR(__xludf.DUMMYFUNCTION("""COMPUTED_VALUE"""),"Không")</f>
        <v>Không</v>
      </c>
      <c r="O1426" s="589"/>
      <c r="P1426" s="590"/>
      <c r="Q1426" s="885">
        <f ca="1">+$Q$5*I1426</f>
        <v>28.898855999999995</v>
      </c>
    </row>
    <row r="1427" spans="1:17" ht="15.75">
      <c r="A1427" s="581" t="str">
        <f ca="1">IFERROR(__xludf.DUMMYFUNCTION("""COMPUTED_VALUE"""),"Taisei Việt Nam")</f>
        <v>Taisei Việt Nam</v>
      </c>
      <c r="B1427" s="581" t="str">
        <f ca="1">IFERROR(__xludf.DUMMYFUNCTION("""COMPUTED_VALUE"""),"ĐTSBANH")</f>
        <v>ĐTSBANH</v>
      </c>
      <c r="C1427" s="581" t="str">
        <f ca="1">IFERROR(__xludf.DUMMYFUNCTION("""COMPUTED_VALUE"""),"DOLWCTSKI0635081")</f>
        <v>DOLWCTSKI0635081</v>
      </c>
      <c r="D1427" s="582" t="str">
        <f ca="1">IFERROR(__xludf.DUMMYFUNCTION("""COMPUTED_VALUE"""),"Đồng ống LWC Taisei KI 06.35x0.81")</f>
        <v>Đồng ống LWC Taisei KI 06.35x0.81</v>
      </c>
      <c r="E1427" s="583">
        <f ca="1">IFERROR(__xludf.DUMMYFUNCTION("""COMPUTED_VALUE"""),0.1)</f>
        <v>0.1</v>
      </c>
      <c r="F1427" s="584" t="str">
        <f ca="1">IFERROR(__xludf.DUMMYFUNCTION("""COMPUTED_VALUE"""),"m")</f>
        <v>m</v>
      </c>
      <c r="G1427" s="584" t="str">
        <f ca="1">IFERROR(__xludf.DUMMYFUNCTION("""COMPUTED_VALUE"""),"m")</f>
        <v>m</v>
      </c>
      <c r="H1427" s="582"/>
      <c r="I1427" s="585">
        <f ca="1">IFERROR(__xludf.DUMMYFUNCTION("""COMPUTED_VALUE"""),0.1256472)</f>
        <v>0.12564719999999999</v>
      </c>
      <c r="J1427" s="586" t="str">
        <f ca="1">IFERROR(__xludf.DUMMYFUNCTION("""COMPUTED_VALUE""")," 06.35 ")</f>
        <v xml:space="preserve"> 06.35 </v>
      </c>
      <c r="K1427" s="584" t="str">
        <f ca="1">IFERROR(__xludf.DUMMYFUNCTION("""COMPUTED_VALUE"""),"0.81")</f>
        <v>0.81</v>
      </c>
      <c r="L1427" s="584">
        <f ca="1">IFERROR(__xludf.DUMMYFUNCTION("""COMPUTED_VALUE"""),1)</f>
        <v>1</v>
      </c>
      <c r="M1427" s="584" t="str">
        <f ca="1">IFERROR(__xludf.DUMMYFUNCTION("""COMPUTED_VALUE"""),"KI")</f>
        <v>KI</v>
      </c>
      <c r="N1427" s="584" t="str">
        <f ca="1">IFERROR(__xludf.DUMMYFUNCTION("""COMPUTED_VALUE"""),"Không")</f>
        <v>Không</v>
      </c>
      <c r="O1427" s="583"/>
      <c r="P1427" s="584"/>
      <c r="Q1427" s="885">
        <f ca="1">+$Q$5*I1427</f>
        <v>28.898855999999995</v>
      </c>
    </row>
    <row r="1428" spans="1:17" ht="15.75">
      <c r="A1428" s="587" t="str">
        <f ca="1">IFERROR(__xludf.DUMMYFUNCTION("""COMPUTED_VALUE"""),"Taisei Việt Nam")</f>
        <v>Taisei Việt Nam</v>
      </c>
      <c r="B1428" s="587" t="str">
        <f ca="1">IFERROR(__xludf.DUMMYFUNCTION("""COMPUTED_VALUE"""),"ĐTSBANH")</f>
        <v>ĐTSBANH</v>
      </c>
      <c r="C1428" s="587" t="str">
        <f ca="1">IFERROR(__xludf.DUMMYFUNCTION("""COMPUTED_VALUE"""),"DOLWCTS0720060")</f>
        <v>DOLWCTS0720060</v>
      </c>
      <c r="D1428" s="588" t="str">
        <f ca="1">IFERROR(__xludf.DUMMYFUNCTION("""COMPUTED_VALUE"""),"Đồng ống LWC Taisei 07.20x0.60")</f>
        <v>Đồng ống LWC Taisei 07.20x0.60</v>
      </c>
      <c r="E1428" s="589">
        <f ca="1">IFERROR(__xludf.DUMMYFUNCTION("""COMPUTED_VALUE"""),0.1)</f>
        <v>0.1</v>
      </c>
      <c r="F1428" s="590" t="str">
        <f ca="1">IFERROR(__xludf.DUMMYFUNCTION("""COMPUTED_VALUE"""),"m")</f>
        <v>m</v>
      </c>
      <c r="G1428" s="590" t="str">
        <f ca="1">IFERROR(__xludf.DUMMYFUNCTION("""COMPUTED_VALUE"""),"m")</f>
        <v>m</v>
      </c>
      <c r="H1428" s="588"/>
      <c r="I1428" s="591">
        <f ca="1">IFERROR(__xludf.DUMMYFUNCTION("""COMPUTED_VALUE"""),0.11088)</f>
        <v>0.11088000000000001</v>
      </c>
      <c r="J1428" s="592" t="str">
        <f ca="1">IFERROR(__xludf.DUMMYFUNCTION("""COMPUTED_VALUE""")," 07.20 ")</f>
        <v xml:space="preserve"> 07.20 </v>
      </c>
      <c r="K1428" s="590" t="str">
        <f ca="1">IFERROR(__xludf.DUMMYFUNCTION("""COMPUTED_VALUE"""),"0.60")</f>
        <v>0.60</v>
      </c>
      <c r="L1428" s="590">
        <f ca="1">IFERROR(__xludf.DUMMYFUNCTION("""COMPUTED_VALUE"""),1)</f>
        <v>1</v>
      </c>
      <c r="M1428" s="590"/>
      <c r="N1428" s="590" t="str">
        <f ca="1">IFERROR(__xludf.DUMMYFUNCTION("""COMPUTED_VALUE"""),"Dị_D&lt;54")</f>
        <v>Dị_D&lt;54</v>
      </c>
      <c r="O1428" s="589"/>
      <c r="P1428" s="590"/>
    </row>
    <row r="1429" spans="1:17" ht="15.75">
      <c r="A1429" s="581" t="str">
        <f ca="1">IFERROR(__xludf.DUMMYFUNCTION("""COMPUTED_VALUE"""),"Taisei Việt Nam")</f>
        <v>Taisei Việt Nam</v>
      </c>
      <c r="B1429" s="581" t="str">
        <f ca="1">IFERROR(__xludf.DUMMYFUNCTION("""COMPUTED_VALUE"""),"ĐTSBANH")</f>
        <v>ĐTSBANH</v>
      </c>
      <c r="C1429" s="581" t="str">
        <f ca="1">IFERROR(__xludf.DUMMYFUNCTION("""COMPUTED_VALUE"""),"DOLWCTS0952061")</f>
        <v>DOLWCTS0952061</v>
      </c>
      <c r="D1429" s="582" t="str">
        <f ca="1">IFERROR(__xludf.DUMMYFUNCTION("""COMPUTED_VALUE"""),"Đồng ống LWC Taisei 09.52x0.61")</f>
        <v>Đồng ống LWC Taisei 09.52x0.61</v>
      </c>
      <c r="E1429" s="583">
        <f ca="1">IFERROR(__xludf.DUMMYFUNCTION("""COMPUTED_VALUE"""),0.1)</f>
        <v>0.1</v>
      </c>
      <c r="F1429" s="584" t="str">
        <f ca="1">IFERROR(__xludf.DUMMYFUNCTION("""COMPUTED_VALUE"""),"m")</f>
        <v>m</v>
      </c>
      <c r="G1429" s="584" t="str">
        <f ca="1">IFERROR(__xludf.DUMMYFUNCTION("""COMPUTED_VALUE"""),"m")</f>
        <v>m</v>
      </c>
      <c r="H1429" s="582"/>
      <c r="I1429" s="585">
        <f ca="1">IFERROR(__xludf.DUMMYFUNCTION("""COMPUTED_VALUE"""),0.1521828)</f>
        <v>0.15218280000000001</v>
      </c>
      <c r="J1429" s="586" t="str">
        <f ca="1">IFERROR(__xludf.DUMMYFUNCTION("""COMPUTED_VALUE""")," 09.52 ")</f>
        <v xml:space="preserve"> 09.52 </v>
      </c>
      <c r="K1429" s="584" t="str">
        <f ca="1">IFERROR(__xludf.DUMMYFUNCTION("""COMPUTED_VALUE"""),"0.61")</f>
        <v>0.61</v>
      </c>
      <c r="L1429" s="584">
        <f ca="1">IFERROR(__xludf.DUMMYFUNCTION("""COMPUTED_VALUE"""),1)</f>
        <v>1</v>
      </c>
      <c r="M1429" s="584"/>
      <c r="N1429" s="584" t="str">
        <f ca="1">IFERROR(__xludf.DUMMYFUNCTION("""COMPUTED_VALUE"""),"Dị_D&lt;54")</f>
        <v>Dị_D&lt;54</v>
      </c>
      <c r="O1429" s="583">
        <f ca="1">IFERROR(__xludf.DUMMYFUNCTION("""COMPUTED_VALUE"""),1)</f>
        <v>1</v>
      </c>
      <c r="P1429" s="584"/>
    </row>
    <row r="1430" spans="1:17" ht="15.75">
      <c r="A1430" s="587" t="str">
        <f ca="1">IFERROR(__xludf.DUMMYFUNCTION("""COMPUTED_VALUE"""),"Taisei Việt Nam")</f>
        <v>Taisei Việt Nam</v>
      </c>
      <c r="B1430" s="587" t="str">
        <f ca="1">IFERROR(__xludf.DUMMYFUNCTION("""COMPUTED_VALUE"""),"ĐTSBANH")</f>
        <v>ĐTSBANH</v>
      </c>
      <c r="C1430" s="587" t="str">
        <f ca="1">IFERROR(__xludf.DUMMYFUNCTION("""COMPUTED_VALUE"""),"DOLWCTSKI0952061")</f>
        <v>DOLWCTSKI0952061</v>
      </c>
      <c r="D1430" s="588" t="str">
        <f ca="1">IFERROR(__xludf.DUMMYFUNCTION("""COMPUTED_VALUE"""),"Đồng ống LWC Taisei KI 09.52x0.61")</f>
        <v>Đồng ống LWC Taisei KI 09.52x0.61</v>
      </c>
      <c r="E1430" s="589">
        <f ca="1">IFERROR(__xludf.DUMMYFUNCTION("""COMPUTED_VALUE"""),0.1)</f>
        <v>0.1</v>
      </c>
      <c r="F1430" s="590" t="str">
        <f ca="1">IFERROR(__xludf.DUMMYFUNCTION("""COMPUTED_VALUE"""),"m")</f>
        <v>m</v>
      </c>
      <c r="G1430" s="590" t="str">
        <f ca="1">IFERROR(__xludf.DUMMYFUNCTION("""COMPUTED_VALUE"""),"m")</f>
        <v>m</v>
      </c>
      <c r="H1430" s="588"/>
      <c r="I1430" s="591">
        <f ca="1">IFERROR(__xludf.DUMMYFUNCTION("""COMPUTED_VALUE"""),0.1521828)</f>
        <v>0.15218280000000001</v>
      </c>
      <c r="J1430" s="592" t="str">
        <f ca="1">IFERROR(__xludf.DUMMYFUNCTION("""COMPUTED_VALUE""")," 09.52 ")</f>
        <v xml:space="preserve"> 09.52 </v>
      </c>
      <c r="K1430" s="590" t="str">
        <f ca="1">IFERROR(__xludf.DUMMYFUNCTION("""COMPUTED_VALUE"""),"0.61")</f>
        <v>0.61</v>
      </c>
      <c r="L1430" s="590">
        <f ca="1">IFERROR(__xludf.DUMMYFUNCTION("""COMPUTED_VALUE"""),1)</f>
        <v>1</v>
      </c>
      <c r="M1430" s="590" t="str">
        <f ca="1">IFERROR(__xludf.DUMMYFUNCTION("""COMPUTED_VALUE"""),"KI")</f>
        <v>KI</v>
      </c>
      <c r="N1430" s="590" t="str">
        <f ca="1">IFERROR(__xludf.DUMMYFUNCTION("""COMPUTED_VALUE"""),"Dị_D&lt;54")</f>
        <v>Dị_D&lt;54</v>
      </c>
      <c r="O1430" s="589">
        <f ca="1">IFERROR(__xludf.DUMMYFUNCTION("""COMPUTED_VALUE"""),1)</f>
        <v>1</v>
      </c>
      <c r="P1430" s="590"/>
    </row>
    <row r="1431" spans="1:17" ht="15.75">
      <c r="A1431" s="581" t="str">
        <f ca="1">IFERROR(__xludf.DUMMYFUNCTION("""COMPUTED_VALUE"""),"Taisei Việt Nam")</f>
        <v>Taisei Việt Nam</v>
      </c>
      <c r="B1431" s="581" t="str">
        <f ca="1">IFERROR(__xludf.DUMMYFUNCTION("""COMPUTED_VALUE"""),"ĐTSBANH")</f>
        <v>ĐTSBANH</v>
      </c>
      <c r="C1431" s="581" t="str">
        <f ca="1">IFERROR(__xludf.DUMMYFUNCTION("""COMPUTED_VALUE"""),"DOLWCTS0952055")</f>
        <v>DOLWCTS0952055</v>
      </c>
      <c r="D1431" s="582" t="str">
        <f ca="1">IFERROR(__xludf.DUMMYFUNCTION("""COMPUTED_VALUE"""),"Đồng ống LWC Taisei 09.52x0.55")</f>
        <v>Đồng ống LWC Taisei 09.52x0.55</v>
      </c>
      <c r="E1431" s="583">
        <f ca="1">IFERROR(__xludf.DUMMYFUNCTION("""COMPUTED_VALUE"""),0.1)</f>
        <v>0.1</v>
      </c>
      <c r="F1431" s="584" t="str">
        <f ca="1">IFERROR(__xludf.DUMMYFUNCTION("""COMPUTED_VALUE"""),"m")</f>
        <v>m</v>
      </c>
      <c r="G1431" s="584" t="str">
        <f ca="1">IFERROR(__xludf.DUMMYFUNCTION("""COMPUTED_VALUE"""),"m")</f>
        <v>m</v>
      </c>
      <c r="H1431" s="582"/>
      <c r="I1431" s="585">
        <f ca="1">IFERROR(__xludf.DUMMYFUNCTION("""COMPUTED_VALUE"""),0.138137999999999)</f>
        <v>0.13813799999999901</v>
      </c>
      <c r="J1431" s="586" t="str">
        <f ca="1">IFERROR(__xludf.DUMMYFUNCTION("""COMPUTED_VALUE""")," 09.52 ")</f>
        <v xml:space="preserve"> 09.52 </v>
      </c>
      <c r="K1431" s="584" t="str">
        <f ca="1">IFERROR(__xludf.DUMMYFUNCTION("""COMPUTED_VALUE"""),"0.55")</f>
        <v>0.55</v>
      </c>
      <c r="L1431" s="584">
        <f ca="1">IFERROR(__xludf.DUMMYFUNCTION("""COMPUTED_VALUE"""),1)</f>
        <v>1</v>
      </c>
      <c r="M1431" s="584"/>
      <c r="N1431" s="584" t="str">
        <f ca="1">IFERROR(__xludf.DUMMYFUNCTION("""COMPUTED_VALUE"""),"Dị_D&lt;54")</f>
        <v>Dị_D&lt;54</v>
      </c>
      <c r="O1431" s="583"/>
      <c r="P1431" s="584"/>
    </row>
    <row r="1432" spans="1:17" ht="15.75">
      <c r="A1432" s="587" t="str">
        <f ca="1">IFERROR(__xludf.DUMMYFUNCTION("""COMPUTED_VALUE"""),"Taisei Việt Nam")</f>
        <v>Taisei Việt Nam</v>
      </c>
      <c r="B1432" s="587" t="str">
        <f ca="1">IFERROR(__xludf.DUMMYFUNCTION("""COMPUTED_VALUE"""),"ĐTSBANH")</f>
        <v>ĐTSBANH</v>
      </c>
      <c r="C1432" s="587" t="str">
        <f ca="1">IFERROR(__xludf.DUMMYFUNCTION("""COMPUTED_VALUE"""),"DOLWCTSKI0952055")</f>
        <v>DOLWCTSKI0952055</v>
      </c>
      <c r="D1432" s="588" t="str">
        <f ca="1">IFERROR(__xludf.DUMMYFUNCTION("""COMPUTED_VALUE"""),"Đồng ống LWC Taisei KI 09.52x0.55")</f>
        <v>Đồng ống LWC Taisei KI 09.52x0.55</v>
      </c>
      <c r="E1432" s="589">
        <f ca="1">IFERROR(__xludf.DUMMYFUNCTION("""COMPUTED_VALUE"""),0.1)</f>
        <v>0.1</v>
      </c>
      <c r="F1432" s="590" t="str">
        <f ca="1">IFERROR(__xludf.DUMMYFUNCTION("""COMPUTED_VALUE"""),"m")</f>
        <v>m</v>
      </c>
      <c r="G1432" s="590" t="str">
        <f ca="1">IFERROR(__xludf.DUMMYFUNCTION("""COMPUTED_VALUE"""),"m")</f>
        <v>m</v>
      </c>
      <c r="H1432" s="588"/>
      <c r="I1432" s="591">
        <f ca="1">IFERROR(__xludf.DUMMYFUNCTION("""COMPUTED_VALUE"""),0.138137999999999)</f>
        <v>0.13813799999999901</v>
      </c>
      <c r="J1432" s="592" t="str">
        <f ca="1">IFERROR(__xludf.DUMMYFUNCTION("""COMPUTED_VALUE""")," 09.52 ")</f>
        <v xml:space="preserve"> 09.52 </v>
      </c>
      <c r="K1432" s="590" t="str">
        <f ca="1">IFERROR(__xludf.DUMMYFUNCTION("""COMPUTED_VALUE"""),"0.55")</f>
        <v>0.55</v>
      </c>
      <c r="L1432" s="590">
        <f ca="1">IFERROR(__xludf.DUMMYFUNCTION("""COMPUTED_VALUE"""),1)</f>
        <v>1</v>
      </c>
      <c r="M1432" s="590" t="str">
        <f ca="1">IFERROR(__xludf.DUMMYFUNCTION("""COMPUTED_VALUE"""),"KI")</f>
        <v>KI</v>
      </c>
      <c r="N1432" s="590" t="str">
        <f ca="1">IFERROR(__xludf.DUMMYFUNCTION("""COMPUTED_VALUE"""),"Dị_D&lt;54")</f>
        <v>Dị_D&lt;54</v>
      </c>
      <c r="O1432" s="589"/>
      <c r="P1432" s="590"/>
    </row>
    <row r="1433" spans="1:17" ht="15.75">
      <c r="A1433" s="581" t="str">
        <f ca="1">IFERROR(__xludf.DUMMYFUNCTION("""COMPUTED_VALUE"""),"Taisei Việt Nam")</f>
        <v>Taisei Việt Nam</v>
      </c>
      <c r="B1433" s="581" t="str">
        <f ca="1">IFERROR(__xludf.DUMMYFUNCTION("""COMPUTED_VALUE"""),"ĐTSBANH")</f>
        <v>ĐTSBANH</v>
      </c>
      <c r="C1433" s="581" t="str">
        <f ca="1">IFERROR(__xludf.DUMMYFUNCTION("""COMPUTED_VALUE"""),"DOLWCTS0952065")</f>
        <v>DOLWCTS0952065</v>
      </c>
      <c r="D1433" s="582" t="str">
        <f ca="1">IFERROR(__xludf.DUMMYFUNCTION("""COMPUTED_VALUE"""),"Đồng ống LWC Taisei 09.52x0.65")</f>
        <v>Đồng ống LWC Taisei 09.52x0.65</v>
      </c>
      <c r="E1433" s="583">
        <f ca="1">IFERROR(__xludf.DUMMYFUNCTION("""COMPUTED_VALUE"""),0.1)</f>
        <v>0.1</v>
      </c>
      <c r="F1433" s="584" t="str">
        <f ca="1">IFERROR(__xludf.DUMMYFUNCTION("""COMPUTED_VALUE"""),"m")</f>
        <v>m</v>
      </c>
      <c r="G1433" s="584" t="str">
        <f ca="1">IFERROR(__xludf.DUMMYFUNCTION("""COMPUTED_VALUE"""),"m")</f>
        <v>m</v>
      </c>
      <c r="H1433" s="582"/>
      <c r="I1433" s="585">
        <f ca="1">IFERROR(__xludf.DUMMYFUNCTION("""COMPUTED_VALUE"""),0.161434)</f>
        <v>0.16143399999999999</v>
      </c>
      <c r="J1433" s="586" t="str">
        <f ca="1">IFERROR(__xludf.DUMMYFUNCTION("""COMPUTED_VALUE""")," 09.52 ")</f>
        <v xml:space="preserve"> 09.52 </v>
      </c>
      <c r="K1433" s="584" t="str">
        <f ca="1">IFERROR(__xludf.DUMMYFUNCTION("""COMPUTED_VALUE"""),"0.65")</f>
        <v>0.65</v>
      </c>
      <c r="L1433" s="584">
        <f ca="1">IFERROR(__xludf.DUMMYFUNCTION("""COMPUTED_VALUE"""),1)</f>
        <v>1</v>
      </c>
      <c r="M1433" s="584"/>
      <c r="N1433" s="584" t="str">
        <f ca="1">IFERROR(__xludf.DUMMYFUNCTION("""COMPUTED_VALUE"""),"Dị_D&lt;54")</f>
        <v>Dị_D&lt;54</v>
      </c>
      <c r="O1433" s="583"/>
      <c r="P1433" s="584"/>
    </row>
    <row r="1434" spans="1:17" ht="15.75">
      <c r="A1434" s="587" t="str">
        <f ca="1">IFERROR(__xludf.DUMMYFUNCTION("""COMPUTED_VALUE"""),"Taisei Việt Nam")</f>
        <v>Taisei Việt Nam</v>
      </c>
      <c r="B1434" s="587" t="str">
        <f ca="1">IFERROR(__xludf.DUMMYFUNCTION("""COMPUTED_VALUE"""),"ĐTSBANH")</f>
        <v>ĐTSBANH</v>
      </c>
      <c r="C1434" s="587" t="str">
        <f ca="1">IFERROR(__xludf.DUMMYFUNCTION("""COMPUTED_VALUE"""),"DOLWCTSKI0952065")</f>
        <v>DOLWCTSKI0952065</v>
      </c>
      <c r="D1434" s="588" t="str">
        <f ca="1">IFERROR(__xludf.DUMMYFUNCTION("""COMPUTED_VALUE"""),"Đồng ống LWC Taisei KI 09.52x0.65")</f>
        <v>Đồng ống LWC Taisei KI 09.52x0.65</v>
      </c>
      <c r="E1434" s="589">
        <f ca="1">IFERROR(__xludf.DUMMYFUNCTION("""COMPUTED_VALUE"""),0.1)</f>
        <v>0.1</v>
      </c>
      <c r="F1434" s="590" t="str">
        <f ca="1">IFERROR(__xludf.DUMMYFUNCTION("""COMPUTED_VALUE"""),"m")</f>
        <v>m</v>
      </c>
      <c r="G1434" s="590" t="str">
        <f ca="1">IFERROR(__xludf.DUMMYFUNCTION("""COMPUTED_VALUE"""),"m")</f>
        <v>m</v>
      </c>
      <c r="H1434" s="588"/>
      <c r="I1434" s="591">
        <f ca="1">IFERROR(__xludf.DUMMYFUNCTION("""COMPUTED_VALUE"""),0.161434)</f>
        <v>0.16143399999999999</v>
      </c>
      <c r="J1434" s="592" t="str">
        <f ca="1">IFERROR(__xludf.DUMMYFUNCTION("""COMPUTED_VALUE""")," 09.52 ")</f>
        <v xml:space="preserve"> 09.52 </v>
      </c>
      <c r="K1434" s="590" t="str">
        <f ca="1">IFERROR(__xludf.DUMMYFUNCTION("""COMPUTED_VALUE"""),"0.65")</f>
        <v>0.65</v>
      </c>
      <c r="L1434" s="590">
        <f ca="1">IFERROR(__xludf.DUMMYFUNCTION("""COMPUTED_VALUE"""),1)</f>
        <v>1</v>
      </c>
      <c r="M1434" s="590" t="str">
        <f ca="1">IFERROR(__xludf.DUMMYFUNCTION("""COMPUTED_VALUE"""),"KI")</f>
        <v>KI</v>
      </c>
      <c r="N1434" s="590" t="str">
        <f ca="1">IFERROR(__xludf.DUMMYFUNCTION("""COMPUTED_VALUE"""),"Dị_D&lt;54")</f>
        <v>Dị_D&lt;54</v>
      </c>
      <c r="O1434" s="589"/>
      <c r="P1434" s="590"/>
    </row>
    <row r="1435" spans="1:17" ht="15.75">
      <c r="A1435" s="581" t="str">
        <f ca="1">IFERROR(__xludf.DUMMYFUNCTION("""COMPUTED_VALUE"""),"Taisei Việt Nam")</f>
        <v>Taisei Việt Nam</v>
      </c>
      <c r="B1435" s="581" t="str">
        <f ca="1">IFERROR(__xludf.DUMMYFUNCTION("""COMPUTED_VALUE"""),"ĐTSBANH")</f>
        <v>ĐTSBANH</v>
      </c>
      <c r="C1435" s="581" t="str">
        <f ca="1">IFERROR(__xludf.DUMMYFUNCTION("""COMPUTED_VALUE"""),"DOLWCTS0952071")</f>
        <v>DOLWCTS0952071</v>
      </c>
      <c r="D1435" s="582" t="str">
        <f ca="1">IFERROR(__xludf.DUMMYFUNCTION("""COMPUTED_VALUE"""),"Đồng ống LWC Taisei 09.52x0.71")</f>
        <v>Đồng ống LWC Taisei 09.52x0.71</v>
      </c>
      <c r="E1435" s="583">
        <f ca="1">IFERROR(__xludf.DUMMYFUNCTION("""COMPUTED_VALUE"""),0.1)</f>
        <v>0.1</v>
      </c>
      <c r="F1435" s="584" t="str">
        <f ca="1">IFERROR(__xludf.DUMMYFUNCTION("""COMPUTED_VALUE"""),"m")</f>
        <v>m</v>
      </c>
      <c r="G1435" s="584" t="str">
        <f ca="1">IFERROR(__xludf.DUMMYFUNCTION("""COMPUTED_VALUE"""),"m")</f>
        <v>m</v>
      </c>
      <c r="H1435" s="582"/>
      <c r="I1435" s="585">
        <f ca="1">IFERROR(__xludf.DUMMYFUNCTION("""COMPUTED_VALUE"""),0.175142799999999)</f>
        <v>0.17514279999999899</v>
      </c>
      <c r="J1435" s="586" t="str">
        <f ca="1">IFERROR(__xludf.DUMMYFUNCTION("""COMPUTED_VALUE""")," 09.52 ")</f>
        <v xml:space="preserve"> 09.52 </v>
      </c>
      <c r="K1435" s="584" t="str">
        <f ca="1">IFERROR(__xludf.DUMMYFUNCTION("""COMPUTED_VALUE"""),"0.71")</f>
        <v>0.71</v>
      </c>
      <c r="L1435" s="584">
        <f ca="1">IFERROR(__xludf.DUMMYFUNCTION("""COMPUTED_VALUE"""),1)</f>
        <v>1</v>
      </c>
      <c r="M1435" s="584"/>
      <c r="N1435" s="584" t="str">
        <f ca="1">IFERROR(__xludf.DUMMYFUNCTION("""COMPUTED_VALUE"""),"Dị_D&lt;54")</f>
        <v>Dị_D&lt;54</v>
      </c>
      <c r="O1435" s="583">
        <f ca="1">IFERROR(__xludf.DUMMYFUNCTION("""COMPUTED_VALUE"""),1)</f>
        <v>1</v>
      </c>
      <c r="P1435" s="584"/>
    </row>
    <row r="1436" spans="1:17" ht="15.75">
      <c r="A1436" s="587" t="str">
        <f ca="1">IFERROR(__xludf.DUMMYFUNCTION("""COMPUTED_VALUE"""),"Taisei Việt Nam")</f>
        <v>Taisei Việt Nam</v>
      </c>
      <c r="B1436" s="587" t="str">
        <f ca="1">IFERROR(__xludf.DUMMYFUNCTION("""COMPUTED_VALUE"""),"ĐTSBANH")</f>
        <v>ĐTSBANH</v>
      </c>
      <c r="C1436" s="587" t="str">
        <f ca="1">IFERROR(__xludf.DUMMYFUNCTION("""COMPUTED_VALUE"""),"DOLWCTSKI0952071")</f>
        <v>DOLWCTSKI0952071</v>
      </c>
      <c r="D1436" s="588" t="str">
        <f ca="1">IFERROR(__xludf.DUMMYFUNCTION("""COMPUTED_VALUE"""),"Đồng ống LWC Taisei KI 09.52x0.71")</f>
        <v>Đồng ống LWC Taisei KI 09.52x0.71</v>
      </c>
      <c r="E1436" s="589">
        <f ca="1">IFERROR(__xludf.DUMMYFUNCTION("""COMPUTED_VALUE"""),0.1)</f>
        <v>0.1</v>
      </c>
      <c r="F1436" s="590" t="str">
        <f ca="1">IFERROR(__xludf.DUMMYFUNCTION("""COMPUTED_VALUE"""),"m")</f>
        <v>m</v>
      </c>
      <c r="G1436" s="590" t="str">
        <f ca="1">IFERROR(__xludf.DUMMYFUNCTION("""COMPUTED_VALUE"""),"m")</f>
        <v>m</v>
      </c>
      <c r="H1436" s="588"/>
      <c r="I1436" s="591">
        <f ca="1">IFERROR(__xludf.DUMMYFUNCTION("""COMPUTED_VALUE"""),0.175142799999999)</f>
        <v>0.17514279999999899</v>
      </c>
      <c r="J1436" s="592" t="str">
        <f ca="1">IFERROR(__xludf.DUMMYFUNCTION("""COMPUTED_VALUE""")," 09.52 ")</f>
        <v xml:space="preserve"> 09.52 </v>
      </c>
      <c r="K1436" s="590" t="str">
        <f ca="1">IFERROR(__xludf.DUMMYFUNCTION("""COMPUTED_VALUE"""),"0.71")</f>
        <v>0.71</v>
      </c>
      <c r="L1436" s="590">
        <f ca="1">IFERROR(__xludf.DUMMYFUNCTION("""COMPUTED_VALUE"""),1)</f>
        <v>1</v>
      </c>
      <c r="M1436" s="590" t="str">
        <f ca="1">IFERROR(__xludf.DUMMYFUNCTION("""COMPUTED_VALUE"""),"KI")</f>
        <v>KI</v>
      </c>
      <c r="N1436" s="590" t="str">
        <f ca="1">IFERROR(__xludf.DUMMYFUNCTION("""COMPUTED_VALUE"""),"Dị_D&lt;54")</f>
        <v>Dị_D&lt;54</v>
      </c>
      <c r="O1436" s="589">
        <f ca="1">IFERROR(__xludf.DUMMYFUNCTION("""COMPUTED_VALUE"""),1)</f>
        <v>1</v>
      </c>
      <c r="P1436" s="590"/>
    </row>
    <row r="1437" spans="1:17" ht="15.75">
      <c r="A1437" s="581" t="str">
        <f ca="1">IFERROR(__xludf.DUMMYFUNCTION("""COMPUTED_VALUE"""),"Taisei Việt Nam")</f>
        <v>Taisei Việt Nam</v>
      </c>
      <c r="B1437" s="581" t="str">
        <f ca="1">IFERROR(__xludf.DUMMYFUNCTION("""COMPUTED_VALUE"""),"ĐTSBANH")</f>
        <v>ĐTSBANH</v>
      </c>
      <c r="C1437" s="581" t="str">
        <f ca="1">IFERROR(__xludf.DUMMYFUNCTION("""COMPUTED_VALUE"""),"DOLWCTS0952081")</f>
        <v>DOLWCTS0952081</v>
      </c>
      <c r="D1437" s="582" t="str">
        <f ca="1">IFERROR(__xludf.DUMMYFUNCTION("""COMPUTED_VALUE"""),"Đồng ống LWC Taisei 09.52x0.81")</f>
        <v>Đồng ống LWC Taisei 09.52x0.81</v>
      </c>
      <c r="E1437" s="583">
        <f ca="1">IFERROR(__xludf.DUMMYFUNCTION("""COMPUTED_VALUE"""),0.1)</f>
        <v>0.1</v>
      </c>
      <c r="F1437" s="584" t="str">
        <f ca="1">IFERROR(__xludf.DUMMYFUNCTION("""COMPUTED_VALUE"""),"m")</f>
        <v>m</v>
      </c>
      <c r="G1437" s="584" t="str">
        <f ca="1">IFERROR(__xludf.DUMMYFUNCTION("""COMPUTED_VALUE"""),"m")</f>
        <v>m</v>
      </c>
      <c r="H1437" s="582"/>
      <c r="I1437" s="585">
        <f ca="1">IFERROR(__xludf.DUMMYFUNCTION("""COMPUTED_VALUE"""),0.1975428)</f>
        <v>0.19754279999999999</v>
      </c>
      <c r="J1437" s="586" t="str">
        <f ca="1">IFERROR(__xludf.DUMMYFUNCTION("""COMPUTED_VALUE""")," 09.52 ")</f>
        <v xml:space="preserve"> 09.52 </v>
      </c>
      <c r="K1437" s="584" t="str">
        <f ca="1">IFERROR(__xludf.DUMMYFUNCTION("""COMPUTED_VALUE"""),"0.81")</f>
        <v>0.81</v>
      </c>
      <c r="L1437" s="584">
        <f ca="1">IFERROR(__xludf.DUMMYFUNCTION("""COMPUTED_VALUE"""),1)</f>
        <v>1</v>
      </c>
      <c r="M1437" s="584"/>
      <c r="N1437" s="584" t="str">
        <f ca="1">IFERROR(__xludf.DUMMYFUNCTION("""COMPUTED_VALUE"""),"Dị_D&lt;54")</f>
        <v>Dị_D&lt;54</v>
      </c>
      <c r="O1437" s="583">
        <f ca="1">IFERROR(__xludf.DUMMYFUNCTION("""COMPUTED_VALUE"""),1)</f>
        <v>1</v>
      </c>
      <c r="P1437" s="584"/>
    </row>
    <row r="1438" spans="1:17" ht="15.75">
      <c r="A1438" s="587" t="str">
        <f ca="1">IFERROR(__xludf.DUMMYFUNCTION("""COMPUTED_VALUE"""),"Taisei Việt Nam")</f>
        <v>Taisei Việt Nam</v>
      </c>
      <c r="B1438" s="587" t="str">
        <f ca="1">IFERROR(__xludf.DUMMYFUNCTION("""COMPUTED_VALUE"""),"ĐTSBANH")</f>
        <v>ĐTSBANH</v>
      </c>
      <c r="C1438" s="587" t="str">
        <f ca="1">IFERROR(__xludf.DUMMYFUNCTION("""COMPUTED_VALUE"""),"DOLWCTSKI0952081")</f>
        <v>DOLWCTSKI0952081</v>
      </c>
      <c r="D1438" s="588" t="str">
        <f ca="1">IFERROR(__xludf.DUMMYFUNCTION("""COMPUTED_VALUE"""),"Đồng ống LWC Taisei KI 09.52x0.81")</f>
        <v>Đồng ống LWC Taisei KI 09.52x0.81</v>
      </c>
      <c r="E1438" s="589">
        <f ca="1">IFERROR(__xludf.DUMMYFUNCTION("""COMPUTED_VALUE"""),0.1)</f>
        <v>0.1</v>
      </c>
      <c r="F1438" s="590" t="str">
        <f ca="1">IFERROR(__xludf.DUMMYFUNCTION("""COMPUTED_VALUE"""),"m")</f>
        <v>m</v>
      </c>
      <c r="G1438" s="590" t="str">
        <f ca="1">IFERROR(__xludf.DUMMYFUNCTION("""COMPUTED_VALUE"""),"m")</f>
        <v>m</v>
      </c>
      <c r="H1438" s="588"/>
      <c r="I1438" s="591">
        <f ca="1">IFERROR(__xludf.DUMMYFUNCTION("""COMPUTED_VALUE"""),0.1975428)</f>
        <v>0.19754279999999999</v>
      </c>
      <c r="J1438" s="592" t="str">
        <f ca="1">IFERROR(__xludf.DUMMYFUNCTION("""COMPUTED_VALUE""")," 09.52 ")</f>
        <v xml:space="preserve"> 09.52 </v>
      </c>
      <c r="K1438" s="590" t="str">
        <f ca="1">IFERROR(__xludf.DUMMYFUNCTION("""COMPUTED_VALUE"""),"0.81")</f>
        <v>0.81</v>
      </c>
      <c r="L1438" s="590">
        <f ca="1">IFERROR(__xludf.DUMMYFUNCTION("""COMPUTED_VALUE"""),1)</f>
        <v>1</v>
      </c>
      <c r="M1438" s="590" t="str">
        <f ca="1">IFERROR(__xludf.DUMMYFUNCTION("""COMPUTED_VALUE"""),"KI")</f>
        <v>KI</v>
      </c>
      <c r="N1438" s="590" t="str">
        <f ca="1">IFERROR(__xludf.DUMMYFUNCTION("""COMPUTED_VALUE"""),"Dị_D&lt;54")</f>
        <v>Dị_D&lt;54</v>
      </c>
      <c r="O1438" s="589">
        <f ca="1">IFERROR(__xludf.DUMMYFUNCTION("""COMPUTED_VALUE"""),1)</f>
        <v>1</v>
      </c>
      <c r="P1438" s="590"/>
    </row>
    <row r="1439" spans="1:17" ht="15.75">
      <c r="A1439" s="581" t="str">
        <f ca="1">IFERROR(__xludf.DUMMYFUNCTION("""COMPUTED_VALUE"""),"Taisei Việt Nam")</f>
        <v>Taisei Việt Nam</v>
      </c>
      <c r="B1439" s="581" t="str">
        <f ca="1">IFERROR(__xludf.DUMMYFUNCTION("""COMPUTED_VALUE"""),"ĐTSBANH")</f>
        <v>ĐTSBANH</v>
      </c>
      <c r="C1439" s="581" t="str">
        <f ca="1">IFERROR(__xludf.DUMMYFUNCTION("""COMPUTED_VALUE"""),"DOLWCTS1270061")</f>
        <v>DOLWCTS1270061</v>
      </c>
      <c r="D1439" s="582" t="str">
        <f ca="1">IFERROR(__xludf.DUMMYFUNCTION("""COMPUTED_VALUE"""),"Đồng ống LWC Taisei 12.70x0.61")</f>
        <v>Đồng ống LWC Taisei 12.70x0.61</v>
      </c>
      <c r="E1439" s="583">
        <f ca="1">IFERROR(__xludf.DUMMYFUNCTION("""COMPUTED_VALUE"""),0.1)</f>
        <v>0.1</v>
      </c>
      <c r="F1439" s="584" t="str">
        <f ca="1">IFERROR(__xludf.DUMMYFUNCTION("""COMPUTED_VALUE"""),"m")</f>
        <v>m</v>
      </c>
      <c r="G1439" s="584" t="str">
        <f ca="1">IFERROR(__xludf.DUMMYFUNCTION("""COMPUTED_VALUE"""),"m")</f>
        <v>m</v>
      </c>
      <c r="H1439" s="582"/>
      <c r="I1439" s="585">
        <f ca="1">IFERROR(__xludf.DUMMYFUNCTION("""COMPUTED_VALUE"""),0.21931)</f>
        <v>0.21931</v>
      </c>
      <c r="J1439" s="586" t="str">
        <f ca="1">IFERROR(__xludf.DUMMYFUNCTION("""COMPUTED_VALUE""")," 12.70 ")</f>
        <v xml:space="preserve"> 12.70 </v>
      </c>
      <c r="K1439" s="584" t="str">
        <f ca="1">IFERROR(__xludf.DUMMYFUNCTION("""COMPUTED_VALUE"""),"0.65")</f>
        <v>0.65</v>
      </c>
      <c r="L1439" s="584">
        <f ca="1">IFERROR(__xludf.DUMMYFUNCTION("""COMPUTED_VALUE"""),1)</f>
        <v>1</v>
      </c>
      <c r="M1439" s="584"/>
      <c r="N1439" s="584" t="str">
        <f ca="1">IFERROR(__xludf.DUMMYFUNCTION("""COMPUTED_VALUE"""),"Dị_D&lt;54")</f>
        <v>Dị_D&lt;54</v>
      </c>
      <c r="O1439" s="583"/>
      <c r="P1439" s="584"/>
    </row>
    <row r="1440" spans="1:17" ht="15.75">
      <c r="A1440" s="587" t="str">
        <f ca="1">IFERROR(__xludf.DUMMYFUNCTION("""COMPUTED_VALUE"""),"Taisei Việt Nam")</f>
        <v>Taisei Việt Nam</v>
      </c>
      <c r="B1440" s="587" t="str">
        <f ca="1">IFERROR(__xludf.DUMMYFUNCTION("""COMPUTED_VALUE"""),"ĐTSBANH")</f>
        <v>ĐTSBANH</v>
      </c>
      <c r="C1440" s="587" t="str">
        <f ca="1">IFERROR(__xludf.DUMMYFUNCTION("""COMPUTED_VALUE"""),"DOLWCTS1270065")</f>
        <v>DOLWCTS1270065</v>
      </c>
      <c r="D1440" s="588" t="str">
        <f ca="1">IFERROR(__xludf.DUMMYFUNCTION("""COMPUTED_VALUE"""),"Đồng ống LWC Taisei 12.70x0.65")</f>
        <v>Đồng ống LWC Taisei 12.70x0.65</v>
      </c>
      <c r="E1440" s="589">
        <f ca="1">IFERROR(__xludf.DUMMYFUNCTION("""COMPUTED_VALUE"""),0.1)</f>
        <v>0.1</v>
      </c>
      <c r="F1440" s="590" t="str">
        <f ca="1">IFERROR(__xludf.DUMMYFUNCTION("""COMPUTED_VALUE"""),"m")</f>
        <v>m</v>
      </c>
      <c r="G1440" s="590" t="str">
        <f ca="1">IFERROR(__xludf.DUMMYFUNCTION("""COMPUTED_VALUE"""),"m")</f>
        <v>m</v>
      </c>
      <c r="H1440" s="588"/>
      <c r="I1440" s="591">
        <f ca="1">IFERROR(__xludf.DUMMYFUNCTION("""COMPUTED_VALUE"""),0.21931)</f>
        <v>0.21931</v>
      </c>
      <c r="J1440" s="592" t="str">
        <f ca="1">IFERROR(__xludf.DUMMYFUNCTION("""COMPUTED_VALUE""")," 12.70 ")</f>
        <v xml:space="preserve"> 12.70 </v>
      </c>
      <c r="K1440" s="590" t="str">
        <f ca="1">IFERROR(__xludf.DUMMYFUNCTION("""COMPUTED_VALUE"""),"0.65")</f>
        <v>0.65</v>
      </c>
      <c r="L1440" s="590">
        <f ca="1">IFERROR(__xludf.DUMMYFUNCTION("""COMPUTED_VALUE"""),1)</f>
        <v>1</v>
      </c>
      <c r="M1440" s="590"/>
      <c r="N1440" s="590" t="str">
        <f ca="1">IFERROR(__xludf.DUMMYFUNCTION("""COMPUTED_VALUE"""),"Dị_D&lt;54")</f>
        <v>Dị_D&lt;54</v>
      </c>
      <c r="O1440" s="589"/>
      <c r="P1440" s="590"/>
    </row>
    <row r="1441" spans="1:17" ht="15.75">
      <c r="A1441" s="581" t="str">
        <f ca="1">IFERROR(__xludf.DUMMYFUNCTION("""COMPUTED_VALUE"""),"Taisei Việt Nam")</f>
        <v>Taisei Việt Nam</v>
      </c>
      <c r="B1441" s="581" t="str">
        <f ca="1">IFERROR(__xludf.DUMMYFUNCTION("""COMPUTED_VALUE"""),"ĐTSBANH")</f>
        <v>ĐTSBANH</v>
      </c>
      <c r="C1441" s="581" t="str">
        <f ca="1">IFERROR(__xludf.DUMMYFUNCTION("""COMPUTED_VALUE"""),"DOLWCTSKI1270065")</f>
        <v>DOLWCTSKI1270065</v>
      </c>
      <c r="D1441" s="582" t="str">
        <f ca="1">IFERROR(__xludf.DUMMYFUNCTION("""COMPUTED_VALUE"""),"Đồng ống LWC Taisei KI 12.70x0.65")</f>
        <v>Đồng ống LWC Taisei KI 12.70x0.65</v>
      </c>
      <c r="E1441" s="583">
        <f ca="1">IFERROR(__xludf.DUMMYFUNCTION("""COMPUTED_VALUE"""),0.1)</f>
        <v>0.1</v>
      </c>
      <c r="F1441" s="584" t="str">
        <f ca="1">IFERROR(__xludf.DUMMYFUNCTION("""COMPUTED_VALUE"""),"m")</f>
        <v>m</v>
      </c>
      <c r="G1441" s="584" t="str">
        <f ca="1">IFERROR(__xludf.DUMMYFUNCTION("""COMPUTED_VALUE"""),"m")</f>
        <v>m</v>
      </c>
      <c r="H1441" s="582"/>
      <c r="I1441" s="585">
        <f ca="1">IFERROR(__xludf.DUMMYFUNCTION("""COMPUTED_VALUE"""),0.21931)</f>
        <v>0.21931</v>
      </c>
      <c r="J1441" s="586" t="str">
        <f ca="1">IFERROR(__xludf.DUMMYFUNCTION("""COMPUTED_VALUE""")," 12.70 ")</f>
        <v xml:space="preserve"> 12.70 </v>
      </c>
      <c r="K1441" s="584" t="str">
        <f ca="1">IFERROR(__xludf.DUMMYFUNCTION("""COMPUTED_VALUE"""),"0.65")</f>
        <v>0.65</v>
      </c>
      <c r="L1441" s="584">
        <f ca="1">IFERROR(__xludf.DUMMYFUNCTION("""COMPUTED_VALUE"""),1)</f>
        <v>1</v>
      </c>
      <c r="M1441" s="584" t="str">
        <f ca="1">IFERROR(__xludf.DUMMYFUNCTION("""COMPUTED_VALUE"""),"KI")</f>
        <v>KI</v>
      </c>
      <c r="N1441" s="584" t="str">
        <f ca="1">IFERROR(__xludf.DUMMYFUNCTION("""COMPUTED_VALUE"""),"Dị_D&lt;54")</f>
        <v>Dị_D&lt;54</v>
      </c>
      <c r="O1441" s="583"/>
      <c r="P1441" s="584"/>
    </row>
    <row r="1442" spans="1:17" ht="15.75">
      <c r="A1442" s="587" t="str">
        <f ca="1">IFERROR(__xludf.DUMMYFUNCTION("""COMPUTED_VALUE"""),"Taisei Việt Nam")</f>
        <v>Taisei Việt Nam</v>
      </c>
      <c r="B1442" s="587" t="str">
        <f ca="1">IFERROR(__xludf.DUMMYFUNCTION("""COMPUTED_VALUE"""),"ĐTSBANH")</f>
        <v>ĐTSBANH</v>
      </c>
      <c r="C1442" s="587" t="str">
        <f ca="1">IFERROR(__xludf.DUMMYFUNCTION("""COMPUTED_VALUE"""),"DOLWCTS1270071")</f>
        <v>DOLWCTS1270071</v>
      </c>
      <c r="D1442" s="588" t="str">
        <f ca="1">IFERROR(__xludf.DUMMYFUNCTION("""COMPUTED_VALUE"""),"Đồng ống LWC Taisei 12.70x0.71")</f>
        <v>Đồng ống LWC Taisei 12.70x0.71</v>
      </c>
      <c r="E1442" s="589">
        <f ca="1">IFERROR(__xludf.DUMMYFUNCTION("""COMPUTED_VALUE"""),0.1)</f>
        <v>0.1</v>
      </c>
      <c r="F1442" s="590" t="str">
        <f ca="1">IFERROR(__xludf.DUMMYFUNCTION("""COMPUTED_VALUE"""),"m")</f>
        <v>m</v>
      </c>
      <c r="G1442" s="590" t="str">
        <f ca="1">IFERROR(__xludf.DUMMYFUNCTION("""COMPUTED_VALUE"""),"m")</f>
        <v>m</v>
      </c>
      <c r="H1442" s="588"/>
      <c r="I1442" s="591">
        <f ca="1">IFERROR(__xludf.DUMMYFUNCTION("""COMPUTED_VALUE"""),0.238361199999999)</f>
        <v>0.238361199999999</v>
      </c>
      <c r="J1442" s="592" t="str">
        <f ca="1">IFERROR(__xludf.DUMMYFUNCTION("""COMPUTED_VALUE""")," 12.70 ")</f>
        <v xml:space="preserve"> 12.70 </v>
      </c>
      <c r="K1442" s="590" t="str">
        <f ca="1">IFERROR(__xludf.DUMMYFUNCTION("""COMPUTED_VALUE"""),"0.71")</f>
        <v>0.71</v>
      </c>
      <c r="L1442" s="590">
        <f ca="1">IFERROR(__xludf.DUMMYFUNCTION("""COMPUTED_VALUE"""),1)</f>
        <v>1</v>
      </c>
      <c r="M1442" s="590"/>
      <c r="N1442" s="590" t="str">
        <f ca="1">IFERROR(__xludf.DUMMYFUNCTION("""COMPUTED_VALUE"""),"Dị_D&lt;54")</f>
        <v>Dị_D&lt;54</v>
      </c>
      <c r="O1442" s="589">
        <f ca="1">IFERROR(__xludf.DUMMYFUNCTION("""COMPUTED_VALUE"""),1)</f>
        <v>1</v>
      </c>
      <c r="P1442" s="590"/>
    </row>
    <row r="1443" spans="1:17" ht="15.75">
      <c r="A1443" s="581" t="str">
        <f ca="1">IFERROR(__xludf.DUMMYFUNCTION("""COMPUTED_VALUE"""),"Taisei Việt Nam")</f>
        <v>Taisei Việt Nam</v>
      </c>
      <c r="B1443" s="581" t="str">
        <f ca="1">IFERROR(__xludf.DUMMYFUNCTION("""COMPUTED_VALUE"""),"ĐTSBANH")</f>
        <v>ĐTSBANH</v>
      </c>
      <c r="C1443" s="581" t="str">
        <f ca="1">IFERROR(__xludf.DUMMYFUNCTION("""COMPUTED_VALUE"""),"DOLWCTSKI1270071")</f>
        <v>DOLWCTSKI1270071</v>
      </c>
      <c r="D1443" s="582" t="str">
        <f ca="1">IFERROR(__xludf.DUMMYFUNCTION("""COMPUTED_VALUE"""),"Đồng ống LWC Taisei KI 12.70x0.71")</f>
        <v>Đồng ống LWC Taisei KI 12.70x0.71</v>
      </c>
      <c r="E1443" s="583">
        <f ca="1">IFERROR(__xludf.DUMMYFUNCTION("""COMPUTED_VALUE"""),0.1)</f>
        <v>0.1</v>
      </c>
      <c r="F1443" s="584" t="str">
        <f ca="1">IFERROR(__xludf.DUMMYFUNCTION("""COMPUTED_VALUE"""),"m")</f>
        <v>m</v>
      </c>
      <c r="G1443" s="584" t="str">
        <f ca="1">IFERROR(__xludf.DUMMYFUNCTION("""COMPUTED_VALUE"""),"m")</f>
        <v>m</v>
      </c>
      <c r="H1443" s="582"/>
      <c r="I1443" s="585">
        <f ca="1">IFERROR(__xludf.DUMMYFUNCTION("""COMPUTED_VALUE"""),0.238361199999999)</f>
        <v>0.238361199999999</v>
      </c>
      <c r="J1443" s="586" t="str">
        <f ca="1">IFERROR(__xludf.DUMMYFUNCTION("""COMPUTED_VALUE""")," 12.70 ")</f>
        <v xml:space="preserve"> 12.70 </v>
      </c>
      <c r="K1443" s="584" t="str">
        <f ca="1">IFERROR(__xludf.DUMMYFUNCTION("""COMPUTED_VALUE"""),"0.71")</f>
        <v>0.71</v>
      </c>
      <c r="L1443" s="584">
        <f ca="1">IFERROR(__xludf.DUMMYFUNCTION("""COMPUTED_VALUE"""),1)</f>
        <v>1</v>
      </c>
      <c r="M1443" s="584" t="str">
        <f ca="1">IFERROR(__xludf.DUMMYFUNCTION("""COMPUTED_VALUE"""),"KI")</f>
        <v>KI</v>
      </c>
      <c r="N1443" s="584" t="str">
        <f ca="1">IFERROR(__xludf.DUMMYFUNCTION("""COMPUTED_VALUE"""),"Dị_D&lt;54")</f>
        <v>Dị_D&lt;54</v>
      </c>
      <c r="O1443" s="583">
        <f ca="1">IFERROR(__xludf.DUMMYFUNCTION("""COMPUTED_VALUE"""),1)</f>
        <v>1</v>
      </c>
      <c r="P1443" s="584"/>
    </row>
    <row r="1444" spans="1:17" ht="15.75">
      <c r="A1444" s="587" t="str">
        <f ca="1">IFERROR(__xludf.DUMMYFUNCTION("""COMPUTED_VALUE"""),"Taisei Việt Nam")</f>
        <v>Taisei Việt Nam</v>
      </c>
      <c r="B1444" s="587" t="str">
        <f ca="1">IFERROR(__xludf.DUMMYFUNCTION("""COMPUTED_VALUE"""),"ĐTSBANH")</f>
        <v>ĐTSBANH</v>
      </c>
      <c r="C1444" s="587" t="str">
        <f ca="1">IFERROR(__xludf.DUMMYFUNCTION("""COMPUTED_VALUE"""),"DOLWCTS1270081")</f>
        <v>DOLWCTS1270081</v>
      </c>
      <c r="D1444" s="588" t="str">
        <f ca="1">IFERROR(__xludf.DUMMYFUNCTION("""COMPUTED_VALUE"""),"Đồng ống LWC Taisei 12.70x0.81")</f>
        <v>Đồng ống LWC Taisei 12.70x0.81</v>
      </c>
      <c r="E1444" s="589">
        <f ca="1">IFERROR(__xludf.DUMMYFUNCTION("""COMPUTED_VALUE"""),0.1)</f>
        <v>0.1</v>
      </c>
      <c r="F1444" s="590" t="str">
        <f ca="1">IFERROR(__xludf.DUMMYFUNCTION("""COMPUTED_VALUE"""),"m")</f>
        <v>m</v>
      </c>
      <c r="G1444" s="590" t="str">
        <f ca="1">IFERROR(__xludf.DUMMYFUNCTION("""COMPUTED_VALUE"""),"m")</f>
        <v>m</v>
      </c>
      <c r="H1444" s="588"/>
      <c r="I1444" s="591">
        <f ca="1">IFERROR(__xludf.DUMMYFUNCTION("""COMPUTED_VALUE"""),0.2696652)</f>
        <v>0.26966519999999999</v>
      </c>
      <c r="J1444" s="592" t="str">
        <f ca="1">IFERROR(__xludf.DUMMYFUNCTION("""COMPUTED_VALUE""")," 12.70 ")</f>
        <v xml:space="preserve"> 12.70 </v>
      </c>
      <c r="K1444" s="590" t="str">
        <f ca="1">IFERROR(__xludf.DUMMYFUNCTION("""COMPUTED_VALUE"""),"0.81")</f>
        <v>0.81</v>
      </c>
      <c r="L1444" s="590">
        <f ca="1">IFERROR(__xludf.DUMMYFUNCTION("""COMPUTED_VALUE"""),1)</f>
        <v>1</v>
      </c>
      <c r="M1444" s="590"/>
      <c r="N1444" s="590" t="str">
        <f ca="1">IFERROR(__xludf.DUMMYFUNCTION("""COMPUTED_VALUE"""),"Dị_D&lt;54")</f>
        <v>Dị_D&lt;54</v>
      </c>
      <c r="O1444" s="589">
        <f ca="1">IFERROR(__xludf.DUMMYFUNCTION("""COMPUTED_VALUE"""),1)</f>
        <v>1</v>
      </c>
      <c r="P1444" s="590"/>
    </row>
    <row r="1445" spans="1:17" ht="15.75">
      <c r="A1445" s="581" t="str">
        <f ca="1">IFERROR(__xludf.DUMMYFUNCTION("""COMPUTED_VALUE"""),"Taisei Việt Nam")</f>
        <v>Taisei Việt Nam</v>
      </c>
      <c r="B1445" s="581" t="str">
        <f ca="1">IFERROR(__xludf.DUMMYFUNCTION("""COMPUTED_VALUE"""),"ĐTSBANH")</f>
        <v>ĐTSBANH</v>
      </c>
      <c r="C1445" s="581" t="str">
        <f ca="1">IFERROR(__xludf.DUMMYFUNCTION("""COMPUTED_VALUE"""),"DOLWCTS1588071")</f>
        <v>DOLWCTS1588071</v>
      </c>
      <c r="D1445" s="582" t="str">
        <f ca="1">IFERROR(__xludf.DUMMYFUNCTION("""COMPUTED_VALUE"""),"Đồng ống LWC Taisei 15.88x0.71")</f>
        <v>Đồng ống LWC Taisei 15.88x0.71</v>
      </c>
      <c r="E1445" s="583">
        <f ca="1">IFERROR(__xludf.DUMMYFUNCTION("""COMPUTED_VALUE"""),0.1)</f>
        <v>0.1</v>
      </c>
      <c r="F1445" s="584" t="str">
        <f ca="1">IFERROR(__xludf.DUMMYFUNCTION("""COMPUTED_VALUE"""),"m")</f>
        <v>m</v>
      </c>
      <c r="G1445" s="584" t="str">
        <f ca="1">IFERROR(__xludf.DUMMYFUNCTION("""COMPUTED_VALUE"""),"m")</f>
        <v>m</v>
      </c>
      <c r="H1445" s="582"/>
      <c r="I1445" s="585">
        <f ca="1">IFERROR(__xludf.DUMMYFUNCTION("""COMPUTED_VALUE"""),0.3015796)</f>
        <v>0.3015796</v>
      </c>
      <c r="J1445" s="586" t="str">
        <f ca="1">IFERROR(__xludf.DUMMYFUNCTION("""COMPUTED_VALUE""")," 15.88 ")</f>
        <v xml:space="preserve"> 15.88 </v>
      </c>
      <c r="K1445" s="584" t="str">
        <f ca="1">IFERROR(__xludf.DUMMYFUNCTION("""COMPUTED_VALUE"""),"0.71")</f>
        <v>0.71</v>
      </c>
      <c r="L1445" s="584">
        <f ca="1">IFERROR(__xludf.DUMMYFUNCTION("""COMPUTED_VALUE"""),1)</f>
        <v>1</v>
      </c>
      <c r="M1445" s="584"/>
      <c r="N1445" s="584" t="str">
        <f ca="1">IFERROR(__xludf.DUMMYFUNCTION("""COMPUTED_VALUE"""),"Dị_D&lt;54")</f>
        <v>Dị_D&lt;54</v>
      </c>
      <c r="O1445" s="583">
        <f ca="1">IFERROR(__xludf.DUMMYFUNCTION("""COMPUTED_VALUE"""),1)</f>
        <v>1</v>
      </c>
      <c r="P1445" s="584"/>
    </row>
    <row r="1446" spans="1:17" ht="15.75">
      <c r="A1446" s="587" t="str">
        <f ca="1">IFERROR(__xludf.DUMMYFUNCTION("""COMPUTED_VALUE"""),"Taisei Việt Nam")</f>
        <v>Taisei Việt Nam</v>
      </c>
      <c r="B1446" s="587" t="str">
        <f ca="1">IFERROR(__xludf.DUMMYFUNCTION("""COMPUTED_VALUE"""),"ĐTSBANH")</f>
        <v>ĐTSBANH</v>
      </c>
      <c r="C1446" s="587" t="str">
        <f ca="1">IFERROR(__xludf.DUMMYFUNCTION("""COMPUTED_VALUE"""),"DOLWCTSKI1588071")</f>
        <v>DOLWCTSKI1588071</v>
      </c>
      <c r="D1446" s="588" t="str">
        <f ca="1">IFERROR(__xludf.DUMMYFUNCTION("""COMPUTED_VALUE"""),"Đồng ống LWC Taisei KI 15.88x0.71")</f>
        <v>Đồng ống LWC Taisei KI 15.88x0.71</v>
      </c>
      <c r="E1446" s="589">
        <f ca="1">IFERROR(__xludf.DUMMYFUNCTION("""COMPUTED_VALUE"""),0.1)</f>
        <v>0.1</v>
      </c>
      <c r="F1446" s="590" t="str">
        <f ca="1">IFERROR(__xludf.DUMMYFUNCTION("""COMPUTED_VALUE"""),"m")</f>
        <v>m</v>
      </c>
      <c r="G1446" s="590" t="str">
        <f ca="1">IFERROR(__xludf.DUMMYFUNCTION("""COMPUTED_VALUE"""),"m")</f>
        <v>m</v>
      </c>
      <c r="H1446" s="588"/>
      <c r="I1446" s="591">
        <f ca="1">IFERROR(__xludf.DUMMYFUNCTION("""COMPUTED_VALUE"""),0.3015796)</f>
        <v>0.3015796</v>
      </c>
      <c r="J1446" s="592" t="str">
        <f ca="1">IFERROR(__xludf.DUMMYFUNCTION("""COMPUTED_VALUE""")," 15.88 ")</f>
        <v xml:space="preserve"> 15.88 </v>
      </c>
      <c r="K1446" s="590" t="str">
        <f ca="1">IFERROR(__xludf.DUMMYFUNCTION("""COMPUTED_VALUE"""),"0.71")</f>
        <v>0.71</v>
      </c>
      <c r="L1446" s="590">
        <f ca="1">IFERROR(__xludf.DUMMYFUNCTION("""COMPUTED_VALUE"""),1)</f>
        <v>1</v>
      </c>
      <c r="M1446" s="590" t="str">
        <f ca="1">IFERROR(__xludf.DUMMYFUNCTION("""COMPUTED_VALUE"""),"KI")</f>
        <v>KI</v>
      </c>
      <c r="N1446" s="590" t="str">
        <f ca="1">IFERROR(__xludf.DUMMYFUNCTION("""COMPUTED_VALUE"""),"Dị_D&lt;54")</f>
        <v>Dị_D&lt;54</v>
      </c>
      <c r="O1446" s="589">
        <f ca="1">IFERROR(__xludf.DUMMYFUNCTION("""COMPUTED_VALUE"""),1)</f>
        <v>1</v>
      </c>
      <c r="P1446" s="590"/>
    </row>
    <row r="1447" spans="1:17" ht="15.75">
      <c r="A1447" s="581" t="str">
        <f ca="1">IFERROR(__xludf.DUMMYFUNCTION("""COMPUTED_VALUE"""),"Taisei Việt Nam")</f>
        <v>Taisei Việt Nam</v>
      </c>
      <c r="B1447" s="581" t="str">
        <f ca="1">IFERROR(__xludf.DUMMYFUNCTION("""COMPUTED_VALUE"""),"ĐTSBANH")</f>
        <v>ĐTSBANH</v>
      </c>
      <c r="C1447" s="581" t="str">
        <f ca="1">IFERROR(__xludf.DUMMYFUNCTION("""COMPUTED_VALUE"""),"DOLWCTS1588081")</f>
        <v>DOLWCTS1588081</v>
      </c>
      <c r="D1447" s="582" t="str">
        <f ca="1">IFERROR(__xludf.DUMMYFUNCTION("""COMPUTED_VALUE"""),"Đồng ống LWC Taisei 15.88x0.81")</f>
        <v>Đồng ống LWC Taisei 15.88x0.81</v>
      </c>
      <c r="E1447" s="583">
        <f ca="1">IFERROR(__xludf.DUMMYFUNCTION("""COMPUTED_VALUE"""),0.1)</f>
        <v>0.1</v>
      </c>
      <c r="F1447" s="584" t="str">
        <f ca="1">IFERROR(__xludf.DUMMYFUNCTION("""COMPUTED_VALUE"""),"m")</f>
        <v>m</v>
      </c>
      <c r="G1447" s="584" t="str">
        <f ca="1">IFERROR(__xludf.DUMMYFUNCTION("""COMPUTED_VALUE"""),"m")</f>
        <v>m</v>
      </c>
      <c r="H1447" s="582"/>
      <c r="I1447" s="585">
        <f ca="1">IFERROR(__xludf.DUMMYFUNCTION("""COMPUTED_VALUE"""),0.3417876)</f>
        <v>0.34178760000000002</v>
      </c>
      <c r="J1447" s="586" t="str">
        <f ca="1">IFERROR(__xludf.DUMMYFUNCTION("""COMPUTED_VALUE""")," 15.88 ")</f>
        <v xml:space="preserve"> 15.88 </v>
      </c>
      <c r="K1447" s="584" t="str">
        <f ca="1">IFERROR(__xludf.DUMMYFUNCTION("""COMPUTED_VALUE"""),"0.81")</f>
        <v>0.81</v>
      </c>
      <c r="L1447" s="584">
        <f ca="1">IFERROR(__xludf.DUMMYFUNCTION("""COMPUTED_VALUE"""),1)</f>
        <v>1</v>
      </c>
      <c r="M1447" s="584"/>
      <c r="N1447" s="584" t="str">
        <f ca="1">IFERROR(__xludf.DUMMYFUNCTION("""COMPUTED_VALUE"""),"Dị_D&lt;54")</f>
        <v>Dị_D&lt;54</v>
      </c>
      <c r="O1447" s="583">
        <f ca="1">IFERROR(__xludf.DUMMYFUNCTION("""COMPUTED_VALUE"""),1)</f>
        <v>1</v>
      </c>
      <c r="P1447" s="584"/>
    </row>
    <row r="1448" spans="1:17" ht="15.75">
      <c r="A1448" s="587" t="str">
        <f ca="1">IFERROR(__xludf.DUMMYFUNCTION("""COMPUTED_VALUE"""),"Taisei Việt Nam")</f>
        <v>Taisei Việt Nam</v>
      </c>
      <c r="B1448" s="587" t="str">
        <f ca="1">IFERROR(__xludf.DUMMYFUNCTION("""COMPUTED_VALUE"""),"ĐTSBANH")</f>
        <v>ĐTSBANH</v>
      </c>
      <c r="C1448" s="587" t="str">
        <f ca="1">IFERROR(__xludf.DUMMYFUNCTION("""COMPUTED_VALUE"""),"DOLWCTSKI1588081")</f>
        <v>DOLWCTSKI1588081</v>
      </c>
      <c r="D1448" s="588" t="str">
        <f ca="1">IFERROR(__xludf.DUMMYFUNCTION("""COMPUTED_VALUE"""),"Đồng ống LWC Taisei KI 15.88x0.81")</f>
        <v>Đồng ống LWC Taisei KI 15.88x0.81</v>
      </c>
      <c r="E1448" s="589">
        <f ca="1">IFERROR(__xludf.DUMMYFUNCTION("""COMPUTED_VALUE"""),0.1)</f>
        <v>0.1</v>
      </c>
      <c r="F1448" s="590" t="str">
        <f ca="1">IFERROR(__xludf.DUMMYFUNCTION("""COMPUTED_VALUE"""),"m")</f>
        <v>m</v>
      </c>
      <c r="G1448" s="590" t="str">
        <f ca="1">IFERROR(__xludf.DUMMYFUNCTION("""COMPUTED_VALUE"""),"m")</f>
        <v>m</v>
      </c>
      <c r="H1448" s="588"/>
      <c r="I1448" s="591">
        <f ca="1">IFERROR(__xludf.DUMMYFUNCTION("""COMPUTED_VALUE"""),0.3417876)</f>
        <v>0.34178760000000002</v>
      </c>
      <c r="J1448" s="592" t="str">
        <f ca="1">IFERROR(__xludf.DUMMYFUNCTION("""COMPUTED_VALUE""")," 15.88 ")</f>
        <v xml:space="preserve"> 15.88 </v>
      </c>
      <c r="K1448" s="590" t="str">
        <f ca="1">IFERROR(__xludf.DUMMYFUNCTION("""COMPUTED_VALUE"""),"0.81")</f>
        <v>0.81</v>
      </c>
      <c r="L1448" s="590">
        <f ca="1">IFERROR(__xludf.DUMMYFUNCTION("""COMPUTED_VALUE"""),1)</f>
        <v>1</v>
      </c>
      <c r="M1448" s="590" t="str">
        <f ca="1">IFERROR(__xludf.DUMMYFUNCTION("""COMPUTED_VALUE"""),"KI")</f>
        <v>KI</v>
      </c>
      <c r="N1448" s="590" t="str">
        <f ca="1">IFERROR(__xludf.DUMMYFUNCTION("""COMPUTED_VALUE"""),"Dị_D&lt;54")</f>
        <v>Dị_D&lt;54</v>
      </c>
      <c r="O1448" s="589">
        <f ca="1">IFERROR(__xludf.DUMMYFUNCTION("""COMPUTED_VALUE"""),1)</f>
        <v>1</v>
      </c>
      <c r="P1448" s="590"/>
    </row>
    <row r="1449" spans="1:17" ht="15.75">
      <c r="A1449" s="581" t="str">
        <f ca="1">IFERROR(__xludf.DUMMYFUNCTION("""COMPUTED_VALUE"""),"Taisei Việt Nam")</f>
        <v>Taisei Việt Nam</v>
      </c>
      <c r="B1449" s="581" t="str">
        <f ca="1">IFERROR(__xludf.DUMMYFUNCTION("""COMPUTED_VALUE"""),"ĐTSBANH")</f>
        <v>ĐTSBANH</v>
      </c>
      <c r="C1449" s="581" t="str">
        <f ca="1">IFERROR(__xludf.DUMMYFUNCTION("""COMPUTED_VALUE"""),"DOLWCTS1588100")</f>
        <v>DOLWCTS1588100</v>
      </c>
      <c r="D1449" s="582" t="str">
        <f ca="1">IFERROR(__xludf.DUMMYFUNCTION("""COMPUTED_VALUE"""),"Đồng ống LWC Taisei 15.88x1.00")</f>
        <v>Đồng ống LWC Taisei 15.88x1.00</v>
      </c>
      <c r="E1449" s="583">
        <f ca="1">IFERROR(__xludf.DUMMYFUNCTION("""COMPUTED_VALUE"""),0.1)</f>
        <v>0.1</v>
      </c>
      <c r="F1449" s="584" t="str">
        <f ca="1">IFERROR(__xludf.DUMMYFUNCTION("""COMPUTED_VALUE"""),"m")</f>
        <v>m</v>
      </c>
      <c r="G1449" s="584" t="str">
        <f ca="1">IFERROR(__xludf.DUMMYFUNCTION("""COMPUTED_VALUE"""),"m")</f>
        <v>m</v>
      </c>
      <c r="H1449" s="582"/>
      <c r="I1449" s="585">
        <f ca="1">IFERROR(__xludf.DUMMYFUNCTION("""COMPUTED_VALUE"""),0.41664)</f>
        <v>0.41664000000000001</v>
      </c>
      <c r="J1449" s="586" t="str">
        <f ca="1">IFERROR(__xludf.DUMMYFUNCTION("""COMPUTED_VALUE""")," 15.88 ")</f>
        <v xml:space="preserve"> 15.88 </v>
      </c>
      <c r="K1449" s="584" t="str">
        <f ca="1">IFERROR(__xludf.DUMMYFUNCTION("""COMPUTED_VALUE"""),"1.00")</f>
        <v>1.00</v>
      </c>
      <c r="L1449" s="584">
        <f ca="1">IFERROR(__xludf.DUMMYFUNCTION("""COMPUTED_VALUE"""),1)</f>
        <v>1</v>
      </c>
      <c r="M1449" s="584"/>
      <c r="N1449" s="584" t="str">
        <f ca="1">IFERROR(__xludf.DUMMYFUNCTION("""COMPUTED_VALUE"""),"Dị_D&lt;54")</f>
        <v>Dị_D&lt;54</v>
      </c>
      <c r="O1449" s="583">
        <f ca="1">IFERROR(__xludf.DUMMYFUNCTION("""COMPUTED_VALUE"""),1)</f>
        <v>1</v>
      </c>
      <c r="P1449" s="584"/>
    </row>
    <row r="1450" spans="1:17" ht="15.75">
      <c r="A1450" s="587" t="str">
        <f ca="1">IFERROR(__xludf.DUMMYFUNCTION("""COMPUTED_VALUE"""),"Taisei Việt Nam")</f>
        <v>Taisei Việt Nam</v>
      </c>
      <c r="B1450" s="587" t="str">
        <f ca="1">IFERROR(__xludf.DUMMYFUNCTION("""COMPUTED_VALUE"""),"ĐTSBANH")</f>
        <v>ĐTSBANH</v>
      </c>
      <c r="C1450" s="587" t="str">
        <f ca="1">IFERROR(__xludf.DUMMYFUNCTION("""COMPUTED_VALUE"""),"DOLWCTS1588102")</f>
        <v>DOLWCTS1588102</v>
      </c>
      <c r="D1450" s="588" t="str">
        <f ca="1">IFERROR(__xludf.DUMMYFUNCTION("""COMPUTED_VALUE"""),"Đồng ống LWC Taisei 15.88x1.02")</f>
        <v>Đồng ống LWC Taisei 15.88x1.02</v>
      </c>
      <c r="E1450" s="589">
        <f ca="1">IFERROR(__xludf.DUMMYFUNCTION("""COMPUTED_VALUE"""),0.1)</f>
        <v>0.1</v>
      </c>
      <c r="F1450" s="590" t="str">
        <f ca="1">IFERROR(__xludf.DUMMYFUNCTION("""COMPUTED_VALUE"""),"m")</f>
        <v>m</v>
      </c>
      <c r="G1450" s="590" t="str">
        <f ca="1">IFERROR(__xludf.DUMMYFUNCTION("""COMPUTED_VALUE"""),"m")</f>
        <v>m</v>
      </c>
      <c r="H1450" s="588"/>
      <c r="I1450" s="591">
        <f ca="1">IFERROR(__xludf.DUMMYFUNCTION("""COMPUTED_VALUE"""),0.4244016)</f>
        <v>0.42440159999999999</v>
      </c>
      <c r="J1450" s="592" t="str">
        <f ca="1">IFERROR(__xludf.DUMMYFUNCTION("""COMPUTED_VALUE""")," 15.88 ")</f>
        <v xml:space="preserve"> 15.88 </v>
      </c>
      <c r="K1450" s="590" t="str">
        <f ca="1">IFERROR(__xludf.DUMMYFUNCTION("""COMPUTED_VALUE"""),"1.02")</f>
        <v>1.02</v>
      </c>
      <c r="L1450" s="590">
        <f ca="1">IFERROR(__xludf.DUMMYFUNCTION("""COMPUTED_VALUE"""),1)</f>
        <v>1</v>
      </c>
      <c r="M1450" s="590"/>
      <c r="N1450" s="590" t="str">
        <f ca="1">IFERROR(__xludf.DUMMYFUNCTION("""COMPUTED_VALUE"""),"Dị_D&lt;54")</f>
        <v>Dị_D&lt;54</v>
      </c>
      <c r="O1450" s="589">
        <f ca="1">IFERROR(__xludf.DUMMYFUNCTION("""COMPUTED_VALUE"""),1)</f>
        <v>1</v>
      </c>
      <c r="P1450" s="590"/>
    </row>
    <row r="1451" spans="1:17" ht="15.75">
      <c r="A1451" s="581" t="str">
        <f ca="1">IFERROR(__xludf.DUMMYFUNCTION("""COMPUTED_VALUE"""),"Taisei Việt Nam")</f>
        <v>Taisei Việt Nam</v>
      </c>
      <c r="B1451" s="581" t="str">
        <f ca="1">IFERROR(__xludf.DUMMYFUNCTION("""COMPUTED_VALUE"""),"ĐTSBANH")</f>
        <v>ĐTSBANH</v>
      </c>
      <c r="C1451" s="581" t="str">
        <f ca="1">IFERROR(__xludf.DUMMYFUNCTION("""COMPUTED_VALUE"""),"DOLWCTS1905081")</f>
        <v>DOLWCTS1905081</v>
      </c>
      <c r="D1451" s="582" t="str">
        <f ca="1">IFERROR(__xludf.DUMMYFUNCTION("""COMPUTED_VALUE"""),"Đồng ống LWC Taisei 19.05x0.81")</f>
        <v>Đồng ống LWC Taisei 19.05x0.81</v>
      </c>
      <c r="E1451" s="583">
        <f ca="1">IFERROR(__xludf.DUMMYFUNCTION("""COMPUTED_VALUE"""),0.1)</f>
        <v>0.1</v>
      </c>
      <c r="F1451" s="584" t="str">
        <f ca="1">IFERROR(__xludf.DUMMYFUNCTION("""COMPUTED_VALUE"""),"m")</f>
        <v>m</v>
      </c>
      <c r="G1451" s="584" t="str">
        <f ca="1">IFERROR(__xludf.DUMMYFUNCTION("""COMPUTED_VALUE"""),"m")</f>
        <v>m</v>
      </c>
      <c r="H1451" s="582"/>
      <c r="I1451" s="585">
        <f ca="1">IFERROR(__xludf.DUMMYFUNCTION("""COMPUTED_VALUE"""),0.4136832)</f>
        <v>0.41368319999999997</v>
      </c>
      <c r="J1451" s="586" t="str">
        <f ca="1">IFERROR(__xludf.DUMMYFUNCTION("""COMPUTED_VALUE""")," 19.05 ")</f>
        <v xml:space="preserve"> 19.05 </v>
      </c>
      <c r="K1451" s="584" t="str">
        <f ca="1">IFERROR(__xludf.DUMMYFUNCTION("""COMPUTED_VALUE"""),"0.81")</f>
        <v>0.81</v>
      </c>
      <c r="L1451" s="584">
        <f ca="1">IFERROR(__xludf.DUMMYFUNCTION("""COMPUTED_VALUE"""),1)</f>
        <v>1</v>
      </c>
      <c r="M1451" s="584"/>
      <c r="N1451" s="584" t="str">
        <f ca="1">IFERROR(__xludf.DUMMYFUNCTION("""COMPUTED_VALUE"""),"Không")</f>
        <v>Không</v>
      </c>
      <c r="O1451" s="583"/>
      <c r="P1451" s="584"/>
      <c r="Q1451" s="885">
        <f ca="1">+$Q$5*I1451</f>
        <v>95.147135999999989</v>
      </c>
    </row>
    <row r="1452" spans="1:17" ht="15.75">
      <c r="A1452" s="587" t="str">
        <f ca="1">IFERROR(__xludf.DUMMYFUNCTION("""COMPUTED_VALUE"""),"Taisei Việt Nam")</f>
        <v>Taisei Việt Nam</v>
      </c>
      <c r="B1452" s="587" t="str">
        <f ca="1">IFERROR(__xludf.DUMMYFUNCTION("""COMPUTED_VALUE"""),"ĐTSBANH")</f>
        <v>ĐTSBANH</v>
      </c>
      <c r="C1452" s="587" t="str">
        <f ca="1">IFERROR(__xludf.DUMMYFUNCTION("""COMPUTED_VALUE"""),"DOLWCTS1905100")</f>
        <v>DOLWCTS1905100</v>
      </c>
      <c r="D1452" s="588" t="str">
        <f ca="1">IFERROR(__xludf.DUMMYFUNCTION("""COMPUTED_VALUE"""),"Đồng ống LWC Taisei 19.05x1.00")</f>
        <v>Đồng ống LWC Taisei 19.05x1.00</v>
      </c>
      <c r="E1452" s="589">
        <f ca="1">IFERROR(__xludf.DUMMYFUNCTION("""COMPUTED_VALUE"""),0.1)</f>
        <v>0.1</v>
      </c>
      <c r="F1452" s="590" t="str">
        <f ca="1">IFERROR(__xludf.DUMMYFUNCTION("""COMPUTED_VALUE"""),"m")</f>
        <v>m</v>
      </c>
      <c r="G1452" s="590" t="str">
        <f ca="1">IFERROR(__xludf.DUMMYFUNCTION("""COMPUTED_VALUE"""),"m")</f>
        <v>m</v>
      </c>
      <c r="H1452" s="588"/>
      <c r="I1452" s="591">
        <f ca="1">IFERROR(__xludf.DUMMYFUNCTION("""COMPUTED_VALUE"""),0.5054)</f>
        <v>0.50539999999999996</v>
      </c>
      <c r="J1452" s="592" t="str">
        <f ca="1">IFERROR(__xludf.DUMMYFUNCTION("""COMPUTED_VALUE""")," 19.05 ")</f>
        <v xml:space="preserve"> 19.05 </v>
      </c>
      <c r="K1452" s="590" t="str">
        <f ca="1">IFERROR(__xludf.DUMMYFUNCTION("""COMPUTED_VALUE"""),"1.00")</f>
        <v>1.00</v>
      </c>
      <c r="L1452" s="590">
        <f ca="1">IFERROR(__xludf.DUMMYFUNCTION("""COMPUTED_VALUE"""),1)</f>
        <v>1</v>
      </c>
      <c r="M1452" s="590"/>
      <c r="N1452" s="590" t="str">
        <f ca="1">IFERROR(__xludf.DUMMYFUNCTION("""COMPUTED_VALUE"""),"Không")</f>
        <v>Không</v>
      </c>
      <c r="O1452" s="589"/>
      <c r="P1452" s="590"/>
      <c r="Q1452" s="885">
        <f ca="1">+$Q$5*I1452</f>
        <v>116.24199999999998</v>
      </c>
    </row>
    <row r="1453" spans="1:17" ht="15.75">
      <c r="A1453" s="581" t="str">
        <f ca="1">IFERROR(__xludf.DUMMYFUNCTION("""COMPUTED_VALUE"""),"J-Flex")</f>
        <v>J-Flex</v>
      </c>
      <c r="B1453" s="581" t="str">
        <f ca="1">IFERROR(__xludf.DUMMYFUNCTION("""COMPUTED_VALUE"""),"ĐJFLEXCUON")</f>
        <v>ĐJFLEXCUON</v>
      </c>
      <c r="C1453" s="581" t="str">
        <f ca="1">IFERROR(__xludf.DUMMYFUNCTION("""COMPUTED_VALUE"""),"JC06000GA15M")</f>
        <v>JC06000GA15M</v>
      </c>
      <c r="D1453" s="582" t="str">
        <f ca="1">IFERROR(__xludf.DUMMYFUNCTION("""COMPUTED_VALUE"""),"Đồng ống PC J-Flex 06.00x0.61")</f>
        <v>Đồng ống PC J-Flex 06.00x0.61</v>
      </c>
      <c r="E1453" s="583">
        <f ca="1">IFERROR(__xludf.DUMMYFUNCTION("""COMPUTED_VALUE"""),0.1)</f>
        <v>0.1</v>
      </c>
      <c r="F1453" s="584" t="str">
        <f ca="1">IFERROR(__xludf.DUMMYFUNCTION("""COMPUTED_VALUE"""),"Cuộn")</f>
        <v>Cuộn</v>
      </c>
      <c r="G1453" s="584" t="str">
        <f ca="1">IFERROR(__xludf.DUMMYFUNCTION("""COMPUTED_VALUE"""),"Cuộn 15m")</f>
        <v>Cuộn 15m</v>
      </c>
      <c r="H1453" s="582" t="str">
        <f ca="1">IFERROR(__xludf.DUMMYFUNCTION("""COMPUTED_VALUE"""),"12")</f>
        <v>12</v>
      </c>
      <c r="I1453" s="585">
        <f ca="1">IFERROR(__xludf.DUMMYFUNCTION("""COMPUTED_VALUE"""),1.38091799999999)</f>
        <v>1.3809179999999901</v>
      </c>
      <c r="J1453" s="586" t="str">
        <f ca="1">IFERROR(__xludf.DUMMYFUNCTION("""COMPUTED_VALUE""")," 06.00 ")</f>
        <v xml:space="preserve"> 06.00 </v>
      </c>
      <c r="K1453" s="584" t="str">
        <f ca="1">IFERROR(__xludf.DUMMYFUNCTION("""COMPUTED_VALUE"""),"0.61")</f>
        <v>0.61</v>
      </c>
      <c r="L1453" s="584">
        <f ca="1">IFERROR(__xludf.DUMMYFUNCTION("""COMPUTED_VALUE"""),15)</f>
        <v>15</v>
      </c>
      <c r="M1453" s="584"/>
      <c r="N1453" s="584" t="str">
        <f ca="1">IFERROR(__xludf.DUMMYFUNCTION("""COMPUTED_VALUE"""),"Dị_D&lt;54")</f>
        <v>Dị_D&lt;54</v>
      </c>
      <c r="O1453" s="583">
        <f ca="1">IFERROR(__xludf.DUMMYFUNCTION("""COMPUTED_VALUE"""),1)</f>
        <v>1</v>
      </c>
      <c r="P1453" s="584"/>
    </row>
    <row r="1454" spans="1:17" ht="15.75">
      <c r="A1454" s="587" t="str">
        <f ca="1">IFERROR(__xludf.DUMMYFUNCTION("""COMPUTED_VALUE"""),"J-Flex")</f>
        <v>J-Flex</v>
      </c>
      <c r="B1454" s="587" t="str">
        <f ca="1">IFERROR(__xludf.DUMMYFUNCTION("""COMPUTED_VALUE"""),"ĐJFLEXCUON")</f>
        <v>ĐJFLEXCUON</v>
      </c>
      <c r="C1454" s="587" t="str">
        <f ca="1">IFERROR(__xludf.DUMMYFUNCTION("""COMPUTED_VALUE"""),"JC0600A0015M")</f>
        <v>JC0600A0015M</v>
      </c>
      <c r="D1454" s="588" t="str">
        <f ca="1">IFERROR(__xludf.DUMMYFUNCTION("""COMPUTED_VALUE"""),"Đồng ống PC J-Flex 06.00x1.00")</f>
        <v>Đồng ống PC J-Flex 06.00x1.00</v>
      </c>
      <c r="E1454" s="589">
        <f ca="1">IFERROR(__xludf.DUMMYFUNCTION("""COMPUTED_VALUE"""),0.1)</f>
        <v>0.1</v>
      </c>
      <c r="F1454" s="590" t="str">
        <f ca="1">IFERROR(__xludf.DUMMYFUNCTION("""COMPUTED_VALUE"""),"Cuộn")</f>
        <v>Cuộn</v>
      </c>
      <c r="G1454" s="590" t="str">
        <f ca="1">IFERROR(__xludf.DUMMYFUNCTION("""COMPUTED_VALUE"""),"Cuộn 15m")</f>
        <v>Cuộn 15m</v>
      </c>
      <c r="H1454" s="588" t="str">
        <f ca="1">IFERROR(__xludf.DUMMYFUNCTION("""COMPUTED_VALUE"""),"12")</f>
        <v>12</v>
      </c>
      <c r="I1454" s="591">
        <f ca="1">IFERROR(__xludf.DUMMYFUNCTION("""COMPUTED_VALUE"""),2.1)</f>
        <v>2.1</v>
      </c>
      <c r="J1454" s="592" t="str">
        <f ca="1">IFERROR(__xludf.DUMMYFUNCTION("""COMPUTED_VALUE""")," 06.00 ")</f>
        <v xml:space="preserve"> 06.00 </v>
      </c>
      <c r="K1454" s="590" t="str">
        <f ca="1">IFERROR(__xludf.DUMMYFUNCTION("""COMPUTED_VALUE"""),"1.00")</f>
        <v>1.00</v>
      </c>
      <c r="L1454" s="590">
        <f ca="1">IFERROR(__xludf.DUMMYFUNCTION("""COMPUTED_VALUE"""),15)</f>
        <v>15</v>
      </c>
      <c r="M1454" s="590"/>
      <c r="N1454" s="590" t="str">
        <f ca="1">IFERROR(__xludf.DUMMYFUNCTION("""COMPUTED_VALUE"""),"Dị_D&lt;54")</f>
        <v>Dị_D&lt;54</v>
      </c>
      <c r="O1454" s="589">
        <f ca="1">IFERROR(__xludf.DUMMYFUNCTION("""COMPUTED_VALUE"""),1)</f>
        <v>1</v>
      </c>
      <c r="P1454" s="590"/>
    </row>
    <row r="1455" spans="1:17" ht="15.75">
      <c r="A1455" s="581" t="str">
        <f ca="1">IFERROR(__xludf.DUMMYFUNCTION("""COMPUTED_VALUE"""),"J-Flex")</f>
        <v>J-Flex</v>
      </c>
      <c r="B1455" s="581" t="str">
        <f ca="1">IFERROR(__xludf.DUMMYFUNCTION("""COMPUTED_VALUE"""),"ĐJFLEXCUON")</f>
        <v>ĐJFLEXCUON</v>
      </c>
      <c r="C1455" s="581" t="str">
        <f ca="1">IFERROR(__xludf.DUMMYFUNCTION("""COMPUTED_VALUE"""),"JC06350EA15M")</f>
        <v>JC06350EA15M</v>
      </c>
      <c r="D1455" s="582" t="str">
        <f ca="1">IFERROR(__xludf.DUMMYFUNCTION("""COMPUTED_VALUE"""),"Đồng ống PC J-Flex 06.35x0.51")</f>
        <v>Đồng ống PC J-Flex 06.35x0.51</v>
      </c>
      <c r="E1455" s="583">
        <f ca="1">IFERROR(__xludf.DUMMYFUNCTION("""COMPUTED_VALUE"""),0.1)</f>
        <v>0.1</v>
      </c>
      <c r="F1455" s="584" t="str">
        <f ca="1">IFERROR(__xludf.DUMMYFUNCTION("""COMPUTED_VALUE"""),"Cuộn")</f>
        <v>Cuộn</v>
      </c>
      <c r="G1455" s="584" t="str">
        <f ca="1">IFERROR(__xludf.DUMMYFUNCTION("""COMPUTED_VALUE"""),"Cuộn 15m")</f>
        <v>Cuộn 15m</v>
      </c>
      <c r="H1455" s="582" t="str">
        <f ca="1">IFERROR(__xludf.DUMMYFUNCTION("""COMPUTED_VALUE"""),"12")</f>
        <v>12</v>
      </c>
      <c r="I1455" s="585">
        <f ca="1">IFERROR(__xludf.DUMMYFUNCTION("""COMPUTED_VALUE"""),1.250928)</f>
        <v>1.250928</v>
      </c>
      <c r="J1455" s="586" t="str">
        <f ca="1">IFERROR(__xludf.DUMMYFUNCTION("""COMPUTED_VALUE""")," 06.35 ")</f>
        <v xml:space="preserve"> 06.35 </v>
      </c>
      <c r="K1455" s="584" t="str">
        <f ca="1">IFERROR(__xludf.DUMMYFUNCTION("""COMPUTED_VALUE"""),"0.51")</f>
        <v>0.51</v>
      </c>
      <c r="L1455" s="584">
        <f ca="1">IFERROR(__xludf.DUMMYFUNCTION("""COMPUTED_VALUE"""),15)</f>
        <v>15</v>
      </c>
      <c r="M1455" s="584"/>
      <c r="N1455" s="584" t="str">
        <f ca="1">IFERROR(__xludf.DUMMYFUNCTION("""COMPUTED_VALUE"""),"Dị_D&lt;54")</f>
        <v>Dị_D&lt;54</v>
      </c>
      <c r="O1455" s="583">
        <f ca="1">IFERROR(__xludf.DUMMYFUNCTION("""COMPUTED_VALUE"""),1)</f>
        <v>1</v>
      </c>
      <c r="P1455" s="584"/>
    </row>
    <row r="1456" spans="1:17" ht="15.75">
      <c r="A1456" s="587" t="str">
        <f ca="1">IFERROR(__xludf.DUMMYFUNCTION("""COMPUTED_VALUE"""),"J-Flex")</f>
        <v>J-Flex</v>
      </c>
      <c r="B1456" s="587" t="str">
        <f ca="1">IFERROR(__xludf.DUMMYFUNCTION("""COMPUTED_VALUE"""),"ĐJFLEXCUON")</f>
        <v>ĐJFLEXCUON</v>
      </c>
      <c r="C1456" s="587" t="str">
        <f ca="1">IFERROR(__xludf.DUMMYFUNCTION("""COMPUTED_VALUE"""),"JC06350GA15M")</f>
        <v>JC06350GA15M</v>
      </c>
      <c r="D1456" s="588" t="str">
        <f ca="1">IFERROR(__xludf.DUMMYFUNCTION("""COMPUTED_VALUE"""),"Đồng ống PC J-Flex 06.35x0.61")</f>
        <v>Đồng ống PC J-Flex 06.35x0.61</v>
      </c>
      <c r="E1456" s="589">
        <f ca="1">IFERROR(__xludf.DUMMYFUNCTION("""COMPUTED_VALUE"""),0.1)</f>
        <v>0.1</v>
      </c>
      <c r="F1456" s="590" t="str">
        <f ca="1">IFERROR(__xludf.DUMMYFUNCTION("""COMPUTED_VALUE"""),"Cuộn")</f>
        <v>Cuộn</v>
      </c>
      <c r="G1456" s="590" t="str">
        <f ca="1">IFERROR(__xludf.DUMMYFUNCTION("""COMPUTED_VALUE"""),"Cuộn 15m")</f>
        <v>Cuộn 15m</v>
      </c>
      <c r="H1456" s="588" t="str">
        <f ca="1">IFERROR(__xludf.DUMMYFUNCTION("""COMPUTED_VALUE"""),"12")</f>
        <v>12</v>
      </c>
      <c r="I1456" s="591">
        <f ca="1">IFERROR(__xludf.DUMMYFUNCTION("""COMPUTED_VALUE"""),1.47058799999999)</f>
        <v>1.47058799999999</v>
      </c>
      <c r="J1456" s="592" t="str">
        <f ca="1">IFERROR(__xludf.DUMMYFUNCTION("""COMPUTED_VALUE""")," 06.35 ")</f>
        <v xml:space="preserve"> 06.35 </v>
      </c>
      <c r="K1456" s="590" t="str">
        <f ca="1">IFERROR(__xludf.DUMMYFUNCTION("""COMPUTED_VALUE"""),"0.61")</f>
        <v>0.61</v>
      </c>
      <c r="L1456" s="590">
        <f ca="1">IFERROR(__xludf.DUMMYFUNCTION("""COMPUTED_VALUE"""),15)</f>
        <v>15</v>
      </c>
      <c r="M1456" s="590"/>
      <c r="N1456" s="590" t="str">
        <f ca="1">IFERROR(__xludf.DUMMYFUNCTION("""COMPUTED_VALUE"""),"Dị_D&lt;54")</f>
        <v>Dị_D&lt;54</v>
      </c>
      <c r="O1456" s="589">
        <f ca="1">IFERROR(__xludf.DUMMYFUNCTION("""COMPUTED_VALUE"""),1)</f>
        <v>1</v>
      </c>
      <c r="P1456" s="590"/>
    </row>
    <row r="1457" spans="1:16" ht="15.75">
      <c r="A1457" s="581" t="str">
        <f ca="1">IFERROR(__xludf.DUMMYFUNCTION("""COMPUTED_VALUE"""),"J-Flex")</f>
        <v>J-Flex</v>
      </c>
      <c r="B1457" s="581" t="str">
        <f ca="1">IFERROR(__xludf.DUMMYFUNCTION("""COMPUTED_VALUE"""),"ĐJFLEXCUON")</f>
        <v>ĐJFLEXCUON</v>
      </c>
      <c r="C1457" s="581" t="str">
        <f ca="1">IFERROR(__xludf.DUMMYFUNCTION("""COMPUTED_VALUE"""),"JC06350GE15M")</f>
        <v>JC06350GE15M</v>
      </c>
      <c r="D1457" s="582" t="str">
        <f ca="1">IFERROR(__xludf.DUMMYFUNCTION("""COMPUTED_VALUE"""),"Đồng ống PC J-Flex 06.35x0.65")</f>
        <v>Đồng ống PC J-Flex 06.35x0.65</v>
      </c>
      <c r="E1457" s="583">
        <f ca="1">IFERROR(__xludf.DUMMYFUNCTION("""COMPUTED_VALUE"""),0.1)</f>
        <v>0.1</v>
      </c>
      <c r="F1457" s="584" t="str">
        <f ca="1">IFERROR(__xludf.DUMMYFUNCTION("""COMPUTED_VALUE"""),"Cuộn")</f>
        <v>Cuộn</v>
      </c>
      <c r="G1457" s="584" t="str">
        <f ca="1">IFERROR(__xludf.DUMMYFUNCTION("""COMPUTED_VALUE"""),"Cuộn 15m")</f>
        <v>Cuộn 15m</v>
      </c>
      <c r="H1457" s="582" t="str">
        <f ca="1">IFERROR(__xludf.DUMMYFUNCTION("""COMPUTED_VALUE"""),"12")</f>
        <v>12</v>
      </c>
      <c r="I1457" s="585">
        <f ca="1">IFERROR(__xludf.DUMMYFUNCTION("""COMPUTED_VALUE"""),1.55609999999999)</f>
        <v>1.55609999999999</v>
      </c>
      <c r="J1457" s="586" t="str">
        <f ca="1">IFERROR(__xludf.DUMMYFUNCTION("""COMPUTED_VALUE""")," 06.35 ")</f>
        <v xml:space="preserve"> 06.35 </v>
      </c>
      <c r="K1457" s="584" t="str">
        <f ca="1">IFERROR(__xludf.DUMMYFUNCTION("""COMPUTED_VALUE"""),"0.65")</f>
        <v>0.65</v>
      </c>
      <c r="L1457" s="584">
        <f ca="1">IFERROR(__xludf.DUMMYFUNCTION("""COMPUTED_VALUE"""),15)</f>
        <v>15</v>
      </c>
      <c r="M1457" s="584"/>
      <c r="N1457" s="584" t="str">
        <f ca="1">IFERROR(__xludf.DUMMYFUNCTION("""COMPUTED_VALUE"""),"Dị_D&lt;54")</f>
        <v>Dị_D&lt;54</v>
      </c>
      <c r="O1457" s="583">
        <f ca="1">IFERROR(__xludf.DUMMYFUNCTION("""COMPUTED_VALUE"""),1)</f>
        <v>1</v>
      </c>
      <c r="P1457" s="584"/>
    </row>
    <row r="1458" spans="1:16" ht="15.75">
      <c r="A1458" s="587" t="str">
        <f ca="1">IFERROR(__xludf.DUMMYFUNCTION("""COMPUTED_VALUE"""),"J-Flex")</f>
        <v>J-Flex</v>
      </c>
      <c r="B1458" s="587" t="str">
        <f ca="1">IFERROR(__xludf.DUMMYFUNCTION("""COMPUTED_VALUE"""),"ĐJFLEXCUON")</f>
        <v>ĐJFLEXCUON</v>
      </c>
      <c r="C1458" s="587" t="str">
        <f ca="1">IFERROR(__xludf.DUMMYFUNCTION("""COMPUTED_VALUE"""),"JC06350HA15M")</f>
        <v>JC06350HA15M</v>
      </c>
      <c r="D1458" s="588" t="str">
        <f ca="1">IFERROR(__xludf.DUMMYFUNCTION("""COMPUTED_VALUE"""),"Đồng ống PC J-Flex 06.35x0.71")</f>
        <v>Đồng ống PC J-Flex 06.35x0.71</v>
      </c>
      <c r="E1458" s="589">
        <f ca="1">IFERROR(__xludf.DUMMYFUNCTION("""COMPUTED_VALUE"""),0.1)</f>
        <v>0.1</v>
      </c>
      <c r="F1458" s="590" t="str">
        <f ca="1">IFERROR(__xludf.DUMMYFUNCTION("""COMPUTED_VALUE"""),"Cuộn")</f>
        <v>Cuộn</v>
      </c>
      <c r="G1458" s="590" t="str">
        <f ca="1">IFERROR(__xludf.DUMMYFUNCTION("""COMPUTED_VALUE"""),"Cuộn 15m")</f>
        <v>Cuộn 15m</v>
      </c>
      <c r="H1458" s="588" t="str">
        <f ca="1">IFERROR(__xludf.DUMMYFUNCTION("""COMPUTED_VALUE"""),"12")</f>
        <v>12</v>
      </c>
      <c r="I1458" s="591">
        <f ca="1">IFERROR(__xludf.DUMMYFUNCTION("""COMPUTED_VALUE"""),1.68184799999999)</f>
        <v>1.68184799999999</v>
      </c>
      <c r="J1458" s="592" t="str">
        <f ca="1">IFERROR(__xludf.DUMMYFUNCTION("""COMPUTED_VALUE""")," 06.35 ")</f>
        <v xml:space="preserve"> 06.35 </v>
      </c>
      <c r="K1458" s="590" t="str">
        <f ca="1">IFERROR(__xludf.DUMMYFUNCTION("""COMPUTED_VALUE"""),"0.71")</f>
        <v>0.71</v>
      </c>
      <c r="L1458" s="590">
        <f ca="1">IFERROR(__xludf.DUMMYFUNCTION("""COMPUTED_VALUE"""),15)</f>
        <v>15</v>
      </c>
      <c r="M1458" s="590"/>
      <c r="N1458" s="590" t="str">
        <f ca="1">IFERROR(__xludf.DUMMYFUNCTION("""COMPUTED_VALUE"""),"Dị_D&lt;54")</f>
        <v>Dị_D&lt;54</v>
      </c>
      <c r="O1458" s="589">
        <f ca="1">IFERROR(__xludf.DUMMYFUNCTION("""COMPUTED_VALUE"""),1)</f>
        <v>1</v>
      </c>
      <c r="P1458" s="590"/>
    </row>
    <row r="1459" spans="1:16" ht="15.75">
      <c r="A1459" s="581" t="str">
        <f ca="1">IFERROR(__xludf.DUMMYFUNCTION("""COMPUTED_VALUE"""),"J-Flex")</f>
        <v>J-Flex</v>
      </c>
      <c r="B1459" s="581" t="str">
        <f ca="1">IFERROR(__xludf.DUMMYFUNCTION("""COMPUTED_VALUE"""),"ĐJFLEXCUON")</f>
        <v>ĐJFLEXCUON</v>
      </c>
      <c r="C1459" s="581" t="str">
        <f ca="1">IFERROR(__xludf.DUMMYFUNCTION("""COMPUTED_VALUE"""),"JC06350IA15M")</f>
        <v>JC06350IA15M</v>
      </c>
      <c r="D1459" s="582" t="str">
        <f ca="1">IFERROR(__xludf.DUMMYFUNCTION("""COMPUTED_VALUE"""),"Đồng ống PC J-Flex 06.35x0.81")</f>
        <v>Đồng ống PC J-Flex 06.35x0.81</v>
      </c>
      <c r="E1459" s="583">
        <f ca="1">IFERROR(__xludf.DUMMYFUNCTION("""COMPUTED_VALUE"""),0.1)</f>
        <v>0.1</v>
      </c>
      <c r="F1459" s="584" t="str">
        <f ca="1">IFERROR(__xludf.DUMMYFUNCTION("""COMPUTED_VALUE"""),"Cuộn")</f>
        <v>Cuộn</v>
      </c>
      <c r="G1459" s="584" t="str">
        <f ca="1">IFERROR(__xludf.DUMMYFUNCTION("""COMPUTED_VALUE"""),"Cuộn 15m")</f>
        <v>Cuộn 15m</v>
      </c>
      <c r="H1459" s="582" t="str">
        <f ca="1">IFERROR(__xludf.DUMMYFUNCTION("""COMPUTED_VALUE"""),"12")</f>
        <v>12</v>
      </c>
      <c r="I1459" s="585">
        <f ca="1">IFERROR(__xludf.DUMMYFUNCTION("""COMPUTED_VALUE"""),1.88470799999999)</f>
        <v>1.8847079999999901</v>
      </c>
      <c r="J1459" s="586" t="str">
        <f ca="1">IFERROR(__xludf.DUMMYFUNCTION("""COMPUTED_VALUE""")," 06.35 ")</f>
        <v xml:space="preserve"> 06.35 </v>
      </c>
      <c r="K1459" s="584" t="str">
        <f ca="1">IFERROR(__xludf.DUMMYFUNCTION("""COMPUTED_VALUE"""),"0.81")</f>
        <v>0.81</v>
      </c>
      <c r="L1459" s="584">
        <f ca="1">IFERROR(__xludf.DUMMYFUNCTION("""COMPUTED_VALUE"""),15)</f>
        <v>15</v>
      </c>
      <c r="M1459" s="584"/>
      <c r="N1459" s="584" t="str">
        <f ca="1">IFERROR(__xludf.DUMMYFUNCTION("""COMPUTED_VALUE"""),"Dị_D&lt;54")</f>
        <v>Dị_D&lt;54</v>
      </c>
      <c r="O1459" s="583">
        <f ca="1">IFERROR(__xludf.DUMMYFUNCTION("""COMPUTED_VALUE"""),1)</f>
        <v>1</v>
      </c>
      <c r="P1459" s="584"/>
    </row>
    <row r="1460" spans="1:16" ht="15.75">
      <c r="A1460" s="587" t="str">
        <f ca="1">IFERROR(__xludf.DUMMYFUNCTION("""COMPUTED_VALUE"""),"J-Flex")</f>
        <v>J-Flex</v>
      </c>
      <c r="B1460" s="587" t="str">
        <f ca="1">IFERROR(__xludf.DUMMYFUNCTION("""COMPUTED_VALUE"""),"ĐJFLEXCUON")</f>
        <v>ĐJFLEXCUON</v>
      </c>
      <c r="C1460" s="587" t="str">
        <f ca="1">IFERROR(__xludf.DUMMYFUNCTION("""COMPUTED_VALUE"""),"JC07940EE15M")</f>
        <v>JC07940EE15M</v>
      </c>
      <c r="D1460" s="588" t="str">
        <f ca="1">IFERROR(__xludf.DUMMYFUNCTION("""COMPUTED_VALUE"""),"Đồng ống PC J-Flex 07.94x0.55")</f>
        <v>Đồng ống PC J-Flex 07.94x0.55</v>
      </c>
      <c r="E1460" s="589">
        <f ca="1">IFERROR(__xludf.DUMMYFUNCTION("""COMPUTED_VALUE"""),0.1)</f>
        <v>0.1</v>
      </c>
      <c r="F1460" s="590" t="str">
        <f ca="1">IFERROR(__xludf.DUMMYFUNCTION("""COMPUTED_VALUE"""),"Cuộn")</f>
        <v>Cuộn</v>
      </c>
      <c r="G1460" s="590" t="str">
        <f ca="1">IFERROR(__xludf.DUMMYFUNCTION("""COMPUTED_VALUE"""),"Cuộn 15m")</f>
        <v>Cuộn 15m</v>
      </c>
      <c r="H1460" s="588"/>
      <c r="I1460" s="591">
        <f ca="1">IFERROR(__xludf.DUMMYFUNCTION("""COMPUTED_VALUE"""),1.70709)</f>
        <v>1.70709</v>
      </c>
      <c r="J1460" s="592" t="str">
        <f ca="1">IFERROR(__xludf.DUMMYFUNCTION("""COMPUTED_VALUE""")," 07.94 ")</f>
        <v xml:space="preserve"> 07.94 </v>
      </c>
      <c r="K1460" s="590" t="str">
        <f ca="1">IFERROR(__xludf.DUMMYFUNCTION("""COMPUTED_VALUE"""),"0.55")</f>
        <v>0.55</v>
      </c>
      <c r="L1460" s="590">
        <f ca="1">IFERROR(__xludf.DUMMYFUNCTION("""COMPUTED_VALUE"""),15)</f>
        <v>15</v>
      </c>
      <c r="M1460" s="590"/>
      <c r="N1460" s="590" t="str">
        <f ca="1">IFERROR(__xludf.DUMMYFUNCTION("""COMPUTED_VALUE"""),"Dị_D&lt;54")</f>
        <v>Dị_D&lt;54</v>
      </c>
      <c r="O1460" s="589">
        <f ca="1">IFERROR(__xludf.DUMMYFUNCTION("""COMPUTED_VALUE"""),1)</f>
        <v>1</v>
      </c>
      <c r="P1460" s="590"/>
    </row>
    <row r="1461" spans="1:16" ht="15.75">
      <c r="A1461" s="581" t="str">
        <f ca="1">IFERROR(__xludf.DUMMYFUNCTION("""COMPUTED_VALUE"""),"J-Flex")</f>
        <v>J-Flex</v>
      </c>
      <c r="B1461" s="581" t="str">
        <f ca="1">IFERROR(__xludf.DUMMYFUNCTION("""COMPUTED_VALUE"""),"ĐJFLEXCUON")</f>
        <v>ĐJFLEXCUON</v>
      </c>
      <c r="C1461" s="581" t="str">
        <f ca="1">IFERROR(__xludf.DUMMYFUNCTION("""COMPUTED_VALUE"""),"JC07940GA15M")</f>
        <v>JC07940GA15M</v>
      </c>
      <c r="D1461" s="582" t="str">
        <f ca="1">IFERROR(__xludf.DUMMYFUNCTION("""COMPUTED_VALUE"""),"Đồng ống PC J-Flex 07.94x0.61")</f>
        <v>Đồng ống PC J-Flex 07.94x0.61</v>
      </c>
      <c r="E1461" s="583">
        <f ca="1">IFERROR(__xludf.DUMMYFUNCTION("""COMPUTED_VALUE"""),0.1)</f>
        <v>0.1</v>
      </c>
      <c r="F1461" s="584" t="str">
        <f ca="1">IFERROR(__xludf.DUMMYFUNCTION("""COMPUTED_VALUE"""),"Cuộn")</f>
        <v>Cuộn</v>
      </c>
      <c r="G1461" s="584" t="str">
        <f ca="1">IFERROR(__xludf.DUMMYFUNCTION("""COMPUTED_VALUE"""),"Cuộn 15m")</f>
        <v>Cuộn 15m</v>
      </c>
      <c r="H1461" s="582"/>
      <c r="I1461" s="585">
        <f ca="1">IFERROR(__xludf.DUMMYFUNCTION("""COMPUTED_VALUE"""),1.877946)</f>
        <v>1.8779459999999999</v>
      </c>
      <c r="J1461" s="586" t="str">
        <f ca="1">IFERROR(__xludf.DUMMYFUNCTION("""COMPUTED_VALUE""")," 07.94 ")</f>
        <v xml:space="preserve"> 07.94 </v>
      </c>
      <c r="K1461" s="584" t="str">
        <f ca="1">IFERROR(__xludf.DUMMYFUNCTION("""COMPUTED_VALUE"""),"0.61")</f>
        <v>0.61</v>
      </c>
      <c r="L1461" s="584">
        <f ca="1">IFERROR(__xludf.DUMMYFUNCTION("""COMPUTED_VALUE"""),15)</f>
        <v>15</v>
      </c>
      <c r="M1461" s="584"/>
      <c r="N1461" s="584" t="str">
        <f ca="1">IFERROR(__xludf.DUMMYFUNCTION("""COMPUTED_VALUE"""),"Dị_D&lt;54")</f>
        <v>Dị_D&lt;54</v>
      </c>
      <c r="O1461" s="583">
        <f ca="1">IFERROR(__xludf.DUMMYFUNCTION("""COMPUTED_VALUE"""),1)</f>
        <v>1</v>
      </c>
      <c r="P1461" s="584"/>
    </row>
    <row r="1462" spans="1:16" ht="15.75">
      <c r="A1462" s="587" t="str">
        <f ca="1">IFERROR(__xludf.DUMMYFUNCTION("""COMPUTED_VALUE"""),"J-Flex")</f>
        <v>J-Flex</v>
      </c>
      <c r="B1462" s="587" t="str">
        <f ca="1">IFERROR(__xludf.DUMMYFUNCTION("""COMPUTED_VALUE"""),"ĐJFLEXCUON")</f>
        <v>ĐJFLEXCUON</v>
      </c>
      <c r="C1462" s="587" t="str">
        <f ca="1">IFERROR(__xludf.DUMMYFUNCTION("""COMPUTED_VALUE"""),"JC0800A0015M")</f>
        <v>JC0800A0015M</v>
      </c>
      <c r="D1462" s="588" t="str">
        <f ca="1">IFERROR(__xludf.DUMMYFUNCTION("""COMPUTED_VALUE"""),"Đồng ống PC J-Flex 08.00x1.00")</f>
        <v>Đồng ống PC J-Flex 08.00x1.00</v>
      </c>
      <c r="E1462" s="589">
        <f ca="1">IFERROR(__xludf.DUMMYFUNCTION("""COMPUTED_VALUE"""),0.1)</f>
        <v>0.1</v>
      </c>
      <c r="F1462" s="590" t="str">
        <f ca="1">IFERROR(__xludf.DUMMYFUNCTION("""COMPUTED_VALUE"""),"Cuộn")</f>
        <v>Cuộn</v>
      </c>
      <c r="G1462" s="590" t="str">
        <f ca="1">IFERROR(__xludf.DUMMYFUNCTION("""COMPUTED_VALUE"""),"Cuộn 15m")</f>
        <v>Cuộn 15m</v>
      </c>
      <c r="H1462" s="588"/>
      <c r="I1462" s="591">
        <f ca="1">IFERROR(__xludf.DUMMYFUNCTION("""COMPUTED_VALUE"""),2.94)</f>
        <v>2.94</v>
      </c>
      <c r="J1462" s="592" t="str">
        <f ca="1">IFERROR(__xludf.DUMMYFUNCTION("""COMPUTED_VALUE""")," 08.00 ")</f>
        <v xml:space="preserve"> 08.00 </v>
      </c>
      <c r="K1462" s="590" t="str">
        <f ca="1">IFERROR(__xludf.DUMMYFUNCTION("""COMPUTED_VALUE"""),"1.00")</f>
        <v>1.00</v>
      </c>
      <c r="L1462" s="590">
        <f ca="1">IFERROR(__xludf.DUMMYFUNCTION("""COMPUTED_VALUE"""),15)</f>
        <v>15</v>
      </c>
      <c r="M1462" s="590"/>
      <c r="N1462" s="590" t="str">
        <f ca="1">IFERROR(__xludf.DUMMYFUNCTION("""COMPUTED_VALUE"""),"Dị_D&lt;54")</f>
        <v>Dị_D&lt;54</v>
      </c>
      <c r="O1462" s="589">
        <f ca="1">IFERROR(__xludf.DUMMYFUNCTION("""COMPUTED_VALUE"""),1)</f>
        <v>1</v>
      </c>
      <c r="P1462" s="590"/>
    </row>
    <row r="1463" spans="1:16" ht="15.75">
      <c r="A1463" s="581" t="str">
        <f ca="1">IFERROR(__xludf.DUMMYFUNCTION("""COMPUTED_VALUE"""),"J-Flex")</f>
        <v>J-Flex</v>
      </c>
      <c r="B1463" s="581" t="str">
        <f ca="1">IFERROR(__xludf.DUMMYFUNCTION("""COMPUTED_VALUE"""),"ĐJFLEXCUON")</f>
        <v>ĐJFLEXCUON</v>
      </c>
      <c r="C1463" s="581" t="str">
        <f ca="1">IFERROR(__xludf.DUMMYFUNCTION("""COMPUTED_VALUE"""),"JC0800AE015M")</f>
        <v>JC0800AE015M</v>
      </c>
      <c r="D1463" s="582" t="str">
        <f ca="1">IFERROR(__xludf.DUMMYFUNCTION("""COMPUTED_VALUE"""),"Đồng ống PC J-Flex 08.00x1.50")</f>
        <v>Đồng ống PC J-Flex 08.00x1.50</v>
      </c>
      <c r="E1463" s="583">
        <f ca="1">IFERROR(__xludf.DUMMYFUNCTION("""COMPUTED_VALUE"""),0.1)</f>
        <v>0.1</v>
      </c>
      <c r="F1463" s="584" t="str">
        <f ca="1">IFERROR(__xludf.DUMMYFUNCTION("""COMPUTED_VALUE"""),"Cuộn")</f>
        <v>Cuộn</v>
      </c>
      <c r="G1463" s="584" t="str">
        <f ca="1">IFERROR(__xludf.DUMMYFUNCTION("""COMPUTED_VALUE"""),"Cuộn 15m")</f>
        <v>Cuộn 15m</v>
      </c>
      <c r="H1463" s="582"/>
      <c r="I1463" s="585">
        <f ca="1">IFERROR(__xludf.DUMMYFUNCTION("""COMPUTED_VALUE"""),4.095)</f>
        <v>4.0949999999999998</v>
      </c>
      <c r="J1463" s="586" t="str">
        <f ca="1">IFERROR(__xludf.DUMMYFUNCTION("""COMPUTED_VALUE""")," 08.00 ")</f>
        <v xml:space="preserve"> 08.00 </v>
      </c>
      <c r="K1463" s="584" t="str">
        <f ca="1">IFERROR(__xludf.DUMMYFUNCTION("""COMPUTED_VALUE"""),"1.50")</f>
        <v>1.50</v>
      </c>
      <c r="L1463" s="584">
        <f ca="1">IFERROR(__xludf.DUMMYFUNCTION("""COMPUTED_VALUE"""),15)</f>
        <v>15</v>
      </c>
      <c r="M1463" s="584"/>
      <c r="N1463" s="584" t="str">
        <f ca="1">IFERROR(__xludf.DUMMYFUNCTION("""COMPUTED_VALUE"""),"Dị_D&lt;54")</f>
        <v>Dị_D&lt;54</v>
      </c>
      <c r="O1463" s="583">
        <f ca="1">IFERROR(__xludf.DUMMYFUNCTION("""COMPUTED_VALUE"""),1)</f>
        <v>1</v>
      </c>
      <c r="P1463" s="584"/>
    </row>
    <row r="1464" spans="1:16" ht="15.75">
      <c r="A1464" s="587" t="str">
        <f ca="1">IFERROR(__xludf.DUMMYFUNCTION("""COMPUTED_VALUE"""),"J-Flex")</f>
        <v>J-Flex</v>
      </c>
      <c r="B1464" s="587" t="str">
        <f ca="1">IFERROR(__xludf.DUMMYFUNCTION("""COMPUTED_VALUE"""),"ĐJFLEXCUON")</f>
        <v>ĐJFLEXCUON</v>
      </c>
      <c r="C1464" s="587" t="str">
        <f ca="1">IFERROR(__xludf.DUMMYFUNCTION("""COMPUTED_VALUE"""),"JC09520EA15M")</f>
        <v>JC09520EA15M</v>
      </c>
      <c r="D1464" s="588" t="str">
        <f ca="1">IFERROR(__xludf.DUMMYFUNCTION("""COMPUTED_VALUE"""),"Đồng ống PC J-Flex 09.52x0.51")</f>
        <v>Đồng ống PC J-Flex 09.52x0.51</v>
      </c>
      <c r="E1464" s="589">
        <f ca="1">IFERROR(__xludf.DUMMYFUNCTION("""COMPUTED_VALUE"""),0.1)</f>
        <v>0.1</v>
      </c>
      <c r="F1464" s="590" t="str">
        <f ca="1">IFERROR(__xludf.DUMMYFUNCTION("""COMPUTED_VALUE"""),"Cuộn")</f>
        <v>Cuộn</v>
      </c>
      <c r="G1464" s="590" t="str">
        <f ca="1">IFERROR(__xludf.DUMMYFUNCTION("""COMPUTED_VALUE"""),"Cuộn 15m")</f>
        <v>Cuộn 15m</v>
      </c>
      <c r="H1464" s="588" t="str">
        <f ca="1">IFERROR(__xludf.DUMMYFUNCTION("""COMPUTED_VALUE"""),"9")</f>
        <v>9</v>
      </c>
      <c r="I1464" s="591">
        <f ca="1">IFERROR(__xludf.DUMMYFUNCTION("""COMPUTED_VALUE"""),1.929942)</f>
        <v>1.929942</v>
      </c>
      <c r="J1464" s="592" t="str">
        <f ca="1">IFERROR(__xludf.DUMMYFUNCTION("""COMPUTED_VALUE""")," 09.52 ")</f>
        <v xml:space="preserve"> 09.52 </v>
      </c>
      <c r="K1464" s="590" t="str">
        <f ca="1">IFERROR(__xludf.DUMMYFUNCTION("""COMPUTED_VALUE"""),"0.51")</f>
        <v>0.51</v>
      </c>
      <c r="L1464" s="590">
        <f ca="1">IFERROR(__xludf.DUMMYFUNCTION("""COMPUTED_VALUE"""),15)</f>
        <v>15</v>
      </c>
      <c r="M1464" s="590"/>
      <c r="N1464" s="590" t="str">
        <f ca="1">IFERROR(__xludf.DUMMYFUNCTION("""COMPUTED_VALUE"""),"Dị_D&lt;54")</f>
        <v>Dị_D&lt;54</v>
      </c>
      <c r="O1464" s="589">
        <f ca="1">IFERROR(__xludf.DUMMYFUNCTION("""COMPUTED_VALUE"""),1)</f>
        <v>1</v>
      </c>
      <c r="P1464" s="590"/>
    </row>
    <row r="1465" spans="1:16" ht="15.75">
      <c r="A1465" s="581" t="str">
        <f ca="1">IFERROR(__xludf.DUMMYFUNCTION("""COMPUTED_VALUE"""),"J-Flex")</f>
        <v>J-Flex</v>
      </c>
      <c r="B1465" s="581" t="str">
        <f ca="1">IFERROR(__xludf.DUMMYFUNCTION("""COMPUTED_VALUE"""),"ĐJFLEXCUON")</f>
        <v>ĐJFLEXCUON</v>
      </c>
      <c r="C1465" s="581" t="str">
        <f ca="1">IFERROR(__xludf.DUMMYFUNCTION("""COMPUTED_VALUE"""),"JC09520GA15M")</f>
        <v>JC09520GA15M</v>
      </c>
      <c r="D1465" s="582" t="str">
        <f ca="1">IFERROR(__xludf.DUMMYFUNCTION("""COMPUTED_VALUE"""),"Đồng ống PC J-Flex 09.52x0.61")</f>
        <v>Đồng ống PC J-Flex 09.52x0.61</v>
      </c>
      <c r="E1465" s="583">
        <f ca="1">IFERROR(__xludf.DUMMYFUNCTION("""COMPUTED_VALUE"""),0.1)</f>
        <v>0.1</v>
      </c>
      <c r="F1465" s="584" t="str">
        <f ca="1">IFERROR(__xludf.DUMMYFUNCTION("""COMPUTED_VALUE"""),"Cuộn")</f>
        <v>Cuộn</v>
      </c>
      <c r="G1465" s="584" t="str">
        <f ca="1">IFERROR(__xludf.DUMMYFUNCTION("""COMPUTED_VALUE"""),"Cuộn 15m")</f>
        <v>Cuộn 15m</v>
      </c>
      <c r="H1465" s="582" t="str">
        <f ca="1">IFERROR(__xludf.DUMMYFUNCTION("""COMPUTED_VALUE"""),"9")</f>
        <v>9</v>
      </c>
      <c r="I1465" s="585">
        <f ca="1">IFERROR(__xludf.DUMMYFUNCTION("""COMPUTED_VALUE"""),2.282742)</f>
        <v>2.2827419999999998</v>
      </c>
      <c r="J1465" s="586" t="str">
        <f ca="1">IFERROR(__xludf.DUMMYFUNCTION("""COMPUTED_VALUE""")," 09.52 ")</f>
        <v xml:space="preserve"> 09.52 </v>
      </c>
      <c r="K1465" s="584" t="str">
        <f ca="1">IFERROR(__xludf.DUMMYFUNCTION("""COMPUTED_VALUE"""),"0.61")</f>
        <v>0.61</v>
      </c>
      <c r="L1465" s="584">
        <f ca="1">IFERROR(__xludf.DUMMYFUNCTION("""COMPUTED_VALUE"""),15)</f>
        <v>15</v>
      </c>
      <c r="M1465" s="584"/>
      <c r="N1465" s="584" t="str">
        <f ca="1">IFERROR(__xludf.DUMMYFUNCTION("""COMPUTED_VALUE"""),"Dị_D&lt;54")</f>
        <v>Dị_D&lt;54</v>
      </c>
      <c r="O1465" s="583">
        <f ca="1">IFERROR(__xludf.DUMMYFUNCTION("""COMPUTED_VALUE"""),1)</f>
        <v>1</v>
      </c>
      <c r="P1465" s="584"/>
    </row>
    <row r="1466" spans="1:16" ht="15.75">
      <c r="A1466" s="587" t="str">
        <f ca="1">IFERROR(__xludf.DUMMYFUNCTION("""COMPUTED_VALUE"""),"J-Flex")</f>
        <v>J-Flex</v>
      </c>
      <c r="B1466" s="587" t="str">
        <f ca="1">IFERROR(__xludf.DUMMYFUNCTION("""COMPUTED_VALUE"""),"ĐJFLEXCUON")</f>
        <v>ĐJFLEXCUON</v>
      </c>
      <c r="C1466" s="587" t="str">
        <f ca="1">IFERROR(__xludf.DUMMYFUNCTION("""COMPUTED_VALUE"""),"JC09520GE15M")</f>
        <v>JC09520GE15M</v>
      </c>
      <c r="D1466" s="588" t="str">
        <f ca="1">IFERROR(__xludf.DUMMYFUNCTION("""COMPUTED_VALUE"""),"Đồng ống PC J-Flex 09.52x0.65")</f>
        <v>Đồng ống PC J-Flex 09.52x0.65</v>
      </c>
      <c r="E1466" s="589">
        <f ca="1">IFERROR(__xludf.DUMMYFUNCTION("""COMPUTED_VALUE"""),0.1)</f>
        <v>0.1</v>
      </c>
      <c r="F1466" s="590" t="str">
        <f ca="1">IFERROR(__xludf.DUMMYFUNCTION("""COMPUTED_VALUE"""),"Cuộn")</f>
        <v>Cuộn</v>
      </c>
      <c r="G1466" s="590" t="str">
        <f ca="1">IFERROR(__xludf.DUMMYFUNCTION("""COMPUTED_VALUE"""),"Cuộn 15m")</f>
        <v>Cuộn 15m</v>
      </c>
      <c r="H1466" s="588" t="str">
        <f ca="1">IFERROR(__xludf.DUMMYFUNCTION("""COMPUTED_VALUE"""),"9")</f>
        <v>9</v>
      </c>
      <c r="I1466" s="591">
        <f ca="1">IFERROR(__xludf.DUMMYFUNCTION("""COMPUTED_VALUE"""),2.42151)</f>
        <v>2.4215100000000001</v>
      </c>
      <c r="J1466" s="592" t="str">
        <f ca="1">IFERROR(__xludf.DUMMYFUNCTION("""COMPUTED_VALUE""")," 09.52 ")</f>
        <v xml:space="preserve"> 09.52 </v>
      </c>
      <c r="K1466" s="590" t="str">
        <f ca="1">IFERROR(__xludf.DUMMYFUNCTION("""COMPUTED_VALUE"""),"0.65")</f>
        <v>0.65</v>
      </c>
      <c r="L1466" s="590">
        <f ca="1">IFERROR(__xludf.DUMMYFUNCTION("""COMPUTED_VALUE"""),15)</f>
        <v>15</v>
      </c>
      <c r="M1466" s="590"/>
      <c r="N1466" s="590" t="str">
        <f ca="1">IFERROR(__xludf.DUMMYFUNCTION("""COMPUTED_VALUE"""),"Dị_D&lt;54")</f>
        <v>Dị_D&lt;54</v>
      </c>
      <c r="O1466" s="589">
        <f ca="1">IFERROR(__xludf.DUMMYFUNCTION("""COMPUTED_VALUE"""),1)</f>
        <v>1</v>
      </c>
      <c r="P1466" s="590"/>
    </row>
    <row r="1467" spans="1:16" ht="15.75">
      <c r="A1467" s="581" t="str">
        <f ca="1">IFERROR(__xludf.DUMMYFUNCTION("""COMPUTED_VALUE"""),"J-Flex")</f>
        <v>J-Flex</v>
      </c>
      <c r="B1467" s="581" t="str">
        <f ca="1">IFERROR(__xludf.DUMMYFUNCTION("""COMPUTED_VALUE"""),"ĐJFLEXCUON")</f>
        <v>ĐJFLEXCUON</v>
      </c>
      <c r="C1467" s="581" t="str">
        <f ca="1">IFERROR(__xludf.DUMMYFUNCTION("""COMPUTED_VALUE"""),"JC09520HA15M")</f>
        <v>JC09520HA15M</v>
      </c>
      <c r="D1467" s="582" t="str">
        <f ca="1">IFERROR(__xludf.DUMMYFUNCTION("""COMPUTED_VALUE"""),"Đồng ống PC J-Flex 09.52x0.71")</f>
        <v>Đồng ống PC J-Flex 09.52x0.71</v>
      </c>
      <c r="E1467" s="583">
        <f ca="1">IFERROR(__xludf.DUMMYFUNCTION("""COMPUTED_VALUE"""),0.1)</f>
        <v>0.1</v>
      </c>
      <c r="F1467" s="584" t="str">
        <f ca="1">IFERROR(__xludf.DUMMYFUNCTION("""COMPUTED_VALUE"""),"Cuộn")</f>
        <v>Cuộn</v>
      </c>
      <c r="G1467" s="584" t="str">
        <f ca="1">IFERROR(__xludf.DUMMYFUNCTION("""COMPUTED_VALUE"""),"Cuộn 15m")</f>
        <v>Cuộn 15m</v>
      </c>
      <c r="H1467" s="582" t="str">
        <f ca="1">IFERROR(__xludf.DUMMYFUNCTION("""COMPUTED_VALUE"""),"9")</f>
        <v>9</v>
      </c>
      <c r="I1467" s="585">
        <f ca="1">IFERROR(__xludf.DUMMYFUNCTION("""COMPUTED_VALUE"""),2.62714199999999)</f>
        <v>2.6271419999999899</v>
      </c>
      <c r="J1467" s="586" t="str">
        <f ca="1">IFERROR(__xludf.DUMMYFUNCTION("""COMPUTED_VALUE""")," 09.52 ")</f>
        <v xml:space="preserve"> 09.52 </v>
      </c>
      <c r="K1467" s="584" t="str">
        <f ca="1">IFERROR(__xludf.DUMMYFUNCTION("""COMPUTED_VALUE"""),"0.71")</f>
        <v>0.71</v>
      </c>
      <c r="L1467" s="584">
        <f ca="1">IFERROR(__xludf.DUMMYFUNCTION("""COMPUTED_VALUE"""),15)</f>
        <v>15</v>
      </c>
      <c r="M1467" s="584"/>
      <c r="N1467" s="584" t="str">
        <f ca="1">IFERROR(__xludf.DUMMYFUNCTION("""COMPUTED_VALUE"""),"Dị_D&lt;54")</f>
        <v>Dị_D&lt;54</v>
      </c>
      <c r="O1467" s="583">
        <f ca="1">IFERROR(__xludf.DUMMYFUNCTION("""COMPUTED_VALUE"""),1)</f>
        <v>1</v>
      </c>
      <c r="P1467" s="584"/>
    </row>
    <row r="1468" spans="1:16" ht="15.75">
      <c r="A1468" s="587" t="str">
        <f ca="1">IFERROR(__xludf.DUMMYFUNCTION("""COMPUTED_VALUE"""),"J-Flex")</f>
        <v>J-Flex</v>
      </c>
      <c r="B1468" s="587" t="str">
        <f ca="1">IFERROR(__xludf.DUMMYFUNCTION("""COMPUTED_VALUE"""),"ĐJFLEXCUON")</f>
        <v>ĐJFLEXCUON</v>
      </c>
      <c r="C1468" s="587" t="str">
        <f ca="1">IFERROR(__xludf.DUMMYFUNCTION("""COMPUTED_VALUE"""),"JC09520IA15M")</f>
        <v>JC09520IA15M</v>
      </c>
      <c r="D1468" s="588" t="str">
        <f ca="1">IFERROR(__xludf.DUMMYFUNCTION("""COMPUTED_VALUE"""),"Đồng ống PC J-Flex 09.52x0.81")</f>
        <v>Đồng ống PC J-Flex 09.52x0.81</v>
      </c>
      <c r="E1468" s="589">
        <f ca="1">IFERROR(__xludf.DUMMYFUNCTION("""COMPUTED_VALUE"""),0.1)</f>
        <v>0.1</v>
      </c>
      <c r="F1468" s="590" t="str">
        <f ca="1">IFERROR(__xludf.DUMMYFUNCTION("""COMPUTED_VALUE"""),"Cuộn")</f>
        <v>Cuộn</v>
      </c>
      <c r="G1468" s="590" t="str">
        <f ca="1">IFERROR(__xludf.DUMMYFUNCTION("""COMPUTED_VALUE"""),"Cuộn 15m")</f>
        <v>Cuộn 15m</v>
      </c>
      <c r="H1468" s="588" t="str">
        <f ca="1">IFERROR(__xludf.DUMMYFUNCTION("""COMPUTED_VALUE"""),"9")</f>
        <v>9</v>
      </c>
      <c r="I1468" s="591">
        <f ca="1">IFERROR(__xludf.DUMMYFUNCTION("""COMPUTED_VALUE"""),2.963142)</f>
        <v>2.9631419999999999</v>
      </c>
      <c r="J1468" s="592" t="str">
        <f ca="1">IFERROR(__xludf.DUMMYFUNCTION("""COMPUTED_VALUE""")," 09.52 ")</f>
        <v xml:space="preserve"> 09.52 </v>
      </c>
      <c r="K1468" s="590" t="str">
        <f ca="1">IFERROR(__xludf.DUMMYFUNCTION("""COMPUTED_VALUE"""),"0.81")</f>
        <v>0.81</v>
      </c>
      <c r="L1468" s="590">
        <f ca="1">IFERROR(__xludf.DUMMYFUNCTION("""COMPUTED_VALUE"""),15)</f>
        <v>15</v>
      </c>
      <c r="M1468" s="590"/>
      <c r="N1468" s="590" t="str">
        <f ca="1">IFERROR(__xludf.DUMMYFUNCTION("""COMPUTED_VALUE"""),"Dị_D&lt;54")</f>
        <v>Dị_D&lt;54</v>
      </c>
      <c r="O1468" s="589">
        <f ca="1">IFERROR(__xludf.DUMMYFUNCTION("""COMPUTED_VALUE"""),1)</f>
        <v>1</v>
      </c>
      <c r="P1468" s="590"/>
    </row>
    <row r="1469" spans="1:16" ht="15.75">
      <c r="A1469" s="581" t="str">
        <f ca="1">IFERROR(__xludf.DUMMYFUNCTION("""COMPUTED_VALUE"""),"J-Flex")</f>
        <v>J-Flex</v>
      </c>
      <c r="B1469" s="581" t="str">
        <f ca="1">IFERROR(__xludf.DUMMYFUNCTION("""COMPUTED_VALUE"""),"ĐJFLEXCUON")</f>
        <v>ĐJFLEXCUON</v>
      </c>
      <c r="C1469" s="581" t="str">
        <f ca="1">IFERROR(__xludf.DUMMYFUNCTION("""COMPUTED_VALUE"""),"JC1000A0015M")</f>
        <v>JC1000A0015M</v>
      </c>
      <c r="D1469" s="582" t="str">
        <f ca="1">IFERROR(__xludf.DUMMYFUNCTION("""COMPUTED_VALUE"""),"Đồng ống PC J-Flex 10.00x1.00")</f>
        <v>Đồng ống PC J-Flex 10.00x1.00</v>
      </c>
      <c r="E1469" s="583">
        <f ca="1">IFERROR(__xludf.DUMMYFUNCTION("""COMPUTED_VALUE"""),0.1)</f>
        <v>0.1</v>
      </c>
      <c r="F1469" s="584" t="str">
        <f ca="1">IFERROR(__xludf.DUMMYFUNCTION("""COMPUTED_VALUE"""),"Cuộn")</f>
        <v>Cuộn</v>
      </c>
      <c r="G1469" s="584" t="str">
        <f ca="1">IFERROR(__xludf.DUMMYFUNCTION("""COMPUTED_VALUE"""),"Cuộn 15m")</f>
        <v>Cuộn 15m</v>
      </c>
      <c r="H1469" s="582" t="str">
        <f ca="1">IFERROR(__xludf.DUMMYFUNCTION("""COMPUTED_VALUE"""),"7")</f>
        <v>7</v>
      </c>
      <c r="I1469" s="585">
        <f ca="1">IFERROR(__xludf.DUMMYFUNCTION("""COMPUTED_VALUE"""),3.78)</f>
        <v>3.78</v>
      </c>
      <c r="J1469" s="586" t="str">
        <f ca="1">IFERROR(__xludf.DUMMYFUNCTION("""COMPUTED_VALUE""")," 10.00 ")</f>
        <v xml:space="preserve"> 10.00 </v>
      </c>
      <c r="K1469" s="584" t="str">
        <f ca="1">IFERROR(__xludf.DUMMYFUNCTION("""COMPUTED_VALUE"""),"1.00")</f>
        <v>1.00</v>
      </c>
      <c r="L1469" s="584">
        <f ca="1">IFERROR(__xludf.DUMMYFUNCTION("""COMPUTED_VALUE"""),15)</f>
        <v>15</v>
      </c>
      <c r="M1469" s="584"/>
      <c r="N1469" s="584" t="str">
        <f ca="1">IFERROR(__xludf.DUMMYFUNCTION("""COMPUTED_VALUE"""),"Dị_D&lt;54")</f>
        <v>Dị_D&lt;54</v>
      </c>
      <c r="O1469" s="583">
        <f ca="1">IFERROR(__xludf.DUMMYFUNCTION("""COMPUTED_VALUE"""),1)</f>
        <v>1</v>
      </c>
      <c r="P1469" s="584"/>
    </row>
    <row r="1470" spans="1:16" ht="15.75">
      <c r="A1470" s="587" t="str">
        <f ca="1">IFERROR(__xludf.DUMMYFUNCTION("""COMPUTED_VALUE"""),"J-Flex")</f>
        <v>J-Flex</v>
      </c>
      <c r="B1470" s="587" t="str">
        <f ca="1">IFERROR(__xludf.DUMMYFUNCTION("""COMPUTED_VALUE"""),"ĐJFLEXCUON")</f>
        <v>ĐJFLEXCUON</v>
      </c>
      <c r="C1470" s="587" t="str">
        <f ca="1">IFERROR(__xludf.DUMMYFUNCTION("""COMPUTED_VALUE"""),"JC12700GA15M")</f>
        <v>JC12700GA15M</v>
      </c>
      <c r="D1470" s="588" t="str">
        <f ca="1">IFERROR(__xludf.DUMMYFUNCTION("""COMPUTED_VALUE"""),"Đồng ống PC J-Flex 12.7x0.61")</f>
        <v>Đồng ống PC J-Flex 12.7x0.61</v>
      </c>
      <c r="E1470" s="589">
        <f ca="1">IFERROR(__xludf.DUMMYFUNCTION("""COMPUTED_VALUE"""),0.1)</f>
        <v>0.1</v>
      </c>
      <c r="F1470" s="590" t="str">
        <f ca="1">IFERROR(__xludf.DUMMYFUNCTION("""COMPUTED_VALUE"""),"Cuộn")</f>
        <v>Cuộn</v>
      </c>
      <c r="G1470" s="590" t="str">
        <f ca="1">IFERROR(__xludf.DUMMYFUNCTION("""COMPUTED_VALUE"""),"Cuộn 15m")</f>
        <v>Cuộn 15m</v>
      </c>
      <c r="H1470" s="588" t="str">
        <f ca="1">IFERROR(__xludf.DUMMYFUNCTION("""COMPUTED_VALUE"""),"7")</f>
        <v>7</v>
      </c>
      <c r="I1470" s="591">
        <f ca="1">IFERROR(__xludf.DUMMYFUNCTION("""COMPUTED_VALUE"""),3.097458)</f>
        <v>3.097458</v>
      </c>
      <c r="J1470" s="592" t="str">
        <f ca="1">IFERROR(__xludf.DUMMYFUNCTION("""COMPUTED_VALUE""")," 12.70 ")</f>
        <v xml:space="preserve"> 12.70 </v>
      </c>
      <c r="K1470" s="590" t="str">
        <f ca="1">IFERROR(__xludf.DUMMYFUNCTION("""COMPUTED_VALUE"""),"0.61")</f>
        <v>0.61</v>
      </c>
      <c r="L1470" s="590">
        <f ca="1">IFERROR(__xludf.DUMMYFUNCTION("""COMPUTED_VALUE"""),15)</f>
        <v>15</v>
      </c>
      <c r="M1470" s="590"/>
      <c r="N1470" s="590" t="str">
        <f ca="1">IFERROR(__xludf.DUMMYFUNCTION("""COMPUTED_VALUE"""),"Dị_D&lt;54")</f>
        <v>Dị_D&lt;54</v>
      </c>
      <c r="O1470" s="589">
        <f ca="1">IFERROR(__xludf.DUMMYFUNCTION("""COMPUTED_VALUE"""),1)</f>
        <v>1</v>
      </c>
      <c r="P1470" s="590"/>
    </row>
    <row r="1471" spans="1:16" ht="15.75">
      <c r="A1471" s="581" t="str">
        <f ca="1">IFERROR(__xludf.DUMMYFUNCTION("""COMPUTED_VALUE"""),"J-Flex")</f>
        <v>J-Flex</v>
      </c>
      <c r="B1471" s="581" t="str">
        <f ca="1">IFERROR(__xludf.DUMMYFUNCTION("""COMPUTED_VALUE"""),"ĐJFLEXCUON")</f>
        <v>ĐJFLEXCUON</v>
      </c>
      <c r="C1471" s="581" t="str">
        <f ca="1">IFERROR(__xludf.DUMMYFUNCTION("""COMPUTED_VALUE"""),"JC12700GE15M")</f>
        <v>JC12700GE15M</v>
      </c>
      <c r="D1471" s="582" t="str">
        <f ca="1">IFERROR(__xludf.DUMMYFUNCTION("""COMPUTED_VALUE"""),"Đồng ống PC J-Flex 12.7x0.65")</f>
        <v>Đồng ống PC J-Flex 12.7x0.65</v>
      </c>
      <c r="E1471" s="583">
        <f ca="1">IFERROR(__xludf.DUMMYFUNCTION("""COMPUTED_VALUE"""),0.1)</f>
        <v>0.1</v>
      </c>
      <c r="F1471" s="584" t="str">
        <f ca="1">IFERROR(__xludf.DUMMYFUNCTION("""COMPUTED_VALUE"""),"Cuộn")</f>
        <v>Cuộn</v>
      </c>
      <c r="G1471" s="584" t="str">
        <f ca="1">IFERROR(__xludf.DUMMYFUNCTION("""COMPUTED_VALUE"""),"Cuộn 15m")</f>
        <v>Cuộn 15m</v>
      </c>
      <c r="H1471" s="582" t="str">
        <f ca="1">IFERROR(__xludf.DUMMYFUNCTION("""COMPUTED_VALUE"""),"7")</f>
        <v>7</v>
      </c>
      <c r="I1471" s="585">
        <f ca="1">IFERROR(__xludf.DUMMYFUNCTION("""COMPUTED_VALUE"""),3.28965)</f>
        <v>3.28965</v>
      </c>
      <c r="J1471" s="586" t="str">
        <f ca="1">IFERROR(__xludf.DUMMYFUNCTION("""COMPUTED_VALUE""")," 12.70 ")</f>
        <v xml:space="preserve"> 12.70 </v>
      </c>
      <c r="K1471" s="584" t="str">
        <f ca="1">IFERROR(__xludf.DUMMYFUNCTION("""COMPUTED_VALUE"""),"0.65")</f>
        <v>0.65</v>
      </c>
      <c r="L1471" s="584">
        <f ca="1">IFERROR(__xludf.DUMMYFUNCTION("""COMPUTED_VALUE"""),15)</f>
        <v>15</v>
      </c>
      <c r="M1471" s="584"/>
      <c r="N1471" s="584" t="str">
        <f ca="1">IFERROR(__xludf.DUMMYFUNCTION("""COMPUTED_VALUE"""),"Dị_D&lt;54")</f>
        <v>Dị_D&lt;54</v>
      </c>
      <c r="O1471" s="583">
        <f ca="1">IFERROR(__xludf.DUMMYFUNCTION("""COMPUTED_VALUE"""),1)</f>
        <v>1</v>
      </c>
      <c r="P1471" s="584"/>
    </row>
    <row r="1472" spans="1:16" ht="15.75">
      <c r="A1472" s="587" t="str">
        <f ca="1">IFERROR(__xludf.DUMMYFUNCTION("""COMPUTED_VALUE"""),"J-Flex")</f>
        <v>J-Flex</v>
      </c>
      <c r="B1472" s="587" t="str">
        <f ca="1">IFERROR(__xludf.DUMMYFUNCTION("""COMPUTED_VALUE"""),"ĐJFLEXCUON")</f>
        <v>ĐJFLEXCUON</v>
      </c>
      <c r="C1472" s="587" t="str">
        <f ca="1">IFERROR(__xludf.DUMMYFUNCTION("""COMPUTED_VALUE"""),"JC12700HA15M")</f>
        <v>JC12700HA15M</v>
      </c>
      <c r="D1472" s="588" t="str">
        <f ca="1">IFERROR(__xludf.DUMMYFUNCTION("""COMPUTED_VALUE"""),"Đồng ống PC J-Flex 12.7x0.71")</f>
        <v>Đồng ống PC J-Flex 12.7x0.71</v>
      </c>
      <c r="E1472" s="589">
        <f ca="1">IFERROR(__xludf.DUMMYFUNCTION("""COMPUTED_VALUE"""),0.1)</f>
        <v>0.1</v>
      </c>
      <c r="F1472" s="590" t="str">
        <f ca="1">IFERROR(__xludf.DUMMYFUNCTION("""COMPUTED_VALUE"""),"Cuộn")</f>
        <v>Cuộn</v>
      </c>
      <c r="G1472" s="590" t="str">
        <f ca="1">IFERROR(__xludf.DUMMYFUNCTION("""COMPUTED_VALUE"""),"Cuộn 15m")</f>
        <v>Cuộn 15m</v>
      </c>
      <c r="H1472" s="588" t="str">
        <f ca="1">IFERROR(__xludf.DUMMYFUNCTION("""COMPUTED_VALUE"""),"7")</f>
        <v>7</v>
      </c>
      <c r="I1472" s="591">
        <f ca="1">IFERROR(__xludf.DUMMYFUNCTION("""COMPUTED_VALUE"""),3.57541799999999)</f>
        <v>3.5754179999999902</v>
      </c>
      <c r="J1472" s="592" t="str">
        <f ca="1">IFERROR(__xludf.DUMMYFUNCTION("""COMPUTED_VALUE""")," 12.70 ")</f>
        <v xml:space="preserve"> 12.70 </v>
      </c>
      <c r="K1472" s="590" t="str">
        <f ca="1">IFERROR(__xludf.DUMMYFUNCTION("""COMPUTED_VALUE"""),"0.71")</f>
        <v>0.71</v>
      </c>
      <c r="L1472" s="590">
        <f ca="1">IFERROR(__xludf.DUMMYFUNCTION("""COMPUTED_VALUE"""),15)</f>
        <v>15</v>
      </c>
      <c r="M1472" s="590"/>
      <c r="N1472" s="590" t="str">
        <f ca="1">IFERROR(__xludf.DUMMYFUNCTION("""COMPUTED_VALUE"""),"Dị_D&lt;54")</f>
        <v>Dị_D&lt;54</v>
      </c>
      <c r="O1472" s="589">
        <f ca="1">IFERROR(__xludf.DUMMYFUNCTION("""COMPUTED_VALUE"""),1)</f>
        <v>1</v>
      </c>
      <c r="P1472" s="590"/>
    </row>
    <row r="1473" spans="1:16" ht="15.75">
      <c r="A1473" s="581" t="str">
        <f ca="1">IFERROR(__xludf.DUMMYFUNCTION("""COMPUTED_VALUE"""),"J-Flex")</f>
        <v>J-Flex</v>
      </c>
      <c r="B1473" s="581" t="str">
        <f ca="1">IFERROR(__xludf.DUMMYFUNCTION("""COMPUTED_VALUE"""),"ĐJFLEXCUON")</f>
        <v>ĐJFLEXCUON</v>
      </c>
      <c r="C1473" s="581" t="str">
        <f ca="1">IFERROR(__xludf.DUMMYFUNCTION("""COMPUTED_VALUE"""),"JC12700IA15M")</f>
        <v>JC12700IA15M</v>
      </c>
      <c r="D1473" s="582" t="str">
        <f ca="1">IFERROR(__xludf.DUMMYFUNCTION("""COMPUTED_VALUE"""),"Đồng ống PC J-Flex 12.7x0.81")</f>
        <v>Đồng ống PC J-Flex 12.7x0.81</v>
      </c>
      <c r="E1473" s="583">
        <f ca="1">IFERROR(__xludf.DUMMYFUNCTION("""COMPUTED_VALUE"""),0.1)</f>
        <v>0.1</v>
      </c>
      <c r="F1473" s="584" t="str">
        <f ca="1">IFERROR(__xludf.DUMMYFUNCTION("""COMPUTED_VALUE"""),"Cuộn")</f>
        <v>Cuộn</v>
      </c>
      <c r="G1473" s="584" t="str">
        <f ca="1">IFERROR(__xludf.DUMMYFUNCTION("""COMPUTED_VALUE"""),"Cuộn 15m")</f>
        <v>Cuộn 15m</v>
      </c>
      <c r="H1473" s="582" t="str">
        <f ca="1">IFERROR(__xludf.DUMMYFUNCTION("""COMPUTED_VALUE"""),"7")</f>
        <v>7</v>
      </c>
      <c r="I1473" s="585">
        <f ca="1">IFERROR(__xludf.DUMMYFUNCTION("""COMPUTED_VALUE"""),4.04497799999999)</f>
        <v>4.0449779999999897</v>
      </c>
      <c r="J1473" s="586" t="str">
        <f ca="1">IFERROR(__xludf.DUMMYFUNCTION("""COMPUTED_VALUE""")," 12.70 ")</f>
        <v xml:space="preserve"> 12.70 </v>
      </c>
      <c r="K1473" s="584" t="str">
        <f ca="1">IFERROR(__xludf.DUMMYFUNCTION("""COMPUTED_VALUE"""),"0.81")</f>
        <v>0.81</v>
      </c>
      <c r="L1473" s="584">
        <f ca="1">IFERROR(__xludf.DUMMYFUNCTION("""COMPUTED_VALUE"""),15)</f>
        <v>15</v>
      </c>
      <c r="M1473" s="584"/>
      <c r="N1473" s="584" t="str">
        <f ca="1">IFERROR(__xludf.DUMMYFUNCTION("""COMPUTED_VALUE"""),"Dị_D&lt;54")</f>
        <v>Dị_D&lt;54</v>
      </c>
      <c r="O1473" s="583">
        <f ca="1">IFERROR(__xludf.DUMMYFUNCTION("""COMPUTED_VALUE"""),1)</f>
        <v>1</v>
      </c>
      <c r="P1473" s="584"/>
    </row>
    <row r="1474" spans="1:16" ht="15.75">
      <c r="A1474" s="587" t="str">
        <f ca="1">IFERROR(__xludf.DUMMYFUNCTION("""COMPUTED_VALUE"""),"J-Flex")</f>
        <v>J-Flex</v>
      </c>
      <c r="B1474" s="587" t="str">
        <f ca="1">IFERROR(__xludf.DUMMYFUNCTION("""COMPUTED_VALUE"""),"ĐJFLEXCUON")</f>
        <v>ĐJFLEXCUON</v>
      </c>
      <c r="C1474" s="587" t="str">
        <f ca="1">IFERROR(__xludf.DUMMYFUNCTION("""COMPUTED_VALUE"""),"JC15880HA15M")</f>
        <v>JC15880HA15M</v>
      </c>
      <c r="D1474" s="588" t="str">
        <f ca="1">IFERROR(__xludf.DUMMYFUNCTION("""COMPUTED_VALUE"""),"Đồng ống PC J-Flex 15.88x0.71")</f>
        <v>Đồng ống PC J-Flex 15.88x0.71</v>
      </c>
      <c r="E1474" s="589">
        <f ca="1">IFERROR(__xludf.DUMMYFUNCTION("""COMPUTED_VALUE"""),0.1)</f>
        <v>0.1</v>
      </c>
      <c r="F1474" s="590" t="str">
        <f ca="1">IFERROR(__xludf.DUMMYFUNCTION("""COMPUTED_VALUE"""),"Cuộn")</f>
        <v>Cuộn</v>
      </c>
      <c r="G1474" s="590" t="str">
        <f ca="1">IFERROR(__xludf.DUMMYFUNCTION("""COMPUTED_VALUE"""),"Cuộn 15m")</f>
        <v>Cuộn 15m</v>
      </c>
      <c r="H1474" s="588" t="str">
        <f ca="1">IFERROR(__xludf.DUMMYFUNCTION("""COMPUTED_VALUE"""),"5")</f>
        <v>5</v>
      </c>
      <c r="I1474" s="591">
        <f ca="1">IFERROR(__xludf.DUMMYFUNCTION("""COMPUTED_VALUE"""),4.523694)</f>
        <v>4.5236939999999999</v>
      </c>
      <c r="J1474" s="592" t="str">
        <f ca="1">IFERROR(__xludf.DUMMYFUNCTION("""COMPUTED_VALUE""")," 15.88 ")</f>
        <v xml:space="preserve"> 15.88 </v>
      </c>
      <c r="K1474" s="590" t="str">
        <f ca="1">IFERROR(__xludf.DUMMYFUNCTION("""COMPUTED_VALUE"""),"0.71")</f>
        <v>0.71</v>
      </c>
      <c r="L1474" s="590">
        <f ca="1">IFERROR(__xludf.DUMMYFUNCTION("""COMPUTED_VALUE"""),15)</f>
        <v>15</v>
      </c>
      <c r="M1474" s="590"/>
      <c r="N1474" s="590" t="str">
        <f ca="1">IFERROR(__xludf.DUMMYFUNCTION("""COMPUTED_VALUE"""),"Dị_D&lt;54")</f>
        <v>Dị_D&lt;54</v>
      </c>
      <c r="O1474" s="589">
        <f ca="1">IFERROR(__xludf.DUMMYFUNCTION("""COMPUTED_VALUE"""),1)</f>
        <v>1</v>
      </c>
      <c r="P1474" s="590"/>
    </row>
    <row r="1475" spans="1:16" ht="15.75">
      <c r="A1475" s="581" t="str">
        <f ca="1">IFERROR(__xludf.DUMMYFUNCTION("""COMPUTED_VALUE"""),"J-Flex")</f>
        <v>J-Flex</v>
      </c>
      <c r="B1475" s="581" t="str">
        <f ca="1">IFERROR(__xludf.DUMMYFUNCTION("""COMPUTED_VALUE"""),"ĐJFLEXCUON")</f>
        <v>ĐJFLEXCUON</v>
      </c>
      <c r="C1475" s="581" t="str">
        <f ca="1">IFERROR(__xludf.DUMMYFUNCTION("""COMPUTED_VALUE"""),"JC15880HE15M")</f>
        <v>JC15880HE15M</v>
      </c>
      <c r="D1475" s="582" t="str">
        <f ca="1">IFERROR(__xludf.DUMMYFUNCTION("""COMPUTED_VALUE"""),"Đồng ống PC J-Flex 15.88x0.75")</f>
        <v>Đồng ống PC J-Flex 15.88x0.75</v>
      </c>
      <c r="E1475" s="583">
        <f ca="1">IFERROR(__xludf.DUMMYFUNCTION("""COMPUTED_VALUE"""),0.1)</f>
        <v>0.1</v>
      </c>
      <c r="F1475" s="584" t="str">
        <f ca="1">IFERROR(__xludf.DUMMYFUNCTION("""COMPUTED_VALUE"""),"Cuộn")</f>
        <v>Cuộn</v>
      </c>
      <c r="G1475" s="584" t="str">
        <f ca="1">IFERROR(__xludf.DUMMYFUNCTION("""COMPUTED_VALUE"""),"Cuộn 15m")</f>
        <v>Cuộn 15m</v>
      </c>
      <c r="H1475" s="582" t="str">
        <f ca="1">IFERROR(__xludf.DUMMYFUNCTION("""COMPUTED_VALUE"""),"5")</f>
        <v>5</v>
      </c>
      <c r="I1475" s="585">
        <f ca="1">IFERROR(__xludf.DUMMYFUNCTION("""COMPUTED_VALUE"""),4.76595)</f>
        <v>4.7659500000000001</v>
      </c>
      <c r="J1475" s="586" t="str">
        <f ca="1">IFERROR(__xludf.DUMMYFUNCTION("""COMPUTED_VALUE""")," 15.88 ")</f>
        <v xml:space="preserve"> 15.88 </v>
      </c>
      <c r="K1475" s="584" t="str">
        <f ca="1">IFERROR(__xludf.DUMMYFUNCTION("""COMPUTED_VALUE"""),"0.75")</f>
        <v>0.75</v>
      </c>
      <c r="L1475" s="584">
        <f ca="1">IFERROR(__xludf.DUMMYFUNCTION("""COMPUTED_VALUE"""),15)</f>
        <v>15</v>
      </c>
      <c r="M1475" s="584"/>
      <c r="N1475" s="584" t="str">
        <f ca="1">IFERROR(__xludf.DUMMYFUNCTION("""COMPUTED_VALUE"""),"Dị_D&lt;54")</f>
        <v>Dị_D&lt;54</v>
      </c>
      <c r="O1475" s="583">
        <f ca="1">IFERROR(__xludf.DUMMYFUNCTION("""COMPUTED_VALUE"""),1)</f>
        <v>1</v>
      </c>
      <c r="P1475" s="584"/>
    </row>
    <row r="1476" spans="1:16" ht="15.75">
      <c r="A1476" s="587" t="str">
        <f ca="1">IFERROR(__xludf.DUMMYFUNCTION("""COMPUTED_VALUE"""),"J-Flex")</f>
        <v>J-Flex</v>
      </c>
      <c r="B1476" s="587" t="str">
        <f ca="1">IFERROR(__xludf.DUMMYFUNCTION("""COMPUTED_VALUE"""),"ĐJFLEXCUON")</f>
        <v>ĐJFLEXCUON</v>
      </c>
      <c r="C1476" s="587" t="str">
        <f ca="1">IFERROR(__xludf.DUMMYFUNCTION("""COMPUTED_VALUE"""),"JC15880IA15M")</f>
        <v>JC15880IA15M</v>
      </c>
      <c r="D1476" s="588" t="str">
        <f ca="1">IFERROR(__xludf.DUMMYFUNCTION("""COMPUTED_VALUE"""),"Đồng ống PC J-Flex 15.88x0.81")</f>
        <v>Đồng ống PC J-Flex 15.88x0.81</v>
      </c>
      <c r="E1476" s="589">
        <f ca="1">IFERROR(__xludf.DUMMYFUNCTION("""COMPUTED_VALUE"""),0.1)</f>
        <v>0.1</v>
      </c>
      <c r="F1476" s="590" t="str">
        <f ca="1">IFERROR(__xludf.DUMMYFUNCTION("""COMPUTED_VALUE"""),"Cuộn")</f>
        <v>Cuộn</v>
      </c>
      <c r="G1476" s="590" t="str">
        <f ca="1">IFERROR(__xludf.DUMMYFUNCTION("""COMPUTED_VALUE"""),"Cuộn 15m")</f>
        <v>Cuộn 15m</v>
      </c>
      <c r="H1476" s="588" t="str">
        <f ca="1">IFERROR(__xludf.DUMMYFUNCTION("""COMPUTED_VALUE"""),"5")</f>
        <v>5</v>
      </c>
      <c r="I1476" s="591">
        <f ca="1">IFERROR(__xludf.DUMMYFUNCTION("""COMPUTED_VALUE"""),5.126814)</f>
        <v>5.1268140000000004</v>
      </c>
      <c r="J1476" s="592" t="str">
        <f ca="1">IFERROR(__xludf.DUMMYFUNCTION("""COMPUTED_VALUE""")," 15.88 ")</f>
        <v xml:space="preserve"> 15.88 </v>
      </c>
      <c r="K1476" s="590" t="str">
        <f ca="1">IFERROR(__xludf.DUMMYFUNCTION("""COMPUTED_VALUE"""),"0.81")</f>
        <v>0.81</v>
      </c>
      <c r="L1476" s="590">
        <f ca="1">IFERROR(__xludf.DUMMYFUNCTION("""COMPUTED_VALUE"""),15)</f>
        <v>15</v>
      </c>
      <c r="M1476" s="590"/>
      <c r="N1476" s="590" t="str">
        <f ca="1">IFERROR(__xludf.DUMMYFUNCTION("""COMPUTED_VALUE"""),"Dị_D&lt;54")</f>
        <v>Dị_D&lt;54</v>
      </c>
      <c r="O1476" s="589">
        <f ca="1">IFERROR(__xludf.DUMMYFUNCTION("""COMPUTED_VALUE"""),1)</f>
        <v>1</v>
      </c>
      <c r="P1476" s="590"/>
    </row>
    <row r="1477" spans="1:16" ht="15.75">
      <c r="A1477" s="581" t="str">
        <f ca="1">IFERROR(__xludf.DUMMYFUNCTION("""COMPUTED_VALUE"""),"J-Flex")</f>
        <v>J-Flex</v>
      </c>
      <c r="B1477" s="581" t="str">
        <f ca="1">IFERROR(__xludf.DUMMYFUNCTION("""COMPUTED_VALUE"""),"ĐJFLEXCUON")</f>
        <v>ĐJFLEXCUON</v>
      </c>
      <c r="C1477" s="581" t="str">
        <f ca="1">IFERROR(__xludf.DUMMYFUNCTION("""COMPUTED_VALUE"""),"JC1588A0015M")</f>
        <v>JC1588A0015M</v>
      </c>
      <c r="D1477" s="582" t="str">
        <f ca="1">IFERROR(__xludf.DUMMYFUNCTION("""COMPUTED_VALUE"""),"Đồng ống PC J-Flex 15.88x1.00")</f>
        <v>Đồng ống PC J-Flex 15.88x1.00</v>
      </c>
      <c r="E1477" s="583">
        <f ca="1">IFERROR(__xludf.DUMMYFUNCTION("""COMPUTED_VALUE"""),0.1)</f>
        <v>0.1</v>
      </c>
      <c r="F1477" s="584" t="str">
        <f ca="1">IFERROR(__xludf.DUMMYFUNCTION("""COMPUTED_VALUE"""),"Cuộn")</f>
        <v>Cuộn</v>
      </c>
      <c r="G1477" s="584" t="str">
        <f ca="1">IFERROR(__xludf.DUMMYFUNCTION("""COMPUTED_VALUE"""),"Cuộn 15m")</f>
        <v>Cuộn 15m</v>
      </c>
      <c r="H1477" s="582" t="str">
        <f ca="1">IFERROR(__xludf.DUMMYFUNCTION("""COMPUTED_VALUE"""),"5")</f>
        <v>5</v>
      </c>
      <c r="I1477" s="585">
        <f ca="1">IFERROR(__xludf.DUMMYFUNCTION("""COMPUTED_VALUE"""),6.2496)</f>
        <v>6.2496</v>
      </c>
      <c r="J1477" s="586" t="str">
        <f ca="1">IFERROR(__xludf.DUMMYFUNCTION("""COMPUTED_VALUE""")," 15.88 ")</f>
        <v xml:space="preserve"> 15.88 </v>
      </c>
      <c r="K1477" s="584" t="str">
        <f ca="1">IFERROR(__xludf.DUMMYFUNCTION("""COMPUTED_VALUE"""),"1.00")</f>
        <v>1.00</v>
      </c>
      <c r="L1477" s="584">
        <f ca="1">IFERROR(__xludf.DUMMYFUNCTION("""COMPUTED_VALUE"""),15)</f>
        <v>15</v>
      </c>
      <c r="M1477" s="584"/>
      <c r="N1477" s="584" t="str">
        <f ca="1">IFERROR(__xludf.DUMMYFUNCTION("""COMPUTED_VALUE"""),"Dị_D&lt;54")</f>
        <v>Dị_D&lt;54</v>
      </c>
      <c r="O1477" s="583">
        <f ca="1">IFERROR(__xludf.DUMMYFUNCTION("""COMPUTED_VALUE"""),1)</f>
        <v>1</v>
      </c>
      <c r="P1477" s="584"/>
    </row>
    <row r="1478" spans="1:16" ht="15.75">
      <c r="A1478" s="587" t="str">
        <f ca="1">IFERROR(__xludf.DUMMYFUNCTION("""COMPUTED_VALUE"""),"J-Flex")</f>
        <v>J-Flex</v>
      </c>
      <c r="B1478" s="587" t="str">
        <f ca="1">IFERROR(__xludf.DUMMYFUNCTION("""COMPUTED_VALUE"""),"ĐJFLEXCUON")</f>
        <v>ĐJFLEXCUON</v>
      </c>
      <c r="C1478" s="587" t="str">
        <f ca="1">IFERROR(__xludf.DUMMYFUNCTION("""COMPUTED_VALUE"""),"JC1588A0B15M")</f>
        <v>JC1588A0B15M</v>
      </c>
      <c r="D1478" s="588" t="str">
        <f ca="1">IFERROR(__xludf.DUMMYFUNCTION("""COMPUTED_VALUE"""),"Đồng ống PC J-Flex 15.88x1.02")</f>
        <v>Đồng ống PC J-Flex 15.88x1.02</v>
      </c>
      <c r="E1478" s="589">
        <f ca="1">IFERROR(__xludf.DUMMYFUNCTION("""COMPUTED_VALUE"""),0.1)</f>
        <v>0.1</v>
      </c>
      <c r="F1478" s="590" t="str">
        <f ca="1">IFERROR(__xludf.DUMMYFUNCTION("""COMPUTED_VALUE"""),"Cuộn")</f>
        <v>Cuộn</v>
      </c>
      <c r="G1478" s="590" t="str">
        <f ca="1">IFERROR(__xludf.DUMMYFUNCTION("""COMPUTED_VALUE"""),"Cuộn 15m")</f>
        <v>Cuộn 15m</v>
      </c>
      <c r="H1478" s="588" t="str">
        <f ca="1">IFERROR(__xludf.DUMMYFUNCTION("""COMPUTED_VALUE"""),"5")</f>
        <v>5</v>
      </c>
      <c r="I1478" s="591">
        <f ca="1">IFERROR(__xludf.DUMMYFUNCTION("""COMPUTED_VALUE"""),6.366024)</f>
        <v>6.3660240000000003</v>
      </c>
      <c r="J1478" s="592" t="str">
        <f ca="1">IFERROR(__xludf.DUMMYFUNCTION("""COMPUTED_VALUE""")," 15.88 ")</f>
        <v xml:space="preserve"> 15.88 </v>
      </c>
      <c r="K1478" s="590" t="str">
        <f ca="1">IFERROR(__xludf.DUMMYFUNCTION("""COMPUTED_VALUE"""),"1.02")</f>
        <v>1.02</v>
      </c>
      <c r="L1478" s="590">
        <f ca="1">IFERROR(__xludf.DUMMYFUNCTION("""COMPUTED_VALUE"""),15)</f>
        <v>15</v>
      </c>
      <c r="M1478" s="590"/>
      <c r="N1478" s="590" t="str">
        <f ca="1">IFERROR(__xludf.DUMMYFUNCTION("""COMPUTED_VALUE"""),"Dị_D&lt;54")</f>
        <v>Dị_D&lt;54</v>
      </c>
      <c r="O1478" s="589">
        <f ca="1">IFERROR(__xludf.DUMMYFUNCTION("""COMPUTED_VALUE"""),1)</f>
        <v>1</v>
      </c>
      <c r="P1478" s="590"/>
    </row>
    <row r="1479" spans="1:16" ht="15.75">
      <c r="A1479" s="581" t="str">
        <f ca="1">IFERROR(__xludf.DUMMYFUNCTION("""COMPUTED_VALUE"""),"J-Flex")</f>
        <v>J-Flex</v>
      </c>
      <c r="B1479" s="581" t="str">
        <f ca="1">IFERROR(__xludf.DUMMYFUNCTION("""COMPUTED_VALUE"""),"ĐJFLEXCUON")</f>
        <v>ĐJFLEXCUON</v>
      </c>
      <c r="C1479" s="581" t="str">
        <f ca="1">IFERROR(__xludf.DUMMYFUNCTION("""COMPUTED_VALUE"""),"JC19050HA15M")</f>
        <v>JC19050HA15M</v>
      </c>
      <c r="D1479" s="582" t="str">
        <f ca="1">IFERROR(__xludf.DUMMYFUNCTION("""COMPUTED_VALUE"""),"Đồng ống PC J-Flex 19.05x0.71")</f>
        <v>Đồng ống PC J-Flex 19.05x0.71</v>
      </c>
      <c r="E1479" s="583">
        <f ca="1">IFERROR(__xludf.DUMMYFUNCTION("""COMPUTED_VALUE"""),0.1)</f>
        <v>0.1</v>
      </c>
      <c r="F1479" s="584" t="str">
        <f ca="1">IFERROR(__xludf.DUMMYFUNCTION("""COMPUTED_VALUE"""),"Cuộn")</f>
        <v>Cuộn</v>
      </c>
      <c r="G1479" s="584" t="str">
        <f ca="1">IFERROR(__xludf.DUMMYFUNCTION("""COMPUTED_VALUE"""),"Cuộn 15m")</f>
        <v>Cuộn 15m</v>
      </c>
      <c r="H1479" s="582" t="str">
        <f ca="1">IFERROR(__xludf.DUMMYFUNCTION("""COMPUTED_VALUE"""),"4")</f>
        <v>4</v>
      </c>
      <c r="I1479" s="585">
        <f ca="1">IFERROR(__xludf.DUMMYFUNCTION("""COMPUTED_VALUE"""),5.468988)</f>
        <v>5.4689880000000004</v>
      </c>
      <c r="J1479" s="586" t="str">
        <f ca="1">IFERROR(__xludf.DUMMYFUNCTION("""COMPUTED_VALUE""")," 19.05 ")</f>
        <v xml:space="preserve"> 19.05 </v>
      </c>
      <c r="K1479" s="584" t="str">
        <f ca="1">IFERROR(__xludf.DUMMYFUNCTION("""COMPUTED_VALUE"""),"0.71")</f>
        <v>0.71</v>
      </c>
      <c r="L1479" s="584">
        <f ca="1">IFERROR(__xludf.DUMMYFUNCTION("""COMPUTED_VALUE"""),15)</f>
        <v>15</v>
      </c>
      <c r="M1479" s="584"/>
      <c r="N1479" s="584" t="str">
        <f ca="1">IFERROR(__xludf.DUMMYFUNCTION("""COMPUTED_VALUE"""),"Dị_D&lt;54")</f>
        <v>Dị_D&lt;54</v>
      </c>
      <c r="O1479" s="583">
        <f ca="1">IFERROR(__xludf.DUMMYFUNCTION("""COMPUTED_VALUE"""),1)</f>
        <v>1</v>
      </c>
      <c r="P1479" s="584"/>
    </row>
    <row r="1480" spans="1:16" ht="15.75">
      <c r="A1480" s="587" t="str">
        <f ca="1">IFERROR(__xludf.DUMMYFUNCTION("""COMPUTED_VALUE"""),"J-Flex")</f>
        <v>J-Flex</v>
      </c>
      <c r="B1480" s="587" t="str">
        <f ca="1">IFERROR(__xludf.DUMMYFUNCTION("""COMPUTED_VALUE"""),"ĐJFLEXCUON")</f>
        <v>ĐJFLEXCUON</v>
      </c>
      <c r="C1480" s="587" t="str">
        <f ca="1">IFERROR(__xludf.DUMMYFUNCTION("""COMPUTED_VALUE"""),"JC19050IA15M")</f>
        <v>JC19050IA15M</v>
      </c>
      <c r="D1480" s="588" t="str">
        <f ca="1">IFERROR(__xludf.DUMMYFUNCTION("""COMPUTED_VALUE"""),"Đồng ống PC J-Flex 19.05x0.81")</f>
        <v>Đồng ống PC J-Flex 19.05x0.81</v>
      </c>
      <c r="E1480" s="589">
        <f ca="1">IFERROR(__xludf.DUMMYFUNCTION("""COMPUTED_VALUE"""),0.1)</f>
        <v>0.1</v>
      </c>
      <c r="F1480" s="590" t="str">
        <f ca="1">IFERROR(__xludf.DUMMYFUNCTION("""COMPUTED_VALUE"""),"Cuộn")</f>
        <v>Cuộn</v>
      </c>
      <c r="G1480" s="590" t="str">
        <f ca="1">IFERROR(__xludf.DUMMYFUNCTION("""COMPUTED_VALUE"""),"Cuộn 15m")</f>
        <v>Cuộn 15m</v>
      </c>
      <c r="H1480" s="588" t="str">
        <f ca="1">IFERROR(__xludf.DUMMYFUNCTION("""COMPUTED_VALUE"""),"4")</f>
        <v>4</v>
      </c>
      <c r="I1480" s="591">
        <f ca="1">IFERROR(__xludf.DUMMYFUNCTION("""COMPUTED_VALUE"""),6.205248)</f>
        <v>6.2052480000000001</v>
      </c>
      <c r="J1480" s="592" t="str">
        <f ca="1">IFERROR(__xludf.DUMMYFUNCTION("""COMPUTED_VALUE""")," 19.05 ")</f>
        <v xml:space="preserve"> 19.05 </v>
      </c>
      <c r="K1480" s="590" t="str">
        <f ca="1">IFERROR(__xludf.DUMMYFUNCTION("""COMPUTED_VALUE"""),"0.81")</f>
        <v>0.81</v>
      </c>
      <c r="L1480" s="590">
        <f ca="1">IFERROR(__xludf.DUMMYFUNCTION("""COMPUTED_VALUE"""),15)</f>
        <v>15</v>
      </c>
      <c r="M1480" s="590"/>
      <c r="N1480" s="590" t="str">
        <f ca="1">IFERROR(__xludf.DUMMYFUNCTION("""COMPUTED_VALUE"""),"Dị_D&lt;54")</f>
        <v>Dị_D&lt;54</v>
      </c>
      <c r="O1480" s="589">
        <f ca="1">IFERROR(__xludf.DUMMYFUNCTION("""COMPUTED_VALUE"""),1)</f>
        <v>1</v>
      </c>
      <c r="P1480" s="590"/>
    </row>
    <row r="1481" spans="1:16" ht="15.75">
      <c r="A1481" s="581" t="str">
        <f ca="1">IFERROR(__xludf.DUMMYFUNCTION("""COMPUTED_VALUE"""),"J-Flex")</f>
        <v>J-Flex</v>
      </c>
      <c r="B1481" s="581" t="str">
        <f ca="1">IFERROR(__xludf.DUMMYFUNCTION("""COMPUTED_VALUE"""),"ĐJFLEXCUON")</f>
        <v>ĐJFLEXCUON</v>
      </c>
      <c r="C1481" s="581" t="str">
        <f ca="1">IFERROR(__xludf.DUMMYFUNCTION("""COMPUTED_VALUE"""),"JC1905A0015M")</f>
        <v>JC1905A0015M</v>
      </c>
      <c r="D1481" s="582" t="str">
        <f ca="1">IFERROR(__xludf.DUMMYFUNCTION("""COMPUTED_VALUE"""),"Đồng ống PC J-Flex 19.05x1.00")</f>
        <v>Đồng ống PC J-Flex 19.05x1.00</v>
      </c>
      <c r="E1481" s="583">
        <f ca="1">IFERROR(__xludf.DUMMYFUNCTION("""COMPUTED_VALUE"""),0.1)</f>
        <v>0.1</v>
      </c>
      <c r="F1481" s="584" t="str">
        <f ca="1">IFERROR(__xludf.DUMMYFUNCTION("""COMPUTED_VALUE"""),"Cuộn")</f>
        <v>Cuộn</v>
      </c>
      <c r="G1481" s="584" t="str">
        <f ca="1">IFERROR(__xludf.DUMMYFUNCTION("""COMPUTED_VALUE"""),"Cuộn 15m")</f>
        <v>Cuộn 15m</v>
      </c>
      <c r="H1481" s="582" t="str">
        <f ca="1">IFERROR(__xludf.DUMMYFUNCTION("""COMPUTED_VALUE"""),"4")</f>
        <v>4</v>
      </c>
      <c r="I1481" s="585">
        <f ca="1">IFERROR(__xludf.DUMMYFUNCTION("""COMPUTED_VALUE"""),7.581)</f>
        <v>7.5810000000000004</v>
      </c>
      <c r="J1481" s="586" t="str">
        <f ca="1">IFERROR(__xludf.DUMMYFUNCTION("""COMPUTED_VALUE""")," 19.05 ")</f>
        <v xml:space="preserve"> 19.05 </v>
      </c>
      <c r="K1481" s="584" t="str">
        <f ca="1">IFERROR(__xludf.DUMMYFUNCTION("""COMPUTED_VALUE"""),"1.00")</f>
        <v>1.00</v>
      </c>
      <c r="L1481" s="584">
        <f ca="1">IFERROR(__xludf.DUMMYFUNCTION("""COMPUTED_VALUE"""),15)</f>
        <v>15</v>
      </c>
      <c r="M1481" s="584"/>
      <c r="N1481" s="584" t="str">
        <f ca="1">IFERROR(__xludf.DUMMYFUNCTION("""COMPUTED_VALUE"""),"Dị_D&lt;54")</f>
        <v>Dị_D&lt;54</v>
      </c>
      <c r="O1481" s="583">
        <f ca="1">IFERROR(__xludf.DUMMYFUNCTION("""COMPUTED_VALUE"""),1)</f>
        <v>1</v>
      </c>
      <c r="P1481" s="584"/>
    </row>
    <row r="1482" spans="1:16" ht="15.75">
      <c r="A1482" s="587" t="str">
        <f ca="1">IFERROR(__xludf.DUMMYFUNCTION("""COMPUTED_VALUE"""),"J-Flex")</f>
        <v>J-Flex</v>
      </c>
      <c r="B1482" s="587" t="str">
        <f ca="1">IFERROR(__xludf.DUMMYFUNCTION("""COMPUTED_VALUE"""),"ĐJFLEXCUON")</f>
        <v>ĐJFLEXCUON</v>
      </c>
      <c r="C1482" s="587" t="str">
        <f ca="1">IFERROR(__xludf.DUMMYFUNCTION("""COMPUTED_VALUE"""),"JC1905A0B15M")</f>
        <v>JC1905A0B15M</v>
      </c>
      <c r="D1482" s="588" t="str">
        <f ca="1">IFERROR(__xludf.DUMMYFUNCTION("""COMPUTED_VALUE"""),"Đồng ống PC J-Flex 19.05x1.02")</f>
        <v>Đồng ống PC J-Flex 19.05x1.02</v>
      </c>
      <c r="E1482" s="589">
        <f ca="1">IFERROR(__xludf.DUMMYFUNCTION("""COMPUTED_VALUE"""),0.1)</f>
        <v>0.1</v>
      </c>
      <c r="F1482" s="590" t="str">
        <f ca="1">IFERROR(__xludf.DUMMYFUNCTION("""COMPUTED_VALUE"""),"Cuộn")</f>
        <v>Cuộn</v>
      </c>
      <c r="G1482" s="590" t="str">
        <f ca="1">IFERROR(__xludf.DUMMYFUNCTION("""COMPUTED_VALUE"""),"Cuộn 15m")</f>
        <v>Cuộn 15m</v>
      </c>
      <c r="H1482" s="588" t="str">
        <f ca="1">IFERROR(__xludf.DUMMYFUNCTION("""COMPUTED_VALUE"""),"4")</f>
        <v>4</v>
      </c>
      <c r="I1482" s="591">
        <f ca="1">IFERROR(__xludf.DUMMYFUNCTION("""COMPUTED_VALUE"""),7.724052)</f>
        <v>7.7240520000000004</v>
      </c>
      <c r="J1482" s="592" t="str">
        <f ca="1">IFERROR(__xludf.DUMMYFUNCTION("""COMPUTED_VALUE""")," 19.05 ")</f>
        <v xml:space="preserve"> 19.05 </v>
      </c>
      <c r="K1482" s="590" t="str">
        <f ca="1">IFERROR(__xludf.DUMMYFUNCTION("""COMPUTED_VALUE"""),"1.02")</f>
        <v>1.02</v>
      </c>
      <c r="L1482" s="590">
        <f ca="1">IFERROR(__xludf.DUMMYFUNCTION("""COMPUTED_VALUE"""),15)</f>
        <v>15</v>
      </c>
      <c r="M1482" s="590"/>
      <c r="N1482" s="590" t="str">
        <f ca="1">IFERROR(__xludf.DUMMYFUNCTION("""COMPUTED_VALUE"""),"Dị_D&lt;54")</f>
        <v>Dị_D&lt;54</v>
      </c>
      <c r="O1482" s="589"/>
      <c r="P1482" s="590"/>
    </row>
    <row r="1483" spans="1:16" ht="15.75">
      <c r="A1483" s="581" t="str">
        <f ca="1">IFERROR(__xludf.DUMMYFUNCTION("""COMPUTED_VALUE"""),"J-Flex")</f>
        <v>J-Flex</v>
      </c>
      <c r="B1483" s="581" t="str">
        <f ca="1">IFERROR(__xludf.DUMMYFUNCTION("""COMPUTED_VALUE"""),"ĐJFLEXCAY")</f>
        <v>ĐJFLEXCAY</v>
      </c>
      <c r="C1483" s="581" t="str">
        <f ca="1">IFERROR(__xludf.DUMMYFUNCTION("""COMPUTED_VALUE"""),"JT06400E0030")</f>
        <v>JT06400E0030</v>
      </c>
      <c r="D1483" s="582" t="str">
        <f ca="1">IFERROR(__xludf.DUMMYFUNCTION("""COMPUTED_VALUE"""),"Đồng ống thẳng J-Flex 06.40x0.50x3.0")</f>
        <v>Đồng ống thẳng J-Flex 06.40x0.50x3.0</v>
      </c>
      <c r="E1483" s="583">
        <f ca="1">IFERROR(__xludf.DUMMYFUNCTION("""COMPUTED_VALUE"""),0.1)</f>
        <v>0.1</v>
      </c>
      <c r="F1483" s="584" t="str">
        <f ca="1">IFERROR(__xludf.DUMMYFUNCTION("""COMPUTED_VALUE"""),"Cây")</f>
        <v>Cây</v>
      </c>
      <c r="G1483" s="584" t="str">
        <f ca="1">IFERROR(__xludf.DUMMYFUNCTION("""COMPUTED_VALUE"""),"Cây 3m")</f>
        <v>Cây 3m</v>
      </c>
      <c r="H1483" s="582"/>
      <c r="I1483" s="585">
        <f ca="1">IFERROR(__xludf.DUMMYFUNCTION("""COMPUTED_VALUE"""),0.2478)</f>
        <v>0.24779999999999999</v>
      </c>
      <c r="J1483" s="586" t="str">
        <f ca="1">IFERROR(__xludf.DUMMYFUNCTION("""COMPUTED_VALUE""")," 06.40 ")</f>
        <v xml:space="preserve"> 06.40 </v>
      </c>
      <c r="K1483" s="584" t="str">
        <f ca="1">IFERROR(__xludf.DUMMYFUNCTION("""COMPUTED_VALUE"""),"0.50")</f>
        <v>0.50</v>
      </c>
      <c r="L1483" s="584">
        <f ca="1">IFERROR(__xludf.DUMMYFUNCTION("""COMPUTED_VALUE"""),3)</f>
        <v>3</v>
      </c>
      <c r="M1483" s="584"/>
      <c r="N1483" s="584" t="str">
        <f ca="1">IFERROR(__xludf.DUMMYFUNCTION("""COMPUTED_VALUE"""),"Dị_D&lt;54")</f>
        <v>Dị_D&lt;54</v>
      </c>
      <c r="O1483" s="583"/>
      <c r="P1483" s="584"/>
    </row>
    <row r="1484" spans="1:16" ht="15.75">
      <c r="A1484" s="587" t="str">
        <f ca="1">IFERROR(__xludf.DUMMYFUNCTION("""COMPUTED_VALUE"""),"J-Flex")</f>
        <v>J-Flex</v>
      </c>
      <c r="B1484" s="587" t="str">
        <f ca="1">IFERROR(__xludf.DUMMYFUNCTION("""COMPUTED_VALUE"""),"ĐJFLEXCAY")</f>
        <v>ĐJFLEXCAY</v>
      </c>
      <c r="C1484" s="587" t="str">
        <f ca="1">IFERROR(__xludf.DUMMYFUNCTION("""COMPUTED_VALUE"""),"JT06500E0030")</f>
        <v>JT06500E0030</v>
      </c>
      <c r="D1484" s="588" t="str">
        <f ca="1">IFERROR(__xludf.DUMMYFUNCTION("""COMPUTED_VALUE"""),"Đồng ống thẳng J-Flex 06.50x0.50x3.0")</f>
        <v>Đồng ống thẳng J-Flex 06.50x0.50x3.0</v>
      </c>
      <c r="E1484" s="589">
        <f ca="1">IFERROR(__xludf.DUMMYFUNCTION("""COMPUTED_VALUE"""),0.1)</f>
        <v>0.1</v>
      </c>
      <c r="F1484" s="590" t="str">
        <f ca="1">IFERROR(__xludf.DUMMYFUNCTION("""COMPUTED_VALUE"""),"Cây")</f>
        <v>Cây</v>
      </c>
      <c r="G1484" s="590" t="str">
        <f ca="1">IFERROR(__xludf.DUMMYFUNCTION("""COMPUTED_VALUE"""),"Cây 3m")</f>
        <v>Cây 3m</v>
      </c>
      <c r="H1484" s="588"/>
      <c r="I1484" s="591">
        <f ca="1">IFERROR(__xludf.DUMMYFUNCTION("""COMPUTED_VALUE"""),0.252)</f>
        <v>0.252</v>
      </c>
      <c r="J1484" s="592" t="str">
        <f ca="1">IFERROR(__xludf.DUMMYFUNCTION("""COMPUTED_VALUE""")," 06.50 ")</f>
        <v xml:space="preserve"> 06.50 </v>
      </c>
      <c r="K1484" s="590" t="str">
        <f ca="1">IFERROR(__xludf.DUMMYFUNCTION("""COMPUTED_VALUE"""),"0.50")</f>
        <v>0.50</v>
      </c>
      <c r="L1484" s="590">
        <f ca="1">IFERROR(__xludf.DUMMYFUNCTION("""COMPUTED_VALUE"""),3)</f>
        <v>3</v>
      </c>
      <c r="M1484" s="590"/>
      <c r="N1484" s="590" t="str">
        <f ca="1">IFERROR(__xludf.DUMMYFUNCTION("""COMPUTED_VALUE"""),"Dị_D&lt;54")</f>
        <v>Dị_D&lt;54</v>
      </c>
      <c r="O1484" s="589"/>
      <c r="P1484" s="590"/>
    </row>
    <row r="1485" spans="1:16" ht="15.75">
      <c r="A1485" s="581" t="str">
        <f ca="1">IFERROR(__xludf.DUMMYFUNCTION("""COMPUTED_VALUE"""),"J-Flex")</f>
        <v>J-Flex</v>
      </c>
      <c r="B1485" s="581" t="str">
        <f ca="1">IFERROR(__xludf.DUMMYFUNCTION("""COMPUTED_VALUE"""),"ĐJFLEXCAY")</f>
        <v>ĐJFLEXCAY</v>
      </c>
      <c r="C1485" s="581" t="str">
        <f ca="1">IFERROR(__xludf.DUMMYFUNCTION("""COMPUTED_VALUE"""),"JT06500H0030")</f>
        <v>JT06500H0030</v>
      </c>
      <c r="D1485" s="582" t="str">
        <f ca="1">IFERROR(__xludf.DUMMYFUNCTION("""COMPUTED_VALUE"""),"Đồng ống thẳng J-Flex 06.50x0.70x3.0")</f>
        <v>Đồng ống thẳng J-Flex 06.50x0.70x3.0</v>
      </c>
      <c r="E1485" s="583">
        <f ca="1">IFERROR(__xludf.DUMMYFUNCTION("""COMPUTED_VALUE"""),0.1)</f>
        <v>0.1</v>
      </c>
      <c r="F1485" s="584" t="str">
        <f ca="1">IFERROR(__xludf.DUMMYFUNCTION("""COMPUTED_VALUE"""),"Cây")</f>
        <v>Cây</v>
      </c>
      <c r="G1485" s="584" t="str">
        <f ca="1">IFERROR(__xludf.DUMMYFUNCTION("""COMPUTED_VALUE"""),"Cây 3m")</f>
        <v>Cây 3m</v>
      </c>
      <c r="H1485" s="582"/>
      <c r="I1485" s="585">
        <f ca="1">IFERROR(__xludf.DUMMYFUNCTION("""COMPUTED_VALUE"""),0.341039999999999)</f>
        <v>0.34103999999999901</v>
      </c>
      <c r="J1485" s="586" t="str">
        <f ca="1">IFERROR(__xludf.DUMMYFUNCTION("""COMPUTED_VALUE""")," 06.50 ")</f>
        <v xml:space="preserve"> 06.50 </v>
      </c>
      <c r="K1485" s="584" t="str">
        <f ca="1">IFERROR(__xludf.DUMMYFUNCTION("""COMPUTED_VALUE"""),"0.70")</f>
        <v>0.70</v>
      </c>
      <c r="L1485" s="584">
        <f ca="1">IFERROR(__xludf.DUMMYFUNCTION("""COMPUTED_VALUE"""),3)</f>
        <v>3</v>
      </c>
      <c r="M1485" s="584"/>
      <c r="N1485" s="584" t="str">
        <f ca="1">IFERROR(__xludf.DUMMYFUNCTION("""COMPUTED_VALUE"""),"Dị_D&lt;54")</f>
        <v>Dị_D&lt;54</v>
      </c>
      <c r="O1485" s="583"/>
      <c r="P1485" s="584"/>
    </row>
    <row r="1486" spans="1:16" ht="15.75">
      <c r="A1486" s="587" t="str">
        <f ca="1">IFERROR(__xludf.DUMMYFUNCTION("""COMPUTED_VALUE"""),"J-Flex")</f>
        <v>J-Flex</v>
      </c>
      <c r="B1486" s="587" t="str">
        <f ca="1">IFERROR(__xludf.DUMMYFUNCTION("""COMPUTED_VALUE"""),"ĐJFLEXCAY")</f>
        <v>ĐJFLEXCAY</v>
      </c>
      <c r="C1486" s="587" t="str">
        <f ca="1">IFERROR(__xludf.DUMMYFUNCTION("""COMPUTED_VALUE"""),"JT07000G0030")</f>
        <v>JT07000G0030</v>
      </c>
      <c r="D1486" s="588" t="str">
        <f ca="1">IFERROR(__xludf.DUMMYFUNCTION("""COMPUTED_VALUE"""),"Đồng ống thẳng J-Flex 07.00x0.60x3.0")</f>
        <v>Đồng ống thẳng J-Flex 07.00x0.60x3.0</v>
      </c>
      <c r="E1486" s="589">
        <f ca="1">IFERROR(__xludf.DUMMYFUNCTION("""COMPUTED_VALUE"""),0.1)</f>
        <v>0.1</v>
      </c>
      <c r="F1486" s="590" t="str">
        <f ca="1">IFERROR(__xludf.DUMMYFUNCTION("""COMPUTED_VALUE"""),"Cây")</f>
        <v>Cây</v>
      </c>
      <c r="G1486" s="590" t="str">
        <f ca="1">IFERROR(__xludf.DUMMYFUNCTION("""COMPUTED_VALUE"""),"Cây 3m")</f>
        <v>Cây 3m</v>
      </c>
      <c r="H1486" s="588"/>
      <c r="I1486" s="591">
        <f ca="1">IFERROR(__xludf.DUMMYFUNCTION("""COMPUTED_VALUE"""),0.32256)</f>
        <v>0.32256000000000001</v>
      </c>
      <c r="J1486" s="592" t="str">
        <f ca="1">IFERROR(__xludf.DUMMYFUNCTION("""COMPUTED_VALUE""")," 07.00 ")</f>
        <v xml:space="preserve"> 07.00 </v>
      </c>
      <c r="K1486" s="590" t="str">
        <f ca="1">IFERROR(__xludf.DUMMYFUNCTION("""COMPUTED_VALUE"""),"0.60")</f>
        <v>0.60</v>
      </c>
      <c r="L1486" s="590">
        <f ca="1">IFERROR(__xludf.DUMMYFUNCTION("""COMPUTED_VALUE"""),3)</f>
        <v>3</v>
      </c>
      <c r="M1486" s="590"/>
      <c r="N1486" s="590" t="str">
        <f ca="1">IFERROR(__xludf.DUMMYFUNCTION("""COMPUTED_VALUE"""),"Dị_D&lt;54")</f>
        <v>Dị_D&lt;54</v>
      </c>
      <c r="O1486" s="589"/>
      <c r="P1486" s="590"/>
    </row>
    <row r="1487" spans="1:16" ht="15.75">
      <c r="A1487" s="581" t="str">
        <f ca="1">IFERROR(__xludf.DUMMYFUNCTION("""COMPUTED_VALUE"""),"J-Flex")</f>
        <v>J-Flex</v>
      </c>
      <c r="B1487" s="581" t="str">
        <f ca="1">IFERROR(__xludf.DUMMYFUNCTION("""COMPUTED_VALUE"""),"ĐJFLEXCAY")</f>
        <v>ĐJFLEXCAY</v>
      </c>
      <c r="C1487" s="581" t="str">
        <f ca="1">IFERROR(__xludf.DUMMYFUNCTION("""COMPUTED_VALUE"""),"JT07500G0030")</f>
        <v>JT07500G0030</v>
      </c>
      <c r="D1487" s="582" t="str">
        <f ca="1">IFERROR(__xludf.DUMMYFUNCTION("""COMPUTED_VALUE"""),"Đồng ống thẳng J-Flex 07.50x0.60x3.0")</f>
        <v>Đồng ống thẳng J-Flex 07.50x0.60x3.0</v>
      </c>
      <c r="E1487" s="583">
        <f ca="1">IFERROR(__xludf.DUMMYFUNCTION("""COMPUTED_VALUE"""),0.1)</f>
        <v>0.1</v>
      </c>
      <c r="F1487" s="584" t="str">
        <f ca="1">IFERROR(__xludf.DUMMYFUNCTION("""COMPUTED_VALUE"""),"Cây")</f>
        <v>Cây</v>
      </c>
      <c r="G1487" s="584" t="str">
        <f ca="1">IFERROR(__xludf.DUMMYFUNCTION("""COMPUTED_VALUE"""),"Cây 3m")</f>
        <v>Cây 3m</v>
      </c>
      <c r="H1487" s="582"/>
      <c r="I1487" s="585">
        <f ca="1">IFERROR(__xludf.DUMMYFUNCTION("""COMPUTED_VALUE"""),0.347759999999999)</f>
        <v>0.34775999999999901</v>
      </c>
      <c r="J1487" s="586" t="str">
        <f ca="1">IFERROR(__xludf.DUMMYFUNCTION("""COMPUTED_VALUE""")," 07.50 ")</f>
        <v xml:space="preserve"> 07.50 </v>
      </c>
      <c r="K1487" s="584" t="str">
        <f ca="1">IFERROR(__xludf.DUMMYFUNCTION("""COMPUTED_VALUE"""),"0.60")</f>
        <v>0.60</v>
      </c>
      <c r="L1487" s="584">
        <f ca="1">IFERROR(__xludf.DUMMYFUNCTION("""COMPUTED_VALUE"""),3)</f>
        <v>3</v>
      </c>
      <c r="M1487" s="584"/>
      <c r="N1487" s="584" t="str">
        <f ca="1">IFERROR(__xludf.DUMMYFUNCTION("""COMPUTED_VALUE"""),"Dị_D&lt;54")</f>
        <v>Dị_D&lt;54</v>
      </c>
      <c r="O1487" s="583"/>
      <c r="P1487" s="584"/>
    </row>
    <row r="1488" spans="1:16" ht="15.75">
      <c r="A1488" s="587" t="str">
        <f ca="1">IFERROR(__xludf.DUMMYFUNCTION("""COMPUTED_VALUE"""),"J-Flex")</f>
        <v>J-Flex</v>
      </c>
      <c r="B1488" s="587" t="str">
        <f ca="1">IFERROR(__xludf.DUMMYFUNCTION("""COMPUTED_VALUE"""),"ĐJFLEXCAY")</f>
        <v>ĐJFLEXCAY</v>
      </c>
      <c r="C1488" s="587" t="str">
        <f ca="1">IFERROR(__xludf.DUMMYFUNCTION("""COMPUTED_VALUE"""),"JT07500I0030")</f>
        <v>JT07500I0030</v>
      </c>
      <c r="D1488" s="588" t="str">
        <f ca="1">IFERROR(__xludf.DUMMYFUNCTION("""COMPUTED_VALUE"""),"Đồng ống thẳng J-Flex 07.50x0.80x3.0")</f>
        <v>Đồng ống thẳng J-Flex 07.50x0.80x3.0</v>
      </c>
      <c r="E1488" s="589">
        <f ca="1">IFERROR(__xludf.DUMMYFUNCTION("""COMPUTED_VALUE"""),0.1)</f>
        <v>0.1</v>
      </c>
      <c r="F1488" s="590" t="str">
        <f ca="1">IFERROR(__xludf.DUMMYFUNCTION("""COMPUTED_VALUE"""),"Cây")</f>
        <v>Cây</v>
      </c>
      <c r="G1488" s="590" t="str">
        <f ca="1">IFERROR(__xludf.DUMMYFUNCTION("""COMPUTED_VALUE"""),"Cây 3m")</f>
        <v>Cây 3m</v>
      </c>
      <c r="H1488" s="588"/>
      <c r="I1488" s="591">
        <f ca="1">IFERROR(__xludf.DUMMYFUNCTION("""COMPUTED_VALUE"""),0.45024)</f>
        <v>0.45023999999999997</v>
      </c>
      <c r="J1488" s="592" t="str">
        <f ca="1">IFERROR(__xludf.DUMMYFUNCTION("""COMPUTED_VALUE""")," 07.50 ")</f>
        <v xml:space="preserve"> 07.50 </v>
      </c>
      <c r="K1488" s="590" t="str">
        <f ca="1">IFERROR(__xludf.DUMMYFUNCTION("""COMPUTED_VALUE"""),"0.80")</f>
        <v>0.80</v>
      </c>
      <c r="L1488" s="590">
        <f ca="1">IFERROR(__xludf.DUMMYFUNCTION("""COMPUTED_VALUE"""),3)</f>
        <v>3</v>
      </c>
      <c r="M1488" s="590"/>
      <c r="N1488" s="590" t="str">
        <f ca="1">IFERROR(__xludf.DUMMYFUNCTION("""COMPUTED_VALUE"""),"Dị_D&lt;54")</f>
        <v>Dị_D&lt;54</v>
      </c>
      <c r="O1488" s="589"/>
      <c r="P1488" s="590"/>
    </row>
    <row r="1489" spans="1:16" ht="15.75">
      <c r="A1489" s="581" t="str">
        <f ca="1">IFERROR(__xludf.DUMMYFUNCTION("""COMPUTED_VALUE"""),"J-Flex")</f>
        <v>J-Flex</v>
      </c>
      <c r="B1489" s="581" t="str">
        <f ca="1">IFERROR(__xludf.DUMMYFUNCTION("""COMPUTED_VALUE"""),"ĐJFLEXCAY")</f>
        <v>ĐJFLEXCAY</v>
      </c>
      <c r="C1489" s="581" t="str">
        <f ca="1">IFERROR(__xludf.DUMMYFUNCTION("""COMPUTED_VALUE"""),"JT08500GI030")</f>
        <v>JT08500GI030</v>
      </c>
      <c r="D1489" s="582" t="str">
        <f ca="1">IFERROR(__xludf.DUMMYFUNCTION("""COMPUTED_VALUE"""),"Đồng ống thẳng J-Flex 08.50x0.68x3.0")</f>
        <v>Đồng ống thẳng J-Flex 08.50x0.68x3.0</v>
      </c>
      <c r="E1489" s="583">
        <f ca="1">IFERROR(__xludf.DUMMYFUNCTION("""COMPUTED_VALUE"""),0.1)</f>
        <v>0.1</v>
      </c>
      <c r="F1489" s="584" t="str">
        <f ca="1">IFERROR(__xludf.DUMMYFUNCTION("""COMPUTED_VALUE"""),"Cây")</f>
        <v>Cây</v>
      </c>
      <c r="G1489" s="584" t="str">
        <f ca="1">IFERROR(__xludf.DUMMYFUNCTION("""COMPUTED_VALUE"""),"Cây 3m")</f>
        <v>Cây 3m</v>
      </c>
      <c r="H1489" s="582"/>
      <c r="I1489" s="585">
        <f ca="1">IFERROR(__xludf.DUMMYFUNCTION("""COMPUTED_VALUE"""),0.4466784)</f>
        <v>0.44667839999999998</v>
      </c>
      <c r="J1489" s="586" t="str">
        <f ca="1">IFERROR(__xludf.DUMMYFUNCTION("""COMPUTED_VALUE""")," 08.50 ")</f>
        <v xml:space="preserve"> 08.50 </v>
      </c>
      <c r="K1489" s="584" t="str">
        <f ca="1">IFERROR(__xludf.DUMMYFUNCTION("""COMPUTED_VALUE"""),"0.68")</f>
        <v>0.68</v>
      </c>
      <c r="L1489" s="584">
        <f ca="1">IFERROR(__xludf.DUMMYFUNCTION("""COMPUTED_VALUE"""),3)</f>
        <v>3</v>
      </c>
      <c r="M1489" s="584"/>
      <c r="N1489" s="584" t="str">
        <f ca="1">IFERROR(__xludf.DUMMYFUNCTION("""COMPUTED_VALUE"""),"Dị_D&lt;54")</f>
        <v>Dị_D&lt;54</v>
      </c>
      <c r="O1489" s="583"/>
      <c r="P1489" s="584"/>
    </row>
    <row r="1490" spans="1:16" ht="15.75">
      <c r="A1490" s="587" t="str">
        <f ca="1">IFERROR(__xludf.DUMMYFUNCTION("""COMPUTED_VALUE"""),"J-Flex")</f>
        <v>J-Flex</v>
      </c>
      <c r="B1490" s="587" t="str">
        <f ca="1">IFERROR(__xludf.DUMMYFUNCTION("""COMPUTED_VALUE"""),"ĐJFLEXCAY")</f>
        <v>ĐJFLEXCAY</v>
      </c>
      <c r="C1490" s="587" t="str">
        <f ca="1">IFERROR(__xludf.DUMMYFUNCTION("""COMPUTED_VALUE"""),"JT09000GA030")</f>
        <v>JT09000GA030</v>
      </c>
      <c r="D1490" s="588" t="str">
        <f ca="1">IFERROR(__xludf.DUMMYFUNCTION("""COMPUTED_VALUE"""),"Đồng ống thẳng J-Flex 09.00x0.61x3.0")</f>
        <v>Đồng ống thẳng J-Flex 09.00x0.61x3.0</v>
      </c>
      <c r="E1490" s="589">
        <f ca="1">IFERROR(__xludf.DUMMYFUNCTION("""COMPUTED_VALUE"""),0.1)</f>
        <v>0.1</v>
      </c>
      <c r="F1490" s="590" t="str">
        <f ca="1">IFERROR(__xludf.DUMMYFUNCTION("""COMPUTED_VALUE"""),"Cây")</f>
        <v>Cây</v>
      </c>
      <c r="G1490" s="590" t="str">
        <f ca="1">IFERROR(__xludf.DUMMYFUNCTION("""COMPUTED_VALUE"""),"Cây 3m")</f>
        <v>Cây 3m</v>
      </c>
      <c r="H1490" s="588"/>
      <c r="I1490" s="591">
        <f ca="1">IFERROR(__xludf.DUMMYFUNCTION("""COMPUTED_VALUE"""),0.4299036)</f>
        <v>0.4299036</v>
      </c>
      <c r="J1490" s="592" t="str">
        <f ca="1">IFERROR(__xludf.DUMMYFUNCTION("""COMPUTED_VALUE""")," 09.00 ")</f>
        <v xml:space="preserve"> 09.00 </v>
      </c>
      <c r="K1490" s="590" t="str">
        <f ca="1">IFERROR(__xludf.DUMMYFUNCTION("""COMPUTED_VALUE"""),"0.61")</f>
        <v>0.61</v>
      </c>
      <c r="L1490" s="590">
        <f ca="1">IFERROR(__xludf.DUMMYFUNCTION("""COMPUTED_VALUE"""),3)</f>
        <v>3</v>
      </c>
      <c r="M1490" s="590"/>
      <c r="N1490" s="590" t="str">
        <f ca="1">IFERROR(__xludf.DUMMYFUNCTION("""COMPUTED_VALUE"""),"Dị_D&lt;54")</f>
        <v>Dị_D&lt;54</v>
      </c>
      <c r="O1490" s="589"/>
      <c r="P1490" s="590"/>
    </row>
    <row r="1491" spans="1:16" ht="15.75">
      <c r="A1491" s="581" t="str">
        <f ca="1">IFERROR(__xludf.DUMMYFUNCTION("""COMPUTED_VALUE"""),"J-Flex")</f>
        <v>J-Flex</v>
      </c>
      <c r="B1491" s="581" t="str">
        <f ca="1">IFERROR(__xludf.DUMMYFUNCTION("""COMPUTED_VALUE"""),"ĐJFLEXCAY")</f>
        <v>ĐJFLEXCAY</v>
      </c>
      <c r="C1491" s="581" t="str">
        <f ca="1">IFERROR(__xludf.DUMMYFUNCTION("""COMPUTED_VALUE"""),"JT09000HA030")</f>
        <v>JT09000HA030</v>
      </c>
      <c r="D1491" s="582" t="str">
        <f ca="1">IFERROR(__xludf.DUMMYFUNCTION("""COMPUTED_VALUE"""),"Đồng ống thẳng J-Flex 09.00x0.71x3.0")</f>
        <v>Đồng ống thẳng J-Flex 09.00x0.71x3.0</v>
      </c>
      <c r="E1491" s="583">
        <f ca="1">IFERROR(__xludf.DUMMYFUNCTION("""COMPUTED_VALUE"""),0.1)</f>
        <v>0.1</v>
      </c>
      <c r="F1491" s="584" t="str">
        <f ca="1">IFERROR(__xludf.DUMMYFUNCTION("""COMPUTED_VALUE"""),"Cây")</f>
        <v>Cây</v>
      </c>
      <c r="G1491" s="584" t="str">
        <f ca="1">IFERROR(__xludf.DUMMYFUNCTION("""COMPUTED_VALUE"""),"Cây 3m")</f>
        <v>Cây 3m</v>
      </c>
      <c r="H1491" s="582"/>
      <c r="I1491" s="585">
        <f ca="1">IFERROR(__xludf.DUMMYFUNCTION("""COMPUTED_VALUE"""),0.494415599999999)</f>
        <v>0.49441559999999901</v>
      </c>
      <c r="J1491" s="586" t="str">
        <f ca="1">IFERROR(__xludf.DUMMYFUNCTION("""COMPUTED_VALUE""")," 09.00 ")</f>
        <v xml:space="preserve"> 09.00 </v>
      </c>
      <c r="K1491" s="584" t="str">
        <f ca="1">IFERROR(__xludf.DUMMYFUNCTION("""COMPUTED_VALUE"""),"0.71")</f>
        <v>0.71</v>
      </c>
      <c r="L1491" s="584">
        <f ca="1">IFERROR(__xludf.DUMMYFUNCTION("""COMPUTED_VALUE"""),3)</f>
        <v>3</v>
      </c>
      <c r="M1491" s="584"/>
      <c r="N1491" s="584" t="str">
        <f ca="1">IFERROR(__xludf.DUMMYFUNCTION("""COMPUTED_VALUE"""),"Dị_D&lt;54")</f>
        <v>Dị_D&lt;54</v>
      </c>
      <c r="O1491" s="583"/>
      <c r="P1491" s="584"/>
    </row>
    <row r="1492" spans="1:16" ht="15.75">
      <c r="A1492" s="587" t="str">
        <f ca="1">IFERROR(__xludf.DUMMYFUNCTION("""COMPUTED_VALUE"""),"J-Flex")</f>
        <v>J-Flex</v>
      </c>
      <c r="B1492" s="587" t="str">
        <f ca="1">IFERROR(__xludf.DUMMYFUNCTION("""COMPUTED_VALUE"""),"ĐJFLEXCAY")</f>
        <v>ĐJFLEXCAY</v>
      </c>
      <c r="C1492" s="587" t="str">
        <f ca="1">IFERROR(__xludf.DUMMYFUNCTION("""COMPUTED_VALUE"""),"JT09000I0030")</f>
        <v>JT09000I0030</v>
      </c>
      <c r="D1492" s="588" t="str">
        <f ca="1">IFERROR(__xludf.DUMMYFUNCTION("""COMPUTED_VALUE"""),"Đồng ống thẳng J-Flex 09.00x0.80x3.0")</f>
        <v>Đồng ống thẳng J-Flex 09.00x0.80x3.0</v>
      </c>
      <c r="E1492" s="589">
        <f ca="1">IFERROR(__xludf.DUMMYFUNCTION("""COMPUTED_VALUE"""),0.1)</f>
        <v>0.1</v>
      </c>
      <c r="F1492" s="590" t="str">
        <f ca="1">IFERROR(__xludf.DUMMYFUNCTION("""COMPUTED_VALUE"""),"Cây")</f>
        <v>Cây</v>
      </c>
      <c r="G1492" s="590" t="str">
        <f ca="1">IFERROR(__xludf.DUMMYFUNCTION("""COMPUTED_VALUE"""),"Cây 3m")</f>
        <v>Cây 3m</v>
      </c>
      <c r="H1492" s="588"/>
      <c r="I1492" s="591">
        <f ca="1">IFERROR(__xludf.DUMMYFUNCTION("""COMPUTED_VALUE"""),0.55104)</f>
        <v>0.55103999999999997</v>
      </c>
      <c r="J1492" s="592" t="str">
        <f ca="1">IFERROR(__xludf.DUMMYFUNCTION("""COMPUTED_VALUE""")," 09.00 ")</f>
        <v xml:space="preserve"> 09.00 </v>
      </c>
      <c r="K1492" s="590" t="str">
        <f ca="1">IFERROR(__xludf.DUMMYFUNCTION("""COMPUTED_VALUE"""),"0.80")</f>
        <v>0.80</v>
      </c>
      <c r="L1492" s="590">
        <f ca="1">IFERROR(__xludf.DUMMYFUNCTION("""COMPUTED_VALUE"""),3)</f>
        <v>3</v>
      </c>
      <c r="M1492" s="590"/>
      <c r="N1492" s="590" t="str">
        <f ca="1">IFERROR(__xludf.DUMMYFUNCTION("""COMPUTED_VALUE"""),"Dị_D&lt;54")</f>
        <v>Dị_D&lt;54</v>
      </c>
      <c r="O1492" s="589"/>
      <c r="P1492" s="590"/>
    </row>
    <row r="1493" spans="1:16" ht="15.75">
      <c r="A1493" s="581" t="str">
        <f ca="1">IFERROR(__xludf.DUMMYFUNCTION("""COMPUTED_VALUE"""),"J-Flex")</f>
        <v>J-Flex</v>
      </c>
      <c r="B1493" s="581" t="str">
        <f ca="1">IFERROR(__xludf.DUMMYFUNCTION("""COMPUTED_VALUE"""),"ĐJFLEXCAY")</f>
        <v>ĐJFLEXCAY</v>
      </c>
      <c r="C1493" s="581" t="str">
        <f ca="1">IFERROR(__xludf.DUMMYFUNCTION("""COMPUTED_VALUE"""),"JT0900A00030")</f>
        <v>JT0900A00030</v>
      </c>
      <c r="D1493" s="582" t="str">
        <f ca="1">IFERROR(__xludf.DUMMYFUNCTION("""COMPUTED_VALUE"""),"Đồng ống thẳng J-Flex 09.00x1.00x3.0")</f>
        <v>Đồng ống thẳng J-Flex 09.00x1.00x3.0</v>
      </c>
      <c r="E1493" s="583">
        <f ca="1">IFERROR(__xludf.DUMMYFUNCTION("""COMPUTED_VALUE"""),0.1)</f>
        <v>0.1</v>
      </c>
      <c r="F1493" s="584" t="str">
        <f ca="1">IFERROR(__xludf.DUMMYFUNCTION("""COMPUTED_VALUE"""),"Cây")</f>
        <v>Cây</v>
      </c>
      <c r="G1493" s="584" t="str">
        <f ca="1">IFERROR(__xludf.DUMMYFUNCTION("""COMPUTED_VALUE"""),"Cây 3m")</f>
        <v>Cây 3m</v>
      </c>
      <c r="H1493" s="582"/>
      <c r="I1493" s="585">
        <f ca="1">IFERROR(__xludf.DUMMYFUNCTION("""COMPUTED_VALUE"""),0.672)</f>
        <v>0.67200000000000004</v>
      </c>
      <c r="J1493" s="586" t="str">
        <f ca="1">IFERROR(__xludf.DUMMYFUNCTION("""COMPUTED_VALUE""")," 09.00 ")</f>
        <v xml:space="preserve"> 09.00 </v>
      </c>
      <c r="K1493" s="584" t="str">
        <f ca="1">IFERROR(__xludf.DUMMYFUNCTION("""COMPUTED_VALUE"""),"1.00")</f>
        <v>1.00</v>
      </c>
      <c r="L1493" s="584">
        <f ca="1">IFERROR(__xludf.DUMMYFUNCTION("""COMPUTED_VALUE"""),3)</f>
        <v>3</v>
      </c>
      <c r="M1493" s="584"/>
      <c r="N1493" s="584" t="str">
        <f ca="1">IFERROR(__xludf.DUMMYFUNCTION("""COMPUTED_VALUE"""),"Dị_D&lt;54")</f>
        <v>Dị_D&lt;54</v>
      </c>
      <c r="O1493" s="583"/>
      <c r="P1493" s="584"/>
    </row>
    <row r="1494" spans="1:16" ht="15.75">
      <c r="A1494" s="587" t="str">
        <f ca="1">IFERROR(__xludf.DUMMYFUNCTION("""COMPUTED_VALUE"""),"J-Flex")</f>
        <v>J-Flex</v>
      </c>
      <c r="B1494" s="587" t="str">
        <f ca="1">IFERROR(__xludf.DUMMYFUNCTION("""COMPUTED_VALUE"""),"ĐJFLEXCAY")</f>
        <v>ĐJFLEXCAY</v>
      </c>
      <c r="C1494" s="587" t="str">
        <f ca="1">IFERROR(__xludf.DUMMYFUNCTION("""COMPUTED_VALUE"""),"JT09500HI030")</f>
        <v>JT09500HI030</v>
      </c>
      <c r="D1494" s="588" t="str">
        <f ca="1">IFERROR(__xludf.DUMMYFUNCTION("""COMPUTED_VALUE"""),"Đồng ống thẳng J-Flex 09.50x0.78x3.0")</f>
        <v>Đồng ống thẳng J-Flex 09.50x0.78x3.0</v>
      </c>
      <c r="E1494" s="589">
        <f ca="1">IFERROR(__xludf.DUMMYFUNCTION("""COMPUTED_VALUE"""),0.1)</f>
        <v>0.1</v>
      </c>
      <c r="F1494" s="590" t="str">
        <f ca="1">IFERROR(__xludf.DUMMYFUNCTION("""COMPUTED_VALUE"""),"Cây")</f>
        <v>Cây</v>
      </c>
      <c r="G1494" s="590" t="str">
        <f ca="1">IFERROR(__xludf.DUMMYFUNCTION("""COMPUTED_VALUE"""),"Cây 3m")</f>
        <v>Cây 3m</v>
      </c>
      <c r="H1494" s="588"/>
      <c r="I1494" s="591">
        <f ca="1">IFERROR(__xludf.DUMMYFUNCTION("""COMPUTED_VALUE"""),0.5713344)</f>
        <v>0.57133440000000002</v>
      </c>
      <c r="J1494" s="592" t="str">
        <f ca="1">IFERROR(__xludf.DUMMYFUNCTION("""COMPUTED_VALUE""")," 09.50 ")</f>
        <v xml:space="preserve"> 09.50 </v>
      </c>
      <c r="K1494" s="590" t="str">
        <f ca="1">IFERROR(__xludf.DUMMYFUNCTION("""COMPUTED_VALUE"""),"0.78")</f>
        <v>0.78</v>
      </c>
      <c r="L1494" s="590">
        <f ca="1">IFERROR(__xludf.DUMMYFUNCTION("""COMPUTED_VALUE"""),3)</f>
        <v>3</v>
      </c>
      <c r="M1494" s="590"/>
      <c r="N1494" s="590" t="str">
        <f ca="1">IFERROR(__xludf.DUMMYFUNCTION("""COMPUTED_VALUE"""),"Dị_D&lt;54")</f>
        <v>Dị_D&lt;54</v>
      </c>
      <c r="O1494" s="589"/>
      <c r="P1494" s="590"/>
    </row>
    <row r="1495" spans="1:16" ht="15.75">
      <c r="A1495" s="581" t="str">
        <f ca="1">IFERROR(__xludf.DUMMYFUNCTION("""COMPUTED_VALUE"""),"J-Flex")</f>
        <v>J-Flex</v>
      </c>
      <c r="B1495" s="581" t="str">
        <f ca="1">IFERROR(__xludf.DUMMYFUNCTION("""COMPUTED_VALUE"""),"ĐJFLEXCAY")</f>
        <v>ĐJFLEXCAY</v>
      </c>
      <c r="C1495" s="581" t="str">
        <f ca="1">IFERROR(__xludf.DUMMYFUNCTION("""COMPUTED_VALUE"""),"JT09500IA030")</f>
        <v>JT09500IA030</v>
      </c>
      <c r="D1495" s="582" t="str">
        <f ca="1">IFERROR(__xludf.DUMMYFUNCTION("""COMPUTED_VALUE"""),"Đồng ống thẳng J-Flex 09.50x0.81x3.0")</f>
        <v>Đồng ống thẳng J-Flex 09.50x0.81x3.0</v>
      </c>
      <c r="E1495" s="583">
        <f ca="1">IFERROR(__xludf.DUMMYFUNCTION("""COMPUTED_VALUE"""),0.1)</f>
        <v>0.1</v>
      </c>
      <c r="F1495" s="584" t="str">
        <f ca="1">IFERROR(__xludf.DUMMYFUNCTION("""COMPUTED_VALUE"""),"Cây")</f>
        <v>Cây</v>
      </c>
      <c r="G1495" s="584" t="str">
        <f ca="1">IFERROR(__xludf.DUMMYFUNCTION("""COMPUTED_VALUE"""),"Cây 3m")</f>
        <v>Cây 3m</v>
      </c>
      <c r="H1495" s="582"/>
      <c r="I1495" s="585">
        <f ca="1">IFERROR(__xludf.DUMMYFUNCTION("""COMPUTED_VALUE"""),0.58464)</f>
        <v>0.58464000000000005</v>
      </c>
      <c r="J1495" s="586" t="str">
        <f ca="1">IFERROR(__xludf.DUMMYFUNCTION("""COMPUTED_VALUE""")," 09.50 ")</f>
        <v xml:space="preserve"> 09.50 </v>
      </c>
      <c r="K1495" s="584" t="str">
        <f ca="1">IFERROR(__xludf.DUMMYFUNCTION("""COMPUTED_VALUE"""),"0.80")</f>
        <v>0.80</v>
      </c>
      <c r="L1495" s="584">
        <f ca="1">IFERROR(__xludf.DUMMYFUNCTION("""COMPUTED_VALUE"""),3)</f>
        <v>3</v>
      </c>
      <c r="M1495" s="584"/>
      <c r="N1495" s="584" t="str">
        <f ca="1">IFERROR(__xludf.DUMMYFUNCTION("""COMPUTED_VALUE"""),"Dị_D&lt;54")</f>
        <v>Dị_D&lt;54</v>
      </c>
      <c r="O1495" s="583"/>
      <c r="P1495" s="584"/>
    </row>
    <row r="1496" spans="1:16" ht="15.75">
      <c r="A1496" s="587" t="str">
        <f ca="1">IFERROR(__xludf.DUMMYFUNCTION("""COMPUTED_VALUE"""),"J-Flex")</f>
        <v>J-Flex</v>
      </c>
      <c r="B1496" s="587" t="str">
        <f ca="1">IFERROR(__xludf.DUMMYFUNCTION("""COMPUTED_VALUE"""),"ĐJFLEXCAY")</f>
        <v>ĐJFLEXCAY</v>
      </c>
      <c r="C1496" s="587" t="str">
        <f ca="1">IFERROR(__xludf.DUMMYFUNCTION("""COMPUTED_VALUE"""),"JT09600GE030")</f>
        <v>JT09600GE030</v>
      </c>
      <c r="D1496" s="588" t="str">
        <f ca="1">IFERROR(__xludf.DUMMYFUNCTION("""COMPUTED_VALUE"""),"Đồng ống thẳng J-Flex 09.60x0.65x3.0")</f>
        <v>Đồng ống thẳng J-Flex 09.60x0.65x3.0</v>
      </c>
      <c r="E1496" s="589">
        <f ca="1">IFERROR(__xludf.DUMMYFUNCTION("""COMPUTED_VALUE"""),0.1)</f>
        <v>0.1</v>
      </c>
      <c r="F1496" s="590" t="str">
        <f ca="1">IFERROR(__xludf.DUMMYFUNCTION("""COMPUTED_VALUE"""),"Cây")</f>
        <v>Cây</v>
      </c>
      <c r="G1496" s="590" t="str">
        <f ca="1">IFERROR(__xludf.DUMMYFUNCTION("""COMPUTED_VALUE"""),"Cây 3m")</f>
        <v>Cây 3m</v>
      </c>
      <c r="H1496" s="588"/>
      <c r="I1496" s="591">
        <f ca="1">IFERROR(__xludf.DUMMYFUNCTION("""COMPUTED_VALUE"""),0.48867)</f>
        <v>0.48866999999999999</v>
      </c>
      <c r="J1496" s="592" t="str">
        <f ca="1">IFERROR(__xludf.DUMMYFUNCTION("""COMPUTED_VALUE""")," 09.60 ")</f>
        <v xml:space="preserve"> 09.60 </v>
      </c>
      <c r="K1496" s="590" t="str">
        <f ca="1">IFERROR(__xludf.DUMMYFUNCTION("""COMPUTED_VALUE"""),"0.65")</f>
        <v>0.65</v>
      </c>
      <c r="L1496" s="590">
        <f ca="1">IFERROR(__xludf.DUMMYFUNCTION("""COMPUTED_VALUE"""),3)</f>
        <v>3</v>
      </c>
      <c r="M1496" s="590"/>
      <c r="N1496" s="590" t="str">
        <f ca="1">IFERROR(__xludf.DUMMYFUNCTION("""COMPUTED_VALUE"""),"Dị_D&lt;54")</f>
        <v>Dị_D&lt;54</v>
      </c>
      <c r="O1496" s="589"/>
      <c r="P1496" s="590"/>
    </row>
    <row r="1497" spans="1:16" ht="15.75">
      <c r="A1497" s="581" t="str">
        <f ca="1">IFERROR(__xludf.DUMMYFUNCTION("""COMPUTED_VALUE"""),"J-Flex")</f>
        <v>J-Flex</v>
      </c>
      <c r="B1497" s="581" t="str">
        <f ca="1">IFERROR(__xludf.DUMMYFUNCTION("""COMPUTED_VALUE"""),"ĐJFLEXCAY")</f>
        <v>ĐJFLEXCAY</v>
      </c>
      <c r="C1497" s="581" t="str">
        <f ca="1">IFERROR(__xludf.DUMMYFUNCTION("""COMPUTED_VALUE"""),"JT10000I002115")</f>
        <v>JT10000I002115</v>
      </c>
      <c r="D1497" s="582" t="str">
        <f ca="1">IFERROR(__xludf.DUMMYFUNCTION("""COMPUTED_VALUE"""),"Đồng ống thẳng J-Flex 10.00x0.80x2.115")</f>
        <v>Đồng ống thẳng J-Flex 10.00x0.80x2.115</v>
      </c>
      <c r="E1497" s="583">
        <f ca="1">IFERROR(__xludf.DUMMYFUNCTION("""COMPUTED_VALUE"""),0.1)</f>
        <v>0.1</v>
      </c>
      <c r="F1497" s="584" t="str">
        <f ca="1">IFERROR(__xludf.DUMMYFUNCTION("""COMPUTED_VALUE"""),"Cây")</f>
        <v>Cây</v>
      </c>
      <c r="G1497" s="584" t="str">
        <f ca="1">IFERROR(__xludf.DUMMYFUNCTION("""COMPUTED_VALUE"""),"Cây 2.115m")</f>
        <v>Cây 2.115m</v>
      </c>
      <c r="H1497" s="582"/>
      <c r="I1497" s="585">
        <f ca="1">IFERROR(__xludf.DUMMYFUNCTION("""COMPUTED_VALUE"""),0.4358592)</f>
        <v>0.4358592</v>
      </c>
      <c r="J1497" s="586" t="str">
        <f ca="1">IFERROR(__xludf.DUMMYFUNCTION("""COMPUTED_VALUE""")," 10.00 ")</f>
        <v xml:space="preserve"> 10.00 </v>
      </c>
      <c r="K1497" s="584" t="str">
        <f ca="1">IFERROR(__xludf.DUMMYFUNCTION("""COMPUTED_VALUE"""),"0.80")</f>
        <v>0.80</v>
      </c>
      <c r="L1497" s="584">
        <f ca="1">IFERROR(__xludf.DUMMYFUNCTION("""COMPUTED_VALUE"""),2.115)</f>
        <v>2.1150000000000002</v>
      </c>
      <c r="M1497" s="584"/>
      <c r="N1497" s="584" t="str">
        <f ca="1">IFERROR(__xludf.DUMMYFUNCTION("""COMPUTED_VALUE"""),"Dị_D&lt;54")</f>
        <v>Dị_D&lt;54</v>
      </c>
      <c r="O1497" s="583"/>
      <c r="P1497" s="584"/>
    </row>
    <row r="1498" spans="1:16" ht="15.75">
      <c r="A1498" s="587" t="str">
        <f ca="1">IFERROR(__xludf.DUMMYFUNCTION("""COMPUTED_VALUE"""),"J-Flex")</f>
        <v>J-Flex</v>
      </c>
      <c r="B1498" s="587" t="str">
        <f ca="1">IFERROR(__xludf.DUMMYFUNCTION("""COMPUTED_VALUE"""),"ĐJFLEXCAY")</f>
        <v>ĐJFLEXCAY</v>
      </c>
      <c r="C1498" s="587" t="str">
        <f ca="1">IFERROR(__xludf.DUMMYFUNCTION("""COMPUTED_VALUE"""),"JT10000I0030")</f>
        <v>JT10000I0030</v>
      </c>
      <c r="D1498" s="588" t="str">
        <f ca="1">IFERROR(__xludf.DUMMYFUNCTION("""COMPUTED_VALUE"""),"Đồng ống thẳng J-Flex 10.00x0.80x3.0")</f>
        <v>Đồng ống thẳng J-Flex 10.00x0.80x3.0</v>
      </c>
      <c r="E1498" s="589">
        <f ca="1">IFERROR(__xludf.DUMMYFUNCTION("""COMPUTED_VALUE"""),0.1)</f>
        <v>0.1</v>
      </c>
      <c r="F1498" s="590" t="str">
        <f ca="1">IFERROR(__xludf.DUMMYFUNCTION("""COMPUTED_VALUE"""),"Cây")</f>
        <v>Cây</v>
      </c>
      <c r="G1498" s="590" t="str">
        <f ca="1">IFERROR(__xludf.DUMMYFUNCTION("""COMPUTED_VALUE"""),"Cây 3m")</f>
        <v>Cây 3m</v>
      </c>
      <c r="H1498" s="588"/>
      <c r="I1498" s="591">
        <f ca="1">IFERROR(__xludf.DUMMYFUNCTION("""COMPUTED_VALUE"""),0.618239999999999)</f>
        <v>0.61823999999999901</v>
      </c>
      <c r="J1498" s="592" t="str">
        <f ca="1">IFERROR(__xludf.DUMMYFUNCTION("""COMPUTED_VALUE""")," 10.00 ")</f>
        <v xml:space="preserve"> 10.00 </v>
      </c>
      <c r="K1498" s="590" t="str">
        <f ca="1">IFERROR(__xludf.DUMMYFUNCTION("""COMPUTED_VALUE"""),"0.80")</f>
        <v>0.80</v>
      </c>
      <c r="L1498" s="590">
        <f ca="1">IFERROR(__xludf.DUMMYFUNCTION("""COMPUTED_VALUE"""),3)</f>
        <v>3</v>
      </c>
      <c r="M1498" s="590"/>
      <c r="N1498" s="590" t="str">
        <f ca="1">IFERROR(__xludf.DUMMYFUNCTION("""COMPUTED_VALUE"""),"Dị_D&lt;54")</f>
        <v>Dị_D&lt;54</v>
      </c>
      <c r="O1498" s="589"/>
      <c r="P1498" s="590"/>
    </row>
    <row r="1499" spans="1:16" ht="15.75">
      <c r="A1499" s="581" t="str">
        <f ca="1">IFERROR(__xludf.DUMMYFUNCTION("""COMPUTED_VALUE"""),"J-Flex")</f>
        <v>J-Flex</v>
      </c>
      <c r="B1499" s="581" t="str">
        <f ca="1">IFERROR(__xludf.DUMMYFUNCTION("""COMPUTED_VALUE"""),"ĐJFLEXCAY")</f>
        <v>ĐJFLEXCAY</v>
      </c>
      <c r="C1499" s="581" t="str">
        <f ca="1">IFERROR(__xludf.DUMMYFUNCTION("""COMPUTED_VALUE"""),"JT10000IE030")</f>
        <v>JT10000IE030</v>
      </c>
      <c r="D1499" s="582" t="str">
        <f ca="1">IFERROR(__xludf.DUMMYFUNCTION("""COMPUTED_VALUE"""),"Đồng ống thẳng J-Flex 10.00x0.85x3.0")</f>
        <v>Đồng ống thẳng J-Flex 10.00x0.85x3.0</v>
      </c>
      <c r="E1499" s="583">
        <f ca="1">IFERROR(__xludf.DUMMYFUNCTION("""COMPUTED_VALUE"""),0.1)</f>
        <v>0.1</v>
      </c>
      <c r="F1499" s="584" t="str">
        <f ca="1">IFERROR(__xludf.DUMMYFUNCTION("""COMPUTED_VALUE"""),"Cây")</f>
        <v>Cây</v>
      </c>
      <c r="G1499" s="584" t="str">
        <f ca="1">IFERROR(__xludf.DUMMYFUNCTION("""COMPUTED_VALUE"""),"Cây 3m")</f>
        <v>Cây 3m</v>
      </c>
      <c r="H1499" s="582"/>
      <c r="I1499" s="585">
        <f ca="1">IFERROR(__xludf.DUMMYFUNCTION("""COMPUTED_VALUE"""),0.65331)</f>
        <v>0.65330999999999995</v>
      </c>
      <c r="J1499" s="586" t="str">
        <f ca="1">IFERROR(__xludf.DUMMYFUNCTION("""COMPUTED_VALUE""")," 10.00 ")</f>
        <v xml:space="preserve"> 10.00 </v>
      </c>
      <c r="K1499" s="584" t="str">
        <f ca="1">IFERROR(__xludf.DUMMYFUNCTION("""COMPUTED_VALUE"""),"0.85")</f>
        <v>0.85</v>
      </c>
      <c r="L1499" s="584">
        <f ca="1">IFERROR(__xludf.DUMMYFUNCTION("""COMPUTED_VALUE"""),3)</f>
        <v>3</v>
      </c>
      <c r="M1499" s="584"/>
      <c r="N1499" s="584" t="str">
        <f ca="1">IFERROR(__xludf.DUMMYFUNCTION("""COMPUTED_VALUE"""),"Dị_D&lt;54")</f>
        <v>Dị_D&lt;54</v>
      </c>
      <c r="O1499" s="583"/>
      <c r="P1499" s="584"/>
    </row>
    <row r="1500" spans="1:16" ht="15.75">
      <c r="A1500" s="587" t="str">
        <f ca="1">IFERROR(__xludf.DUMMYFUNCTION("""COMPUTED_VALUE"""),"J-Flex")</f>
        <v>J-Flex</v>
      </c>
      <c r="B1500" s="587" t="str">
        <f ca="1">IFERROR(__xludf.DUMMYFUNCTION("""COMPUTED_VALUE"""),"ĐJFLEXCAY")</f>
        <v>ĐJFLEXCAY</v>
      </c>
      <c r="C1500" s="587" t="str">
        <f ca="1">IFERROR(__xludf.DUMMYFUNCTION("""COMPUTED_VALUE"""),"JT1050AA0030")</f>
        <v>JT1050AA0030</v>
      </c>
      <c r="D1500" s="588" t="str">
        <f ca="1">IFERROR(__xludf.DUMMYFUNCTION("""COMPUTED_VALUE"""),"Đồng ống thẳng J-Flex 10.50x1.10x3.0")</f>
        <v>Đồng ống thẳng J-Flex 10.50x1.10x3.0</v>
      </c>
      <c r="E1500" s="589">
        <f ca="1">IFERROR(__xludf.DUMMYFUNCTION("""COMPUTED_VALUE"""),0.1)</f>
        <v>0.1</v>
      </c>
      <c r="F1500" s="590" t="str">
        <f ca="1">IFERROR(__xludf.DUMMYFUNCTION("""COMPUTED_VALUE"""),"Cây")</f>
        <v>Cây</v>
      </c>
      <c r="G1500" s="590" t="str">
        <f ca="1">IFERROR(__xludf.DUMMYFUNCTION("""COMPUTED_VALUE"""),"Cây 3m")</f>
        <v>Cây 3m</v>
      </c>
      <c r="H1500" s="588"/>
      <c r="I1500" s="591">
        <f ca="1">IFERROR(__xludf.DUMMYFUNCTION("""COMPUTED_VALUE"""),0.86856)</f>
        <v>0.86856</v>
      </c>
      <c r="J1500" s="592" t="str">
        <f ca="1">IFERROR(__xludf.DUMMYFUNCTION("""COMPUTED_VALUE""")," 10.50 ")</f>
        <v xml:space="preserve"> 10.50 </v>
      </c>
      <c r="K1500" s="590" t="str">
        <f ca="1">IFERROR(__xludf.DUMMYFUNCTION("""COMPUTED_VALUE"""),"1.10")</f>
        <v>1.10</v>
      </c>
      <c r="L1500" s="590">
        <f ca="1">IFERROR(__xludf.DUMMYFUNCTION("""COMPUTED_VALUE"""),3)</f>
        <v>3</v>
      </c>
      <c r="M1500" s="590"/>
      <c r="N1500" s="590" t="str">
        <f ca="1">IFERROR(__xludf.DUMMYFUNCTION("""COMPUTED_VALUE"""),"Dị_D&lt;54")</f>
        <v>Dị_D&lt;54</v>
      </c>
      <c r="O1500" s="589"/>
      <c r="P1500" s="590"/>
    </row>
    <row r="1501" spans="1:16" ht="15.75">
      <c r="A1501" s="581" t="str">
        <f ca="1">IFERROR(__xludf.DUMMYFUNCTION("""COMPUTED_VALUE"""),"J-Flex")</f>
        <v>J-Flex</v>
      </c>
      <c r="B1501" s="581" t="str">
        <f ca="1">IFERROR(__xludf.DUMMYFUNCTION("""COMPUTED_VALUE"""),"ĐJFLEXCAY")</f>
        <v>ĐJFLEXCAY</v>
      </c>
      <c r="C1501" s="581" t="str">
        <f ca="1">IFERROR(__xludf.DUMMYFUNCTION("""COMPUTED_VALUE"""),"JT11500IE030")</f>
        <v>JT11500IE030</v>
      </c>
      <c r="D1501" s="582" t="str">
        <f ca="1">IFERROR(__xludf.DUMMYFUNCTION("""COMPUTED_VALUE"""),"Đồng ống thẳng J-Flex 11.50x0.85x3.0")</f>
        <v>Đồng ống thẳng J-Flex 11.50x0.85x3.0</v>
      </c>
      <c r="E1501" s="583">
        <f ca="1">IFERROR(__xludf.DUMMYFUNCTION("""COMPUTED_VALUE"""),0.1)</f>
        <v>0.1</v>
      </c>
      <c r="F1501" s="584" t="str">
        <f ca="1">IFERROR(__xludf.DUMMYFUNCTION("""COMPUTED_VALUE"""),"Cây")</f>
        <v>Cây</v>
      </c>
      <c r="G1501" s="584" t="str">
        <f ca="1">IFERROR(__xludf.DUMMYFUNCTION("""COMPUTED_VALUE"""),"Cây 3m")</f>
        <v>Cây 3m</v>
      </c>
      <c r="H1501" s="582"/>
      <c r="I1501" s="585">
        <f ca="1">IFERROR(__xludf.DUMMYFUNCTION("""COMPUTED_VALUE"""),0.76041)</f>
        <v>0.76041000000000003</v>
      </c>
      <c r="J1501" s="586" t="str">
        <f ca="1">IFERROR(__xludf.DUMMYFUNCTION("""COMPUTED_VALUE""")," 11.50 ")</f>
        <v xml:space="preserve"> 11.50 </v>
      </c>
      <c r="K1501" s="584" t="str">
        <f ca="1">IFERROR(__xludf.DUMMYFUNCTION("""COMPUTED_VALUE"""),"0.85")</f>
        <v>0.85</v>
      </c>
      <c r="L1501" s="584">
        <f ca="1">IFERROR(__xludf.DUMMYFUNCTION("""COMPUTED_VALUE"""),3)</f>
        <v>3</v>
      </c>
      <c r="M1501" s="584"/>
      <c r="N1501" s="584" t="str">
        <f ca="1">IFERROR(__xludf.DUMMYFUNCTION("""COMPUTED_VALUE"""),"Dị_D&lt;54")</f>
        <v>Dị_D&lt;54</v>
      </c>
      <c r="O1501" s="583"/>
      <c r="P1501" s="584"/>
    </row>
    <row r="1502" spans="1:16" ht="15.75">
      <c r="A1502" s="587" t="str">
        <f ca="1">IFERROR(__xludf.DUMMYFUNCTION("""COMPUTED_VALUE"""),"J-Flex")</f>
        <v>J-Flex</v>
      </c>
      <c r="B1502" s="587" t="str">
        <f ca="1">IFERROR(__xludf.DUMMYFUNCTION("""COMPUTED_VALUE"""),"ĐJFLEXCAY")</f>
        <v>ĐJFLEXCAY</v>
      </c>
      <c r="C1502" s="587" t="str">
        <f ca="1">IFERROR(__xludf.DUMMYFUNCTION("""COMPUTED_VALUE"""),"JT11500K0030")</f>
        <v>JT11500K0030</v>
      </c>
      <c r="D1502" s="588" t="str">
        <f ca="1">IFERROR(__xludf.DUMMYFUNCTION("""COMPUTED_VALUE"""),"Đồng ống thẳng J-Flex 11.50x0.90x3.0")</f>
        <v>Đồng ống thẳng J-Flex 11.50x0.90x3.0</v>
      </c>
      <c r="E1502" s="589">
        <f ca="1">IFERROR(__xludf.DUMMYFUNCTION("""COMPUTED_VALUE"""),0.1)</f>
        <v>0.1</v>
      </c>
      <c r="F1502" s="590" t="str">
        <f ca="1">IFERROR(__xludf.DUMMYFUNCTION("""COMPUTED_VALUE"""),"Cây")</f>
        <v>Cây</v>
      </c>
      <c r="G1502" s="590" t="str">
        <f ca="1">IFERROR(__xludf.DUMMYFUNCTION("""COMPUTED_VALUE"""),"Cây 3m")</f>
        <v>Cây 3m</v>
      </c>
      <c r="H1502" s="588"/>
      <c r="I1502" s="591">
        <f ca="1">IFERROR(__xludf.DUMMYFUNCTION("""COMPUTED_VALUE"""),0.801359999999999)</f>
        <v>0.80135999999999896</v>
      </c>
      <c r="J1502" s="592" t="str">
        <f ca="1">IFERROR(__xludf.DUMMYFUNCTION("""COMPUTED_VALUE""")," 11.50 ")</f>
        <v xml:space="preserve"> 11.50 </v>
      </c>
      <c r="K1502" s="590" t="str">
        <f ca="1">IFERROR(__xludf.DUMMYFUNCTION("""COMPUTED_VALUE"""),"0.90")</f>
        <v>0.90</v>
      </c>
      <c r="L1502" s="590">
        <f ca="1">IFERROR(__xludf.DUMMYFUNCTION("""COMPUTED_VALUE"""),3)</f>
        <v>3</v>
      </c>
      <c r="M1502" s="590"/>
      <c r="N1502" s="590" t="str">
        <f ca="1">IFERROR(__xludf.DUMMYFUNCTION("""COMPUTED_VALUE"""),"Dị_D&lt;54")</f>
        <v>Dị_D&lt;54</v>
      </c>
      <c r="O1502" s="589"/>
      <c r="P1502" s="590"/>
    </row>
    <row r="1503" spans="1:16" ht="15.75">
      <c r="A1503" s="581" t="str">
        <f ca="1">IFERROR(__xludf.DUMMYFUNCTION("""COMPUTED_VALUE"""),"J-Flex")</f>
        <v>J-Flex</v>
      </c>
      <c r="B1503" s="581" t="str">
        <f ca="1">IFERROR(__xludf.DUMMYFUNCTION("""COMPUTED_VALUE"""),"ĐJFLEXCAY")</f>
        <v>ĐJFLEXCAY</v>
      </c>
      <c r="C1503" s="581" t="str">
        <f ca="1">IFERROR(__xludf.DUMMYFUNCTION("""COMPUTED_VALUE"""),"JT12000II030")</f>
        <v>JT12000II030</v>
      </c>
      <c r="D1503" s="582" t="str">
        <f ca="1">IFERROR(__xludf.DUMMYFUNCTION("""COMPUTED_VALUE"""),"Đồng ống thẳng J-Flex 12.00x0.88x3.0")</f>
        <v>Đồng ống thẳng J-Flex 12.00x0.88x3.0</v>
      </c>
      <c r="E1503" s="583">
        <f ca="1">IFERROR(__xludf.DUMMYFUNCTION("""COMPUTED_VALUE"""),0.1)</f>
        <v>0.1</v>
      </c>
      <c r="F1503" s="584" t="str">
        <f ca="1">IFERROR(__xludf.DUMMYFUNCTION("""COMPUTED_VALUE"""),"Cây")</f>
        <v>Cây</v>
      </c>
      <c r="G1503" s="584" t="str">
        <f ca="1">IFERROR(__xludf.DUMMYFUNCTION("""COMPUTED_VALUE"""),"Cây 3m")</f>
        <v>Cây 3m</v>
      </c>
      <c r="H1503" s="582"/>
      <c r="I1503" s="585">
        <f ca="1">IFERROR(__xludf.DUMMYFUNCTION("""COMPUTED_VALUE"""),0.8219904)</f>
        <v>0.82199040000000001</v>
      </c>
      <c r="J1503" s="586" t="str">
        <f ca="1">IFERROR(__xludf.DUMMYFUNCTION("""COMPUTED_VALUE""")," 12.00 ")</f>
        <v xml:space="preserve"> 12.00 </v>
      </c>
      <c r="K1503" s="584" t="str">
        <f ca="1">IFERROR(__xludf.DUMMYFUNCTION("""COMPUTED_VALUE"""),"0.88")</f>
        <v>0.88</v>
      </c>
      <c r="L1503" s="584">
        <f ca="1">IFERROR(__xludf.DUMMYFUNCTION("""COMPUTED_VALUE"""),3)</f>
        <v>3</v>
      </c>
      <c r="M1503" s="584"/>
      <c r="N1503" s="584" t="str">
        <f ca="1">IFERROR(__xludf.DUMMYFUNCTION("""COMPUTED_VALUE"""),"Dị_D&lt;54")</f>
        <v>Dị_D&lt;54</v>
      </c>
      <c r="O1503" s="583"/>
      <c r="P1503" s="584"/>
    </row>
    <row r="1504" spans="1:16" ht="15.75">
      <c r="A1504" s="587" t="str">
        <f ca="1">IFERROR(__xludf.DUMMYFUNCTION("""COMPUTED_VALUE"""),"J-Flex")</f>
        <v>J-Flex</v>
      </c>
      <c r="B1504" s="587" t="str">
        <f ca="1">IFERROR(__xludf.DUMMYFUNCTION("""COMPUTED_VALUE"""),"ĐJFLEXCAY")</f>
        <v>ĐJFLEXCAY</v>
      </c>
      <c r="C1504" s="587" t="str">
        <f ca="1">IFERROR(__xludf.DUMMYFUNCTION("""COMPUTED_VALUE"""),"JT1200A00030")</f>
        <v>JT1200A00030</v>
      </c>
      <c r="D1504" s="588" t="str">
        <f ca="1">IFERROR(__xludf.DUMMYFUNCTION("""COMPUTED_VALUE"""),"Đồng ống thẳng J-Flex 12.00x1.00x3.0")</f>
        <v>Đồng ống thẳng J-Flex 12.00x1.00x3.0</v>
      </c>
      <c r="E1504" s="589">
        <f ca="1">IFERROR(__xludf.DUMMYFUNCTION("""COMPUTED_VALUE"""),0.1)</f>
        <v>0.1</v>
      </c>
      <c r="F1504" s="590" t="str">
        <f ca="1">IFERROR(__xludf.DUMMYFUNCTION("""COMPUTED_VALUE"""),"Cây")</f>
        <v>Cây</v>
      </c>
      <c r="G1504" s="590" t="str">
        <f ca="1">IFERROR(__xludf.DUMMYFUNCTION("""COMPUTED_VALUE"""),"Cây 3m")</f>
        <v>Cây 3m</v>
      </c>
      <c r="H1504" s="588"/>
      <c r="I1504" s="591">
        <f ca="1">IFERROR(__xludf.DUMMYFUNCTION("""COMPUTED_VALUE"""),0.923999999999999)</f>
        <v>0.92399999999999904</v>
      </c>
      <c r="J1504" s="592" t="str">
        <f ca="1">IFERROR(__xludf.DUMMYFUNCTION("""COMPUTED_VALUE""")," 12.00 ")</f>
        <v xml:space="preserve"> 12.00 </v>
      </c>
      <c r="K1504" s="590" t="str">
        <f ca="1">IFERROR(__xludf.DUMMYFUNCTION("""COMPUTED_VALUE"""),"1.00")</f>
        <v>1.00</v>
      </c>
      <c r="L1504" s="590">
        <f ca="1">IFERROR(__xludf.DUMMYFUNCTION("""COMPUTED_VALUE"""),3)</f>
        <v>3</v>
      </c>
      <c r="M1504" s="590"/>
      <c r="N1504" s="590" t="str">
        <f ca="1">IFERROR(__xludf.DUMMYFUNCTION("""COMPUTED_VALUE"""),"Dị_D&lt;54")</f>
        <v>Dị_D&lt;54</v>
      </c>
      <c r="O1504" s="589"/>
      <c r="P1504" s="590"/>
    </row>
    <row r="1505" spans="1:16" ht="15.75">
      <c r="A1505" s="581" t="str">
        <f ca="1">IFERROR(__xludf.DUMMYFUNCTION("""COMPUTED_VALUE"""),"J-Flex")</f>
        <v>J-Flex</v>
      </c>
      <c r="B1505" s="581" t="str">
        <f ca="1">IFERROR(__xludf.DUMMYFUNCTION("""COMPUTED_VALUE"""),"ĐJFLEXCAY")</f>
        <v>ĐJFLEXCAY</v>
      </c>
      <c r="C1505" s="581" t="str">
        <f ca="1">IFERROR(__xludf.DUMMYFUNCTION("""COMPUTED_VALUE"""),"JT1250AC0030")</f>
        <v>JT1250AC0030</v>
      </c>
      <c r="D1505" s="582" t="str">
        <f ca="1">IFERROR(__xludf.DUMMYFUNCTION("""COMPUTED_VALUE"""),"Đồng ống thẳng J-Flex 12.50x1.30x3.0")</f>
        <v>Đồng ống thẳng J-Flex 12.50x1.30x3.0</v>
      </c>
      <c r="E1505" s="583">
        <f ca="1">IFERROR(__xludf.DUMMYFUNCTION("""COMPUTED_VALUE"""),0.1)</f>
        <v>0.1</v>
      </c>
      <c r="F1505" s="584" t="str">
        <f ca="1">IFERROR(__xludf.DUMMYFUNCTION("""COMPUTED_VALUE"""),"Cây")</f>
        <v>Cây</v>
      </c>
      <c r="G1505" s="584" t="str">
        <f ca="1">IFERROR(__xludf.DUMMYFUNCTION("""COMPUTED_VALUE"""),"Cây 3m")</f>
        <v>Cây 3m</v>
      </c>
      <c r="H1505" s="582"/>
      <c r="I1505" s="585">
        <f ca="1">IFERROR(__xludf.DUMMYFUNCTION("""COMPUTED_VALUE"""),1.22304)</f>
        <v>1.2230399999999999</v>
      </c>
      <c r="J1505" s="586" t="str">
        <f ca="1">IFERROR(__xludf.DUMMYFUNCTION("""COMPUTED_VALUE""")," 12.50 ")</f>
        <v xml:space="preserve"> 12.50 </v>
      </c>
      <c r="K1505" s="584" t="str">
        <f ca="1">IFERROR(__xludf.DUMMYFUNCTION("""COMPUTED_VALUE"""),"1.30")</f>
        <v>1.30</v>
      </c>
      <c r="L1505" s="584">
        <f ca="1">IFERROR(__xludf.DUMMYFUNCTION("""COMPUTED_VALUE"""),3)</f>
        <v>3</v>
      </c>
      <c r="M1505" s="584"/>
      <c r="N1505" s="584" t="str">
        <f ca="1">IFERROR(__xludf.DUMMYFUNCTION("""COMPUTED_VALUE"""),"Dị_D&lt;54")</f>
        <v>Dị_D&lt;54</v>
      </c>
      <c r="O1505" s="583"/>
      <c r="P1505" s="584"/>
    </row>
    <row r="1506" spans="1:16" ht="15.75">
      <c r="A1506" s="587" t="str">
        <f ca="1">IFERROR(__xludf.DUMMYFUNCTION("""COMPUTED_VALUE"""),"J-Flex")</f>
        <v>J-Flex</v>
      </c>
      <c r="B1506" s="587" t="str">
        <f ca="1">IFERROR(__xludf.DUMMYFUNCTION("""COMPUTED_VALUE"""),"ĐJFLEXCAY")</f>
        <v>ĐJFLEXCAY</v>
      </c>
      <c r="C1506" s="587" t="str">
        <f ca="1">IFERROR(__xludf.DUMMYFUNCTION("""COMPUTED_VALUE"""),"JT1350A0E030")</f>
        <v>JT1350A0E030</v>
      </c>
      <c r="D1506" s="588" t="str">
        <f ca="1">IFERROR(__xludf.DUMMYFUNCTION("""COMPUTED_VALUE"""),"Đồng ống thẳng J-Flex 13.50x1.05x3.0")</f>
        <v>Đồng ống thẳng J-Flex 13.50x1.05x3.0</v>
      </c>
      <c r="E1506" s="589">
        <f ca="1">IFERROR(__xludf.DUMMYFUNCTION("""COMPUTED_VALUE"""),0.1)</f>
        <v>0.1</v>
      </c>
      <c r="F1506" s="590" t="str">
        <f ca="1">IFERROR(__xludf.DUMMYFUNCTION("""COMPUTED_VALUE"""),"Cây")</f>
        <v>Cây</v>
      </c>
      <c r="G1506" s="590" t="str">
        <f ca="1">IFERROR(__xludf.DUMMYFUNCTION("""COMPUTED_VALUE"""),"Cây 3m")</f>
        <v>Cây 3m</v>
      </c>
      <c r="H1506" s="588"/>
      <c r="I1506" s="591">
        <f ca="1">IFERROR(__xludf.DUMMYFUNCTION("""COMPUTED_VALUE"""),1.09809)</f>
        <v>1.09809</v>
      </c>
      <c r="J1506" s="592" t="str">
        <f ca="1">IFERROR(__xludf.DUMMYFUNCTION("""COMPUTED_VALUE""")," 13.50 ")</f>
        <v xml:space="preserve"> 13.50 </v>
      </c>
      <c r="K1506" s="590" t="str">
        <f ca="1">IFERROR(__xludf.DUMMYFUNCTION("""COMPUTED_VALUE"""),"1.05")</f>
        <v>1.05</v>
      </c>
      <c r="L1506" s="590">
        <f ca="1">IFERROR(__xludf.DUMMYFUNCTION("""COMPUTED_VALUE"""),3)</f>
        <v>3</v>
      </c>
      <c r="M1506" s="590"/>
      <c r="N1506" s="590" t="str">
        <f ca="1">IFERROR(__xludf.DUMMYFUNCTION("""COMPUTED_VALUE"""),"Dị_D&lt;54")</f>
        <v>Dị_D&lt;54</v>
      </c>
      <c r="O1506" s="589"/>
      <c r="P1506" s="590"/>
    </row>
    <row r="1507" spans="1:16" ht="15.75">
      <c r="A1507" s="581" t="str">
        <f ca="1">IFERROR(__xludf.DUMMYFUNCTION("""COMPUTED_VALUE"""),"J-Flex")</f>
        <v>J-Flex</v>
      </c>
      <c r="B1507" s="581" t="str">
        <f ca="1">IFERROR(__xludf.DUMMYFUNCTION("""COMPUTED_VALUE"""),"ĐJFLEXCAY")</f>
        <v>ĐJFLEXCAY</v>
      </c>
      <c r="C1507" s="581" t="str">
        <f ca="1">IFERROR(__xludf.DUMMYFUNCTION("""COMPUTED_VALUE"""),"JT1350AA0030")</f>
        <v>JT1350AA0030</v>
      </c>
      <c r="D1507" s="582" t="str">
        <f ca="1">IFERROR(__xludf.DUMMYFUNCTION("""COMPUTED_VALUE"""),"Đồng ống thẳng J-Flex 13.50x1.10x3.0")</f>
        <v>Đồng ống thẳng J-Flex 13.50x1.10x3.0</v>
      </c>
      <c r="E1507" s="583">
        <f ca="1">IFERROR(__xludf.DUMMYFUNCTION("""COMPUTED_VALUE"""),0.1)</f>
        <v>0.1</v>
      </c>
      <c r="F1507" s="584" t="str">
        <f ca="1">IFERROR(__xludf.DUMMYFUNCTION("""COMPUTED_VALUE"""),"Cây")</f>
        <v>Cây</v>
      </c>
      <c r="G1507" s="584" t="str">
        <f ca="1">IFERROR(__xludf.DUMMYFUNCTION("""COMPUTED_VALUE"""),"Cây 3m")</f>
        <v>Cây 3m</v>
      </c>
      <c r="H1507" s="582"/>
      <c r="I1507" s="585">
        <f ca="1">IFERROR(__xludf.DUMMYFUNCTION("""COMPUTED_VALUE"""),1.14576)</f>
        <v>1.1457599999999999</v>
      </c>
      <c r="J1507" s="586" t="str">
        <f ca="1">IFERROR(__xludf.DUMMYFUNCTION("""COMPUTED_VALUE""")," 13.50 ")</f>
        <v xml:space="preserve"> 13.50 </v>
      </c>
      <c r="K1507" s="584" t="str">
        <f ca="1">IFERROR(__xludf.DUMMYFUNCTION("""COMPUTED_VALUE"""),"1.10")</f>
        <v>1.10</v>
      </c>
      <c r="L1507" s="584">
        <f ca="1">IFERROR(__xludf.DUMMYFUNCTION("""COMPUTED_VALUE"""),3)</f>
        <v>3</v>
      </c>
      <c r="M1507" s="584"/>
      <c r="N1507" s="584" t="str">
        <f ca="1">IFERROR(__xludf.DUMMYFUNCTION("""COMPUTED_VALUE"""),"Dị_D&lt;54")</f>
        <v>Dị_D&lt;54</v>
      </c>
      <c r="O1507" s="583"/>
      <c r="P1507" s="584"/>
    </row>
    <row r="1508" spans="1:16" ht="15.75">
      <c r="A1508" s="587" t="str">
        <f ca="1">IFERROR(__xludf.DUMMYFUNCTION("""COMPUTED_VALUE"""),"J-Flex")</f>
        <v>J-Flex</v>
      </c>
      <c r="B1508" s="587" t="str">
        <f ca="1">IFERROR(__xludf.DUMMYFUNCTION("""COMPUTED_VALUE"""),"ĐJFLEXCAY")</f>
        <v>ĐJFLEXCAY</v>
      </c>
      <c r="C1508" s="587" t="str">
        <f ca="1">IFERROR(__xludf.DUMMYFUNCTION("""COMPUTED_VALUE"""),"JT1400AA0030")</f>
        <v>JT1400AA0030</v>
      </c>
      <c r="D1508" s="588" t="str">
        <f ca="1">IFERROR(__xludf.DUMMYFUNCTION("""COMPUTED_VALUE"""),"Đồng ống thẳng J-Flex 14.00x1.10x3.0")</f>
        <v>Đồng ống thẳng J-Flex 14.00x1.10x3.0</v>
      </c>
      <c r="E1508" s="589">
        <f ca="1">IFERROR(__xludf.DUMMYFUNCTION("""COMPUTED_VALUE"""),0.1)</f>
        <v>0.1</v>
      </c>
      <c r="F1508" s="590" t="str">
        <f ca="1">IFERROR(__xludf.DUMMYFUNCTION("""COMPUTED_VALUE"""),"Cây")</f>
        <v>Cây</v>
      </c>
      <c r="G1508" s="590" t="str">
        <f ca="1">IFERROR(__xludf.DUMMYFUNCTION("""COMPUTED_VALUE"""),"Cây 3m")</f>
        <v>Cây 3m</v>
      </c>
      <c r="H1508" s="588"/>
      <c r="I1508" s="591">
        <f ca="1">IFERROR(__xludf.DUMMYFUNCTION("""COMPUTED_VALUE"""),1.19196)</f>
        <v>1.1919599999999999</v>
      </c>
      <c r="J1508" s="592" t="str">
        <f ca="1">IFERROR(__xludf.DUMMYFUNCTION("""COMPUTED_VALUE""")," 14.00 ")</f>
        <v xml:space="preserve"> 14.00 </v>
      </c>
      <c r="K1508" s="590" t="str">
        <f ca="1">IFERROR(__xludf.DUMMYFUNCTION("""COMPUTED_VALUE"""),"1.10")</f>
        <v>1.10</v>
      </c>
      <c r="L1508" s="590">
        <f ca="1">IFERROR(__xludf.DUMMYFUNCTION("""COMPUTED_VALUE"""),3)</f>
        <v>3</v>
      </c>
      <c r="M1508" s="590"/>
      <c r="N1508" s="590" t="str">
        <f ca="1">IFERROR(__xludf.DUMMYFUNCTION("""COMPUTED_VALUE"""),"Dị_D&lt;54")</f>
        <v>Dị_D&lt;54</v>
      </c>
      <c r="O1508" s="589"/>
      <c r="P1508" s="590"/>
    </row>
    <row r="1509" spans="1:16" ht="15.75">
      <c r="A1509" s="581" t="str">
        <f ca="1">IFERROR(__xludf.DUMMYFUNCTION("""COMPUTED_VALUE"""),"J-Flex")</f>
        <v>J-Flex</v>
      </c>
      <c r="B1509" s="581" t="str">
        <f ca="1">IFERROR(__xludf.DUMMYFUNCTION("""COMPUTED_VALUE"""),"ĐJFLEXCAY")</f>
        <v>ĐJFLEXCAY</v>
      </c>
      <c r="C1509" s="581" t="str">
        <f ca="1">IFERROR(__xludf.DUMMYFUNCTION("""COMPUTED_VALUE"""),"JT1400AB0030")</f>
        <v>JT1400AB0030</v>
      </c>
      <c r="D1509" s="582" t="str">
        <f ca="1">IFERROR(__xludf.DUMMYFUNCTION("""COMPUTED_VALUE"""),"Đồng ống thẳng J-Flex 14.00x1.20x3.0")</f>
        <v>Đồng ống thẳng J-Flex 14.00x1.20x3.0</v>
      </c>
      <c r="E1509" s="583">
        <f ca="1">IFERROR(__xludf.DUMMYFUNCTION("""COMPUTED_VALUE"""),0.1)</f>
        <v>0.1</v>
      </c>
      <c r="F1509" s="584" t="str">
        <f ca="1">IFERROR(__xludf.DUMMYFUNCTION("""COMPUTED_VALUE"""),"Cây")</f>
        <v>Cây</v>
      </c>
      <c r="G1509" s="584" t="str">
        <f ca="1">IFERROR(__xludf.DUMMYFUNCTION("""COMPUTED_VALUE"""),"Cây 3m")</f>
        <v>Cây 3m</v>
      </c>
      <c r="H1509" s="582"/>
      <c r="I1509" s="585">
        <f ca="1">IFERROR(__xludf.DUMMYFUNCTION("""COMPUTED_VALUE"""),1.29024)</f>
        <v>1.2902400000000001</v>
      </c>
      <c r="J1509" s="586" t="str">
        <f ca="1">IFERROR(__xludf.DUMMYFUNCTION("""COMPUTED_VALUE""")," 14.00 ")</f>
        <v xml:space="preserve"> 14.00 </v>
      </c>
      <c r="K1509" s="584" t="str">
        <f ca="1">IFERROR(__xludf.DUMMYFUNCTION("""COMPUTED_VALUE"""),"1.20")</f>
        <v>1.20</v>
      </c>
      <c r="L1509" s="584">
        <f ca="1">IFERROR(__xludf.DUMMYFUNCTION("""COMPUTED_VALUE"""),3)</f>
        <v>3</v>
      </c>
      <c r="M1509" s="584"/>
      <c r="N1509" s="584" t="str">
        <f ca="1">IFERROR(__xludf.DUMMYFUNCTION("""COMPUTED_VALUE"""),"Dị_D&lt;54")</f>
        <v>Dị_D&lt;54</v>
      </c>
      <c r="O1509" s="583"/>
      <c r="P1509" s="584"/>
    </row>
    <row r="1510" spans="1:16" ht="15.75">
      <c r="A1510" s="587" t="str">
        <f ca="1">IFERROR(__xludf.DUMMYFUNCTION("""COMPUTED_VALUE"""),"J-Flex")</f>
        <v>J-Flex</v>
      </c>
      <c r="B1510" s="587" t="str">
        <f ca="1">IFERROR(__xludf.DUMMYFUNCTION("""COMPUTED_VALUE"""),"ĐJFLEXCAY")</f>
        <v>ĐJFLEXCAY</v>
      </c>
      <c r="C1510" s="587" t="str">
        <f ca="1">IFERROR(__xludf.DUMMYFUNCTION("""COMPUTED_VALUE"""),"JT1550AB0030")</f>
        <v>JT1550AB0030</v>
      </c>
      <c r="D1510" s="588" t="str">
        <f ca="1">IFERROR(__xludf.DUMMYFUNCTION("""COMPUTED_VALUE"""),"Đồng ống thẳng J-Flex 15.50x1.20x3.0")</f>
        <v>Đồng ống thẳng J-Flex 15.50x1.20x3.0</v>
      </c>
      <c r="E1510" s="589">
        <f ca="1">IFERROR(__xludf.DUMMYFUNCTION("""COMPUTED_VALUE"""),0.1)</f>
        <v>0.1</v>
      </c>
      <c r="F1510" s="590" t="str">
        <f ca="1">IFERROR(__xludf.DUMMYFUNCTION("""COMPUTED_VALUE"""),"Cây")</f>
        <v>Cây</v>
      </c>
      <c r="G1510" s="590" t="str">
        <f ca="1">IFERROR(__xludf.DUMMYFUNCTION("""COMPUTED_VALUE"""),"Cây 3m")</f>
        <v>Cây 3m</v>
      </c>
      <c r="H1510" s="588"/>
      <c r="I1510" s="591">
        <f ca="1">IFERROR(__xludf.DUMMYFUNCTION("""COMPUTED_VALUE"""),1.44144)</f>
        <v>1.4414400000000001</v>
      </c>
      <c r="J1510" s="592" t="str">
        <f ca="1">IFERROR(__xludf.DUMMYFUNCTION("""COMPUTED_VALUE""")," 15.50 ")</f>
        <v xml:space="preserve"> 15.50 </v>
      </c>
      <c r="K1510" s="590" t="str">
        <f ca="1">IFERROR(__xludf.DUMMYFUNCTION("""COMPUTED_VALUE"""),"1.20")</f>
        <v>1.20</v>
      </c>
      <c r="L1510" s="590">
        <f ca="1">IFERROR(__xludf.DUMMYFUNCTION("""COMPUTED_VALUE"""),3)</f>
        <v>3</v>
      </c>
      <c r="M1510" s="590"/>
      <c r="N1510" s="590" t="str">
        <f ca="1">IFERROR(__xludf.DUMMYFUNCTION("""COMPUTED_VALUE"""),"Dị_D&lt;54")</f>
        <v>Dị_D&lt;54</v>
      </c>
      <c r="O1510" s="589"/>
      <c r="P1510" s="590"/>
    </row>
    <row r="1511" spans="1:16" ht="15.75">
      <c r="A1511" s="581" t="str">
        <f ca="1">IFERROR(__xludf.DUMMYFUNCTION("""COMPUTED_VALUE"""),"J-Flex")</f>
        <v>J-Flex</v>
      </c>
      <c r="B1511" s="581" t="str">
        <f ca="1">IFERROR(__xludf.DUMMYFUNCTION("""COMPUTED_VALUE"""),"ĐJFLEXCAY")</f>
        <v>ĐJFLEXCAY</v>
      </c>
      <c r="C1511" s="581" t="str">
        <f ca="1">IFERROR(__xludf.DUMMYFUNCTION("""COMPUTED_VALUE"""),"JT1550AC0030")</f>
        <v>JT1550AC0030</v>
      </c>
      <c r="D1511" s="582" t="str">
        <f ca="1">IFERROR(__xludf.DUMMYFUNCTION("""COMPUTED_VALUE"""),"Đồng ống thẳng J-Flex 15.50x1.30x3.0")</f>
        <v>Đồng ống thẳng J-Flex 15.50x1.30x3.0</v>
      </c>
      <c r="E1511" s="583">
        <f ca="1">IFERROR(__xludf.DUMMYFUNCTION("""COMPUTED_VALUE"""),0.1)</f>
        <v>0.1</v>
      </c>
      <c r="F1511" s="584" t="str">
        <f ca="1">IFERROR(__xludf.DUMMYFUNCTION("""COMPUTED_VALUE"""),"Cây")</f>
        <v>Cây</v>
      </c>
      <c r="G1511" s="584" t="str">
        <f ca="1">IFERROR(__xludf.DUMMYFUNCTION("""COMPUTED_VALUE"""),"Cây 3m")</f>
        <v>Cây 3m</v>
      </c>
      <c r="H1511" s="582"/>
      <c r="I1511" s="585">
        <f ca="1">IFERROR(__xludf.DUMMYFUNCTION("""COMPUTED_VALUE"""),1.55064)</f>
        <v>1.55064</v>
      </c>
      <c r="J1511" s="586" t="str">
        <f ca="1">IFERROR(__xludf.DUMMYFUNCTION("""COMPUTED_VALUE""")," 15.50 ")</f>
        <v xml:space="preserve"> 15.50 </v>
      </c>
      <c r="K1511" s="584" t="str">
        <f ca="1">IFERROR(__xludf.DUMMYFUNCTION("""COMPUTED_VALUE"""),"1.30")</f>
        <v>1.30</v>
      </c>
      <c r="L1511" s="584">
        <f ca="1">IFERROR(__xludf.DUMMYFUNCTION("""COMPUTED_VALUE"""),3)</f>
        <v>3</v>
      </c>
      <c r="M1511" s="584"/>
      <c r="N1511" s="584" t="str">
        <f ca="1">IFERROR(__xludf.DUMMYFUNCTION("""COMPUTED_VALUE"""),"Dị_D&lt;54")</f>
        <v>Dị_D&lt;54</v>
      </c>
      <c r="O1511" s="583"/>
      <c r="P1511" s="584"/>
    </row>
    <row r="1512" spans="1:16" ht="15.75">
      <c r="A1512" s="587" t="str">
        <f ca="1">IFERROR(__xludf.DUMMYFUNCTION("""COMPUTED_VALUE"""),"J-Flex")</f>
        <v>J-Flex</v>
      </c>
      <c r="B1512" s="587" t="str">
        <f ca="1">IFERROR(__xludf.DUMMYFUNCTION("""COMPUTED_VALUE"""),"ĐJFLEXCAY")</f>
        <v>ĐJFLEXCAY</v>
      </c>
      <c r="C1512" s="587" t="str">
        <f ca="1">IFERROR(__xludf.DUMMYFUNCTION("""COMPUTED_VALUE"""),"JT15880EA0396")</f>
        <v>JT15880EA0396</v>
      </c>
      <c r="D1512" s="588" t="str">
        <f ca="1">IFERROR(__xludf.DUMMYFUNCTION("""COMPUTED_VALUE"""),"Đồng ống thẳng J-Flex 15.88x0.51x3.960")</f>
        <v>Đồng ống thẳng J-Flex 15.88x0.51x3.960</v>
      </c>
      <c r="E1512" s="589">
        <f ca="1">IFERROR(__xludf.DUMMYFUNCTION("""COMPUTED_VALUE"""),0.1)</f>
        <v>0.1</v>
      </c>
      <c r="F1512" s="590" t="str">
        <f ca="1">IFERROR(__xludf.DUMMYFUNCTION("""COMPUTED_VALUE"""),"Cây")</f>
        <v>Cây</v>
      </c>
      <c r="G1512" s="590" t="str">
        <f ca="1">IFERROR(__xludf.DUMMYFUNCTION("""COMPUTED_VALUE"""),"Cây 3.96m")</f>
        <v>Cây 3.96m</v>
      </c>
      <c r="H1512" s="588"/>
      <c r="I1512" s="591">
        <f ca="1">IFERROR(__xludf.DUMMYFUNCTION("""COMPUTED_VALUE"""),0.869155056)</f>
        <v>0.86915505599999998</v>
      </c>
      <c r="J1512" s="592" t="str">
        <f ca="1">IFERROR(__xludf.DUMMYFUNCTION("""COMPUTED_VALUE""")," 15.88 ")</f>
        <v xml:space="preserve"> 15.88 </v>
      </c>
      <c r="K1512" s="590" t="str">
        <f ca="1">IFERROR(__xludf.DUMMYFUNCTION("""COMPUTED_VALUE"""),"0.51")</f>
        <v>0.51</v>
      </c>
      <c r="L1512" s="590">
        <f ca="1">IFERROR(__xludf.DUMMYFUNCTION("""COMPUTED_VALUE"""),3.96)</f>
        <v>3.96</v>
      </c>
      <c r="M1512" s="590"/>
      <c r="N1512" s="590" t="str">
        <f ca="1">IFERROR(__xludf.DUMMYFUNCTION("""COMPUTED_VALUE"""),"Dị_D&lt;54")</f>
        <v>Dị_D&lt;54</v>
      </c>
      <c r="O1512" s="589"/>
      <c r="P1512" s="590"/>
    </row>
    <row r="1513" spans="1:16" ht="15.75">
      <c r="A1513" s="581" t="str">
        <f ca="1">IFERROR(__xludf.DUMMYFUNCTION("""COMPUTED_VALUE"""),"J-Flex")</f>
        <v>J-Flex</v>
      </c>
      <c r="B1513" s="581" t="str">
        <f ca="1">IFERROR(__xludf.DUMMYFUNCTION("""COMPUTED_VALUE"""),"ĐJFLEXCAY")</f>
        <v>ĐJFLEXCAY</v>
      </c>
      <c r="C1513" s="581" t="str">
        <f ca="1">IFERROR(__xludf.DUMMYFUNCTION("""COMPUTED_VALUE"""),"JT15880EA058")</f>
        <v>JT15880EA058</v>
      </c>
      <c r="D1513" s="582" t="str">
        <f ca="1">IFERROR(__xludf.DUMMYFUNCTION("""COMPUTED_VALUE"""),"Đồng ống thẳng J-Flex 15.88x0.51x5.8")</f>
        <v>Đồng ống thẳng J-Flex 15.88x0.51x5.8</v>
      </c>
      <c r="E1513" s="583">
        <f ca="1">IFERROR(__xludf.DUMMYFUNCTION("""COMPUTED_VALUE"""),0.1)</f>
        <v>0.1</v>
      </c>
      <c r="F1513" s="584" t="str">
        <f ca="1">IFERROR(__xludf.DUMMYFUNCTION("""COMPUTED_VALUE"""),"Cây")</f>
        <v>Cây</v>
      </c>
      <c r="G1513" s="584" t="str">
        <f ca="1">IFERROR(__xludf.DUMMYFUNCTION("""COMPUTED_VALUE"""),"Cây 5.8m")</f>
        <v>Cây 5.8m</v>
      </c>
      <c r="H1513" s="582"/>
      <c r="I1513" s="585">
        <f ca="1">IFERROR(__xludf.DUMMYFUNCTION("""COMPUTED_VALUE"""),1.27300488)</f>
        <v>1.27300488</v>
      </c>
      <c r="J1513" s="586" t="str">
        <f ca="1">IFERROR(__xludf.DUMMYFUNCTION("""COMPUTED_VALUE""")," 15.88 ")</f>
        <v xml:space="preserve"> 15.88 </v>
      </c>
      <c r="K1513" s="584" t="str">
        <f ca="1">IFERROR(__xludf.DUMMYFUNCTION("""COMPUTED_VALUE"""),"0.51")</f>
        <v>0.51</v>
      </c>
      <c r="L1513" s="584">
        <f ca="1">IFERROR(__xludf.DUMMYFUNCTION("""COMPUTED_VALUE"""),5.8)</f>
        <v>5.8</v>
      </c>
      <c r="M1513" s="584"/>
      <c r="N1513" s="584" t="str">
        <f ca="1">IFERROR(__xludf.DUMMYFUNCTION("""COMPUTED_VALUE"""),"Dị_D&lt;54")</f>
        <v>Dị_D&lt;54</v>
      </c>
      <c r="O1513" s="583"/>
      <c r="P1513" s="584"/>
    </row>
    <row r="1514" spans="1:16" ht="15.75">
      <c r="A1514" s="587" t="str">
        <f ca="1">IFERROR(__xludf.DUMMYFUNCTION("""COMPUTED_VALUE"""),"J-Flex")</f>
        <v>J-Flex</v>
      </c>
      <c r="B1514" s="587" t="str">
        <f ca="1">IFERROR(__xludf.DUMMYFUNCTION("""COMPUTED_VALUE"""),"ĐJFLEXCAY")</f>
        <v>ĐJFLEXCAY</v>
      </c>
      <c r="C1514" s="587" t="str">
        <f ca="1">IFERROR(__xludf.DUMMYFUNCTION("""COMPUTED_VALUE"""),"JT15880GA058")</f>
        <v>JT15880GA058</v>
      </c>
      <c r="D1514" s="588" t="str">
        <f ca="1">IFERROR(__xludf.DUMMYFUNCTION("""COMPUTED_VALUE"""),"Đồng ống thẳng J-Flex 15.88x0.61x5.8")</f>
        <v>Đồng ống thẳng J-Flex 15.88x0.61x5.8</v>
      </c>
      <c r="E1514" s="589">
        <f ca="1">IFERROR(__xludf.DUMMYFUNCTION("""COMPUTED_VALUE"""),0.1)</f>
        <v>0.1</v>
      </c>
      <c r="F1514" s="590" t="str">
        <f ca="1">IFERROR(__xludf.DUMMYFUNCTION("""COMPUTED_VALUE"""),"Cây")</f>
        <v>Cây</v>
      </c>
      <c r="G1514" s="590" t="str">
        <f ca="1">IFERROR(__xludf.DUMMYFUNCTION("""COMPUTED_VALUE"""),"Cây 5.8m")</f>
        <v>Cây 5.8m</v>
      </c>
      <c r="H1514" s="588"/>
      <c r="I1514" s="591">
        <f ca="1">IFERROR(__xludf.DUMMYFUNCTION("""COMPUTED_VALUE"""),1.51270728)</f>
        <v>1.5127072800000001</v>
      </c>
      <c r="J1514" s="592" t="str">
        <f ca="1">IFERROR(__xludf.DUMMYFUNCTION("""COMPUTED_VALUE""")," 15.88 ")</f>
        <v xml:space="preserve"> 15.88 </v>
      </c>
      <c r="K1514" s="590" t="str">
        <f ca="1">IFERROR(__xludf.DUMMYFUNCTION("""COMPUTED_VALUE"""),"0.61")</f>
        <v>0.61</v>
      </c>
      <c r="L1514" s="590">
        <f ca="1">IFERROR(__xludf.DUMMYFUNCTION("""COMPUTED_VALUE"""),5.8)</f>
        <v>5.8</v>
      </c>
      <c r="M1514" s="590"/>
      <c r="N1514" s="590" t="str">
        <f ca="1">IFERROR(__xludf.DUMMYFUNCTION("""COMPUTED_VALUE"""),"Dị_D&lt;54")</f>
        <v>Dị_D&lt;54</v>
      </c>
      <c r="O1514" s="589"/>
      <c r="P1514" s="590"/>
    </row>
    <row r="1515" spans="1:16" ht="15.75">
      <c r="A1515" s="581" t="str">
        <f ca="1">IFERROR(__xludf.DUMMYFUNCTION("""COMPUTED_VALUE"""),"J-Flex")</f>
        <v>J-Flex</v>
      </c>
      <c r="B1515" s="581" t="str">
        <f ca="1">IFERROR(__xludf.DUMMYFUNCTION("""COMPUTED_VALUE"""),"ĐJFLEXCAY")</f>
        <v>ĐJFLEXCAY</v>
      </c>
      <c r="C1515" s="581" t="str">
        <f ca="1">IFERROR(__xludf.DUMMYFUNCTION("""COMPUTED_VALUE"""),"JT15880IA058")</f>
        <v>JT15880IA058</v>
      </c>
      <c r="D1515" s="582" t="str">
        <f ca="1">IFERROR(__xludf.DUMMYFUNCTION("""COMPUTED_VALUE"""),"Đồng ống thẳng J-Flex 15.88x0.81x5.8")</f>
        <v>Đồng ống thẳng J-Flex 15.88x0.81x5.8</v>
      </c>
      <c r="E1515" s="583">
        <f ca="1">IFERROR(__xludf.DUMMYFUNCTION("""COMPUTED_VALUE"""),0.1)</f>
        <v>0.1</v>
      </c>
      <c r="F1515" s="584" t="str">
        <f ca="1">IFERROR(__xludf.DUMMYFUNCTION("""COMPUTED_VALUE"""),"Cây")</f>
        <v>Cây</v>
      </c>
      <c r="G1515" s="584" t="str">
        <f ca="1">IFERROR(__xludf.DUMMYFUNCTION("""COMPUTED_VALUE"""),"Cây 5.8m")</f>
        <v>Cây 5.8m</v>
      </c>
      <c r="H1515" s="582"/>
      <c r="I1515" s="585">
        <f ca="1">IFERROR(__xludf.DUMMYFUNCTION("""COMPUTED_VALUE"""),1.98236808)</f>
        <v>1.9823680800000001</v>
      </c>
      <c r="J1515" s="586" t="str">
        <f ca="1">IFERROR(__xludf.DUMMYFUNCTION("""COMPUTED_VALUE""")," 15.88 ")</f>
        <v xml:space="preserve"> 15.88 </v>
      </c>
      <c r="K1515" s="584" t="str">
        <f ca="1">IFERROR(__xludf.DUMMYFUNCTION("""COMPUTED_VALUE"""),"0.81")</f>
        <v>0.81</v>
      </c>
      <c r="L1515" s="584">
        <f ca="1">IFERROR(__xludf.DUMMYFUNCTION("""COMPUTED_VALUE"""),5.8)</f>
        <v>5.8</v>
      </c>
      <c r="M1515" s="584"/>
      <c r="N1515" s="584" t="str">
        <f ca="1">IFERROR(__xludf.DUMMYFUNCTION("""COMPUTED_VALUE"""),"Dị_D&lt;54")</f>
        <v>Dị_D&lt;54</v>
      </c>
      <c r="O1515" s="583"/>
      <c r="P1515" s="584"/>
    </row>
    <row r="1516" spans="1:16" ht="15.75">
      <c r="A1516" s="587" t="str">
        <f ca="1">IFERROR(__xludf.DUMMYFUNCTION("""COMPUTED_VALUE"""),"J-Flex")</f>
        <v>J-Flex</v>
      </c>
      <c r="B1516" s="587" t="str">
        <f ca="1">IFERROR(__xludf.DUMMYFUNCTION("""COMPUTED_VALUE"""),"ĐJFLEXCAY")</f>
        <v>ĐJFLEXCAY</v>
      </c>
      <c r="C1516" s="587" t="str">
        <f ca="1">IFERROR(__xludf.DUMMYFUNCTION("""COMPUTED_VALUE"""),"JT1600AC0030")</f>
        <v>JT1600AC0030</v>
      </c>
      <c r="D1516" s="588" t="str">
        <f ca="1">IFERROR(__xludf.DUMMYFUNCTION("""COMPUTED_VALUE"""),"Đồng ống thẳng J-Flex 16.00x1.30x3.0")</f>
        <v>Đồng ống thẳng J-Flex 16.00x1.30x3.0</v>
      </c>
      <c r="E1516" s="589">
        <f ca="1">IFERROR(__xludf.DUMMYFUNCTION("""COMPUTED_VALUE"""),0.1)</f>
        <v>0.1</v>
      </c>
      <c r="F1516" s="590" t="str">
        <f ca="1">IFERROR(__xludf.DUMMYFUNCTION("""COMPUTED_VALUE"""),"Cây")</f>
        <v>Cây</v>
      </c>
      <c r="G1516" s="590" t="str">
        <f ca="1">IFERROR(__xludf.DUMMYFUNCTION("""COMPUTED_VALUE"""),"Cây 3m")</f>
        <v>Cây 3m</v>
      </c>
      <c r="H1516" s="588"/>
      <c r="I1516" s="591">
        <f ca="1">IFERROR(__xludf.DUMMYFUNCTION("""COMPUTED_VALUE"""),1.60524)</f>
        <v>1.60524</v>
      </c>
      <c r="J1516" s="592" t="str">
        <f ca="1">IFERROR(__xludf.DUMMYFUNCTION("""COMPUTED_VALUE""")," 16.00 ")</f>
        <v xml:space="preserve"> 16.00 </v>
      </c>
      <c r="K1516" s="590" t="str">
        <f ca="1">IFERROR(__xludf.DUMMYFUNCTION("""COMPUTED_VALUE"""),"1.30")</f>
        <v>1.30</v>
      </c>
      <c r="L1516" s="590">
        <f ca="1">IFERROR(__xludf.DUMMYFUNCTION("""COMPUTED_VALUE"""),3)</f>
        <v>3</v>
      </c>
      <c r="M1516" s="590"/>
      <c r="N1516" s="590" t="str">
        <f ca="1">IFERROR(__xludf.DUMMYFUNCTION("""COMPUTED_VALUE"""),"Dị_D&lt;54")</f>
        <v>Dị_D&lt;54</v>
      </c>
      <c r="O1516" s="589"/>
      <c r="P1516" s="590"/>
    </row>
    <row r="1517" spans="1:16" ht="15.75">
      <c r="A1517" s="581" t="str">
        <f ca="1">IFERROR(__xludf.DUMMYFUNCTION("""COMPUTED_VALUE"""),"J-Flex")</f>
        <v>J-Flex</v>
      </c>
      <c r="B1517" s="581" t="str">
        <f ca="1">IFERROR(__xludf.DUMMYFUNCTION("""COMPUTED_VALUE"""),"ĐJFLEXCAY")</f>
        <v>ĐJFLEXCAY</v>
      </c>
      <c r="C1517" s="581" t="str">
        <f ca="1">IFERROR(__xludf.DUMMYFUNCTION("""COMPUTED_VALUE"""),"JT1700AC0030")</f>
        <v>JT1700AC0030</v>
      </c>
      <c r="D1517" s="582" t="str">
        <f ca="1">IFERROR(__xludf.DUMMYFUNCTION("""COMPUTED_VALUE"""),"Đồng ống thẳng J-Flex 17.00x1.30x3.0")</f>
        <v>Đồng ống thẳng J-Flex 17.00x1.30x3.0</v>
      </c>
      <c r="E1517" s="583">
        <f ca="1">IFERROR(__xludf.DUMMYFUNCTION("""COMPUTED_VALUE"""),0.1)</f>
        <v>0.1</v>
      </c>
      <c r="F1517" s="584" t="str">
        <f ca="1">IFERROR(__xludf.DUMMYFUNCTION("""COMPUTED_VALUE"""),"Cây")</f>
        <v>Cây</v>
      </c>
      <c r="G1517" s="584" t="str">
        <f ca="1">IFERROR(__xludf.DUMMYFUNCTION("""COMPUTED_VALUE"""),"Cây 3m")</f>
        <v>Cây 3m</v>
      </c>
      <c r="H1517" s="582"/>
      <c r="I1517" s="585">
        <f ca="1">IFERROR(__xludf.DUMMYFUNCTION("""COMPUTED_VALUE"""),1.71444)</f>
        <v>1.71444</v>
      </c>
      <c r="J1517" s="586" t="str">
        <f ca="1">IFERROR(__xludf.DUMMYFUNCTION("""COMPUTED_VALUE""")," 17.00 ")</f>
        <v xml:space="preserve"> 17.00 </v>
      </c>
      <c r="K1517" s="584" t="str">
        <f ca="1">IFERROR(__xludf.DUMMYFUNCTION("""COMPUTED_VALUE"""),"1.30")</f>
        <v>1.30</v>
      </c>
      <c r="L1517" s="584">
        <f ca="1">IFERROR(__xludf.DUMMYFUNCTION("""COMPUTED_VALUE"""),3)</f>
        <v>3</v>
      </c>
      <c r="M1517" s="584"/>
      <c r="N1517" s="584" t="str">
        <f ca="1">IFERROR(__xludf.DUMMYFUNCTION("""COMPUTED_VALUE"""),"Dị_D&lt;54")</f>
        <v>Dị_D&lt;54</v>
      </c>
      <c r="O1517" s="583"/>
      <c r="P1517" s="584"/>
    </row>
    <row r="1518" spans="1:16" ht="15.75">
      <c r="A1518" s="587" t="str">
        <f ca="1">IFERROR(__xludf.DUMMYFUNCTION("""COMPUTED_VALUE"""),"J-Flex")</f>
        <v>J-Flex</v>
      </c>
      <c r="B1518" s="587" t="str">
        <f ca="1">IFERROR(__xludf.DUMMYFUNCTION("""COMPUTED_VALUE"""),"ĐJFLEXCAY")</f>
        <v>ĐJFLEXCAY</v>
      </c>
      <c r="C1518" s="587" t="str">
        <f ca="1">IFERROR(__xludf.DUMMYFUNCTION("""COMPUTED_VALUE"""),"JT1800AE0030")</f>
        <v>JT1800AE0030</v>
      </c>
      <c r="D1518" s="588" t="str">
        <f ca="1">IFERROR(__xludf.DUMMYFUNCTION("""COMPUTED_VALUE"""),"Đồng ống thẳng J-Flex 18.00x1.50x3.0")</f>
        <v>Đồng ống thẳng J-Flex 18.00x1.50x3.0</v>
      </c>
      <c r="E1518" s="589">
        <f ca="1">IFERROR(__xludf.DUMMYFUNCTION("""COMPUTED_VALUE"""),0.1)</f>
        <v>0.1</v>
      </c>
      <c r="F1518" s="590" t="str">
        <f ca="1">IFERROR(__xludf.DUMMYFUNCTION("""COMPUTED_VALUE"""),"Cây")</f>
        <v>Cây</v>
      </c>
      <c r="G1518" s="590" t="str">
        <f ca="1">IFERROR(__xludf.DUMMYFUNCTION("""COMPUTED_VALUE"""),"Cây 3m")</f>
        <v>Cây 3m</v>
      </c>
      <c r="H1518" s="588"/>
      <c r="I1518" s="591">
        <f ca="1">IFERROR(__xludf.DUMMYFUNCTION("""COMPUTED_VALUE"""),2.079)</f>
        <v>2.0790000000000002</v>
      </c>
      <c r="J1518" s="592" t="str">
        <f ca="1">IFERROR(__xludf.DUMMYFUNCTION("""COMPUTED_VALUE""")," 18.00 ")</f>
        <v xml:space="preserve"> 18.00 </v>
      </c>
      <c r="K1518" s="590" t="str">
        <f ca="1">IFERROR(__xludf.DUMMYFUNCTION("""COMPUTED_VALUE"""),"1.50")</f>
        <v>1.50</v>
      </c>
      <c r="L1518" s="590">
        <f ca="1">IFERROR(__xludf.DUMMYFUNCTION("""COMPUTED_VALUE"""),3)</f>
        <v>3</v>
      </c>
      <c r="M1518" s="590"/>
      <c r="N1518" s="590" t="str">
        <f ca="1">IFERROR(__xludf.DUMMYFUNCTION("""COMPUTED_VALUE"""),"Dị_D&lt;54")</f>
        <v>Dị_D&lt;54</v>
      </c>
      <c r="O1518" s="589"/>
      <c r="P1518" s="590"/>
    </row>
    <row r="1519" spans="1:16" ht="15.75">
      <c r="A1519" s="581" t="str">
        <f ca="1">IFERROR(__xludf.DUMMYFUNCTION("""COMPUTED_VALUE"""),"J-Flex")</f>
        <v>J-Flex</v>
      </c>
      <c r="B1519" s="581" t="str">
        <f ca="1">IFERROR(__xludf.DUMMYFUNCTION("""COMPUTED_VALUE"""),"ĐJFLEXCAY")</f>
        <v>ĐJFLEXCAY</v>
      </c>
      <c r="C1519" s="581" t="str">
        <f ca="1">IFERROR(__xludf.DUMMYFUNCTION("""COMPUTED_VALUE"""),"JT1800AG0030")</f>
        <v>JT1800AG0030</v>
      </c>
      <c r="D1519" s="582" t="str">
        <f ca="1">IFERROR(__xludf.DUMMYFUNCTION("""COMPUTED_VALUE"""),"Đồng ống thẳng J-Flex 18.00x1.60x3.0")</f>
        <v>Đồng ống thẳng J-Flex 18.00x1.60x3.0</v>
      </c>
      <c r="E1519" s="583">
        <f ca="1">IFERROR(__xludf.DUMMYFUNCTION("""COMPUTED_VALUE"""),0.1)</f>
        <v>0.1</v>
      </c>
      <c r="F1519" s="584" t="str">
        <f ca="1">IFERROR(__xludf.DUMMYFUNCTION("""COMPUTED_VALUE"""),"Cây")</f>
        <v>Cây</v>
      </c>
      <c r="G1519" s="584" t="str">
        <f ca="1">IFERROR(__xludf.DUMMYFUNCTION("""COMPUTED_VALUE"""),"Cây 3m")</f>
        <v>Cây 3m</v>
      </c>
      <c r="H1519" s="582"/>
      <c r="I1519" s="585">
        <f ca="1">IFERROR(__xludf.DUMMYFUNCTION("""COMPUTED_VALUE"""),2.20416)</f>
        <v>2.2041599999999999</v>
      </c>
      <c r="J1519" s="586" t="str">
        <f ca="1">IFERROR(__xludf.DUMMYFUNCTION("""COMPUTED_VALUE""")," 18.00 ")</f>
        <v xml:space="preserve"> 18.00 </v>
      </c>
      <c r="K1519" s="584" t="str">
        <f ca="1">IFERROR(__xludf.DUMMYFUNCTION("""COMPUTED_VALUE"""),"1.60")</f>
        <v>1.60</v>
      </c>
      <c r="L1519" s="584">
        <f ca="1">IFERROR(__xludf.DUMMYFUNCTION("""COMPUTED_VALUE"""),3)</f>
        <v>3</v>
      </c>
      <c r="M1519" s="584"/>
      <c r="N1519" s="584" t="str">
        <f ca="1">IFERROR(__xludf.DUMMYFUNCTION("""COMPUTED_VALUE"""),"Dị_D&lt;54")</f>
        <v>Dị_D&lt;54</v>
      </c>
      <c r="O1519" s="583"/>
      <c r="P1519" s="584"/>
    </row>
    <row r="1520" spans="1:16" ht="15.75">
      <c r="A1520" s="587" t="str">
        <f ca="1">IFERROR(__xludf.DUMMYFUNCTION("""COMPUTED_VALUE"""),"J-Flex")</f>
        <v>J-Flex</v>
      </c>
      <c r="B1520" s="587" t="str">
        <f ca="1">IFERROR(__xludf.DUMMYFUNCTION("""COMPUTED_VALUE"""),"ĐJFLEXCAY")</f>
        <v>ĐJFLEXCAY</v>
      </c>
      <c r="C1520" s="587" t="str">
        <f ca="1">IFERROR(__xludf.DUMMYFUNCTION("""COMPUTED_VALUE"""),"JT1900AD0030")</f>
        <v>JT1900AD0030</v>
      </c>
      <c r="D1520" s="588" t="str">
        <f ca="1">IFERROR(__xludf.DUMMYFUNCTION("""COMPUTED_VALUE"""),"Đồng ống thẳng J-Flex 19.00x1.40x3.0")</f>
        <v>Đồng ống thẳng J-Flex 19.00x1.40x3.0</v>
      </c>
      <c r="E1520" s="589">
        <f ca="1">IFERROR(__xludf.DUMMYFUNCTION("""COMPUTED_VALUE"""),0.1)</f>
        <v>0.1</v>
      </c>
      <c r="F1520" s="590" t="str">
        <f ca="1">IFERROR(__xludf.DUMMYFUNCTION("""COMPUTED_VALUE"""),"Cây")</f>
        <v>Cây</v>
      </c>
      <c r="G1520" s="590" t="str">
        <f ca="1">IFERROR(__xludf.DUMMYFUNCTION("""COMPUTED_VALUE"""),"Cây 3m")</f>
        <v>Cây 3m</v>
      </c>
      <c r="H1520" s="588"/>
      <c r="I1520" s="591">
        <f ca="1">IFERROR(__xludf.DUMMYFUNCTION("""COMPUTED_VALUE"""),2.06976)</f>
        <v>2.06976</v>
      </c>
      <c r="J1520" s="592" t="str">
        <f ca="1">IFERROR(__xludf.DUMMYFUNCTION("""COMPUTED_VALUE""")," 19.00 ")</f>
        <v xml:space="preserve"> 19.00 </v>
      </c>
      <c r="K1520" s="590" t="str">
        <f ca="1">IFERROR(__xludf.DUMMYFUNCTION("""COMPUTED_VALUE"""),"1.40")</f>
        <v>1.40</v>
      </c>
      <c r="L1520" s="590">
        <f ca="1">IFERROR(__xludf.DUMMYFUNCTION("""COMPUTED_VALUE"""),3)</f>
        <v>3</v>
      </c>
      <c r="M1520" s="590"/>
      <c r="N1520" s="590" t="str">
        <f ca="1">IFERROR(__xludf.DUMMYFUNCTION("""COMPUTED_VALUE"""),"Dị_D&lt;54")</f>
        <v>Dị_D&lt;54</v>
      </c>
      <c r="O1520" s="589"/>
      <c r="P1520" s="590"/>
    </row>
    <row r="1521" spans="1:16" ht="15.75">
      <c r="A1521" s="581" t="str">
        <f ca="1">IFERROR(__xludf.DUMMYFUNCTION("""COMPUTED_VALUE"""),"J-Flex")</f>
        <v>J-Flex</v>
      </c>
      <c r="B1521" s="581" t="str">
        <f ca="1">IFERROR(__xludf.DUMMYFUNCTION("""COMPUTED_VALUE"""),"ĐJFLEXCAY")</f>
        <v>ĐJFLEXCAY</v>
      </c>
      <c r="C1521" s="581" t="str">
        <f ca="1">IFERROR(__xludf.DUMMYFUNCTION("""COMPUTED_VALUE"""),"JT1905A00029")</f>
        <v>JT1905A00029</v>
      </c>
      <c r="D1521" s="582" t="str">
        <f ca="1">IFERROR(__xludf.DUMMYFUNCTION("""COMPUTED_VALUE"""),"Đồng ống thẳng J-Flex 19.05x1.00")</f>
        <v>Đồng ống thẳng J-Flex 19.05x1.00</v>
      </c>
      <c r="E1521" s="583">
        <f ca="1">IFERROR(__xludf.DUMMYFUNCTION("""COMPUTED_VALUE"""),0.1)</f>
        <v>0.1</v>
      </c>
      <c r="F1521" s="584" t="str">
        <f ca="1">IFERROR(__xludf.DUMMYFUNCTION("""COMPUTED_VALUE"""),"Cây")</f>
        <v>Cây</v>
      </c>
      <c r="G1521" s="584" t="str">
        <f ca="1">IFERROR(__xludf.DUMMYFUNCTION("""COMPUTED_VALUE"""),"Cây 2.9m")</f>
        <v>Cây 2.9m</v>
      </c>
      <c r="H1521" s="582"/>
      <c r="I1521" s="585">
        <f ca="1">IFERROR(__xludf.DUMMYFUNCTION("""COMPUTED_VALUE"""),1.46566)</f>
        <v>1.46566</v>
      </c>
      <c r="J1521" s="586" t="str">
        <f ca="1">IFERROR(__xludf.DUMMYFUNCTION("""COMPUTED_VALUE""")," 19.05 ")</f>
        <v xml:space="preserve"> 19.05 </v>
      </c>
      <c r="K1521" s="584" t="str">
        <f ca="1">IFERROR(__xludf.DUMMYFUNCTION("""COMPUTED_VALUE"""),"1.00")</f>
        <v>1.00</v>
      </c>
      <c r="L1521" s="584">
        <f ca="1">IFERROR(__xludf.DUMMYFUNCTION("""COMPUTED_VALUE"""),2.9)</f>
        <v>2.9</v>
      </c>
      <c r="M1521" s="584"/>
      <c r="N1521" s="584" t="str">
        <f ca="1">IFERROR(__xludf.DUMMYFUNCTION("""COMPUTED_VALUE"""),"Dị_D&lt;54")</f>
        <v>Dị_D&lt;54</v>
      </c>
      <c r="O1521" s="583"/>
      <c r="P1521" s="584"/>
    </row>
    <row r="1522" spans="1:16" ht="15.75">
      <c r="A1522" s="587" t="str">
        <f ca="1">IFERROR(__xludf.DUMMYFUNCTION("""COMPUTED_VALUE"""),"J-Flex")</f>
        <v>J-Flex</v>
      </c>
      <c r="B1522" s="587" t="str">
        <f ca="1">IFERROR(__xludf.DUMMYFUNCTION("""COMPUTED_VALUE"""),"ĐJFLEXCAY")</f>
        <v>ĐJFLEXCAY</v>
      </c>
      <c r="C1522" s="587" t="str">
        <f ca="1">IFERROR(__xludf.DUMMYFUNCTION("""COMPUTED_VALUE"""),"JT1950AG0030")</f>
        <v>JT1950AG0030</v>
      </c>
      <c r="D1522" s="588" t="str">
        <f ca="1">IFERROR(__xludf.DUMMYFUNCTION("""COMPUTED_VALUE"""),"Đồng ống thẳng J-Flex 19.50x1.60x3.0")</f>
        <v>Đồng ống thẳng J-Flex 19.50x1.60x3.0</v>
      </c>
      <c r="E1522" s="589">
        <f ca="1">IFERROR(__xludf.DUMMYFUNCTION("""COMPUTED_VALUE"""),0.1)</f>
        <v>0.1</v>
      </c>
      <c r="F1522" s="590" t="str">
        <f ca="1">IFERROR(__xludf.DUMMYFUNCTION("""COMPUTED_VALUE"""),"Cây")</f>
        <v>Cây</v>
      </c>
      <c r="G1522" s="590" t="str">
        <f ca="1">IFERROR(__xludf.DUMMYFUNCTION("""COMPUTED_VALUE"""),"Cây 3m")</f>
        <v>Cây 3m</v>
      </c>
      <c r="H1522" s="588"/>
      <c r="I1522" s="591">
        <f ca="1">IFERROR(__xludf.DUMMYFUNCTION("""COMPUTED_VALUE"""),2.40576)</f>
        <v>2.4057599999999999</v>
      </c>
      <c r="J1522" s="592" t="str">
        <f ca="1">IFERROR(__xludf.DUMMYFUNCTION("""COMPUTED_VALUE""")," 19.50 ")</f>
        <v xml:space="preserve"> 19.50 </v>
      </c>
      <c r="K1522" s="590" t="str">
        <f ca="1">IFERROR(__xludf.DUMMYFUNCTION("""COMPUTED_VALUE"""),"1.60")</f>
        <v>1.60</v>
      </c>
      <c r="L1522" s="590">
        <f ca="1">IFERROR(__xludf.DUMMYFUNCTION("""COMPUTED_VALUE"""),3)</f>
        <v>3</v>
      </c>
      <c r="M1522" s="590"/>
      <c r="N1522" s="590" t="str">
        <f ca="1">IFERROR(__xludf.DUMMYFUNCTION("""COMPUTED_VALUE"""),"Dị_D&lt;54")</f>
        <v>Dị_D&lt;54</v>
      </c>
      <c r="O1522" s="589"/>
      <c r="P1522" s="590"/>
    </row>
    <row r="1523" spans="1:16" ht="15.75">
      <c r="A1523" s="581" t="str">
        <f ca="1">IFERROR(__xludf.DUMMYFUNCTION("""COMPUTED_VALUE"""),"J-Flex")</f>
        <v>J-Flex</v>
      </c>
      <c r="B1523" s="581" t="str">
        <f ca="1">IFERROR(__xludf.DUMMYFUNCTION("""COMPUTED_VALUE"""),"ĐJFLEXCAY")</f>
        <v>ĐJFLEXCAY</v>
      </c>
      <c r="C1523" s="581" t="str">
        <f ca="1">IFERROR(__xludf.DUMMYFUNCTION("""COMPUTED_VALUE"""),"JT2000AG0030")</f>
        <v>JT2000AG0030</v>
      </c>
      <c r="D1523" s="582" t="str">
        <f ca="1">IFERROR(__xludf.DUMMYFUNCTION("""COMPUTED_VALUE"""),"Đồng ống thẳng J-Flex 20.00x1.60x3.0")</f>
        <v>Đồng ống thẳng J-Flex 20.00x1.60x3.0</v>
      </c>
      <c r="E1523" s="583">
        <f ca="1">IFERROR(__xludf.DUMMYFUNCTION("""COMPUTED_VALUE"""),0.1)</f>
        <v>0.1</v>
      </c>
      <c r="F1523" s="584" t="str">
        <f ca="1">IFERROR(__xludf.DUMMYFUNCTION("""COMPUTED_VALUE"""),"Cây")</f>
        <v>Cây</v>
      </c>
      <c r="G1523" s="584" t="str">
        <f ca="1">IFERROR(__xludf.DUMMYFUNCTION("""COMPUTED_VALUE"""),"Cây 3m")</f>
        <v>Cây 3m</v>
      </c>
      <c r="H1523" s="582"/>
      <c r="I1523" s="585">
        <f ca="1">IFERROR(__xludf.DUMMYFUNCTION("""COMPUTED_VALUE"""),2.47295999999999)</f>
        <v>2.4729599999999898</v>
      </c>
      <c r="J1523" s="586" t="str">
        <f ca="1">IFERROR(__xludf.DUMMYFUNCTION("""COMPUTED_VALUE""")," 20.00 ")</f>
        <v xml:space="preserve"> 20.00 </v>
      </c>
      <c r="K1523" s="584" t="str">
        <f ca="1">IFERROR(__xludf.DUMMYFUNCTION("""COMPUTED_VALUE"""),"1.60")</f>
        <v>1.60</v>
      </c>
      <c r="L1523" s="584">
        <f ca="1">IFERROR(__xludf.DUMMYFUNCTION("""COMPUTED_VALUE"""),3)</f>
        <v>3</v>
      </c>
      <c r="M1523" s="584"/>
      <c r="N1523" s="584" t="str">
        <f ca="1">IFERROR(__xludf.DUMMYFUNCTION("""COMPUTED_VALUE"""),"Dị_D&lt;54")</f>
        <v>Dị_D&lt;54</v>
      </c>
      <c r="O1523" s="583"/>
      <c r="P1523" s="584"/>
    </row>
    <row r="1524" spans="1:16" ht="15.75">
      <c r="A1524" s="587" t="str">
        <f ca="1">IFERROR(__xludf.DUMMYFUNCTION("""COMPUTED_VALUE"""),"J-Flex")</f>
        <v>J-Flex</v>
      </c>
      <c r="B1524" s="587" t="str">
        <f ca="1">IFERROR(__xludf.DUMMYFUNCTION("""COMPUTED_VALUE"""),"ĐJFLEXCAY")</f>
        <v>ĐJFLEXCAY</v>
      </c>
      <c r="C1524" s="587" t="str">
        <f ca="1">IFERROR(__xludf.DUMMYFUNCTION("""COMPUTED_VALUE"""),"JT2000AG0031")</f>
        <v>JT2000AG0031</v>
      </c>
      <c r="D1524" s="588" t="str">
        <f ca="1">IFERROR(__xludf.DUMMYFUNCTION("""COMPUTED_VALUE"""),"Đồng ống thẳng J-Flex 20.00x1.60x3.1")</f>
        <v>Đồng ống thẳng J-Flex 20.00x1.60x3.1</v>
      </c>
      <c r="E1524" s="589">
        <f ca="1">IFERROR(__xludf.DUMMYFUNCTION("""COMPUTED_VALUE"""),0.1)</f>
        <v>0.1</v>
      </c>
      <c r="F1524" s="590" t="str">
        <f ca="1">IFERROR(__xludf.DUMMYFUNCTION("""COMPUTED_VALUE"""),"Cây")</f>
        <v>Cây</v>
      </c>
      <c r="G1524" s="590" t="str">
        <f ca="1">IFERROR(__xludf.DUMMYFUNCTION("""COMPUTED_VALUE"""),"Cây 3.1m")</f>
        <v>Cây 3.1m</v>
      </c>
      <c r="H1524" s="588"/>
      <c r="I1524" s="591">
        <f ca="1">IFERROR(__xludf.DUMMYFUNCTION("""COMPUTED_VALUE"""),2.555392)</f>
        <v>2.5553919999999999</v>
      </c>
      <c r="J1524" s="592" t="str">
        <f ca="1">IFERROR(__xludf.DUMMYFUNCTION("""COMPUTED_VALUE""")," 20.00 ")</f>
        <v xml:space="preserve"> 20.00 </v>
      </c>
      <c r="K1524" s="590" t="str">
        <f ca="1">IFERROR(__xludf.DUMMYFUNCTION("""COMPUTED_VALUE"""),"1.60")</f>
        <v>1.60</v>
      </c>
      <c r="L1524" s="590">
        <f ca="1">IFERROR(__xludf.DUMMYFUNCTION("""COMPUTED_VALUE"""),3.1)</f>
        <v>3.1</v>
      </c>
      <c r="M1524" s="590"/>
      <c r="N1524" s="590" t="str">
        <f ca="1">IFERROR(__xludf.DUMMYFUNCTION("""COMPUTED_VALUE"""),"Dị_D&lt;54")</f>
        <v>Dị_D&lt;54</v>
      </c>
      <c r="O1524" s="589"/>
      <c r="P1524" s="590"/>
    </row>
    <row r="1525" spans="1:16" ht="15.75">
      <c r="A1525" s="581" t="str">
        <f ca="1">IFERROR(__xludf.DUMMYFUNCTION("""COMPUTED_VALUE"""),"J-Flex")</f>
        <v>J-Flex</v>
      </c>
      <c r="B1525" s="581" t="str">
        <f ca="1">IFERROR(__xludf.DUMMYFUNCTION("""COMPUTED_VALUE"""),"ĐJFLEXCAY")</f>
        <v>ĐJFLEXCAY</v>
      </c>
      <c r="C1525" s="581" t="str">
        <f ca="1">IFERROR(__xludf.DUMMYFUNCTION("""COMPUTED_VALUE"""),"JT2000B00030")</f>
        <v>JT2000B00030</v>
      </c>
      <c r="D1525" s="582" t="str">
        <f ca="1">IFERROR(__xludf.DUMMYFUNCTION("""COMPUTED_VALUE"""),"Đồng ống thẳng J-Flex 20.00x2.00x3.0")</f>
        <v>Đồng ống thẳng J-Flex 20.00x2.00x3.0</v>
      </c>
      <c r="E1525" s="583">
        <f ca="1">IFERROR(__xludf.DUMMYFUNCTION("""COMPUTED_VALUE"""),0.1)</f>
        <v>0.1</v>
      </c>
      <c r="F1525" s="584" t="str">
        <f ca="1">IFERROR(__xludf.DUMMYFUNCTION("""COMPUTED_VALUE"""),"Cây")</f>
        <v>Cây</v>
      </c>
      <c r="G1525" s="584" t="str">
        <f ca="1">IFERROR(__xludf.DUMMYFUNCTION("""COMPUTED_VALUE"""),"Cây 3m")</f>
        <v>Cây 3m</v>
      </c>
      <c r="H1525" s="582"/>
      <c r="I1525" s="585">
        <f ca="1">IFERROR(__xludf.DUMMYFUNCTION("""COMPUTED_VALUE"""),3.024)</f>
        <v>3.024</v>
      </c>
      <c r="J1525" s="586" t="str">
        <f ca="1">IFERROR(__xludf.DUMMYFUNCTION("""COMPUTED_VALUE""")," 20.00 ")</f>
        <v xml:space="preserve"> 20.00 </v>
      </c>
      <c r="K1525" s="584" t="str">
        <f ca="1">IFERROR(__xludf.DUMMYFUNCTION("""COMPUTED_VALUE"""),"2.00")</f>
        <v>2.00</v>
      </c>
      <c r="L1525" s="584">
        <f ca="1">IFERROR(__xludf.DUMMYFUNCTION("""COMPUTED_VALUE"""),3)</f>
        <v>3</v>
      </c>
      <c r="M1525" s="584"/>
      <c r="N1525" s="584" t="str">
        <f ca="1">IFERROR(__xludf.DUMMYFUNCTION("""COMPUTED_VALUE"""),"Dị_D&lt;54")</f>
        <v>Dị_D&lt;54</v>
      </c>
      <c r="O1525" s="583"/>
      <c r="P1525" s="584"/>
    </row>
    <row r="1526" spans="1:16" ht="15.75">
      <c r="A1526" s="587" t="str">
        <f ca="1">IFERROR(__xludf.DUMMYFUNCTION("""COMPUTED_VALUE"""),"J-Flex")</f>
        <v>J-Flex</v>
      </c>
      <c r="B1526" s="587" t="str">
        <f ca="1">IFERROR(__xludf.DUMMYFUNCTION("""COMPUTED_VALUE"""),"ĐJFLEXCAY")</f>
        <v>ĐJFLEXCAY</v>
      </c>
      <c r="C1526" s="587" t="str">
        <f ca="1">IFERROR(__xludf.DUMMYFUNCTION("""COMPUTED_VALUE"""),"JT2100AE0030")</f>
        <v>JT2100AE0030</v>
      </c>
      <c r="D1526" s="588" t="str">
        <f ca="1">IFERROR(__xludf.DUMMYFUNCTION("""COMPUTED_VALUE"""),"Đồng ống thẳng J-Flex 21.00x1.50x3.0")</f>
        <v>Đồng ống thẳng J-Flex 21.00x1.50x3.0</v>
      </c>
      <c r="E1526" s="589">
        <f ca="1">IFERROR(__xludf.DUMMYFUNCTION("""COMPUTED_VALUE"""),0.1)</f>
        <v>0.1</v>
      </c>
      <c r="F1526" s="590" t="str">
        <f ca="1">IFERROR(__xludf.DUMMYFUNCTION("""COMPUTED_VALUE"""),"Cây")</f>
        <v>Cây</v>
      </c>
      <c r="G1526" s="590" t="str">
        <f ca="1">IFERROR(__xludf.DUMMYFUNCTION("""COMPUTED_VALUE"""),"Cây 3m")</f>
        <v>Cây 3m</v>
      </c>
      <c r="H1526" s="588"/>
      <c r="I1526" s="591">
        <f ca="1">IFERROR(__xludf.DUMMYFUNCTION("""COMPUTED_VALUE"""),2.457)</f>
        <v>2.4569999999999999</v>
      </c>
      <c r="J1526" s="592" t="str">
        <f ca="1">IFERROR(__xludf.DUMMYFUNCTION("""COMPUTED_VALUE""")," 21.00 ")</f>
        <v xml:space="preserve"> 21.00 </v>
      </c>
      <c r="K1526" s="590" t="str">
        <f ca="1">IFERROR(__xludf.DUMMYFUNCTION("""COMPUTED_VALUE"""),"1.50")</f>
        <v>1.50</v>
      </c>
      <c r="L1526" s="590">
        <f ca="1">IFERROR(__xludf.DUMMYFUNCTION("""COMPUTED_VALUE"""),3)</f>
        <v>3</v>
      </c>
      <c r="M1526" s="590"/>
      <c r="N1526" s="590" t="str">
        <f ca="1">IFERROR(__xludf.DUMMYFUNCTION("""COMPUTED_VALUE"""),"Dị_D&lt;54")</f>
        <v>Dị_D&lt;54</v>
      </c>
      <c r="O1526" s="589"/>
      <c r="P1526" s="590"/>
    </row>
    <row r="1527" spans="1:16" ht="15.75">
      <c r="A1527" s="581" t="str">
        <f ca="1">IFERROR(__xludf.DUMMYFUNCTION("""COMPUTED_VALUE"""),"J-Flex")</f>
        <v>J-Flex</v>
      </c>
      <c r="B1527" s="581" t="str">
        <f ca="1">IFERROR(__xludf.DUMMYFUNCTION("""COMPUTED_VALUE"""),"ĐJFLEXCAY")</f>
        <v>ĐJFLEXCAY</v>
      </c>
      <c r="C1527" s="581" t="str">
        <f ca="1">IFERROR(__xludf.DUMMYFUNCTION("""COMPUTED_VALUE"""),"JT2150AH0030")</f>
        <v>JT2150AH0030</v>
      </c>
      <c r="D1527" s="582" t="str">
        <f ca="1">IFERROR(__xludf.DUMMYFUNCTION("""COMPUTED_VALUE"""),"Đồng ống thẳng J-Flex 21.50x1.70x3.0")</f>
        <v>Đồng ống thẳng J-Flex 21.50x1.70x3.0</v>
      </c>
      <c r="E1527" s="583">
        <f ca="1">IFERROR(__xludf.DUMMYFUNCTION("""COMPUTED_VALUE"""),0.1)</f>
        <v>0.1</v>
      </c>
      <c r="F1527" s="584" t="str">
        <f ca="1">IFERROR(__xludf.DUMMYFUNCTION("""COMPUTED_VALUE"""),"Cây")</f>
        <v>Cây</v>
      </c>
      <c r="G1527" s="584" t="str">
        <f ca="1">IFERROR(__xludf.DUMMYFUNCTION("""COMPUTED_VALUE"""),"Cây 3m")</f>
        <v>Cây 3m</v>
      </c>
      <c r="H1527" s="582"/>
      <c r="I1527" s="585">
        <f ca="1">IFERROR(__xludf.DUMMYFUNCTION("""COMPUTED_VALUE"""),2.82744)</f>
        <v>2.8274400000000002</v>
      </c>
      <c r="J1527" s="586" t="str">
        <f ca="1">IFERROR(__xludf.DUMMYFUNCTION("""COMPUTED_VALUE""")," 21.50 ")</f>
        <v xml:space="preserve"> 21.50 </v>
      </c>
      <c r="K1527" s="584" t="str">
        <f ca="1">IFERROR(__xludf.DUMMYFUNCTION("""COMPUTED_VALUE"""),"1.70")</f>
        <v>1.70</v>
      </c>
      <c r="L1527" s="584">
        <f ca="1">IFERROR(__xludf.DUMMYFUNCTION("""COMPUTED_VALUE"""),3)</f>
        <v>3</v>
      </c>
      <c r="M1527" s="584"/>
      <c r="N1527" s="584" t="str">
        <f ca="1">IFERROR(__xludf.DUMMYFUNCTION("""COMPUTED_VALUE"""),"Dị_D&lt;54")</f>
        <v>Dị_D&lt;54</v>
      </c>
      <c r="O1527" s="583"/>
      <c r="P1527" s="584"/>
    </row>
    <row r="1528" spans="1:16" ht="15.75">
      <c r="A1528" s="587" t="str">
        <f ca="1">IFERROR(__xludf.DUMMYFUNCTION("""COMPUTED_VALUE"""),"J-Flex")</f>
        <v>J-Flex</v>
      </c>
      <c r="B1528" s="587" t="str">
        <f ca="1">IFERROR(__xludf.DUMMYFUNCTION("""COMPUTED_VALUE"""),"ĐJFLEXCAY")</f>
        <v>ĐJFLEXCAY</v>
      </c>
      <c r="C1528" s="587" t="str">
        <f ca="1">IFERROR(__xludf.DUMMYFUNCTION("""COMPUTED_VALUE"""),"JT2200AH0030")</f>
        <v>JT2200AH0030</v>
      </c>
      <c r="D1528" s="588" t="str">
        <f ca="1">IFERROR(__xludf.DUMMYFUNCTION("""COMPUTED_VALUE"""),"Đồng ống thẳng J-Flex 22.00x1.70x3.0")</f>
        <v>Đồng ống thẳng J-Flex 22.00x1.70x3.0</v>
      </c>
      <c r="E1528" s="589">
        <f ca="1">IFERROR(__xludf.DUMMYFUNCTION("""COMPUTED_VALUE"""),0.1)</f>
        <v>0.1</v>
      </c>
      <c r="F1528" s="590" t="str">
        <f ca="1">IFERROR(__xludf.DUMMYFUNCTION("""COMPUTED_VALUE"""),"Cây")</f>
        <v>Cây</v>
      </c>
      <c r="G1528" s="590" t="str">
        <f ca="1">IFERROR(__xludf.DUMMYFUNCTION("""COMPUTED_VALUE"""),"Cây 3m")</f>
        <v>Cây 3m</v>
      </c>
      <c r="H1528" s="588"/>
      <c r="I1528" s="591">
        <f ca="1">IFERROR(__xludf.DUMMYFUNCTION("""COMPUTED_VALUE"""),2.89884)</f>
        <v>2.8988399999999999</v>
      </c>
      <c r="J1528" s="592" t="str">
        <f ca="1">IFERROR(__xludf.DUMMYFUNCTION("""COMPUTED_VALUE""")," 22.00 ")</f>
        <v xml:space="preserve"> 22.00 </v>
      </c>
      <c r="K1528" s="590" t="str">
        <f ca="1">IFERROR(__xludf.DUMMYFUNCTION("""COMPUTED_VALUE"""),"1.70")</f>
        <v>1.70</v>
      </c>
      <c r="L1528" s="590">
        <f ca="1">IFERROR(__xludf.DUMMYFUNCTION("""COMPUTED_VALUE"""),3)</f>
        <v>3</v>
      </c>
      <c r="M1528" s="590"/>
      <c r="N1528" s="590" t="str">
        <f ca="1">IFERROR(__xludf.DUMMYFUNCTION("""COMPUTED_VALUE"""),"Dị_D&lt;54")</f>
        <v>Dị_D&lt;54</v>
      </c>
      <c r="O1528" s="589"/>
      <c r="P1528" s="590"/>
    </row>
    <row r="1529" spans="1:16" ht="15.75">
      <c r="A1529" s="581" t="str">
        <f ca="1">IFERROR(__xludf.DUMMYFUNCTION("""COMPUTED_VALUE"""),"J-Flex")</f>
        <v>J-Flex</v>
      </c>
      <c r="B1529" s="581" t="str">
        <f ca="1">IFERROR(__xludf.DUMMYFUNCTION("""COMPUTED_VALUE"""),"ĐJFLEXCAY")</f>
        <v>ĐJFLEXCAY</v>
      </c>
      <c r="C1529" s="581" t="str">
        <f ca="1">IFERROR(__xludf.DUMMYFUNCTION("""COMPUTED_VALUE"""),"JT22220GA029")</f>
        <v>JT22220GA029</v>
      </c>
      <c r="D1529" s="582" t="str">
        <f ca="1">IFERROR(__xludf.DUMMYFUNCTION("""COMPUTED_VALUE"""),"Đồng ống thẳng J-Flex 22.22x0.61")</f>
        <v>Đồng ống thẳng J-Flex 22.22x0.61</v>
      </c>
      <c r="E1529" s="583">
        <f ca="1">IFERROR(__xludf.DUMMYFUNCTION("""COMPUTED_VALUE"""),0.1)</f>
        <v>0.1</v>
      </c>
      <c r="F1529" s="584" t="str">
        <f ca="1">IFERROR(__xludf.DUMMYFUNCTION("""COMPUTED_VALUE"""),"Cây")</f>
        <v>Cây</v>
      </c>
      <c r="G1529" s="584" t="str">
        <f ca="1">IFERROR(__xludf.DUMMYFUNCTION("""COMPUTED_VALUE"""),"Cây 2.9m")</f>
        <v>Cây 2.9m</v>
      </c>
      <c r="H1529" s="582"/>
      <c r="I1529" s="585">
        <f ca="1">IFERROR(__xludf.DUMMYFUNCTION("""COMPUTED_VALUE"""),1.07038652)</f>
        <v>1.07038652</v>
      </c>
      <c r="J1529" s="586" t="str">
        <f ca="1">IFERROR(__xludf.DUMMYFUNCTION("""COMPUTED_VALUE""")," 22.22 ")</f>
        <v xml:space="preserve"> 22.22 </v>
      </c>
      <c r="K1529" s="584" t="str">
        <f ca="1">IFERROR(__xludf.DUMMYFUNCTION("""COMPUTED_VALUE"""),"0.61")</f>
        <v>0.61</v>
      </c>
      <c r="L1529" s="584">
        <f ca="1">IFERROR(__xludf.DUMMYFUNCTION("""COMPUTED_VALUE"""),2.9)</f>
        <v>2.9</v>
      </c>
      <c r="M1529" s="584"/>
      <c r="N1529" s="584" t="str">
        <f ca="1">IFERROR(__xludf.DUMMYFUNCTION("""COMPUTED_VALUE"""),"Dị_D&lt;54")</f>
        <v>Dị_D&lt;54</v>
      </c>
      <c r="O1529" s="583"/>
      <c r="P1529" s="584"/>
    </row>
    <row r="1530" spans="1:16" ht="15.75">
      <c r="A1530" s="587" t="str">
        <f ca="1">IFERROR(__xludf.DUMMYFUNCTION("""COMPUTED_VALUE"""),"J-Flex")</f>
        <v>J-Flex</v>
      </c>
      <c r="B1530" s="587" t="str">
        <f ca="1">IFERROR(__xludf.DUMMYFUNCTION("""COMPUTED_VALUE"""),"ĐJFLEXCAY")</f>
        <v>ĐJFLEXCAY</v>
      </c>
      <c r="C1530" s="587" t="str">
        <f ca="1">IFERROR(__xludf.DUMMYFUNCTION("""COMPUTED_VALUE"""),"JT22220HA029")</f>
        <v>JT22220HA029</v>
      </c>
      <c r="D1530" s="588" t="str">
        <f ca="1">IFERROR(__xludf.DUMMYFUNCTION("""COMPUTED_VALUE"""),"Đồng ống thẳng J-Flex 22.22x0.71")</f>
        <v>Đồng ống thẳng J-Flex 22.22x0.71</v>
      </c>
      <c r="E1530" s="589">
        <f ca="1">IFERROR(__xludf.DUMMYFUNCTION("""COMPUTED_VALUE"""),0.1)</f>
        <v>0.1</v>
      </c>
      <c r="F1530" s="590" t="str">
        <f ca="1">IFERROR(__xludf.DUMMYFUNCTION("""COMPUTED_VALUE"""),"Cây")</f>
        <v>Cây</v>
      </c>
      <c r="G1530" s="590" t="str">
        <f ca="1">IFERROR(__xludf.DUMMYFUNCTION("""COMPUTED_VALUE"""),"Cây 2.9m")</f>
        <v>Cây 2.9m</v>
      </c>
      <c r="H1530" s="588"/>
      <c r="I1530" s="591">
        <f ca="1">IFERROR(__xludf.DUMMYFUNCTION("""COMPUTED_VALUE"""),1.24009451999999)</f>
        <v>1.24009451999999</v>
      </c>
      <c r="J1530" s="592" t="str">
        <f ca="1">IFERROR(__xludf.DUMMYFUNCTION("""COMPUTED_VALUE""")," 22.22 ")</f>
        <v xml:space="preserve"> 22.22 </v>
      </c>
      <c r="K1530" s="590" t="str">
        <f ca="1">IFERROR(__xludf.DUMMYFUNCTION("""COMPUTED_VALUE"""),"0.71")</f>
        <v>0.71</v>
      </c>
      <c r="L1530" s="590">
        <f ca="1">IFERROR(__xludf.DUMMYFUNCTION("""COMPUTED_VALUE"""),2.9)</f>
        <v>2.9</v>
      </c>
      <c r="M1530" s="590"/>
      <c r="N1530" s="590" t="str">
        <f ca="1">IFERROR(__xludf.DUMMYFUNCTION("""COMPUTED_VALUE"""),"Dị_D&lt;54")</f>
        <v>Dị_D&lt;54</v>
      </c>
      <c r="O1530" s="589"/>
      <c r="P1530" s="590"/>
    </row>
    <row r="1531" spans="1:16" ht="15.75">
      <c r="A1531" s="581" t="str">
        <f ca="1">IFERROR(__xludf.DUMMYFUNCTION("""COMPUTED_VALUE"""),"J-Flex")</f>
        <v>J-Flex</v>
      </c>
      <c r="B1531" s="581" t="str">
        <f ca="1">IFERROR(__xludf.DUMMYFUNCTION("""COMPUTED_VALUE"""),"ĐJFLEXCAY")</f>
        <v>ĐJFLEXCAY</v>
      </c>
      <c r="C1531" s="581" t="str">
        <f ca="1">IFERROR(__xludf.DUMMYFUNCTION("""COMPUTED_VALUE"""),"JT22220IA029")</f>
        <v>JT22220IA029</v>
      </c>
      <c r="D1531" s="582" t="str">
        <f ca="1">IFERROR(__xludf.DUMMYFUNCTION("""COMPUTED_VALUE"""),"Đồng ống thẳng J-Flex 22.22x0.81")</f>
        <v>Đồng ống thẳng J-Flex 22.22x0.81</v>
      </c>
      <c r="E1531" s="583">
        <f ca="1">IFERROR(__xludf.DUMMYFUNCTION("""COMPUTED_VALUE"""),0.1)</f>
        <v>0.1</v>
      </c>
      <c r="F1531" s="584" t="str">
        <f ca="1">IFERROR(__xludf.DUMMYFUNCTION("""COMPUTED_VALUE"""),"Cây")</f>
        <v>Cây</v>
      </c>
      <c r="G1531" s="584" t="str">
        <f ca="1">IFERROR(__xludf.DUMMYFUNCTION("""COMPUTED_VALUE"""),"Cây 2.9m")</f>
        <v>Cây 2.9m</v>
      </c>
      <c r="H1531" s="582"/>
      <c r="I1531" s="585">
        <f ca="1">IFERROR(__xludf.DUMMYFUNCTION("""COMPUTED_VALUE"""),1.40817852)</f>
        <v>1.4081785200000001</v>
      </c>
      <c r="J1531" s="586" t="str">
        <f ca="1">IFERROR(__xludf.DUMMYFUNCTION("""COMPUTED_VALUE""")," 22.22 ")</f>
        <v xml:space="preserve"> 22.22 </v>
      </c>
      <c r="K1531" s="584" t="str">
        <f ca="1">IFERROR(__xludf.DUMMYFUNCTION("""COMPUTED_VALUE"""),"0.81")</f>
        <v>0.81</v>
      </c>
      <c r="L1531" s="584">
        <f ca="1">IFERROR(__xludf.DUMMYFUNCTION("""COMPUTED_VALUE"""),2.9)</f>
        <v>2.9</v>
      </c>
      <c r="M1531" s="584"/>
      <c r="N1531" s="584" t="str">
        <f ca="1">IFERROR(__xludf.DUMMYFUNCTION("""COMPUTED_VALUE"""),"Dị_D&lt;54")</f>
        <v>Dị_D&lt;54</v>
      </c>
      <c r="O1531" s="583"/>
      <c r="P1531" s="584"/>
    </row>
    <row r="1532" spans="1:16" ht="15.75">
      <c r="A1532" s="587" t="str">
        <f ca="1">IFERROR(__xludf.DUMMYFUNCTION("""COMPUTED_VALUE"""),"J-Flex")</f>
        <v>J-Flex</v>
      </c>
      <c r="B1532" s="587" t="str">
        <f ca="1">IFERROR(__xludf.DUMMYFUNCTION("""COMPUTED_VALUE"""),"ĐJFLEXCAY")</f>
        <v>ĐJFLEXCAY</v>
      </c>
      <c r="C1532" s="587" t="str">
        <f ca="1">IFERROR(__xludf.DUMMYFUNCTION("""COMPUTED_VALUE"""),"JT2222A0B029")</f>
        <v>JT2222A0B029</v>
      </c>
      <c r="D1532" s="588" t="str">
        <f ca="1">IFERROR(__xludf.DUMMYFUNCTION("""COMPUTED_VALUE"""),"Đồng ống thẳng J-Flex 22.22x1.02")</f>
        <v>Đồng ống thẳng J-Flex 22.22x1.02</v>
      </c>
      <c r="E1532" s="589">
        <f ca="1">IFERROR(__xludf.DUMMYFUNCTION("""COMPUTED_VALUE"""),0.1)</f>
        <v>0.1</v>
      </c>
      <c r="F1532" s="590" t="str">
        <f ca="1">IFERROR(__xludf.DUMMYFUNCTION("""COMPUTED_VALUE"""),"Cây")</f>
        <v>Cây</v>
      </c>
      <c r="G1532" s="590" t="str">
        <f ca="1">IFERROR(__xludf.DUMMYFUNCTION("""COMPUTED_VALUE"""),"Cây 2.9m")</f>
        <v>Cây 2.9m</v>
      </c>
      <c r="H1532" s="588"/>
      <c r="I1532" s="591">
        <f ca="1">IFERROR(__xludf.DUMMYFUNCTION("""COMPUTED_VALUE"""),1.7558688)</f>
        <v>1.7558688</v>
      </c>
      <c r="J1532" s="592" t="str">
        <f ca="1">IFERROR(__xludf.DUMMYFUNCTION("""COMPUTED_VALUE""")," 22.22 ")</f>
        <v xml:space="preserve"> 22.22 </v>
      </c>
      <c r="K1532" s="590" t="str">
        <f ca="1">IFERROR(__xludf.DUMMYFUNCTION("""COMPUTED_VALUE"""),"1.02")</f>
        <v>1.02</v>
      </c>
      <c r="L1532" s="590">
        <f ca="1">IFERROR(__xludf.DUMMYFUNCTION("""COMPUTED_VALUE"""),2.9)</f>
        <v>2.9</v>
      </c>
      <c r="M1532" s="590"/>
      <c r="N1532" s="590" t="str">
        <f ca="1">IFERROR(__xludf.DUMMYFUNCTION("""COMPUTED_VALUE"""),"Dị_D&lt;54")</f>
        <v>Dị_D&lt;54</v>
      </c>
      <c r="O1532" s="589"/>
      <c r="P1532" s="590"/>
    </row>
    <row r="1533" spans="1:16" ht="15.75">
      <c r="A1533" s="581" t="str">
        <f ca="1">IFERROR(__xludf.DUMMYFUNCTION("""COMPUTED_VALUE"""),"J-Flex")</f>
        <v>J-Flex</v>
      </c>
      <c r="B1533" s="581" t="str">
        <f ca="1">IFERROR(__xludf.DUMMYFUNCTION("""COMPUTED_VALUE"""),"ĐJFLEXCAY")</f>
        <v>ĐJFLEXCAY</v>
      </c>
      <c r="C1533" s="581" t="str">
        <f ca="1">IFERROR(__xludf.DUMMYFUNCTION("""COMPUTED_VALUE"""),"JT2222ABB029")</f>
        <v>JT2222ABB029</v>
      </c>
      <c r="D1533" s="582" t="str">
        <f ca="1">IFERROR(__xludf.DUMMYFUNCTION("""COMPUTED_VALUE"""),"Đồng ống thẳng J-Flex 22.22x1.22")</f>
        <v>Đồng ống thẳng J-Flex 22.22x1.22</v>
      </c>
      <c r="E1533" s="583">
        <f ca="1">IFERROR(__xludf.DUMMYFUNCTION("""COMPUTED_VALUE"""),0.1)</f>
        <v>0.1</v>
      </c>
      <c r="F1533" s="584" t="str">
        <f ca="1">IFERROR(__xludf.DUMMYFUNCTION("""COMPUTED_VALUE"""),"Cây")</f>
        <v>Cây</v>
      </c>
      <c r="G1533" s="584" t="str">
        <f ca="1">IFERROR(__xludf.DUMMYFUNCTION("""COMPUTED_VALUE"""),"Cây 2.9m")</f>
        <v>Cây 2.9m</v>
      </c>
      <c r="H1533" s="582"/>
      <c r="I1533" s="585">
        <f ca="1">IFERROR(__xludf.DUMMYFUNCTION("""COMPUTED_VALUE"""),2.08034399999999)</f>
        <v>2.08034399999999</v>
      </c>
      <c r="J1533" s="586" t="str">
        <f ca="1">IFERROR(__xludf.DUMMYFUNCTION("""COMPUTED_VALUE""")," 22.22 ")</f>
        <v xml:space="preserve"> 22.22 </v>
      </c>
      <c r="K1533" s="584" t="str">
        <f ca="1">IFERROR(__xludf.DUMMYFUNCTION("""COMPUTED_VALUE"""),"1.22")</f>
        <v>1.22</v>
      </c>
      <c r="L1533" s="584">
        <f ca="1">IFERROR(__xludf.DUMMYFUNCTION("""COMPUTED_VALUE"""),2.9)</f>
        <v>2.9</v>
      </c>
      <c r="M1533" s="584"/>
      <c r="N1533" s="584" t="str">
        <f ca="1">IFERROR(__xludf.DUMMYFUNCTION("""COMPUTED_VALUE"""),"Dị_D&lt;54")</f>
        <v>Dị_D&lt;54</v>
      </c>
      <c r="O1533" s="583"/>
      <c r="P1533" s="584"/>
    </row>
    <row r="1534" spans="1:16" ht="15.75">
      <c r="A1534" s="587" t="str">
        <f ca="1">IFERROR(__xludf.DUMMYFUNCTION("""COMPUTED_VALUE"""),"J-Flex")</f>
        <v>J-Flex</v>
      </c>
      <c r="B1534" s="587" t="str">
        <f ca="1">IFERROR(__xludf.DUMMYFUNCTION("""COMPUTED_VALUE"""),"ĐJFLEXCAY")</f>
        <v>ĐJFLEXCAY</v>
      </c>
      <c r="C1534" s="587" t="str">
        <f ca="1">IFERROR(__xludf.DUMMYFUNCTION("""COMPUTED_VALUE"""),"JT2300BA0030")</f>
        <v>JT2300BA0030</v>
      </c>
      <c r="D1534" s="588" t="str">
        <f ca="1">IFERROR(__xludf.DUMMYFUNCTION("""COMPUTED_VALUE"""),"Đồng ống thẳng J-Flex 23.00x2.10x3.0")</f>
        <v>Đồng ống thẳng J-Flex 23.00x2.10x3.0</v>
      </c>
      <c r="E1534" s="589">
        <f ca="1">IFERROR(__xludf.DUMMYFUNCTION("""COMPUTED_VALUE"""),0.1)</f>
        <v>0.1</v>
      </c>
      <c r="F1534" s="590" t="str">
        <f ca="1">IFERROR(__xludf.DUMMYFUNCTION("""COMPUTED_VALUE"""),"Cây")</f>
        <v>Cây</v>
      </c>
      <c r="G1534" s="590" t="str">
        <f ca="1">IFERROR(__xludf.DUMMYFUNCTION("""COMPUTED_VALUE"""),"Cây 3m")</f>
        <v>Cây 3m</v>
      </c>
      <c r="H1534" s="588"/>
      <c r="I1534" s="591">
        <f ca="1">IFERROR(__xludf.DUMMYFUNCTION("""COMPUTED_VALUE"""),3.68676)</f>
        <v>3.68676</v>
      </c>
      <c r="J1534" s="592" t="str">
        <f ca="1">IFERROR(__xludf.DUMMYFUNCTION("""COMPUTED_VALUE""")," 23.00 ")</f>
        <v xml:space="preserve"> 23.00 </v>
      </c>
      <c r="K1534" s="590" t="str">
        <f ca="1">IFERROR(__xludf.DUMMYFUNCTION("""COMPUTED_VALUE"""),"2.10")</f>
        <v>2.10</v>
      </c>
      <c r="L1534" s="590">
        <f ca="1">IFERROR(__xludf.DUMMYFUNCTION("""COMPUTED_VALUE"""),3)</f>
        <v>3</v>
      </c>
      <c r="M1534" s="590"/>
      <c r="N1534" s="590" t="str">
        <f ca="1">IFERROR(__xludf.DUMMYFUNCTION("""COMPUTED_VALUE"""),"Dị_D&lt;54")</f>
        <v>Dị_D&lt;54</v>
      </c>
      <c r="O1534" s="589"/>
      <c r="P1534" s="590"/>
    </row>
    <row r="1535" spans="1:16" ht="15.75">
      <c r="A1535" s="581" t="str">
        <f ca="1">IFERROR(__xludf.DUMMYFUNCTION("""COMPUTED_VALUE"""),"J-Flex")</f>
        <v>J-Flex</v>
      </c>
      <c r="B1535" s="581" t="str">
        <f ca="1">IFERROR(__xludf.DUMMYFUNCTION("""COMPUTED_VALUE"""),"ĐJFLEXCAY")</f>
        <v>ĐJFLEXCAY</v>
      </c>
      <c r="C1535" s="581" t="str">
        <f ca="1">IFERROR(__xludf.DUMMYFUNCTION("""COMPUTED_VALUE"""),"JT2350BE0030")</f>
        <v>JT2350BE0030</v>
      </c>
      <c r="D1535" s="582" t="str">
        <f ca="1">IFERROR(__xludf.DUMMYFUNCTION("""COMPUTED_VALUE"""),"Đồng ống thẳng J-Flex 23.50x2.50x3.0")</f>
        <v>Đồng ống thẳng J-Flex 23.50x2.50x3.0</v>
      </c>
      <c r="E1535" s="583">
        <f ca="1">IFERROR(__xludf.DUMMYFUNCTION("""COMPUTED_VALUE"""),0.1)</f>
        <v>0.1</v>
      </c>
      <c r="F1535" s="584" t="str">
        <f ca="1">IFERROR(__xludf.DUMMYFUNCTION("""COMPUTED_VALUE"""),"Cây")</f>
        <v>Cây</v>
      </c>
      <c r="G1535" s="584" t="str">
        <f ca="1">IFERROR(__xludf.DUMMYFUNCTION("""COMPUTED_VALUE"""),"Cây 3m")</f>
        <v>Cây 3m</v>
      </c>
      <c r="H1535" s="582"/>
      <c r="I1535" s="585">
        <f ca="1">IFERROR(__xludf.DUMMYFUNCTION("""COMPUTED_VALUE"""),4.41)</f>
        <v>4.41</v>
      </c>
      <c r="J1535" s="586" t="str">
        <f ca="1">IFERROR(__xludf.DUMMYFUNCTION("""COMPUTED_VALUE""")," 23.50 ")</f>
        <v xml:space="preserve"> 23.50 </v>
      </c>
      <c r="K1535" s="584" t="str">
        <f ca="1">IFERROR(__xludf.DUMMYFUNCTION("""COMPUTED_VALUE"""),"2.50")</f>
        <v>2.50</v>
      </c>
      <c r="L1535" s="584">
        <f ca="1">IFERROR(__xludf.DUMMYFUNCTION("""COMPUTED_VALUE"""),3)</f>
        <v>3</v>
      </c>
      <c r="M1535" s="584"/>
      <c r="N1535" s="584" t="str">
        <f ca="1">IFERROR(__xludf.DUMMYFUNCTION("""COMPUTED_VALUE"""),"Dị_D&lt;54")</f>
        <v>Dị_D&lt;54</v>
      </c>
      <c r="O1535" s="583"/>
      <c r="P1535" s="584"/>
    </row>
    <row r="1536" spans="1:16" ht="15.75">
      <c r="A1536" s="587" t="str">
        <f ca="1">IFERROR(__xludf.DUMMYFUNCTION("""COMPUTED_VALUE"""),"J-Flex")</f>
        <v>J-Flex</v>
      </c>
      <c r="B1536" s="587" t="str">
        <f ca="1">IFERROR(__xludf.DUMMYFUNCTION("""COMPUTED_VALUE"""),"ĐJFLEXCAY")</f>
        <v>ĐJFLEXCAY</v>
      </c>
      <c r="C1536" s="587" t="str">
        <f ca="1">IFERROR(__xludf.DUMMYFUNCTION("""COMPUTED_VALUE"""),"JT2400AI0030")</f>
        <v>JT2400AI0030</v>
      </c>
      <c r="D1536" s="588" t="str">
        <f ca="1">IFERROR(__xludf.DUMMYFUNCTION("""COMPUTED_VALUE"""),"Đồng ống thẳng J-Flex 24.00x1.80x3.0")</f>
        <v>Đồng ống thẳng J-Flex 24.00x1.80x3.0</v>
      </c>
      <c r="E1536" s="589">
        <f ca="1">IFERROR(__xludf.DUMMYFUNCTION("""COMPUTED_VALUE"""),0.1)</f>
        <v>0.1</v>
      </c>
      <c r="F1536" s="590" t="str">
        <f ca="1">IFERROR(__xludf.DUMMYFUNCTION("""COMPUTED_VALUE"""),"Cây")</f>
        <v>Cây</v>
      </c>
      <c r="G1536" s="590" t="str">
        <f ca="1">IFERROR(__xludf.DUMMYFUNCTION("""COMPUTED_VALUE"""),"Cây 3m")</f>
        <v>Cây 3m</v>
      </c>
      <c r="H1536" s="588"/>
      <c r="I1536" s="591">
        <f ca="1">IFERROR(__xludf.DUMMYFUNCTION("""COMPUTED_VALUE"""),3.35664)</f>
        <v>3.3566400000000001</v>
      </c>
      <c r="J1536" s="592" t="str">
        <f ca="1">IFERROR(__xludf.DUMMYFUNCTION("""COMPUTED_VALUE""")," 24.00 ")</f>
        <v xml:space="preserve"> 24.00 </v>
      </c>
      <c r="K1536" s="590" t="str">
        <f ca="1">IFERROR(__xludf.DUMMYFUNCTION("""COMPUTED_VALUE"""),"1.80")</f>
        <v>1.80</v>
      </c>
      <c r="L1536" s="590">
        <f ca="1">IFERROR(__xludf.DUMMYFUNCTION("""COMPUTED_VALUE"""),3)</f>
        <v>3</v>
      </c>
      <c r="M1536" s="590"/>
      <c r="N1536" s="590" t="str">
        <f ca="1">IFERROR(__xludf.DUMMYFUNCTION("""COMPUTED_VALUE"""),"Dị_D&lt;54")</f>
        <v>Dị_D&lt;54</v>
      </c>
      <c r="O1536" s="589"/>
      <c r="P1536" s="590"/>
    </row>
    <row r="1537" spans="1:16" ht="15.75">
      <c r="A1537" s="581" t="str">
        <f ca="1">IFERROR(__xludf.DUMMYFUNCTION("""COMPUTED_VALUE"""),"J-Flex")</f>
        <v>J-Flex</v>
      </c>
      <c r="B1537" s="581" t="str">
        <f ca="1">IFERROR(__xludf.DUMMYFUNCTION("""COMPUTED_VALUE"""),"ĐJFLEXCAY")</f>
        <v>ĐJFLEXCAY</v>
      </c>
      <c r="C1537" s="581" t="str">
        <f ca="1">IFERROR(__xludf.DUMMYFUNCTION("""COMPUTED_VALUE"""),"JT2500AE0031")</f>
        <v>JT2500AE0031</v>
      </c>
      <c r="D1537" s="582" t="str">
        <f ca="1">IFERROR(__xludf.DUMMYFUNCTION("""COMPUTED_VALUE"""),"Đồng ống thẳng J-Flex 25.00x1.50x3.1")</f>
        <v>Đồng ống thẳng J-Flex 25.00x1.50x3.1</v>
      </c>
      <c r="E1537" s="583">
        <f ca="1">IFERROR(__xludf.DUMMYFUNCTION("""COMPUTED_VALUE"""),0.1)</f>
        <v>0.1</v>
      </c>
      <c r="F1537" s="584" t="str">
        <f ca="1">IFERROR(__xludf.DUMMYFUNCTION("""COMPUTED_VALUE"""),"Cây")</f>
        <v>Cây</v>
      </c>
      <c r="G1537" s="584" t="str">
        <f ca="1">IFERROR(__xludf.DUMMYFUNCTION("""COMPUTED_VALUE"""),"Cây 3.1m")</f>
        <v>Cây 3.1m</v>
      </c>
      <c r="H1537" s="582"/>
      <c r="I1537" s="585">
        <f ca="1">IFERROR(__xludf.DUMMYFUNCTION("""COMPUTED_VALUE"""),3.0597)</f>
        <v>3.0596999999999999</v>
      </c>
      <c r="J1537" s="586" t="str">
        <f ca="1">IFERROR(__xludf.DUMMYFUNCTION("""COMPUTED_VALUE""")," 25.00 ")</f>
        <v xml:space="preserve"> 25.00 </v>
      </c>
      <c r="K1537" s="584" t="str">
        <f ca="1">IFERROR(__xludf.DUMMYFUNCTION("""COMPUTED_VALUE"""),"1.50")</f>
        <v>1.50</v>
      </c>
      <c r="L1537" s="584">
        <f ca="1">IFERROR(__xludf.DUMMYFUNCTION("""COMPUTED_VALUE"""),3.1)</f>
        <v>3.1</v>
      </c>
      <c r="M1537" s="584"/>
      <c r="N1537" s="584" t="str">
        <f ca="1">IFERROR(__xludf.DUMMYFUNCTION("""COMPUTED_VALUE"""),"Dị_D&lt;54")</f>
        <v>Dị_D&lt;54</v>
      </c>
      <c r="O1537" s="583"/>
      <c r="P1537" s="584"/>
    </row>
    <row r="1538" spans="1:16" ht="15.75">
      <c r="A1538" s="587" t="str">
        <f ca="1">IFERROR(__xludf.DUMMYFUNCTION("""COMPUTED_VALUE"""),"J-Flex")</f>
        <v>J-Flex</v>
      </c>
      <c r="B1538" s="587" t="str">
        <f ca="1">IFERROR(__xludf.DUMMYFUNCTION("""COMPUTED_VALUE"""),"ĐJFLEXCAY")</f>
        <v>ĐJFLEXCAY</v>
      </c>
      <c r="C1538" s="587" t="str">
        <f ca="1">IFERROR(__xludf.DUMMYFUNCTION("""COMPUTED_VALUE"""),"JT2500AI0030")</f>
        <v>JT2500AI0030</v>
      </c>
      <c r="D1538" s="588" t="str">
        <f ca="1">IFERROR(__xludf.DUMMYFUNCTION("""COMPUTED_VALUE"""),"Đồng ống thẳng J-Flex 25.00x1.80x3.0")</f>
        <v>Đồng ống thẳng J-Flex 25.00x1.80x3.0</v>
      </c>
      <c r="E1538" s="589">
        <f ca="1">IFERROR(__xludf.DUMMYFUNCTION("""COMPUTED_VALUE"""),0.1)</f>
        <v>0.1</v>
      </c>
      <c r="F1538" s="590" t="str">
        <f ca="1">IFERROR(__xludf.DUMMYFUNCTION("""COMPUTED_VALUE"""),"Cây")</f>
        <v>Cây</v>
      </c>
      <c r="G1538" s="590" t="str">
        <f ca="1">IFERROR(__xludf.DUMMYFUNCTION("""COMPUTED_VALUE"""),"Cây 3m")</f>
        <v>Cây 3m</v>
      </c>
      <c r="H1538" s="588"/>
      <c r="I1538" s="591">
        <f ca="1">IFERROR(__xludf.DUMMYFUNCTION("""COMPUTED_VALUE"""),3.50784)</f>
        <v>3.5078399999999998</v>
      </c>
      <c r="J1538" s="592" t="str">
        <f ca="1">IFERROR(__xludf.DUMMYFUNCTION("""COMPUTED_VALUE""")," 25.00 ")</f>
        <v xml:space="preserve"> 25.00 </v>
      </c>
      <c r="K1538" s="590" t="str">
        <f ca="1">IFERROR(__xludf.DUMMYFUNCTION("""COMPUTED_VALUE"""),"1.80")</f>
        <v>1.80</v>
      </c>
      <c r="L1538" s="590">
        <f ca="1">IFERROR(__xludf.DUMMYFUNCTION("""COMPUTED_VALUE"""),3)</f>
        <v>3</v>
      </c>
      <c r="M1538" s="590"/>
      <c r="N1538" s="590" t="str">
        <f ca="1">IFERROR(__xludf.DUMMYFUNCTION("""COMPUTED_VALUE"""),"Dị_D&lt;54")</f>
        <v>Dị_D&lt;54</v>
      </c>
      <c r="O1538" s="589"/>
      <c r="P1538" s="590"/>
    </row>
    <row r="1539" spans="1:16" ht="15.75">
      <c r="A1539" s="581" t="str">
        <f ca="1">IFERROR(__xludf.DUMMYFUNCTION("""COMPUTED_VALUE"""),"J-Flex")</f>
        <v>J-Flex</v>
      </c>
      <c r="B1539" s="581" t="str">
        <f ca="1">IFERROR(__xludf.DUMMYFUNCTION("""COMPUTED_VALUE"""),"ĐJFLEXCAY")</f>
        <v>ĐJFLEXCAY</v>
      </c>
      <c r="C1539" s="581" t="str">
        <f ca="1">IFERROR(__xludf.DUMMYFUNCTION("""COMPUTED_VALUE"""),"JT2500AK0030")</f>
        <v>JT2500AK0030</v>
      </c>
      <c r="D1539" s="582" t="str">
        <f ca="1">IFERROR(__xludf.DUMMYFUNCTION("""COMPUTED_VALUE"""),"Đồng ống thẳng J-Flex 25.00x1.90x3.0")</f>
        <v>Đồng ống thẳng J-Flex 25.00x1.90x3.0</v>
      </c>
      <c r="E1539" s="583">
        <f ca="1">IFERROR(__xludf.DUMMYFUNCTION("""COMPUTED_VALUE"""),0.1)</f>
        <v>0.1</v>
      </c>
      <c r="F1539" s="584" t="str">
        <f ca="1">IFERROR(__xludf.DUMMYFUNCTION("""COMPUTED_VALUE"""),"Cây")</f>
        <v>Cây</v>
      </c>
      <c r="G1539" s="584" t="str">
        <f ca="1">IFERROR(__xludf.DUMMYFUNCTION("""COMPUTED_VALUE"""),"Cây 3m")</f>
        <v>Cây 3m</v>
      </c>
      <c r="H1539" s="582"/>
      <c r="I1539" s="585">
        <f ca="1">IFERROR(__xludf.DUMMYFUNCTION("""COMPUTED_VALUE"""),3.68676)</f>
        <v>3.68676</v>
      </c>
      <c r="J1539" s="586" t="str">
        <f ca="1">IFERROR(__xludf.DUMMYFUNCTION("""COMPUTED_VALUE""")," 25.00 ")</f>
        <v xml:space="preserve"> 25.00 </v>
      </c>
      <c r="K1539" s="584" t="str">
        <f ca="1">IFERROR(__xludf.DUMMYFUNCTION("""COMPUTED_VALUE"""),"1.90")</f>
        <v>1.90</v>
      </c>
      <c r="L1539" s="584">
        <f ca="1">IFERROR(__xludf.DUMMYFUNCTION("""COMPUTED_VALUE"""),3)</f>
        <v>3</v>
      </c>
      <c r="M1539" s="584"/>
      <c r="N1539" s="584" t="str">
        <f ca="1">IFERROR(__xludf.DUMMYFUNCTION("""COMPUTED_VALUE"""),"Dị_D&lt;54")</f>
        <v>Dị_D&lt;54</v>
      </c>
      <c r="O1539" s="583"/>
      <c r="P1539" s="584"/>
    </row>
    <row r="1540" spans="1:16" ht="15.75">
      <c r="A1540" s="587" t="str">
        <f ca="1">IFERROR(__xludf.DUMMYFUNCTION("""COMPUTED_VALUE"""),"J-Flex")</f>
        <v>J-Flex</v>
      </c>
      <c r="B1540" s="587" t="str">
        <f ca="1">IFERROR(__xludf.DUMMYFUNCTION("""COMPUTED_VALUE"""),"ĐJFLEXCAY")</f>
        <v>ĐJFLEXCAY</v>
      </c>
      <c r="C1540" s="587" t="str">
        <f ca="1">IFERROR(__xludf.DUMMYFUNCTION("""COMPUTED_VALUE"""),"JT2500B00030")</f>
        <v>JT2500B00030</v>
      </c>
      <c r="D1540" s="588" t="str">
        <f ca="1">IFERROR(__xludf.DUMMYFUNCTION("""COMPUTED_VALUE"""),"Đồng ống thẳng J-Flex 25.00x2.00x3.0")</f>
        <v>Đồng ống thẳng J-Flex 25.00x2.00x3.0</v>
      </c>
      <c r="E1540" s="589">
        <f ca="1">IFERROR(__xludf.DUMMYFUNCTION("""COMPUTED_VALUE"""),0.1)</f>
        <v>0.1</v>
      </c>
      <c r="F1540" s="590" t="str">
        <f ca="1">IFERROR(__xludf.DUMMYFUNCTION("""COMPUTED_VALUE"""),"Cây")</f>
        <v>Cây</v>
      </c>
      <c r="G1540" s="590" t="str">
        <f ca="1">IFERROR(__xludf.DUMMYFUNCTION("""COMPUTED_VALUE"""),"Cây 3m")</f>
        <v>Cây 3m</v>
      </c>
      <c r="H1540" s="588"/>
      <c r="I1540" s="591">
        <f ca="1">IFERROR(__xludf.DUMMYFUNCTION("""COMPUTED_VALUE"""),3.864)</f>
        <v>3.8639999999999999</v>
      </c>
      <c r="J1540" s="592" t="str">
        <f ca="1">IFERROR(__xludf.DUMMYFUNCTION("""COMPUTED_VALUE""")," 25.00 ")</f>
        <v xml:space="preserve"> 25.00 </v>
      </c>
      <c r="K1540" s="590" t="str">
        <f ca="1">IFERROR(__xludf.DUMMYFUNCTION("""COMPUTED_VALUE"""),"2.00")</f>
        <v>2.00</v>
      </c>
      <c r="L1540" s="590">
        <f ca="1">IFERROR(__xludf.DUMMYFUNCTION("""COMPUTED_VALUE"""),3)</f>
        <v>3</v>
      </c>
      <c r="M1540" s="590"/>
      <c r="N1540" s="590" t="str">
        <f ca="1">IFERROR(__xludf.DUMMYFUNCTION("""COMPUTED_VALUE"""),"Dị_D&lt;54")</f>
        <v>Dị_D&lt;54</v>
      </c>
      <c r="O1540" s="589"/>
      <c r="P1540" s="590"/>
    </row>
    <row r="1541" spans="1:16" ht="15.75">
      <c r="A1541" s="581" t="str">
        <f ca="1">IFERROR(__xludf.DUMMYFUNCTION("""COMPUTED_VALUE"""),"J-Flex")</f>
        <v>J-Flex</v>
      </c>
      <c r="B1541" s="581" t="str">
        <f ca="1">IFERROR(__xludf.DUMMYFUNCTION("""COMPUTED_VALUE"""),"ĐJFLEXCAY")</f>
        <v>ĐJFLEXCAY</v>
      </c>
      <c r="C1541" s="581" t="str">
        <f ca="1">IFERROR(__xludf.DUMMYFUNCTION("""COMPUTED_VALUE"""),"JT25400HA029")</f>
        <v>JT25400HA029</v>
      </c>
      <c r="D1541" s="582" t="str">
        <f ca="1">IFERROR(__xludf.DUMMYFUNCTION("""COMPUTED_VALUE"""),"Đồng ống thẳng J-Flex 25.4x0.71")</f>
        <v>Đồng ống thẳng J-Flex 25.4x0.71</v>
      </c>
      <c r="E1541" s="583">
        <f ca="1">IFERROR(__xludf.DUMMYFUNCTION("""COMPUTED_VALUE"""),0.1)</f>
        <v>0.1</v>
      </c>
      <c r="F1541" s="584" t="str">
        <f ca="1">IFERROR(__xludf.DUMMYFUNCTION("""COMPUTED_VALUE"""),"Cây")</f>
        <v>Cây</v>
      </c>
      <c r="G1541" s="584" t="str">
        <f ca="1">IFERROR(__xludf.DUMMYFUNCTION("""COMPUTED_VALUE"""),"Cây 2.9m")</f>
        <v>Cây 2.9m</v>
      </c>
      <c r="H1541" s="582"/>
      <c r="I1541" s="585">
        <f ca="1">IFERROR(__xludf.DUMMYFUNCTION("""COMPUTED_VALUE"""),1.42342788)</f>
        <v>1.42342788</v>
      </c>
      <c r="J1541" s="586" t="str">
        <f ca="1">IFERROR(__xludf.DUMMYFUNCTION("""COMPUTED_VALUE""")," 25.40 ")</f>
        <v xml:space="preserve"> 25.40 </v>
      </c>
      <c r="K1541" s="584" t="str">
        <f ca="1">IFERROR(__xludf.DUMMYFUNCTION("""COMPUTED_VALUE"""),"0.71")</f>
        <v>0.71</v>
      </c>
      <c r="L1541" s="584">
        <f ca="1">IFERROR(__xludf.DUMMYFUNCTION("""COMPUTED_VALUE"""),2.9)</f>
        <v>2.9</v>
      </c>
      <c r="M1541" s="584"/>
      <c r="N1541" s="584" t="str">
        <f ca="1">IFERROR(__xludf.DUMMYFUNCTION("""COMPUTED_VALUE"""),"Dị_D&lt;54")</f>
        <v>Dị_D&lt;54</v>
      </c>
      <c r="O1541" s="583"/>
      <c r="P1541" s="584"/>
    </row>
    <row r="1542" spans="1:16" ht="15.75">
      <c r="A1542" s="587" t="str">
        <f ca="1">IFERROR(__xludf.DUMMYFUNCTION("""COMPUTED_VALUE"""),"J-Flex")</f>
        <v>J-Flex</v>
      </c>
      <c r="B1542" s="587" t="str">
        <f ca="1">IFERROR(__xludf.DUMMYFUNCTION("""COMPUTED_VALUE"""),"ĐJFLEXCAY")</f>
        <v>ĐJFLEXCAY</v>
      </c>
      <c r="C1542" s="587" t="str">
        <f ca="1">IFERROR(__xludf.DUMMYFUNCTION("""COMPUTED_VALUE"""),"JT25400IA029")</f>
        <v>JT25400IA029</v>
      </c>
      <c r="D1542" s="588" t="str">
        <f ca="1">IFERROR(__xludf.DUMMYFUNCTION("""COMPUTED_VALUE"""),"Đồng ống thẳng J-Flex 25.4x0.81")</f>
        <v>Đồng ống thẳng J-Flex 25.4x0.81</v>
      </c>
      <c r="E1542" s="589">
        <f ca="1">IFERROR(__xludf.DUMMYFUNCTION("""COMPUTED_VALUE"""),0.1)</f>
        <v>0.1</v>
      </c>
      <c r="F1542" s="590" t="str">
        <f ca="1">IFERROR(__xludf.DUMMYFUNCTION("""COMPUTED_VALUE"""),"Cây")</f>
        <v>Cây</v>
      </c>
      <c r="G1542" s="590" t="str">
        <f ca="1">IFERROR(__xludf.DUMMYFUNCTION("""COMPUTED_VALUE"""),"Cây 2.9m")</f>
        <v>Cây 2.9m</v>
      </c>
      <c r="H1542" s="588"/>
      <c r="I1542" s="591">
        <f ca="1">IFERROR(__xludf.DUMMYFUNCTION("""COMPUTED_VALUE"""),1.61733347999999)</f>
        <v>1.6173334799999901</v>
      </c>
      <c r="J1542" s="592" t="str">
        <f ca="1">IFERROR(__xludf.DUMMYFUNCTION("""COMPUTED_VALUE""")," 25.40 ")</f>
        <v xml:space="preserve"> 25.40 </v>
      </c>
      <c r="K1542" s="590" t="str">
        <f ca="1">IFERROR(__xludf.DUMMYFUNCTION("""COMPUTED_VALUE"""),"0.81")</f>
        <v>0.81</v>
      </c>
      <c r="L1542" s="590">
        <f ca="1">IFERROR(__xludf.DUMMYFUNCTION("""COMPUTED_VALUE"""),2.9)</f>
        <v>2.9</v>
      </c>
      <c r="M1542" s="590"/>
      <c r="N1542" s="590" t="str">
        <f ca="1">IFERROR(__xludf.DUMMYFUNCTION("""COMPUTED_VALUE"""),"Dị_D&lt;54")</f>
        <v>Dị_D&lt;54</v>
      </c>
      <c r="O1542" s="589"/>
      <c r="P1542" s="590"/>
    </row>
    <row r="1543" spans="1:16" ht="15.75">
      <c r="A1543" s="581" t="str">
        <f ca="1">IFERROR(__xludf.DUMMYFUNCTION("""COMPUTED_VALUE"""),"J-Flex")</f>
        <v>J-Flex</v>
      </c>
      <c r="B1543" s="581" t="str">
        <f ca="1">IFERROR(__xludf.DUMMYFUNCTION("""COMPUTED_VALUE"""),"ĐJFLEXCAY")</f>
        <v>ĐJFLEXCAY</v>
      </c>
      <c r="C1543" s="581" t="str">
        <f ca="1">IFERROR(__xludf.DUMMYFUNCTION("""COMPUTED_VALUE"""),"JT2540A0B029")</f>
        <v>JT2540A0B029</v>
      </c>
      <c r="D1543" s="582" t="str">
        <f ca="1">IFERROR(__xludf.DUMMYFUNCTION("""COMPUTED_VALUE"""),"Đồng ống thẳng J-Flex 25.4x1.02")</f>
        <v>Đồng ống thẳng J-Flex 25.4x1.02</v>
      </c>
      <c r="E1543" s="583">
        <f ca="1">IFERROR(__xludf.DUMMYFUNCTION("""COMPUTED_VALUE"""),0.1)</f>
        <v>0.1</v>
      </c>
      <c r="F1543" s="584" t="str">
        <f ca="1">IFERROR(__xludf.DUMMYFUNCTION("""COMPUTED_VALUE"""),"Cây")</f>
        <v>Cây</v>
      </c>
      <c r="G1543" s="584" t="str">
        <f ca="1">IFERROR(__xludf.DUMMYFUNCTION("""COMPUTED_VALUE"""),"Cây 2.9m")</f>
        <v>Cây 2.9m</v>
      </c>
      <c r="H1543" s="582"/>
      <c r="I1543" s="585">
        <f ca="1">IFERROR(__xludf.DUMMYFUNCTION("""COMPUTED_VALUE"""),2.01924912)</f>
        <v>2.01924912</v>
      </c>
      <c r="J1543" s="586" t="str">
        <f ca="1">IFERROR(__xludf.DUMMYFUNCTION("""COMPUTED_VALUE""")," 25.40 ")</f>
        <v xml:space="preserve"> 25.40 </v>
      </c>
      <c r="K1543" s="584" t="str">
        <f ca="1">IFERROR(__xludf.DUMMYFUNCTION("""COMPUTED_VALUE"""),"1.02")</f>
        <v>1.02</v>
      </c>
      <c r="L1543" s="584">
        <f ca="1">IFERROR(__xludf.DUMMYFUNCTION("""COMPUTED_VALUE"""),2.9)</f>
        <v>2.9</v>
      </c>
      <c r="M1543" s="584"/>
      <c r="N1543" s="584" t="str">
        <f ca="1">IFERROR(__xludf.DUMMYFUNCTION("""COMPUTED_VALUE"""),"Dị_D&lt;54")</f>
        <v>Dị_D&lt;54</v>
      </c>
      <c r="O1543" s="583"/>
      <c r="P1543" s="584"/>
    </row>
    <row r="1544" spans="1:16" ht="15.75">
      <c r="A1544" s="587" t="str">
        <f ca="1">IFERROR(__xludf.DUMMYFUNCTION("""COMPUTED_VALUE"""),"J-Flex")</f>
        <v>J-Flex</v>
      </c>
      <c r="B1544" s="587" t="str">
        <f ca="1">IFERROR(__xludf.DUMMYFUNCTION("""COMPUTED_VALUE"""),"ĐJFLEXCAY")</f>
        <v>ĐJFLEXCAY</v>
      </c>
      <c r="C1544" s="587" t="str">
        <f ca="1">IFERROR(__xludf.DUMMYFUNCTION("""COMPUTED_VALUE"""),"JT2650BHE030")</f>
        <v>JT2650BHE030</v>
      </c>
      <c r="D1544" s="588" t="str">
        <f ca="1">IFERROR(__xludf.DUMMYFUNCTION("""COMPUTED_VALUE"""),"Đồng ống thẳng J-Flex 26.50x2.75x3.0")</f>
        <v>Đồng ống thẳng J-Flex 26.50x2.75x3.0</v>
      </c>
      <c r="E1544" s="589">
        <f ca="1">IFERROR(__xludf.DUMMYFUNCTION("""COMPUTED_VALUE"""),0.1)</f>
        <v>0.1</v>
      </c>
      <c r="F1544" s="590" t="str">
        <f ca="1">IFERROR(__xludf.DUMMYFUNCTION("""COMPUTED_VALUE"""),"Cây")</f>
        <v>Cây</v>
      </c>
      <c r="G1544" s="590" t="str">
        <f ca="1">IFERROR(__xludf.DUMMYFUNCTION("""COMPUTED_VALUE"""),"Cây 3m")</f>
        <v>Cây 3m</v>
      </c>
      <c r="H1544" s="588"/>
      <c r="I1544" s="591">
        <f ca="1">IFERROR(__xludf.DUMMYFUNCTION("""COMPUTED_VALUE"""),5.48625)</f>
        <v>5.4862500000000001</v>
      </c>
      <c r="J1544" s="592" t="str">
        <f ca="1">IFERROR(__xludf.DUMMYFUNCTION("""COMPUTED_VALUE""")," 26.50 ")</f>
        <v xml:space="preserve"> 26.50 </v>
      </c>
      <c r="K1544" s="590" t="str">
        <f ca="1">IFERROR(__xludf.DUMMYFUNCTION("""COMPUTED_VALUE"""),"2.75")</f>
        <v>2.75</v>
      </c>
      <c r="L1544" s="590">
        <f ca="1">IFERROR(__xludf.DUMMYFUNCTION("""COMPUTED_VALUE"""),3)</f>
        <v>3</v>
      </c>
      <c r="M1544" s="590"/>
      <c r="N1544" s="590" t="str">
        <f ca="1">IFERROR(__xludf.DUMMYFUNCTION("""COMPUTED_VALUE"""),"Dị_D&lt;54")</f>
        <v>Dị_D&lt;54</v>
      </c>
      <c r="O1544" s="589"/>
      <c r="P1544" s="590"/>
    </row>
    <row r="1545" spans="1:16" ht="15.75">
      <c r="A1545" s="581" t="str">
        <f ca="1">IFERROR(__xludf.DUMMYFUNCTION("""COMPUTED_VALUE"""),"J-Flex")</f>
        <v>J-Flex</v>
      </c>
      <c r="B1545" s="581" t="str">
        <f ca="1">IFERROR(__xludf.DUMMYFUNCTION("""COMPUTED_VALUE"""),"ĐJFLEXCAY")</f>
        <v>ĐJFLEXCAY</v>
      </c>
      <c r="C1545" s="581" t="str">
        <f ca="1">IFERROR(__xludf.DUMMYFUNCTION("""COMPUTED_VALUE"""),"JT2700BG0030")</f>
        <v>JT2700BG0030</v>
      </c>
      <c r="D1545" s="582" t="str">
        <f ca="1">IFERROR(__xludf.DUMMYFUNCTION("""COMPUTED_VALUE"""),"Đồng ống thẳng J-Flex 27.00x2.60x3.0")</f>
        <v>Đồng ống thẳng J-Flex 27.00x2.60x3.0</v>
      </c>
      <c r="E1545" s="583">
        <f ca="1">IFERROR(__xludf.DUMMYFUNCTION("""COMPUTED_VALUE"""),0.1)</f>
        <v>0.1</v>
      </c>
      <c r="F1545" s="584" t="str">
        <f ca="1">IFERROR(__xludf.DUMMYFUNCTION("""COMPUTED_VALUE"""),"Cây")</f>
        <v>Cây</v>
      </c>
      <c r="G1545" s="584" t="str">
        <f ca="1">IFERROR(__xludf.DUMMYFUNCTION("""COMPUTED_VALUE"""),"Cây 3m")</f>
        <v>Cây 3m</v>
      </c>
      <c r="H1545" s="582"/>
      <c r="I1545" s="585">
        <f ca="1">IFERROR(__xludf.DUMMYFUNCTION("""COMPUTED_VALUE"""),5.32895999999999)</f>
        <v>5.3289599999999897</v>
      </c>
      <c r="J1545" s="586" t="str">
        <f ca="1">IFERROR(__xludf.DUMMYFUNCTION("""COMPUTED_VALUE""")," 27.00 ")</f>
        <v xml:space="preserve"> 27.00 </v>
      </c>
      <c r="K1545" s="584" t="str">
        <f ca="1">IFERROR(__xludf.DUMMYFUNCTION("""COMPUTED_VALUE"""),"2.60")</f>
        <v>2.60</v>
      </c>
      <c r="L1545" s="584">
        <f ca="1">IFERROR(__xludf.DUMMYFUNCTION("""COMPUTED_VALUE"""),3)</f>
        <v>3</v>
      </c>
      <c r="M1545" s="584"/>
      <c r="N1545" s="584" t="str">
        <f ca="1">IFERROR(__xludf.DUMMYFUNCTION("""COMPUTED_VALUE"""),"Dị_D&lt;54")</f>
        <v>Dị_D&lt;54</v>
      </c>
      <c r="O1545" s="583"/>
      <c r="P1545" s="584"/>
    </row>
    <row r="1546" spans="1:16" ht="15.75">
      <c r="A1546" s="587" t="str">
        <f ca="1">IFERROR(__xludf.DUMMYFUNCTION("""COMPUTED_VALUE"""),"J-Flex")</f>
        <v>J-Flex</v>
      </c>
      <c r="B1546" s="587" t="str">
        <f ca="1">IFERROR(__xludf.DUMMYFUNCTION("""COMPUTED_VALUE"""),"ĐJFLEXCAY")</f>
        <v>ĐJFLEXCAY</v>
      </c>
      <c r="C1546" s="587" t="str">
        <f ca="1">IFERROR(__xludf.DUMMYFUNCTION("""COMPUTED_VALUE"""),"JT2800B00030")</f>
        <v>JT2800B00030</v>
      </c>
      <c r="D1546" s="588" t="str">
        <f ca="1">IFERROR(__xludf.DUMMYFUNCTION("""COMPUTED_VALUE"""),"Đồng ống thẳng J-Flex 28.00x2.00x3.0")</f>
        <v>Đồng ống thẳng J-Flex 28.00x2.00x3.0</v>
      </c>
      <c r="E1546" s="589">
        <f ca="1">IFERROR(__xludf.DUMMYFUNCTION("""COMPUTED_VALUE"""),0.1)</f>
        <v>0.1</v>
      </c>
      <c r="F1546" s="590" t="str">
        <f ca="1">IFERROR(__xludf.DUMMYFUNCTION("""COMPUTED_VALUE"""),"Cây")</f>
        <v>Cây</v>
      </c>
      <c r="G1546" s="590" t="str">
        <f ca="1">IFERROR(__xludf.DUMMYFUNCTION("""COMPUTED_VALUE"""),"Cây 3m")</f>
        <v>Cây 3m</v>
      </c>
      <c r="H1546" s="588"/>
      <c r="I1546" s="591">
        <f ca="1">IFERROR(__xludf.DUMMYFUNCTION("""COMPUTED_VALUE"""),4.368)</f>
        <v>4.3680000000000003</v>
      </c>
      <c r="J1546" s="592" t="str">
        <f ca="1">IFERROR(__xludf.DUMMYFUNCTION("""COMPUTED_VALUE""")," 28.00 ")</f>
        <v xml:space="preserve"> 28.00 </v>
      </c>
      <c r="K1546" s="590" t="str">
        <f ca="1">IFERROR(__xludf.DUMMYFUNCTION("""COMPUTED_VALUE"""),"2.00")</f>
        <v>2.00</v>
      </c>
      <c r="L1546" s="590">
        <f ca="1">IFERROR(__xludf.DUMMYFUNCTION("""COMPUTED_VALUE"""),3)</f>
        <v>3</v>
      </c>
      <c r="M1546" s="590"/>
      <c r="N1546" s="590" t="str">
        <f ca="1">IFERROR(__xludf.DUMMYFUNCTION("""COMPUTED_VALUE"""),"Dị_D&lt;54")</f>
        <v>Dị_D&lt;54</v>
      </c>
      <c r="O1546" s="589"/>
      <c r="P1546" s="590"/>
    </row>
    <row r="1547" spans="1:16" ht="15.75">
      <c r="A1547" s="581" t="str">
        <f ca="1">IFERROR(__xludf.DUMMYFUNCTION("""COMPUTED_VALUE"""),"J-Flex")</f>
        <v>J-Flex</v>
      </c>
      <c r="B1547" s="581" t="str">
        <f ca="1">IFERROR(__xludf.DUMMYFUNCTION("""COMPUTED_VALUE"""),"ĐJFLEXCAY")</f>
        <v>ĐJFLEXCAY</v>
      </c>
      <c r="C1547" s="581" t="str">
        <f ca="1">IFERROR(__xludf.DUMMYFUNCTION("""COMPUTED_VALUE"""),"JT2800BA0030")</f>
        <v>JT2800BA0030</v>
      </c>
      <c r="D1547" s="582" t="str">
        <f ca="1">IFERROR(__xludf.DUMMYFUNCTION("""COMPUTED_VALUE"""),"Đồng ống thẳng J-Flex 28.00x2.10x3.0")</f>
        <v>Đồng ống thẳng J-Flex 28.00x2.10x3.0</v>
      </c>
      <c r="E1547" s="583">
        <f ca="1">IFERROR(__xludf.DUMMYFUNCTION("""COMPUTED_VALUE"""),0.1)</f>
        <v>0.1</v>
      </c>
      <c r="F1547" s="584" t="str">
        <f ca="1">IFERROR(__xludf.DUMMYFUNCTION("""COMPUTED_VALUE"""),"Cây")</f>
        <v>Cây</v>
      </c>
      <c r="G1547" s="584" t="str">
        <f ca="1">IFERROR(__xludf.DUMMYFUNCTION("""COMPUTED_VALUE"""),"Cây 3m")</f>
        <v>Cây 3m</v>
      </c>
      <c r="H1547" s="582"/>
      <c r="I1547" s="585">
        <f ca="1">IFERROR(__xludf.DUMMYFUNCTION("""COMPUTED_VALUE"""),4.56876)</f>
        <v>4.5687600000000002</v>
      </c>
      <c r="J1547" s="586" t="str">
        <f ca="1">IFERROR(__xludf.DUMMYFUNCTION("""COMPUTED_VALUE""")," 28.00 ")</f>
        <v xml:space="preserve"> 28.00 </v>
      </c>
      <c r="K1547" s="584" t="str">
        <f ca="1">IFERROR(__xludf.DUMMYFUNCTION("""COMPUTED_VALUE"""),"2.10")</f>
        <v>2.10</v>
      </c>
      <c r="L1547" s="584">
        <f ca="1">IFERROR(__xludf.DUMMYFUNCTION("""COMPUTED_VALUE"""),3)</f>
        <v>3</v>
      </c>
      <c r="M1547" s="584"/>
      <c r="N1547" s="584" t="str">
        <f ca="1">IFERROR(__xludf.DUMMYFUNCTION("""COMPUTED_VALUE"""),"Dị_D&lt;54")</f>
        <v>Dị_D&lt;54</v>
      </c>
      <c r="O1547" s="583"/>
      <c r="P1547" s="584"/>
    </row>
    <row r="1548" spans="1:16" ht="15.75">
      <c r="A1548" s="587" t="str">
        <f ca="1">IFERROR(__xludf.DUMMYFUNCTION("""COMPUTED_VALUE"""),"J-Flex")</f>
        <v>J-Flex</v>
      </c>
      <c r="B1548" s="587" t="str">
        <f ca="1">IFERROR(__xludf.DUMMYFUNCTION("""COMPUTED_VALUE"""),"ĐJFLEXCAY")</f>
        <v>ĐJFLEXCAY</v>
      </c>
      <c r="C1548" s="587" t="str">
        <f ca="1">IFERROR(__xludf.DUMMYFUNCTION("""COMPUTED_VALUE"""),"JT2858ABH029")</f>
        <v>JT2858ABH029</v>
      </c>
      <c r="D1548" s="588" t="str">
        <f ca="1">IFERROR(__xludf.DUMMYFUNCTION("""COMPUTED_VALUE"""),"Đồng ống thẳng J-Flex 28.58x1.27")</f>
        <v>Đồng ống thẳng J-Flex 28.58x1.27</v>
      </c>
      <c r="E1548" s="589">
        <f ca="1">IFERROR(__xludf.DUMMYFUNCTION("""COMPUTED_VALUE"""),0.1)</f>
        <v>0.1</v>
      </c>
      <c r="F1548" s="590" t="str">
        <f ca="1">IFERROR(__xludf.DUMMYFUNCTION("""COMPUTED_VALUE"""),"Cây")</f>
        <v>Cây</v>
      </c>
      <c r="G1548" s="590" t="str">
        <f ca="1">IFERROR(__xludf.DUMMYFUNCTION("""COMPUTED_VALUE"""),"Cây 2.9m")</f>
        <v>Cây 2.9m</v>
      </c>
      <c r="H1548" s="588"/>
      <c r="I1548" s="591">
        <f ca="1">IFERROR(__xludf.DUMMYFUNCTION("""COMPUTED_VALUE"""),2.81631644)</f>
        <v>2.81631644</v>
      </c>
      <c r="J1548" s="592" t="str">
        <f ca="1">IFERROR(__xludf.DUMMYFUNCTION("""COMPUTED_VALUE""")," 28.58 ")</f>
        <v xml:space="preserve"> 28.58 </v>
      </c>
      <c r="K1548" s="590" t="str">
        <f ca="1">IFERROR(__xludf.DUMMYFUNCTION("""COMPUTED_VALUE"""),"1.27")</f>
        <v>1.27</v>
      </c>
      <c r="L1548" s="590">
        <f ca="1">IFERROR(__xludf.DUMMYFUNCTION("""COMPUTED_VALUE"""),2.9)</f>
        <v>2.9</v>
      </c>
      <c r="M1548" s="590"/>
      <c r="N1548" s="590" t="str">
        <f ca="1">IFERROR(__xludf.DUMMYFUNCTION("""COMPUTED_VALUE"""),"Dị_D&lt;54")</f>
        <v>Dị_D&lt;54</v>
      </c>
      <c r="O1548" s="589"/>
      <c r="P1548" s="590"/>
    </row>
    <row r="1549" spans="1:16" ht="15.75">
      <c r="A1549" s="581" t="str">
        <f ca="1">IFERROR(__xludf.DUMMYFUNCTION("""COMPUTED_VALUE"""),"J-Flex")</f>
        <v>J-Flex</v>
      </c>
      <c r="B1549" s="581" t="str">
        <f ca="1">IFERROR(__xludf.DUMMYFUNCTION("""COMPUTED_VALUE"""),"ĐJFLEXCAY")</f>
        <v>ĐJFLEXCAY</v>
      </c>
      <c r="C1549" s="581" t="str">
        <f ca="1">IFERROR(__xludf.DUMMYFUNCTION("""COMPUTED_VALUE"""),"JT28580HA029")</f>
        <v>JT28580HA029</v>
      </c>
      <c r="D1549" s="582" t="str">
        <f ca="1">IFERROR(__xludf.DUMMYFUNCTION("""COMPUTED_VALUE"""),"Đồng ống thẳng J-Flex 28.58x0.71")</f>
        <v>Đồng ống thẳng J-Flex 28.58x0.71</v>
      </c>
      <c r="E1549" s="583">
        <f ca="1">IFERROR(__xludf.DUMMYFUNCTION("""COMPUTED_VALUE"""),0.1)</f>
        <v>0.1</v>
      </c>
      <c r="F1549" s="584" t="str">
        <f ca="1">IFERROR(__xludf.DUMMYFUNCTION("""COMPUTED_VALUE"""),"Cây")</f>
        <v>Cây</v>
      </c>
      <c r="G1549" s="584" t="str">
        <f ca="1">IFERROR(__xludf.DUMMYFUNCTION("""COMPUTED_VALUE"""),"Cây 2.9m")</f>
        <v>Cây 2.9m</v>
      </c>
      <c r="H1549" s="582"/>
      <c r="I1549" s="585">
        <f ca="1">IFERROR(__xludf.DUMMYFUNCTION("""COMPUTED_VALUE"""),1.60676124)</f>
        <v>1.60676124</v>
      </c>
      <c r="J1549" s="586" t="str">
        <f ca="1">IFERROR(__xludf.DUMMYFUNCTION("""COMPUTED_VALUE""")," 28.58 ")</f>
        <v xml:space="preserve"> 28.58 </v>
      </c>
      <c r="K1549" s="584" t="str">
        <f ca="1">IFERROR(__xludf.DUMMYFUNCTION("""COMPUTED_VALUE"""),"0.71")</f>
        <v>0.71</v>
      </c>
      <c r="L1549" s="584">
        <f ca="1">IFERROR(__xludf.DUMMYFUNCTION("""COMPUTED_VALUE"""),2.9)</f>
        <v>2.9</v>
      </c>
      <c r="M1549" s="584"/>
      <c r="N1549" s="584" t="str">
        <f ca="1">IFERROR(__xludf.DUMMYFUNCTION("""COMPUTED_VALUE"""),"Dị_D&lt;54")</f>
        <v>Dị_D&lt;54</v>
      </c>
      <c r="O1549" s="583"/>
      <c r="P1549" s="584"/>
    </row>
    <row r="1550" spans="1:16" ht="15.75">
      <c r="A1550" s="587" t="str">
        <f ca="1">IFERROR(__xludf.DUMMYFUNCTION("""COMPUTED_VALUE"""),"J-Flex")</f>
        <v>J-Flex</v>
      </c>
      <c r="B1550" s="587" t="str">
        <f ca="1">IFERROR(__xludf.DUMMYFUNCTION("""COMPUTED_VALUE"""),"ĐJFLEXCAY")</f>
        <v>ĐJFLEXCAY</v>
      </c>
      <c r="C1550" s="587" t="str">
        <f ca="1">IFERROR(__xludf.DUMMYFUNCTION("""COMPUTED_VALUE"""),"JT28580IA029")</f>
        <v>JT28580IA029</v>
      </c>
      <c r="D1550" s="588" t="str">
        <f ca="1">IFERROR(__xludf.DUMMYFUNCTION("""COMPUTED_VALUE"""),"Đồng ống thẳng J-Flex 28.58x0.81")</f>
        <v>Đồng ống thẳng J-Flex 28.58x0.81</v>
      </c>
      <c r="E1550" s="589">
        <f ca="1">IFERROR(__xludf.DUMMYFUNCTION("""COMPUTED_VALUE"""),0.1)</f>
        <v>0.1</v>
      </c>
      <c r="F1550" s="590" t="str">
        <f ca="1">IFERROR(__xludf.DUMMYFUNCTION("""COMPUTED_VALUE"""),"Cây")</f>
        <v>Cây</v>
      </c>
      <c r="G1550" s="590" t="str">
        <f ca="1">IFERROR(__xludf.DUMMYFUNCTION("""COMPUTED_VALUE"""),"Cây 2.9m")</f>
        <v>Cây 2.9m</v>
      </c>
      <c r="H1550" s="588"/>
      <c r="I1550" s="591">
        <f ca="1">IFERROR(__xludf.DUMMYFUNCTION("""COMPUTED_VALUE"""),1.82648844)</f>
        <v>1.8264884400000001</v>
      </c>
      <c r="J1550" s="592" t="str">
        <f ca="1">IFERROR(__xludf.DUMMYFUNCTION("""COMPUTED_VALUE""")," 28.58 ")</f>
        <v xml:space="preserve"> 28.58 </v>
      </c>
      <c r="K1550" s="590" t="str">
        <f ca="1">IFERROR(__xludf.DUMMYFUNCTION("""COMPUTED_VALUE"""),"0.81")</f>
        <v>0.81</v>
      </c>
      <c r="L1550" s="590">
        <f ca="1">IFERROR(__xludf.DUMMYFUNCTION("""COMPUTED_VALUE"""),2.9)</f>
        <v>2.9</v>
      </c>
      <c r="M1550" s="590"/>
      <c r="N1550" s="590" t="str">
        <f ca="1">IFERROR(__xludf.DUMMYFUNCTION("""COMPUTED_VALUE"""),"Dị_D&lt;54")</f>
        <v>Dị_D&lt;54</v>
      </c>
      <c r="O1550" s="589"/>
      <c r="P1550" s="590"/>
    </row>
    <row r="1551" spans="1:16" ht="15.75">
      <c r="A1551" s="581" t="str">
        <f ca="1">IFERROR(__xludf.DUMMYFUNCTION("""COMPUTED_VALUE"""),"J-Flex")</f>
        <v>J-Flex</v>
      </c>
      <c r="B1551" s="581" t="str">
        <f ca="1">IFERROR(__xludf.DUMMYFUNCTION("""COMPUTED_VALUE"""),"ĐJFLEXCAY")</f>
        <v>ĐJFLEXCAY</v>
      </c>
      <c r="C1551" s="581" t="str">
        <f ca="1">IFERROR(__xludf.DUMMYFUNCTION("""COMPUTED_VALUE"""),"JT2858A0B029")</f>
        <v>JT2858A0B029</v>
      </c>
      <c r="D1551" s="582" t="str">
        <f ca="1">IFERROR(__xludf.DUMMYFUNCTION("""COMPUTED_VALUE"""),"Đồng ống thẳng J-Flex 28.58x1.02")</f>
        <v>Đồng ống thẳng J-Flex 28.58x1.02</v>
      </c>
      <c r="E1551" s="583">
        <f ca="1">IFERROR(__xludf.DUMMYFUNCTION("""COMPUTED_VALUE"""),0.1)</f>
        <v>0.1</v>
      </c>
      <c r="F1551" s="584" t="str">
        <f ca="1">IFERROR(__xludf.DUMMYFUNCTION("""COMPUTED_VALUE"""),"Cây")</f>
        <v>Cây</v>
      </c>
      <c r="G1551" s="584" t="str">
        <f ca="1">IFERROR(__xludf.DUMMYFUNCTION("""COMPUTED_VALUE"""),"Cây 2.9m")</f>
        <v>Cây 2.9m</v>
      </c>
      <c r="H1551" s="582"/>
      <c r="I1551" s="585">
        <f ca="1">IFERROR(__xludf.DUMMYFUNCTION("""COMPUTED_VALUE"""),2.28262944)</f>
        <v>2.28262944</v>
      </c>
      <c r="J1551" s="586" t="str">
        <f ca="1">IFERROR(__xludf.DUMMYFUNCTION("""COMPUTED_VALUE""")," 28.58 ")</f>
        <v xml:space="preserve"> 28.58 </v>
      </c>
      <c r="K1551" s="584" t="str">
        <f ca="1">IFERROR(__xludf.DUMMYFUNCTION("""COMPUTED_VALUE"""),"1.02")</f>
        <v>1.02</v>
      </c>
      <c r="L1551" s="584">
        <f ca="1">IFERROR(__xludf.DUMMYFUNCTION("""COMPUTED_VALUE"""),2.9)</f>
        <v>2.9</v>
      </c>
      <c r="M1551" s="584"/>
      <c r="N1551" s="584" t="str">
        <f ca="1">IFERROR(__xludf.DUMMYFUNCTION("""COMPUTED_VALUE"""),"Dị_D&lt;54")</f>
        <v>Dị_D&lt;54</v>
      </c>
      <c r="O1551" s="583"/>
      <c r="P1551" s="584"/>
    </row>
    <row r="1552" spans="1:16" ht="15.75">
      <c r="A1552" s="587" t="str">
        <f ca="1">IFERROR(__xludf.DUMMYFUNCTION("""COMPUTED_VALUE"""),"J-Flex")</f>
        <v>J-Flex</v>
      </c>
      <c r="B1552" s="587" t="str">
        <f ca="1">IFERROR(__xludf.DUMMYFUNCTION("""COMPUTED_VALUE"""),"ĐJFLEXCAY")</f>
        <v>ĐJFLEXCAY</v>
      </c>
      <c r="C1552" s="587" t="str">
        <f ca="1">IFERROR(__xludf.DUMMYFUNCTION("""COMPUTED_VALUE"""),"JT2858ABB029")</f>
        <v>JT2858ABB029</v>
      </c>
      <c r="D1552" s="588" t="str">
        <f ca="1">IFERROR(__xludf.DUMMYFUNCTION("""COMPUTED_VALUE"""),"Đồng ống thẳng J-Flex 28.58x1.22")</f>
        <v>Đồng ống thẳng J-Flex 28.58x1.22</v>
      </c>
      <c r="E1552" s="589">
        <f ca="1">IFERROR(__xludf.DUMMYFUNCTION("""COMPUTED_VALUE"""),0.1)</f>
        <v>0.1</v>
      </c>
      <c r="F1552" s="590" t="str">
        <f ca="1">IFERROR(__xludf.DUMMYFUNCTION("""COMPUTED_VALUE"""),"Cây")</f>
        <v>Cây</v>
      </c>
      <c r="G1552" s="590" t="str">
        <f ca="1">IFERROR(__xludf.DUMMYFUNCTION("""COMPUTED_VALUE"""),"Cây 2.9m")</f>
        <v>Cây 2.9m</v>
      </c>
      <c r="H1552" s="588"/>
      <c r="I1552" s="591">
        <f ca="1">IFERROR(__xludf.DUMMYFUNCTION("""COMPUTED_VALUE"""),2.71039103999999)</f>
        <v>2.71039103999999</v>
      </c>
      <c r="J1552" s="592" t="str">
        <f ca="1">IFERROR(__xludf.DUMMYFUNCTION("""COMPUTED_VALUE""")," 28.58 ")</f>
        <v xml:space="preserve"> 28.58 </v>
      </c>
      <c r="K1552" s="590" t="str">
        <f ca="1">IFERROR(__xludf.DUMMYFUNCTION("""COMPUTED_VALUE"""),"1.22")</f>
        <v>1.22</v>
      </c>
      <c r="L1552" s="590">
        <f ca="1">IFERROR(__xludf.DUMMYFUNCTION("""COMPUTED_VALUE"""),2.9)</f>
        <v>2.9</v>
      </c>
      <c r="M1552" s="590"/>
      <c r="N1552" s="590" t="str">
        <f ca="1">IFERROR(__xludf.DUMMYFUNCTION("""COMPUTED_VALUE"""),"Dị_D&lt;54")</f>
        <v>Dị_D&lt;54</v>
      </c>
      <c r="O1552" s="589"/>
      <c r="P1552" s="590"/>
    </row>
    <row r="1553" spans="1:16" ht="15.75">
      <c r="A1553" s="581" t="str">
        <f ca="1">IFERROR(__xludf.DUMMYFUNCTION("""COMPUTED_VALUE"""),"J-Flex")</f>
        <v>J-Flex</v>
      </c>
      <c r="B1553" s="581" t="str">
        <f ca="1">IFERROR(__xludf.DUMMYFUNCTION("""COMPUTED_VALUE"""),"ĐJFLEXCAY")</f>
        <v>ĐJFLEXCAY</v>
      </c>
      <c r="C1553" s="581" t="str">
        <f ca="1">IFERROR(__xludf.DUMMYFUNCTION("""COMPUTED_VALUE"""),"JT2900BC0030")</f>
        <v>JT2900BC0030</v>
      </c>
      <c r="D1553" s="582" t="str">
        <f ca="1">IFERROR(__xludf.DUMMYFUNCTION("""COMPUTED_VALUE"""),"Đồng ống thẳng J-Flex 29.00x2.30x3.0")</f>
        <v>Đồng ống thẳng J-Flex 29.00x2.30x3.0</v>
      </c>
      <c r="E1553" s="583">
        <f ca="1">IFERROR(__xludf.DUMMYFUNCTION("""COMPUTED_VALUE"""),0.1)</f>
        <v>0.1</v>
      </c>
      <c r="F1553" s="584" t="str">
        <f ca="1">IFERROR(__xludf.DUMMYFUNCTION("""COMPUTED_VALUE"""),"Cây")</f>
        <v>Cây</v>
      </c>
      <c r="G1553" s="584" t="str">
        <f ca="1">IFERROR(__xludf.DUMMYFUNCTION("""COMPUTED_VALUE"""),"Cây 3m")</f>
        <v>Cây 3m</v>
      </c>
      <c r="H1553" s="582"/>
      <c r="I1553" s="585">
        <f ca="1">IFERROR(__xludf.DUMMYFUNCTION("""COMPUTED_VALUE"""),5.15844)</f>
        <v>5.1584399999999997</v>
      </c>
      <c r="J1553" s="586" t="str">
        <f ca="1">IFERROR(__xludf.DUMMYFUNCTION("""COMPUTED_VALUE""")," 29.00 ")</f>
        <v xml:space="preserve"> 29.00 </v>
      </c>
      <c r="K1553" s="584" t="str">
        <f ca="1">IFERROR(__xludf.DUMMYFUNCTION("""COMPUTED_VALUE"""),"2.30")</f>
        <v>2.30</v>
      </c>
      <c r="L1553" s="584">
        <f ca="1">IFERROR(__xludf.DUMMYFUNCTION("""COMPUTED_VALUE"""),3)</f>
        <v>3</v>
      </c>
      <c r="M1553" s="584"/>
      <c r="N1553" s="584" t="str">
        <f ca="1">IFERROR(__xludf.DUMMYFUNCTION("""COMPUTED_VALUE"""),"Dị_D&lt;54")</f>
        <v>Dị_D&lt;54</v>
      </c>
      <c r="O1553" s="583"/>
      <c r="P1553" s="584"/>
    </row>
    <row r="1554" spans="1:16" ht="15.75">
      <c r="A1554" s="587" t="str">
        <f ca="1">IFERROR(__xludf.DUMMYFUNCTION("""COMPUTED_VALUE"""),"J-Flex")</f>
        <v>J-Flex</v>
      </c>
      <c r="B1554" s="587" t="str">
        <f ca="1">IFERROR(__xludf.DUMMYFUNCTION("""COMPUTED_VALUE"""),"ĐJFLEXCAY")</f>
        <v>ĐJFLEXCAY</v>
      </c>
      <c r="C1554" s="587" t="str">
        <f ca="1">IFERROR(__xludf.DUMMYFUNCTION("""COMPUTED_VALUE"""),"JT2900CA0030")</f>
        <v>JT2900CA0030</v>
      </c>
      <c r="D1554" s="588" t="str">
        <f ca="1">IFERROR(__xludf.DUMMYFUNCTION("""COMPUTED_VALUE"""),"Đồng ống thẳng J-Flex 29.00x3.10x3.0")</f>
        <v>Đồng ống thẳng J-Flex 29.00x3.10x3.0</v>
      </c>
      <c r="E1554" s="589">
        <f ca="1">IFERROR(__xludf.DUMMYFUNCTION("""COMPUTED_VALUE"""),0.1)</f>
        <v>0.1</v>
      </c>
      <c r="F1554" s="590" t="str">
        <f ca="1">IFERROR(__xludf.DUMMYFUNCTION("""COMPUTED_VALUE"""),"Cây")</f>
        <v>Cây</v>
      </c>
      <c r="G1554" s="590" t="str">
        <f ca="1">IFERROR(__xludf.DUMMYFUNCTION("""COMPUTED_VALUE"""),"Cây 3m")</f>
        <v>Cây 3m</v>
      </c>
      <c r="H1554" s="588"/>
      <c r="I1554" s="591">
        <f ca="1">IFERROR(__xludf.DUMMYFUNCTION("""COMPUTED_VALUE"""),6.74435999999999)</f>
        <v>6.7443599999999897</v>
      </c>
      <c r="J1554" s="592" t="str">
        <f ca="1">IFERROR(__xludf.DUMMYFUNCTION("""COMPUTED_VALUE""")," 29.00 ")</f>
        <v xml:space="preserve"> 29.00 </v>
      </c>
      <c r="K1554" s="590" t="str">
        <f ca="1">IFERROR(__xludf.DUMMYFUNCTION("""COMPUTED_VALUE"""),"3.10")</f>
        <v>3.10</v>
      </c>
      <c r="L1554" s="590">
        <f ca="1">IFERROR(__xludf.DUMMYFUNCTION("""COMPUTED_VALUE"""),3)</f>
        <v>3</v>
      </c>
      <c r="M1554" s="590"/>
      <c r="N1554" s="590" t="str">
        <f ca="1">IFERROR(__xludf.DUMMYFUNCTION("""COMPUTED_VALUE"""),"Dị_D&lt;54")</f>
        <v>Dị_D&lt;54</v>
      </c>
      <c r="O1554" s="589"/>
      <c r="P1554" s="590"/>
    </row>
    <row r="1555" spans="1:16" ht="15.75">
      <c r="A1555" s="581" t="str">
        <f ca="1">IFERROR(__xludf.DUMMYFUNCTION("""COMPUTED_VALUE"""),"J-Flex")</f>
        <v>J-Flex</v>
      </c>
      <c r="B1555" s="581" t="str">
        <f ca="1">IFERROR(__xludf.DUMMYFUNCTION("""COMPUTED_VALUE"""),"ĐJFLEXCAY")</f>
        <v>ĐJFLEXCAY</v>
      </c>
      <c r="C1555" s="581" t="str">
        <f ca="1">IFERROR(__xludf.DUMMYFUNCTION("""COMPUTED_VALUE"""),"JT3000B00030")</f>
        <v>JT3000B00030</v>
      </c>
      <c r="D1555" s="582" t="str">
        <f ca="1">IFERROR(__xludf.DUMMYFUNCTION("""COMPUTED_VALUE"""),"Đồng ống thẳng J-Flex 30.00x2.00x3.0")</f>
        <v>Đồng ống thẳng J-Flex 30.00x2.00x3.0</v>
      </c>
      <c r="E1555" s="583">
        <f ca="1">IFERROR(__xludf.DUMMYFUNCTION("""COMPUTED_VALUE"""),0.1)</f>
        <v>0.1</v>
      </c>
      <c r="F1555" s="584" t="str">
        <f ca="1">IFERROR(__xludf.DUMMYFUNCTION("""COMPUTED_VALUE"""),"Cây")</f>
        <v>Cây</v>
      </c>
      <c r="G1555" s="584" t="str">
        <f ca="1">IFERROR(__xludf.DUMMYFUNCTION("""COMPUTED_VALUE"""),"Cây 3m")</f>
        <v>Cây 3m</v>
      </c>
      <c r="H1555" s="582"/>
      <c r="I1555" s="585">
        <f ca="1">IFERROR(__xludf.DUMMYFUNCTION("""COMPUTED_VALUE"""),4.704)</f>
        <v>4.7039999999999997</v>
      </c>
      <c r="J1555" s="586" t="str">
        <f ca="1">IFERROR(__xludf.DUMMYFUNCTION("""COMPUTED_VALUE""")," 30.00 ")</f>
        <v xml:space="preserve"> 30.00 </v>
      </c>
      <c r="K1555" s="584" t="str">
        <f ca="1">IFERROR(__xludf.DUMMYFUNCTION("""COMPUTED_VALUE"""),"2.00")</f>
        <v>2.00</v>
      </c>
      <c r="L1555" s="584">
        <f ca="1">IFERROR(__xludf.DUMMYFUNCTION("""COMPUTED_VALUE"""),3)</f>
        <v>3</v>
      </c>
      <c r="M1555" s="584"/>
      <c r="N1555" s="584" t="str">
        <f ca="1">IFERROR(__xludf.DUMMYFUNCTION("""COMPUTED_VALUE"""),"Dị_D&lt;54")</f>
        <v>Dị_D&lt;54</v>
      </c>
      <c r="O1555" s="583"/>
      <c r="P1555" s="584"/>
    </row>
    <row r="1556" spans="1:16" ht="15.75">
      <c r="A1556" s="587" t="str">
        <f ca="1">IFERROR(__xludf.DUMMYFUNCTION("""COMPUTED_VALUE"""),"J-Flex")</f>
        <v>J-Flex</v>
      </c>
      <c r="B1556" s="587" t="str">
        <f ca="1">IFERROR(__xludf.DUMMYFUNCTION("""COMPUTED_VALUE"""),"ĐJFLEXCAY")</f>
        <v>ĐJFLEXCAY</v>
      </c>
      <c r="C1556" s="587" t="str">
        <f ca="1">IFERROR(__xludf.DUMMYFUNCTION("""COMPUTED_VALUE"""),"JT3000BI0030")</f>
        <v>JT3000BI0030</v>
      </c>
      <c r="D1556" s="588" t="str">
        <f ca="1">IFERROR(__xludf.DUMMYFUNCTION("""COMPUTED_VALUE"""),"Đồng ống thẳng J-Flex 30.00x2.80x3.0")</f>
        <v>Đồng ống thẳng J-Flex 30.00x2.80x3.0</v>
      </c>
      <c r="E1556" s="589">
        <f ca="1">IFERROR(__xludf.DUMMYFUNCTION("""COMPUTED_VALUE"""),0.1)</f>
        <v>0.1</v>
      </c>
      <c r="F1556" s="590" t="str">
        <f ca="1">IFERROR(__xludf.DUMMYFUNCTION("""COMPUTED_VALUE"""),"Cây")</f>
        <v>Cây</v>
      </c>
      <c r="G1556" s="590" t="str">
        <f ca="1">IFERROR(__xludf.DUMMYFUNCTION("""COMPUTED_VALUE"""),"Cây 3m")</f>
        <v>Cây 3m</v>
      </c>
      <c r="H1556" s="588"/>
      <c r="I1556" s="591">
        <f ca="1">IFERROR(__xludf.DUMMYFUNCTION("""COMPUTED_VALUE"""),6.39744)</f>
        <v>6.3974399999999996</v>
      </c>
      <c r="J1556" s="592" t="str">
        <f ca="1">IFERROR(__xludf.DUMMYFUNCTION("""COMPUTED_VALUE""")," 30.00 ")</f>
        <v xml:space="preserve"> 30.00 </v>
      </c>
      <c r="K1556" s="590" t="str">
        <f ca="1">IFERROR(__xludf.DUMMYFUNCTION("""COMPUTED_VALUE"""),"2.80")</f>
        <v>2.80</v>
      </c>
      <c r="L1556" s="590">
        <f ca="1">IFERROR(__xludf.DUMMYFUNCTION("""COMPUTED_VALUE"""),3)</f>
        <v>3</v>
      </c>
      <c r="M1556" s="590"/>
      <c r="N1556" s="590" t="str">
        <f ca="1">IFERROR(__xludf.DUMMYFUNCTION("""COMPUTED_VALUE"""),"Dị_D&lt;54")</f>
        <v>Dị_D&lt;54</v>
      </c>
      <c r="O1556" s="589"/>
      <c r="P1556" s="590"/>
    </row>
    <row r="1557" spans="1:16" ht="15.75">
      <c r="A1557" s="581" t="str">
        <f ca="1">IFERROR(__xludf.DUMMYFUNCTION("""COMPUTED_VALUE"""),"J-Flex")</f>
        <v>J-Flex</v>
      </c>
      <c r="B1557" s="581" t="str">
        <f ca="1">IFERROR(__xludf.DUMMYFUNCTION("""COMPUTED_VALUE"""),"ĐJFLEXCAY")</f>
        <v>ĐJFLEXCAY</v>
      </c>
      <c r="C1557" s="581" t="str">
        <f ca="1">IFERROR(__xludf.DUMMYFUNCTION("""COMPUTED_VALUE"""),"JT3050BD0030")</f>
        <v>JT3050BD0030</v>
      </c>
      <c r="D1557" s="582" t="str">
        <f ca="1">IFERROR(__xludf.DUMMYFUNCTION("""COMPUTED_VALUE"""),"Đồng ống thẳng J-Flex 30.50x2.40x3.0")</f>
        <v>Đồng ống thẳng J-Flex 30.50x2.40x3.0</v>
      </c>
      <c r="E1557" s="583">
        <f ca="1">IFERROR(__xludf.DUMMYFUNCTION("""COMPUTED_VALUE"""),0.1)</f>
        <v>0.1</v>
      </c>
      <c r="F1557" s="584" t="str">
        <f ca="1">IFERROR(__xludf.DUMMYFUNCTION("""COMPUTED_VALUE"""),"Cây")</f>
        <v>Cây</v>
      </c>
      <c r="G1557" s="584" t="str">
        <f ca="1">IFERROR(__xludf.DUMMYFUNCTION("""COMPUTED_VALUE"""),"Cây 3m")</f>
        <v>Cây 3m</v>
      </c>
      <c r="H1557" s="582"/>
      <c r="I1557" s="585">
        <f ca="1">IFERROR(__xludf.DUMMYFUNCTION("""COMPUTED_VALUE"""),5.66496)</f>
        <v>5.6649599999999998</v>
      </c>
      <c r="J1557" s="586" t="str">
        <f ca="1">IFERROR(__xludf.DUMMYFUNCTION("""COMPUTED_VALUE""")," 30.50 ")</f>
        <v xml:space="preserve"> 30.50 </v>
      </c>
      <c r="K1557" s="584" t="str">
        <f ca="1">IFERROR(__xludf.DUMMYFUNCTION("""COMPUTED_VALUE"""),"2.40")</f>
        <v>2.40</v>
      </c>
      <c r="L1557" s="584">
        <f ca="1">IFERROR(__xludf.DUMMYFUNCTION("""COMPUTED_VALUE"""),3)</f>
        <v>3</v>
      </c>
      <c r="M1557" s="584"/>
      <c r="N1557" s="584" t="str">
        <f ca="1">IFERROR(__xludf.DUMMYFUNCTION("""COMPUTED_VALUE"""),"Dị_D&lt;54")</f>
        <v>Dị_D&lt;54</v>
      </c>
      <c r="O1557" s="583"/>
      <c r="P1557" s="584"/>
    </row>
    <row r="1558" spans="1:16" ht="15.75">
      <c r="A1558" s="587" t="str">
        <f ca="1">IFERROR(__xludf.DUMMYFUNCTION("""COMPUTED_VALUE"""),"J-Flex")</f>
        <v>J-Flex</v>
      </c>
      <c r="B1558" s="587" t="str">
        <f ca="1">IFERROR(__xludf.DUMMYFUNCTION("""COMPUTED_VALUE"""),"ĐJFLEXCAY")</f>
        <v>ĐJFLEXCAY</v>
      </c>
      <c r="C1558" s="587" t="str">
        <f ca="1">IFERROR(__xludf.DUMMYFUNCTION("""COMPUTED_VALUE"""),"JT31750HA029")</f>
        <v>JT31750HA029</v>
      </c>
      <c r="D1558" s="588" t="str">
        <f ca="1">IFERROR(__xludf.DUMMYFUNCTION("""COMPUTED_VALUE"""),"Đồng ống thẳng J-Flex 31.75x0.71")</f>
        <v>Đồng ống thẳng J-Flex 31.75x0.71</v>
      </c>
      <c r="E1558" s="589">
        <f ca="1">IFERROR(__xludf.DUMMYFUNCTION("""COMPUTED_VALUE"""),0.1)</f>
        <v>0.1</v>
      </c>
      <c r="F1558" s="590" t="str">
        <f ca="1">IFERROR(__xludf.DUMMYFUNCTION("""COMPUTED_VALUE"""),"Cây")</f>
        <v>Cây</v>
      </c>
      <c r="G1558" s="590" t="str">
        <f ca="1">IFERROR(__xludf.DUMMYFUNCTION("""COMPUTED_VALUE"""),"Cây 2.9m")</f>
        <v>Cây 2.9m</v>
      </c>
      <c r="H1558" s="588"/>
      <c r="I1558" s="591">
        <f ca="1">IFERROR(__xludf.DUMMYFUNCTION("""COMPUTED_VALUE"""),1.78951808)</f>
        <v>1.7895180799999999</v>
      </c>
      <c r="J1558" s="592" t="str">
        <f ca="1">IFERROR(__xludf.DUMMYFUNCTION("""COMPUTED_VALUE""")," 31.75 ")</f>
        <v xml:space="preserve"> 31.75 </v>
      </c>
      <c r="K1558" s="590" t="str">
        <f ca="1">IFERROR(__xludf.DUMMYFUNCTION("""COMPUTED_VALUE"""),"0.71")</f>
        <v>0.71</v>
      </c>
      <c r="L1558" s="590">
        <f ca="1">IFERROR(__xludf.DUMMYFUNCTION("""COMPUTED_VALUE"""),2.9)</f>
        <v>2.9</v>
      </c>
      <c r="M1558" s="590"/>
      <c r="N1558" s="590" t="str">
        <f ca="1">IFERROR(__xludf.DUMMYFUNCTION("""COMPUTED_VALUE"""),"Dị_D&lt;54")</f>
        <v>Dị_D&lt;54</v>
      </c>
      <c r="O1558" s="589"/>
      <c r="P1558" s="590"/>
    </row>
    <row r="1559" spans="1:16" ht="15.75">
      <c r="A1559" s="581" t="str">
        <f ca="1">IFERROR(__xludf.DUMMYFUNCTION("""COMPUTED_VALUE"""),"J-Flex")</f>
        <v>J-Flex</v>
      </c>
      <c r="B1559" s="581" t="str">
        <f ca="1">IFERROR(__xludf.DUMMYFUNCTION("""COMPUTED_VALUE"""),"ĐJFLEXCAY")</f>
        <v>ĐJFLEXCAY</v>
      </c>
      <c r="C1559" s="581" t="str">
        <f ca="1">IFERROR(__xludf.DUMMYFUNCTION("""COMPUTED_VALUE"""),"JT31750IA029")</f>
        <v>JT31750IA029</v>
      </c>
      <c r="D1559" s="582" t="str">
        <f ca="1">IFERROR(__xludf.DUMMYFUNCTION("""COMPUTED_VALUE"""),"Đồng ống thẳng J-Flex 31.75x0.81")</f>
        <v>Đồng ống thẳng J-Flex 31.75x0.81</v>
      </c>
      <c r="E1559" s="583">
        <f ca="1">IFERROR(__xludf.DUMMYFUNCTION("""COMPUTED_VALUE"""),0.1)</f>
        <v>0.1</v>
      </c>
      <c r="F1559" s="584" t="str">
        <f ca="1">IFERROR(__xludf.DUMMYFUNCTION("""COMPUTED_VALUE"""),"Cây")</f>
        <v>Cây</v>
      </c>
      <c r="G1559" s="584" t="str">
        <f ca="1">IFERROR(__xludf.DUMMYFUNCTION("""COMPUTED_VALUE"""),"Cây 2.9m")</f>
        <v>Cây 2.9m</v>
      </c>
      <c r="H1559" s="582"/>
      <c r="I1559" s="585">
        <f ca="1">IFERROR(__xludf.DUMMYFUNCTION("""COMPUTED_VALUE"""),2.03498568)</f>
        <v>2.0349856800000001</v>
      </c>
      <c r="J1559" s="586" t="str">
        <f ca="1">IFERROR(__xludf.DUMMYFUNCTION("""COMPUTED_VALUE""")," 31.75 ")</f>
        <v xml:space="preserve"> 31.75 </v>
      </c>
      <c r="K1559" s="584" t="str">
        <f ca="1">IFERROR(__xludf.DUMMYFUNCTION("""COMPUTED_VALUE"""),"0.81")</f>
        <v>0.81</v>
      </c>
      <c r="L1559" s="584">
        <f ca="1">IFERROR(__xludf.DUMMYFUNCTION("""COMPUTED_VALUE"""),2.9)</f>
        <v>2.9</v>
      </c>
      <c r="M1559" s="584"/>
      <c r="N1559" s="584" t="str">
        <f ca="1">IFERROR(__xludf.DUMMYFUNCTION("""COMPUTED_VALUE"""),"Dị_D&lt;54")</f>
        <v>Dị_D&lt;54</v>
      </c>
      <c r="O1559" s="583"/>
      <c r="P1559" s="584"/>
    </row>
    <row r="1560" spans="1:16" ht="15.75">
      <c r="A1560" s="587" t="str">
        <f ca="1">IFERROR(__xludf.DUMMYFUNCTION("""COMPUTED_VALUE"""),"J-Flex")</f>
        <v>J-Flex</v>
      </c>
      <c r="B1560" s="587" t="str">
        <f ca="1">IFERROR(__xludf.DUMMYFUNCTION("""COMPUTED_VALUE"""),"ĐJFLEXCAY")</f>
        <v>ĐJFLEXCAY</v>
      </c>
      <c r="C1560" s="587" t="str">
        <f ca="1">IFERROR(__xludf.DUMMYFUNCTION("""COMPUTED_VALUE"""),"JT3175A0B029")</f>
        <v>JT3175A0B029</v>
      </c>
      <c r="D1560" s="588" t="str">
        <f ca="1">IFERROR(__xludf.DUMMYFUNCTION("""COMPUTED_VALUE"""),"Đồng ống thẳng J-Flex 31.75x1.02")</f>
        <v>Đồng ống thẳng J-Flex 31.75x1.02</v>
      </c>
      <c r="E1560" s="589">
        <f ca="1">IFERROR(__xludf.DUMMYFUNCTION("""COMPUTED_VALUE"""),0.1)</f>
        <v>0.1</v>
      </c>
      <c r="F1560" s="590" t="str">
        <f ca="1">IFERROR(__xludf.DUMMYFUNCTION("""COMPUTED_VALUE"""),"Cây")</f>
        <v>Cây</v>
      </c>
      <c r="G1560" s="590" t="str">
        <f ca="1">IFERROR(__xludf.DUMMYFUNCTION("""COMPUTED_VALUE"""),"Cây 2.9m")</f>
        <v>Cây 2.9m</v>
      </c>
      <c r="H1560" s="588"/>
      <c r="I1560" s="591">
        <f ca="1">IFERROR(__xludf.DUMMYFUNCTION("""COMPUTED_VALUE"""),2.54518152)</f>
        <v>2.5451815199999999</v>
      </c>
      <c r="J1560" s="592" t="str">
        <f ca="1">IFERROR(__xludf.DUMMYFUNCTION("""COMPUTED_VALUE""")," 31.75 ")</f>
        <v xml:space="preserve"> 31.75 </v>
      </c>
      <c r="K1560" s="590" t="str">
        <f ca="1">IFERROR(__xludf.DUMMYFUNCTION("""COMPUTED_VALUE"""),"1.02")</f>
        <v>1.02</v>
      </c>
      <c r="L1560" s="590">
        <f ca="1">IFERROR(__xludf.DUMMYFUNCTION("""COMPUTED_VALUE"""),2.9)</f>
        <v>2.9</v>
      </c>
      <c r="M1560" s="590"/>
      <c r="N1560" s="590" t="str">
        <f ca="1">IFERROR(__xludf.DUMMYFUNCTION("""COMPUTED_VALUE"""),"Dị_D&lt;54")</f>
        <v>Dị_D&lt;54</v>
      </c>
      <c r="O1560" s="589"/>
      <c r="P1560" s="590"/>
    </row>
    <row r="1561" spans="1:16" ht="15.75">
      <c r="A1561" s="581" t="str">
        <f ca="1">IFERROR(__xludf.DUMMYFUNCTION("""COMPUTED_VALUE"""),"J-Flex")</f>
        <v>J-Flex</v>
      </c>
      <c r="B1561" s="581" t="str">
        <f ca="1">IFERROR(__xludf.DUMMYFUNCTION("""COMPUTED_VALUE"""),"ĐJFLEXCAY")</f>
        <v>ĐJFLEXCAY</v>
      </c>
      <c r="C1561" s="581" t="str">
        <f ca="1">IFERROR(__xludf.DUMMYFUNCTION("""COMPUTED_VALUE"""),"JT3175ABB029")</f>
        <v>JT3175ABB029</v>
      </c>
      <c r="D1561" s="582" t="str">
        <f ca="1">IFERROR(__xludf.DUMMYFUNCTION("""COMPUTED_VALUE"""),"Đồng ống thẳng J-Flex 31.75x1.22")</f>
        <v>Đồng ống thẳng J-Flex 31.75x1.22</v>
      </c>
      <c r="E1561" s="583">
        <f ca="1">IFERROR(__xludf.DUMMYFUNCTION("""COMPUTED_VALUE"""),0.1)</f>
        <v>0.1</v>
      </c>
      <c r="F1561" s="584" t="str">
        <f ca="1">IFERROR(__xludf.DUMMYFUNCTION("""COMPUTED_VALUE"""),"Cây")</f>
        <v>Cây</v>
      </c>
      <c r="G1561" s="584" t="str">
        <f ca="1">IFERROR(__xludf.DUMMYFUNCTION("""COMPUTED_VALUE"""),"Cây 2.9m")</f>
        <v>Cây 2.9m</v>
      </c>
      <c r="H1561" s="582"/>
      <c r="I1561" s="585">
        <f ca="1">IFERROR(__xludf.DUMMYFUNCTION("""COMPUTED_VALUE"""),3.02442392)</f>
        <v>3.0244239199999998</v>
      </c>
      <c r="J1561" s="586" t="str">
        <f ca="1">IFERROR(__xludf.DUMMYFUNCTION("""COMPUTED_VALUE""")," 31.75 ")</f>
        <v xml:space="preserve"> 31.75 </v>
      </c>
      <c r="K1561" s="584" t="str">
        <f ca="1">IFERROR(__xludf.DUMMYFUNCTION("""COMPUTED_VALUE"""),"1.22")</f>
        <v>1.22</v>
      </c>
      <c r="L1561" s="584">
        <f ca="1">IFERROR(__xludf.DUMMYFUNCTION("""COMPUTED_VALUE"""),2.9)</f>
        <v>2.9</v>
      </c>
      <c r="M1561" s="584"/>
      <c r="N1561" s="584" t="str">
        <f ca="1">IFERROR(__xludf.DUMMYFUNCTION("""COMPUTED_VALUE"""),"Dị_D&lt;54")</f>
        <v>Dị_D&lt;54</v>
      </c>
      <c r="O1561" s="583"/>
      <c r="P1561" s="584"/>
    </row>
    <row r="1562" spans="1:16" ht="15.75">
      <c r="A1562" s="587" t="str">
        <f ca="1">IFERROR(__xludf.DUMMYFUNCTION("""COMPUTED_VALUE"""),"J-Flex")</f>
        <v>J-Flex</v>
      </c>
      <c r="B1562" s="587" t="str">
        <f ca="1">IFERROR(__xludf.DUMMYFUNCTION("""COMPUTED_VALUE"""),"ĐJFLEXCAY")</f>
        <v>ĐJFLEXCAY</v>
      </c>
      <c r="C1562" s="587" t="str">
        <f ca="1">IFERROR(__xludf.DUMMYFUNCTION("""COMPUTED_VALUE"""),"JT3300BG0030")</f>
        <v>JT3300BG0030</v>
      </c>
      <c r="D1562" s="588" t="str">
        <f ca="1">IFERROR(__xludf.DUMMYFUNCTION("""COMPUTED_VALUE"""),"Đồng ống thẳng J-Flex 33.00x2.60x3.0")</f>
        <v>Đồng ống thẳng J-Flex 33.00x2.60x3.0</v>
      </c>
      <c r="E1562" s="589">
        <f ca="1">IFERROR(__xludf.DUMMYFUNCTION("""COMPUTED_VALUE"""),0.1)</f>
        <v>0.1</v>
      </c>
      <c r="F1562" s="590" t="str">
        <f ca="1">IFERROR(__xludf.DUMMYFUNCTION("""COMPUTED_VALUE"""),"Cây")</f>
        <v>Cây</v>
      </c>
      <c r="G1562" s="590" t="str">
        <f ca="1">IFERROR(__xludf.DUMMYFUNCTION("""COMPUTED_VALUE"""),"Cây 3m")</f>
        <v>Cây 3m</v>
      </c>
      <c r="H1562" s="588"/>
      <c r="I1562" s="591">
        <f ca="1">IFERROR(__xludf.DUMMYFUNCTION("""COMPUTED_VALUE"""),6.63936)</f>
        <v>6.6393599999999999</v>
      </c>
      <c r="J1562" s="592" t="str">
        <f ca="1">IFERROR(__xludf.DUMMYFUNCTION("""COMPUTED_VALUE""")," 33.00 ")</f>
        <v xml:space="preserve"> 33.00 </v>
      </c>
      <c r="K1562" s="590" t="str">
        <f ca="1">IFERROR(__xludf.DUMMYFUNCTION("""COMPUTED_VALUE"""),"2.60")</f>
        <v>2.60</v>
      </c>
      <c r="L1562" s="590">
        <f ca="1">IFERROR(__xludf.DUMMYFUNCTION("""COMPUTED_VALUE"""),3)</f>
        <v>3</v>
      </c>
      <c r="M1562" s="590"/>
      <c r="N1562" s="590" t="str">
        <f ca="1">IFERROR(__xludf.DUMMYFUNCTION("""COMPUTED_VALUE"""),"Dị_D&lt;54")</f>
        <v>Dị_D&lt;54</v>
      </c>
      <c r="O1562" s="589"/>
      <c r="P1562" s="590"/>
    </row>
    <row r="1563" spans="1:16" ht="15.75">
      <c r="A1563" s="581" t="str">
        <f ca="1">IFERROR(__xludf.DUMMYFUNCTION("""COMPUTED_VALUE"""),"J-Flex")</f>
        <v>J-Flex</v>
      </c>
      <c r="B1563" s="581" t="str">
        <f ca="1">IFERROR(__xludf.DUMMYFUNCTION("""COMPUTED_VALUE"""),"ĐJFLEXCAY")</f>
        <v>ĐJFLEXCAY</v>
      </c>
      <c r="C1563" s="581" t="str">
        <f ca="1">IFERROR(__xludf.DUMMYFUNCTION("""COMPUTED_VALUE"""),"JT3400CB0030")</f>
        <v>JT3400CB0030</v>
      </c>
      <c r="D1563" s="582" t="str">
        <f ca="1">IFERROR(__xludf.DUMMYFUNCTION("""COMPUTED_VALUE"""),"Đồng ống thẳng J-Flex 34.00x3.20x3.0")</f>
        <v>Đồng ống thẳng J-Flex 34.00x3.20x3.0</v>
      </c>
      <c r="E1563" s="583">
        <f ca="1">IFERROR(__xludf.DUMMYFUNCTION("""COMPUTED_VALUE"""),0.1)</f>
        <v>0.1</v>
      </c>
      <c r="F1563" s="584" t="str">
        <f ca="1">IFERROR(__xludf.DUMMYFUNCTION("""COMPUTED_VALUE"""),"Cây")</f>
        <v>Cây</v>
      </c>
      <c r="G1563" s="584" t="str">
        <f ca="1">IFERROR(__xludf.DUMMYFUNCTION("""COMPUTED_VALUE"""),"Cây 3m")</f>
        <v>Cây 3m</v>
      </c>
      <c r="H1563" s="582"/>
      <c r="I1563" s="585">
        <f ca="1">IFERROR(__xludf.DUMMYFUNCTION("""COMPUTED_VALUE"""),8.27904)</f>
        <v>8.2790400000000002</v>
      </c>
      <c r="J1563" s="586" t="str">
        <f ca="1">IFERROR(__xludf.DUMMYFUNCTION("""COMPUTED_VALUE""")," 34.00 ")</f>
        <v xml:space="preserve"> 34.00 </v>
      </c>
      <c r="K1563" s="584" t="str">
        <f ca="1">IFERROR(__xludf.DUMMYFUNCTION("""COMPUTED_VALUE"""),"3.20")</f>
        <v>3.20</v>
      </c>
      <c r="L1563" s="584">
        <f ca="1">IFERROR(__xludf.DUMMYFUNCTION("""COMPUTED_VALUE"""),3)</f>
        <v>3</v>
      </c>
      <c r="M1563" s="584"/>
      <c r="N1563" s="584" t="str">
        <f ca="1">IFERROR(__xludf.DUMMYFUNCTION("""COMPUTED_VALUE"""),"Dị_D&lt;54")</f>
        <v>Dị_D&lt;54</v>
      </c>
      <c r="O1563" s="583"/>
      <c r="P1563" s="584"/>
    </row>
    <row r="1564" spans="1:16" ht="15.75">
      <c r="A1564" s="587" t="str">
        <f ca="1">IFERROR(__xludf.DUMMYFUNCTION("""COMPUTED_VALUE"""),"J-Flex")</f>
        <v>J-Flex</v>
      </c>
      <c r="B1564" s="587" t="str">
        <f ca="1">IFERROR(__xludf.DUMMYFUNCTION("""COMPUTED_VALUE"""),"ĐJFLEXCAY")</f>
        <v>ĐJFLEXCAY</v>
      </c>
      <c r="C1564" s="587" t="str">
        <f ca="1">IFERROR(__xludf.DUMMYFUNCTION("""COMPUTED_VALUE"""),"JT34930IA029")</f>
        <v>JT34930IA029</v>
      </c>
      <c r="D1564" s="588" t="str">
        <f ca="1">IFERROR(__xludf.DUMMYFUNCTION("""COMPUTED_VALUE"""),"Đồng ống thẳng J-Flex 34.93x0.81")</f>
        <v>Đồng ống thẳng J-Flex 34.93x0.81</v>
      </c>
      <c r="E1564" s="589">
        <f ca="1">IFERROR(__xludf.DUMMYFUNCTION("""COMPUTED_VALUE"""),0.1)</f>
        <v>0.1</v>
      </c>
      <c r="F1564" s="590" t="str">
        <f ca="1">IFERROR(__xludf.DUMMYFUNCTION("""COMPUTED_VALUE"""),"Cây")</f>
        <v>Cây</v>
      </c>
      <c r="G1564" s="590" t="str">
        <f ca="1">IFERROR(__xludf.DUMMYFUNCTION("""COMPUTED_VALUE"""),"Cây 2.9m")</f>
        <v>Cây 2.9m</v>
      </c>
      <c r="H1564" s="588"/>
      <c r="I1564" s="591">
        <f ca="1">IFERROR(__xludf.DUMMYFUNCTION("""COMPUTED_VALUE"""),2.24414064)</f>
        <v>2.2441406399999999</v>
      </c>
      <c r="J1564" s="592" t="str">
        <f ca="1">IFERROR(__xludf.DUMMYFUNCTION("""COMPUTED_VALUE""")," 34.93 ")</f>
        <v xml:space="preserve"> 34.93 </v>
      </c>
      <c r="K1564" s="590" t="str">
        <f ca="1">IFERROR(__xludf.DUMMYFUNCTION("""COMPUTED_VALUE"""),"0.81")</f>
        <v>0.81</v>
      </c>
      <c r="L1564" s="590">
        <f ca="1">IFERROR(__xludf.DUMMYFUNCTION("""COMPUTED_VALUE"""),2.9)</f>
        <v>2.9</v>
      </c>
      <c r="M1564" s="590"/>
      <c r="N1564" s="590" t="str">
        <f ca="1">IFERROR(__xludf.DUMMYFUNCTION("""COMPUTED_VALUE"""),"Dị_D&lt;54")</f>
        <v>Dị_D&lt;54</v>
      </c>
      <c r="O1564" s="589"/>
      <c r="P1564" s="590"/>
    </row>
    <row r="1565" spans="1:16" ht="15.75">
      <c r="A1565" s="581" t="str">
        <f ca="1">IFERROR(__xludf.DUMMYFUNCTION("""COMPUTED_VALUE"""),"J-Flex")</f>
        <v>J-Flex</v>
      </c>
      <c r="B1565" s="581" t="str">
        <f ca="1">IFERROR(__xludf.DUMMYFUNCTION("""COMPUTED_VALUE"""),"ĐJFLEXCAY")</f>
        <v>ĐJFLEXCAY</v>
      </c>
      <c r="C1565" s="581" t="str">
        <f ca="1">IFERROR(__xludf.DUMMYFUNCTION("""COMPUTED_VALUE"""),"JT3493A0B029")</f>
        <v>JT3493A0B029</v>
      </c>
      <c r="D1565" s="582" t="str">
        <f ca="1">IFERROR(__xludf.DUMMYFUNCTION("""COMPUTED_VALUE"""),"Đồng ống thẳng J-Flex 34.93x1.02")</f>
        <v>Đồng ống thẳng J-Flex 34.93x1.02</v>
      </c>
      <c r="E1565" s="583">
        <f ca="1">IFERROR(__xludf.DUMMYFUNCTION("""COMPUTED_VALUE"""),0.1)</f>
        <v>0.1</v>
      </c>
      <c r="F1565" s="584" t="str">
        <f ca="1">IFERROR(__xludf.DUMMYFUNCTION("""COMPUTED_VALUE"""),"Cây")</f>
        <v>Cây</v>
      </c>
      <c r="G1565" s="584" t="str">
        <f ca="1">IFERROR(__xludf.DUMMYFUNCTION("""COMPUTED_VALUE"""),"Cây 2.9m")</f>
        <v>Cây 2.9m</v>
      </c>
      <c r="H1565" s="582"/>
      <c r="I1565" s="585">
        <f ca="1">IFERROR(__xludf.DUMMYFUNCTION("""COMPUTED_VALUE"""),2.80856184)</f>
        <v>2.8085618399999999</v>
      </c>
      <c r="J1565" s="586" t="str">
        <f ca="1">IFERROR(__xludf.DUMMYFUNCTION("""COMPUTED_VALUE""")," 34.93 ")</f>
        <v xml:space="preserve"> 34.93 </v>
      </c>
      <c r="K1565" s="584" t="str">
        <f ca="1">IFERROR(__xludf.DUMMYFUNCTION("""COMPUTED_VALUE"""),"1.02")</f>
        <v>1.02</v>
      </c>
      <c r="L1565" s="584">
        <f ca="1">IFERROR(__xludf.DUMMYFUNCTION("""COMPUTED_VALUE"""),2.9)</f>
        <v>2.9</v>
      </c>
      <c r="M1565" s="584"/>
      <c r="N1565" s="584" t="str">
        <f ca="1">IFERROR(__xludf.DUMMYFUNCTION("""COMPUTED_VALUE"""),"Dị_D&lt;54")</f>
        <v>Dị_D&lt;54</v>
      </c>
      <c r="O1565" s="583"/>
      <c r="P1565" s="584"/>
    </row>
    <row r="1566" spans="1:16" ht="15.75">
      <c r="A1566" s="587" t="str">
        <f ca="1">IFERROR(__xludf.DUMMYFUNCTION("""COMPUTED_VALUE"""),"J-Flex")</f>
        <v>J-Flex</v>
      </c>
      <c r="B1566" s="587" t="str">
        <f ca="1">IFERROR(__xludf.DUMMYFUNCTION("""COMPUTED_VALUE"""),"ĐJFLEXCAY")</f>
        <v>ĐJFLEXCAY</v>
      </c>
      <c r="C1566" s="587" t="str">
        <f ca="1">IFERROR(__xludf.DUMMYFUNCTION("""COMPUTED_VALUE"""),"JT3493ABB029")</f>
        <v>JT3493ABB029</v>
      </c>
      <c r="D1566" s="588" t="str">
        <f ca="1">IFERROR(__xludf.DUMMYFUNCTION("""COMPUTED_VALUE"""),"Đồng ống thẳng J-Flex 34.93x1.22")</f>
        <v>Đồng ống thẳng J-Flex 34.93x1.22</v>
      </c>
      <c r="E1566" s="589">
        <f ca="1">IFERROR(__xludf.DUMMYFUNCTION("""COMPUTED_VALUE"""),0.1)</f>
        <v>0.1</v>
      </c>
      <c r="F1566" s="590" t="str">
        <f ca="1">IFERROR(__xludf.DUMMYFUNCTION("""COMPUTED_VALUE"""),"Cây")</f>
        <v>Cây</v>
      </c>
      <c r="G1566" s="590" t="str">
        <f ca="1">IFERROR(__xludf.DUMMYFUNCTION("""COMPUTED_VALUE"""),"Cây 2.9m")</f>
        <v>Cây 2.9m</v>
      </c>
      <c r="H1566" s="588"/>
      <c r="I1566" s="591">
        <f ca="1">IFERROR(__xludf.DUMMYFUNCTION("""COMPUTED_VALUE"""),3.33944744)</f>
        <v>3.3394474399999998</v>
      </c>
      <c r="J1566" s="592" t="str">
        <f ca="1">IFERROR(__xludf.DUMMYFUNCTION("""COMPUTED_VALUE""")," 34.93 ")</f>
        <v xml:space="preserve"> 34.93 </v>
      </c>
      <c r="K1566" s="590" t="str">
        <f ca="1">IFERROR(__xludf.DUMMYFUNCTION("""COMPUTED_VALUE"""),"1.22")</f>
        <v>1.22</v>
      </c>
      <c r="L1566" s="590">
        <f ca="1">IFERROR(__xludf.DUMMYFUNCTION("""COMPUTED_VALUE"""),2.9)</f>
        <v>2.9</v>
      </c>
      <c r="M1566" s="590"/>
      <c r="N1566" s="590" t="str">
        <f ca="1">IFERROR(__xludf.DUMMYFUNCTION("""COMPUTED_VALUE"""),"Dị_D&lt;54")</f>
        <v>Dị_D&lt;54</v>
      </c>
      <c r="O1566" s="589"/>
      <c r="P1566" s="590"/>
    </row>
    <row r="1567" spans="1:16" ht="15.75">
      <c r="A1567" s="581" t="str">
        <f ca="1">IFERROR(__xludf.DUMMYFUNCTION("""COMPUTED_VALUE"""),"J-Flex")</f>
        <v>J-Flex</v>
      </c>
      <c r="B1567" s="581" t="str">
        <f ca="1">IFERROR(__xludf.DUMMYFUNCTION("""COMPUTED_VALUE"""),"ĐJFLEXCAY")</f>
        <v>ĐJFLEXCAY</v>
      </c>
      <c r="C1567" s="581" t="str">
        <f ca="1">IFERROR(__xludf.DUMMYFUNCTION("""COMPUTED_VALUE"""),"JT3493ADC029")</f>
        <v>JT3493ADC029</v>
      </c>
      <c r="D1567" s="582" t="str">
        <f ca="1">IFERROR(__xludf.DUMMYFUNCTION("""COMPUTED_VALUE"""),"Đồng ống thẳng J-Flex 34.93x1.43")</f>
        <v>Đồng ống thẳng J-Flex 34.93x1.43</v>
      </c>
      <c r="E1567" s="583">
        <f ca="1">IFERROR(__xludf.DUMMYFUNCTION("""COMPUTED_VALUE"""),0.1)</f>
        <v>0.1</v>
      </c>
      <c r="F1567" s="584" t="str">
        <f ca="1">IFERROR(__xludf.DUMMYFUNCTION("""COMPUTED_VALUE"""),"Cây")</f>
        <v>Cây</v>
      </c>
      <c r="G1567" s="584" t="str">
        <f ca="1">IFERROR(__xludf.DUMMYFUNCTION("""COMPUTED_VALUE"""),"Cây 2.9m")</f>
        <v>Cây 2.9m</v>
      </c>
      <c r="H1567" s="582"/>
      <c r="I1567" s="585">
        <f ca="1">IFERROR(__xludf.DUMMYFUNCTION("""COMPUTED_VALUE"""),3.88988599999999)</f>
        <v>3.88988599999999</v>
      </c>
      <c r="J1567" s="586" t="str">
        <f ca="1">IFERROR(__xludf.DUMMYFUNCTION("""COMPUTED_VALUE""")," 34.93 ")</f>
        <v xml:space="preserve"> 34.93 </v>
      </c>
      <c r="K1567" s="584" t="str">
        <f ca="1">IFERROR(__xludf.DUMMYFUNCTION("""COMPUTED_VALUE"""),"1.43")</f>
        <v>1.43</v>
      </c>
      <c r="L1567" s="584">
        <f ca="1">IFERROR(__xludf.DUMMYFUNCTION("""COMPUTED_VALUE"""),2.9)</f>
        <v>2.9</v>
      </c>
      <c r="M1567" s="584"/>
      <c r="N1567" s="584" t="str">
        <f ca="1">IFERROR(__xludf.DUMMYFUNCTION("""COMPUTED_VALUE"""),"Dị_D&lt;54")</f>
        <v>Dị_D&lt;54</v>
      </c>
      <c r="O1567" s="583"/>
      <c r="P1567" s="584"/>
    </row>
    <row r="1568" spans="1:16" ht="15.75">
      <c r="A1568" s="587" t="str">
        <f ca="1">IFERROR(__xludf.DUMMYFUNCTION("""COMPUTED_VALUE"""),"J-Flex")</f>
        <v>J-Flex</v>
      </c>
      <c r="B1568" s="587" t="str">
        <f ca="1">IFERROR(__xludf.DUMMYFUNCTION("""COMPUTED_VALUE"""),"ĐJFLEXCAY")</f>
        <v>ĐJFLEXCAY</v>
      </c>
      <c r="C1568" s="587" t="str">
        <f ca="1">IFERROR(__xludf.DUMMYFUNCTION("""COMPUTED_VALUE"""),"JT3810A0B029")</f>
        <v>JT3810A0B029</v>
      </c>
      <c r="D1568" s="588" t="str">
        <f ca="1">IFERROR(__xludf.DUMMYFUNCTION("""COMPUTED_VALUE"""),"Đồng ống thẳng J-Flex 38.10x1.02")</f>
        <v>Đồng ống thẳng J-Flex 38.10x1.02</v>
      </c>
      <c r="E1568" s="589">
        <f ca="1">IFERROR(__xludf.DUMMYFUNCTION("""COMPUTED_VALUE"""),0.1)</f>
        <v>0.1</v>
      </c>
      <c r="F1568" s="590" t="str">
        <f ca="1">IFERROR(__xludf.DUMMYFUNCTION("""COMPUTED_VALUE"""),"Cây")</f>
        <v>Cây</v>
      </c>
      <c r="G1568" s="590" t="str">
        <f ca="1">IFERROR(__xludf.DUMMYFUNCTION("""COMPUTED_VALUE"""),"Cây 2.9m")</f>
        <v>Cây 2.9m</v>
      </c>
      <c r="H1568" s="588"/>
      <c r="I1568" s="591">
        <f ca="1">IFERROR(__xludf.DUMMYFUNCTION("""COMPUTED_VALUE"""),3.07111391999999)</f>
        <v>3.0711139199999899</v>
      </c>
      <c r="J1568" s="592" t="str">
        <f ca="1">IFERROR(__xludf.DUMMYFUNCTION("""COMPUTED_VALUE""")," 38.10 ")</f>
        <v xml:space="preserve"> 38.10 </v>
      </c>
      <c r="K1568" s="590" t="str">
        <f ca="1">IFERROR(__xludf.DUMMYFUNCTION("""COMPUTED_VALUE"""),"1.02")</f>
        <v>1.02</v>
      </c>
      <c r="L1568" s="590">
        <f ca="1">IFERROR(__xludf.DUMMYFUNCTION("""COMPUTED_VALUE"""),2.9)</f>
        <v>2.9</v>
      </c>
      <c r="M1568" s="590"/>
      <c r="N1568" s="590" t="str">
        <f ca="1">IFERROR(__xludf.DUMMYFUNCTION("""COMPUTED_VALUE"""),"Dị_D&lt;54")</f>
        <v>Dị_D&lt;54</v>
      </c>
      <c r="O1568" s="589"/>
      <c r="P1568" s="590"/>
    </row>
    <row r="1569" spans="1:16" ht="15.75">
      <c r="A1569" s="581" t="str">
        <f ca="1">IFERROR(__xludf.DUMMYFUNCTION("""COMPUTED_VALUE"""),"J-Flex")</f>
        <v>J-Flex</v>
      </c>
      <c r="B1569" s="581" t="str">
        <f ca="1">IFERROR(__xludf.DUMMYFUNCTION("""COMPUTED_VALUE"""),"ĐJFLEXCAY")</f>
        <v>ĐJFLEXCAY</v>
      </c>
      <c r="C1569" s="581" t="str">
        <f ca="1">IFERROR(__xludf.DUMMYFUNCTION("""COMPUTED_VALUE"""),"JT4128A0B029")</f>
        <v>JT4128A0B029</v>
      </c>
      <c r="D1569" s="582" t="str">
        <f ca="1">IFERROR(__xludf.DUMMYFUNCTION("""COMPUTED_VALUE"""),"Đồng ống thẳng J-Flex 41.28x1.02")</f>
        <v>Đồng ống thẳng J-Flex 41.28x1.02</v>
      </c>
      <c r="E1569" s="583">
        <f ca="1">IFERROR(__xludf.DUMMYFUNCTION("""COMPUTED_VALUE"""),0.1)</f>
        <v>0.1</v>
      </c>
      <c r="F1569" s="584" t="str">
        <f ca="1">IFERROR(__xludf.DUMMYFUNCTION("""COMPUTED_VALUE"""),"Cây")</f>
        <v>Cây</v>
      </c>
      <c r="G1569" s="584" t="str">
        <f ca="1">IFERROR(__xludf.DUMMYFUNCTION("""COMPUTED_VALUE"""),"Cây 2.9m")</f>
        <v>Cây 2.9m</v>
      </c>
      <c r="H1569" s="582"/>
      <c r="I1569" s="585">
        <f ca="1">IFERROR(__xludf.DUMMYFUNCTION("""COMPUTED_VALUE"""),3.33449423999999)</f>
        <v>3.33449423999999</v>
      </c>
      <c r="J1569" s="586" t="str">
        <f ca="1">IFERROR(__xludf.DUMMYFUNCTION("""COMPUTED_VALUE""")," 41.28 ")</f>
        <v xml:space="preserve"> 41.28 </v>
      </c>
      <c r="K1569" s="584" t="str">
        <f ca="1">IFERROR(__xludf.DUMMYFUNCTION("""COMPUTED_VALUE"""),"1.02")</f>
        <v>1.02</v>
      </c>
      <c r="L1569" s="584">
        <f ca="1">IFERROR(__xludf.DUMMYFUNCTION("""COMPUTED_VALUE"""),2.9)</f>
        <v>2.9</v>
      </c>
      <c r="M1569" s="584"/>
      <c r="N1569" s="584" t="str">
        <f ca="1">IFERROR(__xludf.DUMMYFUNCTION("""COMPUTED_VALUE"""),"Dị_D&lt;54")</f>
        <v>Dị_D&lt;54</v>
      </c>
      <c r="O1569" s="583"/>
      <c r="P1569" s="584"/>
    </row>
    <row r="1570" spans="1:16" ht="15.75">
      <c r="A1570" s="587" t="str">
        <f ca="1">IFERROR(__xludf.DUMMYFUNCTION("""COMPUTED_VALUE"""),"J-Flex")</f>
        <v>J-Flex</v>
      </c>
      <c r="B1570" s="587" t="str">
        <f ca="1">IFERROR(__xludf.DUMMYFUNCTION("""COMPUTED_VALUE"""),"ĐJFLEXCAY")</f>
        <v>ĐJFLEXCAY</v>
      </c>
      <c r="C1570" s="587" t="str">
        <f ca="1">IFERROR(__xludf.DUMMYFUNCTION("""COMPUTED_VALUE"""),"JT4128ABB029")</f>
        <v>JT4128ABB029</v>
      </c>
      <c r="D1570" s="588" t="str">
        <f ca="1">IFERROR(__xludf.DUMMYFUNCTION("""COMPUTED_VALUE"""),"Đồng ống thẳng J-Flex 41.28x1.22")</f>
        <v>Đồng ống thẳng J-Flex 41.28x1.22</v>
      </c>
      <c r="E1570" s="589">
        <f ca="1">IFERROR(__xludf.DUMMYFUNCTION("""COMPUTED_VALUE"""),0.1)</f>
        <v>0.1</v>
      </c>
      <c r="F1570" s="590" t="str">
        <f ca="1">IFERROR(__xludf.DUMMYFUNCTION("""COMPUTED_VALUE"""),"Cây")</f>
        <v>Cây</v>
      </c>
      <c r="G1570" s="590" t="str">
        <f ca="1">IFERROR(__xludf.DUMMYFUNCTION("""COMPUTED_VALUE"""),"Cây 2.9m")</f>
        <v>Cây 2.9m</v>
      </c>
      <c r="H1570" s="588"/>
      <c r="I1570" s="591">
        <f ca="1">IFERROR(__xludf.DUMMYFUNCTION("""COMPUTED_VALUE"""),3.96850384)</f>
        <v>3.9685038399999999</v>
      </c>
      <c r="J1570" s="592" t="str">
        <f ca="1">IFERROR(__xludf.DUMMYFUNCTION("""COMPUTED_VALUE""")," 41.28 ")</f>
        <v xml:space="preserve"> 41.28 </v>
      </c>
      <c r="K1570" s="590" t="str">
        <f ca="1">IFERROR(__xludf.DUMMYFUNCTION("""COMPUTED_VALUE"""),"1.22")</f>
        <v>1.22</v>
      </c>
      <c r="L1570" s="590">
        <f ca="1">IFERROR(__xludf.DUMMYFUNCTION("""COMPUTED_VALUE"""),2.9)</f>
        <v>2.9</v>
      </c>
      <c r="M1570" s="590"/>
      <c r="N1570" s="590" t="str">
        <f ca="1">IFERROR(__xludf.DUMMYFUNCTION("""COMPUTED_VALUE"""),"Dị_D&lt;54")</f>
        <v>Dị_D&lt;54</v>
      </c>
      <c r="O1570" s="589"/>
      <c r="P1570" s="590"/>
    </row>
    <row r="1571" spans="1:16" ht="15.75">
      <c r="A1571" s="581" t="str">
        <f ca="1">IFERROR(__xludf.DUMMYFUNCTION("""COMPUTED_VALUE"""),"J-Flex")</f>
        <v>J-Flex</v>
      </c>
      <c r="B1571" s="581" t="str">
        <f ca="1">IFERROR(__xludf.DUMMYFUNCTION("""COMPUTED_VALUE"""),"ĐJFLEXCAY")</f>
        <v>ĐJFLEXCAY</v>
      </c>
      <c r="C1571" s="581" t="str">
        <f ca="1">IFERROR(__xludf.DUMMYFUNCTION("""COMPUTED_VALUE"""),"JT4128ADC029")</f>
        <v>JT4128ADC029</v>
      </c>
      <c r="D1571" s="582" t="str">
        <f ca="1">IFERROR(__xludf.DUMMYFUNCTION("""COMPUTED_VALUE"""),"Đồng ống thẳng J-Flex 41.28x1.43")</f>
        <v>Đồng ống thẳng J-Flex 41.28x1.43</v>
      </c>
      <c r="E1571" s="583">
        <f ca="1">IFERROR(__xludf.DUMMYFUNCTION("""COMPUTED_VALUE"""),0.1)</f>
        <v>0.1</v>
      </c>
      <c r="F1571" s="584" t="str">
        <f ca="1">IFERROR(__xludf.DUMMYFUNCTION("""COMPUTED_VALUE"""),"Cây")</f>
        <v>Cây</v>
      </c>
      <c r="G1571" s="584" t="str">
        <f ca="1">IFERROR(__xludf.DUMMYFUNCTION("""COMPUTED_VALUE"""),"Cây 2.9m")</f>
        <v>Cây 2.9m</v>
      </c>
      <c r="H1571" s="582"/>
      <c r="I1571" s="585">
        <f ca="1">IFERROR(__xludf.DUMMYFUNCTION("""COMPUTED_VALUE"""),4.6272226)</f>
        <v>4.6272225999999996</v>
      </c>
      <c r="J1571" s="586" t="str">
        <f ca="1">IFERROR(__xludf.DUMMYFUNCTION("""COMPUTED_VALUE""")," 41.28 ")</f>
        <v xml:space="preserve"> 41.28 </v>
      </c>
      <c r="K1571" s="584" t="str">
        <f ca="1">IFERROR(__xludf.DUMMYFUNCTION("""COMPUTED_VALUE"""),"1.43")</f>
        <v>1.43</v>
      </c>
      <c r="L1571" s="584">
        <f ca="1">IFERROR(__xludf.DUMMYFUNCTION("""COMPUTED_VALUE"""),2.9)</f>
        <v>2.9</v>
      </c>
      <c r="M1571" s="584"/>
      <c r="N1571" s="584" t="str">
        <f ca="1">IFERROR(__xludf.DUMMYFUNCTION("""COMPUTED_VALUE"""),"Dị_D&lt;54")</f>
        <v>Dị_D&lt;54</v>
      </c>
      <c r="O1571" s="583"/>
      <c r="P1571" s="584"/>
    </row>
    <row r="1572" spans="1:16" ht="15.75">
      <c r="A1572" s="587" t="str">
        <f ca="1">IFERROR(__xludf.DUMMYFUNCTION("""COMPUTED_VALUE"""),"J-Flex")</f>
        <v>J-Flex</v>
      </c>
      <c r="B1572" s="587" t="str">
        <f ca="1">IFERROR(__xludf.DUMMYFUNCTION("""COMPUTED_VALUE"""),"ĐJFLEXBANH")</f>
        <v>ĐJFLEXBANH</v>
      </c>
      <c r="C1572" s="587" t="str">
        <f ca="1">IFERROR(__xludf.DUMMYFUNCTION("""COMPUTED_VALUE"""),"JW01940GALWC")</f>
        <v>JW01940GALWC</v>
      </c>
      <c r="D1572" s="588" t="str">
        <f ca="1">IFERROR(__xludf.DUMMYFUNCTION("""COMPUTED_VALUE"""),"Đồng ống LWC J-Flex 01.94x0.61")</f>
        <v>Đồng ống LWC J-Flex 01.94x0.61</v>
      </c>
      <c r="E1572" s="589">
        <f ca="1">IFERROR(__xludf.DUMMYFUNCTION("""COMPUTED_VALUE"""),0.1)</f>
        <v>0.1</v>
      </c>
      <c r="F1572" s="590" t="str">
        <f ca="1">IFERROR(__xludf.DUMMYFUNCTION("""COMPUTED_VALUE"""),"m")</f>
        <v>m</v>
      </c>
      <c r="G1572" s="590" t="str">
        <f ca="1">IFERROR(__xludf.DUMMYFUNCTION("""COMPUTED_VALUE"""),"m")</f>
        <v>m</v>
      </c>
      <c r="H1572" s="588"/>
      <c r="I1572" s="591">
        <f ca="1">IFERROR(__xludf.DUMMYFUNCTION("""COMPUTED_VALUE"""),0.0227164)</f>
        <v>2.2716400000000001E-2</v>
      </c>
      <c r="J1572" s="592" t="str">
        <f ca="1">IFERROR(__xludf.DUMMYFUNCTION("""COMPUTED_VALUE""")," 01.94 ")</f>
        <v xml:space="preserve"> 01.94 </v>
      </c>
      <c r="K1572" s="590" t="str">
        <f ca="1">IFERROR(__xludf.DUMMYFUNCTION("""COMPUTED_VALUE"""),"0.61")</f>
        <v>0.61</v>
      </c>
      <c r="L1572" s="590">
        <f ca="1">IFERROR(__xludf.DUMMYFUNCTION("""COMPUTED_VALUE"""),1)</f>
        <v>1</v>
      </c>
      <c r="M1572" s="590"/>
      <c r="N1572" s="590" t="str">
        <f ca="1">IFERROR(__xludf.DUMMYFUNCTION("""COMPUTED_VALUE"""),"Dị_D&lt;54")</f>
        <v>Dị_D&lt;54</v>
      </c>
      <c r="O1572" s="589"/>
      <c r="P1572" s="590"/>
    </row>
    <row r="1573" spans="1:16" ht="15.75">
      <c r="A1573" s="581" t="str">
        <f ca="1">IFERROR(__xludf.DUMMYFUNCTION("""COMPUTED_VALUE"""),"J-Flex")</f>
        <v>J-Flex</v>
      </c>
      <c r="B1573" s="581" t="str">
        <f ca="1">IFERROR(__xludf.DUMMYFUNCTION("""COMPUTED_VALUE"""),"ĐJFLEXBANH")</f>
        <v>ĐJFLEXBANH</v>
      </c>
      <c r="C1573" s="581" t="str">
        <f ca="1">IFERROR(__xludf.DUMMYFUNCTION("""COMPUTED_VALUE"""),"JW04760EALWC")</f>
        <v>JW04760EALWC</v>
      </c>
      <c r="D1573" s="582" t="str">
        <f ca="1">IFERROR(__xludf.DUMMYFUNCTION("""COMPUTED_VALUE"""),"Đồng ống LWC J-Flex 04.76x0.51")</f>
        <v>Đồng ống LWC J-Flex 04.76x0.51</v>
      </c>
      <c r="E1573" s="583">
        <f ca="1">IFERROR(__xludf.DUMMYFUNCTION("""COMPUTED_VALUE"""),0.1)</f>
        <v>0.1</v>
      </c>
      <c r="F1573" s="584" t="str">
        <f ca="1">IFERROR(__xludf.DUMMYFUNCTION("""COMPUTED_VALUE"""),"m")</f>
        <v>m</v>
      </c>
      <c r="G1573" s="584" t="str">
        <f ca="1">IFERROR(__xludf.DUMMYFUNCTION("""COMPUTED_VALUE"""),"m")</f>
        <v>m</v>
      </c>
      <c r="H1573" s="582"/>
      <c r="I1573" s="585">
        <f ca="1">IFERROR(__xludf.DUMMYFUNCTION("""COMPUTED_VALUE"""),0.06069)</f>
        <v>6.0690000000000001E-2</v>
      </c>
      <c r="J1573" s="586" t="str">
        <f ca="1">IFERROR(__xludf.DUMMYFUNCTION("""COMPUTED_VALUE""")," 04.76 ")</f>
        <v xml:space="preserve"> 04.76 </v>
      </c>
      <c r="K1573" s="584" t="str">
        <f ca="1">IFERROR(__xludf.DUMMYFUNCTION("""COMPUTED_VALUE"""),"0.51")</f>
        <v>0.51</v>
      </c>
      <c r="L1573" s="584">
        <f ca="1">IFERROR(__xludf.DUMMYFUNCTION("""COMPUTED_VALUE"""),1)</f>
        <v>1</v>
      </c>
      <c r="M1573" s="584"/>
      <c r="N1573" s="584" t="str">
        <f ca="1">IFERROR(__xludf.DUMMYFUNCTION("""COMPUTED_VALUE"""),"Dị_D&lt;54")</f>
        <v>Dị_D&lt;54</v>
      </c>
      <c r="O1573" s="583"/>
      <c r="P1573" s="584"/>
    </row>
    <row r="1574" spans="1:16" ht="15.75">
      <c r="A1574" s="587" t="str">
        <f ca="1">IFERROR(__xludf.DUMMYFUNCTION("""COMPUTED_VALUE"""),"J-Flex")</f>
        <v>J-Flex</v>
      </c>
      <c r="B1574" s="587" t="str">
        <f ca="1">IFERROR(__xludf.DUMMYFUNCTION("""COMPUTED_VALUE"""),"ĐJFLEXBANH")</f>
        <v>ĐJFLEXBANH</v>
      </c>
      <c r="C1574" s="587" t="str">
        <f ca="1">IFERROR(__xludf.DUMMYFUNCTION("""COMPUTED_VALUE"""),"JW05000E0LWC")</f>
        <v>JW05000E0LWC</v>
      </c>
      <c r="D1574" s="588" t="str">
        <f ca="1">IFERROR(__xludf.DUMMYFUNCTION("""COMPUTED_VALUE"""),"Đồng ống LWC J-Flex 05.00x0.50")</f>
        <v>Đồng ống LWC J-Flex 05.00x0.50</v>
      </c>
      <c r="E1574" s="589">
        <f ca="1">IFERROR(__xludf.DUMMYFUNCTION("""COMPUTED_VALUE"""),0.1)</f>
        <v>0.1</v>
      </c>
      <c r="F1574" s="590" t="str">
        <f ca="1">IFERROR(__xludf.DUMMYFUNCTION("""COMPUTED_VALUE"""),"m")</f>
        <v>m</v>
      </c>
      <c r="G1574" s="590" t="str">
        <f ca="1">IFERROR(__xludf.DUMMYFUNCTION("""COMPUTED_VALUE"""),"m")</f>
        <v>m</v>
      </c>
      <c r="H1574" s="588"/>
      <c r="I1574" s="591">
        <f ca="1">IFERROR(__xludf.DUMMYFUNCTION("""COMPUTED_VALUE"""),0.063)</f>
        <v>6.3E-2</v>
      </c>
      <c r="J1574" s="592" t="str">
        <f ca="1">IFERROR(__xludf.DUMMYFUNCTION("""COMPUTED_VALUE""")," 05.00 ")</f>
        <v xml:space="preserve"> 05.00 </v>
      </c>
      <c r="K1574" s="590" t="str">
        <f ca="1">IFERROR(__xludf.DUMMYFUNCTION("""COMPUTED_VALUE"""),"0.50")</f>
        <v>0.50</v>
      </c>
      <c r="L1574" s="590">
        <f ca="1">IFERROR(__xludf.DUMMYFUNCTION("""COMPUTED_VALUE"""),1)</f>
        <v>1</v>
      </c>
      <c r="M1574" s="590"/>
      <c r="N1574" s="590" t="str">
        <f ca="1">IFERROR(__xludf.DUMMYFUNCTION("""COMPUTED_VALUE"""),"Dị_D&lt;54")</f>
        <v>Dị_D&lt;54</v>
      </c>
      <c r="O1574" s="589"/>
      <c r="P1574" s="590"/>
    </row>
    <row r="1575" spans="1:16" ht="15.75">
      <c r="A1575" s="581" t="str">
        <f ca="1">IFERROR(__xludf.DUMMYFUNCTION("""COMPUTED_VALUE"""),"J-Flex")</f>
        <v>J-Flex</v>
      </c>
      <c r="B1575" s="581" t="str">
        <f ca="1">IFERROR(__xludf.DUMMYFUNCTION("""COMPUTED_VALUE"""),"ĐJFLEXBANH")</f>
        <v>ĐJFLEXBANH</v>
      </c>
      <c r="C1575" s="581" t="str">
        <f ca="1">IFERROR(__xludf.DUMMYFUNCTION("""COMPUTED_VALUE"""),"JW05000EALWC")</f>
        <v>JW05000EALWC</v>
      </c>
      <c r="D1575" s="582" t="str">
        <f ca="1">IFERROR(__xludf.DUMMYFUNCTION("""COMPUTED_VALUE"""),"Đồng ống LWC J-Flex 05.00x0.51")</f>
        <v>Đồng ống LWC J-Flex 05.00x0.51</v>
      </c>
      <c r="E1575" s="583">
        <f ca="1">IFERROR(__xludf.DUMMYFUNCTION("""COMPUTED_VALUE"""),0.1)</f>
        <v>0.1</v>
      </c>
      <c r="F1575" s="584" t="str">
        <f ca="1">IFERROR(__xludf.DUMMYFUNCTION("""COMPUTED_VALUE"""),"m")</f>
        <v>m</v>
      </c>
      <c r="G1575" s="584" t="str">
        <f ca="1">IFERROR(__xludf.DUMMYFUNCTION("""COMPUTED_VALUE"""),"m")</f>
        <v>m</v>
      </c>
      <c r="H1575" s="582"/>
      <c r="I1575" s="585">
        <f ca="1">IFERROR(__xludf.DUMMYFUNCTION("""COMPUTED_VALUE"""),0.0641172)</f>
        <v>6.4117199999999999E-2</v>
      </c>
      <c r="J1575" s="586" t="str">
        <f ca="1">IFERROR(__xludf.DUMMYFUNCTION("""COMPUTED_VALUE""")," 05.00 ")</f>
        <v xml:space="preserve"> 05.00 </v>
      </c>
      <c r="K1575" s="584" t="str">
        <f ca="1">IFERROR(__xludf.DUMMYFUNCTION("""COMPUTED_VALUE"""),"0.51")</f>
        <v>0.51</v>
      </c>
      <c r="L1575" s="584">
        <f ca="1">IFERROR(__xludf.DUMMYFUNCTION("""COMPUTED_VALUE"""),1)</f>
        <v>1</v>
      </c>
      <c r="M1575" s="584"/>
      <c r="N1575" s="584" t="str">
        <f ca="1">IFERROR(__xludf.DUMMYFUNCTION("""COMPUTED_VALUE"""),"Dị_D&lt;54")</f>
        <v>Dị_D&lt;54</v>
      </c>
      <c r="O1575" s="583"/>
      <c r="P1575" s="584"/>
    </row>
    <row r="1576" spans="1:16" ht="15.75">
      <c r="A1576" s="587" t="str">
        <f ca="1">IFERROR(__xludf.DUMMYFUNCTION("""COMPUTED_VALUE"""),"J-Flex")</f>
        <v>J-Flex</v>
      </c>
      <c r="B1576" s="587" t="str">
        <f ca="1">IFERROR(__xludf.DUMMYFUNCTION("""COMPUTED_VALUE"""),"ĐJFLEXBANH")</f>
        <v>ĐJFLEXBANH</v>
      </c>
      <c r="C1576" s="587" t="str">
        <f ca="1">IFERROR(__xludf.DUMMYFUNCTION("""COMPUTED_VALUE"""),"JW06350EALWC")</f>
        <v>JW06350EALWC</v>
      </c>
      <c r="D1576" s="588" t="str">
        <f ca="1">IFERROR(__xludf.DUMMYFUNCTION("""COMPUTED_VALUE"""),"Đồng ống LWC J-Flex 06.35x0.51")</f>
        <v>Đồng ống LWC J-Flex 06.35x0.51</v>
      </c>
      <c r="E1576" s="589">
        <f ca="1">IFERROR(__xludf.DUMMYFUNCTION("""COMPUTED_VALUE"""),0.1)</f>
        <v>0.1</v>
      </c>
      <c r="F1576" s="590" t="str">
        <f ca="1">IFERROR(__xludf.DUMMYFUNCTION("""COMPUTED_VALUE"""),"m")</f>
        <v>m</v>
      </c>
      <c r="G1576" s="590" t="str">
        <f ca="1">IFERROR(__xludf.DUMMYFUNCTION("""COMPUTED_VALUE"""),"m")</f>
        <v>m</v>
      </c>
      <c r="H1576" s="588"/>
      <c r="I1576" s="591">
        <f ca="1">IFERROR(__xludf.DUMMYFUNCTION("""COMPUTED_VALUE"""),0.0833952)</f>
        <v>8.3395200000000003E-2</v>
      </c>
      <c r="J1576" s="592" t="str">
        <f ca="1">IFERROR(__xludf.DUMMYFUNCTION("""COMPUTED_VALUE""")," 06.35 ")</f>
        <v xml:space="preserve"> 06.35 </v>
      </c>
      <c r="K1576" s="590" t="str">
        <f ca="1">IFERROR(__xludf.DUMMYFUNCTION("""COMPUTED_VALUE"""),"0.51")</f>
        <v>0.51</v>
      </c>
      <c r="L1576" s="590">
        <f ca="1">IFERROR(__xludf.DUMMYFUNCTION("""COMPUTED_VALUE"""),1)</f>
        <v>1</v>
      </c>
      <c r="M1576" s="590"/>
      <c r="N1576" s="590" t="str">
        <f ca="1">IFERROR(__xludf.DUMMYFUNCTION("""COMPUTED_VALUE"""),"Dị_D&lt;54")</f>
        <v>Dị_D&lt;54</v>
      </c>
      <c r="O1576" s="589"/>
      <c r="P1576" s="590"/>
    </row>
    <row r="1577" spans="1:16" ht="15.75">
      <c r="A1577" s="581" t="str">
        <f ca="1">IFERROR(__xludf.DUMMYFUNCTION("""COMPUTED_VALUE"""),"J-Flex")</f>
        <v>J-Flex</v>
      </c>
      <c r="B1577" s="581" t="str">
        <f ca="1">IFERROR(__xludf.DUMMYFUNCTION("""COMPUTED_VALUE"""),"ĐJFLEXBANH")</f>
        <v>ĐJFLEXBANH</v>
      </c>
      <c r="C1577" s="581" t="str">
        <f ca="1">IFERROR(__xludf.DUMMYFUNCTION("""COMPUTED_VALUE"""),"JW06350EELWC")</f>
        <v>JW06350EELWC</v>
      </c>
      <c r="D1577" s="582" t="str">
        <f ca="1">IFERROR(__xludf.DUMMYFUNCTION("""COMPUTED_VALUE"""),"Đồng ống LWC J-Flex 06.35x0.55")</f>
        <v>Đồng ống LWC J-Flex 06.35x0.55</v>
      </c>
      <c r="E1577" s="583">
        <f ca="1">IFERROR(__xludf.DUMMYFUNCTION("""COMPUTED_VALUE"""),0.1)</f>
        <v>0.1</v>
      </c>
      <c r="F1577" s="584" t="str">
        <f ca="1">IFERROR(__xludf.DUMMYFUNCTION("""COMPUTED_VALUE"""),"m")</f>
        <v>m</v>
      </c>
      <c r="G1577" s="584" t="str">
        <f ca="1">IFERROR(__xludf.DUMMYFUNCTION("""COMPUTED_VALUE"""),"m")</f>
        <v>m</v>
      </c>
      <c r="H1577" s="582"/>
      <c r="I1577" s="585">
        <f ca="1">IFERROR(__xludf.DUMMYFUNCTION("""COMPUTED_VALUE"""),0.08932)</f>
        <v>8.9319999999999997E-2</v>
      </c>
      <c r="J1577" s="586" t="str">
        <f ca="1">IFERROR(__xludf.DUMMYFUNCTION("""COMPUTED_VALUE""")," 06.35 ")</f>
        <v xml:space="preserve"> 06.35 </v>
      </c>
      <c r="K1577" s="584" t="str">
        <f ca="1">IFERROR(__xludf.DUMMYFUNCTION("""COMPUTED_VALUE"""),"0.55")</f>
        <v>0.55</v>
      </c>
      <c r="L1577" s="584">
        <f ca="1">IFERROR(__xludf.DUMMYFUNCTION("""COMPUTED_VALUE"""),1)</f>
        <v>1</v>
      </c>
      <c r="M1577" s="584"/>
      <c r="N1577" s="584" t="str">
        <f ca="1">IFERROR(__xludf.DUMMYFUNCTION("""COMPUTED_VALUE"""),"Dị_D&lt;54")</f>
        <v>Dị_D&lt;54</v>
      </c>
      <c r="O1577" s="583"/>
      <c r="P1577" s="584"/>
    </row>
    <row r="1578" spans="1:16" ht="15.75">
      <c r="A1578" s="587" t="str">
        <f ca="1">IFERROR(__xludf.DUMMYFUNCTION("""COMPUTED_VALUE"""),"J-Flex")</f>
        <v>J-Flex</v>
      </c>
      <c r="B1578" s="587" t="str">
        <f ca="1">IFERROR(__xludf.DUMMYFUNCTION("""COMPUTED_VALUE"""),"ĐJFLEXBANH")</f>
        <v>ĐJFLEXBANH</v>
      </c>
      <c r="C1578" s="587" t="str">
        <f ca="1">IFERROR(__xludf.DUMMYFUNCTION("""COMPUTED_VALUE"""),"JW06350GALWC")</f>
        <v>JW06350GALWC</v>
      </c>
      <c r="D1578" s="588" t="str">
        <f ca="1">IFERROR(__xludf.DUMMYFUNCTION("""COMPUTED_VALUE"""),"Đồng ống LWC J-Flex 06.35x0.61")</f>
        <v>Đồng ống LWC J-Flex 06.35x0.61</v>
      </c>
      <c r="E1578" s="589">
        <f ca="1">IFERROR(__xludf.DUMMYFUNCTION("""COMPUTED_VALUE"""),0.1)</f>
        <v>0.1</v>
      </c>
      <c r="F1578" s="590" t="str">
        <f ca="1">IFERROR(__xludf.DUMMYFUNCTION("""COMPUTED_VALUE"""),"m")</f>
        <v>m</v>
      </c>
      <c r="G1578" s="590" t="str">
        <f ca="1">IFERROR(__xludf.DUMMYFUNCTION("""COMPUTED_VALUE"""),"m")</f>
        <v>m</v>
      </c>
      <c r="H1578" s="588"/>
      <c r="I1578" s="591">
        <f ca="1">IFERROR(__xludf.DUMMYFUNCTION("""COMPUTED_VALUE"""),0.0980391999999999)</f>
        <v>9.8039199999999896E-2</v>
      </c>
      <c r="J1578" s="592" t="str">
        <f ca="1">IFERROR(__xludf.DUMMYFUNCTION("""COMPUTED_VALUE""")," 06.35 ")</f>
        <v xml:space="preserve"> 06.35 </v>
      </c>
      <c r="K1578" s="590" t="str">
        <f ca="1">IFERROR(__xludf.DUMMYFUNCTION("""COMPUTED_VALUE"""),"0.61")</f>
        <v>0.61</v>
      </c>
      <c r="L1578" s="590">
        <f ca="1">IFERROR(__xludf.DUMMYFUNCTION("""COMPUTED_VALUE"""),1)</f>
        <v>1</v>
      </c>
      <c r="M1578" s="590"/>
      <c r="N1578" s="590" t="str">
        <f ca="1">IFERROR(__xludf.DUMMYFUNCTION("""COMPUTED_VALUE"""),"Dị_D&lt;54")</f>
        <v>Dị_D&lt;54</v>
      </c>
      <c r="O1578" s="589">
        <f ca="1">IFERROR(__xludf.DUMMYFUNCTION("""COMPUTED_VALUE"""),1)</f>
        <v>1</v>
      </c>
      <c r="P1578" s="590"/>
    </row>
    <row r="1579" spans="1:16" ht="15.75">
      <c r="A1579" s="581" t="str">
        <f ca="1">IFERROR(__xludf.DUMMYFUNCTION("""COMPUTED_VALUE"""),"J-Flex")</f>
        <v>J-Flex</v>
      </c>
      <c r="B1579" s="581" t="str">
        <f ca="1">IFERROR(__xludf.DUMMYFUNCTION("""COMPUTED_VALUE"""),"ĐJFLEXBANH")</f>
        <v>ĐJFLEXBANH</v>
      </c>
      <c r="C1579" s="581" t="str">
        <f ca="1">IFERROR(__xludf.DUMMYFUNCTION("""COMPUTED_VALUE"""),"JW06350GELWC")</f>
        <v>JW06350GELWC</v>
      </c>
      <c r="D1579" s="582" t="str">
        <f ca="1">IFERROR(__xludf.DUMMYFUNCTION("""COMPUTED_VALUE"""),"Đồng ống LWC J-Flex 06.35x0.65")</f>
        <v>Đồng ống LWC J-Flex 06.35x0.65</v>
      </c>
      <c r="E1579" s="583">
        <f ca="1">IFERROR(__xludf.DUMMYFUNCTION("""COMPUTED_VALUE"""),0.1)</f>
        <v>0.1</v>
      </c>
      <c r="F1579" s="584" t="str">
        <f ca="1">IFERROR(__xludf.DUMMYFUNCTION("""COMPUTED_VALUE"""),"m")</f>
        <v>m</v>
      </c>
      <c r="G1579" s="584" t="str">
        <f ca="1">IFERROR(__xludf.DUMMYFUNCTION("""COMPUTED_VALUE"""),"m")</f>
        <v>m</v>
      </c>
      <c r="H1579" s="582"/>
      <c r="I1579" s="585">
        <f ca="1">IFERROR(__xludf.DUMMYFUNCTION("""COMPUTED_VALUE"""),0.103739999999999)</f>
        <v>0.103739999999999</v>
      </c>
      <c r="J1579" s="586" t="str">
        <f ca="1">IFERROR(__xludf.DUMMYFUNCTION("""COMPUTED_VALUE""")," 06.35 ")</f>
        <v xml:space="preserve"> 06.35 </v>
      </c>
      <c r="K1579" s="584" t="str">
        <f ca="1">IFERROR(__xludf.DUMMYFUNCTION("""COMPUTED_VALUE"""),"0.65")</f>
        <v>0.65</v>
      </c>
      <c r="L1579" s="584">
        <f ca="1">IFERROR(__xludf.DUMMYFUNCTION("""COMPUTED_VALUE"""),1)</f>
        <v>1</v>
      </c>
      <c r="M1579" s="584"/>
      <c r="N1579" s="584" t="str">
        <f ca="1">IFERROR(__xludf.DUMMYFUNCTION("""COMPUTED_VALUE"""),"Dị_D&lt;54")</f>
        <v>Dị_D&lt;54</v>
      </c>
      <c r="O1579" s="583"/>
      <c r="P1579" s="584"/>
    </row>
    <row r="1580" spans="1:16" ht="15.75">
      <c r="A1580" s="587" t="str">
        <f ca="1">IFERROR(__xludf.DUMMYFUNCTION("""COMPUTED_VALUE"""),"J-Flex")</f>
        <v>J-Flex</v>
      </c>
      <c r="B1580" s="587" t="str">
        <f ca="1">IFERROR(__xludf.DUMMYFUNCTION("""COMPUTED_VALUE"""),"ĐJFLEXBANH")</f>
        <v>ĐJFLEXBANH</v>
      </c>
      <c r="C1580" s="587" t="str">
        <f ca="1">IFERROR(__xludf.DUMMYFUNCTION("""COMPUTED_VALUE"""),"JW06350GELWCKI")</f>
        <v>JW06350GELWCKI</v>
      </c>
      <c r="D1580" s="588" t="str">
        <f ca="1">IFERROR(__xludf.DUMMYFUNCTION("""COMPUTED_VALUE"""),"Đồng ống LWC J-Flex không in 06.35x0.65")</f>
        <v>Đồng ống LWC J-Flex không in 06.35x0.65</v>
      </c>
      <c r="E1580" s="589">
        <f ca="1">IFERROR(__xludf.DUMMYFUNCTION("""COMPUTED_VALUE"""),0.1)</f>
        <v>0.1</v>
      </c>
      <c r="F1580" s="590" t="str">
        <f ca="1">IFERROR(__xludf.DUMMYFUNCTION("""COMPUTED_VALUE"""),"m")</f>
        <v>m</v>
      </c>
      <c r="G1580" s="590" t="str">
        <f ca="1">IFERROR(__xludf.DUMMYFUNCTION("""COMPUTED_VALUE"""),"m")</f>
        <v>m</v>
      </c>
      <c r="H1580" s="588"/>
      <c r="I1580" s="591">
        <f ca="1">IFERROR(__xludf.DUMMYFUNCTION("""COMPUTED_VALUE"""),0.103739999999999)</f>
        <v>0.103739999999999</v>
      </c>
      <c r="J1580" s="592" t="str">
        <f ca="1">IFERROR(__xludf.DUMMYFUNCTION("""COMPUTED_VALUE""")," 06.35 ")</f>
        <v xml:space="preserve"> 06.35 </v>
      </c>
      <c r="K1580" s="590" t="str">
        <f ca="1">IFERROR(__xludf.DUMMYFUNCTION("""COMPUTED_VALUE"""),"0.65")</f>
        <v>0.65</v>
      </c>
      <c r="L1580" s="590">
        <f ca="1">IFERROR(__xludf.DUMMYFUNCTION("""COMPUTED_VALUE"""),1)</f>
        <v>1</v>
      </c>
      <c r="M1580" s="590"/>
      <c r="N1580" s="590" t="str">
        <f ca="1">IFERROR(__xludf.DUMMYFUNCTION("""COMPUTED_VALUE"""),"Dị_D&lt;54")</f>
        <v>Dị_D&lt;54</v>
      </c>
      <c r="O1580" s="589"/>
      <c r="P1580" s="590"/>
    </row>
    <row r="1581" spans="1:16" ht="15.75">
      <c r="A1581" s="581" t="str">
        <f ca="1">IFERROR(__xludf.DUMMYFUNCTION("""COMPUTED_VALUE"""),"J-Flex")</f>
        <v>J-Flex</v>
      </c>
      <c r="B1581" s="581" t="str">
        <f ca="1">IFERROR(__xludf.DUMMYFUNCTION("""COMPUTED_VALUE"""),"ĐJFLEXBANH")</f>
        <v>ĐJFLEXBANH</v>
      </c>
      <c r="C1581" s="581" t="str">
        <f ca="1">IFERROR(__xludf.DUMMYFUNCTION("""COMPUTED_VALUE"""),"JW06350HALWC")</f>
        <v>JW06350HALWC</v>
      </c>
      <c r="D1581" s="582" t="str">
        <f ca="1">IFERROR(__xludf.DUMMYFUNCTION("""COMPUTED_VALUE"""),"Đồng ống LWC J-Flex 06.35x0.71")</f>
        <v>Đồng ống LWC J-Flex 06.35x0.71</v>
      </c>
      <c r="E1581" s="583">
        <f ca="1">IFERROR(__xludf.DUMMYFUNCTION("""COMPUTED_VALUE"""),0.1)</f>
        <v>0.1</v>
      </c>
      <c r="F1581" s="584" t="str">
        <f ca="1">IFERROR(__xludf.DUMMYFUNCTION("""COMPUTED_VALUE"""),"m")</f>
        <v>m</v>
      </c>
      <c r="G1581" s="584" t="str">
        <f ca="1">IFERROR(__xludf.DUMMYFUNCTION("""COMPUTED_VALUE"""),"m")</f>
        <v>m</v>
      </c>
      <c r="H1581" s="582"/>
      <c r="I1581" s="585">
        <f ca="1">IFERROR(__xludf.DUMMYFUNCTION("""COMPUTED_VALUE"""),0.112123199999999)</f>
        <v>0.11212319999999899</v>
      </c>
      <c r="J1581" s="586" t="str">
        <f ca="1">IFERROR(__xludf.DUMMYFUNCTION("""COMPUTED_VALUE""")," 06.35 ")</f>
        <v xml:space="preserve"> 06.35 </v>
      </c>
      <c r="K1581" s="584" t="str">
        <f ca="1">IFERROR(__xludf.DUMMYFUNCTION("""COMPUTED_VALUE"""),"0.71")</f>
        <v>0.71</v>
      </c>
      <c r="L1581" s="584">
        <f ca="1">IFERROR(__xludf.DUMMYFUNCTION("""COMPUTED_VALUE"""),1)</f>
        <v>1</v>
      </c>
      <c r="M1581" s="584"/>
      <c r="N1581" s="584" t="str">
        <f ca="1">IFERROR(__xludf.DUMMYFUNCTION("""COMPUTED_VALUE"""),"Dị_D&lt;54")</f>
        <v>Dị_D&lt;54</v>
      </c>
      <c r="O1581" s="583">
        <f ca="1">IFERROR(__xludf.DUMMYFUNCTION("""COMPUTED_VALUE"""),1)</f>
        <v>1</v>
      </c>
      <c r="P1581" s="584"/>
    </row>
    <row r="1582" spans="1:16" ht="15.75">
      <c r="A1582" s="587" t="str">
        <f ca="1">IFERROR(__xludf.DUMMYFUNCTION("""COMPUTED_VALUE"""),"J-Flex")</f>
        <v>J-Flex</v>
      </c>
      <c r="B1582" s="587" t="str">
        <f ca="1">IFERROR(__xludf.DUMMYFUNCTION("""COMPUTED_VALUE"""),"ĐJFLEXBANH")</f>
        <v>ĐJFLEXBANH</v>
      </c>
      <c r="C1582" s="587" t="str">
        <f ca="1">IFERROR(__xludf.DUMMYFUNCTION("""COMPUTED_VALUE"""),"JW06350HELWC")</f>
        <v>JW06350HELWC</v>
      </c>
      <c r="D1582" s="588" t="str">
        <f ca="1">IFERROR(__xludf.DUMMYFUNCTION("""COMPUTED_VALUE"""),"Đồng ống LWC J-Flex 06.35x0.75")</f>
        <v>Đồng ống LWC J-Flex 06.35x0.75</v>
      </c>
      <c r="E1582" s="589">
        <f ca="1">IFERROR(__xludf.DUMMYFUNCTION("""COMPUTED_VALUE"""),0.1)</f>
        <v>0.1</v>
      </c>
      <c r="F1582" s="590" t="str">
        <f ca="1">IFERROR(__xludf.DUMMYFUNCTION("""COMPUTED_VALUE"""),"m")</f>
        <v>m</v>
      </c>
      <c r="G1582" s="590" t="str">
        <f ca="1">IFERROR(__xludf.DUMMYFUNCTION("""COMPUTED_VALUE"""),"m")</f>
        <v>m</v>
      </c>
      <c r="H1582" s="588"/>
      <c r="I1582" s="591">
        <f ca="1">IFERROR(__xludf.DUMMYFUNCTION("""COMPUTED_VALUE"""),0.117599999999999)</f>
        <v>0.117599999999999</v>
      </c>
      <c r="J1582" s="592" t="str">
        <f ca="1">IFERROR(__xludf.DUMMYFUNCTION("""COMPUTED_VALUE""")," 06.35 ")</f>
        <v xml:space="preserve"> 06.35 </v>
      </c>
      <c r="K1582" s="590" t="str">
        <f ca="1">IFERROR(__xludf.DUMMYFUNCTION("""COMPUTED_VALUE"""),"0.75")</f>
        <v>0.75</v>
      </c>
      <c r="L1582" s="590">
        <f ca="1">IFERROR(__xludf.DUMMYFUNCTION("""COMPUTED_VALUE"""),1)</f>
        <v>1</v>
      </c>
      <c r="M1582" s="590"/>
      <c r="N1582" s="590" t="str">
        <f ca="1">IFERROR(__xludf.DUMMYFUNCTION("""COMPUTED_VALUE"""),"Dị_D&lt;54")</f>
        <v>Dị_D&lt;54</v>
      </c>
      <c r="O1582" s="589"/>
      <c r="P1582" s="590"/>
    </row>
    <row r="1583" spans="1:16" ht="15.75">
      <c r="A1583" s="581" t="str">
        <f ca="1">IFERROR(__xludf.DUMMYFUNCTION("""COMPUTED_VALUE"""),"J-Flex")</f>
        <v>J-Flex</v>
      </c>
      <c r="B1583" s="581" t="str">
        <f ca="1">IFERROR(__xludf.DUMMYFUNCTION("""COMPUTED_VALUE"""),"ĐJFLEXBANH")</f>
        <v>ĐJFLEXBANH</v>
      </c>
      <c r="C1583" s="581" t="str">
        <f ca="1">IFERROR(__xludf.DUMMYFUNCTION("""COMPUTED_VALUE"""),"JW06350IALWC")</f>
        <v>JW06350IALWC</v>
      </c>
      <c r="D1583" s="582" t="str">
        <f ca="1">IFERROR(__xludf.DUMMYFUNCTION("""COMPUTED_VALUE"""),"Đồng ống LWC J-Flex 06.35x0.81")</f>
        <v>Đồng ống LWC J-Flex 06.35x0.81</v>
      </c>
      <c r="E1583" s="583">
        <f ca="1">IFERROR(__xludf.DUMMYFUNCTION("""COMPUTED_VALUE"""),0.1)</f>
        <v>0.1</v>
      </c>
      <c r="F1583" s="584" t="str">
        <f ca="1">IFERROR(__xludf.DUMMYFUNCTION("""COMPUTED_VALUE"""),"m")</f>
        <v>m</v>
      </c>
      <c r="G1583" s="584" t="str">
        <f ca="1">IFERROR(__xludf.DUMMYFUNCTION("""COMPUTED_VALUE"""),"m")</f>
        <v>m</v>
      </c>
      <c r="H1583" s="582"/>
      <c r="I1583" s="585">
        <f ca="1">IFERROR(__xludf.DUMMYFUNCTION("""COMPUTED_VALUE"""),0.1256472)</f>
        <v>0.12564719999999999</v>
      </c>
      <c r="J1583" s="586" t="str">
        <f ca="1">IFERROR(__xludf.DUMMYFUNCTION("""COMPUTED_VALUE""")," 06.35 ")</f>
        <v xml:space="preserve"> 06.35 </v>
      </c>
      <c r="K1583" s="584" t="str">
        <f ca="1">IFERROR(__xludf.DUMMYFUNCTION("""COMPUTED_VALUE"""),"0.81")</f>
        <v>0.81</v>
      </c>
      <c r="L1583" s="584">
        <f ca="1">IFERROR(__xludf.DUMMYFUNCTION("""COMPUTED_VALUE"""),1)</f>
        <v>1</v>
      </c>
      <c r="M1583" s="584"/>
      <c r="N1583" s="584" t="str">
        <f ca="1">IFERROR(__xludf.DUMMYFUNCTION("""COMPUTED_VALUE"""),"Dị_D&lt;54")</f>
        <v>Dị_D&lt;54</v>
      </c>
      <c r="O1583" s="583">
        <f ca="1">IFERROR(__xludf.DUMMYFUNCTION("""COMPUTED_VALUE"""),1)</f>
        <v>1</v>
      </c>
      <c r="P1583" s="584"/>
    </row>
    <row r="1584" spans="1:16" ht="15.75">
      <c r="A1584" s="587" t="str">
        <f ca="1">IFERROR(__xludf.DUMMYFUNCTION("""COMPUTED_VALUE"""),"J-Flex")</f>
        <v>J-Flex</v>
      </c>
      <c r="B1584" s="587" t="str">
        <f ca="1">IFERROR(__xludf.DUMMYFUNCTION("""COMPUTED_VALUE"""),"ĐJFLEXBANH")</f>
        <v>ĐJFLEXBANH</v>
      </c>
      <c r="C1584" s="587" t="str">
        <f ca="1">IFERROR(__xludf.DUMMYFUNCTION("""COMPUTED_VALUE"""),"JW06500EELWC")</f>
        <v>JW06500EELWC</v>
      </c>
      <c r="D1584" s="588" t="str">
        <f ca="1">IFERROR(__xludf.DUMMYFUNCTION("""COMPUTED_VALUE"""),"Đồng ống LWC J-Flex 06.50x0.55")</f>
        <v>Đồng ống LWC J-Flex 06.50x0.55</v>
      </c>
      <c r="E1584" s="589">
        <f ca="1">IFERROR(__xludf.DUMMYFUNCTION("""COMPUTED_VALUE"""),0.1)</f>
        <v>0.1</v>
      </c>
      <c r="F1584" s="590" t="str">
        <f ca="1">IFERROR(__xludf.DUMMYFUNCTION("""COMPUTED_VALUE"""),"m")</f>
        <v>m</v>
      </c>
      <c r="G1584" s="590" t="str">
        <f ca="1">IFERROR(__xludf.DUMMYFUNCTION("""COMPUTED_VALUE"""),"m")</f>
        <v>m</v>
      </c>
      <c r="H1584" s="588"/>
      <c r="I1584" s="591">
        <f ca="1">IFERROR(__xludf.DUMMYFUNCTION("""COMPUTED_VALUE"""),0.09163)</f>
        <v>9.1630000000000003E-2</v>
      </c>
      <c r="J1584" s="592" t="str">
        <f ca="1">IFERROR(__xludf.DUMMYFUNCTION("""COMPUTED_VALUE""")," 06.50 ")</f>
        <v xml:space="preserve"> 06.50 </v>
      </c>
      <c r="K1584" s="590" t="str">
        <f ca="1">IFERROR(__xludf.DUMMYFUNCTION("""COMPUTED_VALUE"""),"0.55")</f>
        <v>0.55</v>
      </c>
      <c r="L1584" s="590">
        <f ca="1">IFERROR(__xludf.DUMMYFUNCTION("""COMPUTED_VALUE"""),1)</f>
        <v>1</v>
      </c>
      <c r="M1584" s="590"/>
      <c r="N1584" s="590" t="str">
        <f ca="1">IFERROR(__xludf.DUMMYFUNCTION("""COMPUTED_VALUE"""),"Dị_D&lt;54")</f>
        <v>Dị_D&lt;54</v>
      </c>
      <c r="O1584" s="589"/>
      <c r="P1584" s="590"/>
    </row>
    <row r="1585" spans="1:16" ht="15.75">
      <c r="A1585" s="581" t="str">
        <f ca="1">IFERROR(__xludf.DUMMYFUNCTION("""COMPUTED_VALUE"""),"J-Flex")</f>
        <v>J-Flex</v>
      </c>
      <c r="B1585" s="581" t="str">
        <f ca="1">IFERROR(__xludf.DUMMYFUNCTION("""COMPUTED_VALUE"""),"ĐJFLEXBANH")</f>
        <v>ĐJFLEXBANH</v>
      </c>
      <c r="C1585" s="581" t="str">
        <f ca="1">IFERROR(__xludf.DUMMYFUNCTION("""COMPUTED_VALUE"""),"JW07940EALWC")</f>
        <v>JW07940EALWC</v>
      </c>
      <c r="D1585" s="582" t="str">
        <f ca="1">IFERROR(__xludf.DUMMYFUNCTION("""COMPUTED_VALUE"""),"Đồng ống LWC J-Flex 07.94x0.51")</f>
        <v>Đồng ống LWC J-Flex 07.94x0.51</v>
      </c>
      <c r="E1585" s="583">
        <f ca="1">IFERROR(__xludf.DUMMYFUNCTION("""COMPUTED_VALUE"""),0.1)</f>
        <v>0.1</v>
      </c>
      <c r="F1585" s="584" t="str">
        <f ca="1">IFERROR(__xludf.DUMMYFUNCTION("""COMPUTED_VALUE"""),"m")</f>
        <v>m</v>
      </c>
      <c r="G1585" s="584" t="str">
        <f ca="1">IFERROR(__xludf.DUMMYFUNCTION("""COMPUTED_VALUE"""),"m")</f>
        <v>m</v>
      </c>
      <c r="H1585" s="582"/>
      <c r="I1585" s="585">
        <f ca="1">IFERROR(__xludf.DUMMYFUNCTION("""COMPUTED_VALUE"""),0.1061004)</f>
        <v>0.1061004</v>
      </c>
      <c r="J1585" s="586" t="str">
        <f ca="1">IFERROR(__xludf.DUMMYFUNCTION("""COMPUTED_VALUE""")," 07.94 ")</f>
        <v xml:space="preserve"> 07.94 </v>
      </c>
      <c r="K1585" s="584" t="str">
        <f ca="1">IFERROR(__xludf.DUMMYFUNCTION("""COMPUTED_VALUE"""),"0.51")</f>
        <v>0.51</v>
      </c>
      <c r="L1585" s="584">
        <f ca="1">IFERROR(__xludf.DUMMYFUNCTION("""COMPUTED_VALUE"""),1)</f>
        <v>1</v>
      </c>
      <c r="M1585" s="584"/>
      <c r="N1585" s="584" t="str">
        <f ca="1">IFERROR(__xludf.DUMMYFUNCTION("""COMPUTED_VALUE"""),"Dị_D&lt;54")</f>
        <v>Dị_D&lt;54</v>
      </c>
      <c r="O1585" s="583"/>
      <c r="P1585" s="584"/>
    </row>
    <row r="1586" spans="1:16" ht="15.75">
      <c r="A1586" s="587" t="str">
        <f ca="1">IFERROR(__xludf.DUMMYFUNCTION("""COMPUTED_VALUE"""),"J-Flex")</f>
        <v>J-Flex</v>
      </c>
      <c r="B1586" s="587" t="str">
        <f ca="1">IFERROR(__xludf.DUMMYFUNCTION("""COMPUTED_VALUE"""),"ĐJFLEXBANH")</f>
        <v>ĐJFLEXBANH</v>
      </c>
      <c r="C1586" s="587" t="str">
        <f ca="1">IFERROR(__xludf.DUMMYFUNCTION("""COMPUTED_VALUE"""),"JW07940EELWC")</f>
        <v>JW07940EELWC</v>
      </c>
      <c r="D1586" s="588" t="str">
        <f ca="1">IFERROR(__xludf.DUMMYFUNCTION("""COMPUTED_VALUE"""),"Đồng ống LWC J-Flex 07.94x0.55")</f>
        <v>Đồng ống LWC J-Flex 07.94x0.55</v>
      </c>
      <c r="E1586" s="589">
        <f ca="1">IFERROR(__xludf.DUMMYFUNCTION("""COMPUTED_VALUE"""),0.1)</f>
        <v>0.1</v>
      </c>
      <c r="F1586" s="590" t="str">
        <f ca="1">IFERROR(__xludf.DUMMYFUNCTION("""COMPUTED_VALUE"""),"m")</f>
        <v>m</v>
      </c>
      <c r="G1586" s="590" t="str">
        <f ca="1">IFERROR(__xludf.DUMMYFUNCTION("""COMPUTED_VALUE"""),"m")</f>
        <v>m</v>
      </c>
      <c r="H1586" s="588"/>
      <c r="I1586" s="591">
        <f ca="1">IFERROR(__xludf.DUMMYFUNCTION("""COMPUTED_VALUE"""),0.113806)</f>
        <v>0.113806</v>
      </c>
      <c r="J1586" s="592" t="str">
        <f ca="1">IFERROR(__xludf.DUMMYFUNCTION("""COMPUTED_VALUE""")," 07.94 ")</f>
        <v xml:space="preserve"> 07.94 </v>
      </c>
      <c r="K1586" s="590" t="str">
        <f ca="1">IFERROR(__xludf.DUMMYFUNCTION("""COMPUTED_VALUE"""),"0.55")</f>
        <v>0.55</v>
      </c>
      <c r="L1586" s="590">
        <f ca="1">IFERROR(__xludf.DUMMYFUNCTION("""COMPUTED_VALUE"""),1)</f>
        <v>1</v>
      </c>
      <c r="M1586" s="590"/>
      <c r="N1586" s="590" t="str">
        <f ca="1">IFERROR(__xludf.DUMMYFUNCTION("""COMPUTED_VALUE"""),"Dị_D&lt;54")</f>
        <v>Dị_D&lt;54</v>
      </c>
      <c r="O1586" s="589"/>
      <c r="P1586" s="590"/>
    </row>
    <row r="1587" spans="1:16" ht="15.75">
      <c r="A1587" s="581" t="str">
        <f ca="1">IFERROR(__xludf.DUMMYFUNCTION("""COMPUTED_VALUE"""),"J-Flex")</f>
        <v>J-Flex</v>
      </c>
      <c r="B1587" s="581" t="str">
        <f ca="1">IFERROR(__xludf.DUMMYFUNCTION("""COMPUTED_VALUE"""),"ĐJFLEXBANH")</f>
        <v>ĐJFLEXBANH</v>
      </c>
      <c r="C1587" s="581" t="str">
        <f ca="1">IFERROR(__xludf.DUMMYFUNCTION("""COMPUTED_VALUE"""),"JW07940GALWC")</f>
        <v>JW07940GALWC</v>
      </c>
      <c r="D1587" s="582" t="str">
        <f ca="1">IFERROR(__xludf.DUMMYFUNCTION("""COMPUTED_VALUE"""),"Đồng ống LWC J-Flex 07.94x0.61")</f>
        <v>Đồng ống LWC J-Flex 07.94x0.61</v>
      </c>
      <c r="E1587" s="583">
        <f ca="1">IFERROR(__xludf.DUMMYFUNCTION("""COMPUTED_VALUE"""),0.1)</f>
        <v>0.1</v>
      </c>
      <c r="F1587" s="584" t="str">
        <f ca="1">IFERROR(__xludf.DUMMYFUNCTION("""COMPUTED_VALUE"""),"m")</f>
        <v>m</v>
      </c>
      <c r="G1587" s="584" t="str">
        <f ca="1">IFERROR(__xludf.DUMMYFUNCTION("""COMPUTED_VALUE"""),"m")</f>
        <v>m</v>
      </c>
      <c r="H1587" s="582"/>
      <c r="I1587" s="585">
        <f ca="1">IFERROR(__xludf.DUMMYFUNCTION("""COMPUTED_VALUE"""),0.1251964)</f>
        <v>0.12519640000000001</v>
      </c>
      <c r="J1587" s="586" t="str">
        <f ca="1">IFERROR(__xludf.DUMMYFUNCTION("""COMPUTED_VALUE""")," 07.94 ")</f>
        <v xml:space="preserve"> 07.94 </v>
      </c>
      <c r="K1587" s="584" t="str">
        <f ca="1">IFERROR(__xludf.DUMMYFUNCTION("""COMPUTED_VALUE"""),"0.61")</f>
        <v>0.61</v>
      </c>
      <c r="L1587" s="584">
        <f ca="1">IFERROR(__xludf.DUMMYFUNCTION("""COMPUTED_VALUE"""),1)</f>
        <v>1</v>
      </c>
      <c r="M1587" s="584"/>
      <c r="N1587" s="584" t="str">
        <f ca="1">IFERROR(__xludf.DUMMYFUNCTION("""COMPUTED_VALUE"""),"Dị_D&lt;54")</f>
        <v>Dị_D&lt;54</v>
      </c>
      <c r="O1587" s="583"/>
      <c r="P1587" s="584"/>
    </row>
    <row r="1588" spans="1:16" ht="15.75">
      <c r="A1588" s="587" t="str">
        <f ca="1">IFERROR(__xludf.DUMMYFUNCTION("""COMPUTED_VALUE"""),"J-Flex")</f>
        <v>J-Flex</v>
      </c>
      <c r="B1588" s="587" t="str">
        <f ca="1">IFERROR(__xludf.DUMMYFUNCTION("""COMPUTED_VALUE"""),"ĐJFLEXBANH")</f>
        <v>ĐJFLEXBANH</v>
      </c>
      <c r="C1588" s="587" t="str">
        <f ca="1">IFERROR(__xludf.DUMMYFUNCTION("""COMPUTED_VALUE"""),"JW07940GELWC")</f>
        <v>JW07940GELWC</v>
      </c>
      <c r="D1588" s="588" t="str">
        <f ca="1">IFERROR(__xludf.DUMMYFUNCTION("""COMPUTED_VALUE"""),"Đồng ống LWC J-Flex 07.94x0.65")</f>
        <v>Đồng ống LWC J-Flex 07.94x0.65</v>
      </c>
      <c r="E1588" s="589">
        <f ca="1">IFERROR(__xludf.DUMMYFUNCTION("""COMPUTED_VALUE"""),0.1)</f>
        <v>0.1</v>
      </c>
      <c r="F1588" s="590" t="str">
        <f ca="1">IFERROR(__xludf.DUMMYFUNCTION("""COMPUTED_VALUE"""),"m")</f>
        <v>m</v>
      </c>
      <c r="G1588" s="590" t="str">
        <f ca="1">IFERROR(__xludf.DUMMYFUNCTION("""COMPUTED_VALUE"""),"m")</f>
        <v>m</v>
      </c>
      <c r="H1588" s="588"/>
      <c r="I1588" s="591">
        <f ca="1">IFERROR(__xludf.DUMMYFUNCTION("""COMPUTED_VALUE"""),0.132678)</f>
        <v>0.13267799999999999</v>
      </c>
      <c r="J1588" s="592" t="str">
        <f ca="1">IFERROR(__xludf.DUMMYFUNCTION("""COMPUTED_VALUE""")," 07.94 ")</f>
        <v xml:space="preserve"> 07.94 </v>
      </c>
      <c r="K1588" s="590" t="str">
        <f ca="1">IFERROR(__xludf.DUMMYFUNCTION("""COMPUTED_VALUE"""),"0.65")</f>
        <v>0.65</v>
      </c>
      <c r="L1588" s="590">
        <f ca="1">IFERROR(__xludf.DUMMYFUNCTION("""COMPUTED_VALUE"""),1)</f>
        <v>1</v>
      </c>
      <c r="M1588" s="590"/>
      <c r="N1588" s="590" t="str">
        <f ca="1">IFERROR(__xludf.DUMMYFUNCTION("""COMPUTED_VALUE"""),"Dị_D&lt;54")</f>
        <v>Dị_D&lt;54</v>
      </c>
      <c r="O1588" s="589"/>
      <c r="P1588" s="590"/>
    </row>
    <row r="1589" spans="1:16" ht="15.75">
      <c r="A1589" s="581" t="str">
        <f ca="1">IFERROR(__xludf.DUMMYFUNCTION("""COMPUTED_VALUE"""),"J-Flex")</f>
        <v>J-Flex</v>
      </c>
      <c r="B1589" s="581" t="str">
        <f ca="1">IFERROR(__xludf.DUMMYFUNCTION("""COMPUTED_VALUE"""),"ĐJFLEXBANH")</f>
        <v>ĐJFLEXBANH</v>
      </c>
      <c r="C1589" s="581" t="str">
        <f ca="1">IFERROR(__xludf.DUMMYFUNCTION("""COMPUTED_VALUE"""),"JW07940HALWC")</f>
        <v>JW07940HALWC</v>
      </c>
      <c r="D1589" s="582" t="str">
        <f ca="1">IFERROR(__xludf.DUMMYFUNCTION("""COMPUTED_VALUE"""),"Đồng ống LWC J-Flex 07.94x0.71")</f>
        <v>Đồng ống LWC J-Flex 07.94x0.71</v>
      </c>
      <c r="E1589" s="583">
        <f ca="1">IFERROR(__xludf.DUMMYFUNCTION("""COMPUTED_VALUE"""),0.1)</f>
        <v>0.1</v>
      </c>
      <c r="F1589" s="584" t="str">
        <f ca="1">IFERROR(__xludf.DUMMYFUNCTION("""COMPUTED_VALUE"""),"m")</f>
        <v>m</v>
      </c>
      <c r="G1589" s="584" t="str">
        <f ca="1">IFERROR(__xludf.DUMMYFUNCTION("""COMPUTED_VALUE"""),"m")</f>
        <v>m</v>
      </c>
      <c r="H1589" s="582"/>
      <c r="I1589" s="585">
        <f ca="1">IFERROR(__xludf.DUMMYFUNCTION("""COMPUTED_VALUE"""),0.1437324)</f>
        <v>0.14373240000000001</v>
      </c>
      <c r="J1589" s="586" t="str">
        <f ca="1">IFERROR(__xludf.DUMMYFUNCTION("""COMPUTED_VALUE""")," 07.94 ")</f>
        <v xml:space="preserve"> 07.94 </v>
      </c>
      <c r="K1589" s="584" t="str">
        <f ca="1">IFERROR(__xludf.DUMMYFUNCTION("""COMPUTED_VALUE"""),"0.71")</f>
        <v>0.71</v>
      </c>
      <c r="L1589" s="584">
        <f ca="1">IFERROR(__xludf.DUMMYFUNCTION("""COMPUTED_VALUE"""),1)</f>
        <v>1</v>
      </c>
      <c r="M1589" s="584"/>
      <c r="N1589" s="584" t="str">
        <f ca="1">IFERROR(__xludf.DUMMYFUNCTION("""COMPUTED_VALUE"""),"Dị_D&lt;54")</f>
        <v>Dị_D&lt;54</v>
      </c>
      <c r="O1589" s="583"/>
      <c r="P1589" s="584"/>
    </row>
    <row r="1590" spans="1:16" ht="15.75">
      <c r="A1590" s="587" t="str">
        <f ca="1">IFERROR(__xludf.DUMMYFUNCTION("""COMPUTED_VALUE"""),"J-Flex")</f>
        <v>J-Flex</v>
      </c>
      <c r="B1590" s="587" t="str">
        <f ca="1">IFERROR(__xludf.DUMMYFUNCTION("""COMPUTED_VALUE"""),"ĐJFLEXBANH")</f>
        <v>ĐJFLEXBANH</v>
      </c>
      <c r="C1590" s="587" t="str">
        <f ca="1">IFERROR(__xludf.DUMMYFUNCTION("""COMPUTED_VALUE"""),"JW07940HELWC")</f>
        <v>JW07940HELWC</v>
      </c>
      <c r="D1590" s="588" t="str">
        <f ca="1">IFERROR(__xludf.DUMMYFUNCTION("""COMPUTED_VALUE"""),"Đồng ống LWC J-Flex 07.94x0.75")</f>
        <v>Đồng ống LWC J-Flex 07.94x0.75</v>
      </c>
      <c r="E1590" s="589">
        <f ca="1">IFERROR(__xludf.DUMMYFUNCTION("""COMPUTED_VALUE"""),0.1)</f>
        <v>0.1</v>
      </c>
      <c r="F1590" s="590" t="str">
        <f ca="1">IFERROR(__xludf.DUMMYFUNCTION("""COMPUTED_VALUE"""),"m")</f>
        <v>m</v>
      </c>
      <c r="G1590" s="590" t="str">
        <f ca="1">IFERROR(__xludf.DUMMYFUNCTION("""COMPUTED_VALUE"""),"m")</f>
        <v>m</v>
      </c>
      <c r="H1590" s="588"/>
      <c r="I1590" s="591">
        <f ca="1">IFERROR(__xludf.DUMMYFUNCTION("""COMPUTED_VALUE"""),0.15099)</f>
        <v>0.15099000000000001</v>
      </c>
      <c r="J1590" s="592" t="str">
        <f ca="1">IFERROR(__xludf.DUMMYFUNCTION("""COMPUTED_VALUE""")," 07.94 ")</f>
        <v xml:space="preserve"> 07.94 </v>
      </c>
      <c r="K1590" s="590" t="str">
        <f ca="1">IFERROR(__xludf.DUMMYFUNCTION("""COMPUTED_VALUE"""),"0.75")</f>
        <v>0.75</v>
      </c>
      <c r="L1590" s="590">
        <f ca="1">IFERROR(__xludf.DUMMYFUNCTION("""COMPUTED_VALUE"""),1)</f>
        <v>1</v>
      </c>
      <c r="M1590" s="590"/>
      <c r="N1590" s="590" t="str">
        <f ca="1">IFERROR(__xludf.DUMMYFUNCTION("""COMPUTED_VALUE"""),"Dị_D&lt;54")</f>
        <v>Dị_D&lt;54</v>
      </c>
      <c r="O1590" s="589"/>
      <c r="P1590" s="590"/>
    </row>
    <row r="1591" spans="1:16" ht="15.75">
      <c r="A1591" s="581" t="str">
        <f ca="1">IFERROR(__xludf.DUMMYFUNCTION("""COMPUTED_VALUE"""),"J-Flex")</f>
        <v>J-Flex</v>
      </c>
      <c r="B1591" s="581" t="str">
        <f ca="1">IFERROR(__xludf.DUMMYFUNCTION("""COMPUTED_VALUE"""),"ĐJFLEXBANH")</f>
        <v>ĐJFLEXBANH</v>
      </c>
      <c r="C1591" s="581" t="str">
        <f ca="1">IFERROR(__xludf.DUMMYFUNCTION("""COMPUTED_VALUE"""),"JW07940IALWC")</f>
        <v>JW07940IALWC</v>
      </c>
      <c r="D1591" s="582" t="str">
        <f ca="1">IFERROR(__xludf.DUMMYFUNCTION("""COMPUTED_VALUE"""),"Đồng ống LWC J-Flex 07.94x0.81")</f>
        <v>Đồng ống LWC J-Flex 07.94x0.81</v>
      </c>
      <c r="E1591" s="583">
        <f ca="1">IFERROR(__xludf.DUMMYFUNCTION("""COMPUTED_VALUE"""),0.1)</f>
        <v>0.1</v>
      </c>
      <c r="F1591" s="584" t="str">
        <f ca="1">IFERROR(__xludf.DUMMYFUNCTION("""COMPUTED_VALUE"""),"m")</f>
        <v>m</v>
      </c>
      <c r="G1591" s="584" t="str">
        <f ca="1">IFERROR(__xludf.DUMMYFUNCTION("""COMPUTED_VALUE"""),"m")</f>
        <v>m</v>
      </c>
      <c r="H1591" s="582"/>
      <c r="I1591" s="585">
        <f ca="1">IFERROR(__xludf.DUMMYFUNCTION("""COMPUTED_VALUE"""),0.1617084)</f>
        <v>0.1617084</v>
      </c>
      <c r="J1591" s="586" t="str">
        <f ca="1">IFERROR(__xludf.DUMMYFUNCTION("""COMPUTED_VALUE""")," 07.94 ")</f>
        <v xml:space="preserve"> 07.94 </v>
      </c>
      <c r="K1591" s="584" t="str">
        <f ca="1">IFERROR(__xludf.DUMMYFUNCTION("""COMPUTED_VALUE"""),"0.81")</f>
        <v>0.81</v>
      </c>
      <c r="L1591" s="584">
        <f ca="1">IFERROR(__xludf.DUMMYFUNCTION("""COMPUTED_VALUE"""),1)</f>
        <v>1</v>
      </c>
      <c r="M1591" s="584"/>
      <c r="N1591" s="584" t="str">
        <f ca="1">IFERROR(__xludf.DUMMYFUNCTION("""COMPUTED_VALUE"""),"Dị_D&lt;54")</f>
        <v>Dị_D&lt;54</v>
      </c>
      <c r="O1591" s="583"/>
      <c r="P1591" s="584"/>
    </row>
    <row r="1592" spans="1:16" ht="15.75">
      <c r="A1592" s="587" t="str">
        <f ca="1">IFERROR(__xludf.DUMMYFUNCTION("""COMPUTED_VALUE"""),"J-Flex")</f>
        <v>J-Flex</v>
      </c>
      <c r="B1592" s="587" t="str">
        <f ca="1">IFERROR(__xludf.DUMMYFUNCTION("""COMPUTED_VALUE"""),"ĐJFLEXBANH")</f>
        <v>ĐJFLEXBANH</v>
      </c>
      <c r="C1592" s="587" t="str">
        <f ca="1">IFERROR(__xludf.DUMMYFUNCTION("""COMPUTED_VALUE"""),"JW09520EALWC")</f>
        <v>JW09520EALWC</v>
      </c>
      <c r="D1592" s="588" t="str">
        <f ca="1">IFERROR(__xludf.DUMMYFUNCTION("""COMPUTED_VALUE"""),"Đồng ống LWC J-Flex 09.52x0.51")</f>
        <v>Đồng ống LWC J-Flex 09.52x0.51</v>
      </c>
      <c r="E1592" s="589">
        <f ca="1">IFERROR(__xludf.DUMMYFUNCTION("""COMPUTED_VALUE"""),0.1)</f>
        <v>0.1</v>
      </c>
      <c r="F1592" s="590" t="str">
        <f ca="1">IFERROR(__xludf.DUMMYFUNCTION("""COMPUTED_VALUE"""),"m")</f>
        <v>m</v>
      </c>
      <c r="G1592" s="590" t="str">
        <f ca="1">IFERROR(__xludf.DUMMYFUNCTION("""COMPUTED_VALUE"""),"m")</f>
        <v>m</v>
      </c>
      <c r="H1592" s="588"/>
      <c r="I1592" s="591">
        <f ca="1">IFERROR(__xludf.DUMMYFUNCTION("""COMPUTED_VALUE"""),0.1286628)</f>
        <v>0.12866279999999999</v>
      </c>
      <c r="J1592" s="592" t="str">
        <f ca="1">IFERROR(__xludf.DUMMYFUNCTION("""COMPUTED_VALUE""")," 09.52 ")</f>
        <v xml:space="preserve"> 09.52 </v>
      </c>
      <c r="K1592" s="590" t="str">
        <f ca="1">IFERROR(__xludf.DUMMYFUNCTION("""COMPUTED_VALUE"""),"0.51")</f>
        <v>0.51</v>
      </c>
      <c r="L1592" s="590">
        <f ca="1">IFERROR(__xludf.DUMMYFUNCTION("""COMPUTED_VALUE"""),1)</f>
        <v>1</v>
      </c>
      <c r="M1592" s="590"/>
      <c r="N1592" s="590" t="str">
        <f ca="1">IFERROR(__xludf.DUMMYFUNCTION("""COMPUTED_VALUE"""),"Dị_D&lt;54")</f>
        <v>Dị_D&lt;54</v>
      </c>
      <c r="O1592" s="589"/>
      <c r="P1592" s="590"/>
    </row>
    <row r="1593" spans="1:16" ht="15.75">
      <c r="A1593" s="581" t="str">
        <f ca="1">IFERROR(__xludf.DUMMYFUNCTION("""COMPUTED_VALUE"""),"J-Flex")</f>
        <v>J-Flex</v>
      </c>
      <c r="B1593" s="581" t="str">
        <f ca="1">IFERROR(__xludf.DUMMYFUNCTION("""COMPUTED_VALUE"""),"ĐJFLEXBANH")</f>
        <v>ĐJFLEXBANH</v>
      </c>
      <c r="C1593" s="581" t="str">
        <f ca="1">IFERROR(__xludf.DUMMYFUNCTION("""COMPUTED_VALUE"""),"JW09520EELWC")</f>
        <v>JW09520EELWC</v>
      </c>
      <c r="D1593" s="582" t="str">
        <f ca="1">IFERROR(__xludf.DUMMYFUNCTION("""COMPUTED_VALUE"""),"Đồng ống LWC J-Flex 09.52x0.55")</f>
        <v>Đồng ống LWC J-Flex 09.52x0.55</v>
      </c>
      <c r="E1593" s="583">
        <f ca="1">IFERROR(__xludf.DUMMYFUNCTION("""COMPUTED_VALUE"""),0.1)</f>
        <v>0.1</v>
      </c>
      <c r="F1593" s="584" t="str">
        <f ca="1">IFERROR(__xludf.DUMMYFUNCTION("""COMPUTED_VALUE"""),"m")</f>
        <v>m</v>
      </c>
      <c r="G1593" s="584" t="str">
        <f ca="1">IFERROR(__xludf.DUMMYFUNCTION("""COMPUTED_VALUE"""),"m")</f>
        <v>m</v>
      </c>
      <c r="H1593" s="582"/>
      <c r="I1593" s="585">
        <f ca="1">IFERROR(__xludf.DUMMYFUNCTION("""COMPUTED_VALUE"""),0.138137999999999)</f>
        <v>0.13813799999999901</v>
      </c>
      <c r="J1593" s="586" t="str">
        <f ca="1">IFERROR(__xludf.DUMMYFUNCTION("""COMPUTED_VALUE""")," 09.52 ")</f>
        <v xml:space="preserve"> 09.52 </v>
      </c>
      <c r="K1593" s="584" t="str">
        <f ca="1">IFERROR(__xludf.DUMMYFUNCTION("""COMPUTED_VALUE"""),"0.55")</f>
        <v>0.55</v>
      </c>
      <c r="L1593" s="584">
        <f ca="1">IFERROR(__xludf.DUMMYFUNCTION("""COMPUTED_VALUE"""),1)</f>
        <v>1</v>
      </c>
      <c r="M1593" s="584"/>
      <c r="N1593" s="584" t="str">
        <f ca="1">IFERROR(__xludf.DUMMYFUNCTION("""COMPUTED_VALUE"""),"Dị_D&lt;54")</f>
        <v>Dị_D&lt;54</v>
      </c>
      <c r="O1593" s="583"/>
      <c r="P1593" s="584"/>
    </row>
    <row r="1594" spans="1:16" ht="15.75">
      <c r="A1594" s="587" t="str">
        <f ca="1">IFERROR(__xludf.DUMMYFUNCTION("""COMPUTED_VALUE"""),"J-Flex")</f>
        <v>J-Flex</v>
      </c>
      <c r="B1594" s="587" t="str">
        <f ca="1">IFERROR(__xludf.DUMMYFUNCTION("""COMPUTED_VALUE"""),"ĐJFLEXBANH")</f>
        <v>ĐJFLEXBANH</v>
      </c>
      <c r="C1594" s="587" t="str">
        <f ca="1">IFERROR(__xludf.DUMMYFUNCTION("""COMPUTED_VALUE"""),"JW09520GALWC")</f>
        <v>JW09520GALWC</v>
      </c>
      <c r="D1594" s="588" t="str">
        <f ca="1">IFERROR(__xludf.DUMMYFUNCTION("""COMPUTED_VALUE"""),"Đồng ống LWC J-Flex 09.52x0.61")</f>
        <v>Đồng ống LWC J-Flex 09.52x0.61</v>
      </c>
      <c r="E1594" s="589">
        <f ca="1">IFERROR(__xludf.DUMMYFUNCTION("""COMPUTED_VALUE"""),0.1)</f>
        <v>0.1</v>
      </c>
      <c r="F1594" s="590" t="str">
        <f ca="1">IFERROR(__xludf.DUMMYFUNCTION("""COMPUTED_VALUE"""),"m")</f>
        <v>m</v>
      </c>
      <c r="G1594" s="590" t="str">
        <f ca="1">IFERROR(__xludf.DUMMYFUNCTION("""COMPUTED_VALUE"""),"m")</f>
        <v>m</v>
      </c>
      <c r="H1594" s="588"/>
      <c r="I1594" s="591">
        <f ca="1">IFERROR(__xludf.DUMMYFUNCTION("""COMPUTED_VALUE"""),0.1521828)</f>
        <v>0.15218280000000001</v>
      </c>
      <c r="J1594" s="592" t="str">
        <f ca="1">IFERROR(__xludf.DUMMYFUNCTION("""COMPUTED_VALUE""")," 09.52 ")</f>
        <v xml:space="preserve"> 09.52 </v>
      </c>
      <c r="K1594" s="590" t="str">
        <f ca="1">IFERROR(__xludf.DUMMYFUNCTION("""COMPUTED_VALUE"""),"0.61")</f>
        <v>0.61</v>
      </c>
      <c r="L1594" s="590">
        <f ca="1">IFERROR(__xludf.DUMMYFUNCTION("""COMPUTED_VALUE"""),1)</f>
        <v>1</v>
      </c>
      <c r="M1594" s="590"/>
      <c r="N1594" s="590" t="str">
        <f ca="1">IFERROR(__xludf.DUMMYFUNCTION("""COMPUTED_VALUE"""),"Dị_D&lt;54")</f>
        <v>Dị_D&lt;54</v>
      </c>
      <c r="O1594" s="589">
        <f ca="1">IFERROR(__xludf.DUMMYFUNCTION("""COMPUTED_VALUE"""),1)</f>
        <v>1</v>
      </c>
      <c r="P1594" s="590"/>
    </row>
    <row r="1595" spans="1:16" ht="15.75">
      <c r="A1595" s="581" t="str">
        <f ca="1">IFERROR(__xludf.DUMMYFUNCTION("""COMPUTED_VALUE"""),"J-Flex")</f>
        <v>J-Flex</v>
      </c>
      <c r="B1595" s="581" t="str">
        <f ca="1">IFERROR(__xludf.DUMMYFUNCTION("""COMPUTED_VALUE"""),"ĐJFLEXBANH")</f>
        <v>ĐJFLEXBANH</v>
      </c>
      <c r="C1595" s="581" t="str">
        <f ca="1">IFERROR(__xludf.DUMMYFUNCTION("""COMPUTED_VALUE"""),"JW09520GALWCKI")</f>
        <v>JW09520GALWCKI</v>
      </c>
      <c r="D1595" s="582" t="str">
        <f ca="1">IFERROR(__xludf.DUMMYFUNCTION("""COMPUTED_VALUE"""),"Đồng ống LWC J-Flex không in 09.52x0.61")</f>
        <v>Đồng ống LWC J-Flex không in 09.52x0.61</v>
      </c>
      <c r="E1595" s="583">
        <f ca="1">IFERROR(__xludf.DUMMYFUNCTION("""COMPUTED_VALUE"""),0.1)</f>
        <v>0.1</v>
      </c>
      <c r="F1595" s="584" t="str">
        <f ca="1">IFERROR(__xludf.DUMMYFUNCTION("""COMPUTED_VALUE"""),"m")</f>
        <v>m</v>
      </c>
      <c r="G1595" s="584" t="str">
        <f ca="1">IFERROR(__xludf.DUMMYFUNCTION("""COMPUTED_VALUE"""),"m")</f>
        <v>m</v>
      </c>
      <c r="H1595" s="582"/>
      <c r="I1595" s="585">
        <f ca="1">IFERROR(__xludf.DUMMYFUNCTION("""COMPUTED_VALUE"""),0.1521828)</f>
        <v>0.15218280000000001</v>
      </c>
      <c r="J1595" s="586" t="str">
        <f ca="1">IFERROR(__xludf.DUMMYFUNCTION("""COMPUTED_VALUE""")," 09.52 ")</f>
        <v xml:space="preserve"> 09.52 </v>
      </c>
      <c r="K1595" s="584" t="str">
        <f ca="1">IFERROR(__xludf.DUMMYFUNCTION("""COMPUTED_VALUE"""),"0.61")</f>
        <v>0.61</v>
      </c>
      <c r="L1595" s="584">
        <f ca="1">IFERROR(__xludf.DUMMYFUNCTION("""COMPUTED_VALUE"""),1)</f>
        <v>1</v>
      </c>
      <c r="M1595" s="584"/>
      <c r="N1595" s="584" t="str">
        <f ca="1">IFERROR(__xludf.DUMMYFUNCTION("""COMPUTED_VALUE"""),"Dị_D&lt;54")</f>
        <v>Dị_D&lt;54</v>
      </c>
      <c r="O1595" s="583">
        <f ca="1">IFERROR(__xludf.DUMMYFUNCTION("""COMPUTED_VALUE"""),1)</f>
        <v>1</v>
      </c>
      <c r="P1595" s="584"/>
    </row>
    <row r="1596" spans="1:16" ht="15.75">
      <c r="A1596" s="587" t="str">
        <f ca="1">IFERROR(__xludf.DUMMYFUNCTION("""COMPUTED_VALUE"""),"J-Flex")</f>
        <v>J-Flex</v>
      </c>
      <c r="B1596" s="587" t="str">
        <f ca="1">IFERROR(__xludf.DUMMYFUNCTION("""COMPUTED_VALUE"""),"ĐJFLEXBANH")</f>
        <v>ĐJFLEXBANH</v>
      </c>
      <c r="C1596" s="587" t="str">
        <f ca="1">IFERROR(__xludf.DUMMYFUNCTION("""COMPUTED_VALUE"""),"JW09520GELWC")</f>
        <v>JW09520GELWC</v>
      </c>
      <c r="D1596" s="588" t="str">
        <f ca="1">IFERROR(__xludf.DUMMYFUNCTION("""COMPUTED_VALUE"""),"Đồng ống LWC J-Flex 09.52x0.65")</f>
        <v>Đồng ống LWC J-Flex 09.52x0.65</v>
      </c>
      <c r="E1596" s="589">
        <f ca="1">IFERROR(__xludf.DUMMYFUNCTION("""COMPUTED_VALUE"""),0.1)</f>
        <v>0.1</v>
      </c>
      <c r="F1596" s="590" t="str">
        <f ca="1">IFERROR(__xludf.DUMMYFUNCTION("""COMPUTED_VALUE"""),"m")</f>
        <v>m</v>
      </c>
      <c r="G1596" s="590" t="str">
        <f ca="1">IFERROR(__xludf.DUMMYFUNCTION("""COMPUTED_VALUE"""),"m")</f>
        <v>m</v>
      </c>
      <c r="H1596" s="588"/>
      <c r="I1596" s="591">
        <f ca="1">IFERROR(__xludf.DUMMYFUNCTION("""COMPUTED_VALUE"""),0.161434)</f>
        <v>0.16143399999999999</v>
      </c>
      <c r="J1596" s="592" t="str">
        <f ca="1">IFERROR(__xludf.DUMMYFUNCTION("""COMPUTED_VALUE""")," 09.52 ")</f>
        <v xml:space="preserve"> 09.52 </v>
      </c>
      <c r="K1596" s="590" t="str">
        <f ca="1">IFERROR(__xludf.DUMMYFUNCTION("""COMPUTED_VALUE"""),"0.65")</f>
        <v>0.65</v>
      </c>
      <c r="L1596" s="590">
        <f ca="1">IFERROR(__xludf.DUMMYFUNCTION("""COMPUTED_VALUE"""),1)</f>
        <v>1</v>
      </c>
      <c r="M1596" s="590"/>
      <c r="N1596" s="590" t="str">
        <f ca="1">IFERROR(__xludf.DUMMYFUNCTION("""COMPUTED_VALUE"""),"Dị_D&lt;54")</f>
        <v>Dị_D&lt;54</v>
      </c>
      <c r="O1596" s="589"/>
      <c r="P1596" s="590"/>
    </row>
    <row r="1597" spans="1:16" ht="15.75">
      <c r="A1597" s="581" t="str">
        <f ca="1">IFERROR(__xludf.DUMMYFUNCTION("""COMPUTED_VALUE"""),"J-Flex")</f>
        <v>J-Flex</v>
      </c>
      <c r="B1597" s="581" t="str">
        <f ca="1">IFERROR(__xludf.DUMMYFUNCTION("""COMPUTED_VALUE"""),"ĐJFLEXBANH")</f>
        <v>ĐJFLEXBANH</v>
      </c>
      <c r="C1597" s="581" t="str">
        <f ca="1">IFERROR(__xludf.DUMMYFUNCTION("""COMPUTED_VALUE"""),"JW09520GELWCKI")</f>
        <v>JW09520GELWCKI</v>
      </c>
      <c r="D1597" s="582" t="str">
        <f ca="1">IFERROR(__xludf.DUMMYFUNCTION("""COMPUTED_VALUE"""),"Đồng ống LWC J-Flex không in 09.52x0.65")</f>
        <v>Đồng ống LWC J-Flex không in 09.52x0.65</v>
      </c>
      <c r="E1597" s="583">
        <f ca="1">IFERROR(__xludf.DUMMYFUNCTION("""COMPUTED_VALUE"""),0.1)</f>
        <v>0.1</v>
      </c>
      <c r="F1597" s="584" t="str">
        <f ca="1">IFERROR(__xludf.DUMMYFUNCTION("""COMPUTED_VALUE"""),"m")</f>
        <v>m</v>
      </c>
      <c r="G1597" s="584" t="str">
        <f ca="1">IFERROR(__xludf.DUMMYFUNCTION("""COMPUTED_VALUE"""),"m")</f>
        <v>m</v>
      </c>
      <c r="H1597" s="582"/>
      <c r="I1597" s="585">
        <f ca="1">IFERROR(__xludf.DUMMYFUNCTION("""COMPUTED_VALUE"""),0.161434)</f>
        <v>0.16143399999999999</v>
      </c>
      <c r="J1597" s="586" t="str">
        <f ca="1">IFERROR(__xludf.DUMMYFUNCTION("""COMPUTED_VALUE""")," 09.52 ")</f>
        <v xml:space="preserve"> 09.52 </v>
      </c>
      <c r="K1597" s="584" t="str">
        <f ca="1">IFERROR(__xludf.DUMMYFUNCTION("""COMPUTED_VALUE"""),"0.65")</f>
        <v>0.65</v>
      </c>
      <c r="L1597" s="584">
        <f ca="1">IFERROR(__xludf.DUMMYFUNCTION("""COMPUTED_VALUE"""),1)</f>
        <v>1</v>
      </c>
      <c r="M1597" s="584"/>
      <c r="N1597" s="584" t="str">
        <f ca="1">IFERROR(__xludf.DUMMYFUNCTION("""COMPUTED_VALUE"""),"Dị_D&lt;54")</f>
        <v>Dị_D&lt;54</v>
      </c>
      <c r="O1597" s="583"/>
      <c r="P1597" s="584"/>
    </row>
    <row r="1598" spans="1:16" ht="15.75">
      <c r="A1598" s="587" t="str">
        <f ca="1">IFERROR(__xludf.DUMMYFUNCTION("""COMPUTED_VALUE"""),"J-Flex")</f>
        <v>J-Flex</v>
      </c>
      <c r="B1598" s="587" t="str">
        <f ca="1">IFERROR(__xludf.DUMMYFUNCTION("""COMPUTED_VALUE"""),"ĐJFLEXBANH")</f>
        <v>ĐJFLEXBANH</v>
      </c>
      <c r="C1598" s="587" t="str">
        <f ca="1">IFERROR(__xludf.DUMMYFUNCTION("""COMPUTED_VALUE"""),"JW09520HALWC")</f>
        <v>JW09520HALWC</v>
      </c>
      <c r="D1598" s="588" t="str">
        <f ca="1">IFERROR(__xludf.DUMMYFUNCTION("""COMPUTED_VALUE"""),"Đồng ống LWC J-Flex 09.52x0.71")</f>
        <v>Đồng ống LWC J-Flex 09.52x0.71</v>
      </c>
      <c r="E1598" s="589">
        <f ca="1">IFERROR(__xludf.DUMMYFUNCTION("""COMPUTED_VALUE"""),0.1)</f>
        <v>0.1</v>
      </c>
      <c r="F1598" s="590" t="str">
        <f ca="1">IFERROR(__xludf.DUMMYFUNCTION("""COMPUTED_VALUE"""),"m")</f>
        <v>m</v>
      </c>
      <c r="G1598" s="590" t="str">
        <f ca="1">IFERROR(__xludf.DUMMYFUNCTION("""COMPUTED_VALUE"""),"m")</f>
        <v>m</v>
      </c>
      <c r="H1598" s="588"/>
      <c r="I1598" s="591">
        <f ca="1">IFERROR(__xludf.DUMMYFUNCTION("""COMPUTED_VALUE"""),0.175142799999999)</f>
        <v>0.17514279999999899</v>
      </c>
      <c r="J1598" s="592" t="str">
        <f ca="1">IFERROR(__xludf.DUMMYFUNCTION("""COMPUTED_VALUE""")," 09.52 ")</f>
        <v xml:space="preserve"> 09.52 </v>
      </c>
      <c r="K1598" s="590" t="str">
        <f ca="1">IFERROR(__xludf.DUMMYFUNCTION("""COMPUTED_VALUE"""),"0.71")</f>
        <v>0.71</v>
      </c>
      <c r="L1598" s="590">
        <f ca="1">IFERROR(__xludf.DUMMYFUNCTION("""COMPUTED_VALUE"""),1)</f>
        <v>1</v>
      </c>
      <c r="M1598" s="590"/>
      <c r="N1598" s="590" t="str">
        <f ca="1">IFERROR(__xludf.DUMMYFUNCTION("""COMPUTED_VALUE"""),"Dị_D&lt;54")</f>
        <v>Dị_D&lt;54</v>
      </c>
      <c r="O1598" s="589">
        <f ca="1">IFERROR(__xludf.DUMMYFUNCTION("""COMPUTED_VALUE"""),1)</f>
        <v>1</v>
      </c>
      <c r="P1598" s="590"/>
    </row>
    <row r="1599" spans="1:16" ht="15.75">
      <c r="A1599" s="581" t="str">
        <f ca="1">IFERROR(__xludf.DUMMYFUNCTION("""COMPUTED_VALUE"""),"J-Flex")</f>
        <v>J-Flex</v>
      </c>
      <c r="B1599" s="581" t="str">
        <f ca="1">IFERROR(__xludf.DUMMYFUNCTION("""COMPUTED_VALUE"""),"ĐJFLEXBANH")</f>
        <v>ĐJFLEXBANH</v>
      </c>
      <c r="C1599" s="581" t="str">
        <f ca="1">IFERROR(__xludf.DUMMYFUNCTION("""COMPUTED_VALUE"""),"JW09520HALWCKI")</f>
        <v>JW09520HALWCKI</v>
      </c>
      <c r="D1599" s="582" t="str">
        <f ca="1">IFERROR(__xludf.DUMMYFUNCTION("""COMPUTED_VALUE"""),"Đồng ống LWC J-Flex không in 09.52x0.71")</f>
        <v>Đồng ống LWC J-Flex không in 09.52x0.71</v>
      </c>
      <c r="E1599" s="583">
        <f ca="1">IFERROR(__xludf.DUMMYFUNCTION("""COMPUTED_VALUE"""),0.1)</f>
        <v>0.1</v>
      </c>
      <c r="F1599" s="584" t="str">
        <f ca="1">IFERROR(__xludf.DUMMYFUNCTION("""COMPUTED_VALUE"""),"m")</f>
        <v>m</v>
      </c>
      <c r="G1599" s="584" t="str">
        <f ca="1">IFERROR(__xludf.DUMMYFUNCTION("""COMPUTED_VALUE"""),"m")</f>
        <v>m</v>
      </c>
      <c r="H1599" s="582"/>
      <c r="I1599" s="585">
        <f ca="1">IFERROR(__xludf.DUMMYFUNCTION("""COMPUTED_VALUE"""),0.175142799999999)</f>
        <v>0.17514279999999899</v>
      </c>
      <c r="J1599" s="586" t="str">
        <f ca="1">IFERROR(__xludf.DUMMYFUNCTION("""COMPUTED_VALUE""")," 09.52 ")</f>
        <v xml:space="preserve"> 09.52 </v>
      </c>
      <c r="K1599" s="584" t="str">
        <f ca="1">IFERROR(__xludf.DUMMYFUNCTION("""COMPUTED_VALUE"""),"0.71")</f>
        <v>0.71</v>
      </c>
      <c r="L1599" s="584">
        <f ca="1">IFERROR(__xludf.DUMMYFUNCTION("""COMPUTED_VALUE"""),1)</f>
        <v>1</v>
      </c>
      <c r="M1599" s="584"/>
      <c r="N1599" s="584" t="str">
        <f ca="1">IFERROR(__xludf.DUMMYFUNCTION("""COMPUTED_VALUE"""),"Dị_D&lt;54")</f>
        <v>Dị_D&lt;54</v>
      </c>
      <c r="O1599" s="583">
        <f ca="1">IFERROR(__xludf.DUMMYFUNCTION("""COMPUTED_VALUE"""),1)</f>
        <v>1</v>
      </c>
      <c r="P1599" s="584"/>
    </row>
    <row r="1600" spans="1:16" ht="15.75">
      <c r="A1600" s="587" t="str">
        <f ca="1">IFERROR(__xludf.DUMMYFUNCTION("""COMPUTED_VALUE"""),"J-Flex")</f>
        <v>J-Flex</v>
      </c>
      <c r="B1600" s="587" t="str">
        <f ca="1">IFERROR(__xludf.DUMMYFUNCTION("""COMPUTED_VALUE"""),"ĐJFLEXBANH")</f>
        <v>ĐJFLEXBANH</v>
      </c>
      <c r="C1600" s="587" t="str">
        <f ca="1">IFERROR(__xludf.DUMMYFUNCTION("""COMPUTED_VALUE"""),"JW09520HELWC")</f>
        <v>JW09520HELWC</v>
      </c>
      <c r="D1600" s="588" t="str">
        <f ca="1">IFERROR(__xludf.DUMMYFUNCTION("""COMPUTED_VALUE"""),"Đồng ống LWC J-Flex 09.52x0.75")</f>
        <v>Đồng ống LWC J-Flex 09.52x0.75</v>
      </c>
      <c r="E1600" s="589">
        <f ca="1">IFERROR(__xludf.DUMMYFUNCTION("""COMPUTED_VALUE"""),0.1)</f>
        <v>0.1</v>
      </c>
      <c r="F1600" s="590" t="str">
        <f ca="1">IFERROR(__xludf.DUMMYFUNCTION("""COMPUTED_VALUE"""),"m")</f>
        <v>m</v>
      </c>
      <c r="G1600" s="590" t="str">
        <f ca="1">IFERROR(__xludf.DUMMYFUNCTION("""COMPUTED_VALUE"""),"m")</f>
        <v>m</v>
      </c>
      <c r="H1600" s="588"/>
      <c r="I1600" s="591">
        <f ca="1">IFERROR(__xludf.DUMMYFUNCTION("""COMPUTED_VALUE"""),0.18417)</f>
        <v>0.18417</v>
      </c>
      <c r="J1600" s="592" t="str">
        <f ca="1">IFERROR(__xludf.DUMMYFUNCTION("""COMPUTED_VALUE""")," 09.52 ")</f>
        <v xml:space="preserve"> 09.52 </v>
      </c>
      <c r="K1600" s="590" t="str">
        <f ca="1">IFERROR(__xludf.DUMMYFUNCTION("""COMPUTED_VALUE"""),"0.75")</f>
        <v>0.75</v>
      </c>
      <c r="L1600" s="590">
        <f ca="1">IFERROR(__xludf.DUMMYFUNCTION("""COMPUTED_VALUE"""),1)</f>
        <v>1</v>
      </c>
      <c r="M1600" s="590"/>
      <c r="N1600" s="590" t="str">
        <f ca="1">IFERROR(__xludf.DUMMYFUNCTION("""COMPUTED_VALUE"""),"Dị_D&lt;54")</f>
        <v>Dị_D&lt;54</v>
      </c>
      <c r="O1600" s="589"/>
      <c r="P1600" s="590"/>
    </row>
    <row r="1601" spans="1:16" ht="15.75">
      <c r="A1601" s="581" t="str">
        <f ca="1">IFERROR(__xludf.DUMMYFUNCTION("""COMPUTED_VALUE"""),"J-Flex")</f>
        <v>J-Flex</v>
      </c>
      <c r="B1601" s="581" t="str">
        <f ca="1">IFERROR(__xludf.DUMMYFUNCTION("""COMPUTED_VALUE"""),"ĐJFLEXBANH")</f>
        <v>ĐJFLEXBANH</v>
      </c>
      <c r="C1601" s="581" t="str">
        <f ca="1">IFERROR(__xludf.DUMMYFUNCTION("""COMPUTED_VALUE"""),"JW09520IALWC")</f>
        <v>JW09520IALWC</v>
      </c>
      <c r="D1601" s="582" t="str">
        <f ca="1">IFERROR(__xludf.DUMMYFUNCTION("""COMPUTED_VALUE"""),"Đồng ống LWC J-Flex 09.52x0.81")</f>
        <v>Đồng ống LWC J-Flex 09.52x0.81</v>
      </c>
      <c r="E1601" s="583">
        <f ca="1">IFERROR(__xludf.DUMMYFUNCTION("""COMPUTED_VALUE"""),0.1)</f>
        <v>0.1</v>
      </c>
      <c r="F1601" s="584" t="str">
        <f ca="1">IFERROR(__xludf.DUMMYFUNCTION("""COMPUTED_VALUE"""),"m")</f>
        <v>m</v>
      </c>
      <c r="G1601" s="584" t="str">
        <f ca="1">IFERROR(__xludf.DUMMYFUNCTION("""COMPUTED_VALUE"""),"m")</f>
        <v>m</v>
      </c>
      <c r="H1601" s="582"/>
      <c r="I1601" s="585">
        <f ca="1">IFERROR(__xludf.DUMMYFUNCTION("""COMPUTED_VALUE"""),0.1975428)</f>
        <v>0.19754279999999999</v>
      </c>
      <c r="J1601" s="586" t="str">
        <f ca="1">IFERROR(__xludf.DUMMYFUNCTION("""COMPUTED_VALUE""")," 09.52 ")</f>
        <v xml:space="preserve"> 09.52 </v>
      </c>
      <c r="K1601" s="584" t="str">
        <f ca="1">IFERROR(__xludf.DUMMYFUNCTION("""COMPUTED_VALUE"""),"0.81")</f>
        <v>0.81</v>
      </c>
      <c r="L1601" s="584">
        <f ca="1">IFERROR(__xludf.DUMMYFUNCTION("""COMPUTED_VALUE"""),1)</f>
        <v>1</v>
      </c>
      <c r="M1601" s="584"/>
      <c r="N1601" s="584" t="str">
        <f ca="1">IFERROR(__xludf.DUMMYFUNCTION("""COMPUTED_VALUE"""),"Dị_D&lt;54")</f>
        <v>Dị_D&lt;54</v>
      </c>
      <c r="O1601" s="583">
        <f ca="1">IFERROR(__xludf.DUMMYFUNCTION("""COMPUTED_VALUE"""),1)</f>
        <v>1</v>
      </c>
      <c r="P1601" s="584"/>
    </row>
    <row r="1602" spans="1:16" ht="15.75">
      <c r="A1602" s="587" t="str">
        <f ca="1">IFERROR(__xludf.DUMMYFUNCTION("""COMPUTED_VALUE"""),"J-Flex")</f>
        <v>J-Flex</v>
      </c>
      <c r="B1602" s="587" t="str">
        <f ca="1">IFERROR(__xludf.DUMMYFUNCTION("""COMPUTED_VALUE"""),"ĐJFLEXBANH")</f>
        <v>ĐJFLEXBANH</v>
      </c>
      <c r="C1602" s="587" t="str">
        <f ca="1">IFERROR(__xludf.DUMMYFUNCTION("""COMPUTED_VALUE"""),"JW12700EALWC")</f>
        <v>JW12700EALWC</v>
      </c>
      <c r="D1602" s="588" t="str">
        <f ca="1">IFERROR(__xludf.DUMMYFUNCTION("""COMPUTED_VALUE"""),"Đồng ống LWC J-Flex 12.7x0.51")</f>
        <v>Đồng ống LWC J-Flex 12.7x0.51</v>
      </c>
      <c r="E1602" s="589">
        <f ca="1">IFERROR(__xludf.DUMMYFUNCTION("""COMPUTED_VALUE"""),0.1)</f>
        <v>0.1</v>
      </c>
      <c r="F1602" s="590" t="str">
        <f ca="1">IFERROR(__xludf.DUMMYFUNCTION("""COMPUTED_VALUE"""),"m")</f>
        <v>m</v>
      </c>
      <c r="G1602" s="590" t="str">
        <f ca="1">IFERROR(__xludf.DUMMYFUNCTION("""COMPUTED_VALUE"""),"m")</f>
        <v>m</v>
      </c>
      <c r="H1602" s="588"/>
      <c r="I1602" s="591">
        <f ca="1">IFERROR(__xludf.DUMMYFUNCTION("""COMPUTED_VALUE"""),0.1740732)</f>
        <v>0.17407320000000001</v>
      </c>
      <c r="J1602" s="592" t="str">
        <f ca="1">IFERROR(__xludf.DUMMYFUNCTION("""COMPUTED_VALUE""")," 12.70 ")</f>
        <v xml:space="preserve"> 12.70 </v>
      </c>
      <c r="K1602" s="590" t="str">
        <f ca="1">IFERROR(__xludf.DUMMYFUNCTION("""COMPUTED_VALUE"""),"0.51")</f>
        <v>0.51</v>
      </c>
      <c r="L1602" s="590">
        <f ca="1">IFERROR(__xludf.DUMMYFUNCTION("""COMPUTED_VALUE"""),1)</f>
        <v>1</v>
      </c>
      <c r="M1602" s="590"/>
      <c r="N1602" s="590" t="str">
        <f ca="1">IFERROR(__xludf.DUMMYFUNCTION("""COMPUTED_VALUE"""),"Dị_D&lt;54")</f>
        <v>Dị_D&lt;54</v>
      </c>
      <c r="O1602" s="589"/>
      <c r="P1602" s="590"/>
    </row>
    <row r="1603" spans="1:16" ht="15.75">
      <c r="A1603" s="581" t="str">
        <f ca="1">IFERROR(__xludf.DUMMYFUNCTION("""COMPUTED_VALUE"""),"J-Flex")</f>
        <v>J-Flex</v>
      </c>
      <c r="B1603" s="581" t="str">
        <f ca="1">IFERROR(__xludf.DUMMYFUNCTION("""COMPUTED_VALUE"""),"ĐJFLEXBANH")</f>
        <v>ĐJFLEXBANH</v>
      </c>
      <c r="C1603" s="581" t="str">
        <f ca="1">IFERROR(__xludf.DUMMYFUNCTION("""COMPUTED_VALUE"""),"JW12700EELWC")</f>
        <v>JW12700EELWC</v>
      </c>
      <c r="D1603" s="582" t="str">
        <f ca="1">IFERROR(__xludf.DUMMYFUNCTION("""COMPUTED_VALUE"""),"Đồng ống LWC J-Flex 12.7x0.55")</f>
        <v>Đồng ống LWC J-Flex 12.7x0.55</v>
      </c>
      <c r="E1603" s="583">
        <f ca="1">IFERROR(__xludf.DUMMYFUNCTION("""COMPUTED_VALUE"""),0.1)</f>
        <v>0.1</v>
      </c>
      <c r="F1603" s="584" t="str">
        <f ca="1">IFERROR(__xludf.DUMMYFUNCTION("""COMPUTED_VALUE"""),"m")</f>
        <v>m</v>
      </c>
      <c r="G1603" s="584" t="str">
        <f ca="1">IFERROR(__xludf.DUMMYFUNCTION("""COMPUTED_VALUE"""),"m")</f>
        <v>m</v>
      </c>
      <c r="H1603" s="582"/>
      <c r="I1603" s="585">
        <f ca="1">IFERROR(__xludf.DUMMYFUNCTION("""COMPUTED_VALUE"""),0.18711)</f>
        <v>0.18711</v>
      </c>
      <c r="J1603" s="586" t="str">
        <f ca="1">IFERROR(__xludf.DUMMYFUNCTION("""COMPUTED_VALUE""")," 12.70 ")</f>
        <v xml:space="preserve"> 12.70 </v>
      </c>
      <c r="K1603" s="584" t="str">
        <f ca="1">IFERROR(__xludf.DUMMYFUNCTION("""COMPUTED_VALUE"""),"0.55")</f>
        <v>0.55</v>
      </c>
      <c r="L1603" s="584">
        <f ca="1">IFERROR(__xludf.DUMMYFUNCTION("""COMPUTED_VALUE"""),1)</f>
        <v>1</v>
      </c>
      <c r="M1603" s="584"/>
      <c r="N1603" s="584" t="str">
        <f ca="1">IFERROR(__xludf.DUMMYFUNCTION("""COMPUTED_VALUE"""),"Dị_D&lt;54")</f>
        <v>Dị_D&lt;54</v>
      </c>
      <c r="O1603" s="583"/>
      <c r="P1603" s="584"/>
    </row>
    <row r="1604" spans="1:16" ht="15.75">
      <c r="A1604" s="587" t="str">
        <f ca="1">IFERROR(__xludf.DUMMYFUNCTION("""COMPUTED_VALUE"""),"J-Flex")</f>
        <v>J-Flex</v>
      </c>
      <c r="B1604" s="587" t="str">
        <f ca="1">IFERROR(__xludf.DUMMYFUNCTION("""COMPUTED_VALUE"""),"ĐJFLEXBANH")</f>
        <v>ĐJFLEXBANH</v>
      </c>
      <c r="C1604" s="587" t="str">
        <f ca="1">IFERROR(__xludf.DUMMYFUNCTION("""COMPUTED_VALUE"""),"JW12700GALWC")</f>
        <v>JW12700GALWC</v>
      </c>
      <c r="D1604" s="588" t="str">
        <f ca="1">IFERROR(__xludf.DUMMYFUNCTION("""COMPUTED_VALUE"""),"Đồng ống LWC J-Flex 12.7x0.61")</f>
        <v>Đồng ống LWC J-Flex 12.7x0.61</v>
      </c>
      <c r="E1604" s="589">
        <f ca="1">IFERROR(__xludf.DUMMYFUNCTION("""COMPUTED_VALUE"""),0.1)</f>
        <v>0.1</v>
      </c>
      <c r="F1604" s="590" t="str">
        <f ca="1">IFERROR(__xludf.DUMMYFUNCTION("""COMPUTED_VALUE"""),"m")</f>
        <v>m</v>
      </c>
      <c r="G1604" s="590" t="str">
        <f ca="1">IFERROR(__xludf.DUMMYFUNCTION("""COMPUTED_VALUE"""),"m")</f>
        <v>m</v>
      </c>
      <c r="H1604" s="588"/>
      <c r="I1604" s="591">
        <f ca="1">IFERROR(__xludf.DUMMYFUNCTION("""COMPUTED_VALUE"""),0.2064972)</f>
        <v>0.20649719999999999</v>
      </c>
      <c r="J1604" s="592" t="str">
        <f ca="1">IFERROR(__xludf.DUMMYFUNCTION("""COMPUTED_VALUE""")," 12.70 ")</f>
        <v xml:space="preserve"> 12.70 </v>
      </c>
      <c r="K1604" s="590" t="str">
        <f ca="1">IFERROR(__xludf.DUMMYFUNCTION("""COMPUTED_VALUE"""),"0.61")</f>
        <v>0.61</v>
      </c>
      <c r="L1604" s="590">
        <f ca="1">IFERROR(__xludf.DUMMYFUNCTION("""COMPUTED_VALUE"""),1)</f>
        <v>1</v>
      </c>
      <c r="M1604" s="590"/>
      <c r="N1604" s="590" t="str">
        <f ca="1">IFERROR(__xludf.DUMMYFUNCTION("""COMPUTED_VALUE"""),"Dị_D&lt;54")</f>
        <v>Dị_D&lt;54</v>
      </c>
      <c r="O1604" s="589">
        <f ca="1">IFERROR(__xludf.DUMMYFUNCTION("""COMPUTED_VALUE"""),1)</f>
        <v>1</v>
      </c>
      <c r="P1604" s="590"/>
    </row>
    <row r="1605" spans="1:16" ht="15.75">
      <c r="A1605" s="581" t="str">
        <f ca="1">IFERROR(__xludf.DUMMYFUNCTION("""COMPUTED_VALUE"""),"J-Flex")</f>
        <v>J-Flex</v>
      </c>
      <c r="B1605" s="581" t="str">
        <f ca="1">IFERROR(__xludf.DUMMYFUNCTION("""COMPUTED_VALUE"""),"ĐJFLEXBANH")</f>
        <v>ĐJFLEXBANH</v>
      </c>
      <c r="C1605" s="581" t="str">
        <f ca="1">IFERROR(__xludf.DUMMYFUNCTION("""COMPUTED_VALUE"""),"JW12700GELWC")</f>
        <v>JW12700GELWC</v>
      </c>
      <c r="D1605" s="582" t="str">
        <f ca="1">IFERROR(__xludf.DUMMYFUNCTION("""COMPUTED_VALUE"""),"Đồng ống LWC J-Flex 12.7x0.65")</f>
        <v>Đồng ống LWC J-Flex 12.7x0.65</v>
      </c>
      <c r="E1605" s="583">
        <f ca="1">IFERROR(__xludf.DUMMYFUNCTION("""COMPUTED_VALUE"""),0.1)</f>
        <v>0.1</v>
      </c>
      <c r="F1605" s="584" t="str">
        <f ca="1">IFERROR(__xludf.DUMMYFUNCTION("""COMPUTED_VALUE"""),"m")</f>
        <v>m</v>
      </c>
      <c r="G1605" s="584" t="str">
        <f ca="1">IFERROR(__xludf.DUMMYFUNCTION("""COMPUTED_VALUE"""),"m")</f>
        <v>m</v>
      </c>
      <c r="H1605" s="582"/>
      <c r="I1605" s="585">
        <f ca="1">IFERROR(__xludf.DUMMYFUNCTION("""COMPUTED_VALUE"""),0.21931)</f>
        <v>0.21931</v>
      </c>
      <c r="J1605" s="586" t="str">
        <f ca="1">IFERROR(__xludf.DUMMYFUNCTION("""COMPUTED_VALUE""")," 12.70 ")</f>
        <v xml:space="preserve"> 12.70 </v>
      </c>
      <c r="K1605" s="584" t="str">
        <f ca="1">IFERROR(__xludf.DUMMYFUNCTION("""COMPUTED_VALUE"""),"0.65")</f>
        <v>0.65</v>
      </c>
      <c r="L1605" s="584">
        <f ca="1">IFERROR(__xludf.DUMMYFUNCTION("""COMPUTED_VALUE"""),1)</f>
        <v>1</v>
      </c>
      <c r="M1605" s="584"/>
      <c r="N1605" s="584" t="str">
        <f ca="1">IFERROR(__xludf.DUMMYFUNCTION("""COMPUTED_VALUE"""),"Dị_D&lt;54")</f>
        <v>Dị_D&lt;54</v>
      </c>
      <c r="O1605" s="583"/>
      <c r="P1605" s="584"/>
    </row>
    <row r="1606" spans="1:16" ht="15.75">
      <c r="A1606" s="587" t="str">
        <f ca="1">IFERROR(__xludf.DUMMYFUNCTION("""COMPUTED_VALUE"""),"J-Flex")</f>
        <v>J-Flex</v>
      </c>
      <c r="B1606" s="587" t="str">
        <f ca="1">IFERROR(__xludf.DUMMYFUNCTION("""COMPUTED_VALUE"""),"ĐJFLEXBANH")</f>
        <v>ĐJFLEXBANH</v>
      </c>
      <c r="C1606" s="587" t="str">
        <f ca="1">IFERROR(__xludf.DUMMYFUNCTION("""COMPUTED_VALUE"""),"JW12700HALWC")</f>
        <v>JW12700HALWC</v>
      </c>
      <c r="D1606" s="588" t="str">
        <f ca="1">IFERROR(__xludf.DUMMYFUNCTION("""COMPUTED_VALUE"""),"Đồng ống LWC J-Flex 12.7x0.71")</f>
        <v>Đồng ống LWC J-Flex 12.7x0.71</v>
      </c>
      <c r="E1606" s="589">
        <f ca="1">IFERROR(__xludf.DUMMYFUNCTION("""COMPUTED_VALUE"""),0.1)</f>
        <v>0.1</v>
      </c>
      <c r="F1606" s="590" t="str">
        <f ca="1">IFERROR(__xludf.DUMMYFUNCTION("""COMPUTED_VALUE"""),"m")</f>
        <v>m</v>
      </c>
      <c r="G1606" s="590" t="str">
        <f ca="1">IFERROR(__xludf.DUMMYFUNCTION("""COMPUTED_VALUE"""),"m")</f>
        <v>m</v>
      </c>
      <c r="H1606" s="588"/>
      <c r="I1606" s="591">
        <f ca="1">IFERROR(__xludf.DUMMYFUNCTION("""COMPUTED_VALUE"""),0.238361199999999)</f>
        <v>0.238361199999999</v>
      </c>
      <c r="J1606" s="592" t="str">
        <f ca="1">IFERROR(__xludf.DUMMYFUNCTION("""COMPUTED_VALUE""")," 12.70 ")</f>
        <v xml:space="preserve"> 12.70 </v>
      </c>
      <c r="K1606" s="590" t="str">
        <f ca="1">IFERROR(__xludf.DUMMYFUNCTION("""COMPUTED_VALUE"""),"0.71")</f>
        <v>0.71</v>
      </c>
      <c r="L1606" s="590">
        <f ca="1">IFERROR(__xludf.DUMMYFUNCTION("""COMPUTED_VALUE"""),1)</f>
        <v>1</v>
      </c>
      <c r="M1606" s="590"/>
      <c r="N1606" s="590" t="str">
        <f ca="1">IFERROR(__xludf.DUMMYFUNCTION("""COMPUTED_VALUE"""),"Dị_D&lt;54")</f>
        <v>Dị_D&lt;54</v>
      </c>
      <c r="O1606" s="589">
        <f ca="1">IFERROR(__xludf.DUMMYFUNCTION("""COMPUTED_VALUE"""),1)</f>
        <v>1</v>
      </c>
      <c r="P1606" s="590"/>
    </row>
    <row r="1607" spans="1:16" ht="15.75">
      <c r="A1607" s="581" t="str">
        <f ca="1">IFERROR(__xludf.DUMMYFUNCTION("""COMPUTED_VALUE"""),"J-Flex")</f>
        <v>J-Flex</v>
      </c>
      <c r="B1607" s="581" t="str">
        <f ca="1">IFERROR(__xludf.DUMMYFUNCTION("""COMPUTED_VALUE"""),"ĐJFLEXBANH")</f>
        <v>ĐJFLEXBANH</v>
      </c>
      <c r="C1607" s="581" t="str">
        <f ca="1">IFERROR(__xludf.DUMMYFUNCTION("""COMPUTED_VALUE"""),"JW12700HALWCKI")</f>
        <v>JW12700HALWCKI</v>
      </c>
      <c r="D1607" s="582" t="str">
        <f ca="1">IFERROR(__xludf.DUMMYFUNCTION("""COMPUTED_VALUE"""),"Đồng ống LWC J-Flex không in 12.7x0.71")</f>
        <v>Đồng ống LWC J-Flex không in 12.7x0.71</v>
      </c>
      <c r="E1607" s="583">
        <f ca="1">IFERROR(__xludf.DUMMYFUNCTION("""COMPUTED_VALUE"""),0.1)</f>
        <v>0.1</v>
      </c>
      <c r="F1607" s="584" t="str">
        <f ca="1">IFERROR(__xludf.DUMMYFUNCTION("""COMPUTED_VALUE"""),"m")</f>
        <v>m</v>
      </c>
      <c r="G1607" s="584" t="str">
        <f ca="1">IFERROR(__xludf.DUMMYFUNCTION("""COMPUTED_VALUE"""),"m")</f>
        <v>m</v>
      </c>
      <c r="H1607" s="582"/>
      <c r="I1607" s="585">
        <f ca="1">IFERROR(__xludf.DUMMYFUNCTION("""COMPUTED_VALUE"""),0.238361199999999)</f>
        <v>0.238361199999999</v>
      </c>
      <c r="J1607" s="586" t="str">
        <f ca="1">IFERROR(__xludf.DUMMYFUNCTION("""COMPUTED_VALUE""")," 12.70 ")</f>
        <v xml:space="preserve"> 12.70 </v>
      </c>
      <c r="K1607" s="584" t="str">
        <f ca="1">IFERROR(__xludf.DUMMYFUNCTION("""COMPUTED_VALUE"""),"0.71")</f>
        <v>0.71</v>
      </c>
      <c r="L1607" s="584">
        <f ca="1">IFERROR(__xludf.DUMMYFUNCTION("""COMPUTED_VALUE"""),1)</f>
        <v>1</v>
      </c>
      <c r="M1607" s="584"/>
      <c r="N1607" s="584" t="str">
        <f ca="1">IFERROR(__xludf.DUMMYFUNCTION("""COMPUTED_VALUE"""),"Dị_D&lt;54")</f>
        <v>Dị_D&lt;54</v>
      </c>
      <c r="O1607" s="583">
        <f ca="1">IFERROR(__xludf.DUMMYFUNCTION("""COMPUTED_VALUE"""),1)</f>
        <v>1</v>
      </c>
      <c r="P1607" s="584"/>
    </row>
    <row r="1608" spans="1:16" ht="15.75">
      <c r="A1608" s="587" t="str">
        <f ca="1">IFERROR(__xludf.DUMMYFUNCTION("""COMPUTED_VALUE"""),"J-Flex")</f>
        <v>J-Flex</v>
      </c>
      <c r="B1608" s="587" t="str">
        <f ca="1">IFERROR(__xludf.DUMMYFUNCTION("""COMPUTED_VALUE"""),"ĐJFLEXBANH")</f>
        <v>ĐJFLEXBANH</v>
      </c>
      <c r="C1608" s="587" t="str">
        <f ca="1">IFERROR(__xludf.DUMMYFUNCTION("""COMPUTED_VALUE"""),"JW12700HELWC")</f>
        <v>JW12700HELWC</v>
      </c>
      <c r="D1608" s="588" t="str">
        <f ca="1">IFERROR(__xludf.DUMMYFUNCTION("""COMPUTED_VALUE"""),"Đồng ống LWC J-Flex 12.7x0.75")</f>
        <v>Đồng ống LWC J-Flex 12.7x0.75</v>
      </c>
      <c r="E1608" s="589">
        <f ca="1">IFERROR(__xludf.DUMMYFUNCTION("""COMPUTED_VALUE"""),0.1)</f>
        <v>0.1</v>
      </c>
      <c r="F1608" s="590" t="str">
        <f ca="1">IFERROR(__xludf.DUMMYFUNCTION("""COMPUTED_VALUE"""),"m")</f>
        <v>m</v>
      </c>
      <c r="G1608" s="590" t="str">
        <f ca="1">IFERROR(__xludf.DUMMYFUNCTION("""COMPUTED_VALUE"""),"m")</f>
        <v>m</v>
      </c>
      <c r="H1608" s="588"/>
      <c r="I1608" s="591">
        <f ca="1">IFERROR(__xludf.DUMMYFUNCTION("""COMPUTED_VALUE"""),0.250949999999999)</f>
        <v>0.25094999999999901</v>
      </c>
      <c r="J1608" s="592" t="str">
        <f ca="1">IFERROR(__xludf.DUMMYFUNCTION("""COMPUTED_VALUE""")," 12.70 ")</f>
        <v xml:space="preserve"> 12.70 </v>
      </c>
      <c r="K1608" s="590" t="str">
        <f ca="1">IFERROR(__xludf.DUMMYFUNCTION("""COMPUTED_VALUE"""),"0.75")</f>
        <v>0.75</v>
      </c>
      <c r="L1608" s="590">
        <f ca="1">IFERROR(__xludf.DUMMYFUNCTION("""COMPUTED_VALUE"""),1)</f>
        <v>1</v>
      </c>
      <c r="M1608" s="590"/>
      <c r="N1608" s="590" t="str">
        <f ca="1">IFERROR(__xludf.DUMMYFUNCTION("""COMPUTED_VALUE"""),"Dị_D&lt;54")</f>
        <v>Dị_D&lt;54</v>
      </c>
      <c r="O1608" s="589"/>
      <c r="P1608" s="590"/>
    </row>
    <row r="1609" spans="1:16" ht="15.75">
      <c r="A1609" s="581" t="str">
        <f ca="1">IFERROR(__xludf.DUMMYFUNCTION("""COMPUTED_VALUE"""),"J-Flex")</f>
        <v>J-Flex</v>
      </c>
      <c r="B1609" s="581" t="str">
        <f ca="1">IFERROR(__xludf.DUMMYFUNCTION("""COMPUTED_VALUE"""),"ĐJFLEXBANH")</f>
        <v>ĐJFLEXBANH</v>
      </c>
      <c r="C1609" s="581" t="str">
        <f ca="1">IFERROR(__xludf.DUMMYFUNCTION("""COMPUTED_VALUE"""),"JW12700IALWC")</f>
        <v>JW12700IALWC</v>
      </c>
      <c r="D1609" s="582" t="str">
        <f ca="1">IFERROR(__xludf.DUMMYFUNCTION("""COMPUTED_VALUE"""),"Đồng ống LWC J-Flex 12.7x0.81")</f>
        <v>Đồng ống LWC J-Flex 12.7x0.81</v>
      </c>
      <c r="E1609" s="583">
        <f ca="1">IFERROR(__xludf.DUMMYFUNCTION("""COMPUTED_VALUE"""),0.1)</f>
        <v>0.1</v>
      </c>
      <c r="F1609" s="584" t="str">
        <f ca="1">IFERROR(__xludf.DUMMYFUNCTION("""COMPUTED_VALUE"""),"m")</f>
        <v>m</v>
      </c>
      <c r="G1609" s="584" t="str">
        <f ca="1">IFERROR(__xludf.DUMMYFUNCTION("""COMPUTED_VALUE"""),"m")</f>
        <v>m</v>
      </c>
      <c r="H1609" s="582"/>
      <c r="I1609" s="585">
        <f ca="1">IFERROR(__xludf.DUMMYFUNCTION("""COMPUTED_VALUE"""),0.2696652)</f>
        <v>0.26966519999999999</v>
      </c>
      <c r="J1609" s="586" t="str">
        <f ca="1">IFERROR(__xludf.DUMMYFUNCTION("""COMPUTED_VALUE""")," 12.70 ")</f>
        <v xml:space="preserve"> 12.70 </v>
      </c>
      <c r="K1609" s="584" t="str">
        <f ca="1">IFERROR(__xludf.DUMMYFUNCTION("""COMPUTED_VALUE"""),"0.81")</f>
        <v>0.81</v>
      </c>
      <c r="L1609" s="584">
        <f ca="1">IFERROR(__xludf.DUMMYFUNCTION("""COMPUTED_VALUE"""),1)</f>
        <v>1</v>
      </c>
      <c r="M1609" s="584"/>
      <c r="N1609" s="584" t="str">
        <f ca="1">IFERROR(__xludf.DUMMYFUNCTION("""COMPUTED_VALUE"""),"Dị_D&lt;54")</f>
        <v>Dị_D&lt;54</v>
      </c>
      <c r="O1609" s="583">
        <f ca="1">IFERROR(__xludf.DUMMYFUNCTION("""COMPUTED_VALUE"""),1)</f>
        <v>1</v>
      </c>
      <c r="P1609" s="584"/>
    </row>
    <row r="1610" spans="1:16" ht="15.75">
      <c r="A1610" s="587" t="str">
        <f ca="1">IFERROR(__xludf.DUMMYFUNCTION("""COMPUTED_VALUE"""),"J-Flex")</f>
        <v>J-Flex</v>
      </c>
      <c r="B1610" s="587" t="str">
        <f ca="1">IFERROR(__xludf.DUMMYFUNCTION("""COMPUTED_VALUE"""),"ĐJFLEXBANH")</f>
        <v>ĐJFLEXBANH</v>
      </c>
      <c r="C1610" s="587" t="str">
        <f ca="1">IFERROR(__xludf.DUMMYFUNCTION("""COMPUTED_VALUE"""),"JW12700IALWCKI")</f>
        <v>JW12700IALWCKI</v>
      </c>
      <c r="D1610" s="588" t="str">
        <f ca="1">IFERROR(__xludf.DUMMYFUNCTION("""COMPUTED_VALUE"""),"Đồng ống LWC J-Flex không in 12.7x0.81")</f>
        <v>Đồng ống LWC J-Flex không in 12.7x0.81</v>
      </c>
      <c r="E1610" s="589">
        <f ca="1">IFERROR(__xludf.DUMMYFUNCTION("""COMPUTED_VALUE"""),0.1)</f>
        <v>0.1</v>
      </c>
      <c r="F1610" s="590" t="str">
        <f ca="1">IFERROR(__xludf.DUMMYFUNCTION("""COMPUTED_VALUE"""),"m")</f>
        <v>m</v>
      </c>
      <c r="G1610" s="590" t="str">
        <f ca="1">IFERROR(__xludf.DUMMYFUNCTION("""COMPUTED_VALUE"""),"m")</f>
        <v>m</v>
      </c>
      <c r="H1610" s="588"/>
      <c r="I1610" s="591">
        <f ca="1">IFERROR(__xludf.DUMMYFUNCTION("""COMPUTED_VALUE"""),0.2696652)</f>
        <v>0.26966519999999999</v>
      </c>
      <c r="J1610" s="592" t="str">
        <f ca="1">IFERROR(__xludf.DUMMYFUNCTION("""COMPUTED_VALUE""")," 12.70 ")</f>
        <v xml:space="preserve"> 12.70 </v>
      </c>
      <c r="K1610" s="590" t="str">
        <f ca="1">IFERROR(__xludf.DUMMYFUNCTION("""COMPUTED_VALUE"""),"0.81")</f>
        <v>0.81</v>
      </c>
      <c r="L1610" s="590">
        <f ca="1">IFERROR(__xludf.DUMMYFUNCTION("""COMPUTED_VALUE"""),1)</f>
        <v>1</v>
      </c>
      <c r="M1610" s="590"/>
      <c r="N1610" s="590" t="str">
        <f ca="1">IFERROR(__xludf.DUMMYFUNCTION("""COMPUTED_VALUE"""),"Dị_D&lt;54")</f>
        <v>Dị_D&lt;54</v>
      </c>
      <c r="O1610" s="589">
        <f ca="1">IFERROR(__xludf.DUMMYFUNCTION("""COMPUTED_VALUE"""),1)</f>
        <v>1</v>
      </c>
      <c r="P1610" s="590"/>
    </row>
    <row r="1611" spans="1:16" ht="15.75">
      <c r="A1611" s="581" t="str">
        <f ca="1">IFERROR(__xludf.DUMMYFUNCTION("""COMPUTED_VALUE"""),"J-Flex")</f>
        <v>J-Flex</v>
      </c>
      <c r="B1611" s="581" t="str">
        <f ca="1">IFERROR(__xludf.DUMMYFUNCTION("""COMPUTED_VALUE"""),"ĐJFLEXBANH")</f>
        <v>ĐJFLEXBANH</v>
      </c>
      <c r="C1611" s="581" t="str">
        <f ca="1">IFERROR(__xludf.DUMMYFUNCTION("""COMPUTED_VALUE"""),"JW15880EALWC")</f>
        <v>JW15880EALWC</v>
      </c>
      <c r="D1611" s="582" t="str">
        <f ca="1">IFERROR(__xludf.DUMMYFUNCTION("""COMPUTED_VALUE"""),"Đồng ống LWC J-Flex 15.88x0.51")</f>
        <v>Đồng ống LWC J-Flex 15.88x0.51</v>
      </c>
      <c r="E1611" s="583">
        <f ca="1">IFERROR(__xludf.DUMMYFUNCTION("""COMPUTED_VALUE"""),0.1)</f>
        <v>0.1</v>
      </c>
      <c r="F1611" s="584" t="str">
        <f ca="1">IFERROR(__xludf.DUMMYFUNCTION("""COMPUTED_VALUE"""),"m")</f>
        <v>m</v>
      </c>
      <c r="G1611" s="584" t="str">
        <f ca="1">IFERROR(__xludf.DUMMYFUNCTION("""COMPUTED_VALUE"""),"m")</f>
        <v>m</v>
      </c>
      <c r="H1611" s="582"/>
      <c r="I1611" s="585">
        <f ca="1">IFERROR(__xludf.DUMMYFUNCTION("""COMPUTED_VALUE"""),0.2194836)</f>
        <v>0.2194836</v>
      </c>
      <c r="J1611" s="586" t="str">
        <f ca="1">IFERROR(__xludf.DUMMYFUNCTION("""COMPUTED_VALUE""")," 15.88 ")</f>
        <v xml:space="preserve"> 15.88 </v>
      </c>
      <c r="K1611" s="584" t="str">
        <f ca="1">IFERROR(__xludf.DUMMYFUNCTION("""COMPUTED_VALUE"""),"0.51")</f>
        <v>0.51</v>
      </c>
      <c r="L1611" s="584">
        <f ca="1">IFERROR(__xludf.DUMMYFUNCTION("""COMPUTED_VALUE"""),1)</f>
        <v>1</v>
      </c>
      <c r="M1611" s="584"/>
      <c r="N1611" s="584" t="str">
        <f ca="1">IFERROR(__xludf.DUMMYFUNCTION("""COMPUTED_VALUE"""),"Dị_D&lt;54")</f>
        <v>Dị_D&lt;54</v>
      </c>
      <c r="O1611" s="583"/>
      <c r="P1611" s="584"/>
    </row>
    <row r="1612" spans="1:16" ht="15.75">
      <c r="A1612" s="587" t="str">
        <f ca="1">IFERROR(__xludf.DUMMYFUNCTION("""COMPUTED_VALUE"""),"J-Flex")</f>
        <v>J-Flex</v>
      </c>
      <c r="B1612" s="587" t="str">
        <f ca="1">IFERROR(__xludf.DUMMYFUNCTION("""COMPUTED_VALUE"""),"ĐJFLEXBANH")</f>
        <v>ĐJFLEXBANH</v>
      </c>
      <c r="C1612" s="587" t="str">
        <f ca="1">IFERROR(__xludf.DUMMYFUNCTION("""COMPUTED_VALUE"""),"JW15880EELWC")</f>
        <v>JW15880EELWC</v>
      </c>
      <c r="D1612" s="588" t="str">
        <f ca="1">IFERROR(__xludf.DUMMYFUNCTION("""COMPUTED_VALUE"""),"Đồng ống LWC J-Flex 15.88x0.55")</f>
        <v>Đồng ống LWC J-Flex 15.88x0.55</v>
      </c>
      <c r="E1612" s="589">
        <f ca="1">IFERROR(__xludf.DUMMYFUNCTION("""COMPUTED_VALUE"""),0.1)</f>
        <v>0.1</v>
      </c>
      <c r="F1612" s="590" t="str">
        <f ca="1">IFERROR(__xludf.DUMMYFUNCTION("""COMPUTED_VALUE"""),"m")</f>
        <v>m</v>
      </c>
      <c r="G1612" s="590" t="str">
        <f ca="1">IFERROR(__xludf.DUMMYFUNCTION("""COMPUTED_VALUE"""),"m")</f>
        <v>m</v>
      </c>
      <c r="H1612" s="588"/>
      <c r="I1612" s="591">
        <f ca="1">IFERROR(__xludf.DUMMYFUNCTION("""COMPUTED_VALUE"""),0.236082)</f>
        <v>0.23608199999999999</v>
      </c>
      <c r="J1612" s="592" t="str">
        <f ca="1">IFERROR(__xludf.DUMMYFUNCTION("""COMPUTED_VALUE""")," 15.88 ")</f>
        <v xml:space="preserve"> 15.88 </v>
      </c>
      <c r="K1612" s="590" t="str">
        <f ca="1">IFERROR(__xludf.DUMMYFUNCTION("""COMPUTED_VALUE"""),"0.55")</f>
        <v>0.55</v>
      </c>
      <c r="L1612" s="590">
        <f ca="1">IFERROR(__xludf.DUMMYFUNCTION("""COMPUTED_VALUE"""),1)</f>
        <v>1</v>
      </c>
      <c r="M1612" s="590"/>
      <c r="N1612" s="590" t="str">
        <f ca="1">IFERROR(__xludf.DUMMYFUNCTION("""COMPUTED_VALUE"""),"Dị_D&lt;54")</f>
        <v>Dị_D&lt;54</v>
      </c>
      <c r="O1612" s="589"/>
      <c r="P1612" s="590"/>
    </row>
    <row r="1613" spans="1:16" ht="15.75">
      <c r="A1613" s="581" t="str">
        <f ca="1">IFERROR(__xludf.DUMMYFUNCTION("""COMPUTED_VALUE"""),"J-Flex")</f>
        <v>J-Flex</v>
      </c>
      <c r="B1613" s="581" t="str">
        <f ca="1">IFERROR(__xludf.DUMMYFUNCTION("""COMPUTED_VALUE"""),"ĐJFLEXBANH")</f>
        <v>ĐJFLEXBANH</v>
      </c>
      <c r="C1613" s="581" t="str">
        <f ca="1">IFERROR(__xludf.DUMMYFUNCTION("""COMPUTED_VALUE"""),"JW15880GALWC")</f>
        <v>JW15880GALWC</v>
      </c>
      <c r="D1613" s="582" t="str">
        <f ca="1">IFERROR(__xludf.DUMMYFUNCTION("""COMPUTED_VALUE"""),"Đồng ống LWC J-Flex 15.88x0.61")</f>
        <v>Đồng ống LWC J-Flex 15.88x0.61</v>
      </c>
      <c r="E1613" s="583">
        <f ca="1">IFERROR(__xludf.DUMMYFUNCTION("""COMPUTED_VALUE"""),0.1)</f>
        <v>0.1</v>
      </c>
      <c r="F1613" s="584" t="str">
        <f ca="1">IFERROR(__xludf.DUMMYFUNCTION("""COMPUTED_VALUE"""),"m")</f>
        <v>m</v>
      </c>
      <c r="G1613" s="584" t="str">
        <f ca="1">IFERROR(__xludf.DUMMYFUNCTION("""COMPUTED_VALUE"""),"m")</f>
        <v>m</v>
      </c>
      <c r="H1613" s="582"/>
      <c r="I1613" s="585">
        <f ca="1">IFERROR(__xludf.DUMMYFUNCTION("""COMPUTED_VALUE"""),0.2608116)</f>
        <v>0.26081159999999998</v>
      </c>
      <c r="J1613" s="586" t="str">
        <f ca="1">IFERROR(__xludf.DUMMYFUNCTION("""COMPUTED_VALUE""")," 15.88 ")</f>
        <v xml:space="preserve"> 15.88 </v>
      </c>
      <c r="K1613" s="584" t="str">
        <f ca="1">IFERROR(__xludf.DUMMYFUNCTION("""COMPUTED_VALUE"""),"0.61")</f>
        <v>0.61</v>
      </c>
      <c r="L1613" s="584">
        <f ca="1">IFERROR(__xludf.DUMMYFUNCTION("""COMPUTED_VALUE"""),1)</f>
        <v>1</v>
      </c>
      <c r="M1613" s="584"/>
      <c r="N1613" s="584" t="str">
        <f ca="1">IFERROR(__xludf.DUMMYFUNCTION("""COMPUTED_VALUE"""),"Dị_D&lt;54")</f>
        <v>Dị_D&lt;54</v>
      </c>
      <c r="O1613" s="583">
        <f ca="1">IFERROR(__xludf.DUMMYFUNCTION("""COMPUTED_VALUE"""),1)</f>
        <v>1</v>
      </c>
      <c r="P1613" s="584"/>
    </row>
    <row r="1614" spans="1:16" ht="15.75">
      <c r="A1614" s="587" t="str">
        <f ca="1">IFERROR(__xludf.DUMMYFUNCTION("""COMPUTED_VALUE"""),"J-Flex")</f>
        <v>J-Flex</v>
      </c>
      <c r="B1614" s="587" t="str">
        <f ca="1">IFERROR(__xludf.DUMMYFUNCTION("""COMPUTED_VALUE"""),"ĐJFLEXBANH")</f>
        <v>ĐJFLEXBANH</v>
      </c>
      <c r="C1614" s="587" t="str">
        <f ca="1">IFERROR(__xludf.DUMMYFUNCTION("""COMPUTED_VALUE"""),"JW15880GELWC")</f>
        <v>JW15880GELWC</v>
      </c>
      <c r="D1614" s="588" t="str">
        <f ca="1">IFERROR(__xludf.DUMMYFUNCTION("""COMPUTED_VALUE"""),"Đồng ống LWC J-Flex 15.88x0.65")</f>
        <v>Đồng ống LWC J-Flex 15.88x0.65</v>
      </c>
      <c r="E1614" s="589">
        <f ca="1">IFERROR(__xludf.DUMMYFUNCTION("""COMPUTED_VALUE"""),0.1)</f>
        <v>0.1</v>
      </c>
      <c r="F1614" s="590" t="str">
        <f ca="1">IFERROR(__xludf.DUMMYFUNCTION("""COMPUTED_VALUE"""),"m")</f>
        <v>m</v>
      </c>
      <c r="G1614" s="590" t="str">
        <f ca="1">IFERROR(__xludf.DUMMYFUNCTION("""COMPUTED_VALUE"""),"m")</f>
        <v>m</v>
      </c>
      <c r="H1614" s="588"/>
      <c r="I1614" s="591">
        <f ca="1">IFERROR(__xludf.DUMMYFUNCTION("""COMPUTED_VALUE"""),0.277186)</f>
        <v>0.27718599999999999</v>
      </c>
      <c r="J1614" s="592" t="str">
        <f ca="1">IFERROR(__xludf.DUMMYFUNCTION("""COMPUTED_VALUE""")," 15.88 ")</f>
        <v xml:space="preserve"> 15.88 </v>
      </c>
      <c r="K1614" s="590" t="str">
        <f ca="1">IFERROR(__xludf.DUMMYFUNCTION("""COMPUTED_VALUE"""),"0.65")</f>
        <v>0.65</v>
      </c>
      <c r="L1614" s="590">
        <f ca="1">IFERROR(__xludf.DUMMYFUNCTION("""COMPUTED_VALUE"""),1)</f>
        <v>1</v>
      </c>
      <c r="M1614" s="590"/>
      <c r="N1614" s="590" t="str">
        <f ca="1">IFERROR(__xludf.DUMMYFUNCTION("""COMPUTED_VALUE"""),"Dị_D&lt;54")</f>
        <v>Dị_D&lt;54</v>
      </c>
      <c r="O1614" s="589"/>
      <c r="P1614" s="590"/>
    </row>
    <row r="1615" spans="1:16" ht="15.75">
      <c r="A1615" s="581" t="str">
        <f ca="1">IFERROR(__xludf.DUMMYFUNCTION("""COMPUTED_VALUE"""),"J-Flex")</f>
        <v>J-Flex</v>
      </c>
      <c r="B1615" s="581" t="str">
        <f ca="1">IFERROR(__xludf.DUMMYFUNCTION("""COMPUTED_VALUE"""),"ĐJFLEXBANH")</f>
        <v>ĐJFLEXBANH</v>
      </c>
      <c r="C1615" s="581" t="str">
        <f ca="1">IFERROR(__xludf.DUMMYFUNCTION("""COMPUTED_VALUE"""),"JW15880HALWC")</f>
        <v>JW15880HALWC</v>
      </c>
      <c r="D1615" s="582" t="str">
        <f ca="1">IFERROR(__xludf.DUMMYFUNCTION("""COMPUTED_VALUE"""),"Đồng ống LWC J-Flex 15.88x0.71")</f>
        <v>Đồng ống LWC J-Flex 15.88x0.71</v>
      </c>
      <c r="E1615" s="583">
        <f ca="1">IFERROR(__xludf.DUMMYFUNCTION("""COMPUTED_VALUE"""),0.1)</f>
        <v>0.1</v>
      </c>
      <c r="F1615" s="584" t="str">
        <f ca="1">IFERROR(__xludf.DUMMYFUNCTION("""COMPUTED_VALUE"""),"m")</f>
        <v>m</v>
      </c>
      <c r="G1615" s="584" t="str">
        <f ca="1">IFERROR(__xludf.DUMMYFUNCTION("""COMPUTED_VALUE"""),"m")</f>
        <v>m</v>
      </c>
      <c r="H1615" s="582"/>
      <c r="I1615" s="585">
        <f ca="1">IFERROR(__xludf.DUMMYFUNCTION("""COMPUTED_VALUE"""),0.3015796)</f>
        <v>0.3015796</v>
      </c>
      <c r="J1615" s="586" t="str">
        <f ca="1">IFERROR(__xludf.DUMMYFUNCTION("""COMPUTED_VALUE""")," 15.88 ")</f>
        <v xml:space="preserve"> 15.88 </v>
      </c>
      <c r="K1615" s="584" t="str">
        <f ca="1">IFERROR(__xludf.DUMMYFUNCTION("""COMPUTED_VALUE"""),"0.71")</f>
        <v>0.71</v>
      </c>
      <c r="L1615" s="584">
        <f ca="1">IFERROR(__xludf.DUMMYFUNCTION("""COMPUTED_VALUE"""),1)</f>
        <v>1</v>
      </c>
      <c r="M1615" s="584"/>
      <c r="N1615" s="584" t="str">
        <f ca="1">IFERROR(__xludf.DUMMYFUNCTION("""COMPUTED_VALUE"""),"Dị_D&lt;54")</f>
        <v>Dị_D&lt;54</v>
      </c>
      <c r="O1615" s="583">
        <f ca="1">IFERROR(__xludf.DUMMYFUNCTION("""COMPUTED_VALUE"""),1)</f>
        <v>1</v>
      </c>
      <c r="P1615" s="584"/>
    </row>
    <row r="1616" spans="1:16" ht="15.75">
      <c r="A1616" s="587" t="str">
        <f ca="1">IFERROR(__xludf.DUMMYFUNCTION("""COMPUTED_VALUE"""),"J-Flex")</f>
        <v>J-Flex</v>
      </c>
      <c r="B1616" s="587" t="str">
        <f ca="1">IFERROR(__xludf.DUMMYFUNCTION("""COMPUTED_VALUE"""),"ĐJFLEXBANH")</f>
        <v>ĐJFLEXBANH</v>
      </c>
      <c r="C1616" s="587" t="str">
        <f ca="1">IFERROR(__xludf.DUMMYFUNCTION("""COMPUTED_VALUE"""),"JW15880HELWC")</f>
        <v>JW15880HELWC</v>
      </c>
      <c r="D1616" s="588" t="str">
        <f ca="1">IFERROR(__xludf.DUMMYFUNCTION("""COMPUTED_VALUE"""),"Đồng ống LWC J-Flex 15.88x0.75")</f>
        <v>Đồng ống LWC J-Flex 15.88x0.75</v>
      </c>
      <c r="E1616" s="589">
        <f ca="1">IFERROR(__xludf.DUMMYFUNCTION("""COMPUTED_VALUE"""),0.1)</f>
        <v>0.1</v>
      </c>
      <c r="F1616" s="590" t="str">
        <f ca="1">IFERROR(__xludf.DUMMYFUNCTION("""COMPUTED_VALUE"""),"m")</f>
        <v>m</v>
      </c>
      <c r="G1616" s="590" t="str">
        <f ca="1">IFERROR(__xludf.DUMMYFUNCTION("""COMPUTED_VALUE"""),"m")</f>
        <v>m</v>
      </c>
      <c r="H1616" s="588"/>
      <c r="I1616" s="591">
        <f ca="1">IFERROR(__xludf.DUMMYFUNCTION("""COMPUTED_VALUE"""),0.31773)</f>
        <v>0.31773000000000001</v>
      </c>
      <c r="J1616" s="592" t="str">
        <f ca="1">IFERROR(__xludf.DUMMYFUNCTION("""COMPUTED_VALUE""")," 15.88 ")</f>
        <v xml:space="preserve"> 15.88 </v>
      </c>
      <c r="K1616" s="590" t="str">
        <f ca="1">IFERROR(__xludf.DUMMYFUNCTION("""COMPUTED_VALUE"""),"0.75")</f>
        <v>0.75</v>
      </c>
      <c r="L1616" s="590">
        <f ca="1">IFERROR(__xludf.DUMMYFUNCTION("""COMPUTED_VALUE"""),1)</f>
        <v>1</v>
      </c>
      <c r="M1616" s="590"/>
      <c r="N1616" s="590" t="str">
        <f ca="1">IFERROR(__xludf.DUMMYFUNCTION("""COMPUTED_VALUE"""),"Dị_D&lt;54")</f>
        <v>Dị_D&lt;54</v>
      </c>
      <c r="O1616" s="589"/>
      <c r="P1616" s="590"/>
    </row>
    <row r="1617" spans="1:16" ht="15.75">
      <c r="A1617" s="581" t="str">
        <f ca="1">IFERROR(__xludf.DUMMYFUNCTION("""COMPUTED_VALUE"""),"J-Flex")</f>
        <v>J-Flex</v>
      </c>
      <c r="B1617" s="581" t="str">
        <f ca="1">IFERROR(__xludf.DUMMYFUNCTION("""COMPUTED_VALUE"""),"ĐJFLEXBANH")</f>
        <v>ĐJFLEXBANH</v>
      </c>
      <c r="C1617" s="581" t="str">
        <f ca="1">IFERROR(__xludf.DUMMYFUNCTION("""COMPUTED_VALUE"""),"JW15880IALWC")</f>
        <v>JW15880IALWC</v>
      </c>
      <c r="D1617" s="582" t="str">
        <f ca="1">IFERROR(__xludf.DUMMYFUNCTION("""COMPUTED_VALUE"""),"Đồng ống LWC J-Flex 15.88x0.81")</f>
        <v>Đồng ống LWC J-Flex 15.88x0.81</v>
      </c>
      <c r="E1617" s="583">
        <f ca="1">IFERROR(__xludf.DUMMYFUNCTION("""COMPUTED_VALUE"""),0.1)</f>
        <v>0.1</v>
      </c>
      <c r="F1617" s="584" t="str">
        <f ca="1">IFERROR(__xludf.DUMMYFUNCTION("""COMPUTED_VALUE"""),"m")</f>
        <v>m</v>
      </c>
      <c r="G1617" s="584" t="str">
        <f ca="1">IFERROR(__xludf.DUMMYFUNCTION("""COMPUTED_VALUE"""),"m")</f>
        <v>m</v>
      </c>
      <c r="H1617" s="582"/>
      <c r="I1617" s="585">
        <f ca="1">IFERROR(__xludf.DUMMYFUNCTION("""COMPUTED_VALUE"""),0.3417876)</f>
        <v>0.34178760000000002</v>
      </c>
      <c r="J1617" s="586" t="str">
        <f ca="1">IFERROR(__xludf.DUMMYFUNCTION("""COMPUTED_VALUE""")," 15.88 ")</f>
        <v xml:space="preserve"> 15.88 </v>
      </c>
      <c r="K1617" s="584" t="str">
        <f ca="1">IFERROR(__xludf.DUMMYFUNCTION("""COMPUTED_VALUE"""),"0.81")</f>
        <v>0.81</v>
      </c>
      <c r="L1617" s="584">
        <f ca="1">IFERROR(__xludf.DUMMYFUNCTION("""COMPUTED_VALUE"""),1)</f>
        <v>1</v>
      </c>
      <c r="M1617" s="584"/>
      <c r="N1617" s="584" t="str">
        <f ca="1">IFERROR(__xludf.DUMMYFUNCTION("""COMPUTED_VALUE"""),"Dị_D&lt;54")</f>
        <v>Dị_D&lt;54</v>
      </c>
      <c r="O1617" s="583">
        <f ca="1">IFERROR(__xludf.DUMMYFUNCTION("""COMPUTED_VALUE"""),1)</f>
        <v>1</v>
      </c>
      <c r="P1617" s="584"/>
    </row>
    <row r="1618" spans="1:16" ht="15.75">
      <c r="A1618" s="587" t="str">
        <f ca="1">IFERROR(__xludf.DUMMYFUNCTION("""COMPUTED_VALUE"""),"J-Flex")</f>
        <v>J-Flex</v>
      </c>
      <c r="B1618" s="587" t="str">
        <f ca="1">IFERROR(__xludf.DUMMYFUNCTION("""COMPUTED_VALUE"""),"ĐJFLEXBANH")</f>
        <v>ĐJFLEXBANH</v>
      </c>
      <c r="C1618" s="587" t="str">
        <f ca="1">IFERROR(__xludf.DUMMYFUNCTION("""COMPUTED_VALUE"""),"JW15880IALWCKI")</f>
        <v>JW15880IALWCKI</v>
      </c>
      <c r="D1618" s="588" t="str">
        <f ca="1">IFERROR(__xludf.DUMMYFUNCTION("""COMPUTED_VALUE"""),"Đồng ống LWC J-Flex không in 15.88x0.81")</f>
        <v>Đồng ống LWC J-Flex không in 15.88x0.81</v>
      </c>
      <c r="E1618" s="589">
        <f ca="1">IFERROR(__xludf.DUMMYFUNCTION("""COMPUTED_VALUE"""),0.1)</f>
        <v>0.1</v>
      </c>
      <c r="F1618" s="590" t="str">
        <f ca="1">IFERROR(__xludf.DUMMYFUNCTION("""COMPUTED_VALUE"""),"m")</f>
        <v>m</v>
      </c>
      <c r="G1618" s="590" t="str">
        <f ca="1">IFERROR(__xludf.DUMMYFUNCTION("""COMPUTED_VALUE"""),"m")</f>
        <v>m</v>
      </c>
      <c r="H1618" s="588"/>
      <c r="I1618" s="591">
        <f ca="1">IFERROR(__xludf.DUMMYFUNCTION("""COMPUTED_VALUE"""),0.3417876)</f>
        <v>0.34178760000000002</v>
      </c>
      <c r="J1618" s="592" t="str">
        <f ca="1">IFERROR(__xludf.DUMMYFUNCTION("""COMPUTED_VALUE""")," 15.88 ")</f>
        <v xml:space="preserve"> 15.88 </v>
      </c>
      <c r="K1618" s="590" t="str">
        <f ca="1">IFERROR(__xludf.DUMMYFUNCTION("""COMPUTED_VALUE"""),"0.81")</f>
        <v>0.81</v>
      </c>
      <c r="L1618" s="590">
        <f ca="1">IFERROR(__xludf.DUMMYFUNCTION("""COMPUTED_VALUE"""),1)</f>
        <v>1</v>
      </c>
      <c r="M1618" s="590"/>
      <c r="N1618" s="590" t="str">
        <f ca="1">IFERROR(__xludf.DUMMYFUNCTION("""COMPUTED_VALUE"""),"Dị_D&lt;54")</f>
        <v>Dị_D&lt;54</v>
      </c>
      <c r="O1618" s="589">
        <f ca="1">IFERROR(__xludf.DUMMYFUNCTION("""COMPUTED_VALUE"""),1)</f>
        <v>1</v>
      </c>
      <c r="P1618" s="590"/>
    </row>
    <row r="1619" spans="1:16" ht="15.75">
      <c r="A1619" s="581" t="str">
        <f ca="1">IFERROR(__xludf.DUMMYFUNCTION("""COMPUTED_VALUE"""),"J-Flex")</f>
        <v>J-Flex</v>
      </c>
      <c r="B1619" s="581" t="str">
        <f ca="1">IFERROR(__xludf.DUMMYFUNCTION("""COMPUTED_VALUE"""),"ĐJFLEXBANH")</f>
        <v>ĐJFLEXBANH</v>
      </c>
      <c r="C1619" s="581" t="str">
        <f ca="1">IFERROR(__xludf.DUMMYFUNCTION("""COMPUTED_VALUE"""),"JW1588A0BLWC")</f>
        <v>JW1588A0BLWC</v>
      </c>
      <c r="D1619" s="582" t="str">
        <f ca="1">IFERROR(__xludf.DUMMYFUNCTION("""COMPUTED_VALUE"""),"Đồng ống LWC J-Flex 15.88x1.02")</f>
        <v>Đồng ống LWC J-Flex 15.88x1.02</v>
      </c>
      <c r="E1619" s="583">
        <f ca="1">IFERROR(__xludf.DUMMYFUNCTION("""COMPUTED_VALUE"""),0.1)</f>
        <v>0.1</v>
      </c>
      <c r="F1619" s="584" t="str">
        <f ca="1">IFERROR(__xludf.DUMMYFUNCTION("""COMPUTED_VALUE"""),"m")</f>
        <v>m</v>
      </c>
      <c r="G1619" s="584" t="str">
        <f ca="1">IFERROR(__xludf.DUMMYFUNCTION("""COMPUTED_VALUE"""),"m")</f>
        <v>m</v>
      </c>
      <c r="H1619" s="582"/>
      <c r="I1619" s="585">
        <f ca="1">IFERROR(__xludf.DUMMYFUNCTION("""COMPUTED_VALUE"""),0.4244016)</f>
        <v>0.42440159999999999</v>
      </c>
      <c r="J1619" s="586" t="str">
        <f ca="1">IFERROR(__xludf.DUMMYFUNCTION("""COMPUTED_VALUE""")," 15.88 ")</f>
        <v xml:space="preserve"> 15.88 </v>
      </c>
      <c r="K1619" s="584" t="str">
        <f ca="1">IFERROR(__xludf.DUMMYFUNCTION("""COMPUTED_VALUE"""),"1.02")</f>
        <v>1.02</v>
      </c>
      <c r="L1619" s="584">
        <f ca="1">IFERROR(__xludf.DUMMYFUNCTION("""COMPUTED_VALUE"""),1)</f>
        <v>1</v>
      </c>
      <c r="M1619" s="584"/>
      <c r="N1619" s="584" t="str">
        <f ca="1">IFERROR(__xludf.DUMMYFUNCTION("""COMPUTED_VALUE"""),"Dị_D&lt;54")</f>
        <v>Dị_D&lt;54</v>
      </c>
      <c r="O1619" s="583">
        <f ca="1">IFERROR(__xludf.DUMMYFUNCTION("""COMPUTED_VALUE"""),1)</f>
        <v>1</v>
      </c>
      <c r="P1619" s="584"/>
    </row>
    <row r="1620" spans="1:16" ht="15.75">
      <c r="A1620" s="587" t="str">
        <f ca="1">IFERROR(__xludf.DUMMYFUNCTION("""COMPUTED_VALUE"""),"J-Flex")</f>
        <v>J-Flex</v>
      </c>
      <c r="B1620" s="587" t="str">
        <f ca="1">IFERROR(__xludf.DUMMYFUNCTION("""COMPUTED_VALUE"""),"ĐJFLEXBANH")</f>
        <v>ĐJFLEXBANH</v>
      </c>
      <c r="C1620" s="587" t="str">
        <f ca="1">IFERROR(__xludf.DUMMYFUNCTION("""COMPUTED_VALUE"""),"JW19050HALWC")</f>
        <v>JW19050HALWC</v>
      </c>
      <c r="D1620" s="588" t="str">
        <f ca="1">IFERROR(__xludf.DUMMYFUNCTION("""COMPUTED_VALUE"""),"Đồng ống LWC J-Flex 19.05x0.71")</f>
        <v>Đồng ống LWC J-Flex 19.05x0.71</v>
      </c>
      <c r="E1620" s="589">
        <f ca="1">IFERROR(__xludf.DUMMYFUNCTION("""COMPUTED_VALUE"""),0.1)</f>
        <v>0.1</v>
      </c>
      <c r="F1620" s="590" t="str">
        <f ca="1">IFERROR(__xludf.DUMMYFUNCTION("""COMPUTED_VALUE"""),"m")</f>
        <v>m</v>
      </c>
      <c r="G1620" s="590" t="str">
        <f ca="1">IFERROR(__xludf.DUMMYFUNCTION("""COMPUTED_VALUE"""),"m")</f>
        <v>m</v>
      </c>
      <c r="H1620" s="588"/>
      <c r="I1620" s="591">
        <f ca="1">IFERROR(__xludf.DUMMYFUNCTION("""COMPUTED_VALUE"""),0.3645992)</f>
        <v>0.36459920000000001</v>
      </c>
      <c r="J1620" s="592" t="str">
        <f ca="1">IFERROR(__xludf.DUMMYFUNCTION("""COMPUTED_VALUE""")," 19.05 ")</f>
        <v xml:space="preserve"> 19.05 </v>
      </c>
      <c r="K1620" s="590" t="str">
        <f ca="1">IFERROR(__xludf.DUMMYFUNCTION("""COMPUTED_VALUE"""),"0.71")</f>
        <v>0.71</v>
      </c>
      <c r="L1620" s="590">
        <f ca="1">IFERROR(__xludf.DUMMYFUNCTION("""COMPUTED_VALUE"""),1)</f>
        <v>1</v>
      </c>
      <c r="M1620" s="590"/>
      <c r="N1620" s="590" t="str">
        <f ca="1">IFERROR(__xludf.DUMMYFUNCTION("""COMPUTED_VALUE"""),"Dị_D&lt;54")</f>
        <v>Dị_D&lt;54</v>
      </c>
      <c r="O1620" s="589">
        <f ca="1">IFERROR(__xludf.DUMMYFUNCTION("""COMPUTED_VALUE"""),1)</f>
        <v>1</v>
      </c>
      <c r="P1620" s="590"/>
    </row>
    <row r="1621" spans="1:16" ht="15.75">
      <c r="A1621" s="581" t="str">
        <f ca="1">IFERROR(__xludf.DUMMYFUNCTION("""COMPUTED_VALUE"""),"J-Flex")</f>
        <v>J-Flex</v>
      </c>
      <c r="B1621" s="581" t="str">
        <f ca="1">IFERROR(__xludf.DUMMYFUNCTION("""COMPUTED_VALUE"""),"ĐJFLEXBANH")</f>
        <v>ĐJFLEXBANH</v>
      </c>
      <c r="C1621" s="581" t="str">
        <f ca="1">IFERROR(__xludf.DUMMYFUNCTION("""COMPUTED_VALUE"""),"JW19050HELWC")</f>
        <v>JW19050HELWC</v>
      </c>
      <c r="D1621" s="582" t="str">
        <f ca="1">IFERROR(__xludf.DUMMYFUNCTION("""COMPUTED_VALUE"""),"Đồng ống LWC J-Flex 19.05x0.75")</f>
        <v>Đồng ống LWC J-Flex 19.05x0.75</v>
      </c>
      <c r="E1621" s="583">
        <f ca="1">IFERROR(__xludf.DUMMYFUNCTION("""COMPUTED_VALUE"""),0.1)</f>
        <v>0.1</v>
      </c>
      <c r="F1621" s="584" t="str">
        <f ca="1">IFERROR(__xludf.DUMMYFUNCTION("""COMPUTED_VALUE"""),"m")</f>
        <v>m</v>
      </c>
      <c r="G1621" s="584" t="str">
        <f ca="1">IFERROR(__xludf.DUMMYFUNCTION("""COMPUTED_VALUE"""),"m")</f>
        <v>m</v>
      </c>
      <c r="H1621" s="582"/>
      <c r="I1621" s="585">
        <f ca="1">IFERROR(__xludf.DUMMYFUNCTION("""COMPUTED_VALUE"""),0.3843)</f>
        <v>0.38429999999999997</v>
      </c>
      <c r="J1621" s="586" t="str">
        <f ca="1">IFERROR(__xludf.DUMMYFUNCTION("""COMPUTED_VALUE""")," 19.05 ")</f>
        <v xml:space="preserve"> 19.05 </v>
      </c>
      <c r="K1621" s="584" t="str">
        <f ca="1">IFERROR(__xludf.DUMMYFUNCTION("""COMPUTED_VALUE"""),"0.75")</f>
        <v>0.75</v>
      </c>
      <c r="L1621" s="584">
        <f ca="1">IFERROR(__xludf.DUMMYFUNCTION("""COMPUTED_VALUE"""),1)</f>
        <v>1</v>
      </c>
      <c r="M1621" s="584"/>
      <c r="N1621" s="584" t="str">
        <f ca="1">IFERROR(__xludf.DUMMYFUNCTION("""COMPUTED_VALUE"""),"Dị_D&lt;54")</f>
        <v>Dị_D&lt;54</v>
      </c>
      <c r="O1621" s="583"/>
      <c r="P1621" s="584"/>
    </row>
    <row r="1622" spans="1:16" ht="15.75">
      <c r="A1622" s="587" t="str">
        <f ca="1">IFERROR(__xludf.DUMMYFUNCTION("""COMPUTED_VALUE"""),"J-Flex")</f>
        <v>J-Flex</v>
      </c>
      <c r="B1622" s="587" t="str">
        <f ca="1">IFERROR(__xludf.DUMMYFUNCTION("""COMPUTED_VALUE"""),"ĐJFLEXBANH")</f>
        <v>ĐJFLEXBANH</v>
      </c>
      <c r="C1622" s="587" t="str">
        <f ca="1">IFERROR(__xludf.DUMMYFUNCTION("""COMPUTED_VALUE"""),"JW19050IALWC")</f>
        <v>JW19050IALWC</v>
      </c>
      <c r="D1622" s="588" t="str">
        <f ca="1">IFERROR(__xludf.DUMMYFUNCTION("""COMPUTED_VALUE"""),"Đồng ống LWC J-Flex 19.05x0.81")</f>
        <v>Đồng ống LWC J-Flex 19.05x0.81</v>
      </c>
      <c r="E1622" s="589">
        <f ca="1">IFERROR(__xludf.DUMMYFUNCTION("""COMPUTED_VALUE"""),0.1)</f>
        <v>0.1</v>
      </c>
      <c r="F1622" s="590" t="str">
        <f ca="1">IFERROR(__xludf.DUMMYFUNCTION("""COMPUTED_VALUE"""),"m")</f>
        <v>m</v>
      </c>
      <c r="G1622" s="590" t="str">
        <f ca="1">IFERROR(__xludf.DUMMYFUNCTION("""COMPUTED_VALUE"""),"m")</f>
        <v>m</v>
      </c>
      <c r="H1622" s="588"/>
      <c r="I1622" s="591">
        <f ca="1">IFERROR(__xludf.DUMMYFUNCTION("""COMPUTED_VALUE"""),0.4136832)</f>
        <v>0.41368319999999997</v>
      </c>
      <c r="J1622" s="592" t="str">
        <f ca="1">IFERROR(__xludf.DUMMYFUNCTION("""COMPUTED_VALUE""")," 19.05 ")</f>
        <v xml:space="preserve"> 19.05 </v>
      </c>
      <c r="K1622" s="590" t="str">
        <f ca="1">IFERROR(__xludf.DUMMYFUNCTION("""COMPUTED_VALUE"""),"0.81")</f>
        <v>0.81</v>
      </c>
      <c r="L1622" s="590">
        <f ca="1">IFERROR(__xludf.DUMMYFUNCTION("""COMPUTED_VALUE"""),1)</f>
        <v>1</v>
      </c>
      <c r="M1622" s="590"/>
      <c r="N1622" s="590" t="str">
        <f ca="1">IFERROR(__xludf.DUMMYFUNCTION("""COMPUTED_VALUE"""),"Dị_D&lt;54")</f>
        <v>Dị_D&lt;54</v>
      </c>
      <c r="O1622" s="589">
        <f ca="1">IFERROR(__xludf.DUMMYFUNCTION("""COMPUTED_VALUE"""),1)</f>
        <v>1</v>
      </c>
      <c r="P1622" s="590"/>
    </row>
    <row r="1623" spans="1:16" ht="15.75">
      <c r="A1623" s="581" t="str">
        <f ca="1">IFERROR(__xludf.DUMMYFUNCTION("""COMPUTED_VALUE"""),"J-Flex")</f>
        <v>J-Flex</v>
      </c>
      <c r="B1623" s="581" t="str">
        <f ca="1">IFERROR(__xludf.DUMMYFUNCTION("""COMPUTED_VALUE"""),"ĐJFLEXBANH")</f>
        <v>ĐJFLEXBANH</v>
      </c>
      <c r="C1623" s="581" t="str">
        <f ca="1">IFERROR(__xludf.DUMMYFUNCTION("""COMPUTED_VALUE"""),"JW1905A0BLWC")</f>
        <v>JW1905A0BLWC</v>
      </c>
      <c r="D1623" s="582" t="str">
        <f ca="1">IFERROR(__xludf.DUMMYFUNCTION("""COMPUTED_VALUE"""),"Đồng ống LWC J-Flex 19.05x1.02")</f>
        <v>Đồng ống LWC J-Flex 19.05x1.02</v>
      </c>
      <c r="E1623" s="583">
        <f ca="1">IFERROR(__xludf.DUMMYFUNCTION("""COMPUTED_VALUE"""),0.1)</f>
        <v>0.1</v>
      </c>
      <c r="F1623" s="584" t="str">
        <f ca="1">IFERROR(__xludf.DUMMYFUNCTION("""COMPUTED_VALUE"""),"m")</f>
        <v>m</v>
      </c>
      <c r="G1623" s="584" t="str">
        <f ca="1">IFERROR(__xludf.DUMMYFUNCTION("""COMPUTED_VALUE"""),"m")</f>
        <v>m</v>
      </c>
      <c r="H1623" s="582"/>
      <c r="I1623" s="585">
        <f ca="1">IFERROR(__xludf.DUMMYFUNCTION("""COMPUTED_VALUE"""),0.5149368)</f>
        <v>0.51493679999999997</v>
      </c>
      <c r="J1623" s="586" t="str">
        <f ca="1">IFERROR(__xludf.DUMMYFUNCTION("""COMPUTED_VALUE""")," 19.05 ")</f>
        <v xml:space="preserve"> 19.05 </v>
      </c>
      <c r="K1623" s="584" t="str">
        <f ca="1">IFERROR(__xludf.DUMMYFUNCTION("""COMPUTED_VALUE"""),"1.02")</f>
        <v>1.02</v>
      </c>
      <c r="L1623" s="584">
        <f ca="1">IFERROR(__xludf.DUMMYFUNCTION("""COMPUTED_VALUE"""),1)</f>
        <v>1</v>
      </c>
      <c r="M1623" s="584"/>
      <c r="N1623" s="584" t="str">
        <f ca="1">IFERROR(__xludf.DUMMYFUNCTION("""COMPUTED_VALUE"""),"Dị_D&lt;54")</f>
        <v>Dị_D&lt;54</v>
      </c>
      <c r="O1623" s="583">
        <f ca="1">IFERROR(__xludf.DUMMYFUNCTION("""COMPUTED_VALUE"""),1)</f>
        <v>1</v>
      </c>
      <c r="P1623" s="584"/>
    </row>
    <row r="1624" spans="1:16" ht="15.75">
      <c r="A1624" s="587"/>
      <c r="B1624" s="587"/>
      <c r="C1624" s="587"/>
      <c r="D1624" s="588"/>
      <c r="E1624" s="589"/>
      <c r="F1624" s="590"/>
      <c r="G1624" s="590"/>
      <c r="H1624" s="588"/>
      <c r="I1624" s="591"/>
      <c r="J1624" s="592"/>
      <c r="K1624" s="590"/>
      <c r="L1624" s="590"/>
      <c r="M1624" s="590"/>
      <c r="N1624" s="590"/>
      <c r="O1624" s="589"/>
      <c r="P1624" s="590"/>
    </row>
    <row r="1625" spans="1:16" ht="15.75">
      <c r="A1625" s="581"/>
      <c r="B1625" s="581"/>
      <c r="C1625" s="581"/>
      <c r="D1625" s="582"/>
      <c r="E1625" s="583"/>
      <c r="F1625" s="584"/>
      <c r="G1625" s="584"/>
      <c r="H1625" s="582"/>
      <c r="I1625" s="585"/>
      <c r="J1625" s="586"/>
      <c r="K1625" s="584"/>
      <c r="L1625" s="584"/>
      <c r="M1625" s="584"/>
      <c r="N1625" s="584"/>
      <c r="O1625" s="583"/>
      <c r="P1625" s="584"/>
    </row>
    <row r="1626" spans="1:16" ht="15.75">
      <c r="A1626" s="587"/>
      <c r="B1626" s="587"/>
      <c r="C1626" s="587"/>
      <c r="D1626" s="588"/>
      <c r="E1626" s="589"/>
      <c r="F1626" s="590"/>
      <c r="G1626" s="590"/>
      <c r="H1626" s="588"/>
      <c r="I1626" s="591"/>
      <c r="J1626" s="592"/>
      <c r="K1626" s="590"/>
      <c r="L1626" s="590"/>
      <c r="M1626" s="590"/>
      <c r="N1626" s="590"/>
      <c r="O1626" s="589"/>
      <c r="P1626" s="590"/>
    </row>
    <row r="1627" spans="1:16" ht="15.75">
      <c r="A1627" s="581"/>
      <c r="B1627" s="581"/>
      <c r="C1627" s="581"/>
      <c r="D1627" s="582"/>
      <c r="E1627" s="583"/>
      <c r="F1627" s="584"/>
      <c r="G1627" s="584"/>
      <c r="H1627" s="582"/>
      <c r="I1627" s="585"/>
      <c r="J1627" s="586"/>
      <c r="K1627" s="584"/>
      <c r="L1627" s="584"/>
      <c r="M1627" s="584"/>
      <c r="N1627" s="584"/>
      <c r="O1627" s="583"/>
      <c r="P1627" s="584"/>
    </row>
    <row r="1628" spans="1:16" ht="15.75">
      <c r="A1628" s="587"/>
      <c r="B1628" s="587"/>
      <c r="C1628" s="587"/>
      <c r="D1628" s="588"/>
      <c r="E1628" s="589"/>
      <c r="F1628" s="590"/>
      <c r="G1628" s="590"/>
      <c r="H1628" s="588"/>
      <c r="I1628" s="591"/>
      <c r="J1628" s="592"/>
      <c r="K1628" s="590"/>
      <c r="L1628" s="590"/>
      <c r="M1628" s="590"/>
      <c r="N1628" s="590"/>
      <c r="O1628" s="589"/>
      <c r="P1628" s="590"/>
    </row>
    <row r="1629" spans="1:16" ht="15.75">
      <c r="A1629" s="581"/>
      <c r="B1629" s="581"/>
      <c r="C1629" s="581"/>
      <c r="D1629" s="582"/>
      <c r="E1629" s="583"/>
      <c r="F1629" s="584"/>
      <c r="G1629" s="584"/>
      <c r="H1629" s="582"/>
      <c r="I1629" s="585"/>
      <c r="J1629" s="586"/>
      <c r="K1629" s="584"/>
      <c r="L1629" s="584"/>
      <c r="M1629" s="584"/>
      <c r="N1629" s="584"/>
      <c r="O1629" s="583"/>
      <c r="P1629" s="584"/>
    </row>
    <row r="1630" spans="1:16" ht="15.75">
      <c r="A1630" s="587"/>
      <c r="B1630" s="587"/>
      <c r="C1630" s="587"/>
      <c r="D1630" s="588"/>
      <c r="E1630" s="589"/>
      <c r="F1630" s="590"/>
      <c r="G1630" s="590"/>
      <c r="H1630" s="588"/>
      <c r="I1630" s="591"/>
      <c r="J1630" s="592"/>
      <c r="K1630" s="590"/>
      <c r="L1630" s="590"/>
      <c r="M1630" s="590"/>
      <c r="N1630" s="590"/>
      <c r="O1630" s="589"/>
      <c r="P1630" s="590"/>
    </row>
    <row r="1631" spans="1:16" ht="15.75">
      <c r="A1631" s="581"/>
      <c r="B1631" s="581"/>
      <c r="C1631" s="581"/>
      <c r="D1631" s="582"/>
      <c r="E1631" s="583"/>
      <c r="F1631" s="584"/>
      <c r="G1631" s="584"/>
      <c r="H1631" s="582"/>
      <c r="I1631" s="585"/>
      <c r="J1631" s="586"/>
      <c r="K1631" s="584"/>
      <c r="L1631" s="584"/>
      <c r="M1631" s="584"/>
      <c r="N1631" s="584"/>
      <c r="O1631" s="583"/>
      <c r="P1631" s="584"/>
    </row>
    <row r="1632" spans="1:16" ht="15.75">
      <c r="A1632" s="587"/>
      <c r="B1632" s="587"/>
      <c r="C1632" s="587"/>
      <c r="D1632" s="588"/>
      <c r="E1632" s="589"/>
      <c r="F1632" s="590"/>
      <c r="G1632" s="590"/>
      <c r="H1632" s="588"/>
      <c r="I1632" s="591"/>
      <c r="J1632" s="592"/>
      <c r="K1632" s="590"/>
      <c r="L1632" s="590"/>
      <c r="M1632" s="590"/>
      <c r="N1632" s="590"/>
      <c r="O1632" s="589"/>
      <c r="P1632" s="590"/>
    </row>
    <row r="1633" spans="1:16" ht="15.75">
      <c r="A1633" s="581"/>
      <c r="B1633" s="581"/>
      <c r="C1633" s="581"/>
      <c r="D1633" s="582"/>
      <c r="E1633" s="583"/>
      <c r="F1633" s="584"/>
      <c r="G1633" s="584"/>
      <c r="H1633" s="582"/>
      <c r="I1633" s="585"/>
      <c r="J1633" s="586"/>
      <c r="K1633" s="584"/>
      <c r="L1633" s="584"/>
      <c r="M1633" s="584"/>
      <c r="N1633" s="584"/>
      <c r="O1633" s="583"/>
      <c r="P1633" s="584"/>
    </row>
    <row r="1634" spans="1:16" ht="15.75">
      <c r="A1634" s="587"/>
      <c r="B1634" s="587"/>
      <c r="C1634" s="587"/>
      <c r="D1634" s="588"/>
      <c r="E1634" s="589"/>
      <c r="F1634" s="590"/>
      <c r="G1634" s="590"/>
      <c r="H1634" s="588"/>
      <c r="I1634" s="591"/>
      <c r="J1634" s="592"/>
      <c r="K1634" s="590"/>
      <c r="L1634" s="590"/>
      <c r="M1634" s="590"/>
      <c r="N1634" s="590"/>
      <c r="O1634" s="589"/>
      <c r="P1634" s="590"/>
    </row>
    <row r="1635" spans="1:16" ht="15.75">
      <c r="A1635" s="581"/>
      <c r="B1635" s="581"/>
      <c r="C1635" s="581"/>
      <c r="D1635" s="582"/>
      <c r="E1635" s="583"/>
      <c r="F1635" s="584"/>
      <c r="G1635" s="584"/>
      <c r="H1635" s="582"/>
      <c r="I1635" s="585"/>
      <c r="J1635" s="586"/>
      <c r="K1635" s="584"/>
      <c r="L1635" s="584"/>
      <c r="M1635" s="584"/>
      <c r="N1635" s="584"/>
      <c r="O1635" s="583"/>
      <c r="P1635" s="584"/>
    </row>
    <row r="1636" spans="1:16" ht="15.75">
      <c r="A1636" s="587"/>
      <c r="B1636" s="587"/>
      <c r="C1636" s="587"/>
      <c r="D1636" s="588"/>
      <c r="E1636" s="589"/>
      <c r="F1636" s="590"/>
      <c r="G1636" s="590"/>
      <c r="H1636" s="588"/>
      <c r="I1636" s="591"/>
      <c r="J1636" s="592"/>
      <c r="K1636" s="590"/>
      <c r="L1636" s="590"/>
      <c r="M1636" s="590"/>
      <c r="N1636" s="590"/>
      <c r="O1636" s="589"/>
      <c r="P1636" s="590"/>
    </row>
    <row r="1637" spans="1:16" ht="15.75">
      <c r="A1637" s="581"/>
      <c r="B1637" s="581"/>
      <c r="C1637" s="581"/>
      <c r="D1637" s="582"/>
      <c r="E1637" s="583"/>
      <c r="F1637" s="584"/>
      <c r="G1637" s="584"/>
      <c r="H1637" s="582"/>
      <c r="I1637" s="585"/>
      <c r="J1637" s="586"/>
      <c r="K1637" s="584"/>
      <c r="L1637" s="584"/>
      <c r="M1637" s="584"/>
      <c r="N1637" s="584"/>
      <c r="O1637" s="583"/>
      <c r="P1637" s="584"/>
    </row>
    <row r="1638" spans="1:16" ht="15.75">
      <c r="A1638" s="587"/>
      <c r="B1638" s="587"/>
      <c r="C1638" s="587"/>
      <c r="D1638" s="588"/>
      <c r="E1638" s="589"/>
      <c r="F1638" s="590"/>
      <c r="G1638" s="590"/>
      <c r="H1638" s="588"/>
      <c r="I1638" s="591"/>
      <c r="J1638" s="592"/>
      <c r="K1638" s="590"/>
      <c r="L1638" s="590"/>
      <c r="M1638" s="590"/>
      <c r="N1638" s="590"/>
      <c r="O1638" s="589"/>
      <c r="P1638" s="590"/>
    </row>
    <row r="1639" spans="1:16" ht="15.75">
      <c r="A1639" s="581"/>
      <c r="B1639" s="581"/>
      <c r="C1639" s="581"/>
      <c r="D1639" s="582"/>
      <c r="E1639" s="583"/>
      <c r="F1639" s="584"/>
      <c r="G1639" s="584"/>
      <c r="H1639" s="582"/>
      <c r="I1639" s="585"/>
      <c r="J1639" s="586"/>
      <c r="K1639" s="584"/>
      <c r="L1639" s="584"/>
      <c r="M1639" s="584"/>
      <c r="N1639" s="584"/>
      <c r="O1639" s="583"/>
      <c r="P1639" s="584"/>
    </row>
    <row r="1640" spans="1:16" ht="15.75">
      <c r="A1640" s="587"/>
      <c r="B1640" s="587"/>
      <c r="C1640" s="587"/>
      <c r="D1640" s="588"/>
      <c r="E1640" s="589"/>
      <c r="F1640" s="590"/>
      <c r="G1640" s="590"/>
      <c r="H1640" s="588"/>
      <c r="I1640" s="591"/>
      <c r="J1640" s="592"/>
      <c r="K1640" s="590"/>
      <c r="L1640" s="590"/>
      <c r="M1640" s="590"/>
      <c r="N1640" s="590"/>
      <c r="O1640" s="589"/>
      <c r="P1640" s="590"/>
    </row>
    <row r="1641" spans="1:16" ht="15.75">
      <c r="A1641" s="581"/>
      <c r="B1641" s="581"/>
      <c r="C1641" s="581"/>
      <c r="D1641" s="582"/>
      <c r="E1641" s="583"/>
      <c r="F1641" s="584"/>
      <c r="G1641" s="584"/>
      <c r="H1641" s="582"/>
      <c r="I1641" s="585"/>
      <c r="J1641" s="586"/>
      <c r="K1641" s="584"/>
      <c r="L1641" s="584"/>
      <c r="M1641" s="584"/>
      <c r="N1641" s="584"/>
      <c r="O1641" s="583"/>
      <c r="P1641" s="584"/>
    </row>
    <row r="1642" spans="1:16" ht="15.75">
      <c r="A1642" s="587"/>
      <c r="B1642" s="587"/>
      <c r="C1642" s="587"/>
      <c r="D1642" s="588"/>
      <c r="E1642" s="589"/>
      <c r="F1642" s="590"/>
      <c r="G1642" s="590"/>
      <c r="H1642" s="588"/>
      <c r="I1642" s="591"/>
      <c r="J1642" s="592"/>
      <c r="K1642" s="590"/>
      <c r="L1642" s="590"/>
      <c r="M1642" s="590"/>
      <c r="N1642" s="590"/>
      <c r="O1642" s="589"/>
      <c r="P1642" s="590"/>
    </row>
    <row r="1643" spans="1:16" ht="15.75">
      <c r="A1643" s="581"/>
      <c r="B1643" s="581"/>
      <c r="C1643" s="581"/>
      <c r="D1643" s="582"/>
      <c r="E1643" s="583"/>
      <c r="F1643" s="584"/>
      <c r="G1643" s="584"/>
      <c r="H1643" s="582"/>
      <c r="I1643" s="585"/>
      <c r="J1643" s="586"/>
      <c r="K1643" s="584"/>
      <c r="L1643" s="584"/>
      <c r="M1643" s="584"/>
      <c r="N1643" s="584"/>
      <c r="O1643" s="583"/>
      <c r="P1643" s="584"/>
    </row>
    <row r="1644" spans="1:16" ht="15.75">
      <c r="A1644" s="587"/>
      <c r="B1644" s="587"/>
      <c r="C1644" s="587"/>
      <c r="D1644" s="588"/>
      <c r="E1644" s="589"/>
      <c r="F1644" s="590"/>
      <c r="G1644" s="590"/>
      <c r="H1644" s="588"/>
      <c r="I1644" s="591"/>
      <c r="J1644" s="592"/>
      <c r="K1644" s="590"/>
      <c r="L1644" s="590"/>
      <c r="M1644" s="590"/>
      <c r="N1644" s="590"/>
      <c r="O1644" s="589"/>
      <c r="P1644" s="590"/>
    </row>
    <row r="1645" spans="1:16" ht="15.75">
      <c r="A1645" s="581"/>
      <c r="B1645" s="581"/>
      <c r="C1645" s="581"/>
      <c r="D1645" s="582"/>
      <c r="E1645" s="583"/>
      <c r="F1645" s="584"/>
      <c r="G1645" s="584"/>
      <c r="H1645" s="582"/>
      <c r="I1645" s="585"/>
      <c r="J1645" s="586"/>
      <c r="K1645" s="584"/>
      <c r="L1645" s="584"/>
      <c r="M1645" s="584"/>
      <c r="N1645" s="584"/>
      <c r="O1645" s="583"/>
      <c r="P1645" s="584"/>
    </row>
    <row r="1646" spans="1:16" ht="15.75">
      <c r="A1646" s="587"/>
      <c r="B1646" s="587"/>
      <c r="C1646" s="587"/>
      <c r="D1646" s="588"/>
      <c r="E1646" s="589"/>
      <c r="F1646" s="590"/>
      <c r="G1646" s="590"/>
      <c r="H1646" s="588"/>
      <c r="I1646" s="591"/>
      <c r="J1646" s="592"/>
      <c r="K1646" s="590"/>
      <c r="L1646" s="590"/>
      <c r="M1646" s="590"/>
      <c r="N1646" s="590"/>
      <c r="O1646" s="589"/>
      <c r="P1646" s="590"/>
    </row>
    <row r="1647" spans="1:16" ht="15.75">
      <c r="A1647" s="581"/>
      <c r="B1647" s="581"/>
      <c r="C1647" s="581"/>
      <c r="D1647" s="582"/>
      <c r="E1647" s="583"/>
      <c r="F1647" s="584"/>
      <c r="G1647" s="584"/>
      <c r="H1647" s="582"/>
      <c r="I1647" s="585"/>
      <c r="J1647" s="586"/>
      <c r="K1647" s="584"/>
      <c r="L1647" s="584"/>
      <c r="M1647" s="584"/>
      <c r="N1647" s="584"/>
      <c r="O1647" s="583"/>
      <c r="P1647" s="584"/>
    </row>
    <row r="1648" spans="1:16" ht="15.75">
      <c r="A1648" s="587"/>
      <c r="B1648" s="587"/>
      <c r="C1648" s="587"/>
      <c r="D1648" s="588"/>
      <c r="E1648" s="589"/>
      <c r="F1648" s="590"/>
      <c r="G1648" s="590"/>
      <c r="H1648" s="588"/>
      <c r="I1648" s="591"/>
      <c r="J1648" s="592"/>
      <c r="K1648" s="590"/>
      <c r="L1648" s="590"/>
      <c r="M1648" s="590"/>
      <c r="N1648" s="590"/>
      <c r="O1648" s="589"/>
      <c r="P1648" s="590"/>
    </row>
    <row r="1649" spans="1:16" ht="15.75">
      <c r="A1649" s="581"/>
      <c r="B1649" s="581"/>
      <c r="C1649" s="581"/>
      <c r="D1649" s="582"/>
      <c r="E1649" s="583"/>
      <c r="F1649" s="584"/>
      <c r="G1649" s="584"/>
      <c r="H1649" s="582"/>
      <c r="I1649" s="585"/>
      <c r="J1649" s="586"/>
      <c r="K1649" s="584"/>
      <c r="L1649" s="584"/>
      <c r="M1649" s="584"/>
      <c r="N1649" s="584"/>
      <c r="O1649" s="583"/>
      <c r="P1649" s="584"/>
    </row>
    <row r="1650" spans="1:16" ht="15.75">
      <c r="A1650" s="587"/>
      <c r="B1650" s="587"/>
      <c r="C1650" s="587"/>
      <c r="D1650" s="588"/>
      <c r="E1650" s="589"/>
      <c r="F1650" s="590"/>
      <c r="G1650" s="590"/>
      <c r="H1650" s="588"/>
      <c r="I1650" s="591"/>
      <c r="J1650" s="592"/>
      <c r="K1650" s="590"/>
      <c r="L1650" s="590"/>
      <c r="M1650" s="590"/>
      <c r="N1650" s="590"/>
      <c r="O1650" s="589"/>
      <c r="P1650" s="590"/>
    </row>
    <row r="1651" spans="1:16" ht="15.75">
      <c r="A1651" s="581"/>
      <c r="B1651" s="581"/>
      <c r="C1651" s="581"/>
      <c r="D1651" s="582"/>
      <c r="E1651" s="583"/>
      <c r="F1651" s="584"/>
      <c r="G1651" s="584"/>
      <c r="H1651" s="582"/>
      <c r="I1651" s="585"/>
      <c r="J1651" s="586"/>
      <c r="K1651" s="584"/>
      <c r="L1651" s="584"/>
      <c r="M1651" s="584"/>
      <c r="N1651" s="584"/>
      <c r="O1651" s="583"/>
      <c r="P1651" s="584"/>
    </row>
    <row r="1652" spans="1:16" ht="15.75">
      <c r="A1652" s="587"/>
      <c r="B1652" s="587"/>
      <c r="C1652" s="587"/>
      <c r="D1652" s="588"/>
      <c r="E1652" s="589"/>
      <c r="F1652" s="590"/>
      <c r="G1652" s="590"/>
      <c r="H1652" s="588"/>
      <c r="I1652" s="591"/>
      <c r="J1652" s="592"/>
      <c r="K1652" s="590"/>
      <c r="L1652" s="590"/>
      <c r="M1652" s="590"/>
      <c r="N1652" s="590"/>
      <c r="O1652" s="589"/>
      <c r="P1652" s="590"/>
    </row>
    <row r="1653" spans="1:16" ht="15.75">
      <c r="A1653" s="581"/>
      <c r="B1653" s="581"/>
      <c r="C1653" s="581"/>
      <c r="D1653" s="582"/>
      <c r="E1653" s="583"/>
      <c r="F1653" s="584"/>
      <c r="G1653" s="584"/>
      <c r="H1653" s="582"/>
      <c r="I1653" s="585"/>
      <c r="J1653" s="586"/>
      <c r="K1653" s="584"/>
      <c r="L1653" s="584"/>
      <c r="M1653" s="584"/>
      <c r="N1653" s="584"/>
      <c r="O1653" s="583"/>
      <c r="P1653" s="584"/>
    </row>
    <row r="1654" spans="1:16" ht="15.75">
      <c r="A1654" s="587"/>
      <c r="B1654" s="587"/>
      <c r="C1654" s="587"/>
      <c r="D1654" s="588"/>
      <c r="E1654" s="589"/>
      <c r="F1654" s="590"/>
      <c r="G1654" s="590"/>
      <c r="H1654" s="588"/>
      <c r="I1654" s="591"/>
      <c r="J1654" s="592"/>
      <c r="K1654" s="590"/>
      <c r="L1654" s="590"/>
      <c r="M1654" s="590"/>
      <c r="N1654" s="590"/>
      <c r="O1654" s="589"/>
      <c r="P1654" s="590"/>
    </row>
    <row r="1655" spans="1:16" ht="15.75">
      <c r="A1655" s="581"/>
      <c r="B1655" s="581"/>
      <c r="C1655" s="581"/>
      <c r="D1655" s="582"/>
      <c r="E1655" s="583"/>
      <c r="F1655" s="584"/>
      <c r="G1655" s="584"/>
      <c r="H1655" s="582"/>
      <c r="I1655" s="585"/>
      <c r="J1655" s="586"/>
      <c r="K1655" s="584"/>
      <c r="L1655" s="584"/>
      <c r="M1655" s="584"/>
      <c r="N1655" s="584"/>
      <c r="O1655" s="583"/>
      <c r="P1655" s="584"/>
    </row>
    <row r="1656" spans="1:16" ht="15.75">
      <c r="A1656" s="587"/>
      <c r="B1656" s="587"/>
      <c r="C1656" s="587"/>
      <c r="D1656" s="588"/>
      <c r="E1656" s="589"/>
      <c r="F1656" s="590"/>
      <c r="G1656" s="590"/>
      <c r="H1656" s="588"/>
      <c r="I1656" s="591"/>
      <c r="J1656" s="592"/>
      <c r="K1656" s="590"/>
      <c r="L1656" s="590"/>
      <c r="M1656" s="590"/>
      <c r="N1656" s="590"/>
      <c r="O1656" s="589"/>
      <c r="P1656" s="590"/>
    </row>
    <row r="1657" spans="1:16" ht="15.75">
      <c r="A1657" s="581"/>
      <c r="B1657" s="581"/>
      <c r="C1657" s="581"/>
      <c r="D1657" s="582"/>
      <c r="E1657" s="583"/>
      <c r="F1657" s="584"/>
      <c r="G1657" s="584"/>
      <c r="H1657" s="582"/>
      <c r="I1657" s="585"/>
      <c r="J1657" s="586"/>
      <c r="K1657" s="584"/>
      <c r="L1657" s="584"/>
      <c r="M1657" s="584"/>
      <c r="N1657" s="584"/>
      <c r="O1657" s="583"/>
      <c r="P1657" s="584"/>
    </row>
    <row r="1658" spans="1:16" ht="15.75">
      <c r="A1658" s="587"/>
      <c r="B1658" s="587"/>
      <c r="C1658" s="587"/>
      <c r="D1658" s="588"/>
      <c r="E1658" s="589"/>
      <c r="F1658" s="590"/>
      <c r="G1658" s="590"/>
      <c r="H1658" s="588"/>
      <c r="I1658" s="591"/>
      <c r="J1658" s="592"/>
      <c r="K1658" s="590"/>
      <c r="L1658" s="590"/>
      <c r="M1658" s="590"/>
      <c r="N1658" s="590"/>
      <c r="O1658" s="589"/>
      <c r="P1658" s="590"/>
    </row>
    <row r="1659" spans="1:16" ht="15.75">
      <c r="A1659" s="581"/>
      <c r="B1659" s="581"/>
      <c r="C1659" s="581"/>
      <c r="D1659" s="582"/>
      <c r="E1659" s="583"/>
      <c r="F1659" s="584"/>
      <c r="G1659" s="584"/>
      <c r="H1659" s="582"/>
      <c r="I1659" s="585"/>
      <c r="J1659" s="586"/>
      <c r="K1659" s="584"/>
      <c r="L1659" s="584"/>
      <c r="M1659" s="584"/>
      <c r="N1659" s="584"/>
      <c r="O1659" s="583"/>
      <c r="P1659" s="584"/>
    </row>
    <row r="1660" spans="1:16" ht="15.75">
      <c r="A1660" s="587"/>
      <c r="B1660" s="587"/>
      <c r="C1660" s="587"/>
      <c r="D1660" s="588"/>
      <c r="E1660" s="589"/>
      <c r="F1660" s="590"/>
      <c r="G1660" s="590"/>
      <c r="H1660" s="588"/>
      <c r="I1660" s="591"/>
      <c r="J1660" s="592"/>
      <c r="K1660" s="590"/>
      <c r="L1660" s="590"/>
      <c r="M1660" s="590"/>
      <c r="N1660" s="590"/>
      <c r="O1660" s="589"/>
      <c r="P1660" s="590"/>
    </row>
    <row r="1661" spans="1:16" ht="15.75">
      <c r="A1661" s="581"/>
      <c r="B1661" s="581"/>
      <c r="C1661" s="581"/>
      <c r="D1661" s="582"/>
      <c r="E1661" s="583"/>
      <c r="F1661" s="584"/>
      <c r="G1661" s="584"/>
      <c r="H1661" s="582"/>
      <c r="I1661" s="585"/>
      <c r="J1661" s="586"/>
      <c r="K1661" s="584"/>
      <c r="L1661" s="584"/>
      <c r="M1661" s="584"/>
      <c r="N1661" s="584"/>
      <c r="O1661" s="583"/>
      <c r="P1661" s="584"/>
    </row>
    <row r="1662" spans="1:16" ht="15.75">
      <c r="A1662" s="587"/>
      <c r="B1662" s="587"/>
      <c r="C1662" s="587"/>
      <c r="D1662" s="588"/>
      <c r="E1662" s="589"/>
      <c r="F1662" s="590"/>
      <c r="G1662" s="590"/>
      <c r="H1662" s="588"/>
      <c r="I1662" s="591"/>
      <c r="J1662" s="592"/>
      <c r="K1662" s="590"/>
      <c r="L1662" s="590"/>
      <c r="M1662" s="590"/>
      <c r="N1662" s="590"/>
      <c r="O1662" s="589"/>
      <c r="P1662" s="590"/>
    </row>
    <row r="1663" spans="1:16" ht="15.75">
      <c r="A1663" s="581"/>
      <c r="B1663" s="581"/>
      <c r="C1663" s="581"/>
      <c r="D1663" s="582"/>
      <c r="E1663" s="583"/>
      <c r="F1663" s="584"/>
      <c r="G1663" s="584"/>
      <c r="H1663" s="582"/>
      <c r="I1663" s="585"/>
      <c r="J1663" s="586"/>
      <c r="K1663" s="584"/>
      <c r="L1663" s="584"/>
      <c r="M1663" s="584"/>
      <c r="N1663" s="584"/>
      <c r="O1663" s="583"/>
      <c r="P1663" s="584"/>
    </row>
    <row r="1664" spans="1:16" ht="15.75">
      <c r="A1664" s="587"/>
      <c r="B1664" s="587"/>
      <c r="C1664" s="587"/>
      <c r="D1664" s="588"/>
      <c r="E1664" s="589"/>
      <c r="F1664" s="590"/>
      <c r="G1664" s="590"/>
      <c r="H1664" s="588"/>
      <c r="I1664" s="591"/>
      <c r="J1664" s="592"/>
      <c r="K1664" s="590"/>
      <c r="L1664" s="590"/>
      <c r="M1664" s="590"/>
      <c r="N1664" s="590"/>
      <c r="O1664" s="589"/>
      <c r="P1664" s="590"/>
    </row>
    <row r="1665" spans="1:16" ht="15.75">
      <c r="A1665" s="581"/>
      <c r="B1665" s="581"/>
      <c r="C1665" s="581"/>
      <c r="D1665" s="582"/>
      <c r="E1665" s="583"/>
      <c r="F1665" s="584"/>
      <c r="G1665" s="584"/>
      <c r="H1665" s="582"/>
      <c r="I1665" s="585"/>
      <c r="J1665" s="586"/>
      <c r="K1665" s="584"/>
      <c r="L1665" s="584"/>
      <c r="M1665" s="584"/>
      <c r="N1665" s="584"/>
      <c r="O1665" s="583"/>
      <c r="P1665" s="584"/>
    </row>
    <row r="1666" spans="1:16" ht="15.75">
      <c r="A1666" s="587"/>
      <c r="B1666" s="587"/>
      <c r="C1666" s="587"/>
      <c r="D1666" s="588"/>
      <c r="E1666" s="589"/>
      <c r="F1666" s="590"/>
      <c r="G1666" s="590"/>
      <c r="H1666" s="588"/>
      <c r="I1666" s="591"/>
      <c r="J1666" s="592"/>
      <c r="K1666" s="590"/>
      <c r="L1666" s="590"/>
      <c r="M1666" s="590"/>
      <c r="N1666" s="590"/>
      <c r="O1666" s="589"/>
      <c r="P1666" s="590"/>
    </row>
    <row r="1667" spans="1:16" ht="15.75">
      <c r="A1667" s="581"/>
      <c r="B1667" s="581"/>
      <c r="C1667" s="581"/>
      <c r="D1667" s="582"/>
      <c r="E1667" s="583"/>
      <c r="F1667" s="584"/>
      <c r="G1667" s="584"/>
      <c r="H1667" s="582"/>
      <c r="I1667" s="585"/>
      <c r="J1667" s="586"/>
      <c r="K1667" s="584"/>
      <c r="L1667" s="584"/>
      <c r="M1667" s="584"/>
      <c r="N1667" s="584"/>
      <c r="O1667" s="583"/>
      <c r="P1667" s="584"/>
    </row>
    <row r="1668" spans="1:16" ht="15.75">
      <c r="A1668" s="587"/>
      <c r="B1668" s="587"/>
      <c r="C1668" s="587"/>
      <c r="D1668" s="588"/>
      <c r="E1668" s="589"/>
      <c r="F1668" s="590"/>
      <c r="G1668" s="590"/>
      <c r="H1668" s="588"/>
      <c r="I1668" s="591"/>
      <c r="J1668" s="592"/>
      <c r="K1668" s="590"/>
      <c r="L1668" s="590"/>
      <c r="M1668" s="590"/>
      <c r="N1668" s="590"/>
      <c r="O1668" s="589"/>
      <c r="P1668" s="590"/>
    </row>
    <row r="1669" spans="1:16" ht="15.75">
      <c r="A1669" s="581"/>
      <c r="B1669" s="581"/>
      <c r="C1669" s="581"/>
      <c r="D1669" s="582"/>
      <c r="E1669" s="583"/>
      <c r="F1669" s="584"/>
      <c r="G1669" s="584"/>
      <c r="H1669" s="582"/>
      <c r="I1669" s="585"/>
      <c r="J1669" s="586"/>
      <c r="K1669" s="584"/>
      <c r="L1669" s="584"/>
      <c r="M1669" s="584"/>
      <c r="N1669" s="584"/>
      <c r="O1669" s="583"/>
      <c r="P1669" s="584"/>
    </row>
    <row r="1670" spans="1:16" ht="15.75">
      <c r="A1670" s="587"/>
      <c r="B1670" s="587"/>
      <c r="C1670" s="587"/>
      <c r="D1670" s="588"/>
      <c r="E1670" s="589"/>
      <c r="F1670" s="590"/>
      <c r="G1670" s="590"/>
      <c r="H1670" s="588"/>
      <c r="I1670" s="591"/>
      <c r="J1670" s="592"/>
      <c r="K1670" s="590"/>
      <c r="L1670" s="590"/>
      <c r="M1670" s="590"/>
      <c r="N1670" s="590"/>
      <c r="O1670" s="589"/>
      <c r="P1670" s="590"/>
    </row>
    <row r="1671" spans="1:16" ht="15.75">
      <c r="A1671" s="581"/>
      <c r="B1671" s="581"/>
      <c r="C1671" s="581"/>
      <c r="D1671" s="582"/>
      <c r="E1671" s="583"/>
      <c r="F1671" s="584"/>
      <c r="G1671" s="584"/>
      <c r="H1671" s="582"/>
      <c r="I1671" s="585"/>
      <c r="J1671" s="586"/>
      <c r="K1671" s="584"/>
      <c r="L1671" s="584"/>
      <c r="M1671" s="584"/>
      <c r="N1671" s="584"/>
      <c r="O1671" s="583"/>
      <c r="P1671" s="584"/>
    </row>
    <row r="1672" spans="1:16" ht="15.75">
      <c r="A1672" s="587"/>
      <c r="B1672" s="587"/>
      <c r="C1672" s="587"/>
      <c r="D1672" s="588"/>
      <c r="E1672" s="589"/>
      <c r="F1672" s="590"/>
      <c r="G1672" s="590"/>
      <c r="H1672" s="588"/>
      <c r="I1672" s="591"/>
      <c r="J1672" s="592"/>
      <c r="K1672" s="590"/>
      <c r="L1672" s="590"/>
      <c r="M1672" s="590"/>
      <c r="N1672" s="590"/>
      <c r="O1672" s="589"/>
      <c r="P1672" s="590"/>
    </row>
    <row r="1673" spans="1:16" ht="15.75">
      <c r="A1673" s="581"/>
      <c r="B1673" s="581"/>
      <c r="C1673" s="581"/>
      <c r="D1673" s="582"/>
      <c r="E1673" s="583"/>
      <c r="F1673" s="584"/>
      <c r="G1673" s="584"/>
      <c r="H1673" s="582"/>
      <c r="I1673" s="585"/>
      <c r="J1673" s="586"/>
      <c r="K1673" s="584"/>
      <c r="L1673" s="584"/>
      <c r="M1673" s="584"/>
      <c r="N1673" s="584"/>
      <c r="O1673" s="583"/>
      <c r="P1673" s="584"/>
    </row>
    <row r="1674" spans="1:16" ht="15.75">
      <c r="A1674" s="587"/>
      <c r="B1674" s="587"/>
      <c r="C1674" s="587"/>
      <c r="D1674" s="588"/>
      <c r="E1674" s="589"/>
      <c r="F1674" s="590"/>
      <c r="G1674" s="590"/>
      <c r="H1674" s="588"/>
      <c r="I1674" s="591"/>
      <c r="J1674" s="592"/>
      <c r="K1674" s="590"/>
      <c r="L1674" s="590"/>
      <c r="M1674" s="590"/>
      <c r="N1674" s="590"/>
      <c r="O1674" s="589"/>
      <c r="P1674" s="590"/>
    </row>
    <row r="1675" spans="1:16" ht="15.75">
      <c r="A1675" s="581"/>
      <c r="B1675" s="581"/>
      <c r="C1675" s="581"/>
      <c r="D1675" s="582"/>
      <c r="E1675" s="583"/>
      <c r="F1675" s="584"/>
      <c r="G1675" s="584"/>
      <c r="H1675" s="582"/>
      <c r="I1675" s="585"/>
      <c r="J1675" s="586"/>
      <c r="K1675" s="584"/>
      <c r="L1675" s="584"/>
      <c r="M1675" s="584"/>
      <c r="N1675" s="584"/>
      <c r="O1675" s="583"/>
      <c r="P1675" s="584"/>
    </row>
    <row r="1676" spans="1:16" ht="15.75">
      <c r="A1676" s="587"/>
      <c r="B1676" s="587"/>
      <c r="C1676" s="587"/>
      <c r="D1676" s="588"/>
      <c r="E1676" s="589"/>
      <c r="F1676" s="590"/>
      <c r="G1676" s="590"/>
      <c r="H1676" s="588"/>
      <c r="I1676" s="591"/>
      <c r="J1676" s="592"/>
      <c r="K1676" s="590"/>
      <c r="L1676" s="590"/>
      <c r="M1676" s="590"/>
      <c r="N1676" s="590"/>
      <c r="O1676" s="589"/>
      <c r="P1676" s="590"/>
    </row>
    <row r="1677" spans="1:16" ht="15.75">
      <c r="A1677" s="581"/>
      <c r="B1677" s="581"/>
      <c r="C1677" s="581"/>
      <c r="D1677" s="582"/>
      <c r="E1677" s="583"/>
      <c r="F1677" s="584"/>
      <c r="G1677" s="584"/>
      <c r="H1677" s="582"/>
      <c r="I1677" s="585"/>
      <c r="J1677" s="586"/>
      <c r="K1677" s="584"/>
      <c r="L1677" s="584"/>
      <c r="M1677" s="584"/>
      <c r="N1677" s="584"/>
      <c r="O1677" s="583"/>
      <c r="P1677" s="584"/>
    </row>
    <row r="1678" spans="1:16" ht="15.75">
      <c r="A1678" s="587"/>
      <c r="B1678" s="587"/>
      <c r="C1678" s="587"/>
      <c r="D1678" s="588"/>
      <c r="E1678" s="589"/>
      <c r="F1678" s="590"/>
      <c r="G1678" s="590"/>
      <c r="H1678" s="588"/>
      <c r="I1678" s="591"/>
      <c r="J1678" s="592"/>
      <c r="K1678" s="590"/>
      <c r="L1678" s="590"/>
      <c r="M1678" s="590"/>
      <c r="N1678" s="590"/>
      <c r="O1678" s="589"/>
      <c r="P1678" s="590"/>
    </row>
    <row r="1679" spans="1:16" ht="15.75">
      <c r="A1679" s="581"/>
      <c r="B1679" s="581"/>
      <c r="C1679" s="581"/>
      <c r="D1679" s="582"/>
      <c r="E1679" s="583"/>
      <c r="F1679" s="584"/>
      <c r="G1679" s="584"/>
      <c r="H1679" s="582"/>
      <c r="I1679" s="585"/>
      <c r="J1679" s="586"/>
      <c r="K1679" s="584"/>
      <c r="L1679" s="584"/>
      <c r="M1679" s="584"/>
      <c r="N1679" s="584"/>
      <c r="O1679" s="583"/>
      <c r="P1679" s="584"/>
    </row>
    <row r="1680" spans="1:16" ht="15.75">
      <c r="A1680" s="587"/>
      <c r="B1680" s="587"/>
      <c r="C1680" s="587"/>
      <c r="D1680" s="588"/>
      <c r="E1680" s="589"/>
      <c r="F1680" s="590"/>
      <c r="G1680" s="590"/>
      <c r="H1680" s="588"/>
      <c r="I1680" s="591"/>
      <c r="J1680" s="592"/>
      <c r="K1680" s="590"/>
      <c r="L1680" s="590"/>
      <c r="M1680" s="590"/>
      <c r="N1680" s="590"/>
      <c r="O1680" s="589"/>
      <c r="P1680" s="590"/>
    </row>
    <row r="1681" spans="1:16" ht="15.75">
      <c r="A1681" s="581"/>
      <c r="B1681" s="581"/>
      <c r="C1681" s="581"/>
      <c r="D1681" s="582"/>
      <c r="E1681" s="583"/>
      <c r="F1681" s="584"/>
      <c r="G1681" s="584"/>
      <c r="H1681" s="582"/>
      <c r="I1681" s="585"/>
      <c r="J1681" s="586"/>
      <c r="K1681" s="584"/>
      <c r="L1681" s="584"/>
      <c r="M1681" s="584"/>
      <c r="N1681" s="584"/>
      <c r="O1681" s="583"/>
      <c r="P1681" s="584"/>
    </row>
    <row r="1682" spans="1:16" ht="15.75">
      <c r="A1682" s="587"/>
      <c r="B1682" s="587"/>
      <c r="C1682" s="587"/>
      <c r="D1682" s="588"/>
      <c r="E1682" s="589"/>
      <c r="F1682" s="590"/>
      <c r="G1682" s="590"/>
      <c r="H1682" s="588"/>
      <c r="I1682" s="591"/>
      <c r="J1682" s="592"/>
      <c r="K1682" s="590"/>
      <c r="L1682" s="590"/>
      <c r="M1682" s="590"/>
      <c r="N1682" s="590"/>
      <c r="O1682" s="589"/>
      <c r="P1682" s="590"/>
    </row>
    <row r="1683" spans="1:16" ht="15.75">
      <c r="A1683" s="581"/>
      <c r="B1683" s="581"/>
      <c r="C1683" s="581"/>
      <c r="D1683" s="582"/>
      <c r="E1683" s="583"/>
      <c r="F1683" s="584"/>
      <c r="G1683" s="584"/>
      <c r="H1683" s="582"/>
      <c r="I1683" s="585"/>
      <c r="J1683" s="586"/>
      <c r="K1683" s="584"/>
      <c r="L1683" s="584"/>
      <c r="M1683" s="584"/>
      <c r="N1683" s="584"/>
      <c r="O1683" s="583"/>
      <c r="P1683" s="584"/>
    </row>
    <row r="1684" spans="1:16" ht="15.75">
      <c r="A1684" s="587"/>
      <c r="B1684" s="587"/>
      <c r="C1684" s="587"/>
      <c r="D1684" s="588"/>
      <c r="E1684" s="589"/>
      <c r="F1684" s="590"/>
      <c r="G1684" s="590"/>
      <c r="H1684" s="588"/>
      <c r="I1684" s="591"/>
      <c r="J1684" s="592"/>
      <c r="K1684" s="590"/>
      <c r="L1684" s="590"/>
      <c r="M1684" s="590"/>
      <c r="N1684" s="590"/>
      <c r="O1684" s="589"/>
      <c r="P1684" s="590"/>
    </row>
    <row r="1685" spans="1:16" ht="15.75">
      <c r="A1685" s="581"/>
      <c r="B1685" s="581"/>
      <c r="C1685" s="581"/>
      <c r="D1685" s="582"/>
      <c r="E1685" s="583"/>
      <c r="F1685" s="584"/>
      <c r="G1685" s="584"/>
      <c r="H1685" s="582"/>
      <c r="I1685" s="585"/>
      <c r="J1685" s="586"/>
      <c r="K1685" s="584"/>
      <c r="L1685" s="584"/>
      <c r="M1685" s="584"/>
      <c r="N1685" s="584"/>
      <c r="O1685" s="583"/>
      <c r="P1685" s="584"/>
    </row>
    <row r="1686" spans="1:16" ht="15.75">
      <c r="A1686" s="587"/>
      <c r="B1686" s="587"/>
      <c r="C1686" s="587"/>
      <c r="D1686" s="588"/>
      <c r="E1686" s="589"/>
      <c r="F1686" s="590"/>
      <c r="G1686" s="590"/>
      <c r="H1686" s="588"/>
      <c r="I1686" s="591"/>
      <c r="J1686" s="592"/>
      <c r="K1686" s="590"/>
      <c r="L1686" s="590"/>
      <c r="M1686" s="590"/>
      <c r="N1686" s="590"/>
      <c r="O1686" s="589"/>
      <c r="P1686" s="590"/>
    </row>
    <row r="1687" spans="1:16" ht="15.75">
      <c r="A1687" s="581"/>
      <c r="B1687" s="581"/>
      <c r="C1687" s="581"/>
      <c r="D1687" s="582"/>
      <c r="E1687" s="583"/>
      <c r="F1687" s="584"/>
      <c r="G1687" s="584"/>
      <c r="H1687" s="582"/>
      <c r="I1687" s="585"/>
      <c r="J1687" s="586"/>
      <c r="K1687" s="584"/>
      <c r="L1687" s="584"/>
      <c r="M1687" s="584"/>
      <c r="N1687" s="584"/>
      <c r="O1687" s="583"/>
      <c r="P1687" s="584"/>
    </row>
    <row r="1688" spans="1:16" ht="15.75">
      <c r="A1688" s="587"/>
      <c r="B1688" s="587"/>
      <c r="C1688" s="587"/>
      <c r="D1688" s="588"/>
      <c r="E1688" s="589"/>
      <c r="F1688" s="590"/>
      <c r="G1688" s="590"/>
      <c r="H1688" s="588"/>
      <c r="I1688" s="591"/>
      <c r="J1688" s="592"/>
      <c r="K1688" s="590"/>
      <c r="L1688" s="590"/>
      <c r="M1688" s="590"/>
      <c r="N1688" s="590"/>
      <c r="O1688" s="589"/>
      <c r="P1688" s="590"/>
    </row>
    <row r="1689" spans="1:16" ht="15.75">
      <c r="A1689" s="581"/>
      <c r="B1689" s="581"/>
      <c r="C1689" s="581"/>
      <c r="D1689" s="582"/>
      <c r="E1689" s="583"/>
      <c r="F1689" s="584"/>
      <c r="G1689" s="584"/>
      <c r="H1689" s="582"/>
      <c r="I1689" s="585"/>
      <c r="J1689" s="586"/>
      <c r="K1689" s="584"/>
      <c r="L1689" s="584"/>
      <c r="M1689" s="584"/>
      <c r="N1689" s="584"/>
      <c r="O1689" s="583"/>
      <c r="P1689" s="584"/>
    </row>
    <row r="1690" spans="1:16" ht="15.75">
      <c r="A1690" s="587"/>
      <c r="B1690" s="587"/>
      <c r="C1690" s="587"/>
      <c r="D1690" s="588"/>
      <c r="E1690" s="589"/>
      <c r="F1690" s="590"/>
      <c r="G1690" s="590"/>
      <c r="H1690" s="588"/>
      <c r="I1690" s="591"/>
      <c r="J1690" s="592"/>
      <c r="K1690" s="590"/>
      <c r="L1690" s="590"/>
      <c r="M1690" s="590"/>
      <c r="N1690" s="590"/>
      <c r="O1690" s="589"/>
      <c r="P1690" s="590"/>
    </row>
    <row r="1691" spans="1:16" ht="15.75">
      <c r="A1691" s="581"/>
      <c r="B1691" s="581"/>
      <c r="C1691" s="581"/>
      <c r="D1691" s="582"/>
      <c r="E1691" s="583"/>
      <c r="F1691" s="584"/>
      <c r="G1691" s="584"/>
      <c r="H1691" s="582"/>
      <c r="I1691" s="585"/>
      <c r="J1691" s="586"/>
      <c r="K1691" s="584"/>
      <c r="L1691" s="584"/>
      <c r="M1691" s="584"/>
      <c r="N1691" s="584"/>
      <c r="O1691" s="583"/>
      <c r="P1691" s="584"/>
    </row>
    <row r="1692" spans="1:16" ht="15.75">
      <c r="A1692" s="587"/>
      <c r="B1692" s="587"/>
      <c r="C1692" s="587"/>
      <c r="D1692" s="588"/>
      <c r="E1692" s="589"/>
      <c r="F1692" s="590"/>
      <c r="G1692" s="590"/>
      <c r="H1692" s="588"/>
      <c r="I1692" s="591"/>
      <c r="J1692" s="592"/>
      <c r="K1692" s="590"/>
      <c r="L1692" s="590"/>
      <c r="M1692" s="590"/>
      <c r="N1692" s="590"/>
      <c r="O1692" s="589"/>
      <c r="P1692" s="590"/>
    </row>
    <row r="1693" spans="1:16" ht="15.75">
      <c r="A1693" s="581"/>
      <c r="B1693" s="581"/>
      <c r="C1693" s="581"/>
      <c r="D1693" s="582"/>
      <c r="E1693" s="583"/>
      <c r="F1693" s="584"/>
      <c r="G1693" s="584"/>
      <c r="H1693" s="582"/>
      <c r="I1693" s="585"/>
      <c r="J1693" s="586"/>
      <c r="K1693" s="584"/>
      <c r="L1693" s="584"/>
      <c r="M1693" s="584"/>
      <c r="N1693" s="584"/>
      <c r="O1693" s="583"/>
      <c r="P1693" s="584"/>
    </row>
    <row r="1694" spans="1:16" ht="15.75">
      <c r="A1694" s="587"/>
      <c r="B1694" s="587"/>
      <c r="C1694" s="587"/>
      <c r="D1694" s="588"/>
      <c r="E1694" s="589"/>
      <c r="F1694" s="590"/>
      <c r="G1694" s="590"/>
      <c r="H1694" s="588"/>
      <c r="I1694" s="591"/>
      <c r="J1694" s="592"/>
      <c r="K1694" s="590"/>
      <c r="L1694" s="590"/>
      <c r="M1694" s="590"/>
      <c r="N1694" s="590"/>
      <c r="O1694" s="589"/>
      <c r="P1694" s="590"/>
    </row>
    <row r="1695" spans="1:16" ht="15.75">
      <c r="A1695" s="581"/>
      <c r="B1695" s="581"/>
      <c r="C1695" s="581"/>
      <c r="D1695" s="582"/>
      <c r="E1695" s="583"/>
      <c r="F1695" s="584"/>
      <c r="G1695" s="584"/>
      <c r="H1695" s="582"/>
      <c r="I1695" s="585"/>
      <c r="J1695" s="586"/>
      <c r="K1695" s="584"/>
      <c r="L1695" s="584"/>
      <c r="M1695" s="584"/>
      <c r="N1695" s="584"/>
      <c r="O1695" s="583"/>
      <c r="P1695" s="584"/>
    </row>
    <row r="1696" spans="1:16" ht="15.75">
      <c r="A1696" s="587"/>
      <c r="B1696" s="587"/>
      <c r="C1696" s="587"/>
      <c r="D1696" s="588"/>
      <c r="E1696" s="589"/>
      <c r="F1696" s="590"/>
      <c r="G1696" s="590"/>
      <c r="H1696" s="588"/>
      <c r="I1696" s="591"/>
      <c r="J1696" s="592"/>
      <c r="K1696" s="590"/>
      <c r="L1696" s="590"/>
      <c r="M1696" s="590"/>
      <c r="N1696" s="590"/>
      <c r="O1696" s="589"/>
      <c r="P1696" s="590"/>
    </row>
    <row r="1697" spans="1:16" ht="15.75">
      <c r="A1697" s="581"/>
      <c r="B1697" s="581"/>
      <c r="C1697" s="581"/>
      <c r="D1697" s="582"/>
      <c r="E1697" s="583"/>
      <c r="F1697" s="584"/>
      <c r="G1697" s="584"/>
      <c r="H1697" s="582"/>
      <c r="I1697" s="585"/>
      <c r="J1697" s="586"/>
      <c r="K1697" s="584"/>
      <c r="L1697" s="584"/>
      <c r="M1697" s="584"/>
      <c r="N1697" s="584"/>
      <c r="O1697" s="583"/>
      <c r="P1697" s="584"/>
    </row>
    <row r="1698" spans="1:16" ht="15.75">
      <c r="A1698" s="587"/>
      <c r="B1698" s="587"/>
      <c r="C1698" s="587"/>
      <c r="D1698" s="588"/>
      <c r="E1698" s="589"/>
      <c r="F1698" s="590"/>
      <c r="G1698" s="590"/>
      <c r="H1698" s="588"/>
      <c r="I1698" s="591"/>
      <c r="J1698" s="592"/>
      <c r="K1698" s="590"/>
      <c r="L1698" s="590"/>
      <c r="M1698" s="590"/>
      <c r="N1698" s="590"/>
      <c r="O1698" s="589"/>
      <c r="P1698" s="590"/>
    </row>
    <row r="1699" spans="1:16" ht="15.75">
      <c r="A1699" s="581"/>
      <c r="B1699" s="581"/>
      <c r="C1699" s="581"/>
      <c r="D1699" s="582"/>
      <c r="E1699" s="583"/>
      <c r="F1699" s="584"/>
      <c r="G1699" s="584"/>
      <c r="H1699" s="582"/>
      <c r="I1699" s="585"/>
      <c r="J1699" s="586"/>
      <c r="K1699" s="584"/>
      <c r="L1699" s="584"/>
      <c r="M1699" s="584"/>
      <c r="N1699" s="584"/>
      <c r="O1699" s="583"/>
      <c r="P1699" s="584"/>
    </row>
    <row r="1700" spans="1:16" ht="15.75">
      <c r="A1700" s="587"/>
      <c r="B1700" s="587"/>
      <c r="C1700" s="587"/>
      <c r="D1700" s="588"/>
      <c r="E1700" s="589"/>
      <c r="F1700" s="590"/>
      <c r="G1700" s="590"/>
      <c r="H1700" s="588"/>
      <c r="I1700" s="591"/>
      <c r="J1700" s="592"/>
      <c r="K1700" s="590"/>
      <c r="L1700" s="590"/>
      <c r="M1700" s="590"/>
      <c r="N1700" s="590"/>
      <c r="O1700" s="589"/>
      <c r="P1700" s="590"/>
    </row>
    <row r="1701" spans="1:16" ht="15.75">
      <c r="A1701" s="581"/>
      <c r="B1701" s="581"/>
      <c r="C1701" s="581"/>
      <c r="D1701" s="582"/>
      <c r="E1701" s="583"/>
      <c r="F1701" s="584"/>
      <c r="G1701" s="584"/>
      <c r="H1701" s="582"/>
      <c r="I1701" s="585"/>
      <c r="J1701" s="586"/>
      <c r="K1701" s="584"/>
      <c r="L1701" s="584"/>
      <c r="M1701" s="584"/>
      <c r="N1701" s="584"/>
      <c r="O1701" s="583"/>
      <c r="P1701" s="584"/>
    </row>
    <row r="1702" spans="1:16" ht="15.75">
      <c r="A1702" s="587"/>
      <c r="B1702" s="587"/>
      <c r="C1702" s="587"/>
      <c r="D1702" s="588"/>
      <c r="E1702" s="589"/>
      <c r="F1702" s="590"/>
      <c r="G1702" s="590"/>
      <c r="H1702" s="588"/>
      <c r="I1702" s="591"/>
      <c r="J1702" s="592"/>
      <c r="K1702" s="590"/>
      <c r="L1702" s="590"/>
      <c r="M1702" s="590"/>
      <c r="N1702" s="590"/>
      <c r="O1702" s="589"/>
      <c r="P1702" s="590"/>
    </row>
    <row r="1703" spans="1:16" ht="15.75">
      <c r="A1703" s="581"/>
      <c r="B1703" s="581"/>
      <c r="C1703" s="581"/>
      <c r="D1703" s="582"/>
      <c r="E1703" s="583"/>
      <c r="F1703" s="584"/>
      <c r="G1703" s="584"/>
      <c r="H1703" s="582"/>
      <c r="I1703" s="585"/>
      <c r="J1703" s="586"/>
      <c r="K1703" s="584"/>
      <c r="L1703" s="584"/>
      <c r="M1703" s="584"/>
      <c r="N1703" s="584"/>
      <c r="O1703" s="583"/>
      <c r="P1703" s="584"/>
    </row>
    <row r="1704" spans="1:16" ht="15.75">
      <c r="A1704" s="587"/>
      <c r="B1704" s="587"/>
      <c r="C1704" s="587"/>
      <c r="D1704" s="588"/>
      <c r="E1704" s="589"/>
      <c r="F1704" s="590"/>
      <c r="G1704" s="590"/>
      <c r="H1704" s="588"/>
      <c r="I1704" s="591"/>
      <c r="J1704" s="592"/>
      <c r="K1704" s="590"/>
      <c r="L1704" s="590"/>
      <c r="M1704" s="590"/>
      <c r="N1704" s="590"/>
      <c r="O1704" s="589"/>
      <c r="P1704" s="590"/>
    </row>
    <row r="1705" spans="1:16" ht="15.75">
      <c r="A1705" s="581"/>
      <c r="B1705" s="581"/>
      <c r="C1705" s="581"/>
      <c r="D1705" s="582"/>
      <c r="E1705" s="583"/>
      <c r="F1705" s="584"/>
      <c r="G1705" s="584"/>
      <c r="H1705" s="582"/>
      <c r="I1705" s="585"/>
      <c r="J1705" s="586"/>
      <c r="K1705" s="584"/>
      <c r="L1705" s="584"/>
      <c r="M1705" s="584"/>
      <c r="N1705" s="584"/>
      <c r="O1705" s="583"/>
      <c r="P1705" s="584"/>
    </row>
    <row r="1706" spans="1:16" ht="15.75">
      <c r="A1706" s="587"/>
      <c r="B1706" s="587"/>
      <c r="C1706" s="587"/>
      <c r="D1706" s="588"/>
      <c r="E1706" s="589"/>
      <c r="F1706" s="590"/>
      <c r="G1706" s="590"/>
      <c r="H1706" s="588"/>
      <c r="I1706" s="591"/>
      <c r="J1706" s="592"/>
      <c r="K1706" s="590"/>
      <c r="L1706" s="590"/>
      <c r="M1706" s="590"/>
      <c r="N1706" s="590"/>
      <c r="O1706" s="589"/>
      <c r="P1706" s="590"/>
    </row>
    <row r="1707" spans="1:16" ht="15.75">
      <c r="A1707" s="581"/>
      <c r="B1707" s="581"/>
      <c r="C1707" s="581"/>
      <c r="D1707" s="582"/>
      <c r="E1707" s="583"/>
      <c r="F1707" s="584"/>
      <c r="G1707" s="584"/>
      <c r="H1707" s="582"/>
      <c r="I1707" s="585"/>
      <c r="J1707" s="586"/>
      <c r="K1707" s="584"/>
      <c r="L1707" s="584"/>
      <c r="M1707" s="584"/>
      <c r="N1707" s="584"/>
      <c r="O1707" s="583"/>
      <c r="P1707" s="584"/>
    </row>
    <row r="1708" spans="1:16" ht="15.75">
      <c r="A1708" s="587"/>
      <c r="B1708" s="587"/>
      <c r="C1708" s="587"/>
      <c r="D1708" s="588"/>
      <c r="E1708" s="589"/>
      <c r="F1708" s="590"/>
      <c r="G1708" s="590"/>
      <c r="H1708" s="588"/>
      <c r="I1708" s="591"/>
      <c r="J1708" s="592"/>
      <c r="K1708" s="590"/>
      <c r="L1708" s="590"/>
      <c r="M1708" s="590"/>
      <c r="N1708" s="590"/>
      <c r="O1708" s="589"/>
      <c r="P1708" s="590"/>
    </row>
    <row r="1709" spans="1:16" ht="15.75">
      <c r="A1709" s="581"/>
      <c r="B1709" s="581"/>
      <c r="C1709" s="581"/>
      <c r="D1709" s="582"/>
      <c r="E1709" s="583"/>
      <c r="F1709" s="584"/>
      <c r="G1709" s="584"/>
      <c r="H1709" s="582"/>
      <c r="I1709" s="585"/>
      <c r="J1709" s="586"/>
      <c r="K1709" s="584"/>
      <c r="L1709" s="584"/>
      <c r="M1709" s="584"/>
      <c r="N1709" s="584"/>
      <c r="O1709" s="583"/>
      <c r="P1709" s="584"/>
    </row>
    <row r="1710" spans="1:16" ht="15.75">
      <c r="A1710" s="587"/>
      <c r="B1710" s="587"/>
      <c r="C1710" s="587"/>
      <c r="D1710" s="588"/>
      <c r="E1710" s="589"/>
      <c r="F1710" s="590"/>
      <c r="G1710" s="590"/>
      <c r="H1710" s="588"/>
      <c r="I1710" s="591"/>
      <c r="J1710" s="592"/>
      <c r="K1710" s="590"/>
      <c r="L1710" s="590"/>
      <c r="M1710" s="590"/>
      <c r="N1710" s="590"/>
      <c r="O1710" s="589"/>
      <c r="P1710" s="590"/>
    </row>
    <row r="1711" spans="1:16" ht="15.75">
      <c r="A1711" s="581"/>
      <c r="B1711" s="581"/>
      <c r="C1711" s="581"/>
      <c r="D1711" s="582"/>
      <c r="E1711" s="583"/>
      <c r="F1711" s="584"/>
      <c r="G1711" s="584"/>
      <c r="H1711" s="582"/>
      <c r="I1711" s="585"/>
      <c r="J1711" s="586"/>
      <c r="K1711" s="584"/>
      <c r="L1711" s="584"/>
      <c r="M1711" s="584"/>
      <c r="N1711" s="584"/>
      <c r="O1711" s="583"/>
      <c r="P1711" s="584"/>
    </row>
    <row r="1712" spans="1:16" ht="15.75">
      <c r="A1712" s="587"/>
      <c r="B1712" s="587"/>
      <c r="C1712" s="587"/>
      <c r="D1712" s="588"/>
      <c r="E1712" s="589"/>
      <c r="F1712" s="590"/>
      <c r="G1712" s="590"/>
      <c r="H1712" s="588"/>
      <c r="I1712" s="591"/>
      <c r="J1712" s="592"/>
      <c r="K1712" s="590"/>
      <c r="L1712" s="590"/>
      <c r="M1712" s="590"/>
      <c r="N1712" s="590"/>
      <c r="O1712" s="589"/>
      <c r="P1712" s="590"/>
    </row>
    <row r="1713" spans="1:16" ht="15.75">
      <c r="A1713" s="581"/>
      <c r="B1713" s="581"/>
      <c r="C1713" s="581"/>
      <c r="D1713" s="582"/>
      <c r="E1713" s="583"/>
      <c r="F1713" s="584"/>
      <c r="G1713" s="584"/>
      <c r="H1713" s="582"/>
      <c r="I1713" s="585"/>
      <c r="J1713" s="586"/>
      <c r="K1713" s="584"/>
      <c r="L1713" s="584"/>
      <c r="M1713" s="584"/>
      <c r="N1713" s="584"/>
      <c r="O1713" s="583"/>
      <c r="P1713" s="584"/>
    </row>
    <row r="1714" spans="1:16" ht="15.75">
      <c r="A1714" s="587"/>
      <c r="B1714" s="587"/>
      <c r="C1714" s="587"/>
      <c r="D1714" s="588"/>
      <c r="E1714" s="589"/>
      <c r="F1714" s="590"/>
      <c r="G1714" s="590"/>
      <c r="H1714" s="588"/>
      <c r="I1714" s="591"/>
      <c r="J1714" s="592"/>
      <c r="K1714" s="590"/>
      <c r="L1714" s="590"/>
      <c r="M1714" s="590"/>
      <c r="N1714" s="590"/>
      <c r="O1714" s="589"/>
      <c r="P1714" s="590"/>
    </row>
    <row r="1715" spans="1:16" ht="15.75">
      <c r="A1715" s="581"/>
      <c r="B1715" s="581"/>
      <c r="C1715" s="581"/>
      <c r="D1715" s="582"/>
      <c r="E1715" s="583"/>
      <c r="F1715" s="584"/>
      <c r="G1715" s="584"/>
      <c r="H1715" s="582"/>
      <c r="I1715" s="585"/>
      <c r="J1715" s="586"/>
      <c r="K1715" s="584"/>
      <c r="L1715" s="584"/>
      <c r="M1715" s="584"/>
      <c r="N1715" s="584"/>
      <c r="O1715" s="583"/>
      <c r="P1715" s="584"/>
    </row>
    <row r="1716" spans="1:16" ht="15.75">
      <c r="A1716" s="587"/>
      <c r="B1716" s="587"/>
      <c r="C1716" s="587"/>
      <c r="D1716" s="588"/>
      <c r="E1716" s="589"/>
      <c r="F1716" s="590"/>
      <c r="G1716" s="590"/>
      <c r="H1716" s="588"/>
      <c r="I1716" s="591"/>
      <c r="J1716" s="592"/>
      <c r="K1716" s="590"/>
      <c r="L1716" s="590"/>
      <c r="M1716" s="590"/>
      <c r="N1716" s="590"/>
      <c r="O1716" s="589"/>
      <c r="P1716" s="590"/>
    </row>
    <row r="1717" spans="1:16" ht="15.75">
      <c r="A1717" s="581"/>
      <c r="B1717" s="581"/>
      <c r="C1717" s="581"/>
      <c r="D1717" s="582"/>
      <c r="E1717" s="583"/>
      <c r="F1717" s="584"/>
      <c r="G1717" s="584"/>
      <c r="H1717" s="582"/>
      <c r="I1717" s="585"/>
      <c r="J1717" s="586"/>
      <c r="K1717" s="584"/>
      <c r="L1717" s="584"/>
      <c r="M1717" s="584"/>
      <c r="N1717" s="584"/>
      <c r="O1717" s="583"/>
      <c r="P1717" s="584"/>
    </row>
    <row r="1718" spans="1:16" ht="15.75">
      <c r="A1718" s="587"/>
      <c r="B1718" s="587"/>
      <c r="C1718" s="587"/>
      <c r="D1718" s="588"/>
      <c r="E1718" s="589"/>
      <c r="F1718" s="590"/>
      <c r="G1718" s="590"/>
      <c r="H1718" s="588"/>
      <c r="I1718" s="591"/>
      <c r="J1718" s="592"/>
      <c r="K1718" s="590"/>
      <c r="L1718" s="590"/>
      <c r="M1718" s="590"/>
      <c r="N1718" s="590"/>
      <c r="O1718" s="589"/>
      <c r="P1718" s="590"/>
    </row>
    <row r="1719" spans="1:16" ht="15.75">
      <c r="A1719" s="581"/>
      <c r="B1719" s="581"/>
      <c r="C1719" s="581"/>
      <c r="D1719" s="582"/>
      <c r="E1719" s="583"/>
      <c r="F1719" s="584"/>
      <c r="G1719" s="584"/>
      <c r="H1719" s="582"/>
      <c r="I1719" s="585"/>
      <c r="J1719" s="586"/>
      <c r="K1719" s="584"/>
      <c r="L1719" s="584"/>
      <c r="M1719" s="584"/>
      <c r="N1719" s="584"/>
      <c r="O1719" s="583"/>
      <c r="P1719" s="584"/>
    </row>
    <row r="1720" spans="1:16" ht="15.75">
      <c r="A1720" s="587"/>
      <c r="B1720" s="587"/>
      <c r="C1720" s="587"/>
      <c r="D1720" s="588"/>
      <c r="E1720" s="589"/>
      <c r="F1720" s="590"/>
      <c r="G1720" s="590"/>
      <c r="H1720" s="588"/>
      <c r="I1720" s="591"/>
      <c r="J1720" s="592"/>
      <c r="K1720" s="590"/>
      <c r="L1720" s="590"/>
      <c r="M1720" s="590"/>
      <c r="N1720" s="590"/>
      <c r="O1720" s="589"/>
      <c r="P1720" s="590"/>
    </row>
    <row r="1721" spans="1:16" ht="15.75">
      <c r="A1721" s="581"/>
      <c r="B1721" s="581"/>
      <c r="C1721" s="581"/>
      <c r="D1721" s="582"/>
      <c r="E1721" s="583"/>
      <c r="F1721" s="584"/>
      <c r="G1721" s="584"/>
      <c r="H1721" s="582"/>
      <c r="I1721" s="585"/>
      <c r="J1721" s="586"/>
      <c r="K1721" s="584"/>
      <c r="L1721" s="584"/>
      <c r="M1721" s="584"/>
      <c r="N1721" s="584"/>
      <c r="O1721" s="583"/>
      <c r="P1721" s="584"/>
    </row>
    <row r="1722" spans="1:16" ht="15.75">
      <c r="A1722" s="587"/>
      <c r="B1722" s="587"/>
      <c r="C1722" s="587"/>
      <c r="D1722" s="588"/>
      <c r="E1722" s="589"/>
      <c r="F1722" s="590"/>
      <c r="G1722" s="590"/>
      <c r="H1722" s="588"/>
      <c r="I1722" s="591"/>
      <c r="J1722" s="592"/>
      <c r="K1722" s="590"/>
      <c r="L1722" s="590"/>
      <c r="M1722" s="590"/>
      <c r="N1722" s="590"/>
      <c r="O1722" s="589"/>
      <c r="P1722" s="590"/>
    </row>
    <row r="1723" spans="1:16" ht="15.75">
      <c r="A1723" s="581"/>
      <c r="B1723" s="581"/>
      <c r="C1723" s="581"/>
      <c r="D1723" s="582"/>
      <c r="E1723" s="583"/>
      <c r="F1723" s="584"/>
      <c r="G1723" s="584"/>
      <c r="H1723" s="582"/>
      <c r="I1723" s="585"/>
      <c r="J1723" s="586"/>
      <c r="K1723" s="584"/>
      <c r="L1723" s="584"/>
      <c r="M1723" s="584"/>
      <c r="N1723" s="584"/>
      <c r="O1723" s="583"/>
      <c r="P1723" s="584"/>
    </row>
    <row r="1724" spans="1:16" ht="15.75">
      <c r="A1724" s="587"/>
      <c r="B1724" s="587"/>
      <c r="C1724" s="587"/>
      <c r="D1724" s="588"/>
      <c r="E1724" s="589"/>
      <c r="F1724" s="590"/>
      <c r="G1724" s="590"/>
      <c r="H1724" s="588"/>
      <c r="I1724" s="591"/>
      <c r="J1724" s="592"/>
      <c r="K1724" s="590"/>
      <c r="L1724" s="590"/>
      <c r="M1724" s="590"/>
      <c r="N1724" s="590"/>
      <c r="O1724" s="589"/>
      <c r="P1724" s="590"/>
    </row>
    <row r="1725" spans="1:16" ht="15.75">
      <c r="A1725" s="581"/>
      <c r="B1725" s="581"/>
      <c r="C1725" s="581"/>
      <c r="D1725" s="582"/>
      <c r="E1725" s="583"/>
      <c r="F1725" s="584"/>
      <c r="G1725" s="584"/>
      <c r="H1725" s="582"/>
      <c r="I1725" s="585"/>
      <c r="J1725" s="586"/>
      <c r="K1725" s="584"/>
      <c r="L1725" s="584"/>
      <c r="M1725" s="584"/>
      <c r="N1725" s="584"/>
      <c r="O1725" s="583"/>
      <c r="P1725" s="584"/>
    </row>
    <row r="1726" spans="1:16" ht="15.75">
      <c r="A1726" s="587"/>
      <c r="B1726" s="587"/>
      <c r="C1726" s="587"/>
      <c r="D1726" s="588"/>
      <c r="E1726" s="589"/>
      <c r="F1726" s="590"/>
      <c r="G1726" s="590"/>
      <c r="H1726" s="588"/>
      <c r="I1726" s="591"/>
      <c r="J1726" s="592"/>
      <c r="K1726" s="590"/>
      <c r="L1726" s="590"/>
      <c r="M1726" s="590"/>
      <c r="N1726" s="590"/>
      <c r="O1726" s="589"/>
      <c r="P1726" s="590"/>
    </row>
    <row r="1727" spans="1:16" ht="15.75">
      <c r="A1727" s="581"/>
      <c r="B1727" s="581"/>
      <c r="C1727" s="581"/>
      <c r="D1727" s="582"/>
      <c r="E1727" s="583"/>
      <c r="F1727" s="584"/>
      <c r="G1727" s="584"/>
      <c r="H1727" s="582"/>
      <c r="I1727" s="585"/>
      <c r="J1727" s="586"/>
      <c r="K1727" s="584"/>
      <c r="L1727" s="584"/>
      <c r="M1727" s="584"/>
      <c r="N1727" s="584"/>
      <c r="O1727" s="583"/>
      <c r="P1727" s="584"/>
    </row>
    <row r="1728" spans="1:16" ht="15.75">
      <c r="A1728" s="587"/>
      <c r="B1728" s="587"/>
      <c r="C1728" s="587"/>
      <c r="D1728" s="588"/>
      <c r="E1728" s="589"/>
      <c r="F1728" s="590"/>
      <c r="G1728" s="590"/>
      <c r="H1728" s="588"/>
      <c r="I1728" s="591"/>
      <c r="J1728" s="592"/>
      <c r="K1728" s="590"/>
      <c r="L1728" s="590"/>
      <c r="M1728" s="590"/>
      <c r="N1728" s="590"/>
      <c r="O1728" s="589"/>
      <c r="P1728" s="590"/>
    </row>
    <row r="1729" spans="1:16" ht="15.75">
      <c r="A1729" s="581"/>
      <c r="B1729" s="581"/>
      <c r="C1729" s="581"/>
      <c r="D1729" s="582"/>
      <c r="E1729" s="583"/>
      <c r="F1729" s="584"/>
      <c r="G1729" s="584"/>
      <c r="H1729" s="582"/>
      <c r="I1729" s="585"/>
      <c r="J1729" s="586"/>
      <c r="K1729" s="584"/>
      <c r="L1729" s="584"/>
      <c r="M1729" s="584"/>
      <c r="N1729" s="584"/>
      <c r="O1729" s="583"/>
      <c r="P1729" s="584"/>
    </row>
    <row r="1730" spans="1:16" ht="15.75">
      <c r="A1730" s="587"/>
      <c r="B1730" s="587"/>
      <c r="C1730" s="587"/>
      <c r="D1730" s="588"/>
      <c r="E1730" s="589"/>
      <c r="F1730" s="590"/>
      <c r="G1730" s="590"/>
      <c r="H1730" s="588"/>
      <c r="I1730" s="591"/>
      <c r="J1730" s="592"/>
      <c r="K1730" s="590"/>
      <c r="L1730" s="590"/>
      <c r="M1730" s="590"/>
      <c r="N1730" s="590"/>
      <c r="O1730" s="589"/>
      <c r="P1730" s="590"/>
    </row>
    <row r="1731" spans="1:16" ht="15.75">
      <c r="A1731" s="581"/>
      <c r="B1731" s="581"/>
      <c r="C1731" s="581"/>
      <c r="D1731" s="582"/>
      <c r="E1731" s="583"/>
      <c r="F1731" s="584"/>
      <c r="G1731" s="584"/>
      <c r="H1731" s="582"/>
      <c r="I1731" s="585"/>
      <c r="J1731" s="586"/>
      <c r="K1731" s="584"/>
      <c r="L1731" s="584"/>
      <c r="M1731" s="584"/>
      <c r="N1731" s="584"/>
      <c r="O1731" s="583"/>
      <c r="P1731" s="584"/>
    </row>
    <row r="1732" spans="1:16" ht="15.75">
      <c r="A1732" s="587"/>
      <c r="B1732" s="587"/>
      <c r="C1732" s="587"/>
      <c r="D1732" s="588"/>
      <c r="E1732" s="589"/>
      <c r="F1732" s="590"/>
      <c r="G1732" s="590"/>
      <c r="H1732" s="588"/>
      <c r="I1732" s="591"/>
      <c r="J1732" s="592"/>
      <c r="K1732" s="590"/>
      <c r="L1732" s="590"/>
      <c r="M1732" s="590"/>
      <c r="N1732" s="590"/>
      <c r="O1732" s="589"/>
      <c r="P1732" s="590"/>
    </row>
    <row r="1733" spans="1:16" ht="15.75">
      <c r="A1733" s="581"/>
      <c r="B1733" s="581"/>
      <c r="C1733" s="581"/>
      <c r="D1733" s="582"/>
      <c r="E1733" s="583"/>
      <c r="F1733" s="584"/>
      <c r="G1733" s="584"/>
      <c r="H1733" s="582"/>
      <c r="I1733" s="585"/>
      <c r="J1733" s="586"/>
      <c r="K1733" s="584"/>
      <c r="L1733" s="584"/>
      <c r="M1733" s="584"/>
      <c r="N1733" s="584"/>
      <c r="O1733" s="583"/>
      <c r="P1733" s="584"/>
    </row>
    <row r="1734" spans="1:16" ht="15.75">
      <c r="A1734" s="587"/>
      <c r="B1734" s="587"/>
      <c r="C1734" s="587"/>
      <c r="D1734" s="588"/>
      <c r="E1734" s="589"/>
      <c r="F1734" s="590"/>
      <c r="G1734" s="590"/>
      <c r="H1734" s="588"/>
      <c r="I1734" s="591"/>
      <c r="J1734" s="592"/>
      <c r="K1734" s="590"/>
      <c r="L1734" s="590"/>
      <c r="M1734" s="590"/>
      <c r="N1734" s="590"/>
      <c r="O1734" s="589"/>
      <c r="P1734" s="590"/>
    </row>
    <row r="1735" spans="1:16" ht="15.75">
      <c r="A1735" s="581"/>
      <c r="B1735" s="581"/>
      <c r="C1735" s="581"/>
      <c r="D1735" s="582"/>
      <c r="E1735" s="583"/>
      <c r="F1735" s="584"/>
      <c r="G1735" s="584"/>
      <c r="H1735" s="582"/>
      <c r="I1735" s="585"/>
      <c r="J1735" s="586"/>
      <c r="K1735" s="584"/>
      <c r="L1735" s="584"/>
      <c r="M1735" s="584"/>
      <c r="N1735" s="584"/>
      <c r="O1735" s="583"/>
      <c r="P1735" s="584"/>
    </row>
    <row r="1736" spans="1:16" ht="15.75">
      <c r="A1736" s="587"/>
      <c r="B1736" s="587"/>
      <c r="C1736" s="587"/>
      <c r="D1736" s="588"/>
      <c r="E1736" s="589"/>
      <c r="F1736" s="590"/>
      <c r="G1736" s="590"/>
      <c r="H1736" s="588"/>
      <c r="I1736" s="591"/>
      <c r="J1736" s="592"/>
      <c r="K1736" s="590"/>
      <c r="L1736" s="590"/>
      <c r="M1736" s="590"/>
      <c r="N1736" s="590"/>
      <c r="O1736" s="589"/>
      <c r="P1736" s="590"/>
    </row>
    <row r="1737" spans="1:16" ht="15.75">
      <c r="A1737" s="581"/>
      <c r="B1737" s="581"/>
      <c r="C1737" s="581"/>
      <c r="D1737" s="582"/>
      <c r="E1737" s="583"/>
      <c r="F1737" s="584"/>
      <c r="G1737" s="584"/>
      <c r="H1737" s="582"/>
      <c r="I1737" s="585"/>
      <c r="J1737" s="586"/>
      <c r="K1737" s="584"/>
      <c r="L1737" s="584"/>
      <c r="M1737" s="584"/>
      <c r="N1737" s="584"/>
      <c r="O1737" s="583"/>
      <c r="P1737" s="584"/>
    </row>
    <row r="1738" spans="1:16" ht="15.75">
      <c r="A1738" s="587"/>
      <c r="B1738" s="587"/>
      <c r="C1738" s="587"/>
      <c r="D1738" s="588"/>
      <c r="E1738" s="589"/>
      <c r="F1738" s="590"/>
      <c r="G1738" s="590"/>
      <c r="H1738" s="588"/>
      <c r="I1738" s="591"/>
      <c r="J1738" s="592"/>
      <c r="K1738" s="590"/>
      <c r="L1738" s="590"/>
      <c r="M1738" s="590"/>
      <c r="N1738" s="590"/>
      <c r="O1738" s="589"/>
      <c r="P1738" s="590"/>
    </row>
    <row r="1739" spans="1:16" ht="15.75">
      <c r="A1739" s="581"/>
      <c r="B1739" s="581"/>
      <c r="C1739" s="581"/>
      <c r="D1739" s="582"/>
      <c r="E1739" s="583"/>
      <c r="F1739" s="584"/>
      <c r="G1739" s="584"/>
      <c r="H1739" s="582"/>
      <c r="I1739" s="585"/>
      <c r="J1739" s="586"/>
      <c r="K1739" s="584"/>
      <c r="L1739" s="584"/>
      <c r="M1739" s="584"/>
      <c r="N1739" s="584"/>
      <c r="O1739" s="583"/>
      <c r="P1739" s="584"/>
    </row>
    <row r="1740" spans="1:16" ht="15.75">
      <c r="A1740" s="587"/>
      <c r="B1740" s="587"/>
      <c r="C1740" s="587"/>
      <c r="D1740" s="588"/>
      <c r="E1740" s="589"/>
      <c r="F1740" s="590"/>
      <c r="G1740" s="590"/>
      <c r="H1740" s="588"/>
      <c r="I1740" s="591"/>
      <c r="J1740" s="592"/>
      <c r="K1740" s="590"/>
      <c r="L1740" s="590"/>
      <c r="M1740" s="590"/>
      <c r="N1740" s="590"/>
      <c r="O1740" s="589"/>
      <c r="P1740" s="590"/>
    </row>
    <row r="1741" spans="1:16" ht="15.75">
      <c r="A1741" s="581"/>
      <c r="B1741" s="581"/>
      <c r="C1741" s="581"/>
      <c r="D1741" s="582"/>
      <c r="E1741" s="583"/>
      <c r="F1741" s="584"/>
      <c r="G1741" s="584"/>
      <c r="H1741" s="582"/>
      <c r="I1741" s="585"/>
      <c r="J1741" s="586"/>
      <c r="K1741" s="584"/>
      <c r="L1741" s="584"/>
      <c r="M1741" s="584"/>
      <c r="N1741" s="584"/>
      <c r="O1741" s="583"/>
      <c r="P1741" s="584"/>
    </row>
    <row r="1742" spans="1:16" ht="15.75">
      <c r="A1742" s="587"/>
      <c r="B1742" s="587"/>
      <c r="C1742" s="587"/>
      <c r="D1742" s="588"/>
      <c r="E1742" s="589"/>
      <c r="F1742" s="590"/>
      <c r="G1742" s="590"/>
      <c r="H1742" s="588"/>
      <c r="I1742" s="591"/>
      <c r="J1742" s="592"/>
      <c r="K1742" s="590"/>
      <c r="L1742" s="590"/>
      <c r="M1742" s="590"/>
      <c r="N1742" s="590"/>
      <c r="O1742" s="589"/>
      <c r="P1742" s="590"/>
    </row>
    <row r="1743" spans="1:16" ht="15.75">
      <c r="A1743" s="581"/>
      <c r="B1743" s="581"/>
      <c r="C1743" s="581"/>
      <c r="D1743" s="582"/>
      <c r="E1743" s="583"/>
      <c r="F1743" s="584"/>
      <c r="G1743" s="584"/>
      <c r="H1743" s="582"/>
      <c r="I1743" s="585"/>
      <c r="J1743" s="586"/>
      <c r="K1743" s="584"/>
      <c r="L1743" s="584"/>
      <c r="M1743" s="584"/>
      <c r="N1743" s="584"/>
      <c r="O1743" s="583"/>
      <c r="P1743" s="584"/>
    </row>
    <row r="1744" spans="1:16" ht="15.75">
      <c r="A1744" s="587"/>
      <c r="B1744" s="587"/>
      <c r="C1744" s="587"/>
      <c r="D1744" s="588"/>
      <c r="E1744" s="589"/>
      <c r="F1744" s="590"/>
      <c r="G1744" s="590"/>
      <c r="H1744" s="588"/>
      <c r="I1744" s="591"/>
      <c r="J1744" s="592"/>
      <c r="K1744" s="590"/>
      <c r="L1744" s="590"/>
      <c r="M1744" s="590"/>
      <c r="N1744" s="590"/>
      <c r="O1744" s="589"/>
      <c r="P1744" s="590"/>
    </row>
    <row r="1745" spans="1:16" ht="15.75">
      <c r="A1745" s="581"/>
      <c r="B1745" s="581"/>
      <c r="C1745" s="581"/>
      <c r="D1745" s="582"/>
      <c r="E1745" s="583"/>
      <c r="F1745" s="584"/>
      <c r="G1745" s="584"/>
      <c r="H1745" s="582"/>
      <c r="I1745" s="585"/>
      <c r="J1745" s="586"/>
      <c r="K1745" s="584"/>
      <c r="L1745" s="584"/>
      <c r="M1745" s="584"/>
      <c r="N1745" s="584"/>
      <c r="O1745" s="583"/>
      <c r="P1745" s="584"/>
    </row>
    <row r="1746" spans="1:16" ht="15.75">
      <c r="A1746" s="587"/>
      <c r="B1746" s="587"/>
      <c r="C1746" s="587"/>
      <c r="D1746" s="588"/>
      <c r="E1746" s="589"/>
      <c r="F1746" s="590"/>
      <c r="G1746" s="590"/>
      <c r="H1746" s="588"/>
      <c r="I1746" s="591"/>
      <c r="J1746" s="592"/>
      <c r="K1746" s="590"/>
      <c r="L1746" s="590"/>
      <c r="M1746" s="590"/>
      <c r="N1746" s="590"/>
      <c r="O1746" s="589"/>
      <c r="P1746" s="590"/>
    </row>
    <row r="1747" spans="1:16" ht="15.75">
      <c r="A1747" s="581"/>
      <c r="B1747" s="581"/>
      <c r="C1747" s="581"/>
      <c r="D1747" s="582"/>
      <c r="E1747" s="583"/>
      <c r="F1747" s="584"/>
      <c r="G1747" s="584"/>
      <c r="H1747" s="582"/>
      <c r="I1747" s="585"/>
      <c r="J1747" s="586"/>
      <c r="K1747" s="584"/>
      <c r="L1747" s="584"/>
      <c r="M1747" s="584"/>
      <c r="N1747" s="584"/>
      <c r="O1747" s="583"/>
      <c r="P1747" s="584"/>
    </row>
    <row r="1748" spans="1:16" ht="15.75">
      <c r="A1748" s="587"/>
      <c r="B1748" s="587"/>
      <c r="C1748" s="587"/>
      <c r="D1748" s="588"/>
      <c r="E1748" s="589"/>
      <c r="F1748" s="590"/>
      <c r="G1748" s="590"/>
      <c r="H1748" s="588"/>
      <c r="I1748" s="591"/>
      <c r="J1748" s="592"/>
      <c r="K1748" s="590"/>
      <c r="L1748" s="590"/>
      <c r="M1748" s="590"/>
      <c r="N1748" s="590"/>
      <c r="O1748" s="589"/>
      <c r="P1748" s="590"/>
    </row>
    <row r="1749" spans="1:16" ht="15.75">
      <c r="A1749" s="581"/>
      <c r="B1749" s="581"/>
      <c r="C1749" s="581"/>
      <c r="D1749" s="582"/>
      <c r="E1749" s="583"/>
      <c r="F1749" s="584"/>
      <c r="G1749" s="584"/>
      <c r="H1749" s="582"/>
      <c r="I1749" s="585"/>
      <c r="J1749" s="586"/>
      <c r="K1749" s="584"/>
      <c r="L1749" s="584"/>
      <c r="M1749" s="584"/>
      <c r="N1749" s="584"/>
      <c r="O1749" s="583"/>
      <c r="P1749" s="584"/>
    </row>
    <row r="1750" spans="1:16" ht="15.75">
      <c r="A1750" s="587"/>
      <c r="B1750" s="587"/>
      <c r="C1750" s="587"/>
      <c r="D1750" s="588"/>
      <c r="E1750" s="589"/>
      <c r="F1750" s="590"/>
      <c r="G1750" s="590"/>
      <c r="H1750" s="588"/>
      <c r="I1750" s="591"/>
      <c r="J1750" s="592"/>
      <c r="K1750" s="590"/>
      <c r="L1750" s="590"/>
      <c r="M1750" s="590"/>
      <c r="N1750" s="590"/>
      <c r="O1750" s="589"/>
      <c r="P1750" s="590"/>
    </row>
    <row r="1751" spans="1:16" ht="15.75">
      <c r="A1751" s="581"/>
      <c r="B1751" s="581"/>
      <c r="C1751" s="581"/>
      <c r="D1751" s="582"/>
      <c r="E1751" s="583"/>
      <c r="F1751" s="584"/>
      <c r="G1751" s="584"/>
      <c r="H1751" s="582"/>
      <c r="I1751" s="585"/>
      <c r="J1751" s="586"/>
      <c r="K1751" s="584"/>
      <c r="L1751" s="584"/>
      <c r="M1751" s="584"/>
      <c r="N1751" s="584"/>
      <c r="O1751" s="583"/>
      <c r="P1751" s="584"/>
    </row>
    <row r="1752" spans="1:16" ht="15.75">
      <c r="A1752" s="587"/>
      <c r="B1752" s="587"/>
      <c r="C1752" s="587"/>
      <c r="D1752" s="588"/>
      <c r="E1752" s="589"/>
      <c r="F1752" s="590"/>
      <c r="G1752" s="590"/>
      <c r="H1752" s="588"/>
      <c r="I1752" s="591"/>
      <c r="J1752" s="592"/>
      <c r="K1752" s="590"/>
      <c r="L1752" s="590"/>
      <c r="M1752" s="590"/>
      <c r="N1752" s="590"/>
      <c r="O1752" s="589"/>
      <c r="P1752" s="590"/>
    </row>
    <row r="1753" spans="1:16" ht="15.75">
      <c r="A1753" s="581"/>
      <c r="B1753" s="581"/>
      <c r="C1753" s="581"/>
      <c r="D1753" s="582"/>
      <c r="E1753" s="583"/>
      <c r="F1753" s="584"/>
      <c r="G1753" s="584"/>
      <c r="H1753" s="582"/>
      <c r="I1753" s="585"/>
      <c r="J1753" s="586"/>
      <c r="K1753" s="584"/>
      <c r="L1753" s="584"/>
      <c r="M1753" s="584"/>
      <c r="N1753" s="584"/>
      <c r="O1753" s="583"/>
      <c r="P1753" s="584"/>
    </row>
    <row r="1754" spans="1:16" ht="15.75">
      <c r="A1754" s="587"/>
      <c r="B1754" s="587"/>
      <c r="C1754" s="587"/>
      <c r="D1754" s="588"/>
      <c r="E1754" s="589"/>
      <c r="F1754" s="590"/>
      <c r="G1754" s="590"/>
      <c r="H1754" s="588"/>
      <c r="I1754" s="591"/>
      <c r="J1754" s="592"/>
      <c r="K1754" s="590"/>
      <c r="L1754" s="590"/>
      <c r="M1754" s="590"/>
      <c r="N1754" s="590"/>
      <c r="O1754" s="589"/>
      <c r="P1754" s="590"/>
    </row>
    <row r="1755" spans="1:16" ht="15.75">
      <c r="A1755" s="581"/>
      <c r="B1755" s="581"/>
      <c r="C1755" s="581"/>
      <c r="D1755" s="582"/>
      <c r="E1755" s="583"/>
      <c r="F1755" s="584"/>
      <c r="G1755" s="584"/>
      <c r="H1755" s="582"/>
      <c r="I1755" s="585"/>
      <c r="J1755" s="586"/>
      <c r="K1755" s="584"/>
      <c r="L1755" s="584"/>
      <c r="M1755" s="584"/>
      <c r="N1755" s="584"/>
      <c r="O1755" s="583"/>
      <c r="P1755" s="584"/>
    </row>
    <row r="1756" spans="1:16" ht="15.75">
      <c r="A1756" s="587"/>
      <c r="B1756" s="587"/>
      <c r="C1756" s="587"/>
      <c r="D1756" s="588"/>
      <c r="E1756" s="589"/>
      <c r="F1756" s="590"/>
      <c r="G1756" s="590"/>
      <c r="H1756" s="588"/>
      <c r="I1756" s="591"/>
      <c r="J1756" s="592"/>
      <c r="K1756" s="590"/>
      <c r="L1756" s="590"/>
      <c r="M1756" s="590"/>
      <c r="N1756" s="590"/>
      <c r="O1756" s="589"/>
      <c r="P1756" s="590"/>
    </row>
    <row r="1757" spans="1:16" ht="15.75">
      <c r="A1757" s="581"/>
      <c r="B1757" s="581"/>
      <c r="C1757" s="581"/>
      <c r="D1757" s="582"/>
      <c r="E1757" s="583"/>
      <c r="F1757" s="584"/>
      <c r="G1757" s="584"/>
      <c r="H1757" s="582"/>
      <c r="I1757" s="585"/>
      <c r="J1757" s="586"/>
      <c r="K1757" s="584"/>
      <c r="L1757" s="584"/>
      <c r="M1757" s="584"/>
      <c r="N1757" s="584"/>
      <c r="O1757" s="583"/>
      <c r="P1757" s="584"/>
    </row>
    <row r="1758" spans="1:16" ht="15.75">
      <c r="A1758" s="587"/>
      <c r="B1758" s="587"/>
      <c r="C1758" s="587"/>
      <c r="D1758" s="588"/>
      <c r="E1758" s="589"/>
      <c r="F1758" s="590"/>
      <c r="G1758" s="590"/>
      <c r="H1758" s="588"/>
      <c r="I1758" s="591"/>
      <c r="J1758" s="592"/>
      <c r="K1758" s="590"/>
      <c r="L1758" s="590"/>
      <c r="M1758" s="590"/>
      <c r="N1758" s="590"/>
      <c r="O1758" s="589"/>
      <c r="P1758" s="590"/>
    </row>
    <row r="1759" spans="1:16" ht="15.75">
      <c r="A1759" s="581"/>
      <c r="B1759" s="581"/>
      <c r="C1759" s="581"/>
      <c r="D1759" s="582"/>
      <c r="E1759" s="583"/>
      <c r="F1759" s="584"/>
      <c r="G1759" s="584"/>
      <c r="H1759" s="582"/>
      <c r="I1759" s="585"/>
      <c r="J1759" s="586"/>
      <c r="K1759" s="584"/>
      <c r="L1759" s="584"/>
      <c r="M1759" s="584"/>
      <c r="N1759" s="584"/>
      <c r="O1759" s="583"/>
      <c r="P1759" s="584"/>
    </row>
    <row r="1760" spans="1:16" ht="15.75">
      <c r="A1760" s="587"/>
      <c r="B1760" s="587"/>
      <c r="C1760" s="587"/>
      <c r="D1760" s="588"/>
      <c r="E1760" s="589"/>
      <c r="F1760" s="590"/>
      <c r="G1760" s="590"/>
      <c r="H1760" s="588"/>
      <c r="I1760" s="591"/>
      <c r="J1760" s="592"/>
      <c r="K1760" s="590"/>
      <c r="L1760" s="590"/>
      <c r="M1760" s="590"/>
      <c r="N1760" s="590"/>
      <c r="O1760" s="589"/>
      <c r="P1760" s="590"/>
    </row>
    <row r="1761" spans="1:16" ht="15.75">
      <c r="A1761" s="581"/>
      <c r="B1761" s="581"/>
      <c r="C1761" s="581"/>
      <c r="D1761" s="582"/>
      <c r="E1761" s="583"/>
      <c r="F1761" s="584"/>
      <c r="G1761" s="584"/>
      <c r="H1761" s="582"/>
      <c r="I1761" s="585"/>
      <c r="J1761" s="586"/>
      <c r="K1761" s="584"/>
      <c r="L1761" s="584"/>
      <c r="M1761" s="584"/>
      <c r="N1761" s="584"/>
      <c r="O1761" s="583"/>
      <c r="P1761" s="584"/>
    </row>
    <row r="1762" spans="1:16" ht="15.75">
      <c r="A1762" s="587"/>
      <c r="B1762" s="587"/>
      <c r="C1762" s="587"/>
      <c r="D1762" s="588"/>
      <c r="E1762" s="589"/>
      <c r="F1762" s="590"/>
      <c r="G1762" s="590"/>
      <c r="H1762" s="588"/>
      <c r="I1762" s="591"/>
      <c r="J1762" s="592"/>
      <c r="K1762" s="590"/>
      <c r="L1762" s="590"/>
      <c r="M1762" s="590"/>
      <c r="N1762" s="590"/>
      <c r="O1762" s="589"/>
      <c r="P1762" s="590"/>
    </row>
    <row r="1763" spans="1:16" ht="15.75">
      <c r="A1763" s="581"/>
      <c r="B1763" s="581"/>
      <c r="C1763" s="581"/>
      <c r="D1763" s="582"/>
      <c r="E1763" s="583"/>
      <c r="F1763" s="584"/>
      <c r="G1763" s="584"/>
      <c r="H1763" s="582"/>
      <c r="I1763" s="585"/>
      <c r="J1763" s="586"/>
      <c r="K1763" s="584"/>
      <c r="L1763" s="584"/>
      <c r="M1763" s="584"/>
      <c r="N1763" s="584"/>
      <c r="O1763" s="583"/>
      <c r="P1763" s="584"/>
    </row>
    <row r="1764" spans="1:16" ht="15.75">
      <c r="A1764" s="587"/>
      <c r="B1764" s="587"/>
      <c r="C1764" s="587"/>
      <c r="D1764" s="588"/>
      <c r="E1764" s="589"/>
      <c r="F1764" s="590"/>
      <c r="G1764" s="590"/>
      <c r="H1764" s="588"/>
      <c r="I1764" s="591"/>
      <c r="J1764" s="592"/>
      <c r="K1764" s="590"/>
      <c r="L1764" s="590"/>
      <c r="M1764" s="590"/>
      <c r="N1764" s="590"/>
      <c r="O1764" s="589"/>
      <c r="P1764" s="590"/>
    </row>
    <row r="1765" spans="1:16" ht="15.75">
      <c r="A1765" s="581"/>
      <c r="B1765" s="581"/>
      <c r="C1765" s="581"/>
      <c r="D1765" s="582"/>
      <c r="E1765" s="583"/>
      <c r="F1765" s="584"/>
      <c r="G1765" s="584"/>
      <c r="H1765" s="582"/>
      <c r="I1765" s="585"/>
      <c r="J1765" s="586"/>
      <c r="K1765" s="584"/>
      <c r="L1765" s="584"/>
      <c r="M1765" s="584"/>
      <c r="N1765" s="584"/>
      <c r="O1765" s="583"/>
      <c r="P1765" s="584"/>
    </row>
    <row r="1766" spans="1:16" ht="15.75">
      <c r="A1766" s="587"/>
      <c r="B1766" s="587"/>
      <c r="C1766" s="587"/>
      <c r="D1766" s="588"/>
      <c r="E1766" s="589"/>
      <c r="F1766" s="590"/>
      <c r="G1766" s="590"/>
      <c r="H1766" s="588"/>
      <c r="I1766" s="591"/>
      <c r="J1766" s="592"/>
      <c r="K1766" s="590"/>
      <c r="L1766" s="590"/>
      <c r="M1766" s="590"/>
      <c r="N1766" s="590"/>
      <c r="O1766" s="589"/>
      <c r="P1766" s="590"/>
    </row>
    <row r="1767" spans="1:16" ht="15.75">
      <c r="A1767" s="581"/>
      <c r="B1767" s="581"/>
      <c r="C1767" s="581"/>
      <c r="D1767" s="582"/>
      <c r="E1767" s="583"/>
      <c r="F1767" s="584"/>
      <c r="G1767" s="584"/>
      <c r="H1767" s="582"/>
      <c r="I1767" s="585"/>
      <c r="J1767" s="586"/>
      <c r="K1767" s="584"/>
      <c r="L1767" s="584"/>
      <c r="M1767" s="584"/>
      <c r="N1767" s="584"/>
      <c r="O1767" s="583"/>
      <c r="P1767" s="584"/>
    </row>
    <row r="1768" spans="1:16" ht="15.75">
      <c r="A1768" s="587"/>
      <c r="B1768" s="587"/>
      <c r="C1768" s="587"/>
      <c r="D1768" s="588"/>
      <c r="E1768" s="589"/>
      <c r="F1768" s="590"/>
      <c r="G1768" s="590"/>
      <c r="H1768" s="588"/>
      <c r="I1768" s="591"/>
      <c r="J1768" s="592"/>
      <c r="K1768" s="590"/>
      <c r="L1768" s="590"/>
      <c r="M1768" s="590"/>
      <c r="N1768" s="590"/>
      <c r="O1768" s="589"/>
      <c r="P1768" s="590"/>
    </row>
    <row r="1769" spans="1:16" ht="15.75">
      <c r="A1769" s="581"/>
      <c r="B1769" s="581"/>
      <c r="C1769" s="581"/>
      <c r="D1769" s="582"/>
      <c r="E1769" s="583"/>
      <c r="F1769" s="584"/>
      <c r="G1769" s="584"/>
      <c r="H1769" s="582"/>
      <c r="I1769" s="585"/>
      <c r="J1769" s="586"/>
      <c r="K1769" s="584"/>
      <c r="L1769" s="584"/>
      <c r="M1769" s="584"/>
      <c r="N1769" s="584"/>
      <c r="O1769" s="583"/>
      <c r="P1769" s="584"/>
    </row>
    <row r="1770" spans="1:16" ht="15.75">
      <c r="A1770" s="587"/>
      <c r="B1770" s="587"/>
      <c r="C1770" s="587"/>
      <c r="D1770" s="588"/>
      <c r="E1770" s="589"/>
      <c r="F1770" s="590"/>
      <c r="G1770" s="590"/>
      <c r="H1770" s="588"/>
      <c r="I1770" s="591"/>
      <c r="J1770" s="592"/>
      <c r="K1770" s="590"/>
      <c r="L1770" s="590"/>
      <c r="M1770" s="590"/>
      <c r="N1770" s="590"/>
      <c r="O1770" s="589"/>
      <c r="P1770" s="590"/>
    </row>
    <row r="1771" spans="1:16" ht="15.75">
      <c r="A1771" s="581"/>
      <c r="B1771" s="581"/>
      <c r="C1771" s="581"/>
      <c r="D1771" s="582"/>
      <c r="E1771" s="583"/>
      <c r="F1771" s="584"/>
      <c r="G1771" s="584"/>
      <c r="H1771" s="582"/>
      <c r="I1771" s="585"/>
      <c r="J1771" s="586"/>
      <c r="K1771" s="584"/>
      <c r="L1771" s="584"/>
      <c r="M1771" s="584"/>
      <c r="N1771" s="584"/>
      <c r="O1771" s="583"/>
      <c r="P1771" s="584"/>
    </row>
    <row r="1772" spans="1:16" ht="15.75">
      <c r="A1772" s="587"/>
      <c r="B1772" s="587"/>
      <c r="C1772" s="587"/>
      <c r="D1772" s="588"/>
      <c r="E1772" s="589"/>
      <c r="F1772" s="590"/>
      <c r="G1772" s="590"/>
      <c r="H1772" s="588"/>
      <c r="I1772" s="591"/>
      <c r="J1772" s="592"/>
      <c r="K1772" s="590"/>
      <c r="L1772" s="590"/>
      <c r="M1772" s="590"/>
      <c r="N1772" s="590"/>
      <c r="O1772" s="589"/>
      <c r="P1772" s="590"/>
    </row>
    <row r="1773" spans="1:16" ht="15.75">
      <c r="A1773" s="581"/>
      <c r="B1773" s="581"/>
      <c r="C1773" s="581"/>
      <c r="D1773" s="582"/>
      <c r="E1773" s="583"/>
      <c r="F1773" s="584"/>
      <c r="G1773" s="584"/>
      <c r="H1773" s="582"/>
      <c r="I1773" s="585"/>
      <c r="J1773" s="586"/>
      <c r="K1773" s="584"/>
      <c r="L1773" s="584"/>
      <c r="M1773" s="584"/>
      <c r="N1773" s="584"/>
      <c r="O1773" s="583"/>
      <c r="P1773" s="584"/>
    </row>
    <row r="1774" spans="1:16" ht="15.75">
      <c r="A1774" s="587"/>
      <c r="B1774" s="587"/>
      <c r="C1774" s="587"/>
      <c r="D1774" s="588"/>
      <c r="E1774" s="589"/>
      <c r="F1774" s="590"/>
      <c r="G1774" s="590"/>
      <c r="H1774" s="588"/>
      <c r="I1774" s="591"/>
      <c r="J1774" s="592"/>
      <c r="K1774" s="590"/>
      <c r="L1774" s="590"/>
      <c r="M1774" s="590"/>
      <c r="N1774" s="590"/>
      <c r="O1774" s="589"/>
      <c r="P1774" s="590"/>
    </row>
    <row r="1775" spans="1:16" ht="15.75">
      <c r="A1775" s="581"/>
      <c r="B1775" s="581"/>
      <c r="C1775" s="581"/>
      <c r="D1775" s="582"/>
      <c r="E1775" s="583"/>
      <c r="F1775" s="584"/>
      <c r="G1775" s="584"/>
      <c r="H1775" s="582"/>
      <c r="I1775" s="585"/>
      <c r="J1775" s="586"/>
      <c r="K1775" s="584"/>
      <c r="L1775" s="584"/>
      <c r="M1775" s="584"/>
      <c r="N1775" s="584"/>
      <c r="O1775" s="583"/>
      <c r="P1775" s="584"/>
    </row>
    <row r="1776" spans="1:16" ht="15.75">
      <c r="A1776" s="587"/>
      <c r="B1776" s="587"/>
      <c r="C1776" s="587"/>
      <c r="D1776" s="588"/>
      <c r="E1776" s="589"/>
      <c r="F1776" s="590"/>
      <c r="G1776" s="590"/>
      <c r="H1776" s="588"/>
      <c r="I1776" s="591"/>
      <c r="J1776" s="592"/>
      <c r="K1776" s="590"/>
      <c r="L1776" s="590"/>
      <c r="M1776" s="590"/>
      <c r="N1776" s="590"/>
      <c r="O1776" s="589"/>
      <c r="P1776" s="590"/>
    </row>
    <row r="1777" spans="1:16" ht="15.75">
      <c r="A1777" s="581"/>
      <c r="B1777" s="581"/>
      <c r="C1777" s="581"/>
      <c r="D1777" s="582"/>
      <c r="E1777" s="583"/>
      <c r="F1777" s="584"/>
      <c r="G1777" s="584"/>
      <c r="H1777" s="582"/>
      <c r="I1777" s="585"/>
      <c r="J1777" s="586"/>
      <c r="K1777" s="584"/>
      <c r="L1777" s="584"/>
      <c r="M1777" s="584"/>
      <c r="N1777" s="584"/>
      <c r="O1777" s="583"/>
      <c r="P1777" s="584"/>
    </row>
    <row r="1778" spans="1:16" ht="15.75">
      <c r="A1778" s="587"/>
      <c r="B1778" s="587"/>
      <c r="C1778" s="587"/>
      <c r="D1778" s="588"/>
      <c r="E1778" s="589"/>
      <c r="F1778" s="590"/>
      <c r="G1778" s="590"/>
      <c r="H1778" s="588"/>
      <c r="I1778" s="591"/>
      <c r="J1778" s="592"/>
      <c r="K1778" s="590"/>
      <c r="L1778" s="590"/>
      <c r="M1778" s="590"/>
      <c r="N1778" s="590"/>
      <c r="O1778" s="589"/>
      <c r="P1778" s="590"/>
    </row>
    <row r="1779" spans="1:16" ht="15.75">
      <c r="A1779" s="581"/>
      <c r="B1779" s="581"/>
      <c r="C1779" s="581"/>
      <c r="D1779" s="582"/>
      <c r="E1779" s="583"/>
      <c r="F1779" s="584"/>
      <c r="G1779" s="584"/>
      <c r="H1779" s="582"/>
      <c r="I1779" s="585"/>
      <c r="J1779" s="586"/>
      <c r="K1779" s="584"/>
      <c r="L1779" s="584"/>
      <c r="M1779" s="584"/>
      <c r="N1779" s="584"/>
      <c r="O1779" s="583"/>
      <c r="P1779" s="584"/>
    </row>
    <row r="1780" spans="1:16" ht="15.75">
      <c r="A1780" s="587"/>
      <c r="B1780" s="587"/>
      <c r="C1780" s="587"/>
      <c r="D1780" s="588"/>
      <c r="E1780" s="589"/>
      <c r="F1780" s="590"/>
      <c r="G1780" s="590"/>
      <c r="H1780" s="588"/>
      <c r="I1780" s="591"/>
      <c r="J1780" s="592"/>
      <c r="K1780" s="590"/>
      <c r="L1780" s="590"/>
      <c r="M1780" s="590"/>
      <c r="N1780" s="590"/>
      <c r="O1780" s="589"/>
      <c r="P1780" s="590"/>
    </row>
    <row r="1781" spans="1:16" ht="15.75">
      <c r="A1781" s="581"/>
      <c r="B1781" s="581"/>
      <c r="C1781" s="581"/>
      <c r="D1781" s="582"/>
      <c r="E1781" s="583"/>
      <c r="F1781" s="584"/>
      <c r="G1781" s="584"/>
      <c r="H1781" s="582"/>
      <c r="I1781" s="585"/>
      <c r="J1781" s="586"/>
      <c r="K1781" s="584"/>
      <c r="L1781" s="584"/>
      <c r="M1781" s="584"/>
      <c r="N1781" s="584"/>
      <c r="O1781" s="583"/>
      <c r="P1781" s="584"/>
    </row>
    <row r="1782" spans="1:16" ht="15.75">
      <c r="A1782" s="587"/>
      <c r="B1782" s="587"/>
      <c r="C1782" s="587"/>
      <c r="D1782" s="588"/>
      <c r="E1782" s="589"/>
      <c r="F1782" s="590"/>
      <c r="G1782" s="590"/>
      <c r="H1782" s="588"/>
      <c r="I1782" s="591"/>
      <c r="J1782" s="592"/>
      <c r="K1782" s="590"/>
      <c r="L1782" s="590"/>
      <c r="M1782" s="590"/>
      <c r="N1782" s="590"/>
      <c r="O1782" s="589"/>
      <c r="P1782" s="590"/>
    </row>
    <row r="1783" spans="1:16" ht="15.75">
      <c r="A1783" s="581"/>
      <c r="B1783" s="581"/>
      <c r="C1783" s="581"/>
      <c r="D1783" s="582"/>
      <c r="E1783" s="583"/>
      <c r="F1783" s="584"/>
      <c r="G1783" s="584"/>
      <c r="H1783" s="582"/>
      <c r="I1783" s="585"/>
      <c r="J1783" s="586"/>
      <c r="K1783" s="584"/>
      <c r="L1783" s="584"/>
      <c r="M1783" s="584"/>
      <c r="N1783" s="584"/>
      <c r="O1783" s="583"/>
      <c r="P1783" s="584"/>
    </row>
    <row r="1784" spans="1:16" ht="15.75">
      <c r="A1784" s="587"/>
      <c r="B1784" s="587"/>
      <c r="C1784" s="587"/>
      <c r="D1784" s="588"/>
      <c r="E1784" s="589"/>
      <c r="F1784" s="590"/>
      <c r="G1784" s="590"/>
      <c r="H1784" s="588"/>
      <c r="I1784" s="591"/>
      <c r="J1784" s="592"/>
      <c r="K1784" s="590"/>
      <c r="L1784" s="590"/>
      <c r="M1784" s="590"/>
      <c r="N1784" s="590"/>
      <c r="O1784" s="589"/>
      <c r="P1784" s="590"/>
    </row>
    <row r="1785" spans="1:16" ht="15.75">
      <c r="A1785" s="581"/>
      <c r="B1785" s="581"/>
      <c r="C1785" s="581"/>
      <c r="D1785" s="582"/>
      <c r="E1785" s="583"/>
      <c r="F1785" s="584"/>
      <c r="G1785" s="584"/>
      <c r="H1785" s="582"/>
      <c r="I1785" s="585"/>
      <c r="J1785" s="586"/>
      <c r="K1785" s="584"/>
      <c r="L1785" s="584"/>
      <c r="M1785" s="584"/>
      <c r="N1785" s="584"/>
      <c r="O1785" s="583"/>
      <c r="P1785" s="584"/>
    </row>
    <row r="1786" spans="1:16" ht="15.75">
      <c r="A1786" s="587"/>
      <c r="B1786" s="587"/>
      <c r="C1786" s="587"/>
      <c r="D1786" s="588"/>
      <c r="E1786" s="589"/>
      <c r="F1786" s="590"/>
      <c r="G1786" s="590"/>
      <c r="H1786" s="588"/>
      <c r="I1786" s="591"/>
      <c r="J1786" s="592"/>
      <c r="K1786" s="590"/>
      <c r="L1786" s="590"/>
      <c r="M1786" s="590"/>
      <c r="N1786" s="590"/>
      <c r="O1786" s="589"/>
      <c r="P1786" s="590"/>
    </row>
    <row r="1787" spans="1:16" ht="15.75">
      <c r="A1787" s="581"/>
      <c r="B1787" s="581"/>
      <c r="C1787" s="581"/>
      <c r="D1787" s="582"/>
      <c r="E1787" s="583"/>
      <c r="F1787" s="584"/>
      <c r="G1787" s="584"/>
      <c r="H1787" s="582"/>
      <c r="I1787" s="585"/>
      <c r="J1787" s="586"/>
      <c r="K1787" s="584"/>
      <c r="L1787" s="584"/>
      <c r="M1787" s="584"/>
      <c r="N1787" s="584"/>
      <c r="O1787" s="583"/>
      <c r="P1787" s="584"/>
    </row>
    <row r="1788" spans="1:16" ht="15.75">
      <c r="A1788" s="587"/>
      <c r="B1788" s="587"/>
      <c r="C1788" s="587"/>
      <c r="D1788" s="588"/>
      <c r="E1788" s="589"/>
      <c r="F1788" s="590"/>
      <c r="G1788" s="590"/>
      <c r="H1788" s="588"/>
      <c r="I1788" s="591"/>
      <c r="J1788" s="592"/>
      <c r="K1788" s="590"/>
      <c r="L1788" s="590"/>
      <c r="M1788" s="590"/>
      <c r="N1788" s="590"/>
      <c r="O1788" s="589"/>
      <c r="P1788" s="590"/>
    </row>
    <row r="1789" spans="1:16" ht="15.75">
      <c r="A1789" s="581"/>
      <c r="B1789" s="581"/>
      <c r="C1789" s="581"/>
      <c r="D1789" s="582"/>
      <c r="E1789" s="583"/>
      <c r="F1789" s="584"/>
      <c r="G1789" s="584"/>
      <c r="H1789" s="582"/>
      <c r="I1789" s="585"/>
      <c r="J1789" s="586"/>
      <c r="K1789" s="584"/>
      <c r="L1789" s="584"/>
      <c r="M1789" s="584"/>
      <c r="N1789" s="584"/>
      <c r="O1789" s="583"/>
      <c r="P1789" s="584"/>
    </row>
    <row r="1790" spans="1:16" ht="15.75">
      <c r="A1790" s="587"/>
      <c r="B1790" s="587"/>
      <c r="C1790" s="587"/>
      <c r="D1790" s="588"/>
      <c r="E1790" s="589"/>
      <c r="F1790" s="590"/>
      <c r="G1790" s="590"/>
      <c r="H1790" s="588"/>
      <c r="I1790" s="591"/>
      <c r="J1790" s="592"/>
      <c r="K1790" s="590"/>
      <c r="L1790" s="590"/>
      <c r="M1790" s="590"/>
      <c r="N1790" s="590"/>
      <c r="O1790" s="589"/>
      <c r="P1790" s="590"/>
    </row>
    <row r="1791" spans="1:16" ht="15.75">
      <c r="A1791" s="581"/>
      <c r="B1791" s="581"/>
      <c r="C1791" s="581"/>
      <c r="D1791" s="582"/>
      <c r="E1791" s="583"/>
      <c r="F1791" s="584"/>
      <c r="G1791" s="584"/>
      <c r="H1791" s="582"/>
      <c r="I1791" s="585"/>
      <c r="J1791" s="586"/>
      <c r="K1791" s="584"/>
      <c r="L1791" s="584"/>
      <c r="M1791" s="584"/>
      <c r="N1791" s="584"/>
      <c r="O1791" s="583"/>
      <c r="P1791" s="584"/>
    </row>
    <row r="1792" spans="1:16" ht="15.75">
      <c r="A1792" s="587"/>
      <c r="B1792" s="587"/>
      <c r="C1792" s="587"/>
      <c r="D1792" s="588"/>
      <c r="E1792" s="589"/>
      <c r="F1792" s="590"/>
      <c r="G1792" s="590"/>
      <c r="H1792" s="588"/>
      <c r="I1792" s="591"/>
      <c r="J1792" s="592"/>
      <c r="K1792" s="590"/>
      <c r="L1792" s="590"/>
      <c r="M1792" s="590"/>
      <c r="N1792" s="590"/>
      <c r="O1792" s="589"/>
      <c r="P1792" s="590"/>
    </row>
    <row r="1793" spans="1:16" ht="15.75">
      <c r="A1793" s="581"/>
      <c r="B1793" s="581"/>
      <c r="C1793" s="581"/>
      <c r="D1793" s="582"/>
      <c r="E1793" s="583"/>
      <c r="F1793" s="584"/>
      <c r="G1793" s="584"/>
      <c r="H1793" s="582"/>
      <c r="I1793" s="585"/>
      <c r="J1793" s="586"/>
      <c r="K1793" s="584"/>
      <c r="L1793" s="584"/>
      <c r="M1793" s="584"/>
      <c r="N1793" s="584"/>
      <c r="O1793" s="583"/>
      <c r="P1793" s="584"/>
    </row>
    <row r="1794" spans="1:16" ht="15.75">
      <c r="A1794" s="587"/>
      <c r="B1794" s="587"/>
      <c r="C1794" s="587"/>
      <c r="D1794" s="588"/>
      <c r="E1794" s="589"/>
      <c r="F1794" s="590"/>
      <c r="G1794" s="590"/>
      <c r="H1794" s="588"/>
      <c r="I1794" s="591"/>
      <c r="J1794" s="592"/>
      <c r="K1794" s="590"/>
      <c r="L1794" s="590"/>
      <c r="M1794" s="590"/>
      <c r="N1794" s="590"/>
      <c r="O1794" s="589"/>
      <c r="P1794" s="590"/>
    </row>
    <row r="1795" spans="1:16" ht="15.75">
      <c r="A1795" s="581"/>
      <c r="B1795" s="581"/>
      <c r="C1795" s="581"/>
      <c r="D1795" s="582"/>
      <c r="E1795" s="583"/>
      <c r="F1795" s="584"/>
      <c r="G1795" s="584"/>
      <c r="H1795" s="582"/>
      <c r="I1795" s="585"/>
      <c r="J1795" s="586"/>
      <c r="K1795" s="584"/>
      <c r="L1795" s="584"/>
      <c r="M1795" s="584"/>
      <c r="N1795" s="584"/>
      <c r="O1795" s="583"/>
      <c r="P1795" s="584"/>
    </row>
    <row r="1796" spans="1:16" ht="15.75">
      <c r="A1796" s="587"/>
      <c r="B1796" s="587"/>
      <c r="C1796" s="587"/>
      <c r="D1796" s="588"/>
      <c r="E1796" s="589"/>
      <c r="F1796" s="590"/>
      <c r="G1796" s="590"/>
      <c r="H1796" s="588"/>
      <c r="I1796" s="591"/>
      <c r="J1796" s="592"/>
      <c r="K1796" s="590"/>
      <c r="L1796" s="590"/>
      <c r="M1796" s="590"/>
      <c r="N1796" s="590"/>
      <c r="O1796" s="589"/>
      <c r="P1796" s="590"/>
    </row>
    <row r="1797" spans="1:16" ht="15.75">
      <c r="A1797" s="581"/>
      <c r="B1797" s="581"/>
      <c r="C1797" s="581"/>
      <c r="D1797" s="582"/>
      <c r="E1797" s="583"/>
      <c r="F1797" s="584"/>
      <c r="G1797" s="584"/>
      <c r="H1797" s="582"/>
      <c r="I1797" s="585"/>
      <c r="J1797" s="586"/>
      <c r="K1797" s="584"/>
      <c r="L1797" s="584"/>
      <c r="M1797" s="584"/>
      <c r="N1797" s="584"/>
      <c r="O1797" s="583"/>
      <c r="P1797" s="584"/>
    </row>
    <row r="1798" spans="1:16" ht="15.75">
      <c r="A1798" s="587"/>
      <c r="B1798" s="587"/>
      <c r="C1798" s="587"/>
      <c r="D1798" s="588"/>
      <c r="E1798" s="589"/>
      <c r="F1798" s="590"/>
      <c r="G1798" s="590"/>
      <c r="H1798" s="588"/>
      <c r="I1798" s="591"/>
      <c r="J1798" s="592"/>
      <c r="K1798" s="590"/>
      <c r="L1798" s="590"/>
      <c r="M1798" s="590"/>
      <c r="N1798" s="590"/>
      <c r="O1798" s="589"/>
      <c r="P1798" s="590"/>
    </row>
    <row r="1799" spans="1:16" ht="15.75">
      <c r="A1799" s="581"/>
      <c r="B1799" s="581"/>
      <c r="C1799" s="581"/>
      <c r="D1799" s="582"/>
      <c r="E1799" s="583"/>
      <c r="F1799" s="584"/>
      <c r="G1799" s="584"/>
      <c r="H1799" s="582"/>
      <c r="I1799" s="585"/>
      <c r="J1799" s="586"/>
      <c r="K1799" s="584"/>
      <c r="L1799" s="584"/>
      <c r="M1799" s="584"/>
      <c r="N1799" s="584"/>
      <c r="O1799" s="583"/>
      <c r="P1799" s="584"/>
    </row>
    <row r="1800" spans="1:16" ht="15.75">
      <c r="A1800" s="587"/>
      <c r="B1800" s="587"/>
      <c r="C1800" s="587"/>
      <c r="D1800" s="588"/>
      <c r="E1800" s="589"/>
      <c r="F1800" s="590"/>
      <c r="G1800" s="590"/>
      <c r="H1800" s="588"/>
      <c r="I1800" s="591"/>
      <c r="J1800" s="592"/>
      <c r="K1800" s="590"/>
      <c r="L1800" s="590"/>
      <c r="M1800" s="590"/>
      <c r="N1800" s="590"/>
      <c r="O1800" s="589"/>
      <c r="P1800" s="590"/>
    </row>
    <row r="1801" spans="1:16" ht="15.75">
      <c r="A1801" s="581"/>
      <c r="B1801" s="581"/>
      <c r="C1801" s="581"/>
      <c r="D1801" s="582"/>
      <c r="E1801" s="583"/>
      <c r="F1801" s="584"/>
      <c r="G1801" s="584"/>
      <c r="H1801" s="582"/>
      <c r="I1801" s="585"/>
      <c r="J1801" s="586"/>
      <c r="K1801" s="584"/>
      <c r="L1801" s="584"/>
      <c r="M1801" s="584"/>
      <c r="N1801" s="584"/>
      <c r="O1801" s="583"/>
      <c r="P1801" s="584"/>
    </row>
    <row r="1802" spans="1:16" ht="15.75">
      <c r="A1802" s="587"/>
      <c r="B1802" s="587"/>
      <c r="C1802" s="587"/>
      <c r="D1802" s="588"/>
      <c r="E1802" s="589"/>
      <c r="F1802" s="590"/>
      <c r="G1802" s="590"/>
      <c r="H1802" s="588"/>
      <c r="I1802" s="591"/>
      <c r="J1802" s="592"/>
      <c r="K1802" s="590"/>
      <c r="L1802" s="590"/>
      <c r="M1802" s="590"/>
      <c r="N1802" s="590"/>
      <c r="O1802" s="589"/>
      <c r="P1802" s="590"/>
    </row>
    <row r="1803" spans="1:16" ht="15.75">
      <c r="A1803" s="581"/>
      <c r="B1803" s="581"/>
      <c r="C1803" s="581"/>
      <c r="D1803" s="582"/>
      <c r="E1803" s="583"/>
      <c r="F1803" s="584"/>
      <c r="G1803" s="584"/>
      <c r="H1803" s="582"/>
      <c r="I1803" s="585"/>
      <c r="J1803" s="586"/>
      <c r="K1803" s="584"/>
      <c r="L1803" s="584"/>
      <c r="M1803" s="584"/>
      <c r="N1803" s="584"/>
      <c r="O1803" s="583"/>
      <c r="P1803" s="584"/>
    </row>
    <row r="1804" spans="1:16" ht="15.75">
      <c r="A1804" s="587"/>
      <c r="B1804" s="587"/>
      <c r="C1804" s="587"/>
      <c r="D1804" s="588"/>
      <c r="E1804" s="589"/>
      <c r="F1804" s="590"/>
      <c r="G1804" s="590"/>
      <c r="H1804" s="588"/>
      <c r="I1804" s="591"/>
      <c r="J1804" s="592"/>
      <c r="K1804" s="590"/>
      <c r="L1804" s="590"/>
      <c r="M1804" s="590"/>
      <c r="N1804" s="590"/>
      <c r="O1804" s="589"/>
      <c r="P1804" s="590"/>
    </row>
    <row r="1805" spans="1:16" ht="15.75">
      <c r="A1805" s="581"/>
      <c r="B1805" s="581"/>
      <c r="C1805" s="581"/>
      <c r="D1805" s="582"/>
      <c r="E1805" s="583"/>
      <c r="F1805" s="584"/>
      <c r="G1805" s="584"/>
      <c r="H1805" s="582"/>
      <c r="I1805" s="585"/>
      <c r="J1805" s="586"/>
      <c r="K1805" s="584"/>
      <c r="L1805" s="584"/>
      <c r="M1805" s="584"/>
      <c r="N1805" s="584"/>
      <c r="O1805" s="583"/>
      <c r="P1805" s="584"/>
    </row>
    <row r="1806" spans="1:16" ht="15.75">
      <c r="A1806" s="587"/>
      <c r="B1806" s="587"/>
      <c r="C1806" s="587"/>
      <c r="D1806" s="588"/>
      <c r="E1806" s="589"/>
      <c r="F1806" s="590"/>
      <c r="G1806" s="590"/>
      <c r="H1806" s="588"/>
      <c r="I1806" s="591"/>
      <c r="J1806" s="592"/>
      <c r="K1806" s="590"/>
      <c r="L1806" s="590"/>
      <c r="M1806" s="590"/>
      <c r="N1806" s="590"/>
      <c r="O1806" s="589"/>
      <c r="P1806" s="590"/>
    </row>
    <row r="1807" spans="1:16" ht="15.75">
      <c r="A1807" s="581"/>
      <c r="B1807" s="581"/>
      <c r="C1807" s="581"/>
      <c r="D1807" s="582"/>
      <c r="E1807" s="583"/>
      <c r="F1807" s="584"/>
      <c r="G1807" s="584"/>
      <c r="H1807" s="582"/>
      <c r="I1807" s="585"/>
      <c r="J1807" s="586"/>
      <c r="K1807" s="584"/>
      <c r="L1807" s="584"/>
      <c r="M1807" s="584"/>
      <c r="N1807" s="584"/>
      <c r="O1807" s="583"/>
      <c r="P1807" s="584"/>
    </row>
    <row r="1808" spans="1:16" ht="15.75">
      <c r="A1808" s="587"/>
      <c r="B1808" s="587"/>
      <c r="C1808" s="587"/>
      <c r="D1808" s="588"/>
      <c r="E1808" s="589"/>
      <c r="F1808" s="590"/>
      <c r="G1808" s="590"/>
      <c r="H1808" s="588"/>
      <c r="I1808" s="591"/>
      <c r="J1808" s="592"/>
      <c r="K1808" s="590"/>
      <c r="L1808" s="590"/>
      <c r="M1808" s="590"/>
      <c r="N1808" s="590"/>
      <c r="O1808" s="589"/>
      <c r="P1808" s="590"/>
    </row>
    <row r="1809" spans="1:16" ht="15.75">
      <c r="A1809" s="581"/>
      <c r="B1809" s="581"/>
      <c r="C1809" s="581"/>
      <c r="D1809" s="582"/>
      <c r="E1809" s="583"/>
      <c r="F1809" s="584"/>
      <c r="G1809" s="584"/>
      <c r="H1809" s="582"/>
      <c r="I1809" s="585"/>
      <c r="J1809" s="586"/>
      <c r="K1809" s="584"/>
      <c r="L1809" s="584"/>
      <c r="M1809" s="584"/>
      <c r="N1809" s="584"/>
      <c r="O1809" s="583"/>
      <c r="P1809" s="584"/>
    </row>
    <row r="1810" spans="1:16" ht="15.75">
      <c r="A1810" s="587"/>
      <c r="B1810" s="587"/>
      <c r="C1810" s="587"/>
      <c r="D1810" s="588"/>
      <c r="E1810" s="589"/>
      <c r="F1810" s="590"/>
      <c r="G1810" s="590"/>
      <c r="H1810" s="588"/>
      <c r="I1810" s="591"/>
      <c r="J1810" s="592"/>
      <c r="K1810" s="590"/>
      <c r="L1810" s="590"/>
      <c r="M1810" s="590"/>
      <c r="N1810" s="590"/>
      <c r="O1810" s="589"/>
      <c r="P1810" s="590"/>
    </row>
    <row r="1811" spans="1:16" ht="15.75">
      <c r="A1811" s="581"/>
      <c r="B1811" s="581"/>
      <c r="C1811" s="581"/>
      <c r="D1811" s="582"/>
      <c r="E1811" s="583"/>
      <c r="F1811" s="584"/>
      <c r="G1811" s="584"/>
      <c r="H1811" s="582"/>
      <c r="I1811" s="585"/>
      <c r="J1811" s="586"/>
      <c r="K1811" s="584"/>
      <c r="L1811" s="584"/>
      <c r="M1811" s="584"/>
      <c r="N1811" s="584"/>
      <c r="O1811" s="583"/>
      <c r="P1811" s="584"/>
    </row>
    <row r="1812" spans="1:16" ht="15.75">
      <c r="A1812" s="587"/>
      <c r="B1812" s="587"/>
      <c r="C1812" s="587"/>
      <c r="D1812" s="588"/>
      <c r="E1812" s="589"/>
      <c r="F1812" s="590"/>
      <c r="G1812" s="590"/>
      <c r="H1812" s="588"/>
      <c r="I1812" s="591"/>
      <c r="J1812" s="592"/>
      <c r="K1812" s="590"/>
      <c r="L1812" s="590"/>
      <c r="M1812" s="590"/>
      <c r="N1812" s="590"/>
      <c r="O1812" s="589"/>
      <c r="P1812" s="590"/>
    </row>
    <row r="1813" spans="1:16" ht="15.75">
      <c r="A1813" s="581"/>
      <c r="B1813" s="581"/>
      <c r="C1813" s="581"/>
      <c r="D1813" s="582"/>
      <c r="E1813" s="583"/>
      <c r="F1813" s="584"/>
      <c r="G1813" s="584"/>
      <c r="H1813" s="582"/>
      <c r="I1813" s="585"/>
      <c r="J1813" s="586"/>
      <c r="K1813" s="584"/>
      <c r="L1813" s="584"/>
      <c r="M1813" s="584"/>
      <c r="N1813" s="584"/>
      <c r="O1813" s="583"/>
      <c r="P1813" s="584"/>
    </row>
    <row r="1814" spans="1:16" ht="15.75">
      <c r="A1814" s="587"/>
      <c r="B1814" s="587"/>
      <c r="C1814" s="587"/>
      <c r="D1814" s="588"/>
      <c r="E1814" s="589"/>
      <c r="F1814" s="590"/>
      <c r="G1814" s="590"/>
      <c r="H1814" s="588"/>
      <c r="I1814" s="591"/>
      <c r="J1814" s="592"/>
      <c r="K1814" s="590"/>
      <c r="L1814" s="590"/>
      <c r="M1814" s="590"/>
      <c r="N1814" s="590"/>
      <c r="O1814" s="589"/>
      <c r="P1814" s="590"/>
    </row>
    <row r="1815" spans="1:16" ht="15.75">
      <c r="A1815" s="581"/>
      <c r="B1815" s="581"/>
      <c r="C1815" s="581"/>
      <c r="D1815" s="582"/>
      <c r="E1815" s="583"/>
      <c r="F1815" s="584"/>
      <c r="G1815" s="584"/>
      <c r="H1815" s="582"/>
      <c r="I1815" s="585"/>
      <c r="J1815" s="586"/>
      <c r="K1815" s="584"/>
      <c r="L1815" s="584"/>
      <c r="M1815" s="584"/>
      <c r="N1815" s="584"/>
      <c r="O1815" s="583"/>
      <c r="P1815" s="584"/>
    </row>
    <row r="1816" spans="1:16" ht="15.75">
      <c r="A1816" s="587"/>
      <c r="B1816" s="587"/>
      <c r="C1816" s="587"/>
      <c r="D1816" s="588"/>
      <c r="E1816" s="589"/>
      <c r="F1816" s="590"/>
      <c r="G1816" s="590"/>
      <c r="H1816" s="588"/>
      <c r="I1816" s="591"/>
      <c r="J1816" s="592"/>
      <c r="K1816" s="590"/>
      <c r="L1816" s="590"/>
      <c r="M1816" s="590"/>
      <c r="N1816" s="590"/>
      <c r="O1816" s="589"/>
      <c r="P1816" s="590"/>
    </row>
    <row r="1817" spans="1:16" ht="15.75">
      <c r="A1817" s="581"/>
      <c r="B1817" s="581"/>
      <c r="C1817" s="581"/>
      <c r="D1817" s="582"/>
      <c r="E1817" s="583"/>
      <c r="F1817" s="584"/>
      <c r="G1817" s="584"/>
      <c r="H1817" s="582"/>
      <c r="I1817" s="585"/>
      <c r="J1817" s="586"/>
      <c r="K1817" s="584"/>
      <c r="L1817" s="584"/>
      <c r="M1817" s="584"/>
      <c r="N1817" s="584"/>
      <c r="O1817" s="583"/>
      <c r="P1817" s="584"/>
    </row>
    <row r="1818" spans="1:16" ht="15.75">
      <c r="A1818" s="587"/>
      <c r="B1818" s="587"/>
      <c r="C1818" s="587"/>
      <c r="D1818" s="588"/>
      <c r="E1818" s="589"/>
      <c r="F1818" s="590"/>
      <c r="G1818" s="590"/>
      <c r="H1818" s="588"/>
      <c r="I1818" s="591"/>
      <c r="J1818" s="592"/>
      <c r="K1818" s="590"/>
      <c r="L1818" s="590"/>
      <c r="M1818" s="590"/>
      <c r="N1818" s="590"/>
      <c r="O1818" s="589"/>
      <c r="P1818" s="590"/>
    </row>
    <row r="1819" spans="1:16" ht="15.75">
      <c r="A1819" s="581"/>
      <c r="B1819" s="581"/>
      <c r="C1819" s="581"/>
      <c r="D1819" s="582"/>
      <c r="E1819" s="583"/>
      <c r="F1819" s="584"/>
      <c r="G1819" s="584"/>
      <c r="H1819" s="582"/>
      <c r="I1819" s="585"/>
      <c r="J1819" s="586"/>
      <c r="K1819" s="584"/>
      <c r="L1819" s="584"/>
      <c r="M1819" s="584"/>
      <c r="N1819" s="584"/>
      <c r="O1819" s="583"/>
      <c r="P1819" s="584"/>
    </row>
    <row r="1820" spans="1:16" ht="15.75">
      <c r="A1820" s="587"/>
      <c r="B1820" s="587"/>
      <c r="C1820" s="587"/>
      <c r="D1820" s="588"/>
      <c r="E1820" s="589"/>
      <c r="F1820" s="590"/>
      <c r="G1820" s="590"/>
      <c r="H1820" s="588"/>
      <c r="I1820" s="591"/>
      <c r="J1820" s="592"/>
      <c r="K1820" s="590"/>
      <c r="L1820" s="590"/>
      <c r="M1820" s="590"/>
      <c r="N1820" s="590"/>
      <c r="O1820" s="589"/>
      <c r="P1820" s="590"/>
    </row>
    <row r="1821" spans="1:16" ht="15.75">
      <c r="A1821" s="581"/>
      <c r="B1821" s="581"/>
      <c r="C1821" s="581"/>
      <c r="D1821" s="582"/>
      <c r="E1821" s="583"/>
      <c r="F1821" s="584"/>
      <c r="G1821" s="584"/>
      <c r="H1821" s="582"/>
      <c r="I1821" s="585"/>
      <c r="J1821" s="586"/>
      <c r="K1821" s="584"/>
      <c r="L1821" s="584"/>
      <c r="M1821" s="584"/>
      <c r="N1821" s="584"/>
      <c r="O1821" s="583"/>
      <c r="P1821" s="584"/>
    </row>
    <row r="1822" spans="1:16" ht="15.75">
      <c r="A1822" s="587"/>
      <c r="B1822" s="587"/>
      <c r="C1822" s="587"/>
      <c r="D1822" s="588"/>
      <c r="E1822" s="589"/>
      <c r="F1822" s="590"/>
      <c r="G1822" s="590"/>
      <c r="H1822" s="588"/>
      <c r="I1822" s="591"/>
      <c r="J1822" s="592"/>
      <c r="K1822" s="590"/>
      <c r="L1822" s="590"/>
      <c r="M1822" s="590"/>
      <c r="N1822" s="590"/>
      <c r="O1822" s="589"/>
      <c r="P1822" s="590"/>
    </row>
    <row r="1823" spans="1:16" ht="15.75">
      <c r="A1823" s="581"/>
      <c r="B1823" s="581"/>
      <c r="C1823" s="581"/>
      <c r="D1823" s="582"/>
      <c r="E1823" s="583"/>
      <c r="F1823" s="584"/>
      <c r="G1823" s="584"/>
      <c r="H1823" s="582"/>
      <c r="I1823" s="585"/>
      <c r="J1823" s="586"/>
      <c r="K1823" s="584"/>
      <c r="L1823" s="584"/>
      <c r="M1823" s="584"/>
      <c r="N1823" s="584"/>
      <c r="O1823" s="583"/>
      <c r="P1823" s="584"/>
    </row>
    <row r="1824" spans="1:16" ht="15.75">
      <c r="A1824" s="587"/>
      <c r="B1824" s="587"/>
      <c r="C1824" s="587"/>
      <c r="D1824" s="588"/>
      <c r="E1824" s="589"/>
      <c r="F1824" s="590"/>
      <c r="G1824" s="590"/>
      <c r="H1824" s="588"/>
      <c r="I1824" s="591"/>
      <c r="J1824" s="592"/>
      <c r="K1824" s="590"/>
      <c r="L1824" s="590"/>
      <c r="M1824" s="590"/>
      <c r="N1824" s="590"/>
      <c r="O1824" s="589"/>
      <c r="P1824" s="590"/>
    </row>
    <row r="1825" spans="1:16" ht="15.75">
      <c r="A1825" s="581"/>
      <c r="B1825" s="581"/>
      <c r="C1825" s="581"/>
      <c r="D1825" s="582"/>
      <c r="E1825" s="583"/>
      <c r="F1825" s="584"/>
      <c r="G1825" s="584"/>
      <c r="H1825" s="582"/>
      <c r="I1825" s="585"/>
      <c r="J1825" s="586"/>
      <c r="K1825" s="584"/>
      <c r="L1825" s="584"/>
      <c r="M1825" s="584"/>
      <c r="N1825" s="584"/>
      <c r="O1825" s="583"/>
      <c r="P1825" s="584"/>
    </row>
    <row r="1826" spans="1:16" ht="15.75">
      <c r="A1826" s="587"/>
      <c r="B1826" s="587"/>
      <c r="C1826" s="587"/>
      <c r="D1826" s="588"/>
      <c r="E1826" s="589"/>
      <c r="F1826" s="590"/>
      <c r="G1826" s="590"/>
      <c r="H1826" s="588"/>
      <c r="I1826" s="591"/>
      <c r="J1826" s="592"/>
      <c r="K1826" s="590"/>
      <c r="L1826" s="590"/>
      <c r="M1826" s="590"/>
      <c r="N1826" s="590"/>
      <c r="O1826" s="589"/>
      <c r="P1826" s="590"/>
    </row>
    <row r="1827" spans="1:16" ht="15.75">
      <c r="A1827" s="581"/>
      <c r="B1827" s="581"/>
      <c r="C1827" s="581"/>
      <c r="D1827" s="582"/>
      <c r="E1827" s="583"/>
      <c r="F1827" s="584"/>
      <c r="G1827" s="584"/>
      <c r="H1827" s="582"/>
      <c r="I1827" s="585"/>
      <c r="J1827" s="586"/>
      <c r="K1827" s="584"/>
      <c r="L1827" s="584"/>
      <c r="M1827" s="584"/>
      <c r="N1827" s="584"/>
      <c r="O1827" s="583"/>
      <c r="P1827" s="584"/>
    </row>
    <row r="1828" spans="1:16" ht="15.75">
      <c r="A1828" s="587"/>
      <c r="B1828" s="587"/>
      <c r="C1828" s="587"/>
      <c r="D1828" s="588"/>
      <c r="E1828" s="589"/>
      <c r="F1828" s="590"/>
      <c r="G1828" s="590"/>
      <c r="H1828" s="588"/>
      <c r="I1828" s="591"/>
      <c r="J1828" s="592"/>
      <c r="K1828" s="590"/>
      <c r="L1828" s="590"/>
      <c r="M1828" s="590"/>
      <c r="N1828" s="590"/>
      <c r="O1828" s="589"/>
      <c r="P1828" s="590"/>
    </row>
    <row r="1829" spans="1:16" ht="15.75">
      <c r="A1829" s="581"/>
      <c r="B1829" s="581"/>
      <c r="C1829" s="581"/>
      <c r="D1829" s="582"/>
      <c r="E1829" s="583"/>
      <c r="F1829" s="584"/>
      <c r="G1829" s="584"/>
      <c r="H1829" s="582"/>
      <c r="I1829" s="585"/>
      <c r="J1829" s="586"/>
      <c r="K1829" s="584"/>
      <c r="L1829" s="584"/>
      <c r="M1829" s="584"/>
      <c r="N1829" s="584"/>
      <c r="O1829" s="583"/>
      <c r="P1829" s="584"/>
    </row>
    <row r="1830" spans="1:16" ht="15.75">
      <c r="A1830" s="587"/>
      <c r="B1830" s="587"/>
      <c r="C1830" s="587"/>
      <c r="D1830" s="588"/>
      <c r="E1830" s="589"/>
      <c r="F1830" s="590"/>
      <c r="G1830" s="590"/>
      <c r="H1830" s="588"/>
      <c r="I1830" s="591"/>
      <c r="J1830" s="592"/>
      <c r="K1830" s="590"/>
      <c r="L1830" s="590"/>
      <c r="M1830" s="590"/>
      <c r="N1830" s="590"/>
      <c r="O1830" s="589"/>
      <c r="P1830" s="590"/>
    </row>
    <row r="1831" spans="1:16" ht="15.75">
      <c r="A1831" s="581"/>
      <c r="B1831" s="581"/>
      <c r="C1831" s="581"/>
      <c r="D1831" s="582"/>
      <c r="E1831" s="583"/>
      <c r="F1831" s="584"/>
      <c r="G1831" s="584"/>
      <c r="H1831" s="582"/>
      <c r="I1831" s="585"/>
      <c r="J1831" s="586"/>
      <c r="K1831" s="584"/>
      <c r="L1831" s="584"/>
      <c r="M1831" s="584"/>
      <c r="N1831" s="584"/>
      <c r="O1831" s="583"/>
      <c r="P1831" s="584"/>
    </row>
    <row r="1832" spans="1:16" ht="15.75">
      <c r="A1832" s="587"/>
      <c r="B1832" s="587"/>
      <c r="C1832" s="587"/>
      <c r="D1832" s="588"/>
      <c r="E1832" s="589"/>
      <c r="F1832" s="590"/>
      <c r="G1832" s="590"/>
      <c r="H1832" s="588"/>
      <c r="I1832" s="591"/>
      <c r="J1832" s="592"/>
      <c r="K1832" s="590"/>
      <c r="L1832" s="590"/>
      <c r="M1832" s="590"/>
      <c r="N1832" s="590"/>
      <c r="O1832" s="589"/>
      <c r="P1832" s="590"/>
    </row>
    <row r="1833" spans="1:16" ht="15.75">
      <c r="A1833" s="581"/>
      <c r="B1833" s="581"/>
      <c r="C1833" s="581"/>
      <c r="D1833" s="582"/>
      <c r="E1833" s="583"/>
      <c r="F1833" s="584"/>
      <c r="G1833" s="584"/>
      <c r="H1833" s="582"/>
      <c r="I1833" s="585"/>
      <c r="J1833" s="586"/>
      <c r="K1833" s="584"/>
      <c r="L1833" s="584"/>
      <c r="M1833" s="584"/>
      <c r="N1833" s="584"/>
      <c r="O1833" s="583"/>
      <c r="P1833" s="584"/>
    </row>
    <row r="1834" spans="1:16" ht="15.75">
      <c r="A1834" s="587"/>
      <c r="B1834" s="587"/>
      <c r="C1834" s="587"/>
      <c r="D1834" s="588"/>
      <c r="E1834" s="589"/>
      <c r="F1834" s="590"/>
      <c r="G1834" s="590"/>
      <c r="H1834" s="588"/>
      <c r="I1834" s="591"/>
      <c r="J1834" s="592"/>
      <c r="K1834" s="590"/>
      <c r="L1834" s="590"/>
      <c r="M1834" s="590"/>
      <c r="N1834" s="590"/>
      <c r="O1834" s="589"/>
      <c r="P1834" s="590"/>
    </row>
    <row r="1835" spans="1:16" ht="15.75">
      <c r="A1835" s="581"/>
      <c r="B1835" s="581"/>
      <c r="C1835" s="581"/>
      <c r="D1835" s="582"/>
      <c r="E1835" s="583"/>
      <c r="F1835" s="584"/>
      <c r="G1835" s="584"/>
      <c r="H1835" s="582"/>
      <c r="I1835" s="585"/>
      <c r="J1835" s="586"/>
      <c r="K1835" s="584"/>
      <c r="L1835" s="584"/>
      <c r="M1835" s="584"/>
      <c r="N1835" s="584"/>
      <c r="O1835" s="583"/>
      <c r="P1835" s="584"/>
    </row>
    <row r="1836" spans="1:16" ht="15.75">
      <c r="A1836" s="587"/>
      <c r="B1836" s="587"/>
      <c r="C1836" s="587"/>
      <c r="D1836" s="588"/>
      <c r="E1836" s="589"/>
      <c r="F1836" s="590"/>
      <c r="G1836" s="590"/>
      <c r="H1836" s="588"/>
      <c r="I1836" s="591"/>
      <c r="J1836" s="592"/>
      <c r="K1836" s="590"/>
      <c r="L1836" s="590"/>
      <c r="M1836" s="590"/>
      <c r="N1836" s="590"/>
      <c r="O1836" s="589"/>
      <c r="P1836" s="590"/>
    </row>
    <row r="1837" spans="1:16" ht="15.75">
      <c r="A1837" s="581"/>
      <c r="B1837" s="581"/>
      <c r="C1837" s="581"/>
      <c r="D1837" s="582"/>
      <c r="E1837" s="583"/>
      <c r="F1837" s="584"/>
      <c r="G1837" s="584"/>
      <c r="H1837" s="582"/>
      <c r="I1837" s="585"/>
      <c r="J1837" s="586"/>
      <c r="K1837" s="584"/>
      <c r="L1837" s="584"/>
      <c r="M1837" s="584"/>
      <c r="N1837" s="584"/>
      <c r="O1837" s="583"/>
      <c r="P1837" s="584"/>
    </row>
    <row r="1838" spans="1:16" ht="15.75">
      <c r="A1838" s="587"/>
      <c r="B1838" s="587"/>
      <c r="C1838" s="587"/>
      <c r="D1838" s="588"/>
      <c r="E1838" s="589"/>
      <c r="F1838" s="590"/>
      <c r="G1838" s="590"/>
      <c r="H1838" s="588"/>
      <c r="I1838" s="591"/>
      <c r="J1838" s="592"/>
      <c r="K1838" s="590"/>
      <c r="L1838" s="590"/>
      <c r="M1838" s="590"/>
      <c r="N1838" s="590"/>
      <c r="O1838" s="589"/>
      <c r="P1838" s="590"/>
    </row>
    <row r="1839" spans="1:16" ht="15.75">
      <c r="A1839" s="581"/>
      <c r="B1839" s="581"/>
      <c r="C1839" s="581"/>
      <c r="D1839" s="582"/>
      <c r="E1839" s="583"/>
      <c r="F1839" s="584"/>
      <c r="G1839" s="584"/>
      <c r="H1839" s="582"/>
      <c r="I1839" s="585"/>
      <c r="J1839" s="586"/>
      <c r="K1839" s="584"/>
      <c r="L1839" s="584"/>
      <c r="M1839" s="584"/>
      <c r="N1839" s="584"/>
      <c r="O1839" s="583"/>
      <c r="P1839" s="584"/>
    </row>
    <row r="1840" spans="1:16" ht="15.75">
      <c r="A1840" s="587"/>
      <c r="B1840" s="587"/>
      <c r="C1840" s="587"/>
      <c r="D1840" s="588"/>
      <c r="E1840" s="589"/>
      <c r="F1840" s="590"/>
      <c r="G1840" s="590"/>
      <c r="H1840" s="588"/>
      <c r="I1840" s="591"/>
      <c r="J1840" s="592"/>
      <c r="K1840" s="590"/>
      <c r="L1840" s="590"/>
      <c r="M1840" s="590"/>
      <c r="N1840" s="590"/>
      <c r="O1840" s="589"/>
      <c r="P1840" s="590"/>
    </row>
    <row r="1841" spans="1:16" ht="15.75">
      <c r="A1841" s="581"/>
      <c r="B1841" s="581"/>
      <c r="C1841" s="581"/>
      <c r="D1841" s="582"/>
      <c r="E1841" s="583"/>
      <c r="F1841" s="584"/>
      <c r="G1841" s="584"/>
      <c r="H1841" s="582"/>
      <c r="I1841" s="585"/>
      <c r="J1841" s="586"/>
      <c r="K1841" s="584"/>
      <c r="L1841" s="584"/>
      <c r="M1841" s="584"/>
      <c r="N1841" s="584"/>
      <c r="O1841" s="583"/>
      <c r="P1841" s="584"/>
    </row>
    <row r="1842" spans="1:16" ht="15.75">
      <c r="A1842" s="587"/>
      <c r="B1842" s="587"/>
      <c r="C1842" s="587"/>
      <c r="D1842" s="588"/>
      <c r="E1842" s="589"/>
      <c r="F1842" s="590"/>
      <c r="G1842" s="590"/>
      <c r="H1842" s="588"/>
      <c r="I1842" s="591"/>
      <c r="J1842" s="592"/>
      <c r="K1842" s="590"/>
      <c r="L1842" s="590"/>
      <c r="M1842" s="590"/>
      <c r="N1842" s="590"/>
      <c r="O1842" s="589"/>
      <c r="P1842" s="590"/>
    </row>
    <row r="1843" spans="1:16" ht="15.75">
      <c r="A1843" s="581"/>
      <c r="B1843" s="581"/>
      <c r="C1843" s="581"/>
      <c r="D1843" s="582"/>
      <c r="E1843" s="583"/>
      <c r="F1843" s="584"/>
      <c r="G1843" s="584"/>
      <c r="H1843" s="582"/>
      <c r="I1843" s="585"/>
      <c r="J1843" s="586"/>
      <c r="K1843" s="584"/>
      <c r="L1843" s="584"/>
      <c r="M1843" s="584"/>
      <c r="N1843" s="584"/>
      <c r="O1843" s="583"/>
      <c r="P1843" s="584"/>
    </row>
    <row r="1844" spans="1:16" ht="15.75">
      <c r="A1844" s="587"/>
      <c r="B1844" s="587"/>
      <c r="C1844" s="587"/>
      <c r="D1844" s="588"/>
      <c r="E1844" s="589"/>
      <c r="F1844" s="590"/>
      <c r="G1844" s="590"/>
      <c r="H1844" s="588"/>
      <c r="I1844" s="591"/>
      <c r="J1844" s="592"/>
      <c r="K1844" s="590"/>
      <c r="L1844" s="590"/>
      <c r="M1844" s="590"/>
      <c r="N1844" s="590"/>
      <c r="O1844" s="589"/>
      <c r="P1844" s="590"/>
    </row>
    <row r="1845" spans="1:16" ht="15.75">
      <c r="A1845" s="581"/>
      <c r="B1845" s="581"/>
      <c r="C1845" s="581"/>
      <c r="D1845" s="582"/>
      <c r="E1845" s="583"/>
      <c r="F1845" s="584"/>
      <c r="G1845" s="584"/>
      <c r="H1845" s="582"/>
      <c r="I1845" s="585"/>
      <c r="J1845" s="586"/>
      <c r="K1845" s="584"/>
      <c r="L1845" s="584"/>
      <c r="M1845" s="584"/>
      <c r="N1845" s="584"/>
      <c r="O1845" s="583"/>
      <c r="P1845" s="584"/>
    </row>
    <row r="1846" spans="1:16" ht="15.75">
      <c r="A1846" s="587"/>
      <c r="B1846" s="587"/>
      <c r="C1846" s="587"/>
      <c r="D1846" s="588"/>
      <c r="E1846" s="589"/>
      <c r="F1846" s="590"/>
      <c r="G1846" s="590"/>
      <c r="H1846" s="588"/>
      <c r="I1846" s="591"/>
      <c r="J1846" s="592"/>
      <c r="K1846" s="590"/>
      <c r="L1846" s="590"/>
      <c r="M1846" s="590"/>
      <c r="N1846" s="590"/>
      <c r="O1846" s="589"/>
      <c r="P1846" s="590"/>
    </row>
    <row r="1847" spans="1:16" ht="15.75">
      <c r="A1847" s="581"/>
      <c r="B1847" s="581"/>
      <c r="C1847" s="581"/>
      <c r="D1847" s="582"/>
      <c r="E1847" s="583"/>
      <c r="F1847" s="584"/>
      <c r="G1847" s="584"/>
      <c r="H1847" s="582"/>
      <c r="I1847" s="585"/>
      <c r="J1847" s="586"/>
      <c r="K1847" s="584"/>
      <c r="L1847" s="584"/>
      <c r="M1847" s="584"/>
      <c r="N1847" s="584"/>
      <c r="O1847" s="583"/>
      <c r="P1847" s="584"/>
    </row>
    <row r="1848" spans="1:16" ht="15.75">
      <c r="A1848" s="587"/>
      <c r="B1848" s="587"/>
      <c r="C1848" s="587"/>
      <c r="D1848" s="588"/>
      <c r="E1848" s="589"/>
      <c r="F1848" s="590"/>
      <c r="G1848" s="590"/>
      <c r="H1848" s="588"/>
      <c r="I1848" s="591"/>
      <c r="J1848" s="592"/>
      <c r="K1848" s="590"/>
      <c r="L1848" s="590"/>
      <c r="M1848" s="590"/>
      <c r="N1848" s="590"/>
      <c r="O1848" s="589"/>
      <c r="P1848" s="590"/>
    </row>
    <row r="1849" spans="1:16" ht="15.75">
      <c r="A1849" s="581"/>
      <c r="B1849" s="581"/>
      <c r="C1849" s="581"/>
      <c r="D1849" s="582"/>
      <c r="E1849" s="583"/>
      <c r="F1849" s="584"/>
      <c r="G1849" s="584"/>
      <c r="H1849" s="582"/>
      <c r="I1849" s="585"/>
      <c r="J1849" s="586"/>
      <c r="K1849" s="584"/>
      <c r="L1849" s="584"/>
      <c r="M1849" s="584"/>
      <c r="N1849" s="584"/>
      <c r="O1849" s="583"/>
      <c r="P1849" s="584"/>
    </row>
    <row r="1850" spans="1:16" ht="15.75">
      <c r="A1850" s="587"/>
      <c r="B1850" s="587"/>
      <c r="C1850" s="587"/>
      <c r="D1850" s="588"/>
      <c r="E1850" s="589"/>
      <c r="F1850" s="590"/>
      <c r="G1850" s="590"/>
      <c r="H1850" s="588"/>
      <c r="I1850" s="591"/>
      <c r="J1850" s="592"/>
      <c r="K1850" s="590"/>
      <c r="L1850" s="590"/>
      <c r="M1850" s="590"/>
      <c r="N1850" s="590"/>
      <c r="O1850" s="589"/>
      <c r="P1850" s="590"/>
    </row>
    <row r="1851" spans="1:16" ht="15.75">
      <c r="A1851" s="581"/>
      <c r="B1851" s="581"/>
      <c r="C1851" s="581"/>
      <c r="D1851" s="582"/>
      <c r="E1851" s="583"/>
      <c r="F1851" s="584"/>
      <c r="G1851" s="584"/>
      <c r="H1851" s="582"/>
      <c r="I1851" s="585"/>
      <c r="J1851" s="586"/>
      <c r="K1851" s="584"/>
      <c r="L1851" s="584"/>
      <c r="M1851" s="584"/>
      <c r="N1851" s="584"/>
      <c r="O1851" s="583"/>
      <c r="P1851" s="584"/>
    </row>
    <row r="1852" spans="1:16" ht="15.75">
      <c r="A1852" s="587"/>
      <c r="B1852" s="587"/>
      <c r="C1852" s="587"/>
      <c r="D1852" s="588"/>
      <c r="E1852" s="589"/>
      <c r="F1852" s="590"/>
      <c r="G1852" s="590"/>
      <c r="H1852" s="588"/>
      <c r="I1852" s="591"/>
      <c r="J1852" s="592"/>
      <c r="K1852" s="590"/>
      <c r="L1852" s="590"/>
      <c r="M1852" s="590"/>
      <c r="N1852" s="590"/>
      <c r="O1852" s="589"/>
      <c r="P1852" s="590"/>
    </row>
    <row r="1853" spans="1:16" ht="15.75">
      <c r="A1853" s="581"/>
      <c r="B1853" s="581"/>
      <c r="C1853" s="581"/>
      <c r="D1853" s="582"/>
      <c r="E1853" s="583"/>
      <c r="F1853" s="584"/>
      <c r="G1853" s="584"/>
      <c r="H1853" s="582"/>
      <c r="I1853" s="585"/>
      <c r="J1853" s="586"/>
      <c r="K1853" s="584"/>
      <c r="L1853" s="584"/>
      <c r="M1853" s="584"/>
      <c r="N1853" s="584"/>
      <c r="O1853" s="583"/>
      <c r="P1853" s="584"/>
    </row>
    <row r="1854" spans="1:16" ht="15.75">
      <c r="A1854" s="587"/>
      <c r="B1854" s="587"/>
      <c r="C1854" s="587"/>
      <c r="D1854" s="588"/>
      <c r="E1854" s="589"/>
      <c r="F1854" s="590"/>
      <c r="G1854" s="590"/>
      <c r="H1854" s="588"/>
      <c r="I1854" s="591"/>
      <c r="J1854" s="592"/>
      <c r="K1854" s="590"/>
      <c r="L1854" s="590"/>
      <c r="M1854" s="590"/>
      <c r="N1854" s="590"/>
      <c r="O1854" s="589"/>
      <c r="P1854" s="590"/>
    </row>
    <row r="1855" spans="1:16" ht="15.75">
      <c r="A1855" s="581"/>
      <c r="B1855" s="581"/>
      <c r="C1855" s="581"/>
      <c r="D1855" s="582"/>
      <c r="E1855" s="583"/>
      <c r="F1855" s="584"/>
      <c r="G1855" s="584"/>
      <c r="H1855" s="582"/>
      <c r="I1855" s="585"/>
      <c r="J1855" s="586"/>
      <c r="K1855" s="584"/>
      <c r="L1855" s="584"/>
      <c r="M1855" s="584"/>
      <c r="N1855" s="584"/>
      <c r="O1855" s="583"/>
      <c r="P1855" s="584"/>
    </row>
    <row r="1856" spans="1:16" ht="15.75">
      <c r="A1856" s="587"/>
      <c r="B1856" s="587"/>
      <c r="C1856" s="587"/>
      <c r="D1856" s="588"/>
      <c r="E1856" s="589"/>
      <c r="F1856" s="590"/>
      <c r="G1856" s="590"/>
      <c r="H1856" s="588"/>
      <c r="I1856" s="591"/>
      <c r="J1856" s="592"/>
      <c r="K1856" s="590"/>
      <c r="L1856" s="590"/>
      <c r="M1856" s="590"/>
      <c r="N1856" s="590"/>
      <c r="O1856" s="589"/>
      <c r="P1856" s="590"/>
    </row>
    <row r="1857" spans="1:16" ht="15.75">
      <c r="A1857" s="581"/>
      <c r="B1857" s="581"/>
      <c r="C1857" s="581"/>
      <c r="D1857" s="582"/>
      <c r="E1857" s="583"/>
      <c r="F1857" s="584"/>
      <c r="G1857" s="584"/>
      <c r="H1857" s="582"/>
      <c r="I1857" s="585"/>
      <c r="J1857" s="586"/>
      <c r="K1857" s="584"/>
      <c r="L1857" s="584"/>
      <c r="M1857" s="584"/>
      <c r="N1857" s="584"/>
      <c r="O1857" s="583"/>
      <c r="P1857" s="584"/>
    </row>
    <row r="1858" spans="1:16" ht="15.75">
      <c r="A1858" s="587"/>
      <c r="B1858" s="587"/>
      <c r="C1858" s="587"/>
      <c r="D1858" s="588"/>
      <c r="E1858" s="589"/>
      <c r="F1858" s="590"/>
      <c r="G1858" s="590"/>
      <c r="H1858" s="588"/>
      <c r="I1858" s="591"/>
      <c r="J1858" s="592"/>
      <c r="K1858" s="590"/>
      <c r="L1858" s="590"/>
      <c r="M1858" s="590"/>
      <c r="N1858" s="590"/>
      <c r="O1858" s="589"/>
      <c r="P1858" s="590"/>
    </row>
    <row r="1859" spans="1:16" ht="15.75">
      <c r="A1859" s="581"/>
      <c r="B1859" s="581"/>
      <c r="C1859" s="581"/>
      <c r="D1859" s="582"/>
      <c r="E1859" s="583"/>
      <c r="F1859" s="584"/>
      <c r="G1859" s="584"/>
      <c r="H1859" s="582"/>
      <c r="I1859" s="585"/>
      <c r="J1859" s="586"/>
      <c r="K1859" s="584"/>
      <c r="L1859" s="584"/>
      <c r="M1859" s="584"/>
      <c r="N1859" s="584"/>
      <c r="O1859" s="583"/>
      <c r="P1859" s="584"/>
    </row>
    <row r="1860" spans="1:16" ht="15.75">
      <c r="A1860" s="587"/>
      <c r="B1860" s="587"/>
      <c r="C1860" s="587"/>
      <c r="D1860" s="588"/>
      <c r="E1860" s="589"/>
      <c r="F1860" s="590"/>
      <c r="G1860" s="590"/>
      <c r="H1860" s="588"/>
      <c r="I1860" s="591"/>
      <c r="J1860" s="592"/>
      <c r="K1860" s="590"/>
      <c r="L1860" s="590"/>
      <c r="M1860" s="590"/>
      <c r="N1860" s="590"/>
      <c r="O1860" s="589"/>
      <c r="P1860" s="590"/>
    </row>
    <row r="1861" spans="1:16" ht="15.75">
      <c r="A1861" s="581"/>
      <c r="B1861" s="581"/>
      <c r="C1861" s="581"/>
      <c r="D1861" s="582"/>
      <c r="E1861" s="583"/>
      <c r="F1861" s="584"/>
      <c r="G1861" s="584"/>
      <c r="H1861" s="582"/>
      <c r="I1861" s="585"/>
      <c r="J1861" s="586"/>
      <c r="K1861" s="584"/>
      <c r="L1861" s="584"/>
      <c r="M1861" s="584"/>
      <c r="N1861" s="584"/>
      <c r="O1861" s="583"/>
      <c r="P1861" s="584"/>
    </row>
    <row r="1862" spans="1:16" ht="15.75">
      <c r="A1862" s="587"/>
      <c r="B1862" s="587"/>
      <c r="C1862" s="587"/>
      <c r="D1862" s="588"/>
      <c r="E1862" s="589"/>
      <c r="F1862" s="590"/>
      <c r="G1862" s="590"/>
      <c r="H1862" s="588"/>
      <c r="I1862" s="591"/>
      <c r="J1862" s="592"/>
      <c r="K1862" s="590"/>
      <c r="L1862" s="590"/>
      <c r="M1862" s="590"/>
      <c r="N1862" s="590"/>
      <c r="O1862" s="589"/>
      <c r="P1862" s="590"/>
    </row>
    <row r="1863" spans="1:16" ht="15.75">
      <c r="A1863" s="581"/>
      <c r="B1863" s="581"/>
      <c r="C1863" s="581"/>
      <c r="D1863" s="582"/>
      <c r="E1863" s="583"/>
      <c r="F1863" s="584"/>
      <c r="G1863" s="584"/>
      <c r="H1863" s="582"/>
      <c r="I1863" s="585"/>
      <c r="J1863" s="586"/>
      <c r="K1863" s="584"/>
      <c r="L1863" s="584"/>
      <c r="M1863" s="584"/>
      <c r="N1863" s="584"/>
      <c r="O1863" s="583"/>
      <c r="P1863" s="584"/>
    </row>
    <row r="1864" spans="1:16" ht="15.75">
      <c r="A1864" s="587"/>
      <c r="B1864" s="587"/>
      <c r="C1864" s="587"/>
      <c r="D1864" s="588"/>
      <c r="E1864" s="589"/>
      <c r="F1864" s="590"/>
      <c r="G1864" s="590"/>
      <c r="H1864" s="588"/>
      <c r="I1864" s="591"/>
      <c r="J1864" s="592"/>
      <c r="K1864" s="590"/>
      <c r="L1864" s="590"/>
      <c r="M1864" s="590"/>
      <c r="N1864" s="590"/>
      <c r="O1864" s="589"/>
      <c r="P1864" s="590"/>
    </row>
    <row r="1865" spans="1:16" ht="15.75">
      <c r="A1865" s="581"/>
      <c r="B1865" s="581"/>
      <c r="C1865" s="581"/>
      <c r="D1865" s="582"/>
      <c r="E1865" s="583"/>
      <c r="F1865" s="584"/>
      <c r="G1865" s="584"/>
      <c r="H1865" s="582"/>
      <c r="I1865" s="585"/>
      <c r="J1865" s="586"/>
      <c r="K1865" s="584"/>
      <c r="L1865" s="584"/>
      <c r="M1865" s="584"/>
      <c r="N1865" s="584"/>
      <c r="O1865" s="583"/>
      <c r="P1865" s="584"/>
    </row>
    <row r="1866" spans="1:16" ht="15.75">
      <c r="A1866" s="587"/>
      <c r="B1866" s="587"/>
      <c r="C1866" s="587"/>
      <c r="D1866" s="588"/>
      <c r="E1866" s="589"/>
      <c r="F1866" s="590"/>
      <c r="G1866" s="590"/>
      <c r="H1866" s="588"/>
      <c r="I1866" s="591"/>
      <c r="J1866" s="592"/>
      <c r="K1866" s="590"/>
      <c r="L1866" s="590"/>
      <c r="M1866" s="590"/>
      <c r="N1866" s="590"/>
      <c r="O1866" s="589"/>
      <c r="P1866" s="590"/>
    </row>
    <row r="1867" spans="1:16" ht="15.75">
      <c r="A1867" s="581"/>
      <c r="B1867" s="581"/>
      <c r="C1867" s="581"/>
      <c r="D1867" s="582"/>
      <c r="E1867" s="583"/>
      <c r="F1867" s="584"/>
      <c r="G1867" s="584"/>
      <c r="H1867" s="582"/>
      <c r="I1867" s="585"/>
      <c r="J1867" s="586"/>
      <c r="K1867" s="584"/>
      <c r="L1867" s="584"/>
      <c r="M1867" s="584"/>
      <c r="N1867" s="584"/>
      <c r="O1867" s="583"/>
      <c r="P1867" s="584"/>
    </row>
    <row r="1868" spans="1:16" ht="15.75">
      <c r="A1868" s="587"/>
      <c r="B1868" s="587"/>
      <c r="C1868" s="587"/>
      <c r="D1868" s="588"/>
      <c r="E1868" s="589"/>
      <c r="F1868" s="590"/>
      <c r="G1868" s="590"/>
      <c r="H1868" s="588"/>
      <c r="I1868" s="591"/>
      <c r="J1868" s="592"/>
      <c r="K1868" s="590"/>
      <c r="L1868" s="590"/>
      <c r="M1868" s="590"/>
      <c r="N1868" s="590"/>
      <c r="O1868" s="589"/>
      <c r="P1868" s="590"/>
    </row>
    <row r="1869" spans="1:16" ht="15.75">
      <c r="A1869" s="581"/>
      <c r="B1869" s="581"/>
      <c r="C1869" s="581"/>
      <c r="D1869" s="582"/>
      <c r="E1869" s="583"/>
      <c r="F1869" s="584"/>
      <c r="G1869" s="584"/>
      <c r="H1869" s="582"/>
      <c r="I1869" s="585"/>
      <c r="J1869" s="586"/>
      <c r="K1869" s="584"/>
      <c r="L1869" s="584"/>
      <c r="M1869" s="584"/>
      <c r="N1869" s="584"/>
      <c r="O1869" s="583"/>
      <c r="P1869" s="584"/>
    </row>
    <row r="1870" spans="1:16" ht="15.75">
      <c r="A1870" s="587"/>
      <c r="B1870" s="587"/>
      <c r="C1870" s="587"/>
      <c r="D1870" s="588"/>
      <c r="E1870" s="589"/>
      <c r="F1870" s="590"/>
      <c r="G1870" s="590"/>
      <c r="H1870" s="588"/>
      <c r="I1870" s="591"/>
      <c r="J1870" s="592"/>
      <c r="K1870" s="590"/>
      <c r="L1870" s="590"/>
      <c r="M1870" s="590"/>
      <c r="N1870" s="590"/>
      <c r="O1870" s="589"/>
      <c r="P1870" s="590"/>
    </row>
    <row r="1871" spans="1:16" ht="15.75">
      <c r="A1871" s="581"/>
      <c r="B1871" s="581"/>
      <c r="C1871" s="581"/>
      <c r="D1871" s="582"/>
      <c r="E1871" s="583"/>
      <c r="F1871" s="584"/>
      <c r="G1871" s="584"/>
      <c r="H1871" s="582"/>
      <c r="I1871" s="585"/>
      <c r="J1871" s="586"/>
      <c r="K1871" s="584"/>
      <c r="L1871" s="584"/>
      <c r="M1871" s="584"/>
      <c r="N1871" s="584"/>
      <c r="O1871" s="583"/>
      <c r="P1871" s="584"/>
    </row>
    <row r="1872" spans="1:16" ht="15.75">
      <c r="A1872" s="587"/>
      <c r="B1872" s="587"/>
      <c r="C1872" s="587"/>
      <c r="D1872" s="588"/>
      <c r="E1872" s="589"/>
      <c r="F1872" s="590"/>
      <c r="G1872" s="590"/>
      <c r="H1872" s="588"/>
      <c r="I1872" s="591"/>
      <c r="J1872" s="592"/>
      <c r="K1872" s="590"/>
      <c r="L1872" s="590"/>
      <c r="M1872" s="590"/>
      <c r="N1872" s="590"/>
      <c r="O1872" s="589"/>
      <c r="P1872" s="590"/>
    </row>
    <row r="1873" spans="1:16" ht="15.75">
      <c r="A1873" s="581"/>
      <c r="B1873" s="581"/>
      <c r="C1873" s="581"/>
      <c r="D1873" s="582"/>
      <c r="E1873" s="583"/>
      <c r="F1873" s="584"/>
      <c r="G1873" s="584"/>
      <c r="H1873" s="582"/>
      <c r="I1873" s="585"/>
      <c r="J1873" s="586"/>
      <c r="K1873" s="584"/>
      <c r="L1873" s="584"/>
      <c r="M1873" s="584"/>
      <c r="N1873" s="584"/>
      <c r="O1873" s="583"/>
      <c r="P1873" s="584"/>
    </row>
    <row r="1874" spans="1:16" ht="15.75">
      <c r="A1874" s="587"/>
      <c r="B1874" s="587"/>
      <c r="C1874" s="587"/>
      <c r="D1874" s="588"/>
      <c r="E1874" s="589"/>
      <c r="F1874" s="590"/>
      <c r="G1874" s="590"/>
      <c r="H1874" s="588"/>
      <c r="I1874" s="591"/>
      <c r="J1874" s="592"/>
      <c r="K1874" s="590"/>
      <c r="L1874" s="590"/>
      <c r="M1874" s="590"/>
      <c r="N1874" s="590"/>
      <c r="O1874" s="589"/>
      <c r="P1874" s="590"/>
    </row>
    <row r="1875" spans="1:16" ht="15.75">
      <c r="A1875" s="581"/>
      <c r="B1875" s="581"/>
      <c r="C1875" s="581"/>
      <c r="D1875" s="582"/>
      <c r="E1875" s="583"/>
      <c r="F1875" s="584"/>
      <c r="G1875" s="584"/>
      <c r="H1875" s="582"/>
      <c r="I1875" s="585"/>
      <c r="J1875" s="586"/>
      <c r="K1875" s="584"/>
      <c r="L1875" s="584"/>
      <c r="M1875" s="584"/>
      <c r="N1875" s="584"/>
      <c r="O1875" s="583"/>
      <c r="P1875" s="584"/>
    </row>
    <row r="1876" spans="1:16" ht="15.75">
      <c r="A1876" s="587"/>
      <c r="B1876" s="587"/>
      <c r="C1876" s="587"/>
      <c r="D1876" s="588"/>
      <c r="E1876" s="589"/>
      <c r="F1876" s="590"/>
      <c r="G1876" s="590"/>
      <c r="H1876" s="588"/>
      <c r="I1876" s="591"/>
      <c r="J1876" s="592"/>
      <c r="K1876" s="590"/>
      <c r="L1876" s="590"/>
      <c r="M1876" s="590"/>
      <c r="N1876" s="590"/>
      <c r="O1876" s="589"/>
      <c r="P1876" s="590"/>
    </row>
    <row r="1877" spans="1:16" ht="15.75">
      <c r="A1877" s="581"/>
      <c r="B1877" s="581"/>
      <c r="C1877" s="581"/>
      <c r="D1877" s="582"/>
      <c r="E1877" s="583"/>
      <c r="F1877" s="584"/>
      <c r="G1877" s="584"/>
      <c r="H1877" s="582"/>
      <c r="I1877" s="585"/>
      <c r="J1877" s="586"/>
      <c r="K1877" s="584"/>
      <c r="L1877" s="584"/>
      <c r="M1877" s="584"/>
      <c r="N1877" s="584"/>
      <c r="O1877" s="583"/>
      <c r="P1877" s="584"/>
    </row>
    <row r="1878" spans="1:16" ht="15.75">
      <c r="A1878" s="587"/>
      <c r="B1878" s="587"/>
      <c r="C1878" s="587"/>
      <c r="D1878" s="588"/>
      <c r="E1878" s="589"/>
      <c r="F1878" s="590"/>
      <c r="G1878" s="590"/>
      <c r="H1878" s="588"/>
      <c r="I1878" s="591"/>
      <c r="J1878" s="592"/>
      <c r="K1878" s="590"/>
      <c r="L1878" s="590"/>
      <c r="M1878" s="590"/>
      <c r="N1878" s="590"/>
      <c r="O1878" s="589"/>
      <c r="P1878" s="590"/>
    </row>
    <row r="1879" spans="1:16" ht="15.75">
      <c r="A1879" s="581"/>
      <c r="B1879" s="581"/>
      <c r="C1879" s="581"/>
      <c r="D1879" s="582"/>
      <c r="E1879" s="583"/>
      <c r="F1879" s="584"/>
      <c r="G1879" s="584"/>
      <c r="H1879" s="582"/>
      <c r="I1879" s="585"/>
      <c r="J1879" s="586"/>
      <c r="K1879" s="584"/>
      <c r="L1879" s="584"/>
      <c r="M1879" s="584"/>
      <c r="N1879" s="584"/>
      <c r="O1879" s="583"/>
      <c r="P1879" s="584"/>
    </row>
    <row r="1880" spans="1:16" ht="15.75">
      <c r="A1880" s="587"/>
      <c r="B1880" s="587"/>
      <c r="C1880" s="587"/>
      <c r="D1880" s="588"/>
      <c r="E1880" s="589"/>
      <c r="F1880" s="590"/>
      <c r="G1880" s="590"/>
      <c r="H1880" s="588"/>
      <c r="I1880" s="591"/>
      <c r="J1880" s="592"/>
      <c r="K1880" s="590"/>
      <c r="L1880" s="590"/>
      <c r="M1880" s="590"/>
      <c r="N1880" s="590"/>
      <c r="O1880" s="589"/>
      <c r="P1880" s="590"/>
    </row>
    <row r="1881" spans="1:16" ht="15.75">
      <c r="A1881" s="581"/>
      <c r="B1881" s="581"/>
      <c r="C1881" s="581"/>
      <c r="D1881" s="582"/>
      <c r="E1881" s="583"/>
      <c r="F1881" s="584"/>
      <c r="G1881" s="584"/>
      <c r="H1881" s="582"/>
      <c r="I1881" s="585"/>
      <c r="J1881" s="586"/>
      <c r="K1881" s="584"/>
      <c r="L1881" s="584"/>
      <c r="M1881" s="584"/>
      <c r="N1881" s="584"/>
      <c r="O1881" s="583"/>
      <c r="P1881" s="584"/>
    </row>
    <row r="1882" spans="1:16" ht="15.75">
      <c r="A1882" s="587"/>
      <c r="B1882" s="587"/>
      <c r="C1882" s="587"/>
      <c r="D1882" s="588"/>
      <c r="E1882" s="589"/>
      <c r="F1882" s="590"/>
      <c r="G1882" s="590"/>
      <c r="H1882" s="588"/>
      <c r="I1882" s="591"/>
      <c r="J1882" s="592"/>
      <c r="K1882" s="590"/>
      <c r="L1882" s="590"/>
      <c r="M1882" s="590"/>
      <c r="N1882" s="590"/>
      <c r="O1882" s="589"/>
      <c r="P1882" s="590"/>
    </row>
    <row r="1883" spans="1:16" ht="15.75">
      <c r="A1883" s="581"/>
      <c r="B1883" s="581"/>
      <c r="C1883" s="581"/>
      <c r="D1883" s="582"/>
      <c r="E1883" s="583"/>
      <c r="F1883" s="584"/>
      <c r="G1883" s="584"/>
      <c r="H1883" s="582"/>
      <c r="I1883" s="585"/>
      <c r="J1883" s="586"/>
      <c r="K1883" s="584"/>
      <c r="L1883" s="584"/>
      <c r="M1883" s="584"/>
      <c r="N1883" s="584"/>
      <c r="O1883" s="583"/>
      <c r="P1883" s="584"/>
    </row>
    <row r="1884" spans="1:16" ht="15.75">
      <c r="A1884" s="587"/>
      <c r="B1884" s="587"/>
      <c r="C1884" s="587"/>
      <c r="D1884" s="588"/>
      <c r="E1884" s="589"/>
      <c r="F1884" s="590"/>
      <c r="G1884" s="590"/>
      <c r="H1884" s="588"/>
      <c r="I1884" s="591"/>
      <c r="J1884" s="592"/>
      <c r="K1884" s="590"/>
      <c r="L1884" s="590"/>
      <c r="M1884" s="590"/>
      <c r="N1884" s="590"/>
      <c r="O1884" s="589"/>
      <c r="P1884" s="590"/>
    </row>
    <row r="1885" spans="1:16" ht="15.75">
      <c r="A1885" s="581"/>
      <c r="B1885" s="581"/>
      <c r="C1885" s="581"/>
      <c r="D1885" s="582"/>
      <c r="E1885" s="583"/>
      <c r="F1885" s="584"/>
      <c r="G1885" s="584"/>
      <c r="H1885" s="582"/>
      <c r="I1885" s="585"/>
      <c r="J1885" s="586"/>
      <c r="K1885" s="584"/>
      <c r="L1885" s="584"/>
      <c r="M1885" s="584"/>
      <c r="N1885" s="584"/>
      <c r="O1885" s="583"/>
      <c r="P1885" s="584"/>
    </row>
    <row r="1886" spans="1:16" ht="15.75">
      <c r="A1886" s="587"/>
      <c r="B1886" s="587"/>
      <c r="C1886" s="587"/>
      <c r="D1886" s="588"/>
      <c r="E1886" s="589"/>
      <c r="F1886" s="590"/>
      <c r="G1886" s="590"/>
      <c r="H1886" s="588"/>
      <c r="I1886" s="591"/>
      <c r="J1886" s="592"/>
      <c r="K1886" s="590"/>
      <c r="L1886" s="590"/>
      <c r="M1886" s="590"/>
      <c r="N1886" s="590"/>
      <c r="O1886" s="589"/>
      <c r="P1886" s="590"/>
    </row>
    <row r="1887" spans="1:16" ht="15.75">
      <c r="A1887" s="581"/>
      <c r="B1887" s="581"/>
      <c r="C1887" s="581"/>
      <c r="D1887" s="582"/>
      <c r="E1887" s="583"/>
      <c r="F1887" s="584"/>
      <c r="G1887" s="584"/>
      <c r="H1887" s="582"/>
      <c r="I1887" s="585"/>
      <c r="J1887" s="586"/>
      <c r="K1887" s="584"/>
      <c r="L1887" s="584"/>
      <c r="M1887" s="584"/>
      <c r="N1887" s="584"/>
      <c r="O1887" s="583"/>
      <c r="P1887" s="584"/>
    </row>
    <row r="1888" spans="1:16" ht="15.75">
      <c r="A1888" s="587"/>
      <c r="B1888" s="587"/>
      <c r="C1888" s="587"/>
      <c r="D1888" s="588"/>
      <c r="E1888" s="589"/>
      <c r="F1888" s="590"/>
      <c r="G1888" s="590"/>
      <c r="H1888" s="588"/>
      <c r="I1888" s="591"/>
      <c r="J1888" s="592"/>
      <c r="K1888" s="590"/>
      <c r="L1888" s="590"/>
      <c r="M1888" s="590"/>
      <c r="N1888" s="590"/>
      <c r="O1888" s="589"/>
      <c r="P1888" s="590"/>
    </row>
    <row r="1889" spans="1:16" ht="15.75">
      <c r="A1889" s="581"/>
      <c r="B1889" s="581"/>
      <c r="C1889" s="581"/>
      <c r="D1889" s="582"/>
      <c r="E1889" s="583"/>
      <c r="F1889" s="584"/>
      <c r="G1889" s="584"/>
      <c r="H1889" s="582"/>
      <c r="I1889" s="585"/>
      <c r="J1889" s="586"/>
      <c r="K1889" s="584"/>
      <c r="L1889" s="584"/>
      <c r="M1889" s="584"/>
      <c r="N1889" s="584"/>
      <c r="O1889" s="583"/>
      <c r="P1889" s="584"/>
    </row>
    <row r="1890" spans="1:16" ht="15.75">
      <c r="A1890" s="587"/>
      <c r="B1890" s="587"/>
      <c r="C1890" s="587"/>
      <c r="D1890" s="588"/>
      <c r="E1890" s="589"/>
      <c r="F1890" s="590"/>
      <c r="G1890" s="590"/>
      <c r="H1890" s="588"/>
      <c r="I1890" s="591"/>
      <c r="J1890" s="592"/>
      <c r="K1890" s="590"/>
      <c r="L1890" s="590"/>
      <c r="M1890" s="590"/>
      <c r="N1890" s="590"/>
      <c r="O1890" s="589"/>
      <c r="P1890" s="590"/>
    </row>
    <row r="1891" spans="1:16" ht="15.75">
      <c r="A1891" s="581"/>
      <c r="B1891" s="581"/>
      <c r="C1891" s="581"/>
      <c r="D1891" s="582"/>
      <c r="E1891" s="583"/>
      <c r="F1891" s="584"/>
      <c r="G1891" s="584"/>
      <c r="H1891" s="582"/>
      <c r="I1891" s="585"/>
      <c r="J1891" s="586"/>
      <c r="K1891" s="584"/>
      <c r="L1891" s="584"/>
      <c r="M1891" s="584"/>
      <c r="N1891" s="584"/>
      <c r="O1891" s="583"/>
      <c r="P1891" s="584"/>
    </row>
    <row r="1892" spans="1:16" ht="15.75">
      <c r="A1892" s="587"/>
      <c r="B1892" s="587"/>
      <c r="C1892" s="587"/>
      <c r="D1892" s="588"/>
      <c r="E1892" s="589"/>
      <c r="F1892" s="590"/>
      <c r="G1892" s="590"/>
      <c r="H1892" s="588"/>
      <c r="I1892" s="591"/>
      <c r="J1892" s="592"/>
      <c r="K1892" s="590"/>
      <c r="L1892" s="590"/>
      <c r="M1892" s="590"/>
      <c r="N1892" s="590"/>
      <c r="O1892" s="589"/>
      <c r="P1892" s="590"/>
    </row>
    <row r="1893" spans="1:16" ht="15.75">
      <c r="A1893" s="581"/>
      <c r="B1893" s="581"/>
      <c r="C1893" s="581"/>
      <c r="D1893" s="582"/>
      <c r="E1893" s="583"/>
      <c r="F1893" s="584"/>
      <c r="G1893" s="584"/>
      <c r="H1893" s="582"/>
      <c r="I1893" s="585"/>
      <c r="J1893" s="586"/>
      <c r="K1893" s="584"/>
      <c r="L1893" s="584"/>
      <c r="M1893" s="584"/>
      <c r="N1893" s="584"/>
      <c r="O1893" s="583"/>
      <c r="P1893" s="584"/>
    </row>
    <row r="1894" spans="1:16" ht="15.75">
      <c r="A1894" s="587"/>
      <c r="B1894" s="587"/>
      <c r="C1894" s="587"/>
      <c r="D1894" s="588"/>
      <c r="E1894" s="589"/>
      <c r="F1894" s="590"/>
      <c r="G1894" s="590"/>
      <c r="H1894" s="588"/>
      <c r="I1894" s="591"/>
      <c r="J1894" s="592"/>
      <c r="K1894" s="590"/>
      <c r="L1894" s="590"/>
      <c r="M1894" s="590"/>
      <c r="N1894" s="590"/>
      <c r="O1894" s="589"/>
      <c r="P1894" s="590"/>
    </row>
    <row r="1895" spans="1:16" ht="15.75">
      <c r="A1895" s="581"/>
      <c r="B1895" s="581"/>
      <c r="C1895" s="581"/>
      <c r="D1895" s="582"/>
      <c r="E1895" s="583"/>
      <c r="F1895" s="584"/>
      <c r="G1895" s="584"/>
      <c r="H1895" s="582"/>
      <c r="I1895" s="585"/>
      <c r="J1895" s="586"/>
      <c r="K1895" s="584"/>
      <c r="L1895" s="584"/>
      <c r="M1895" s="584"/>
      <c r="N1895" s="584"/>
      <c r="O1895" s="583"/>
      <c r="P1895" s="584"/>
    </row>
    <row r="1896" spans="1:16" ht="15.75">
      <c r="A1896" s="587"/>
      <c r="B1896" s="587"/>
      <c r="C1896" s="587"/>
      <c r="D1896" s="588"/>
      <c r="E1896" s="589"/>
      <c r="F1896" s="590"/>
      <c r="G1896" s="590"/>
      <c r="H1896" s="588"/>
      <c r="I1896" s="591"/>
      <c r="J1896" s="592"/>
      <c r="K1896" s="590"/>
      <c r="L1896" s="590"/>
      <c r="M1896" s="590"/>
      <c r="N1896" s="590"/>
      <c r="O1896" s="589"/>
      <c r="P1896" s="590"/>
    </row>
    <row r="1897" spans="1:16" ht="15.75">
      <c r="A1897" s="581"/>
      <c r="B1897" s="581"/>
      <c r="C1897" s="581"/>
      <c r="D1897" s="582"/>
      <c r="E1897" s="583"/>
      <c r="F1897" s="584"/>
      <c r="G1897" s="584"/>
      <c r="H1897" s="582"/>
      <c r="I1897" s="585"/>
      <c r="J1897" s="586"/>
      <c r="K1897" s="584"/>
      <c r="L1897" s="584"/>
      <c r="M1897" s="584"/>
      <c r="N1897" s="584"/>
      <c r="O1897" s="583"/>
      <c r="P1897" s="584"/>
    </row>
    <row r="1898" spans="1:16" ht="15.75">
      <c r="A1898" s="587"/>
      <c r="B1898" s="587"/>
      <c r="C1898" s="587"/>
      <c r="D1898" s="588"/>
      <c r="E1898" s="589"/>
      <c r="F1898" s="590"/>
      <c r="G1898" s="590"/>
      <c r="H1898" s="588"/>
      <c r="I1898" s="591"/>
      <c r="J1898" s="592"/>
      <c r="K1898" s="590"/>
      <c r="L1898" s="590"/>
      <c r="M1898" s="590"/>
      <c r="N1898" s="590"/>
      <c r="O1898" s="589"/>
      <c r="P1898" s="590"/>
    </row>
    <row r="1899" spans="1:16" ht="15.75">
      <c r="A1899" s="581"/>
      <c r="B1899" s="581"/>
      <c r="C1899" s="581"/>
      <c r="D1899" s="582"/>
      <c r="E1899" s="583"/>
      <c r="F1899" s="584"/>
      <c r="G1899" s="584"/>
      <c r="H1899" s="582"/>
      <c r="I1899" s="585"/>
      <c r="J1899" s="586"/>
      <c r="K1899" s="584"/>
      <c r="L1899" s="584"/>
      <c r="M1899" s="584"/>
      <c r="N1899" s="584"/>
      <c r="O1899" s="583"/>
      <c r="P1899" s="584"/>
    </row>
    <row r="1900" spans="1:16" ht="15.75">
      <c r="A1900" s="587"/>
      <c r="B1900" s="587"/>
      <c r="C1900" s="587"/>
      <c r="D1900" s="588"/>
      <c r="E1900" s="589"/>
      <c r="F1900" s="590"/>
      <c r="G1900" s="590"/>
      <c r="H1900" s="588"/>
      <c r="I1900" s="591"/>
      <c r="J1900" s="592"/>
      <c r="K1900" s="590"/>
      <c r="L1900" s="590"/>
      <c r="M1900" s="590"/>
      <c r="N1900" s="590"/>
      <c r="O1900" s="589"/>
      <c r="P1900" s="590"/>
    </row>
    <row r="1901" spans="1:16" ht="15.75">
      <c r="A1901" s="581"/>
      <c r="B1901" s="581"/>
      <c r="C1901" s="581"/>
      <c r="D1901" s="582"/>
      <c r="E1901" s="583"/>
      <c r="F1901" s="584"/>
      <c r="G1901" s="584"/>
      <c r="H1901" s="582"/>
      <c r="I1901" s="585"/>
      <c r="J1901" s="586"/>
      <c r="K1901" s="584"/>
      <c r="L1901" s="584"/>
      <c r="M1901" s="584"/>
      <c r="N1901" s="584"/>
      <c r="O1901" s="583"/>
      <c r="P1901" s="584"/>
    </row>
    <row r="1902" spans="1:16" ht="15.75">
      <c r="A1902" s="587"/>
      <c r="B1902" s="587"/>
      <c r="C1902" s="587"/>
      <c r="D1902" s="588"/>
      <c r="E1902" s="589"/>
      <c r="F1902" s="590"/>
      <c r="G1902" s="590"/>
      <c r="H1902" s="588"/>
      <c r="I1902" s="591"/>
      <c r="J1902" s="592"/>
      <c r="K1902" s="590"/>
      <c r="L1902" s="590"/>
      <c r="M1902" s="590"/>
      <c r="N1902" s="590"/>
      <c r="O1902" s="589"/>
      <c r="P1902" s="590"/>
    </row>
    <row r="1903" spans="1:16" ht="15.75">
      <c r="A1903" s="581"/>
      <c r="B1903" s="581"/>
      <c r="C1903" s="581"/>
      <c r="D1903" s="582"/>
      <c r="E1903" s="583"/>
      <c r="F1903" s="584"/>
      <c r="G1903" s="584"/>
      <c r="H1903" s="582"/>
      <c r="I1903" s="585"/>
      <c r="J1903" s="586"/>
      <c r="K1903" s="584"/>
      <c r="L1903" s="584"/>
      <c r="M1903" s="584"/>
      <c r="N1903" s="584"/>
      <c r="O1903" s="583"/>
      <c r="P1903" s="584"/>
    </row>
    <row r="1904" spans="1:16" ht="15.75">
      <c r="A1904" s="587"/>
      <c r="B1904" s="587"/>
      <c r="C1904" s="587"/>
      <c r="D1904" s="588"/>
      <c r="E1904" s="589"/>
      <c r="F1904" s="590"/>
      <c r="G1904" s="590"/>
      <c r="H1904" s="588"/>
      <c r="I1904" s="591"/>
      <c r="J1904" s="592"/>
      <c r="K1904" s="590"/>
      <c r="L1904" s="590"/>
      <c r="M1904" s="590"/>
      <c r="N1904" s="590"/>
      <c r="O1904" s="589"/>
      <c r="P1904" s="590"/>
    </row>
    <row r="1905" spans="1:16" ht="15.75">
      <c r="A1905" s="581"/>
      <c r="B1905" s="581"/>
      <c r="C1905" s="581"/>
      <c r="D1905" s="582"/>
      <c r="E1905" s="583"/>
      <c r="F1905" s="584"/>
      <c r="G1905" s="584"/>
      <c r="H1905" s="582"/>
      <c r="I1905" s="585"/>
      <c r="J1905" s="586"/>
      <c r="K1905" s="584"/>
      <c r="L1905" s="584"/>
      <c r="M1905" s="584"/>
      <c r="N1905" s="584"/>
      <c r="O1905" s="583"/>
      <c r="P1905" s="584"/>
    </row>
    <row r="1906" spans="1:16" ht="15.75">
      <c r="A1906" s="587"/>
      <c r="B1906" s="587"/>
      <c r="C1906" s="587"/>
      <c r="D1906" s="588"/>
      <c r="E1906" s="589"/>
      <c r="F1906" s="590"/>
      <c r="G1906" s="590"/>
      <c r="H1906" s="588"/>
      <c r="I1906" s="591"/>
      <c r="J1906" s="592"/>
      <c r="K1906" s="590"/>
      <c r="L1906" s="590"/>
      <c r="M1906" s="590"/>
      <c r="N1906" s="590"/>
      <c r="O1906" s="589"/>
      <c r="P1906" s="590"/>
    </row>
    <row r="1907" spans="1:16" ht="15.75">
      <c r="A1907" s="581"/>
      <c r="B1907" s="581"/>
      <c r="C1907" s="581"/>
      <c r="D1907" s="582"/>
      <c r="E1907" s="583"/>
      <c r="F1907" s="584"/>
      <c r="G1907" s="584"/>
      <c r="H1907" s="582"/>
      <c r="I1907" s="585"/>
      <c r="J1907" s="586"/>
      <c r="K1907" s="584"/>
      <c r="L1907" s="584"/>
      <c r="M1907" s="584"/>
      <c r="N1907" s="584"/>
      <c r="O1907" s="583"/>
      <c r="P1907" s="584"/>
    </row>
    <row r="1908" spans="1:16" ht="15.75">
      <c r="A1908" s="587"/>
      <c r="B1908" s="587"/>
      <c r="C1908" s="587"/>
      <c r="D1908" s="588"/>
      <c r="E1908" s="589"/>
      <c r="F1908" s="590"/>
      <c r="G1908" s="590"/>
      <c r="H1908" s="588"/>
      <c r="I1908" s="591"/>
      <c r="J1908" s="592"/>
      <c r="K1908" s="590"/>
      <c r="L1908" s="590"/>
      <c r="M1908" s="590"/>
      <c r="N1908" s="590"/>
      <c r="O1908" s="589"/>
      <c r="P1908" s="590"/>
    </row>
    <row r="1909" spans="1:16" ht="15.75">
      <c r="A1909" s="581"/>
      <c r="B1909" s="581"/>
      <c r="C1909" s="581"/>
      <c r="D1909" s="582"/>
      <c r="E1909" s="583"/>
      <c r="F1909" s="584"/>
      <c r="G1909" s="584"/>
      <c r="H1909" s="582"/>
      <c r="I1909" s="585"/>
      <c r="J1909" s="586"/>
      <c r="K1909" s="584"/>
      <c r="L1909" s="584"/>
      <c r="M1909" s="584"/>
      <c r="N1909" s="584"/>
      <c r="O1909" s="583"/>
      <c r="P1909" s="584"/>
    </row>
    <row r="1910" spans="1:16" ht="15.75">
      <c r="A1910" s="587"/>
      <c r="B1910" s="587"/>
      <c r="C1910" s="587"/>
      <c r="D1910" s="588"/>
      <c r="E1910" s="589"/>
      <c r="F1910" s="590"/>
      <c r="G1910" s="590"/>
      <c r="H1910" s="588"/>
      <c r="I1910" s="591"/>
      <c r="J1910" s="592"/>
      <c r="K1910" s="590"/>
      <c r="L1910" s="590"/>
      <c r="M1910" s="590"/>
      <c r="N1910" s="590"/>
      <c r="O1910" s="589"/>
      <c r="P1910" s="590"/>
    </row>
    <row r="1911" spans="1:16" ht="15.75">
      <c r="A1911" s="581"/>
      <c r="B1911" s="581"/>
      <c r="C1911" s="581"/>
      <c r="D1911" s="582"/>
      <c r="E1911" s="583"/>
      <c r="F1911" s="584"/>
      <c r="G1911" s="584"/>
      <c r="H1911" s="582"/>
      <c r="I1911" s="585"/>
      <c r="J1911" s="586"/>
      <c r="K1911" s="584"/>
      <c r="L1911" s="584"/>
      <c r="M1911" s="584"/>
      <c r="N1911" s="584"/>
      <c r="O1911" s="583"/>
      <c r="P1911" s="584"/>
    </row>
    <row r="1912" spans="1:16" ht="15.75">
      <c r="A1912" s="587"/>
      <c r="B1912" s="587"/>
      <c r="C1912" s="587"/>
      <c r="D1912" s="588"/>
      <c r="E1912" s="589"/>
      <c r="F1912" s="590"/>
      <c r="G1912" s="590"/>
      <c r="H1912" s="588"/>
      <c r="I1912" s="591"/>
      <c r="J1912" s="592"/>
      <c r="K1912" s="590"/>
      <c r="L1912" s="590"/>
      <c r="M1912" s="590"/>
      <c r="N1912" s="590"/>
      <c r="O1912" s="589"/>
      <c r="P1912" s="590"/>
    </row>
    <row r="1913" spans="1:16" ht="15.75">
      <c r="A1913" s="581"/>
      <c r="B1913" s="581"/>
      <c r="C1913" s="581"/>
      <c r="D1913" s="582"/>
      <c r="E1913" s="583"/>
      <c r="F1913" s="584"/>
      <c r="G1913" s="584"/>
      <c r="H1913" s="582"/>
      <c r="I1913" s="585"/>
      <c r="J1913" s="586"/>
      <c r="K1913" s="584"/>
      <c r="L1913" s="584"/>
      <c r="M1913" s="584"/>
      <c r="N1913" s="584"/>
      <c r="O1913" s="583"/>
      <c r="P1913" s="584"/>
    </row>
    <row r="1914" spans="1:16" ht="15.75">
      <c r="A1914" s="587"/>
      <c r="B1914" s="587"/>
      <c r="C1914" s="587"/>
      <c r="D1914" s="588"/>
      <c r="E1914" s="589"/>
      <c r="F1914" s="590"/>
      <c r="G1914" s="590"/>
      <c r="H1914" s="588"/>
      <c r="I1914" s="591"/>
      <c r="J1914" s="592"/>
      <c r="K1914" s="590"/>
      <c r="L1914" s="590"/>
      <c r="M1914" s="590"/>
      <c r="N1914" s="590"/>
      <c r="O1914" s="589"/>
      <c r="P1914" s="590"/>
    </row>
    <row r="1915" spans="1:16" ht="15.75">
      <c r="A1915" s="581"/>
      <c r="B1915" s="581"/>
      <c r="C1915" s="581"/>
      <c r="D1915" s="582"/>
      <c r="E1915" s="583"/>
      <c r="F1915" s="584"/>
      <c r="G1915" s="584"/>
      <c r="H1915" s="582"/>
      <c r="I1915" s="585"/>
      <c r="J1915" s="586"/>
      <c r="K1915" s="584"/>
      <c r="L1915" s="584"/>
      <c r="M1915" s="584"/>
      <c r="N1915" s="584"/>
      <c r="O1915" s="583"/>
      <c r="P1915" s="584"/>
    </row>
    <row r="1916" spans="1:16" ht="15.75">
      <c r="A1916" s="587"/>
      <c r="B1916" s="587"/>
      <c r="C1916" s="587"/>
      <c r="D1916" s="588"/>
      <c r="E1916" s="589"/>
      <c r="F1916" s="590"/>
      <c r="G1916" s="590"/>
      <c r="H1916" s="588"/>
      <c r="I1916" s="591"/>
      <c r="J1916" s="592"/>
      <c r="K1916" s="590"/>
      <c r="L1916" s="590"/>
      <c r="M1916" s="590"/>
      <c r="N1916" s="590"/>
      <c r="O1916" s="589"/>
      <c r="P1916" s="590"/>
    </row>
    <row r="1917" spans="1:16" ht="15.75">
      <c r="A1917" s="581"/>
      <c r="B1917" s="581"/>
      <c r="C1917" s="581"/>
      <c r="D1917" s="582"/>
      <c r="E1917" s="583"/>
      <c r="F1917" s="584"/>
      <c r="G1917" s="584"/>
      <c r="H1917" s="582"/>
      <c r="I1917" s="585"/>
      <c r="J1917" s="586"/>
      <c r="K1917" s="584"/>
      <c r="L1917" s="584"/>
      <c r="M1917" s="584"/>
      <c r="N1917" s="584"/>
      <c r="O1917" s="583"/>
      <c r="P1917" s="584"/>
    </row>
    <row r="1918" spans="1:16" ht="15.75">
      <c r="A1918" s="587"/>
      <c r="B1918" s="587"/>
      <c r="C1918" s="587"/>
      <c r="D1918" s="588"/>
      <c r="E1918" s="589"/>
      <c r="F1918" s="590"/>
      <c r="G1918" s="590"/>
      <c r="H1918" s="588"/>
      <c r="I1918" s="591"/>
      <c r="J1918" s="592"/>
      <c r="K1918" s="590"/>
      <c r="L1918" s="590"/>
      <c r="M1918" s="590"/>
      <c r="N1918" s="590"/>
      <c r="O1918" s="589"/>
      <c r="P1918" s="590"/>
    </row>
    <row r="1919" spans="1:16" ht="15.75">
      <c r="A1919" s="581"/>
      <c r="B1919" s="581"/>
      <c r="C1919" s="581"/>
      <c r="D1919" s="582"/>
      <c r="E1919" s="583"/>
      <c r="F1919" s="584"/>
      <c r="G1919" s="584"/>
      <c r="H1919" s="582"/>
      <c r="I1919" s="585"/>
      <c r="J1919" s="586"/>
      <c r="K1919" s="584"/>
      <c r="L1919" s="584"/>
      <c r="M1919" s="584"/>
      <c r="N1919" s="584"/>
      <c r="O1919" s="583"/>
      <c r="P1919" s="584"/>
    </row>
    <row r="1920" spans="1:16" ht="15.75">
      <c r="A1920" s="587"/>
      <c r="B1920" s="587"/>
      <c r="C1920" s="587"/>
      <c r="D1920" s="588"/>
      <c r="E1920" s="589"/>
      <c r="F1920" s="590"/>
      <c r="G1920" s="590"/>
      <c r="H1920" s="588"/>
      <c r="I1920" s="591"/>
      <c r="J1920" s="592"/>
      <c r="K1920" s="590"/>
      <c r="L1920" s="590"/>
      <c r="M1920" s="590"/>
      <c r="N1920" s="590"/>
      <c r="O1920" s="589"/>
      <c r="P1920" s="590"/>
    </row>
    <row r="1921" spans="1:16" ht="15.75">
      <c r="A1921" s="581"/>
      <c r="B1921" s="581"/>
      <c r="C1921" s="581"/>
      <c r="D1921" s="582"/>
      <c r="E1921" s="583"/>
      <c r="F1921" s="584"/>
      <c r="G1921" s="584"/>
      <c r="H1921" s="582"/>
      <c r="I1921" s="585"/>
      <c r="J1921" s="586"/>
      <c r="K1921" s="584"/>
      <c r="L1921" s="584"/>
      <c r="M1921" s="584"/>
      <c r="N1921" s="584"/>
      <c r="O1921" s="583"/>
      <c r="P1921" s="584"/>
    </row>
    <row r="1922" spans="1:16" ht="15.75">
      <c r="A1922" s="587"/>
      <c r="B1922" s="587"/>
      <c r="C1922" s="587"/>
      <c r="D1922" s="588"/>
      <c r="E1922" s="589"/>
      <c r="F1922" s="590"/>
      <c r="G1922" s="590"/>
      <c r="H1922" s="588"/>
      <c r="I1922" s="591"/>
      <c r="J1922" s="592"/>
      <c r="K1922" s="590"/>
      <c r="L1922" s="590"/>
      <c r="M1922" s="590"/>
      <c r="N1922" s="590"/>
      <c r="O1922" s="589"/>
      <c r="P1922" s="590"/>
    </row>
    <row r="1923" spans="1:16" ht="15.75">
      <c r="A1923" s="581"/>
      <c r="B1923" s="581"/>
      <c r="C1923" s="581"/>
      <c r="D1923" s="582"/>
      <c r="E1923" s="583"/>
      <c r="F1923" s="584"/>
      <c r="G1923" s="584"/>
      <c r="H1923" s="582"/>
      <c r="I1923" s="585"/>
      <c r="J1923" s="586"/>
      <c r="K1923" s="584"/>
      <c r="L1923" s="584"/>
      <c r="M1923" s="584"/>
      <c r="N1923" s="584"/>
      <c r="O1923" s="583"/>
      <c r="P1923" s="584"/>
    </row>
    <row r="1924" spans="1:16" ht="15.75">
      <c r="A1924" s="587"/>
      <c r="B1924" s="587"/>
      <c r="C1924" s="587"/>
      <c r="D1924" s="588"/>
      <c r="E1924" s="589"/>
      <c r="F1924" s="590"/>
      <c r="G1924" s="590"/>
      <c r="H1924" s="588"/>
      <c r="I1924" s="591"/>
      <c r="J1924" s="592"/>
      <c r="K1924" s="590"/>
      <c r="L1924" s="590"/>
      <c r="M1924" s="590"/>
      <c r="N1924" s="590"/>
      <c r="O1924" s="589"/>
      <c r="P1924" s="590"/>
    </row>
    <row r="1925" spans="1:16" ht="15.75">
      <c r="A1925" s="581"/>
      <c r="B1925" s="581"/>
      <c r="C1925" s="581"/>
      <c r="D1925" s="582"/>
      <c r="E1925" s="583"/>
      <c r="F1925" s="584"/>
      <c r="G1925" s="584"/>
      <c r="H1925" s="582"/>
      <c r="I1925" s="585"/>
      <c r="J1925" s="586"/>
      <c r="K1925" s="584"/>
      <c r="L1925" s="584"/>
      <c r="M1925" s="584"/>
      <c r="N1925" s="584"/>
      <c r="O1925" s="583"/>
      <c r="P1925" s="584"/>
    </row>
    <row r="1926" spans="1:16" ht="15.75">
      <c r="A1926" s="587"/>
      <c r="B1926" s="587"/>
      <c r="C1926" s="587"/>
      <c r="D1926" s="588"/>
      <c r="E1926" s="589"/>
      <c r="F1926" s="590"/>
      <c r="G1926" s="590"/>
      <c r="H1926" s="588"/>
      <c r="I1926" s="591"/>
      <c r="J1926" s="592"/>
      <c r="K1926" s="590"/>
      <c r="L1926" s="590"/>
      <c r="M1926" s="590"/>
      <c r="N1926" s="590"/>
      <c r="O1926" s="589"/>
      <c r="P1926" s="590"/>
    </row>
    <row r="1927" spans="1:16" ht="15.75">
      <c r="A1927" s="581"/>
      <c r="B1927" s="581"/>
      <c r="C1927" s="581"/>
      <c r="D1927" s="582"/>
      <c r="E1927" s="583"/>
      <c r="F1927" s="584"/>
      <c r="G1927" s="584"/>
      <c r="H1927" s="582"/>
      <c r="I1927" s="585"/>
      <c r="J1927" s="586"/>
      <c r="K1927" s="584"/>
      <c r="L1927" s="584"/>
      <c r="M1927" s="584"/>
      <c r="N1927" s="584"/>
      <c r="O1927" s="583"/>
      <c r="P1927" s="584"/>
    </row>
    <row r="1928" spans="1:16" ht="15.75">
      <c r="A1928" s="587"/>
      <c r="B1928" s="587"/>
      <c r="C1928" s="587"/>
      <c r="D1928" s="588"/>
      <c r="E1928" s="589"/>
      <c r="F1928" s="590"/>
      <c r="G1928" s="590"/>
      <c r="H1928" s="588"/>
      <c r="I1928" s="591"/>
      <c r="J1928" s="592"/>
      <c r="K1928" s="590"/>
      <c r="L1928" s="590"/>
      <c r="M1928" s="590"/>
      <c r="N1928" s="590"/>
      <c r="O1928" s="589"/>
      <c r="P1928" s="590"/>
    </row>
    <row r="1929" spans="1:16" ht="15.75">
      <c r="A1929" s="581"/>
      <c r="B1929" s="581"/>
      <c r="C1929" s="581"/>
      <c r="D1929" s="582"/>
      <c r="E1929" s="583"/>
      <c r="F1929" s="584"/>
      <c r="G1929" s="584"/>
      <c r="H1929" s="582"/>
      <c r="I1929" s="585"/>
      <c r="J1929" s="586"/>
      <c r="K1929" s="584"/>
      <c r="L1929" s="584"/>
      <c r="M1929" s="584"/>
      <c r="N1929" s="584"/>
      <c r="O1929" s="583"/>
      <c r="P1929" s="584"/>
    </row>
    <row r="1930" spans="1:16" ht="15.75">
      <c r="A1930" s="587"/>
      <c r="B1930" s="587"/>
      <c r="C1930" s="587"/>
      <c r="D1930" s="588"/>
      <c r="E1930" s="589"/>
      <c r="F1930" s="590"/>
      <c r="G1930" s="590"/>
      <c r="H1930" s="588"/>
      <c r="I1930" s="591"/>
      <c r="J1930" s="592"/>
      <c r="K1930" s="590"/>
      <c r="L1930" s="590"/>
      <c r="M1930" s="590"/>
      <c r="N1930" s="590"/>
      <c r="O1930" s="589"/>
      <c r="P1930" s="590"/>
    </row>
    <row r="1931" spans="1:16" ht="15.75">
      <c r="A1931" s="581"/>
      <c r="B1931" s="581"/>
      <c r="C1931" s="581"/>
      <c r="D1931" s="582"/>
      <c r="E1931" s="583"/>
      <c r="F1931" s="584"/>
      <c r="G1931" s="584"/>
      <c r="H1931" s="582"/>
      <c r="I1931" s="585"/>
      <c r="J1931" s="586"/>
      <c r="K1931" s="584"/>
      <c r="L1931" s="584"/>
      <c r="M1931" s="584"/>
      <c r="N1931" s="584"/>
      <c r="O1931" s="583"/>
      <c r="P1931" s="584"/>
    </row>
    <row r="1932" spans="1:16" ht="15.75">
      <c r="A1932" s="587"/>
      <c r="B1932" s="587"/>
      <c r="C1932" s="587"/>
      <c r="D1932" s="588"/>
      <c r="E1932" s="589"/>
      <c r="F1932" s="590"/>
      <c r="G1932" s="590"/>
      <c r="H1932" s="588"/>
      <c r="I1932" s="591"/>
      <c r="J1932" s="592"/>
      <c r="K1932" s="590"/>
      <c r="L1932" s="590"/>
      <c r="M1932" s="590"/>
      <c r="N1932" s="590"/>
      <c r="O1932" s="589"/>
      <c r="P1932" s="590"/>
    </row>
    <row r="1933" spans="1:16" ht="15.75">
      <c r="A1933" s="581"/>
      <c r="B1933" s="581"/>
      <c r="C1933" s="581"/>
      <c r="D1933" s="582"/>
      <c r="E1933" s="583"/>
      <c r="F1933" s="584"/>
      <c r="G1933" s="584"/>
      <c r="H1933" s="582"/>
      <c r="I1933" s="585"/>
      <c r="J1933" s="586"/>
      <c r="K1933" s="584"/>
      <c r="L1933" s="584"/>
      <c r="M1933" s="584"/>
      <c r="N1933" s="584"/>
      <c r="O1933" s="583"/>
      <c r="P1933" s="584"/>
    </row>
    <row r="1934" spans="1:16" ht="15.75">
      <c r="A1934" s="587"/>
      <c r="B1934" s="587"/>
      <c r="C1934" s="587"/>
      <c r="D1934" s="588"/>
      <c r="E1934" s="589"/>
      <c r="F1934" s="590"/>
      <c r="G1934" s="590"/>
      <c r="H1934" s="588"/>
      <c r="I1934" s="591"/>
      <c r="J1934" s="592"/>
      <c r="K1934" s="590"/>
      <c r="L1934" s="590"/>
      <c r="M1934" s="590"/>
      <c r="N1934" s="590"/>
      <c r="O1934" s="589"/>
      <c r="P1934" s="590"/>
    </row>
    <row r="1935" spans="1:16" ht="15.75">
      <c r="A1935" s="581"/>
      <c r="B1935" s="581"/>
      <c r="C1935" s="581"/>
      <c r="D1935" s="582"/>
      <c r="E1935" s="583"/>
      <c r="F1935" s="584"/>
      <c r="G1935" s="584"/>
      <c r="H1935" s="582"/>
      <c r="I1935" s="585"/>
      <c r="J1935" s="586"/>
      <c r="K1935" s="584"/>
      <c r="L1935" s="584"/>
      <c r="M1935" s="584"/>
      <c r="N1935" s="584"/>
      <c r="O1935" s="583"/>
      <c r="P1935" s="584"/>
    </row>
    <row r="1936" spans="1:16" ht="15.75">
      <c r="A1936" s="587"/>
      <c r="B1936" s="587"/>
      <c r="C1936" s="587"/>
      <c r="D1936" s="588"/>
      <c r="E1936" s="589"/>
      <c r="F1936" s="590"/>
      <c r="G1936" s="590"/>
      <c r="H1936" s="588"/>
      <c r="I1936" s="591"/>
      <c r="J1936" s="592"/>
      <c r="K1936" s="590"/>
      <c r="L1936" s="590"/>
      <c r="M1936" s="590"/>
      <c r="N1936" s="590"/>
      <c r="O1936" s="589"/>
      <c r="P1936" s="590"/>
    </row>
    <row r="1937" spans="1:16" ht="15.75">
      <c r="A1937" s="581"/>
      <c r="B1937" s="581"/>
      <c r="C1937" s="581"/>
      <c r="D1937" s="582"/>
      <c r="E1937" s="583"/>
      <c r="F1937" s="584"/>
      <c r="G1937" s="584"/>
      <c r="H1937" s="582"/>
      <c r="I1937" s="585"/>
      <c r="J1937" s="586"/>
      <c r="K1937" s="584"/>
      <c r="L1937" s="584"/>
      <c r="M1937" s="584"/>
      <c r="N1937" s="584"/>
      <c r="O1937" s="583"/>
      <c r="P1937" s="584"/>
    </row>
    <row r="1938" spans="1:16" ht="15.75">
      <c r="A1938" s="587"/>
      <c r="B1938" s="587"/>
      <c r="C1938" s="587"/>
      <c r="D1938" s="588"/>
      <c r="E1938" s="589"/>
      <c r="F1938" s="590"/>
      <c r="G1938" s="590"/>
      <c r="H1938" s="588"/>
      <c r="I1938" s="591"/>
      <c r="J1938" s="592"/>
      <c r="K1938" s="590"/>
      <c r="L1938" s="590"/>
      <c r="M1938" s="590"/>
      <c r="N1938" s="590"/>
      <c r="O1938" s="589"/>
      <c r="P1938" s="590"/>
    </row>
    <row r="1939" spans="1:16" ht="15.75">
      <c r="A1939" s="581"/>
      <c r="B1939" s="581"/>
      <c r="C1939" s="581"/>
      <c r="D1939" s="582"/>
      <c r="E1939" s="583"/>
      <c r="F1939" s="584"/>
      <c r="G1939" s="584"/>
      <c r="H1939" s="582"/>
      <c r="I1939" s="585"/>
      <c r="J1939" s="586"/>
      <c r="K1939" s="584"/>
      <c r="L1939" s="584"/>
      <c r="M1939" s="584"/>
      <c r="N1939" s="584"/>
      <c r="O1939" s="583"/>
      <c r="P1939" s="584"/>
    </row>
    <row r="1940" spans="1:16" ht="15.75">
      <c r="A1940" s="587"/>
      <c r="B1940" s="587"/>
      <c r="C1940" s="587"/>
      <c r="D1940" s="588"/>
      <c r="E1940" s="589"/>
      <c r="F1940" s="590"/>
      <c r="G1940" s="590"/>
      <c r="H1940" s="588"/>
      <c r="I1940" s="591"/>
      <c r="J1940" s="592"/>
      <c r="K1940" s="590"/>
      <c r="L1940" s="590"/>
      <c r="M1940" s="590"/>
      <c r="N1940" s="590"/>
      <c r="O1940" s="589"/>
      <c r="P1940" s="590"/>
    </row>
    <row r="1941" spans="1:16" ht="15.75">
      <c r="A1941" s="581"/>
      <c r="B1941" s="581"/>
      <c r="C1941" s="581"/>
      <c r="D1941" s="582"/>
      <c r="E1941" s="583"/>
      <c r="F1941" s="584"/>
      <c r="G1941" s="584"/>
      <c r="H1941" s="582"/>
      <c r="I1941" s="585"/>
      <c r="J1941" s="586"/>
      <c r="K1941" s="584"/>
      <c r="L1941" s="584"/>
      <c r="M1941" s="584"/>
      <c r="N1941" s="584"/>
      <c r="O1941" s="583"/>
      <c r="P1941" s="584"/>
    </row>
    <row r="1942" spans="1:16" ht="15.75">
      <c r="A1942" s="587"/>
      <c r="B1942" s="587"/>
      <c r="C1942" s="587"/>
      <c r="D1942" s="588"/>
      <c r="E1942" s="589"/>
      <c r="F1942" s="590"/>
      <c r="G1942" s="590"/>
      <c r="H1942" s="588"/>
      <c r="I1942" s="591"/>
      <c r="J1942" s="592"/>
      <c r="K1942" s="590"/>
      <c r="L1942" s="590"/>
      <c r="M1942" s="590"/>
      <c r="N1942" s="590"/>
      <c r="O1942" s="589"/>
      <c r="P1942" s="590"/>
    </row>
    <row r="1943" spans="1:16" ht="15.75">
      <c r="A1943" s="581"/>
      <c r="B1943" s="581"/>
      <c r="C1943" s="581"/>
      <c r="D1943" s="582"/>
      <c r="E1943" s="583"/>
      <c r="F1943" s="584"/>
      <c r="G1943" s="584"/>
      <c r="H1943" s="582"/>
      <c r="I1943" s="585"/>
      <c r="J1943" s="586"/>
      <c r="K1943" s="584"/>
      <c r="L1943" s="584"/>
      <c r="M1943" s="584"/>
      <c r="N1943" s="584"/>
      <c r="O1943" s="583"/>
      <c r="P1943" s="584"/>
    </row>
    <row r="1944" spans="1:16" ht="15.75">
      <c r="A1944" s="587"/>
      <c r="B1944" s="587"/>
      <c r="C1944" s="587"/>
      <c r="D1944" s="588"/>
      <c r="E1944" s="589"/>
      <c r="F1944" s="590"/>
      <c r="G1944" s="590"/>
      <c r="H1944" s="588"/>
      <c r="I1944" s="591"/>
      <c r="J1944" s="592"/>
      <c r="K1944" s="590"/>
      <c r="L1944" s="590"/>
      <c r="M1944" s="590"/>
      <c r="N1944" s="590"/>
      <c r="O1944" s="589"/>
      <c r="P1944" s="590"/>
    </row>
    <row r="1945" spans="1:16" ht="15.75">
      <c r="A1945" s="581"/>
      <c r="B1945" s="581"/>
      <c r="C1945" s="581"/>
      <c r="D1945" s="582"/>
      <c r="E1945" s="583"/>
      <c r="F1945" s="584"/>
      <c r="G1945" s="584"/>
      <c r="H1945" s="582"/>
      <c r="I1945" s="585"/>
      <c r="J1945" s="586"/>
      <c r="K1945" s="584"/>
      <c r="L1945" s="584"/>
      <c r="M1945" s="584"/>
      <c r="N1945" s="584"/>
      <c r="O1945" s="583"/>
      <c r="P1945" s="584"/>
    </row>
    <row r="1946" spans="1:16" ht="15.75">
      <c r="A1946" s="587"/>
      <c r="B1946" s="587"/>
      <c r="C1946" s="587"/>
      <c r="D1946" s="588"/>
      <c r="E1946" s="589"/>
      <c r="F1946" s="590"/>
      <c r="G1946" s="590"/>
      <c r="H1946" s="588"/>
      <c r="I1946" s="591"/>
      <c r="J1946" s="592"/>
      <c r="K1946" s="590"/>
      <c r="L1946" s="590"/>
      <c r="M1946" s="590"/>
      <c r="N1946" s="590"/>
      <c r="O1946" s="589"/>
      <c r="P1946" s="590"/>
    </row>
    <row r="1947" spans="1:16" ht="15.75">
      <c r="A1947" s="581"/>
      <c r="B1947" s="581"/>
      <c r="C1947" s="581"/>
      <c r="D1947" s="582"/>
      <c r="E1947" s="583"/>
      <c r="F1947" s="584"/>
      <c r="G1947" s="584"/>
      <c r="H1947" s="582"/>
      <c r="I1947" s="585"/>
      <c r="J1947" s="586"/>
      <c r="K1947" s="584"/>
      <c r="L1947" s="584"/>
      <c r="M1947" s="584"/>
      <c r="N1947" s="584"/>
      <c r="O1947" s="583"/>
      <c r="P1947" s="584"/>
    </row>
    <row r="1948" spans="1:16" ht="15.75">
      <c r="A1948" s="587"/>
      <c r="B1948" s="587"/>
      <c r="C1948" s="587"/>
      <c r="D1948" s="588"/>
      <c r="E1948" s="589"/>
      <c r="F1948" s="590"/>
      <c r="G1948" s="590"/>
      <c r="H1948" s="588"/>
      <c r="I1948" s="591"/>
      <c r="J1948" s="592"/>
      <c r="K1948" s="590"/>
      <c r="L1948" s="590"/>
      <c r="M1948" s="590"/>
      <c r="N1948" s="590"/>
      <c r="O1948" s="589"/>
      <c r="P1948" s="590"/>
    </row>
    <row r="1949" spans="1:16" ht="15.75">
      <c r="A1949" s="581"/>
      <c r="B1949" s="581"/>
      <c r="C1949" s="581"/>
      <c r="D1949" s="582"/>
      <c r="E1949" s="583"/>
      <c r="F1949" s="584"/>
      <c r="G1949" s="584"/>
      <c r="H1949" s="582"/>
      <c r="I1949" s="585"/>
      <c r="J1949" s="586"/>
      <c r="K1949" s="584"/>
      <c r="L1949" s="584"/>
      <c r="M1949" s="584"/>
      <c r="N1949" s="584"/>
      <c r="O1949" s="583"/>
      <c r="P1949" s="584"/>
    </row>
    <row r="1950" spans="1:16" ht="15.75">
      <c r="A1950" s="587"/>
      <c r="B1950" s="587"/>
      <c r="C1950" s="587"/>
      <c r="D1950" s="588"/>
      <c r="E1950" s="589"/>
      <c r="F1950" s="590"/>
      <c r="G1950" s="590"/>
      <c r="H1950" s="588"/>
      <c r="I1950" s="591"/>
      <c r="J1950" s="592"/>
      <c r="K1950" s="590"/>
      <c r="L1950" s="590"/>
      <c r="M1950" s="590"/>
      <c r="N1950" s="590"/>
      <c r="O1950" s="589"/>
      <c r="P1950" s="590"/>
    </row>
    <row r="1951" spans="1:16" ht="15.75">
      <c r="A1951" s="581"/>
      <c r="B1951" s="581"/>
      <c r="C1951" s="581"/>
      <c r="D1951" s="582"/>
      <c r="E1951" s="583"/>
      <c r="F1951" s="584"/>
      <c r="G1951" s="584"/>
      <c r="H1951" s="582"/>
      <c r="I1951" s="585"/>
      <c r="J1951" s="586"/>
      <c r="K1951" s="584"/>
      <c r="L1951" s="584"/>
      <c r="M1951" s="584"/>
      <c r="N1951" s="584"/>
      <c r="O1951" s="583"/>
      <c r="P1951" s="584"/>
    </row>
    <row r="1952" spans="1:16" ht="15.75">
      <c r="A1952" s="587"/>
      <c r="B1952" s="587"/>
      <c r="C1952" s="587"/>
      <c r="D1952" s="588"/>
      <c r="E1952" s="589"/>
      <c r="F1952" s="590"/>
      <c r="G1952" s="590"/>
      <c r="H1952" s="588"/>
      <c r="I1952" s="591"/>
      <c r="J1952" s="592"/>
      <c r="K1952" s="590"/>
      <c r="L1952" s="590"/>
      <c r="M1952" s="590"/>
      <c r="N1952" s="590"/>
      <c r="O1952" s="589"/>
      <c r="P1952" s="590"/>
    </row>
    <row r="1953" spans="1:16" ht="15.75">
      <c r="A1953" s="581"/>
      <c r="B1953" s="581"/>
      <c r="C1953" s="581"/>
      <c r="D1953" s="582"/>
      <c r="E1953" s="583"/>
      <c r="F1953" s="584"/>
      <c r="G1953" s="584"/>
      <c r="H1953" s="582"/>
      <c r="I1953" s="585"/>
      <c r="J1953" s="586"/>
      <c r="K1953" s="584"/>
      <c r="L1953" s="584"/>
      <c r="M1953" s="584"/>
      <c r="N1953" s="584"/>
      <c r="O1953" s="583"/>
      <c r="P1953" s="584"/>
    </row>
    <row r="1954" spans="1:16" ht="15.75">
      <c r="A1954" s="587"/>
      <c r="B1954" s="587"/>
      <c r="C1954" s="587"/>
      <c r="D1954" s="588"/>
      <c r="E1954" s="589"/>
      <c r="F1954" s="590"/>
      <c r="G1954" s="590"/>
      <c r="H1954" s="588"/>
      <c r="I1954" s="591"/>
      <c r="J1954" s="592"/>
      <c r="K1954" s="590"/>
      <c r="L1954" s="590"/>
      <c r="M1954" s="590"/>
      <c r="N1954" s="590"/>
      <c r="O1954" s="589"/>
      <c r="P1954" s="590"/>
    </row>
    <row r="1955" spans="1:16" ht="15.75">
      <c r="A1955" s="581"/>
      <c r="B1955" s="581"/>
      <c r="C1955" s="581"/>
      <c r="D1955" s="582"/>
      <c r="E1955" s="583"/>
      <c r="F1955" s="584"/>
      <c r="G1955" s="584"/>
      <c r="H1955" s="582"/>
      <c r="I1955" s="585"/>
      <c r="J1955" s="586"/>
      <c r="K1955" s="584"/>
      <c r="L1955" s="584"/>
      <c r="M1955" s="584"/>
      <c r="N1955" s="584"/>
      <c r="O1955" s="583"/>
      <c r="P1955" s="584"/>
    </row>
    <row r="1956" spans="1:16" ht="15.75">
      <c r="A1956" s="587"/>
      <c r="B1956" s="587"/>
      <c r="C1956" s="587"/>
      <c r="D1956" s="588"/>
      <c r="E1956" s="589"/>
      <c r="F1956" s="590"/>
      <c r="G1956" s="590"/>
      <c r="H1956" s="588"/>
      <c r="I1956" s="591"/>
      <c r="J1956" s="592"/>
      <c r="K1956" s="590"/>
      <c r="L1956" s="590"/>
      <c r="M1956" s="590"/>
      <c r="N1956" s="590"/>
      <c r="O1956" s="589"/>
      <c r="P1956" s="590"/>
    </row>
    <row r="1957" spans="1:16" ht="15.75">
      <c r="A1957" s="581"/>
      <c r="B1957" s="581"/>
      <c r="C1957" s="581"/>
      <c r="D1957" s="582"/>
      <c r="E1957" s="583"/>
      <c r="F1957" s="584"/>
      <c r="G1957" s="584"/>
      <c r="H1957" s="582"/>
      <c r="I1957" s="585"/>
      <c r="J1957" s="586"/>
      <c r="K1957" s="584"/>
      <c r="L1957" s="584"/>
      <c r="M1957" s="584"/>
      <c r="N1957" s="584"/>
      <c r="O1957" s="583"/>
      <c r="P1957" s="584"/>
    </row>
    <row r="1958" spans="1:16" ht="15.75">
      <c r="A1958" s="587"/>
      <c r="B1958" s="587"/>
      <c r="C1958" s="587"/>
      <c r="D1958" s="588"/>
      <c r="E1958" s="589"/>
      <c r="F1958" s="590"/>
      <c r="G1958" s="590"/>
      <c r="H1958" s="588"/>
      <c r="I1958" s="591"/>
      <c r="J1958" s="592"/>
      <c r="K1958" s="590"/>
      <c r="L1958" s="590"/>
      <c r="M1958" s="590"/>
      <c r="N1958" s="590"/>
      <c r="O1958" s="589"/>
      <c r="P1958" s="590"/>
    </row>
    <row r="1959" spans="1:16" ht="15.75">
      <c r="A1959" s="581"/>
      <c r="B1959" s="581"/>
      <c r="C1959" s="581"/>
      <c r="D1959" s="582"/>
      <c r="E1959" s="583"/>
      <c r="F1959" s="584"/>
      <c r="G1959" s="584"/>
      <c r="H1959" s="582"/>
      <c r="I1959" s="585"/>
      <c r="J1959" s="586"/>
      <c r="K1959" s="584"/>
      <c r="L1959" s="584"/>
      <c r="M1959" s="584"/>
      <c r="N1959" s="584"/>
      <c r="O1959" s="583"/>
      <c r="P1959" s="584"/>
    </row>
    <row r="1960" spans="1:16" ht="15.75">
      <c r="A1960" s="587"/>
      <c r="B1960" s="587"/>
      <c r="C1960" s="587"/>
      <c r="D1960" s="588"/>
      <c r="E1960" s="589"/>
      <c r="F1960" s="590"/>
      <c r="G1960" s="590"/>
      <c r="H1960" s="588"/>
      <c r="I1960" s="591"/>
      <c r="J1960" s="592"/>
      <c r="K1960" s="590"/>
      <c r="L1960" s="590"/>
      <c r="M1960" s="590"/>
      <c r="N1960" s="590"/>
      <c r="O1960" s="589"/>
      <c r="P1960" s="590"/>
    </row>
    <row r="1961" spans="1:16" ht="15.75">
      <c r="A1961" s="581"/>
      <c r="B1961" s="581"/>
      <c r="C1961" s="581"/>
      <c r="D1961" s="582"/>
      <c r="E1961" s="583"/>
      <c r="F1961" s="584"/>
      <c r="G1961" s="584"/>
      <c r="H1961" s="582"/>
      <c r="I1961" s="585"/>
      <c r="J1961" s="586"/>
      <c r="K1961" s="584"/>
      <c r="L1961" s="584"/>
      <c r="M1961" s="584"/>
      <c r="N1961" s="584"/>
      <c r="O1961" s="583"/>
      <c r="P1961" s="584"/>
    </row>
    <row r="1962" spans="1:16" ht="15.75">
      <c r="A1962" s="587"/>
      <c r="B1962" s="587"/>
      <c r="C1962" s="587"/>
      <c r="D1962" s="588"/>
      <c r="E1962" s="589"/>
      <c r="F1962" s="590"/>
      <c r="G1962" s="590"/>
      <c r="H1962" s="588"/>
      <c r="I1962" s="591"/>
      <c r="J1962" s="592"/>
      <c r="K1962" s="590"/>
      <c r="L1962" s="590"/>
      <c r="M1962" s="590"/>
      <c r="N1962" s="590"/>
      <c r="O1962" s="589"/>
      <c r="P1962" s="590"/>
    </row>
    <row r="1963" spans="1:16" ht="15.75">
      <c r="A1963" s="581"/>
      <c r="B1963" s="581"/>
      <c r="C1963" s="581"/>
      <c r="D1963" s="582"/>
      <c r="E1963" s="583"/>
      <c r="F1963" s="584"/>
      <c r="G1963" s="584"/>
      <c r="H1963" s="582"/>
      <c r="I1963" s="585"/>
      <c r="J1963" s="586"/>
      <c r="K1963" s="584"/>
      <c r="L1963" s="584"/>
      <c r="M1963" s="584"/>
      <c r="N1963" s="584"/>
      <c r="O1963" s="583"/>
      <c r="P1963" s="584"/>
    </row>
    <row r="1964" spans="1:16" ht="15.75">
      <c r="A1964" s="587"/>
      <c r="B1964" s="587"/>
      <c r="C1964" s="587"/>
      <c r="D1964" s="588"/>
      <c r="E1964" s="589"/>
      <c r="F1964" s="590"/>
      <c r="G1964" s="590"/>
      <c r="H1964" s="588"/>
      <c r="I1964" s="591"/>
      <c r="J1964" s="592"/>
      <c r="K1964" s="590"/>
      <c r="L1964" s="590"/>
      <c r="M1964" s="590"/>
      <c r="N1964" s="590"/>
      <c r="O1964" s="589"/>
      <c r="P1964" s="590"/>
    </row>
    <row r="1965" spans="1:16" ht="15.75">
      <c r="A1965" s="581"/>
      <c r="B1965" s="581"/>
      <c r="C1965" s="581"/>
      <c r="D1965" s="582"/>
      <c r="E1965" s="583"/>
      <c r="F1965" s="584"/>
      <c r="G1965" s="584"/>
      <c r="H1965" s="582"/>
      <c r="I1965" s="585"/>
      <c r="J1965" s="586"/>
      <c r="K1965" s="584"/>
      <c r="L1965" s="584"/>
      <c r="M1965" s="584"/>
      <c r="N1965" s="584"/>
      <c r="O1965" s="583"/>
      <c r="P1965" s="584"/>
    </row>
    <row r="1966" spans="1:16" ht="15.75">
      <c r="A1966" s="587"/>
      <c r="B1966" s="587"/>
      <c r="C1966" s="587"/>
      <c r="D1966" s="588"/>
      <c r="E1966" s="589"/>
      <c r="F1966" s="590"/>
      <c r="G1966" s="590"/>
      <c r="H1966" s="588"/>
      <c r="I1966" s="591"/>
      <c r="J1966" s="592"/>
      <c r="K1966" s="590"/>
      <c r="L1966" s="590"/>
      <c r="M1966" s="590"/>
      <c r="N1966" s="590"/>
      <c r="O1966" s="589"/>
      <c r="P1966" s="590"/>
    </row>
    <row r="1967" spans="1:16" ht="15.75">
      <c r="A1967" s="581"/>
      <c r="B1967" s="581"/>
      <c r="C1967" s="581"/>
      <c r="D1967" s="582"/>
      <c r="E1967" s="583"/>
      <c r="F1967" s="584"/>
      <c r="G1967" s="584"/>
      <c r="H1967" s="582"/>
      <c r="I1967" s="585"/>
      <c r="J1967" s="586"/>
      <c r="K1967" s="584"/>
      <c r="L1967" s="584"/>
      <c r="M1967" s="584"/>
      <c r="N1967" s="584"/>
      <c r="O1967" s="583"/>
      <c r="P1967" s="584"/>
    </row>
    <row r="1968" spans="1:16" ht="15.75">
      <c r="A1968" s="587"/>
      <c r="B1968" s="587"/>
      <c r="C1968" s="587"/>
      <c r="D1968" s="588"/>
      <c r="E1968" s="589"/>
      <c r="F1968" s="590"/>
      <c r="G1968" s="590"/>
      <c r="H1968" s="588"/>
      <c r="I1968" s="591"/>
      <c r="J1968" s="592"/>
      <c r="K1968" s="590"/>
      <c r="L1968" s="590"/>
      <c r="M1968" s="590"/>
      <c r="N1968" s="590"/>
      <c r="O1968" s="589"/>
      <c r="P1968" s="590"/>
    </row>
    <row r="1969" spans="1:16" ht="15.75">
      <c r="A1969" s="581"/>
      <c r="B1969" s="581"/>
      <c r="C1969" s="581"/>
      <c r="D1969" s="582"/>
      <c r="E1969" s="583"/>
      <c r="F1969" s="584"/>
      <c r="G1969" s="584"/>
      <c r="H1969" s="582"/>
      <c r="I1969" s="585"/>
      <c r="J1969" s="586"/>
      <c r="K1969" s="584"/>
      <c r="L1969" s="584"/>
      <c r="M1969" s="584"/>
      <c r="N1969" s="584"/>
      <c r="O1969" s="583"/>
      <c r="P1969" s="584"/>
    </row>
    <row r="1970" spans="1:16" ht="15.75">
      <c r="A1970" s="587"/>
      <c r="B1970" s="587"/>
      <c r="C1970" s="587"/>
      <c r="D1970" s="588"/>
      <c r="E1970" s="589"/>
      <c r="F1970" s="590"/>
      <c r="G1970" s="590"/>
      <c r="H1970" s="588"/>
      <c r="I1970" s="591"/>
      <c r="J1970" s="592"/>
      <c r="K1970" s="590"/>
      <c r="L1970" s="590"/>
      <c r="M1970" s="590"/>
      <c r="N1970" s="590"/>
      <c r="O1970" s="589"/>
      <c r="P1970" s="590"/>
    </row>
    <row r="1971" spans="1:16" ht="15.75">
      <c r="A1971" s="581"/>
      <c r="B1971" s="581"/>
      <c r="C1971" s="581"/>
      <c r="D1971" s="582"/>
      <c r="E1971" s="583"/>
      <c r="F1971" s="584"/>
      <c r="G1971" s="584"/>
      <c r="H1971" s="582"/>
      <c r="I1971" s="585"/>
      <c r="J1971" s="586"/>
      <c r="K1971" s="584"/>
      <c r="L1971" s="584"/>
      <c r="M1971" s="584"/>
      <c r="N1971" s="584"/>
      <c r="O1971" s="583"/>
      <c r="P1971" s="584"/>
    </row>
    <row r="1972" spans="1:16" ht="15.75">
      <c r="A1972" s="587"/>
      <c r="B1972" s="587"/>
      <c r="C1972" s="587"/>
      <c r="D1972" s="588"/>
      <c r="E1972" s="589"/>
      <c r="F1972" s="590"/>
      <c r="G1972" s="590"/>
      <c r="H1972" s="588"/>
      <c r="I1972" s="591"/>
      <c r="J1972" s="592"/>
      <c r="K1972" s="590"/>
      <c r="L1972" s="590"/>
      <c r="M1972" s="590"/>
      <c r="N1972" s="590"/>
      <c r="O1972" s="589"/>
      <c r="P1972" s="590"/>
    </row>
    <row r="1973" spans="1:16" ht="15.75">
      <c r="A1973" s="581"/>
      <c r="B1973" s="581"/>
      <c r="C1973" s="581"/>
      <c r="D1973" s="582"/>
      <c r="E1973" s="583"/>
      <c r="F1973" s="584"/>
      <c r="G1973" s="584"/>
      <c r="H1973" s="582"/>
      <c r="I1973" s="585"/>
      <c r="J1973" s="586"/>
      <c r="K1973" s="584"/>
      <c r="L1973" s="584"/>
      <c r="M1973" s="584"/>
      <c r="N1973" s="584"/>
      <c r="O1973" s="583"/>
      <c r="P1973" s="584"/>
    </row>
    <row r="1974" spans="1:16" ht="15.75">
      <c r="A1974" s="587"/>
      <c r="B1974" s="587"/>
      <c r="C1974" s="587"/>
      <c r="D1974" s="588"/>
      <c r="E1974" s="589"/>
      <c r="F1974" s="590"/>
      <c r="G1974" s="590"/>
      <c r="H1974" s="588"/>
      <c r="I1974" s="591"/>
      <c r="J1974" s="592"/>
      <c r="K1974" s="590"/>
      <c r="L1974" s="590"/>
      <c r="M1974" s="590"/>
      <c r="N1974" s="590"/>
      <c r="O1974" s="589"/>
      <c r="P1974" s="590"/>
    </row>
    <row r="1975" spans="1:16" ht="15.75">
      <c r="A1975" s="581"/>
      <c r="B1975" s="581"/>
      <c r="C1975" s="581"/>
      <c r="D1975" s="582"/>
      <c r="E1975" s="583"/>
      <c r="F1975" s="584"/>
      <c r="G1975" s="584"/>
      <c r="H1975" s="582"/>
      <c r="I1975" s="585"/>
      <c r="J1975" s="586"/>
      <c r="K1975" s="584"/>
      <c r="L1975" s="584"/>
      <c r="M1975" s="584"/>
      <c r="N1975" s="584"/>
      <c r="O1975" s="583"/>
      <c r="P1975" s="584"/>
    </row>
    <row r="1976" spans="1:16" ht="15.75">
      <c r="A1976" s="587"/>
      <c r="B1976" s="587"/>
      <c r="C1976" s="587"/>
      <c r="D1976" s="588"/>
      <c r="E1976" s="589"/>
      <c r="F1976" s="590"/>
      <c r="G1976" s="590"/>
      <c r="H1976" s="588"/>
      <c r="I1976" s="591"/>
      <c r="J1976" s="592"/>
      <c r="K1976" s="590"/>
      <c r="L1976" s="590"/>
      <c r="M1976" s="590"/>
      <c r="N1976" s="590"/>
      <c r="O1976" s="589"/>
      <c r="P1976" s="590"/>
    </row>
    <row r="1977" spans="1:16" ht="15.75">
      <c r="A1977" s="581"/>
      <c r="B1977" s="581"/>
      <c r="C1977" s="581"/>
      <c r="D1977" s="582"/>
      <c r="E1977" s="583"/>
      <c r="F1977" s="584"/>
      <c r="G1977" s="584"/>
      <c r="H1977" s="582"/>
      <c r="I1977" s="585"/>
      <c r="J1977" s="586"/>
      <c r="K1977" s="584"/>
      <c r="L1977" s="584"/>
      <c r="M1977" s="584"/>
      <c r="N1977" s="584"/>
      <c r="O1977" s="583"/>
      <c r="P1977" s="584"/>
    </row>
    <row r="1978" spans="1:16" ht="15.75">
      <c r="A1978" s="587"/>
      <c r="B1978" s="587"/>
      <c r="C1978" s="587"/>
      <c r="D1978" s="588"/>
      <c r="E1978" s="589"/>
      <c r="F1978" s="590"/>
      <c r="G1978" s="590"/>
      <c r="H1978" s="588"/>
      <c r="I1978" s="591"/>
      <c r="J1978" s="592"/>
      <c r="K1978" s="590"/>
      <c r="L1978" s="590"/>
      <c r="M1978" s="590"/>
      <c r="N1978" s="590"/>
      <c r="O1978" s="589"/>
      <c r="P1978" s="590"/>
    </row>
    <row r="1979" spans="1:16" ht="15.75">
      <c r="A1979" s="581"/>
      <c r="B1979" s="581"/>
      <c r="C1979" s="581"/>
      <c r="D1979" s="582"/>
      <c r="E1979" s="583"/>
      <c r="F1979" s="584"/>
      <c r="G1979" s="584"/>
      <c r="H1979" s="582"/>
      <c r="I1979" s="585"/>
      <c r="J1979" s="586"/>
      <c r="K1979" s="584"/>
      <c r="L1979" s="584"/>
      <c r="M1979" s="584"/>
      <c r="N1979" s="584"/>
      <c r="O1979" s="583"/>
      <c r="P1979" s="584"/>
    </row>
    <row r="1980" spans="1:16" ht="15.75">
      <c r="A1980" s="587"/>
      <c r="B1980" s="587"/>
      <c r="C1980" s="587"/>
      <c r="D1980" s="588"/>
      <c r="E1980" s="589"/>
      <c r="F1980" s="590"/>
      <c r="G1980" s="590"/>
      <c r="H1980" s="588"/>
      <c r="I1980" s="591"/>
      <c r="J1980" s="592"/>
      <c r="K1980" s="590"/>
      <c r="L1980" s="590"/>
      <c r="M1980" s="590"/>
      <c r="N1980" s="590"/>
      <c r="O1980" s="589"/>
      <c r="P1980" s="590"/>
    </row>
    <row r="1981" spans="1:16" ht="15.75">
      <c r="A1981" s="581"/>
      <c r="B1981" s="581"/>
      <c r="C1981" s="581"/>
      <c r="D1981" s="582"/>
      <c r="E1981" s="583"/>
      <c r="F1981" s="584"/>
      <c r="G1981" s="584"/>
      <c r="H1981" s="582"/>
      <c r="I1981" s="585"/>
      <c r="J1981" s="586"/>
      <c r="K1981" s="584"/>
      <c r="L1981" s="584"/>
      <c r="M1981" s="584"/>
      <c r="N1981" s="584"/>
      <c r="O1981" s="583"/>
      <c r="P1981" s="584"/>
    </row>
    <row r="1982" spans="1:16" ht="15.75">
      <c r="A1982" s="587"/>
      <c r="B1982" s="587"/>
      <c r="C1982" s="587"/>
      <c r="D1982" s="588"/>
      <c r="E1982" s="589"/>
      <c r="F1982" s="590"/>
      <c r="G1982" s="590"/>
      <c r="H1982" s="588"/>
      <c r="I1982" s="591"/>
      <c r="J1982" s="592"/>
      <c r="K1982" s="590"/>
      <c r="L1982" s="590"/>
      <c r="M1982" s="590"/>
      <c r="N1982" s="590"/>
      <c r="O1982" s="589"/>
      <c r="P1982" s="590"/>
    </row>
    <row r="1983" spans="1:16" ht="15.75">
      <c r="A1983" s="581"/>
      <c r="B1983" s="581"/>
      <c r="C1983" s="581"/>
      <c r="D1983" s="582"/>
      <c r="E1983" s="583"/>
      <c r="F1983" s="584"/>
      <c r="G1983" s="584"/>
      <c r="H1983" s="582"/>
      <c r="I1983" s="585"/>
      <c r="J1983" s="586"/>
      <c r="K1983" s="584"/>
      <c r="L1983" s="584"/>
      <c r="M1983" s="584"/>
      <c r="N1983" s="584"/>
      <c r="O1983" s="583"/>
      <c r="P1983" s="584"/>
    </row>
    <row r="1984" spans="1:16" ht="15.75">
      <c r="A1984" s="587"/>
      <c r="B1984" s="587"/>
      <c r="C1984" s="587"/>
      <c r="D1984" s="588"/>
      <c r="E1984" s="589"/>
      <c r="F1984" s="590"/>
      <c r="G1984" s="590"/>
      <c r="H1984" s="588"/>
      <c r="I1984" s="591"/>
      <c r="J1984" s="592"/>
      <c r="K1984" s="590"/>
      <c r="L1984" s="590"/>
      <c r="M1984" s="590"/>
      <c r="N1984" s="590"/>
      <c r="O1984" s="589"/>
      <c r="P1984" s="590"/>
    </row>
    <row r="1985" spans="1:16" ht="15.75">
      <c r="A1985" s="581"/>
      <c r="B1985" s="581"/>
      <c r="C1985" s="581"/>
      <c r="D1985" s="582"/>
      <c r="E1985" s="583"/>
      <c r="F1985" s="584"/>
      <c r="G1985" s="584"/>
      <c r="H1985" s="582"/>
      <c r="I1985" s="585"/>
      <c r="J1985" s="586"/>
      <c r="K1985" s="584"/>
      <c r="L1985" s="584"/>
      <c r="M1985" s="584"/>
      <c r="N1985" s="584"/>
      <c r="O1985" s="583"/>
      <c r="P1985" s="584"/>
    </row>
    <row r="1986" spans="1:16" ht="15.75">
      <c r="A1986" s="587"/>
      <c r="B1986" s="587"/>
      <c r="C1986" s="587"/>
      <c r="D1986" s="588"/>
      <c r="E1986" s="589"/>
      <c r="F1986" s="590"/>
      <c r="G1986" s="590"/>
      <c r="H1986" s="588"/>
      <c r="I1986" s="591"/>
      <c r="J1986" s="592"/>
      <c r="K1986" s="590"/>
      <c r="L1986" s="590"/>
      <c r="M1986" s="590"/>
      <c r="N1986" s="590"/>
      <c r="O1986" s="589"/>
      <c r="P1986" s="590"/>
    </row>
    <row r="1987" spans="1:16" ht="15.75">
      <c r="A1987" s="581"/>
      <c r="B1987" s="581"/>
      <c r="C1987" s="581"/>
      <c r="D1987" s="582"/>
      <c r="E1987" s="583"/>
      <c r="F1987" s="584"/>
      <c r="G1987" s="584"/>
      <c r="H1987" s="582"/>
      <c r="I1987" s="585"/>
      <c r="J1987" s="586"/>
      <c r="K1987" s="584"/>
      <c r="L1987" s="584"/>
      <c r="M1987" s="584"/>
      <c r="N1987" s="584"/>
      <c r="O1987" s="583"/>
      <c r="P1987" s="584"/>
    </row>
    <row r="1988" spans="1:16" ht="15.75">
      <c r="A1988" s="587"/>
      <c r="B1988" s="587"/>
      <c r="C1988" s="587"/>
      <c r="D1988" s="588"/>
      <c r="E1988" s="589"/>
      <c r="F1988" s="590"/>
      <c r="G1988" s="590"/>
      <c r="H1988" s="588"/>
      <c r="I1988" s="591"/>
      <c r="J1988" s="592"/>
      <c r="K1988" s="590"/>
      <c r="L1988" s="590"/>
      <c r="M1988" s="590"/>
      <c r="N1988" s="590"/>
      <c r="O1988" s="589"/>
      <c r="P1988" s="590"/>
    </row>
    <row r="1989" spans="1:16" ht="15.75">
      <c r="A1989" s="581"/>
      <c r="B1989" s="581"/>
      <c r="C1989" s="581"/>
      <c r="D1989" s="582"/>
      <c r="E1989" s="583"/>
      <c r="F1989" s="584"/>
      <c r="G1989" s="584"/>
      <c r="H1989" s="582"/>
      <c r="I1989" s="585"/>
      <c r="J1989" s="586"/>
      <c r="K1989" s="584"/>
      <c r="L1989" s="584"/>
      <c r="M1989" s="584"/>
      <c r="N1989" s="584"/>
      <c r="O1989" s="583"/>
      <c r="P1989" s="584"/>
    </row>
    <row r="1990" spans="1:16" ht="15.75">
      <c r="A1990" s="587"/>
      <c r="B1990" s="587"/>
      <c r="C1990" s="587"/>
      <c r="D1990" s="588"/>
      <c r="E1990" s="589"/>
      <c r="F1990" s="590"/>
      <c r="G1990" s="590"/>
      <c r="H1990" s="588"/>
      <c r="I1990" s="591"/>
      <c r="J1990" s="592"/>
      <c r="K1990" s="590"/>
      <c r="L1990" s="590"/>
      <c r="M1990" s="590"/>
      <c r="N1990" s="590"/>
      <c r="O1990" s="589"/>
      <c r="P1990" s="590"/>
    </row>
    <row r="1991" spans="1:16" ht="15.75">
      <c r="A1991" s="581"/>
      <c r="B1991" s="581"/>
      <c r="C1991" s="581"/>
      <c r="D1991" s="582"/>
      <c r="E1991" s="583"/>
      <c r="F1991" s="584"/>
      <c r="G1991" s="584"/>
      <c r="H1991" s="582"/>
      <c r="I1991" s="585"/>
      <c r="J1991" s="586"/>
      <c r="K1991" s="584"/>
      <c r="L1991" s="584"/>
      <c r="M1991" s="584"/>
      <c r="N1991" s="584"/>
      <c r="O1991" s="583"/>
      <c r="P1991" s="584"/>
    </row>
    <row r="1992" spans="1:16" ht="15.75">
      <c r="A1992" s="587"/>
      <c r="B1992" s="587"/>
      <c r="C1992" s="587"/>
      <c r="D1992" s="588"/>
      <c r="E1992" s="589"/>
      <c r="F1992" s="590"/>
      <c r="G1992" s="590"/>
      <c r="H1992" s="588"/>
      <c r="I1992" s="591"/>
      <c r="J1992" s="592"/>
      <c r="K1992" s="590"/>
      <c r="L1992" s="590"/>
      <c r="M1992" s="590"/>
      <c r="N1992" s="590"/>
      <c r="O1992" s="589"/>
      <c r="P1992" s="590"/>
    </row>
    <row r="1993" spans="1:16" ht="15.75">
      <c r="A1993" s="581"/>
      <c r="B1993" s="581"/>
      <c r="C1993" s="581"/>
      <c r="D1993" s="582"/>
      <c r="E1993" s="583"/>
      <c r="F1993" s="584"/>
      <c r="G1993" s="584"/>
      <c r="H1993" s="582"/>
      <c r="I1993" s="585"/>
      <c r="J1993" s="586"/>
      <c r="K1993" s="584"/>
      <c r="L1993" s="584"/>
      <c r="M1993" s="584"/>
      <c r="N1993" s="584"/>
      <c r="O1993" s="583"/>
      <c r="P1993" s="584"/>
    </row>
    <row r="1994" spans="1:16" ht="15.75">
      <c r="A1994" s="587"/>
      <c r="B1994" s="587"/>
      <c r="C1994" s="587"/>
      <c r="D1994" s="588"/>
      <c r="E1994" s="589"/>
      <c r="F1994" s="590"/>
      <c r="G1994" s="590"/>
      <c r="H1994" s="588"/>
      <c r="I1994" s="591"/>
      <c r="J1994" s="592"/>
      <c r="K1994" s="590"/>
      <c r="L1994" s="590"/>
      <c r="M1994" s="590"/>
      <c r="N1994" s="590"/>
      <c r="O1994" s="589"/>
      <c r="P1994" s="590"/>
    </row>
    <row r="1995" spans="1:16" ht="15.75">
      <c r="A1995" s="581"/>
      <c r="B1995" s="581"/>
      <c r="C1995" s="581"/>
      <c r="D1995" s="582"/>
      <c r="E1995" s="583"/>
      <c r="F1995" s="584"/>
      <c r="G1995" s="584"/>
      <c r="H1995" s="582"/>
      <c r="I1995" s="585"/>
      <c r="J1995" s="586"/>
      <c r="K1995" s="584"/>
      <c r="L1995" s="584"/>
      <c r="M1995" s="584"/>
      <c r="N1995" s="584"/>
      <c r="O1995" s="583"/>
      <c r="P1995" s="584"/>
    </row>
    <row r="1996" spans="1:16" ht="15.75">
      <c r="A1996" s="587"/>
      <c r="B1996" s="587"/>
      <c r="C1996" s="587"/>
      <c r="D1996" s="588"/>
      <c r="E1996" s="589"/>
      <c r="F1996" s="590"/>
      <c r="G1996" s="590"/>
      <c r="H1996" s="588"/>
      <c r="I1996" s="591"/>
      <c r="J1996" s="592"/>
      <c r="K1996" s="590"/>
      <c r="L1996" s="590"/>
      <c r="M1996" s="590"/>
      <c r="N1996" s="590"/>
      <c r="O1996" s="589"/>
      <c r="P1996" s="590"/>
    </row>
    <row r="1997" spans="1:16" ht="15.75">
      <c r="A1997" s="581"/>
      <c r="B1997" s="581"/>
      <c r="C1997" s="581"/>
      <c r="D1997" s="582"/>
      <c r="E1997" s="583"/>
      <c r="F1997" s="584"/>
      <c r="G1997" s="584"/>
      <c r="H1997" s="582"/>
      <c r="I1997" s="585"/>
      <c r="J1997" s="586"/>
      <c r="K1997" s="584"/>
      <c r="L1997" s="584"/>
      <c r="M1997" s="584"/>
      <c r="N1997" s="584"/>
      <c r="O1997" s="583"/>
      <c r="P1997" s="584"/>
    </row>
    <row r="1998" spans="1:16" ht="15.75">
      <c r="A1998" s="587"/>
      <c r="B1998" s="587"/>
      <c r="C1998" s="587"/>
      <c r="D1998" s="588"/>
      <c r="E1998" s="589"/>
      <c r="F1998" s="590"/>
      <c r="G1998" s="590"/>
      <c r="H1998" s="588"/>
      <c r="I1998" s="591"/>
      <c r="J1998" s="592"/>
      <c r="K1998" s="590"/>
      <c r="L1998" s="590"/>
      <c r="M1998" s="590"/>
      <c r="N1998" s="590"/>
      <c r="O1998" s="589"/>
      <c r="P1998" s="590"/>
    </row>
    <row r="1999" spans="1:16" ht="15.75">
      <c r="A1999" s="581"/>
      <c r="B1999" s="581"/>
      <c r="C1999" s="581"/>
      <c r="D1999" s="582"/>
      <c r="E1999" s="583"/>
      <c r="F1999" s="584"/>
      <c r="G1999" s="584"/>
      <c r="H1999" s="582"/>
      <c r="I1999" s="585"/>
      <c r="J1999" s="586"/>
      <c r="K1999" s="584"/>
      <c r="L1999" s="584"/>
      <c r="M1999" s="584"/>
      <c r="N1999" s="584"/>
      <c r="O1999" s="583"/>
      <c r="P1999" s="584"/>
    </row>
    <row r="2000" spans="1:16" ht="15.75">
      <c r="A2000" s="587"/>
      <c r="B2000" s="587"/>
      <c r="C2000" s="587"/>
      <c r="D2000" s="588"/>
      <c r="E2000" s="589"/>
      <c r="F2000" s="590"/>
      <c r="G2000" s="590"/>
      <c r="H2000" s="588"/>
      <c r="I2000" s="591"/>
      <c r="J2000" s="592"/>
      <c r="K2000" s="590"/>
      <c r="L2000" s="590"/>
      <c r="M2000" s="590"/>
      <c r="N2000" s="590"/>
      <c r="O2000" s="589"/>
      <c r="P2000" s="590"/>
    </row>
  </sheetData>
  <autoFilter ref="A6:P2000" xr:uid="{00000000-0009-0000-0000-00000A000000}"/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O194"/>
  <sheetViews>
    <sheetView showGridLines="0" workbookViewId="0">
      <selection activeCell="I18" sqref="A18:I21"/>
    </sheetView>
  </sheetViews>
  <sheetFormatPr defaultColWidth="12.5703125" defaultRowHeight="15" customHeight="1"/>
  <cols>
    <col min="1" max="1" width="18.140625" customWidth="1"/>
    <col min="2" max="2" width="16.5703125" customWidth="1"/>
    <col min="3" max="3" width="39.85546875" customWidth="1"/>
    <col min="4" max="4" width="9.140625" customWidth="1"/>
    <col min="5" max="5" width="9.42578125" customWidth="1"/>
    <col min="6" max="6" width="10.42578125" customWidth="1"/>
    <col min="7" max="7" width="10.7109375" customWidth="1"/>
    <col min="8" max="8" width="5.85546875" customWidth="1"/>
    <col min="11" max="11" width="41.7109375" customWidth="1"/>
    <col min="12" max="13" width="9.5703125" customWidth="1"/>
  </cols>
  <sheetData>
    <row r="1" spans="1:15">
      <c r="A1" s="593"/>
      <c r="B1" s="593"/>
      <c r="C1" s="593"/>
      <c r="D1" s="593"/>
      <c r="E1" s="593"/>
      <c r="F1" s="594"/>
      <c r="G1" s="594"/>
      <c r="H1" s="595"/>
      <c r="I1" s="595"/>
      <c r="J1" s="595"/>
      <c r="K1" s="595"/>
      <c r="L1" s="595"/>
      <c r="M1" s="595"/>
      <c r="N1" s="595"/>
      <c r="O1" s="595"/>
    </row>
    <row r="2" spans="1:15">
      <c r="A2" s="593"/>
      <c r="C2" s="863" t="s">
        <v>1681</v>
      </c>
      <c r="D2" s="672"/>
      <c r="E2" s="672"/>
      <c r="F2" s="672"/>
      <c r="G2" s="672"/>
      <c r="J2" s="595"/>
      <c r="K2" s="595"/>
      <c r="L2" s="595"/>
      <c r="M2" s="595"/>
      <c r="N2" s="595"/>
      <c r="O2" s="595"/>
    </row>
    <row r="3" spans="1:15">
      <c r="A3" s="593"/>
      <c r="C3" s="672"/>
      <c r="D3" s="672"/>
      <c r="E3" s="672"/>
      <c r="F3" s="672"/>
      <c r="G3" s="672"/>
      <c r="J3" s="595"/>
      <c r="K3" s="595"/>
      <c r="L3" s="595"/>
      <c r="M3" s="595"/>
      <c r="N3" s="595"/>
      <c r="O3" s="595"/>
    </row>
    <row r="4" spans="1:15">
      <c r="A4" s="593"/>
      <c r="B4" s="593"/>
      <c r="C4" s="593"/>
      <c r="D4" s="593"/>
      <c r="E4" s="593"/>
      <c r="F4" s="594"/>
      <c r="G4" s="594"/>
      <c r="H4" s="595"/>
      <c r="I4" s="595"/>
      <c r="J4" s="595"/>
      <c r="K4" s="595"/>
      <c r="L4" s="595"/>
      <c r="M4" s="595"/>
      <c r="N4" s="595"/>
      <c r="O4" s="595"/>
    </row>
    <row r="5" spans="1:15">
      <c r="A5" s="860" t="s">
        <v>1682</v>
      </c>
      <c r="B5" s="860" t="s">
        <v>426</v>
      </c>
      <c r="C5" s="860" t="s">
        <v>1683</v>
      </c>
      <c r="D5" s="860" t="s">
        <v>79</v>
      </c>
      <c r="E5" s="860" t="s">
        <v>1684</v>
      </c>
      <c r="F5" s="862" t="s">
        <v>80</v>
      </c>
      <c r="G5" s="862" t="s">
        <v>1685</v>
      </c>
      <c r="H5" s="595"/>
      <c r="I5" s="860" t="s">
        <v>1682</v>
      </c>
      <c r="J5" s="860" t="s">
        <v>426</v>
      </c>
      <c r="K5" s="860" t="s">
        <v>1686</v>
      </c>
      <c r="L5" s="860" t="s">
        <v>79</v>
      </c>
      <c r="M5" s="860" t="s">
        <v>1684</v>
      </c>
      <c r="N5" s="862" t="s">
        <v>80</v>
      </c>
      <c r="O5" s="862" t="s">
        <v>1685</v>
      </c>
    </row>
    <row r="6" spans="1:15">
      <c r="A6" s="861"/>
      <c r="B6" s="861"/>
      <c r="C6" s="861"/>
      <c r="D6" s="861"/>
      <c r="E6" s="861"/>
      <c r="F6" s="861"/>
      <c r="G6" s="861"/>
      <c r="H6" s="595"/>
      <c r="I6" s="861"/>
      <c r="J6" s="861"/>
      <c r="K6" s="861"/>
      <c r="L6" s="861"/>
      <c r="M6" s="861"/>
      <c r="N6" s="861"/>
      <c r="O6" s="861"/>
    </row>
    <row r="7" spans="1:15">
      <c r="A7" s="596" t="s">
        <v>1687</v>
      </c>
      <c r="B7" s="596" t="s">
        <v>1688</v>
      </c>
      <c r="C7" s="596" t="s">
        <v>1689</v>
      </c>
      <c r="D7" s="597" t="s">
        <v>1690</v>
      </c>
      <c r="E7" s="597">
        <v>40</v>
      </c>
      <c r="F7" s="598">
        <v>104000</v>
      </c>
      <c r="G7" s="598">
        <v>5000</v>
      </c>
      <c r="H7" s="595"/>
      <c r="I7" s="596"/>
      <c r="J7" s="596"/>
      <c r="K7" s="596"/>
      <c r="L7" s="597"/>
      <c r="M7" s="597"/>
      <c r="N7" s="598"/>
      <c r="O7" s="598"/>
    </row>
    <row r="8" spans="1:15">
      <c r="A8" s="596"/>
      <c r="B8" s="596"/>
      <c r="C8" s="596"/>
      <c r="D8" s="597"/>
      <c r="E8" s="597"/>
      <c r="F8" s="598"/>
      <c r="G8" s="598"/>
      <c r="H8" s="595"/>
      <c r="I8" s="596" t="s">
        <v>1691</v>
      </c>
      <c r="J8" s="596" t="s">
        <v>1692</v>
      </c>
      <c r="K8" s="596" t="s">
        <v>1693</v>
      </c>
      <c r="L8" s="597" t="s">
        <v>1694</v>
      </c>
      <c r="M8" s="597">
        <v>8</v>
      </c>
      <c r="N8" s="598">
        <v>2200000</v>
      </c>
      <c r="O8" s="598">
        <v>100000</v>
      </c>
    </row>
    <row r="9" spans="1:15">
      <c r="A9" s="596" t="s">
        <v>1687</v>
      </c>
      <c r="B9" s="596" t="s">
        <v>1695</v>
      </c>
      <c r="C9" s="596" t="s">
        <v>1696</v>
      </c>
      <c r="D9" s="597" t="s">
        <v>1690</v>
      </c>
      <c r="E9" s="597">
        <v>314</v>
      </c>
      <c r="F9" s="598">
        <v>99000</v>
      </c>
      <c r="G9" s="598">
        <v>5000</v>
      </c>
      <c r="H9" s="595"/>
      <c r="I9" s="596" t="s">
        <v>1691</v>
      </c>
      <c r="J9" s="596" t="s">
        <v>1697</v>
      </c>
      <c r="K9" s="596" t="s">
        <v>1698</v>
      </c>
      <c r="L9" s="597" t="s">
        <v>1694</v>
      </c>
      <c r="M9" s="597">
        <v>35</v>
      </c>
      <c r="N9" s="598">
        <v>2963840</v>
      </c>
      <c r="O9" s="598">
        <v>100000</v>
      </c>
    </row>
    <row r="10" spans="1:15">
      <c r="A10" s="596" t="s">
        <v>1687</v>
      </c>
      <c r="B10" s="596" t="s">
        <v>1699</v>
      </c>
      <c r="C10" s="596" t="s">
        <v>1700</v>
      </c>
      <c r="D10" s="597" t="s">
        <v>1690</v>
      </c>
      <c r="E10" s="597">
        <v>103</v>
      </c>
      <c r="F10" s="598">
        <v>127000</v>
      </c>
      <c r="G10" s="598">
        <v>5000</v>
      </c>
      <c r="H10" s="595"/>
      <c r="I10" s="596" t="s">
        <v>1691</v>
      </c>
      <c r="J10" s="596" t="s">
        <v>1701</v>
      </c>
      <c r="K10" s="596" t="s">
        <v>1702</v>
      </c>
      <c r="L10" s="597" t="s">
        <v>1703</v>
      </c>
      <c r="M10" s="597">
        <v>3</v>
      </c>
      <c r="N10" s="598">
        <v>2077790</v>
      </c>
      <c r="O10" s="598">
        <v>50000</v>
      </c>
    </row>
    <row r="11" spans="1:15">
      <c r="A11" s="596"/>
      <c r="B11" s="596"/>
      <c r="C11" s="596"/>
      <c r="D11" s="597"/>
      <c r="E11" s="597"/>
      <c r="F11" s="598"/>
      <c r="G11" s="598"/>
      <c r="H11" s="595"/>
      <c r="I11" s="596" t="s">
        <v>1691</v>
      </c>
      <c r="J11" s="596" t="s">
        <v>1704</v>
      </c>
      <c r="K11" s="596" t="s">
        <v>1705</v>
      </c>
      <c r="L11" s="597" t="s">
        <v>1694</v>
      </c>
      <c r="M11" s="597">
        <v>86</v>
      </c>
      <c r="N11" s="598">
        <v>1008370</v>
      </c>
      <c r="O11" s="598">
        <v>50000</v>
      </c>
    </row>
    <row r="12" spans="1:15">
      <c r="A12" s="596"/>
      <c r="B12" s="596"/>
      <c r="C12" s="596"/>
      <c r="D12" s="597"/>
      <c r="E12" s="597"/>
      <c r="F12" s="598"/>
      <c r="G12" s="598"/>
      <c r="H12" s="595"/>
      <c r="I12" s="596" t="s">
        <v>1691</v>
      </c>
      <c r="J12" s="596" t="s">
        <v>1706</v>
      </c>
      <c r="K12" s="596" t="s">
        <v>1707</v>
      </c>
      <c r="L12" s="597" t="s">
        <v>1694</v>
      </c>
      <c r="M12" s="597">
        <v>68</v>
      </c>
      <c r="N12" s="598">
        <v>1903660</v>
      </c>
      <c r="O12" s="598">
        <v>100000</v>
      </c>
    </row>
    <row r="13" spans="1:15">
      <c r="A13" s="596"/>
      <c r="B13" s="596"/>
      <c r="C13" s="596"/>
      <c r="D13" s="597"/>
      <c r="E13" s="597"/>
      <c r="F13" s="598"/>
      <c r="G13" s="598"/>
      <c r="H13" s="595"/>
      <c r="I13" s="596" t="s">
        <v>1691</v>
      </c>
      <c r="J13" s="596" t="s">
        <v>1708</v>
      </c>
      <c r="K13" s="596" t="s">
        <v>1709</v>
      </c>
      <c r="L13" s="597" t="s">
        <v>1694</v>
      </c>
      <c r="M13" s="597">
        <v>19</v>
      </c>
      <c r="N13" s="598">
        <v>4665870</v>
      </c>
      <c r="O13" s="598">
        <v>100000</v>
      </c>
    </row>
    <row r="14" spans="1:15">
      <c r="A14" s="596"/>
      <c r="B14" s="596"/>
      <c r="C14" s="596"/>
      <c r="D14" s="597"/>
      <c r="E14" s="597"/>
      <c r="F14" s="598"/>
      <c r="G14" s="598"/>
      <c r="H14" s="595"/>
      <c r="I14" s="596" t="s">
        <v>1691</v>
      </c>
      <c r="J14" s="596" t="s">
        <v>1710</v>
      </c>
      <c r="K14" s="596" t="s">
        <v>1711</v>
      </c>
      <c r="L14" s="597" t="s">
        <v>1694</v>
      </c>
      <c r="M14" s="597">
        <v>7</v>
      </c>
      <c r="N14" s="598">
        <v>4155580</v>
      </c>
      <c r="O14" s="598">
        <v>100000</v>
      </c>
    </row>
    <row r="15" spans="1:15">
      <c r="A15" s="596"/>
      <c r="B15" s="596"/>
      <c r="C15" s="596"/>
      <c r="D15" s="597"/>
      <c r="E15" s="597"/>
      <c r="F15" s="598"/>
      <c r="G15" s="598"/>
      <c r="H15" s="595"/>
      <c r="I15" s="596" t="s">
        <v>1691</v>
      </c>
      <c r="J15" s="596" t="s">
        <v>1712</v>
      </c>
      <c r="K15" s="596" t="s">
        <v>1713</v>
      </c>
      <c r="L15" s="597" t="s">
        <v>1694</v>
      </c>
      <c r="M15" s="597">
        <v>6</v>
      </c>
      <c r="N15" s="598">
        <v>4320580</v>
      </c>
      <c r="O15" s="598">
        <v>100000</v>
      </c>
    </row>
    <row r="16" spans="1:15">
      <c r="A16" s="596"/>
      <c r="B16" s="596"/>
      <c r="C16" s="596"/>
      <c r="D16" s="597"/>
      <c r="E16" s="597"/>
      <c r="F16" s="598"/>
      <c r="G16" s="598"/>
      <c r="H16" s="595"/>
      <c r="I16" s="596"/>
      <c r="J16" s="596"/>
      <c r="K16" s="596"/>
      <c r="L16" s="597"/>
      <c r="M16" s="597"/>
      <c r="N16" s="598"/>
      <c r="O16" s="598"/>
    </row>
    <row r="17" spans="1:15">
      <c r="A17" s="596" t="s">
        <v>1714</v>
      </c>
      <c r="B17" s="596" t="s">
        <v>1715</v>
      </c>
      <c r="C17" s="596" t="s">
        <v>1716</v>
      </c>
      <c r="D17" s="597" t="s">
        <v>1694</v>
      </c>
      <c r="E17" s="597">
        <v>181</v>
      </c>
      <c r="F17" s="598">
        <v>7699.9999999999991</v>
      </c>
      <c r="G17" s="598">
        <v>1000</v>
      </c>
      <c r="H17" s="595"/>
      <c r="I17" s="596" t="s">
        <v>1717</v>
      </c>
      <c r="J17" s="596" t="s">
        <v>1718</v>
      </c>
      <c r="K17" s="596" t="s">
        <v>1719</v>
      </c>
      <c r="L17" s="597" t="s">
        <v>1694</v>
      </c>
      <c r="M17" s="597">
        <v>1</v>
      </c>
      <c r="N17" s="598">
        <v>2082850</v>
      </c>
      <c r="O17" s="598">
        <v>100000</v>
      </c>
    </row>
    <row r="18" spans="1:15">
      <c r="A18" s="596" t="s">
        <v>1714</v>
      </c>
      <c r="B18" s="596" t="s">
        <v>1720</v>
      </c>
      <c r="C18" s="596" t="s">
        <v>1721</v>
      </c>
      <c r="D18" s="597" t="s">
        <v>1694</v>
      </c>
      <c r="E18" s="597">
        <v>13</v>
      </c>
      <c r="F18" s="598">
        <v>14699.999999999998</v>
      </c>
      <c r="G18" s="598">
        <v>1000</v>
      </c>
      <c r="H18" s="595"/>
      <c r="I18" s="596" t="s">
        <v>1717</v>
      </c>
      <c r="J18" s="596" t="s">
        <v>1722</v>
      </c>
      <c r="K18" s="596" t="s">
        <v>1723</v>
      </c>
      <c r="L18" s="597" t="s">
        <v>1694</v>
      </c>
      <c r="M18" s="597">
        <v>73</v>
      </c>
      <c r="N18" s="598">
        <v>967560</v>
      </c>
      <c r="O18" s="598">
        <v>50000</v>
      </c>
    </row>
    <row r="19" spans="1:15">
      <c r="A19" s="596" t="s">
        <v>1714</v>
      </c>
      <c r="B19" s="596" t="s">
        <v>1724</v>
      </c>
      <c r="C19" s="596" t="s">
        <v>1725</v>
      </c>
      <c r="D19" s="597" t="s">
        <v>1694</v>
      </c>
      <c r="E19" s="597">
        <v>89</v>
      </c>
      <c r="F19" s="598">
        <v>19600</v>
      </c>
      <c r="G19" s="598">
        <v>1000</v>
      </c>
      <c r="H19" s="595"/>
      <c r="I19" s="596" t="s">
        <v>1726</v>
      </c>
      <c r="J19" s="596" t="s">
        <v>1727</v>
      </c>
      <c r="K19" s="596" t="s">
        <v>1728</v>
      </c>
      <c r="L19" s="597" t="s">
        <v>1690</v>
      </c>
      <c r="M19" s="597">
        <v>3</v>
      </c>
      <c r="N19" s="598">
        <v>9502790</v>
      </c>
      <c r="O19" s="598">
        <v>200000</v>
      </c>
    </row>
    <row r="20" spans="1:15">
      <c r="A20" s="596" t="s">
        <v>1714</v>
      </c>
      <c r="B20" s="596" t="s">
        <v>1729</v>
      </c>
      <c r="C20" s="596" t="s">
        <v>1730</v>
      </c>
      <c r="D20" s="597" t="s">
        <v>1694</v>
      </c>
      <c r="E20" s="597">
        <v>5</v>
      </c>
      <c r="F20" s="598">
        <v>7699.9999999999991</v>
      </c>
      <c r="G20" s="598">
        <v>1000</v>
      </c>
      <c r="H20" s="595"/>
      <c r="I20" s="596" t="s">
        <v>1726</v>
      </c>
      <c r="J20" s="596" t="s">
        <v>1731</v>
      </c>
      <c r="K20" s="596" t="s">
        <v>1732</v>
      </c>
      <c r="L20" s="597" t="s">
        <v>1690</v>
      </c>
      <c r="M20" s="597">
        <v>10</v>
      </c>
      <c r="N20" s="598">
        <v>10317560</v>
      </c>
      <c r="O20" s="598">
        <v>200000</v>
      </c>
    </row>
    <row r="21" spans="1:15">
      <c r="A21" s="596" t="s">
        <v>1714</v>
      </c>
      <c r="B21" s="596" t="s">
        <v>1733</v>
      </c>
      <c r="C21" s="596" t="s">
        <v>1734</v>
      </c>
      <c r="D21" s="597" t="s">
        <v>1694</v>
      </c>
      <c r="E21" s="597">
        <v>44</v>
      </c>
      <c r="F21" s="598">
        <v>81200</v>
      </c>
      <c r="G21" s="598">
        <v>1000</v>
      </c>
      <c r="H21" s="595"/>
      <c r="I21" s="596" t="s">
        <v>1726</v>
      </c>
      <c r="J21" s="596" t="s">
        <v>1735</v>
      </c>
      <c r="K21" s="596" t="s">
        <v>1736</v>
      </c>
      <c r="L21" s="597" t="s">
        <v>1690</v>
      </c>
      <c r="M21" s="597">
        <v>4</v>
      </c>
      <c r="N21" s="598">
        <v>9820580</v>
      </c>
      <c r="O21" s="598">
        <v>200000</v>
      </c>
    </row>
    <row r="22" spans="1:15">
      <c r="A22" s="596" t="s">
        <v>1714</v>
      </c>
      <c r="B22" s="596" t="s">
        <v>1737</v>
      </c>
      <c r="C22" s="596" t="s">
        <v>1738</v>
      </c>
      <c r="D22" s="597" t="s">
        <v>1694</v>
      </c>
      <c r="E22" s="597">
        <v>4</v>
      </c>
      <c r="F22" s="598">
        <v>21000</v>
      </c>
      <c r="G22" s="598">
        <v>1000</v>
      </c>
      <c r="H22" s="595"/>
      <c r="I22" s="596" t="s">
        <v>1726</v>
      </c>
      <c r="J22" s="596" t="s">
        <v>1739</v>
      </c>
      <c r="K22" s="596" t="s">
        <v>1740</v>
      </c>
      <c r="L22" s="597" t="s">
        <v>1690</v>
      </c>
      <c r="M22" s="597">
        <v>3</v>
      </c>
      <c r="N22" s="598">
        <v>8206220</v>
      </c>
      <c r="O22" s="598">
        <v>200000</v>
      </c>
    </row>
    <row r="23" spans="1:15">
      <c r="A23" s="596" t="s">
        <v>1714</v>
      </c>
      <c r="B23" s="596" t="s">
        <v>1741</v>
      </c>
      <c r="C23" s="596" t="s">
        <v>1742</v>
      </c>
      <c r="D23" s="597" t="s">
        <v>1694</v>
      </c>
      <c r="E23" s="597">
        <v>201</v>
      </c>
      <c r="F23" s="598">
        <v>8000</v>
      </c>
      <c r="G23" s="598">
        <v>1000</v>
      </c>
      <c r="H23" s="595"/>
      <c r="I23" s="596"/>
      <c r="J23" s="596"/>
      <c r="K23" s="596"/>
      <c r="L23" s="597"/>
      <c r="M23" s="597"/>
      <c r="N23" s="598"/>
      <c r="O23" s="598"/>
    </row>
    <row r="24" spans="1:15">
      <c r="A24" s="596" t="s">
        <v>1714</v>
      </c>
      <c r="B24" s="596" t="s">
        <v>1743</v>
      </c>
      <c r="C24" s="596" t="s">
        <v>1744</v>
      </c>
      <c r="D24" s="597" t="s">
        <v>1694</v>
      </c>
      <c r="E24" s="597">
        <v>526</v>
      </c>
      <c r="F24" s="598">
        <v>9000</v>
      </c>
      <c r="G24" s="598">
        <v>1000</v>
      </c>
      <c r="H24" s="595"/>
      <c r="I24" s="596" t="s">
        <v>1726</v>
      </c>
      <c r="J24" s="596" t="s">
        <v>1745</v>
      </c>
      <c r="K24" s="596" t="s">
        <v>1746</v>
      </c>
      <c r="L24" s="597" t="s">
        <v>1690</v>
      </c>
      <c r="M24" s="597">
        <v>1</v>
      </c>
      <c r="N24" s="598">
        <v>33339130</v>
      </c>
      <c r="O24" s="598">
        <v>200000</v>
      </c>
    </row>
    <row r="25" spans="1:15">
      <c r="A25" s="596" t="s">
        <v>1714</v>
      </c>
      <c r="B25" s="596" t="s">
        <v>1747</v>
      </c>
      <c r="C25" s="596" t="s">
        <v>1748</v>
      </c>
      <c r="D25" s="597" t="s">
        <v>1694</v>
      </c>
      <c r="E25" s="597">
        <v>124</v>
      </c>
      <c r="F25" s="598">
        <v>13000</v>
      </c>
      <c r="G25" s="598">
        <v>1000</v>
      </c>
      <c r="H25" s="595"/>
      <c r="I25" s="596" t="s">
        <v>1726</v>
      </c>
      <c r="J25" s="596" t="s">
        <v>1749</v>
      </c>
      <c r="K25" s="596" t="s">
        <v>1750</v>
      </c>
      <c r="L25" s="597" t="s">
        <v>1690</v>
      </c>
      <c r="M25" s="597">
        <v>6</v>
      </c>
      <c r="N25" s="598">
        <v>26095410</v>
      </c>
      <c r="O25" s="598">
        <v>200000</v>
      </c>
    </row>
    <row r="26" spans="1:15">
      <c r="A26" s="596" t="s">
        <v>1714</v>
      </c>
      <c r="B26" s="596" t="s">
        <v>1751</v>
      </c>
      <c r="C26" s="596" t="s">
        <v>1752</v>
      </c>
      <c r="D26" s="597" t="s">
        <v>1694</v>
      </c>
      <c r="E26" s="597">
        <v>488</v>
      </c>
      <c r="F26" s="598">
        <v>26000</v>
      </c>
      <c r="G26" s="598">
        <v>1000</v>
      </c>
      <c r="H26" s="595"/>
      <c r="I26" s="596"/>
      <c r="J26" s="596"/>
      <c r="K26" s="596"/>
      <c r="L26" s="597"/>
      <c r="M26" s="597"/>
      <c r="N26" s="598"/>
      <c r="O26" s="598"/>
    </row>
    <row r="27" spans="1:15">
      <c r="A27" s="596" t="s">
        <v>1714</v>
      </c>
      <c r="B27" s="596" t="s">
        <v>1753</v>
      </c>
      <c r="C27" s="596" t="s">
        <v>1754</v>
      </c>
      <c r="D27" s="597" t="s">
        <v>1694</v>
      </c>
      <c r="E27" s="597">
        <v>480</v>
      </c>
      <c r="F27" s="598">
        <v>5000</v>
      </c>
      <c r="G27" s="598">
        <v>1000</v>
      </c>
      <c r="H27" s="595"/>
      <c r="I27" s="596" t="s">
        <v>1726</v>
      </c>
      <c r="J27" s="596" t="s">
        <v>1755</v>
      </c>
      <c r="K27" s="596" t="s">
        <v>1756</v>
      </c>
      <c r="L27" s="597" t="s">
        <v>1690</v>
      </c>
      <c r="M27" s="597">
        <v>3</v>
      </c>
      <c r="N27" s="598">
        <v>9828720</v>
      </c>
      <c r="O27" s="598">
        <v>200000</v>
      </c>
    </row>
    <row r="28" spans="1:15">
      <c r="A28" s="596" t="s">
        <v>1757</v>
      </c>
      <c r="B28" s="596" t="s">
        <v>1758</v>
      </c>
      <c r="C28" s="596" t="s">
        <v>1759</v>
      </c>
      <c r="D28" s="597" t="s">
        <v>1694</v>
      </c>
      <c r="E28" s="597" t="s">
        <v>11807</v>
      </c>
      <c r="F28" s="598">
        <v>15000</v>
      </c>
      <c r="G28" s="598">
        <v>5000</v>
      </c>
      <c r="H28" s="595"/>
      <c r="I28" s="596" t="s">
        <v>1726</v>
      </c>
      <c r="J28" s="596" t="s">
        <v>1760</v>
      </c>
      <c r="K28" s="596" t="s">
        <v>1761</v>
      </c>
      <c r="L28" s="597" t="s">
        <v>1694</v>
      </c>
      <c r="M28" s="597">
        <v>4</v>
      </c>
      <c r="N28" s="598">
        <v>11825000</v>
      </c>
      <c r="O28" s="598">
        <v>200000</v>
      </c>
    </row>
    <row r="29" spans="1:15">
      <c r="A29" s="860" t="s">
        <v>1682</v>
      </c>
      <c r="B29" s="860" t="s">
        <v>426</v>
      </c>
      <c r="C29" s="860" t="s">
        <v>1762</v>
      </c>
      <c r="D29" s="860" t="s">
        <v>79</v>
      </c>
      <c r="E29" s="860" t="s">
        <v>1684</v>
      </c>
      <c r="F29" s="862" t="s">
        <v>80</v>
      </c>
      <c r="G29" s="862" t="s">
        <v>1685</v>
      </c>
      <c r="H29" s="595"/>
      <c r="I29" s="596"/>
      <c r="J29" s="596"/>
      <c r="K29" s="596"/>
      <c r="L29" s="597"/>
      <c r="M29" s="597"/>
      <c r="N29" s="598"/>
      <c r="O29" s="598"/>
    </row>
    <row r="30" spans="1:15">
      <c r="A30" s="861"/>
      <c r="B30" s="861"/>
      <c r="C30" s="861"/>
      <c r="D30" s="861"/>
      <c r="E30" s="861"/>
      <c r="F30" s="861"/>
      <c r="G30" s="861"/>
      <c r="H30" s="595"/>
      <c r="I30" s="596" t="s">
        <v>1726</v>
      </c>
      <c r="J30" s="596" t="s">
        <v>1763</v>
      </c>
      <c r="K30" s="596" t="s">
        <v>1764</v>
      </c>
      <c r="L30" s="597" t="s">
        <v>1694</v>
      </c>
      <c r="M30" s="597">
        <v>2</v>
      </c>
      <c r="N30" s="598">
        <v>28234360</v>
      </c>
      <c r="O30" s="598">
        <v>200000</v>
      </c>
    </row>
    <row r="31" spans="1:15">
      <c r="A31" s="596" t="s">
        <v>1765</v>
      </c>
      <c r="B31" s="596" t="s">
        <v>1766</v>
      </c>
      <c r="C31" s="596" t="s">
        <v>1767</v>
      </c>
      <c r="D31" s="597" t="s">
        <v>1703</v>
      </c>
      <c r="E31" s="597">
        <v>5</v>
      </c>
      <c r="F31" s="598">
        <v>231600</v>
      </c>
      <c r="G31" s="598">
        <v>5000</v>
      </c>
      <c r="H31" s="595"/>
      <c r="I31" s="596" t="s">
        <v>1726</v>
      </c>
      <c r="J31" s="596" t="s">
        <v>1768</v>
      </c>
      <c r="K31" s="596" t="s">
        <v>1769</v>
      </c>
      <c r="L31" s="597" t="s">
        <v>1690</v>
      </c>
      <c r="M31" s="597">
        <v>4</v>
      </c>
      <c r="N31" s="598">
        <v>31614770</v>
      </c>
      <c r="O31" s="598">
        <v>200000</v>
      </c>
    </row>
    <row r="32" spans="1:15">
      <c r="A32" s="596" t="s">
        <v>1770</v>
      </c>
      <c r="B32" s="596" t="s">
        <v>1771</v>
      </c>
      <c r="C32" s="596" t="s">
        <v>1772</v>
      </c>
      <c r="D32" s="597" t="s">
        <v>1694</v>
      </c>
      <c r="E32" s="597">
        <v>38</v>
      </c>
      <c r="F32" s="598">
        <v>357000</v>
      </c>
      <c r="G32" s="598">
        <v>5000</v>
      </c>
      <c r="H32" s="595"/>
      <c r="I32" s="596" t="s">
        <v>1726</v>
      </c>
      <c r="J32" s="596" t="s">
        <v>1773</v>
      </c>
      <c r="K32" s="596" t="s">
        <v>1774</v>
      </c>
      <c r="L32" s="597" t="s">
        <v>1694</v>
      </c>
      <c r="M32" s="597">
        <v>2</v>
      </c>
      <c r="N32" s="598">
        <v>8964010</v>
      </c>
      <c r="O32" s="598">
        <v>200000</v>
      </c>
    </row>
    <row r="33" spans="1:15">
      <c r="A33" s="596" t="s">
        <v>1770</v>
      </c>
      <c r="B33" s="596" t="s">
        <v>1775</v>
      </c>
      <c r="C33" s="596" t="s">
        <v>1776</v>
      </c>
      <c r="D33" s="597" t="s">
        <v>1694</v>
      </c>
      <c r="E33" s="597">
        <v>30</v>
      </c>
      <c r="F33" s="598">
        <v>357000</v>
      </c>
      <c r="G33" s="598">
        <v>5000</v>
      </c>
      <c r="H33" s="595"/>
      <c r="I33" s="596" t="s">
        <v>1726</v>
      </c>
      <c r="J33" s="596" t="s">
        <v>1777</v>
      </c>
      <c r="K33" s="596" t="s">
        <v>1778</v>
      </c>
      <c r="L33" s="597" t="s">
        <v>1694</v>
      </c>
      <c r="M33" s="597">
        <v>9</v>
      </c>
      <c r="N33" s="598">
        <v>10633370</v>
      </c>
      <c r="O33" s="598">
        <v>200000</v>
      </c>
    </row>
    <row r="34" spans="1:15">
      <c r="A34" s="596" t="s">
        <v>1770</v>
      </c>
      <c r="B34" s="596" t="s">
        <v>1779</v>
      </c>
      <c r="C34" s="596" t="s">
        <v>1780</v>
      </c>
      <c r="D34" s="597" t="s">
        <v>1694</v>
      </c>
      <c r="E34" s="597">
        <v>17</v>
      </c>
      <c r="F34" s="598">
        <v>74000</v>
      </c>
      <c r="G34" s="598">
        <v>1000</v>
      </c>
      <c r="H34" s="595"/>
      <c r="I34" s="596" t="s">
        <v>1726</v>
      </c>
      <c r="J34" s="596" t="s">
        <v>1781</v>
      </c>
      <c r="K34" s="596" t="s">
        <v>1782</v>
      </c>
      <c r="L34" s="597" t="s">
        <v>1694</v>
      </c>
      <c r="M34" s="597">
        <v>1</v>
      </c>
      <c r="N34" s="598">
        <v>11442090</v>
      </c>
      <c r="O34" s="598">
        <v>200000</v>
      </c>
    </row>
    <row r="35" spans="1:15">
      <c r="A35" s="596"/>
      <c r="B35" s="596"/>
      <c r="C35" s="596"/>
      <c r="D35" s="597"/>
      <c r="E35" s="597"/>
      <c r="F35" s="598"/>
      <c r="G35" s="598"/>
      <c r="H35" s="595"/>
      <c r="I35" s="596" t="s">
        <v>1726</v>
      </c>
      <c r="J35" s="596" t="s">
        <v>1783</v>
      </c>
      <c r="K35" s="596" t="s">
        <v>1784</v>
      </c>
      <c r="L35" s="597" t="s">
        <v>1694</v>
      </c>
      <c r="M35" s="597">
        <v>1</v>
      </c>
      <c r="N35" s="598">
        <v>12013430</v>
      </c>
      <c r="O35" s="598">
        <v>200000</v>
      </c>
    </row>
    <row r="36" spans="1:15">
      <c r="A36" s="596" t="s">
        <v>1770</v>
      </c>
      <c r="B36" s="596" t="s">
        <v>1785</v>
      </c>
      <c r="C36" s="596" t="s">
        <v>1786</v>
      </c>
      <c r="D36" s="597" t="s">
        <v>1694</v>
      </c>
      <c r="E36" s="597" t="s">
        <v>11807</v>
      </c>
      <c r="F36" s="598">
        <v>29399.999999999996</v>
      </c>
      <c r="G36" s="598">
        <v>5000</v>
      </c>
      <c r="H36" s="595"/>
      <c r="I36" s="596" t="s">
        <v>1726</v>
      </c>
      <c r="J36" s="596" t="s">
        <v>1787</v>
      </c>
      <c r="K36" s="596" t="s">
        <v>1788</v>
      </c>
      <c r="L36" s="597" t="s">
        <v>1694</v>
      </c>
      <c r="M36" s="597">
        <v>4</v>
      </c>
      <c r="N36" s="598">
        <v>12013430</v>
      </c>
      <c r="O36" s="598">
        <v>200000</v>
      </c>
    </row>
    <row r="37" spans="1:15">
      <c r="A37" s="596" t="s">
        <v>1789</v>
      </c>
      <c r="B37" s="596" t="s">
        <v>1790</v>
      </c>
      <c r="C37" s="596" t="s">
        <v>1791</v>
      </c>
      <c r="D37" s="597" t="s">
        <v>1792</v>
      </c>
      <c r="E37" s="597">
        <v>1</v>
      </c>
      <c r="F37" s="598">
        <v>116000</v>
      </c>
      <c r="G37" s="598">
        <v>5000</v>
      </c>
      <c r="H37" s="595"/>
      <c r="I37" s="596" t="s">
        <v>1726</v>
      </c>
      <c r="J37" s="596" t="s">
        <v>1793</v>
      </c>
      <c r="K37" s="596" t="s">
        <v>1794</v>
      </c>
      <c r="L37" s="597" t="s">
        <v>1694</v>
      </c>
      <c r="M37" s="597">
        <v>7</v>
      </c>
      <c r="N37" s="598">
        <v>3888720</v>
      </c>
      <c r="O37" s="598">
        <v>200000</v>
      </c>
    </row>
    <row r="38" spans="1:15">
      <c r="A38" s="596"/>
      <c r="B38" s="596"/>
      <c r="C38" s="596"/>
      <c r="D38" s="597"/>
      <c r="E38" s="597"/>
      <c r="F38" s="598"/>
      <c r="G38" s="598"/>
      <c r="H38" s="595"/>
      <c r="I38" s="596" t="s">
        <v>1726</v>
      </c>
      <c r="J38" s="596" t="s">
        <v>1795</v>
      </c>
      <c r="K38" s="596" t="s">
        <v>1796</v>
      </c>
      <c r="L38" s="597" t="s">
        <v>1694</v>
      </c>
      <c r="M38" s="597">
        <v>3</v>
      </c>
      <c r="N38" s="598">
        <v>3630990</v>
      </c>
      <c r="O38" s="598">
        <v>200000</v>
      </c>
    </row>
    <row r="39" spans="1:15">
      <c r="A39" s="596" t="s">
        <v>1797</v>
      </c>
      <c r="B39" s="596" t="s">
        <v>399</v>
      </c>
      <c r="C39" s="596" t="s">
        <v>1798</v>
      </c>
      <c r="D39" s="597" t="s">
        <v>1792</v>
      </c>
      <c r="E39" s="597">
        <v>1</v>
      </c>
      <c r="F39" s="598">
        <v>2000000</v>
      </c>
      <c r="G39" s="598">
        <v>100000</v>
      </c>
      <c r="H39" s="595"/>
      <c r="I39" s="596" t="s">
        <v>1726</v>
      </c>
      <c r="J39" s="596" t="s">
        <v>1799</v>
      </c>
      <c r="K39" s="596" t="s">
        <v>1800</v>
      </c>
      <c r="L39" s="597" t="s">
        <v>1690</v>
      </c>
      <c r="M39" s="597">
        <v>1</v>
      </c>
      <c r="N39" s="598">
        <v>5294300</v>
      </c>
      <c r="O39" s="598">
        <v>200000</v>
      </c>
    </row>
    <row r="40" spans="1:15">
      <c r="A40" s="596" t="s">
        <v>1789</v>
      </c>
      <c r="B40" s="596" t="s">
        <v>1801</v>
      </c>
      <c r="C40" s="596" t="s">
        <v>1802</v>
      </c>
      <c r="D40" s="597" t="s">
        <v>1803</v>
      </c>
      <c r="E40" s="597">
        <v>5</v>
      </c>
      <c r="F40" s="598">
        <v>92000</v>
      </c>
      <c r="G40" s="598">
        <v>5000</v>
      </c>
      <c r="H40" s="595"/>
      <c r="I40" s="596" t="s">
        <v>1726</v>
      </c>
      <c r="J40" s="596" t="s">
        <v>1804</v>
      </c>
      <c r="K40" s="596" t="s">
        <v>1805</v>
      </c>
      <c r="L40" s="597" t="s">
        <v>1690</v>
      </c>
      <c r="M40" s="597">
        <v>8</v>
      </c>
      <c r="N40" s="598">
        <v>4860350</v>
      </c>
      <c r="O40" s="598">
        <v>200000</v>
      </c>
    </row>
    <row r="41" spans="1:15">
      <c r="A41" s="596" t="s">
        <v>1770</v>
      </c>
      <c r="B41" s="596" t="s">
        <v>1806</v>
      </c>
      <c r="C41" s="596" t="s">
        <v>1807</v>
      </c>
      <c r="D41" s="597" t="s">
        <v>1694</v>
      </c>
      <c r="E41" s="597">
        <v>10</v>
      </c>
      <c r="F41" s="598">
        <v>70000</v>
      </c>
      <c r="G41" s="598">
        <v>5000</v>
      </c>
      <c r="H41" s="595"/>
      <c r="I41" s="596" t="s">
        <v>1726</v>
      </c>
      <c r="J41" s="596" t="s">
        <v>1808</v>
      </c>
      <c r="K41" s="596" t="s">
        <v>1809</v>
      </c>
      <c r="L41" s="597" t="s">
        <v>1694</v>
      </c>
      <c r="M41" s="597">
        <v>10</v>
      </c>
      <c r="N41" s="598">
        <v>5562150</v>
      </c>
      <c r="O41" s="598">
        <v>200000</v>
      </c>
    </row>
    <row r="42" spans="1:15">
      <c r="A42" s="596" t="s">
        <v>1765</v>
      </c>
      <c r="B42" s="596" t="s">
        <v>1810</v>
      </c>
      <c r="C42" s="596" t="s">
        <v>1811</v>
      </c>
      <c r="D42" s="597" t="s">
        <v>1694</v>
      </c>
      <c r="E42" s="597">
        <v>15</v>
      </c>
      <c r="F42" s="598">
        <v>82200</v>
      </c>
      <c r="G42" s="598">
        <v>5000</v>
      </c>
      <c r="H42" s="595"/>
      <c r="I42" s="596" t="s">
        <v>1726</v>
      </c>
      <c r="J42" s="596" t="s">
        <v>1812</v>
      </c>
      <c r="K42" s="596" t="s">
        <v>1813</v>
      </c>
      <c r="L42" s="597" t="s">
        <v>1694</v>
      </c>
      <c r="M42" s="597">
        <v>1</v>
      </c>
      <c r="N42" s="598">
        <v>12130580</v>
      </c>
      <c r="O42" s="598">
        <v>200000</v>
      </c>
    </row>
    <row r="43" spans="1:15">
      <c r="A43" s="860" t="s">
        <v>1682</v>
      </c>
      <c r="B43" s="860" t="s">
        <v>426</v>
      </c>
      <c r="C43" s="860" t="s">
        <v>1814</v>
      </c>
      <c r="D43" s="860" t="s">
        <v>79</v>
      </c>
      <c r="E43" s="860" t="s">
        <v>1684</v>
      </c>
      <c r="F43" s="862" t="s">
        <v>80</v>
      </c>
      <c r="G43" s="862" t="s">
        <v>1685</v>
      </c>
      <c r="H43" s="595"/>
      <c r="I43" s="596" t="s">
        <v>1726</v>
      </c>
      <c r="J43" s="596" t="s">
        <v>1815</v>
      </c>
      <c r="K43" s="596" t="s">
        <v>1816</v>
      </c>
      <c r="L43" s="597" t="s">
        <v>1694</v>
      </c>
      <c r="M43" s="597">
        <v>19</v>
      </c>
      <c r="N43" s="598">
        <v>2391510</v>
      </c>
      <c r="O43" s="598">
        <v>200000</v>
      </c>
    </row>
    <row r="44" spans="1:15">
      <c r="A44" s="861"/>
      <c r="B44" s="861"/>
      <c r="C44" s="861"/>
      <c r="D44" s="861"/>
      <c r="E44" s="861"/>
      <c r="F44" s="861"/>
      <c r="G44" s="861"/>
      <c r="H44" s="595"/>
      <c r="I44" s="596" t="s">
        <v>1726</v>
      </c>
      <c r="J44" s="596" t="s">
        <v>1817</v>
      </c>
      <c r="K44" s="596" t="s">
        <v>1818</v>
      </c>
      <c r="L44" s="597" t="s">
        <v>1694</v>
      </c>
      <c r="M44" s="597">
        <v>6</v>
      </c>
      <c r="N44" s="598">
        <v>22544000</v>
      </c>
      <c r="O44" s="598">
        <v>200000</v>
      </c>
    </row>
    <row r="45" spans="1:15">
      <c r="A45" s="596" t="s">
        <v>1819</v>
      </c>
      <c r="B45" s="596" t="s">
        <v>1820</v>
      </c>
      <c r="C45" s="596" t="s">
        <v>1821</v>
      </c>
      <c r="D45" s="597" t="s">
        <v>1694</v>
      </c>
      <c r="E45" s="597" t="s">
        <v>11807</v>
      </c>
      <c r="F45" s="598">
        <v>110600</v>
      </c>
      <c r="G45" s="598">
        <v>5000</v>
      </c>
      <c r="H45" s="595"/>
      <c r="I45" s="596" t="s">
        <v>1726</v>
      </c>
      <c r="J45" s="596" t="s">
        <v>1822</v>
      </c>
      <c r="K45" s="596" t="s">
        <v>1823</v>
      </c>
      <c r="L45" s="597" t="s">
        <v>1694</v>
      </c>
      <c r="M45" s="597">
        <v>2</v>
      </c>
      <c r="N45" s="598">
        <v>38112910</v>
      </c>
      <c r="O45" s="598">
        <v>200000</v>
      </c>
    </row>
    <row r="46" spans="1:15">
      <c r="A46" s="596" t="s">
        <v>1819</v>
      </c>
      <c r="B46" s="596" t="s">
        <v>1824</v>
      </c>
      <c r="C46" s="596" t="s">
        <v>1825</v>
      </c>
      <c r="D46" s="597" t="s">
        <v>1694</v>
      </c>
      <c r="E46" s="597" t="s">
        <v>11807</v>
      </c>
      <c r="F46" s="598">
        <v>110600</v>
      </c>
      <c r="G46" s="598">
        <v>5000</v>
      </c>
      <c r="H46" s="595"/>
      <c r="I46" s="596" t="s">
        <v>1826</v>
      </c>
      <c r="J46" s="596" t="s">
        <v>1827</v>
      </c>
      <c r="K46" s="596" t="s">
        <v>1828</v>
      </c>
      <c r="L46" s="597" t="s">
        <v>1694</v>
      </c>
      <c r="M46" s="597">
        <v>1</v>
      </c>
      <c r="N46" s="598">
        <v>7444360</v>
      </c>
      <c r="O46" s="598">
        <v>200000</v>
      </c>
    </row>
    <row r="47" spans="1:15">
      <c r="A47" s="596" t="s">
        <v>1770</v>
      </c>
      <c r="B47" s="596" t="s">
        <v>1829</v>
      </c>
      <c r="C47" s="596" t="s">
        <v>1830</v>
      </c>
      <c r="D47" s="597" t="s">
        <v>1694</v>
      </c>
      <c r="E47" s="597" t="s">
        <v>11807</v>
      </c>
      <c r="F47" s="598">
        <v>47400</v>
      </c>
      <c r="G47" s="598">
        <v>1000</v>
      </c>
      <c r="H47" s="595"/>
      <c r="I47" s="596" t="s">
        <v>1826</v>
      </c>
      <c r="J47" s="596" t="s">
        <v>1831</v>
      </c>
      <c r="K47" s="596" t="s">
        <v>1832</v>
      </c>
      <c r="L47" s="597" t="s">
        <v>1694</v>
      </c>
      <c r="M47" s="597">
        <v>1</v>
      </c>
      <c r="N47" s="598">
        <v>6470640</v>
      </c>
      <c r="O47" s="598">
        <v>200000</v>
      </c>
    </row>
    <row r="48" spans="1:15">
      <c r="A48" s="596" t="s">
        <v>1770</v>
      </c>
      <c r="B48" s="596" t="s">
        <v>1833</v>
      </c>
      <c r="C48" s="596" t="s">
        <v>1834</v>
      </c>
      <c r="D48" s="597" t="s">
        <v>1694</v>
      </c>
      <c r="E48" s="597">
        <v>4</v>
      </c>
      <c r="F48" s="598">
        <v>40800</v>
      </c>
      <c r="G48" s="598">
        <v>1000</v>
      </c>
      <c r="H48" s="595"/>
      <c r="I48" s="596" t="s">
        <v>1826</v>
      </c>
      <c r="J48" s="596" t="s">
        <v>1835</v>
      </c>
      <c r="K48" s="596" t="s">
        <v>1836</v>
      </c>
      <c r="L48" s="597" t="s">
        <v>1694</v>
      </c>
      <c r="M48" s="597">
        <v>1</v>
      </c>
      <c r="N48" s="598">
        <v>6620350</v>
      </c>
      <c r="O48" s="598">
        <v>200000</v>
      </c>
    </row>
    <row r="49" spans="1:15">
      <c r="A49" s="596" t="s">
        <v>1770</v>
      </c>
      <c r="B49" s="596" t="s">
        <v>1837</v>
      </c>
      <c r="C49" s="596" t="s">
        <v>1838</v>
      </c>
      <c r="D49" s="597" t="s">
        <v>1694</v>
      </c>
      <c r="E49" s="597" t="s">
        <v>11807</v>
      </c>
      <c r="F49" s="598">
        <v>57399.999999999993</v>
      </c>
      <c r="G49" s="598">
        <v>1000</v>
      </c>
      <c r="H49" s="595"/>
      <c r="I49" s="596"/>
      <c r="J49" s="596"/>
      <c r="K49" s="596"/>
      <c r="L49" s="597"/>
      <c r="M49" s="597"/>
      <c r="N49" s="598"/>
      <c r="O49" s="598"/>
    </row>
    <row r="50" spans="1:15">
      <c r="A50" s="596" t="s">
        <v>1770</v>
      </c>
      <c r="B50" s="596" t="s">
        <v>1839</v>
      </c>
      <c r="C50" s="596" t="s">
        <v>1840</v>
      </c>
      <c r="D50" s="597" t="s">
        <v>1694</v>
      </c>
      <c r="E50" s="597" t="s">
        <v>11807</v>
      </c>
      <c r="F50" s="598">
        <v>28200</v>
      </c>
      <c r="G50" s="598">
        <v>5000</v>
      </c>
      <c r="H50" s="595"/>
      <c r="I50" s="596"/>
      <c r="J50" s="596"/>
      <c r="K50" s="596"/>
      <c r="L50" s="597"/>
      <c r="M50" s="597"/>
      <c r="N50" s="598"/>
      <c r="O50" s="598"/>
    </row>
    <row r="51" spans="1:15">
      <c r="A51" s="596" t="s">
        <v>1770</v>
      </c>
      <c r="B51" s="596" t="s">
        <v>1841</v>
      </c>
      <c r="C51" s="596" t="s">
        <v>1842</v>
      </c>
      <c r="D51" s="597" t="s">
        <v>1694</v>
      </c>
      <c r="E51" s="597">
        <v>6</v>
      </c>
      <c r="F51" s="598">
        <v>77000</v>
      </c>
      <c r="G51" s="598">
        <v>1000</v>
      </c>
      <c r="H51" s="595"/>
      <c r="I51" s="596" t="s">
        <v>1826</v>
      </c>
      <c r="J51" s="596" t="s">
        <v>1843</v>
      </c>
      <c r="K51" s="596" t="s">
        <v>1844</v>
      </c>
      <c r="L51" s="597" t="s">
        <v>1694</v>
      </c>
      <c r="M51" s="597">
        <v>1</v>
      </c>
      <c r="N51" s="598">
        <v>6470640</v>
      </c>
      <c r="O51" s="598">
        <v>200000</v>
      </c>
    </row>
    <row r="52" spans="1:15">
      <c r="A52" s="596" t="s">
        <v>1770</v>
      </c>
      <c r="B52" s="596" t="s">
        <v>1845</v>
      </c>
      <c r="C52" s="596" t="s">
        <v>1846</v>
      </c>
      <c r="D52" s="597" t="s">
        <v>1690</v>
      </c>
      <c r="E52" s="597" t="s">
        <v>11807</v>
      </c>
      <c r="F52" s="598">
        <v>49200</v>
      </c>
      <c r="G52" s="598">
        <v>1000</v>
      </c>
      <c r="H52" s="595"/>
      <c r="I52" s="596"/>
      <c r="J52" s="596"/>
      <c r="K52" s="596"/>
      <c r="L52" s="597"/>
      <c r="M52" s="597"/>
      <c r="N52" s="598"/>
      <c r="O52" s="598"/>
    </row>
    <row r="53" spans="1:15">
      <c r="A53" s="596" t="s">
        <v>1770</v>
      </c>
      <c r="B53" s="596" t="s">
        <v>1847</v>
      </c>
      <c r="C53" s="596" t="s">
        <v>1848</v>
      </c>
      <c r="D53" s="597" t="s">
        <v>1690</v>
      </c>
      <c r="E53" s="597">
        <v>0.5</v>
      </c>
      <c r="F53" s="598">
        <v>90000</v>
      </c>
      <c r="G53" s="598">
        <v>1000</v>
      </c>
      <c r="H53" s="595"/>
      <c r="I53" s="596" t="s">
        <v>1826</v>
      </c>
      <c r="J53" s="596" t="s">
        <v>1849</v>
      </c>
      <c r="K53" s="596" t="s">
        <v>1850</v>
      </c>
      <c r="L53" s="597" t="s">
        <v>1694</v>
      </c>
      <c r="M53" s="597">
        <v>6</v>
      </c>
      <c r="N53" s="598">
        <v>10049710</v>
      </c>
      <c r="O53" s="598">
        <v>200000</v>
      </c>
    </row>
    <row r="54" spans="1:15">
      <c r="A54" s="599"/>
      <c r="B54" s="599" t="s">
        <v>1851</v>
      </c>
      <c r="C54" s="599" t="s">
        <v>1852</v>
      </c>
      <c r="D54" s="600" t="s">
        <v>1690</v>
      </c>
      <c r="E54" s="600">
        <v>0.5</v>
      </c>
      <c r="F54" s="601">
        <v>171366.6</v>
      </c>
      <c r="G54" s="598">
        <v>5000</v>
      </c>
      <c r="H54" s="595"/>
      <c r="I54" s="596" t="s">
        <v>1826</v>
      </c>
      <c r="J54" s="596" t="s">
        <v>1853</v>
      </c>
      <c r="K54" s="596" t="s">
        <v>1854</v>
      </c>
      <c r="L54" s="597" t="s">
        <v>1694</v>
      </c>
      <c r="M54" s="597">
        <v>1</v>
      </c>
      <c r="N54" s="598">
        <v>15257440</v>
      </c>
      <c r="O54" s="598">
        <v>200000</v>
      </c>
    </row>
    <row r="55" spans="1:15">
      <c r="A55" s="599"/>
      <c r="B55" s="599" t="s">
        <v>1855</v>
      </c>
      <c r="C55" s="599" t="s">
        <v>1856</v>
      </c>
      <c r="D55" s="600" t="s">
        <v>1690</v>
      </c>
      <c r="E55" s="600">
        <v>12</v>
      </c>
      <c r="F55" s="601">
        <v>20790</v>
      </c>
      <c r="G55" s="598">
        <v>5000</v>
      </c>
      <c r="H55" s="595"/>
      <c r="I55" s="596" t="s">
        <v>1826</v>
      </c>
      <c r="J55" s="596" t="s">
        <v>1857</v>
      </c>
      <c r="K55" s="596" t="s">
        <v>1858</v>
      </c>
      <c r="L55" s="597" t="s">
        <v>1694</v>
      </c>
      <c r="M55" s="597">
        <v>5</v>
      </c>
      <c r="N55" s="598">
        <v>20361220</v>
      </c>
      <c r="O55" s="598">
        <v>200000</v>
      </c>
    </row>
    <row r="56" spans="1:15">
      <c r="A56" s="599"/>
      <c r="B56" s="599" t="s">
        <v>1859</v>
      </c>
      <c r="C56" s="599" t="s">
        <v>1860</v>
      </c>
      <c r="D56" s="600" t="s">
        <v>1694</v>
      </c>
      <c r="E56" s="600">
        <v>24</v>
      </c>
      <c r="F56" s="601">
        <v>476215</v>
      </c>
      <c r="G56" s="598">
        <v>5000</v>
      </c>
      <c r="H56" s="595"/>
      <c r="I56" s="596" t="s">
        <v>1826</v>
      </c>
      <c r="J56" s="596" t="s">
        <v>1861</v>
      </c>
      <c r="K56" s="596" t="s">
        <v>1862</v>
      </c>
      <c r="L56" s="597" t="s">
        <v>1694</v>
      </c>
      <c r="M56" s="597">
        <v>1</v>
      </c>
      <c r="N56" s="598">
        <v>19047270</v>
      </c>
      <c r="O56" s="598">
        <v>200000</v>
      </c>
    </row>
    <row r="57" spans="1:15">
      <c r="A57" s="599"/>
      <c r="B57" s="599" t="s">
        <v>1863</v>
      </c>
      <c r="C57" s="599" t="s">
        <v>1864</v>
      </c>
      <c r="D57" s="600" t="s">
        <v>1694</v>
      </c>
      <c r="E57" s="600">
        <v>16</v>
      </c>
      <c r="F57" s="601">
        <v>610639</v>
      </c>
      <c r="G57" s="598">
        <v>5000</v>
      </c>
      <c r="H57" s="595"/>
      <c r="I57" s="596" t="s">
        <v>1826</v>
      </c>
      <c r="J57" s="596" t="s">
        <v>1865</v>
      </c>
      <c r="K57" s="596" t="s">
        <v>1866</v>
      </c>
      <c r="L57" s="597" t="s">
        <v>1694</v>
      </c>
      <c r="M57" s="597">
        <v>1</v>
      </c>
      <c r="N57" s="598">
        <v>8277500</v>
      </c>
      <c r="O57" s="598">
        <v>200000</v>
      </c>
    </row>
    <row r="58" spans="1:15">
      <c r="A58" s="596" t="s">
        <v>1819</v>
      </c>
      <c r="B58" s="596" t="s">
        <v>1867</v>
      </c>
      <c r="C58" s="596" t="s">
        <v>1868</v>
      </c>
      <c r="D58" s="597" t="s">
        <v>1690</v>
      </c>
      <c r="E58" s="597" t="s">
        <v>11807</v>
      </c>
      <c r="F58" s="598">
        <v>720000</v>
      </c>
      <c r="G58" s="598">
        <v>5000</v>
      </c>
      <c r="H58" s="595"/>
      <c r="I58" s="596" t="s">
        <v>1826</v>
      </c>
      <c r="J58" s="596" t="s">
        <v>1869</v>
      </c>
      <c r="K58" s="596" t="s">
        <v>1870</v>
      </c>
      <c r="L58" s="597" t="s">
        <v>1694</v>
      </c>
      <c r="M58" s="597">
        <v>4</v>
      </c>
      <c r="N58" s="598">
        <v>17170230</v>
      </c>
      <c r="O58" s="598">
        <v>200000</v>
      </c>
    </row>
    <row r="59" spans="1:15">
      <c r="A59" s="596" t="s">
        <v>1819</v>
      </c>
      <c r="B59" s="596" t="s">
        <v>1871</v>
      </c>
      <c r="C59" s="596" t="s">
        <v>1872</v>
      </c>
      <c r="D59" s="597" t="s">
        <v>1694</v>
      </c>
      <c r="E59" s="597">
        <v>3</v>
      </c>
      <c r="F59" s="598">
        <v>889700</v>
      </c>
      <c r="G59" s="598">
        <v>20000</v>
      </c>
      <c r="H59" s="595"/>
      <c r="I59" s="596" t="s">
        <v>1826</v>
      </c>
      <c r="J59" s="596" t="s">
        <v>1873</v>
      </c>
      <c r="K59" s="596" t="s">
        <v>1874</v>
      </c>
      <c r="L59" s="597" t="s">
        <v>1694</v>
      </c>
      <c r="M59" s="597">
        <v>10</v>
      </c>
      <c r="N59" s="598">
        <v>17100930</v>
      </c>
      <c r="O59" s="598">
        <v>200000</v>
      </c>
    </row>
    <row r="60" spans="1:15">
      <c r="A60" s="596" t="s">
        <v>1819</v>
      </c>
      <c r="B60" s="596" t="s">
        <v>1875</v>
      </c>
      <c r="C60" s="596" t="s">
        <v>1876</v>
      </c>
      <c r="D60" s="597" t="s">
        <v>1694</v>
      </c>
      <c r="E60" s="597" t="s">
        <v>11807</v>
      </c>
      <c r="F60" s="598">
        <v>976800</v>
      </c>
      <c r="G60" s="598">
        <v>20000</v>
      </c>
      <c r="H60" s="595"/>
      <c r="I60" s="596" t="s">
        <v>1826</v>
      </c>
      <c r="J60" s="596" t="s">
        <v>1877</v>
      </c>
      <c r="K60" s="596" t="s">
        <v>1878</v>
      </c>
      <c r="L60" s="597" t="s">
        <v>1694</v>
      </c>
      <c r="M60" s="597">
        <v>5</v>
      </c>
      <c r="N60" s="598">
        <v>27393080</v>
      </c>
      <c r="O60" s="598">
        <v>200000</v>
      </c>
    </row>
    <row r="61" spans="1:15">
      <c r="A61" s="596" t="s">
        <v>1819</v>
      </c>
      <c r="B61" s="596" t="s">
        <v>1879</v>
      </c>
      <c r="C61" s="596" t="s">
        <v>1880</v>
      </c>
      <c r="D61" s="597" t="s">
        <v>1694</v>
      </c>
      <c r="E61" s="597" t="s">
        <v>11807</v>
      </c>
      <c r="F61" s="598">
        <v>1119300</v>
      </c>
      <c r="G61" s="598">
        <v>20000</v>
      </c>
      <c r="H61" s="595"/>
      <c r="I61" s="596" t="s">
        <v>1826</v>
      </c>
      <c r="J61" s="596" t="s">
        <v>1881</v>
      </c>
      <c r="K61" s="596" t="s">
        <v>1882</v>
      </c>
      <c r="L61" s="597" t="s">
        <v>1694</v>
      </c>
      <c r="M61" s="597">
        <v>1</v>
      </c>
      <c r="N61" s="598">
        <v>26571160</v>
      </c>
      <c r="O61" s="598">
        <v>200000</v>
      </c>
    </row>
    <row r="62" spans="1:15">
      <c r="A62" s="596" t="s">
        <v>1819</v>
      </c>
      <c r="B62" s="596" t="s">
        <v>1883</v>
      </c>
      <c r="C62" s="596" t="s">
        <v>1884</v>
      </c>
      <c r="D62" s="597" t="s">
        <v>1694</v>
      </c>
      <c r="E62" s="597" t="s">
        <v>11807</v>
      </c>
      <c r="F62" s="598">
        <v>1407000</v>
      </c>
      <c r="G62" s="598">
        <v>20000</v>
      </c>
      <c r="H62" s="595"/>
      <c r="I62" s="596" t="s">
        <v>1826</v>
      </c>
      <c r="J62" s="596" t="s">
        <v>1885</v>
      </c>
      <c r="K62" s="596" t="s">
        <v>1886</v>
      </c>
      <c r="L62" s="597" t="s">
        <v>1694</v>
      </c>
      <c r="M62" s="597">
        <v>1</v>
      </c>
      <c r="N62" s="598">
        <v>25911160</v>
      </c>
      <c r="O62" s="598">
        <v>200000</v>
      </c>
    </row>
    <row r="63" spans="1:15">
      <c r="A63" s="596"/>
      <c r="B63" s="596"/>
      <c r="C63" s="596"/>
      <c r="D63" s="597"/>
      <c r="E63" s="597"/>
      <c r="F63" s="598"/>
      <c r="G63" s="598"/>
      <c r="H63" s="595"/>
      <c r="I63" s="596" t="s">
        <v>1826</v>
      </c>
      <c r="J63" s="596" t="s">
        <v>1887</v>
      </c>
      <c r="K63" s="596" t="s">
        <v>1888</v>
      </c>
      <c r="L63" s="597" t="s">
        <v>1694</v>
      </c>
      <c r="M63" s="597">
        <v>3</v>
      </c>
      <c r="N63" s="598">
        <v>25259300</v>
      </c>
      <c r="O63" s="598">
        <v>200000</v>
      </c>
    </row>
    <row r="64" spans="1:15">
      <c r="A64" s="596" t="s">
        <v>1765</v>
      </c>
      <c r="B64" s="596" t="s">
        <v>1889</v>
      </c>
      <c r="C64" s="596" t="s">
        <v>1890</v>
      </c>
      <c r="D64" s="597" t="s">
        <v>1694</v>
      </c>
      <c r="E64" s="597">
        <v>2</v>
      </c>
      <c r="F64" s="598">
        <v>83400</v>
      </c>
      <c r="G64" s="598">
        <v>5000</v>
      </c>
      <c r="H64" s="595"/>
      <c r="I64" s="596" t="s">
        <v>1826</v>
      </c>
      <c r="J64" s="596" t="s">
        <v>1891</v>
      </c>
      <c r="K64" s="596" t="s">
        <v>1892</v>
      </c>
      <c r="L64" s="597" t="s">
        <v>1694</v>
      </c>
      <c r="M64" s="597">
        <v>3</v>
      </c>
      <c r="N64" s="598">
        <v>24597210</v>
      </c>
      <c r="O64" s="598">
        <v>200000</v>
      </c>
    </row>
    <row r="65" spans="1:15">
      <c r="A65" s="596" t="s">
        <v>1765</v>
      </c>
      <c r="B65" s="596" t="s">
        <v>1893</v>
      </c>
      <c r="C65" s="596" t="s">
        <v>1894</v>
      </c>
      <c r="D65" s="597" t="s">
        <v>1694</v>
      </c>
      <c r="E65" s="597" t="s">
        <v>11807</v>
      </c>
      <c r="F65" s="598">
        <v>46200</v>
      </c>
      <c r="G65" s="598">
        <v>5000</v>
      </c>
      <c r="H65" s="595"/>
      <c r="I65" s="596"/>
      <c r="J65" s="596"/>
      <c r="K65" s="596"/>
      <c r="L65" s="597"/>
      <c r="M65" s="597"/>
      <c r="N65" s="598"/>
      <c r="O65" s="598"/>
    </row>
    <row r="66" spans="1:15">
      <c r="A66" s="596" t="s">
        <v>1765</v>
      </c>
      <c r="B66" s="596" t="s">
        <v>1895</v>
      </c>
      <c r="C66" s="596" t="s">
        <v>1896</v>
      </c>
      <c r="D66" s="597" t="s">
        <v>1694</v>
      </c>
      <c r="E66" s="597" t="s">
        <v>11807</v>
      </c>
      <c r="F66" s="598">
        <v>273000</v>
      </c>
      <c r="G66" s="598">
        <v>5000</v>
      </c>
      <c r="H66" s="595"/>
      <c r="I66" s="596"/>
      <c r="J66" s="596"/>
      <c r="K66" s="596"/>
      <c r="L66" s="597"/>
      <c r="M66" s="597"/>
      <c r="N66" s="598"/>
      <c r="O66" s="598"/>
    </row>
    <row r="67" spans="1:15">
      <c r="A67" s="596" t="s">
        <v>1765</v>
      </c>
      <c r="B67" s="596" t="s">
        <v>1897</v>
      </c>
      <c r="C67" s="596" t="s">
        <v>1898</v>
      </c>
      <c r="D67" s="597" t="s">
        <v>1694</v>
      </c>
      <c r="E67" s="597" t="s">
        <v>11807</v>
      </c>
      <c r="F67" s="598">
        <v>69600</v>
      </c>
      <c r="G67" s="598">
        <v>5000</v>
      </c>
      <c r="H67" s="595"/>
      <c r="I67" s="596" t="s">
        <v>1826</v>
      </c>
      <c r="J67" s="596" t="s">
        <v>1899</v>
      </c>
      <c r="K67" s="596" t="s">
        <v>1900</v>
      </c>
      <c r="L67" s="597" t="s">
        <v>1694</v>
      </c>
      <c r="M67" s="597">
        <v>3</v>
      </c>
      <c r="N67" s="598">
        <v>6915700</v>
      </c>
      <c r="O67" s="598">
        <v>200000</v>
      </c>
    </row>
    <row r="68" spans="1:15">
      <c r="A68" s="596" t="s">
        <v>1770</v>
      </c>
      <c r="B68" s="596" t="s">
        <v>1901</v>
      </c>
      <c r="C68" s="596" t="s">
        <v>1902</v>
      </c>
      <c r="D68" s="597" t="s">
        <v>1694</v>
      </c>
      <c r="E68" s="597">
        <v>2</v>
      </c>
      <c r="F68" s="598">
        <v>37100</v>
      </c>
      <c r="G68" s="598">
        <v>5000</v>
      </c>
      <c r="H68" s="595"/>
      <c r="I68" s="596" t="s">
        <v>1826</v>
      </c>
      <c r="J68" s="596" t="s">
        <v>1903</v>
      </c>
      <c r="K68" s="596" t="s">
        <v>1904</v>
      </c>
      <c r="L68" s="597" t="s">
        <v>1694</v>
      </c>
      <c r="M68" s="597" t="s">
        <v>11807</v>
      </c>
      <c r="N68" s="598">
        <v>7812090</v>
      </c>
      <c r="O68" s="598">
        <v>200000</v>
      </c>
    </row>
    <row r="69" spans="1:15">
      <c r="A69" s="596"/>
      <c r="B69" s="596"/>
      <c r="C69" s="596"/>
      <c r="D69" s="597"/>
      <c r="E69" s="597"/>
      <c r="F69" s="598"/>
      <c r="G69" s="598"/>
      <c r="H69" s="595"/>
      <c r="I69" s="596"/>
      <c r="J69" s="596"/>
      <c r="K69" s="596"/>
      <c r="L69" s="597"/>
      <c r="M69" s="597"/>
      <c r="N69" s="598"/>
      <c r="O69" s="598"/>
    </row>
    <row r="70" spans="1:15">
      <c r="A70" s="596" t="s">
        <v>1770</v>
      </c>
      <c r="B70" s="596" t="s">
        <v>1905</v>
      </c>
      <c r="C70" s="596" t="s">
        <v>1906</v>
      </c>
      <c r="D70" s="597" t="s">
        <v>1690</v>
      </c>
      <c r="E70" s="597">
        <v>1</v>
      </c>
      <c r="F70" s="598">
        <v>26000</v>
      </c>
      <c r="G70" s="598">
        <v>5000</v>
      </c>
      <c r="H70" s="595"/>
      <c r="I70" s="596"/>
      <c r="J70" s="596"/>
      <c r="K70" s="596"/>
      <c r="L70" s="597"/>
      <c r="M70" s="597"/>
      <c r="N70" s="598"/>
      <c r="O70" s="598"/>
    </row>
    <row r="71" spans="1:15">
      <c r="A71" s="596" t="s">
        <v>1770</v>
      </c>
      <c r="B71" s="596" t="s">
        <v>1907</v>
      </c>
      <c r="C71" s="596" t="s">
        <v>1908</v>
      </c>
      <c r="D71" s="597" t="s">
        <v>1690</v>
      </c>
      <c r="E71" s="597">
        <v>3</v>
      </c>
      <c r="F71" s="598">
        <v>32000</v>
      </c>
      <c r="G71" s="598">
        <v>5000</v>
      </c>
      <c r="H71" s="595"/>
      <c r="I71" s="596"/>
      <c r="J71" s="596"/>
      <c r="K71" s="596"/>
      <c r="L71" s="597"/>
      <c r="M71" s="597"/>
      <c r="N71" s="598"/>
      <c r="O71" s="598"/>
    </row>
    <row r="72" spans="1:15">
      <c r="A72" s="860" t="s">
        <v>1682</v>
      </c>
      <c r="B72" s="860" t="s">
        <v>426</v>
      </c>
      <c r="C72" s="860" t="s">
        <v>1909</v>
      </c>
      <c r="D72" s="860" t="s">
        <v>79</v>
      </c>
      <c r="E72" s="860" t="s">
        <v>1684</v>
      </c>
      <c r="F72" s="862" t="s">
        <v>80</v>
      </c>
      <c r="G72" s="862" t="s">
        <v>1685</v>
      </c>
      <c r="H72" s="595"/>
      <c r="I72" s="596" t="s">
        <v>1826</v>
      </c>
      <c r="J72" s="596" t="s">
        <v>1910</v>
      </c>
      <c r="K72" s="596" t="s">
        <v>1911</v>
      </c>
      <c r="L72" s="597" t="s">
        <v>1694</v>
      </c>
      <c r="M72" s="597">
        <v>2</v>
      </c>
      <c r="N72" s="598">
        <v>9258370</v>
      </c>
      <c r="O72" s="598">
        <v>200000</v>
      </c>
    </row>
    <row r="73" spans="1:15">
      <c r="A73" s="861"/>
      <c r="B73" s="861"/>
      <c r="C73" s="861"/>
      <c r="D73" s="861"/>
      <c r="E73" s="861"/>
      <c r="F73" s="861"/>
      <c r="G73" s="861"/>
      <c r="H73" s="595"/>
      <c r="I73" s="596" t="s">
        <v>1826</v>
      </c>
      <c r="J73" s="596" t="s">
        <v>1912</v>
      </c>
      <c r="K73" s="596" t="s">
        <v>1913</v>
      </c>
      <c r="L73" s="597" t="s">
        <v>1694</v>
      </c>
      <c r="M73" s="597">
        <v>5</v>
      </c>
      <c r="N73" s="598">
        <v>9502790</v>
      </c>
      <c r="O73" s="598">
        <v>200000</v>
      </c>
    </row>
    <row r="74" spans="1:15">
      <c r="A74" s="596" t="s">
        <v>1770</v>
      </c>
      <c r="B74" s="596" t="s">
        <v>1914</v>
      </c>
      <c r="C74" s="596" t="s">
        <v>1915</v>
      </c>
      <c r="D74" s="597" t="s">
        <v>1694</v>
      </c>
      <c r="E74" s="597">
        <v>17</v>
      </c>
      <c r="F74" s="598">
        <v>27600</v>
      </c>
      <c r="G74" s="598">
        <v>5000</v>
      </c>
      <c r="H74" s="595"/>
      <c r="I74" s="596" t="s">
        <v>1826</v>
      </c>
      <c r="J74" s="596" t="s">
        <v>1916</v>
      </c>
      <c r="K74" s="596" t="s">
        <v>1917</v>
      </c>
      <c r="L74" s="597" t="s">
        <v>1694</v>
      </c>
      <c r="M74" s="597">
        <v>9</v>
      </c>
      <c r="N74" s="598">
        <v>10246280</v>
      </c>
      <c r="O74" s="598">
        <v>200000</v>
      </c>
    </row>
    <row r="75" spans="1:15">
      <c r="A75" s="596" t="s">
        <v>1770</v>
      </c>
      <c r="B75" s="596" t="s">
        <v>1918</v>
      </c>
      <c r="C75" s="596" t="s">
        <v>1919</v>
      </c>
      <c r="D75" s="597" t="s">
        <v>1694</v>
      </c>
      <c r="E75" s="597">
        <v>6</v>
      </c>
      <c r="F75" s="598">
        <v>37000</v>
      </c>
      <c r="G75" s="598">
        <v>5000</v>
      </c>
      <c r="H75" s="595"/>
      <c r="I75" s="596" t="s">
        <v>1826</v>
      </c>
      <c r="J75" s="596" t="s">
        <v>1920</v>
      </c>
      <c r="K75" s="596" t="s">
        <v>1921</v>
      </c>
      <c r="L75" s="597" t="s">
        <v>1694</v>
      </c>
      <c r="M75" s="597">
        <v>1</v>
      </c>
      <c r="N75" s="598">
        <v>10037500</v>
      </c>
      <c r="O75" s="598">
        <v>200000</v>
      </c>
    </row>
    <row r="76" spans="1:15">
      <c r="A76" s="596" t="s">
        <v>1770</v>
      </c>
      <c r="B76" s="596" t="s">
        <v>1922</v>
      </c>
      <c r="C76" s="596" t="s">
        <v>1923</v>
      </c>
      <c r="D76" s="597" t="s">
        <v>1694</v>
      </c>
      <c r="E76" s="597" t="s">
        <v>11807</v>
      </c>
      <c r="F76" s="598">
        <v>94800</v>
      </c>
      <c r="G76" s="598">
        <v>2000</v>
      </c>
      <c r="H76" s="595"/>
      <c r="I76" s="596" t="s">
        <v>1826</v>
      </c>
      <c r="J76" s="596" t="s">
        <v>1924</v>
      </c>
      <c r="K76" s="596" t="s">
        <v>1925</v>
      </c>
      <c r="L76" s="597" t="s">
        <v>1694</v>
      </c>
      <c r="M76" s="597">
        <v>8</v>
      </c>
      <c r="N76" s="598">
        <v>12425930</v>
      </c>
      <c r="O76" s="598">
        <v>200000</v>
      </c>
    </row>
    <row r="77" spans="1:15">
      <c r="A77" s="596" t="s">
        <v>1926</v>
      </c>
      <c r="B77" s="596" t="s">
        <v>1927</v>
      </c>
      <c r="C77" s="596" t="s">
        <v>1928</v>
      </c>
      <c r="D77" s="597" t="s">
        <v>1929</v>
      </c>
      <c r="E77" s="597">
        <v>72</v>
      </c>
      <c r="F77" s="598">
        <v>35000</v>
      </c>
      <c r="G77" s="598">
        <v>5000</v>
      </c>
      <c r="H77" s="595"/>
      <c r="I77" s="596"/>
      <c r="J77" s="596"/>
      <c r="K77" s="596"/>
      <c r="L77" s="597"/>
      <c r="M77" s="597"/>
      <c r="N77" s="598"/>
      <c r="O77" s="598"/>
    </row>
    <row r="78" spans="1:15">
      <c r="A78" s="596"/>
      <c r="B78" s="596"/>
      <c r="C78" s="596"/>
      <c r="D78" s="597"/>
      <c r="E78" s="597"/>
      <c r="F78" s="598"/>
      <c r="G78" s="598"/>
      <c r="H78" s="595"/>
      <c r="I78" s="596" t="s">
        <v>1826</v>
      </c>
      <c r="J78" s="596" t="s">
        <v>1930</v>
      </c>
      <c r="K78" s="596" t="s">
        <v>1931</v>
      </c>
      <c r="L78" s="597" t="s">
        <v>1694</v>
      </c>
      <c r="M78" s="597">
        <v>4</v>
      </c>
      <c r="N78" s="598">
        <v>11415580</v>
      </c>
      <c r="O78" s="598">
        <v>200000</v>
      </c>
    </row>
    <row r="79" spans="1:15">
      <c r="A79" s="596"/>
      <c r="B79" s="596"/>
      <c r="C79" s="596"/>
      <c r="D79" s="597"/>
      <c r="E79" s="597"/>
      <c r="F79" s="598"/>
      <c r="G79" s="598"/>
      <c r="H79" s="595"/>
      <c r="I79" s="596" t="s">
        <v>1826</v>
      </c>
      <c r="J79" s="596" t="s">
        <v>1932</v>
      </c>
      <c r="K79" s="596" t="s">
        <v>1933</v>
      </c>
      <c r="L79" s="597" t="s">
        <v>1694</v>
      </c>
      <c r="M79" s="597">
        <v>1</v>
      </c>
      <c r="N79" s="598">
        <v>12331220</v>
      </c>
      <c r="O79" s="598">
        <v>200000</v>
      </c>
    </row>
    <row r="80" spans="1:15">
      <c r="A80" s="596" t="s">
        <v>1770</v>
      </c>
      <c r="B80" s="596" t="s">
        <v>1934</v>
      </c>
      <c r="C80" s="596" t="s">
        <v>1935</v>
      </c>
      <c r="D80" s="597" t="s">
        <v>1694</v>
      </c>
      <c r="E80" s="597">
        <v>1</v>
      </c>
      <c r="F80" s="598">
        <v>35000</v>
      </c>
      <c r="G80" s="598">
        <v>5000</v>
      </c>
      <c r="H80" s="595"/>
      <c r="I80" s="596" t="s">
        <v>1826</v>
      </c>
      <c r="J80" s="596" t="s">
        <v>1936</v>
      </c>
      <c r="K80" s="596" t="s">
        <v>1937</v>
      </c>
      <c r="L80" s="597" t="s">
        <v>1694</v>
      </c>
      <c r="M80" s="597">
        <v>6</v>
      </c>
      <c r="N80" s="598">
        <v>17191570</v>
      </c>
      <c r="O80" s="598">
        <v>200000</v>
      </c>
    </row>
    <row r="81" spans="1:15">
      <c r="A81" s="596" t="s">
        <v>1770</v>
      </c>
      <c r="B81" s="596" t="s">
        <v>1938</v>
      </c>
      <c r="C81" s="596" t="s">
        <v>1939</v>
      </c>
      <c r="D81" s="597" t="s">
        <v>1694</v>
      </c>
      <c r="E81" s="597">
        <v>10</v>
      </c>
      <c r="F81" s="598">
        <v>17500</v>
      </c>
      <c r="G81" s="598">
        <v>5000</v>
      </c>
      <c r="H81" s="595"/>
      <c r="I81" s="596" t="s">
        <v>1826</v>
      </c>
      <c r="J81" s="596" t="s">
        <v>1940</v>
      </c>
      <c r="K81" s="596" t="s">
        <v>1941</v>
      </c>
      <c r="L81" s="597" t="s">
        <v>1694</v>
      </c>
      <c r="M81" s="597">
        <v>2</v>
      </c>
      <c r="N81" s="598">
        <v>15175930</v>
      </c>
      <c r="O81" s="598">
        <v>200000</v>
      </c>
    </row>
    <row r="82" spans="1:15">
      <c r="A82" s="596" t="s">
        <v>1770</v>
      </c>
      <c r="B82" s="596" t="s">
        <v>1942</v>
      </c>
      <c r="C82" s="596" t="s">
        <v>1943</v>
      </c>
      <c r="D82" s="597" t="s">
        <v>1694</v>
      </c>
      <c r="E82" s="597">
        <v>1</v>
      </c>
      <c r="F82" s="598">
        <v>35000</v>
      </c>
      <c r="G82" s="598">
        <v>5000</v>
      </c>
      <c r="H82" s="595"/>
      <c r="I82" s="596" t="s">
        <v>1826</v>
      </c>
      <c r="J82" s="596" t="s">
        <v>1944</v>
      </c>
      <c r="K82" s="596" t="s">
        <v>1945</v>
      </c>
      <c r="L82" s="597" t="s">
        <v>1694</v>
      </c>
      <c r="M82" s="597">
        <v>9</v>
      </c>
      <c r="N82" s="598">
        <v>16805580</v>
      </c>
      <c r="O82" s="598">
        <v>200000</v>
      </c>
    </row>
    <row r="83" spans="1:15">
      <c r="A83" s="596" t="s">
        <v>1770</v>
      </c>
      <c r="B83" s="596" t="s">
        <v>1946</v>
      </c>
      <c r="C83" s="596" t="s">
        <v>1947</v>
      </c>
      <c r="D83" s="597" t="s">
        <v>1948</v>
      </c>
      <c r="E83" s="597">
        <v>17</v>
      </c>
      <c r="F83" s="598">
        <v>14500</v>
      </c>
      <c r="G83" s="598">
        <v>5000</v>
      </c>
      <c r="H83" s="595"/>
      <c r="I83" s="596" t="s">
        <v>1826</v>
      </c>
      <c r="J83" s="596" t="s">
        <v>1949</v>
      </c>
      <c r="K83" s="596" t="s">
        <v>1950</v>
      </c>
      <c r="L83" s="597" t="s">
        <v>1694</v>
      </c>
      <c r="M83" s="597">
        <v>2</v>
      </c>
      <c r="N83" s="598">
        <v>16396160</v>
      </c>
      <c r="O83" s="598">
        <v>200000</v>
      </c>
    </row>
    <row r="84" spans="1:15">
      <c r="A84" s="596" t="s">
        <v>1770</v>
      </c>
      <c r="B84" s="596" t="s">
        <v>1951</v>
      </c>
      <c r="C84" s="596" t="s">
        <v>1952</v>
      </c>
      <c r="D84" s="597" t="s">
        <v>1694</v>
      </c>
      <c r="E84" s="597">
        <v>78</v>
      </c>
      <c r="F84" s="598">
        <v>6000</v>
      </c>
      <c r="G84" s="598">
        <v>5000</v>
      </c>
      <c r="H84" s="595"/>
      <c r="I84" s="860" t="s">
        <v>1682</v>
      </c>
      <c r="J84" s="860" t="s">
        <v>426</v>
      </c>
      <c r="K84" s="860" t="s">
        <v>1953</v>
      </c>
      <c r="L84" s="860" t="s">
        <v>79</v>
      </c>
      <c r="M84" s="860" t="s">
        <v>1684</v>
      </c>
      <c r="N84" s="862" t="s">
        <v>80</v>
      </c>
      <c r="O84" s="862" t="s">
        <v>1685</v>
      </c>
    </row>
    <row r="85" spans="1:15">
      <c r="A85" s="596" t="s">
        <v>1770</v>
      </c>
      <c r="B85" s="596" t="s">
        <v>1954</v>
      </c>
      <c r="C85" s="596" t="s">
        <v>1955</v>
      </c>
      <c r="D85" s="597" t="s">
        <v>1694</v>
      </c>
      <c r="E85" s="597">
        <v>1</v>
      </c>
      <c r="F85" s="598">
        <v>4644400</v>
      </c>
      <c r="G85" s="598">
        <v>43000</v>
      </c>
      <c r="H85" s="595"/>
      <c r="I85" s="861"/>
      <c r="J85" s="861"/>
      <c r="K85" s="861"/>
      <c r="L85" s="861"/>
      <c r="M85" s="861"/>
      <c r="N85" s="861"/>
      <c r="O85" s="861"/>
    </row>
    <row r="86" spans="1:15">
      <c r="A86" s="596" t="s">
        <v>1770</v>
      </c>
      <c r="B86" s="596" t="s">
        <v>1956</v>
      </c>
      <c r="C86" s="596" t="s">
        <v>1957</v>
      </c>
      <c r="D86" s="597" t="s">
        <v>1694</v>
      </c>
      <c r="E86" s="597" t="s">
        <v>11807</v>
      </c>
      <c r="F86" s="598">
        <v>35400</v>
      </c>
      <c r="G86" s="598">
        <v>1000</v>
      </c>
      <c r="H86" s="595"/>
      <c r="I86" s="596"/>
      <c r="J86" s="596"/>
      <c r="K86" s="596"/>
      <c r="L86" s="597"/>
      <c r="M86" s="597"/>
      <c r="N86" s="598"/>
      <c r="O86" s="598"/>
    </row>
    <row r="87" spans="1:15">
      <c r="A87" s="596" t="s">
        <v>1770</v>
      </c>
      <c r="B87" s="596" t="s">
        <v>1958</v>
      </c>
      <c r="C87" s="596" t="s">
        <v>1959</v>
      </c>
      <c r="D87" s="597" t="s">
        <v>1694</v>
      </c>
      <c r="E87" s="597">
        <v>12</v>
      </c>
      <c r="F87" s="598">
        <v>31500</v>
      </c>
      <c r="G87" s="598">
        <v>1000</v>
      </c>
      <c r="H87" s="595"/>
      <c r="I87" s="596"/>
      <c r="J87" s="596"/>
      <c r="K87" s="596"/>
      <c r="L87" s="597"/>
      <c r="M87" s="597"/>
      <c r="N87" s="598"/>
      <c r="O87" s="598"/>
    </row>
    <row r="88" spans="1:15">
      <c r="A88" s="596" t="s">
        <v>1770</v>
      </c>
      <c r="B88" s="596" t="s">
        <v>1960</v>
      </c>
      <c r="C88" s="596" t="s">
        <v>1961</v>
      </c>
      <c r="D88" s="597" t="s">
        <v>1694</v>
      </c>
      <c r="E88" s="597">
        <v>1</v>
      </c>
      <c r="F88" s="598">
        <v>52500</v>
      </c>
      <c r="G88" s="598">
        <v>1000</v>
      </c>
      <c r="H88" s="595"/>
      <c r="I88" s="596" t="s">
        <v>1770</v>
      </c>
      <c r="J88" s="596" t="s">
        <v>1962</v>
      </c>
      <c r="K88" s="596" t="s">
        <v>1963</v>
      </c>
      <c r="L88" s="597" t="s">
        <v>1694</v>
      </c>
      <c r="M88" s="597">
        <v>3</v>
      </c>
      <c r="N88" s="598">
        <v>178500</v>
      </c>
      <c r="O88" s="598">
        <v>10000</v>
      </c>
    </row>
    <row r="89" spans="1:15">
      <c r="A89" s="596" t="s">
        <v>1770</v>
      </c>
      <c r="B89" s="596" t="s">
        <v>1964</v>
      </c>
      <c r="C89" s="596" t="s">
        <v>1965</v>
      </c>
      <c r="D89" s="597" t="s">
        <v>1694</v>
      </c>
      <c r="E89" s="597" t="s">
        <v>11807</v>
      </c>
      <c r="F89" s="598">
        <v>13800</v>
      </c>
      <c r="G89" s="598">
        <v>5000</v>
      </c>
      <c r="H89" s="595"/>
      <c r="I89" s="596" t="s">
        <v>1770</v>
      </c>
      <c r="J89" s="596" t="s">
        <v>1966</v>
      </c>
      <c r="K89" s="596" t="s">
        <v>1967</v>
      </c>
      <c r="L89" s="597" t="s">
        <v>1694</v>
      </c>
      <c r="M89" s="597" t="s">
        <v>11807</v>
      </c>
      <c r="N89" s="598">
        <v>258999.99999999997</v>
      </c>
      <c r="O89" s="598">
        <v>10000</v>
      </c>
    </row>
    <row r="90" spans="1:15">
      <c r="A90" s="596" t="s">
        <v>1770</v>
      </c>
      <c r="B90" s="596" t="s">
        <v>1968</v>
      </c>
      <c r="C90" s="596" t="s">
        <v>1969</v>
      </c>
      <c r="D90" s="597" t="s">
        <v>1694</v>
      </c>
      <c r="E90" s="597">
        <v>17</v>
      </c>
      <c r="F90" s="598">
        <v>40500</v>
      </c>
      <c r="G90" s="598">
        <v>5000</v>
      </c>
      <c r="H90" s="595"/>
      <c r="I90" s="596"/>
      <c r="J90" s="596"/>
      <c r="K90" s="596"/>
      <c r="L90" s="597"/>
      <c r="M90" s="597"/>
      <c r="N90" s="598"/>
      <c r="O90" s="598"/>
    </row>
    <row r="91" spans="1:15">
      <c r="A91" s="596" t="s">
        <v>1970</v>
      </c>
      <c r="B91" s="596" t="s">
        <v>1971</v>
      </c>
      <c r="C91" s="596" t="s">
        <v>1972</v>
      </c>
      <c r="D91" s="597" t="s">
        <v>1694</v>
      </c>
      <c r="E91" s="597">
        <v>360</v>
      </c>
      <c r="F91" s="598">
        <v>22000</v>
      </c>
      <c r="G91" s="598">
        <v>1000</v>
      </c>
      <c r="H91" s="595"/>
      <c r="I91" s="596"/>
      <c r="J91" s="596"/>
      <c r="K91" s="596"/>
      <c r="L91" s="597"/>
      <c r="M91" s="597"/>
      <c r="N91" s="598"/>
      <c r="O91" s="598"/>
    </row>
    <row r="92" spans="1:15">
      <c r="H92" s="595"/>
      <c r="I92" s="596"/>
      <c r="J92" s="596"/>
      <c r="K92" s="596"/>
      <c r="L92" s="597"/>
      <c r="M92" s="597"/>
      <c r="N92" s="598"/>
      <c r="O92" s="598"/>
    </row>
    <row r="93" spans="1:15">
      <c r="H93" s="595"/>
      <c r="I93" s="596"/>
      <c r="J93" s="596"/>
      <c r="K93" s="596"/>
      <c r="L93" s="597"/>
      <c r="M93" s="597"/>
      <c r="N93" s="598"/>
      <c r="O93" s="598"/>
    </row>
    <row r="94" spans="1:15">
      <c r="H94" s="595"/>
      <c r="I94" s="596"/>
      <c r="J94" s="596"/>
      <c r="K94" s="596"/>
      <c r="L94" s="597"/>
      <c r="M94" s="597"/>
      <c r="N94" s="598"/>
      <c r="O94" s="598"/>
    </row>
    <row r="95" spans="1:15">
      <c r="H95" s="595"/>
      <c r="I95" s="596" t="s">
        <v>1770</v>
      </c>
      <c r="J95" s="596" t="s">
        <v>1973</v>
      </c>
      <c r="K95" s="596" t="s">
        <v>1974</v>
      </c>
      <c r="L95" s="597" t="s">
        <v>1694</v>
      </c>
      <c r="M95" s="597">
        <v>40</v>
      </c>
      <c r="N95" s="598">
        <v>266000</v>
      </c>
      <c r="O95" s="598">
        <v>10000</v>
      </c>
    </row>
    <row r="96" spans="1:15">
      <c r="H96" s="595"/>
      <c r="I96" s="596" t="s">
        <v>1770</v>
      </c>
      <c r="J96" s="596" t="s">
        <v>1975</v>
      </c>
      <c r="K96" s="596" t="s">
        <v>1976</v>
      </c>
      <c r="L96" s="597" t="s">
        <v>1694</v>
      </c>
      <c r="M96" s="597" t="s">
        <v>11807</v>
      </c>
      <c r="N96" s="598">
        <v>251999.99999999997</v>
      </c>
      <c r="O96" s="598">
        <v>10000</v>
      </c>
    </row>
    <row r="97" spans="8:15">
      <c r="H97" s="595"/>
      <c r="I97" s="596"/>
      <c r="J97" s="596"/>
      <c r="K97" s="596"/>
      <c r="L97" s="597"/>
      <c r="M97" s="597"/>
      <c r="N97" s="598"/>
      <c r="O97" s="598"/>
    </row>
    <row r="98" spans="8:15">
      <c r="H98" s="595"/>
      <c r="I98" s="596"/>
      <c r="J98" s="596"/>
      <c r="K98" s="596"/>
      <c r="L98" s="597"/>
      <c r="M98" s="597"/>
      <c r="N98" s="598"/>
      <c r="O98" s="598"/>
    </row>
    <row r="99" spans="8:15">
      <c r="H99" s="595"/>
      <c r="I99" s="596"/>
      <c r="J99" s="596"/>
      <c r="K99" s="596"/>
      <c r="L99" s="597"/>
      <c r="M99" s="597"/>
      <c r="N99" s="598"/>
      <c r="O99" s="598"/>
    </row>
    <row r="100" spans="8:15">
      <c r="H100" s="595"/>
      <c r="I100" s="596"/>
      <c r="J100" s="596"/>
      <c r="K100" s="596"/>
      <c r="L100" s="597"/>
      <c r="M100" s="597"/>
      <c r="N100" s="598"/>
      <c r="O100" s="598"/>
    </row>
    <row r="101" spans="8:15">
      <c r="H101" s="595"/>
      <c r="I101" s="596" t="s">
        <v>1770</v>
      </c>
      <c r="J101" s="596" t="s">
        <v>1977</v>
      </c>
      <c r="K101" s="596" t="s">
        <v>1978</v>
      </c>
      <c r="L101" s="597" t="s">
        <v>1694</v>
      </c>
      <c r="M101" s="597" t="s">
        <v>11807</v>
      </c>
      <c r="N101" s="598"/>
      <c r="O101" s="598"/>
    </row>
    <row r="102" spans="8:15">
      <c r="H102" s="595"/>
      <c r="I102" s="596" t="s">
        <v>1770</v>
      </c>
      <c r="J102" s="596" t="s">
        <v>1979</v>
      </c>
      <c r="K102" s="596" t="s">
        <v>1980</v>
      </c>
      <c r="L102" s="597" t="s">
        <v>1694</v>
      </c>
      <c r="M102" s="597">
        <v>7</v>
      </c>
      <c r="N102" s="598">
        <v>86500</v>
      </c>
      <c r="O102" s="598">
        <v>10000</v>
      </c>
    </row>
    <row r="103" spans="8:15">
      <c r="H103" s="595"/>
      <c r="I103" s="596"/>
      <c r="J103" s="596"/>
      <c r="K103" s="596"/>
      <c r="L103" s="597"/>
      <c r="M103" s="597"/>
      <c r="N103" s="598"/>
      <c r="O103" s="598"/>
    </row>
    <row r="104" spans="8:15">
      <c r="H104" s="595"/>
      <c r="I104" s="596" t="s">
        <v>1770</v>
      </c>
      <c r="J104" s="596" t="s">
        <v>1981</v>
      </c>
      <c r="K104" s="596" t="s">
        <v>1982</v>
      </c>
      <c r="L104" s="597" t="s">
        <v>1703</v>
      </c>
      <c r="M104" s="597" t="s">
        <v>11807</v>
      </c>
      <c r="N104" s="598">
        <v>139300</v>
      </c>
      <c r="O104" s="598">
        <v>10000</v>
      </c>
    </row>
    <row r="105" spans="8:15">
      <c r="H105" s="595"/>
      <c r="I105" s="596"/>
      <c r="J105" s="596"/>
      <c r="K105" s="596"/>
      <c r="L105" s="597"/>
      <c r="M105" s="597"/>
      <c r="N105" s="598"/>
      <c r="O105" s="598"/>
    </row>
    <row r="106" spans="8:15">
      <c r="H106" s="595"/>
      <c r="I106" s="596" t="s">
        <v>1770</v>
      </c>
      <c r="J106" s="596" t="s">
        <v>1983</v>
      </c>
      <c r="K106" s="596" t="s">
        <v>1984</v>
      </c>
      <c r="L106" s="597" t="s">
        <v>1694</v>
      </c>
      <c r="M106" s="597">
        <v>7</v>
      </c>
      <c r="N106" s="598">
        <v>127500</v>
      </c>
      <c r="O106" s="598">
        <v>10000</v>
      </c>
    </row>
    <row r="107" spans="8:15">
      <c r="H107" s="595"/>
      <c r="I107" s="596" t="s">
        <v>1770</v>
      </c>
      <c r="J107" s="596" t="s">
        <v>1985</v>
      </c>
      <c r="K107" s="596" t="s">
        <v>1986</v>
      </c>
      <c r="L107" s="597" t="s">
        <v>1694</v>
      </c>
      <c r="M107" s="597">
        <v>89</v>
      </c>
      <c r="N107" s="598">
        <v>7000</v>
      </c>
      <c r="O107" s="598">
        <v>1000</v>
      </c>
    </row>
    <row r="108" spans="8:15">
      <c r="H108" s="595"/>
      <c r="I108" s="596" t="s">
        <v>1770</v>
      </c>
      <c r="J108" s="596" t="s">
        <v>1987</v>
      </c>
      <c r="K108" s="596" t="s">
        <v>1988</v>
      </c>
      <c r="L108" s="597" t="s">
        <v>1694</v>
      </c>
      <c r="M108" s="597">
        <v>525</v>
      </c>
      <c r="N108" s="598">
        <v>4900</v>
      </c>
      <c r="O108" s="598">
        <v>1000</v>
      </c>
    </row>
    <row r="109" spans="8:15">
      <c r="H109" s="595"/>
      <c r="I109" s="860" t="s">
        <v>1682</v>
      </c>
      <c r="J109" s="860" t="s">
        <v>426</v>
      </c>
      <c r="K109" s="860" t="s">
        <v>1989</v>
      </c>
      <c r="L109" s="860" t="s">
        <v>79</v>
      </c>
      <c r="M109" s="860" t="s">
        <v>1684</v>
      </c>
      <c r="N109" s="862" t="s">
        <v>80</v>
      </c>
      <c r="O109" s="862" t="s">
        <v>1685</v>
      </c>
    </row>
    <row r="110" spans="8:15">
      <c r="H110" s="595"/>
      <c r="I110" s="861"/>
      <c r="J110" s="861"/>
      <c r="K110" s="861"/>
      <c r="L110" s="861"/>
      <c r="M110" s="861"/>
      <c r="N110" s="861"/>
      <c r="O110" s="861"/>
    </row>
    <row r="111" spans="8:15">
      <c r="H111" s="595"/>
      <c r="I111" s="596"/>
      <c r="J111" s="596"/>
      <c r="K111" s="596"/>
      <c r="L111" s="597"/>
      <c r="M111" s="597"/>
      <c r="N111" s="598"/>
      <c r="O111" s="598"/>
    </row>
    <row r="112" spans="8:15">
      <c r="H112" s="595"/>
      <c r="I112" s="596" t="s">
        <v>1770</v>
      </c>
      <c r="J112" s="596" t="s">
        <v>1990</v>
      </c>
      <c r="K112" s="596" t="s">
        <v>1991</v>
      </c>
      <c r="L112" s="597" t="s">
        <v>1694</v>
      </c>
      <c r="M112" s="597">
        <v>8</v>
      </c>
      <c r="N112" s="598">
        <v>282800</v>
      </c>
      <c r="O112" s="598">
        <v>20000</v>
      </c>
    </row>
    <row r="113" spans="8:15">
      <c r="H113" s="595"/>
      <c r="I113" s="596" t="s">
        <v>1770</v>
      </c>
      <c r="J113" s="596" t="s">
        <v>1992</v>
      </c>
      <c r="K113" s="596" t="s">
        <v>1993</v>
      </c>
      <c r="L113" s="597" t="s">
        <v>1694</v>
      </c>
      <c r="M113" s="597" t="s">
        <v>11807</v>
      </c>
      <c r="N113" s="598">
        <v>133700</v>
      </c>
      <c r="O113" s="598">
        <v>20000</v>
      </c>
    </row>
    <row r="114" spans="8:15">
      <c r="H114" s="595"/>
      <c r="I114" s="596" t="s">
        <v>1770</v>
      </c>
      <c r="J114" s="596" t="s">
        <v>1994</v>
      </c>
      <c r="K114" s="596" t="s">
        <v>1995</v>
      </c>
      <c r="L114" s="597" t="s">
        <v>1694</v>
      </c>
      <c r="M114" s="597" t="s">
        <v>11807</v>
      </c>
      <c r="N114" s="598">
        <v>1107400</v>
      </c>
      <c r="O114" s="598">
        <v>20000</v>
      </c>
    </row>
    <row r="115" spans="8:15">
      <c r="H115" s="595"/>
      <c r="I115" s="596" t="s">
        <v>1770</v>
      </c>
      <c r="J115" s="596" t="s">
        <v>1996</v>
      </c>
      <c r="K115" s="596" t="s">
        <v>1997</v>
      </c>
      <c r="L115" s="597" t="s">
        <v>1694</v>
      </c>
      <c r="M115" s="597">
        <v>1</v>
      </c>
      <c r="N115" s="598">
        <v>335000</v>
      </c>
      <c r="O115" s="598">
        <v>20000</v>
      </c>
    </row>
    <row r="116" spans="8:15">
      <c r="H116" s="595"/>
      <c r="I116" s="596" t="s">
        <v>1770</v>
      </c>
      <c r="J116" s="596" t="s">
        <v>1998</v>
      </c>
      <c r="K116" s="596" t="s">
        <v>1999</v>
      </c>
      <c r="L116" s="597" t="s">
        <v>1694</v>
      </c>
      <c r="M116" s="597">
        <v>2</v>
      </c>
      <c r="N116" s="598">
        <v>150500</v>
      </c>
      <c r="O116" s="598">
        <v>20000</v>
      </c>
    </row>
    <row r="117" spans="8:15">
      <c r="H117" s="595"/>
      <c r="I117" s="596" t="s">
        <v>1770</v>
      </c>
      <c r="J117" s="596" t="s">
        <v>2000</v>
      </c>
      <c r="K117" s="596" t="s">
        <v>2001</v>
      </c>
      <c r="L117" s="597" t="s">
        <v>1694</v>
      </c>
      <c r="M117" s="597" t="s">
        <v>11807</v>
      </c>
      <c r="N117" s="598">
        <v>410200</v>
      </c>
      <c r="O117" s="598">
        <v>20000</v>
      </c>
    </row>
    <row r="118" spans="8:15">
      <c r="H118" s="595"/>
      <c r="I118" s="596" t="s">
        <v>1770</v>
      </c>
      <c r="J118" s="596" t="s">
        <v>2002</v>
      </c>
      <c r="K118" s="596" t="s">
        <v>2003</v>
      </c>
      <c r="L118" s="597" t="s">
        <v>1694</v>
      </c>
      <c r="M118" s="597">
        <v>22</v>
      </c>
      <c r="N118" s="598">
        <v>336000</v>
      </c>
      <c r="O118" s="598">
        <v>20000</v>
      </c>
    </row>
    <row r="119" spans="8:15">
      <c r="H119" s="595"/>
      <c r="I119" s="596" t="s">
        <v>1770</v>
      </c>
      <c r="J119" s="596" t="s">
        <v>2004</v>
      </c>
      <c r="K119" s="596" t="s">
        <v>2005</v>
      </c>
      <c r="L119" s="597" t="s">
        <v>1694</v>
      </c>
      <c r="M119" s="597" t="s">
        <v>11807</v>
      </c>
      <c r="N119" s="598">
        <v>240099.99999999997</v>
      </c>
      <c r="O119" s="598">
        <v>20000</v>
      </c>
    </row>
    <row r="120" spans="8:15">
      <c r="H120" s="595"/>
      <c r="I120" s="596" t="s">
        <v>1770</v>
      </c>
      <c r="J120" s="596" t="s">
        <v>2006</v>
      </c>
      <c r="K120" s="596" t="s">
        <v>2007</v>
      </c>
      <c r="L120" s="597" t="s">
        <v>1694</v>
      </c>
      <c r="M120" s="597" t="s">
        <v>11807</v>
      </c>
      <c r="N120" s="598">
        <v>395500</v>
      </c>
      <c r="O120" s="598">
        <v>20000</v>
      </c>
    </row>
    <row r="121" spans="8:15">
      <c r="H121" s="595"/>
      <c r="I121" s="860" t="s">
        <v>1682</v>
      </c>
      <c r="J121" s="860" t="s">
        <v>426</v>
      </c>
      <c r="K121" s="860" t="s">
        <v>2008</v>
      </c>
      <c r="L121" s="860" t="s">
        <v>79</v>
      </c>
      <c r="M121" s="860" t="s">
        <v>1684</v>
      </c>
      <c r="N121" s="862" t="s">
        <v>80</v>
      </c>
      <c r="O121" s="862" t="s">
        <v>1685</v>
      </c>
    </row>
    <row r="122" spans="8:15">
      <c r="H122" s="595"/>
      <c r="I122" s="861"/>
      <c r="J122" s="861"/>
      <c r="K122" s="861"/>
      <c r="L122" s="861"/>
      <c r="M122" s="861"/>
      <c r="N122" s="861"/>
      <c r="O122" s="861"/>
    </row>
    <row r="123" spans="8:15">
      <c r="H123" s="595"/>
      <c r="I123" s="596" t="s">
        <v>1770</v>
      </c>
      <c r="J123" s="596" t="s">
        <v>2009</v>
      </c>
      <c r="K123" s="596" t="s">
        <v>2010</v>
      </c>
      <c r="L123" s="597" t="s">
        <v>1694</v>
      </c>
      <c r="M123" s="597">
        <v>49</v>
      </c>
      <c r="N123" s="598">
        <v>352800</v>
      </c>
      <c r="O123" s="598">
        <v>10000</v>
      </c>
    </row>
    <row r="124" spans="8:15">
      <c r="H124" s="595"/>
      <c r="I124" s="596" t="s">
        <v>1770</v>
      </c>
      <c r="J124" s="596" t="s">
        <v>2011</v>
      </c>
      <c r="K124" s="596" t="s">
        <v>2012</v>
      </c>
      <c r="L124" s="597" t="s">
        <v>1694</v>
      </c>
      <c r="M124" s="597">
        <v>4</v>
      </c>
      <c r="N124" s="598">
        <v>94800</v>
      </c>
      <c r="O124" s="598">
        <v>10000</v>
      </c>
    </row>
    <row r="125" spans="8:15">
      <c r="H125" s="595"/>
      <c r="I125" s="596" t="s">
        <v>1770</v>
      </c>
      <c r="J125" s="596" t="s">
        <v>2013</v>
      </c>
      <c r="K125" s="596" t="s">
        <v>2014</v>
      </c>
      <c r="L125" s="597" t="s">
        <v>1694</v>
      </c>
      <c r="M125" s="597" t="s">
        <v>11807</v>
      </c>
      <c r="N125" s="598">
        <v>94800</v>
      </c>
      <c r="O125" s="598">
        <v>10000</v>
      </c>
    </row>
    <row r="126" spans="8:15">
      <c r="H126" s="595"/>
      <c r="I126" s="596" t="s">
        <v>1770</v>
      </c>
      <c r="J126" s="596" t="s">
        <v>2015</v>
      </c>
      <c r="K126" s="596" t="s">
        <v>2016</v>
      </c>
      <c r="L126" s="597" t="s">
        <v>1694</v>
      </c>
      <c r="M126" s="597" t="s">
        <v>11807</v>
      </c>
      <c r="N126" s="598">
        <v>94800</v>
      </c>
      <c r="O126" s="598">
        <v>10000</v>
      </c>
    </row>
    <row r="127" spans="8:15">
      <c r="H127" s="595"/>
      <c r="I127" s="596" t="s">
        <v>1770</v>
      </c>
      <c r="J127" s="596" t="s">
        <v>2017</v>
      </c>
      <c r="K127" s="596" t="s">
        <v>2018</v>
      </c>
      <c r="L127" s="597" t="s">
        <v>1694</v>
      </c>
      <c r="M127" s="597" t="s">
        <v>11807</v>
      </c>
      <c r="N127" s="598">
        <v>94800</v>
      </c>
      <c r="O127" s="598">
        <v>10000</v>
      </c>
    </row>
    <row r="128" spans="8:15">
      <c r="H128" s="595"/>
      <c r="I128" s="596" t="s">
        <v>1770</v>
      </c>
      <c r="J128" s="596" t="s">
        <v>2019</v>
      </c>
      <c r="K128" s="596" t="s">
        <v>2020</v>
      </c>
      <c r="L128" s="597" t="s">
        <v>1694</v>
      </c>
      <c r="M128" s="597">
        <v>2</v>
      </c>
      <c r="N128" s="598">
        <v>138600</v>
      </c>
      <c r="O128" s="598">
        <v>10000</v>
      </c>
    </row>
    <row r="129" spans="8:15">
      <c r="H129" s="595"/>
      <c r="I129" s="596" t="s">
        <v>1770</v>
      </c>
      <c r="J129" s="596" t="s">
        <v>2021</v>
      </c>
      <c r="K129" s="596" t="s">
        <v>2022</v>
      </c>
      <c r="L129" s="597" t="s">
        <v>1694</v>
      </c>
      <c r="M129" s="597">
        <v>49</v>
      </c>
      <c r="N129" s="598">
        <v>302400</v>
      </c>
      <c r="O129" s="598">
        <v>10000</v>
      </c>
    </row>
    <row r="130" spans="8:15">
      <c r="H130" s="595"/>
      <c r="I130" s="860" t="s">
        <v>1682</v>
      </c>
      <c r="J130" s="860" t="s">
        <v>426</v>
      </c>
      <c r="K130" s="860" t="s">
        <v>2023</v>
      </c>
      <c r="L130" s="860" t="s">
        <v>79</v>
      </c>
      <c r="M130" s="860" t="s">
        <v>1684</v>
      </c>
      <c r="N130" s="862" t="s">
        <v>80</v>
      </c>
      <c r="O130" s="862" t="s">
        <v>1685</v>
      </c>
    </row>
    <row r="131" spans="8:15">
      <c r="H131" s="595"/>
      <c r="I131" s="861"/>
      <c r="J131" s="861"/>
      <c r="K131" s="861"/>
      <c r="L131" s="861"/>
      <c r="M131" s="861"/>
      <c r="N131" s="861"/>
      <c r="O131" s="861"/>
    </row>
    <row r="132" spans="8:15">
      <c r="H132" s="595"/>
      <c r="I132" s="596" t="s">
        <v>1770</v>
      </c>
      <c r="J132" s="596" t="s">
        <v>2024</v>
      </c>
      <c r="K132" s="596" t="s">
        <v>2025</v>
      </c>
      <c r="L132" s="597" t="s">
        <v>1694</v>
      </c>
      <c r="M132" s="597">
        <v>2</v>
      </c>
      <c r="N132" s="598">
        <v>163800</v>
      </c>
      <c r="O132" s="598">
        <v>10000</v>
      </c>
    </row>
    <row r="133" spans="8:15">
      <c r="H133" s="595"/>
      <c r="I133" s="596" t="s">
        <v>1770</v>
      </c>
      <c r="J133" s="596" t="s">
        <v>2026</v>
      </c>
      <c r="K133" s="596" t="s">
        <v>2027</v>
      </c>
      <c r="L133" s="597" t="s">
        <v>1694</v>
      </c>
      <c r="M133" s="597">
        <v>17</v>
      </c>
      <c r="N133" s="598">
        <v>96600</v>
      </c>
      <c r="O133" s="598">
        <v>10000</v>
      </c>
    </row>
    <row r="134" spans="8:15">
      <c r="H134" s="595"/>
      <c r="I134" s="596" t="s">
        <v>1770</v>
      </c>
      <c r="J134" s="596" t="s">
        <v>2028</v>
      </c>
      <c r="K134" s="596" t="s">
        <v>2029</v>
      </c>
      <c r="L134" s="597" t="s">
        <v>1694</v>
      </c>
      <c r="M134" s="597">
        <v>21</v>
      </c>
      <c r="N134" s="598">
        <v>108500</v>
      </c>
      <c r="O134" s="598">
        <v>10000</v>
      </c>
    </row>
    <row r="135" spans="8:15">
      <c r="H135" s="595"/>
      <c r="I135" s="596" t="s">
        <v>1770</v>
      </c>
      <c r="J135" s="596" t="s">
        <v>2030</v>
      </c>
      <c r="K135" s="596" t="s">
        <v>2031</v>
      </c>
      <c r="L135" s="597" t="s">
        <v>1694</v>
      </c>
      <c r="M135" s="597">
        <v>1</v>
      </c>
      <c r="N135" s="598">
        <v>108500</v>
      </c>
      <c r="O135" s="598">
        <v>10000</v>
      </c>
    </row>
    <row r="136" spans="8:15">
      <c r="H136" s="595"/>
      <c r="I136" s="596" t="s">
        <v>1770</v>
      </c>
      <c r="J136" s="596" t="s">
        <v>2032</v>
      </c>
      <c r="K136" s="596" t="s">
        <v>2033</v>
      </c>
      <c r="L136" s="597" t="s">
        <v>1694</v>
      </c>
      <c r="M136" s="597">
        <v>1</v>
      </c>
      <c r="N136" s="598">
        <v>108500</v>
      </c>
      <c r="O136" s="598">
        <v>10000</v>
      </c>
    </row>
    <row r="137" spans="8:15">
      <c r="H137" s="595"/>
      <c r="I137" s="599" t="s">
        <v>1770</v>
      </c>
      <c r="J137" s="599" t="s">
        <v>2034</v>
      </c>
      <c r="K137" s="599" t="s">
        <v>2035</v>
      </c>
      <c r="L137" s="600" t="s">
        <v>1792</v>
      </c>
      <c r="M137" s="600">
        <v>7</v>
      </c>
      <c r="N137" s="601">
        <v>4167619.1999999997</v>
      </c>
      <c r="O137" s="601">
        <v>1000000</v>
      </c>
    </row>
    <row r="138" spans="8:15">
      <c r="H138" s="595"/>
      <c r="I138" s="860" t="s">
        <v>1682</v>
      </c>
      <c r="J138" s="860" t="s">
        <v>426</v>
      </c>
      <c r="K138" s="860" t="s">
        <v>2036</v>
      </c>
      <c r="L138" s="860" t="s">
        <v>79</v>
      </c>
      <c r="M138" s="860" t="s">
        <v>1684</v>
      </c>
      <c r="N138" s="862" t="s">
        <v>80</v>
      </c>
      <c r="O138" s="862" t="s">
        <v>1685</v>
      </c>
    </row>
    <row r="139" spans="8:15">
      <c r="H139" s="595"/>
      <c r="I139" s="861"/>
      <c r="J139" s="861"/>
      <c r="K139" s="861"/>
      <c r="L139" s="861"/>
      <c r="M139" s="861"/>
      <c r="N139" s="861"/>
      <c r="O139" s="861"/>
    </row>
    <row r="140" spans="8:15">
      <c r="H140" s="595"/>
      <c r="I140" s="596" t="s">
        <v>2037</v>
      </c>
      <c r="J140" s="596" t="s">
        <v>2038</v>
      </c>
      <c r="K140" s="596" t="s">
        <v>2039</v>
      </c>
      <c r="L140" s="597" t="s">
        <v>1694</v>
      </c>
      <c r="M140" s="597">
        <v>50</v>
      </c>
      <c r="N140" s="598">
        <v>32560</v>
      </c>
      <c r="O140" s="598">
        <v>5000</v>
      </c>
    </row>
    <row r="141" spans="8:15">
      <c r="H141" s="595"/>
      <c r="I141" s="596" t="s">
        <v>2037</v>
      </c>
      <c r="J141" s="596" t="s">
        <v>2040</v>
      </c>
      <c r="K141" s="596" t="s">
        <v>2041</v>
      </c>
      <c r="L141" s="597" t="s">
        <v>1690</v>
      </c>
      <c r="M141" s="597">
        <v>14</v>
      </c>
      <c r="N141" s="598">
        <v>44770</v>
      </c>
      <c r="O141" s="598">
        <v>5000</v>
      </c>
    </row>
    <row r="142" spans="8:15">
      <c r="H142" s="595"/>
      <c r="I142" s="596" t="s">
        <v>2037</v>
      </c>
      <c r="J142" s="596" t="s">
        <v>2042</v>
      </c>
      <c r="K142" s="596" t="s">
        <v>2043</v>
      </c>
      <c r="L142" s="597" t="s">
        <v>1694</v>
      </c>
      <c r="M142" s="597" t="s">
        <v>11807</v>
      </c>
      <c r="N142" s="598">
        <v>47000</v>
      </c>
      <c r="O142" s="598">
        <v>5000</v>
      </c>
    </row>
    <row r="143" spans="8:15">
      <c r="H143" s="595"/>
      <c r="I143" s="596" t="s">
        <v>2037</v>
      </c>
      <c r="J143" s="596" t="s">
        <v>2044</v>
      </c>
      <c r="K143" s="596" t="s">
        <v>2045</v>
      </c>
      <c r="L143" s="597" t="s">
        <v>1703</v>
      </c>
      <c r="M143" s="597">
        <v>240</v>
      </c>
      <c r="N143" s="598">
        <v>29399.999999999996</v>
      </c>
      <c r="O143" s="598">
        <v>5000</v>
      </c>
    </row>
    <row r="144" spans="8:15">
      <c r="H144" s="595"/>
      <c r="I144" s="596" t="s">
        <v>2037</v>
      </c>
      <c r="J144" s="596" t="s">
        <v>2046</v>
      </c>
      <c r="K144" s="596" t="s">
        <v>2047</v>
      </c>
      <c r="L144" s="597" t="s">
        <v>1703</v>
      </c>
      <c r="M144" s="597">
        <v>43</v>
      </c>
      <c r="N144" s="598">
        <v>35700</v>
      </c>
      <c r="O144" s="598">
        <v>5000</v>
      </c>
    </row>
    <row r="145" spans="8:15">
      <c r="H145" s="595"/>
      <c r="I145" s="596" t="s">
        <v>2037</v>
      </c>
      <c r="J145" s="596" t="s">
        <v>2048</v>
      </c>
      <c r="K145" s="596" t="s">
        <v>2049</v>
      </c>
      <c r="L145" s="597" t="s">
        <v>1694</v>
      </c>
      <c r="M145" s="597">
        <v>1</v>
      </c>
      <c r="N145" s="598">
        <v>1778700</v>
      </c>
      <c r="O145" s="598">
        <v>100000</v>
      </c>
    </row>
    <row r="146" spans="8:15">
      <c r="H146" s="595"/>
      <c r="I146" s="596" t="s">
        <v>2037</v>
      </c>
      <c r="J146" s="596" t="s">
        <v>2050</v>
      </c>
      <c r="K146" s="596" t="s">
        <v>2051</v>
      </c>
      <c r="L146" s="597" t="s">
        <v>1694</v>
      </c>
      <c r="M146" s="597">
        <v>2</v>
      </c>
      <c r="N146" s="598">
        <v>1859899.9999999998</v>
      </c>
      <c r="O146" s="598">
        <v>100000</v>
      </c>
    </row>
    <row r="147" spans="8:15">
      <c r="H147" s="595"/>
      <c r="I147" s="596" t="s">
        <v>2037</v>
      </c>
      <c r="J147" s="596" t="s">
        <v>2052</v>
      </c>
      <c r="K147" s="596" t="s">
        <v>2053</v>
      </c>
      <c r="L147" s="597" t="s">
        <v>1694</v>
      </c>
      <c r="M147" s="597">
        <v>1</v>
      </c>
      <c r="N147" s="598">
        <v>1859899.9999999998</v>
      </c>
      <c r="O147" s="598">
        <v>100000</v>
      </c>
    </row>
    <row r="148" spans="8:15">
      <c r="H148" s="595"/>
      <c r="I148" s="596" t="s">
        <v>2037</v>
      </c>
      <c r="J148" s="596" t="s">
        <v>2054</v>
      </c>
      <c r="K148" s="596" t="s">
        <v>2055</v>
      </c>
      <c r="L148" s="597" t="s">
        <v>1690</v>
      </c>
      <c r="M148" s="597">
        <v>47</v>
      </c>
      <c r="N148" s="598">
        <v>514499.99999999994</v>
      </c>
      <c r="O148" s="598">
        <v>100000</v>
      </c>
    </row>
    <row r="149" spans="8:15">
      <c r="H149" s="595"/>
      <c r="I149" s="596" t="s">
        <v>2037</v>
      </c>
      <c r="J149" s="596" t="s">
        <v>2056</v>
      </c>
      <c r="K149" s="596" t="s">
        <v>2057</v>
      </c>
      <c r="L149" s="597" t="s">
        <v>1694</v>
      </c>
      <c r="M149" s="597">
        <v>43</v>
      </c>
      <c r="N149" s="598">
        <v>670600</v>
      </c>
      <c r="O149" s="598">
        <v>100000</v>
      </c>
    </row>
    <row r="150" spans="8:15">
      <c r="H150" s="595"/>
      <c r="I150" s="596" t="s">
        <v>2037</v>
      </c>
      <c r="J150" s="596" t="s">
        <v>2058</v>
      </c>
      <c r="K150" s="596" t="s">
        <v>2059</v>
      </c>
      <c r="L150" s="597" t="s">
        <v>1694</v>
      </c>
      <c r="M150" s="597">
        <v>1</v>
      </c>
      <c r="N150" s="598">
        <v>517299.99999999994</v>
      </c>
      <c r="O150" s="598">
        <v>100000</v>
      </c>
    </row>
    <row r="151" spans="8:15">
      <c r="H151" s="595"/>
      <c r="I151" s="596" t="s">
        <v>2037</v>
      </c>
      <c r="J151" s="596" t="s">
        <v>2060</v>
      </c>
      <c r="K151" s="596" t="s">
        <v>2061</v>
      </c>
      <c r="L151" s="597" t="s">
        <v>1694</v>
      </c>
      <c r="M151" s="597">
        <v>10</v>
      </c>
      <c r="N151" s="598">
        <v>671300</v>
      </c>
      <c r="O151" s="598">
        <v>100000</v>
      </c>
    </row>
    <row r="152" spans="8:15">
      <c r="H152" s="595"/>
      <c r="I152" s="596" t="s">
        <v>2037</v>
      </c>
      <c r="J152" s="596" t="s">
        <v>2062</v>
      </c>
      <c r="K152" s="596" t="s">
        <v>2063</v>
      </c>
      <c r="L152" s="597" t="s">
        <v>1694</v>
      </c>
      <c r="M152" s="597">
        <v>1</v>
      </c>
      <c r="N152" s="598">
        <v>2183300</v>
      </c>
      <c r="O152" s="598">
        <v>100000</v>
      </c>
    </row>
    <row r="153" spans="8:15">
      <c r="H153" s="595"/>
      <c r="I153" s="596" t="s">
        <v>2037</v>
      </c>
      <c r="J153" s="596" t="s">
        <v>2064</v>
      </c>
      <c r="K153" s="596" t="s">
        <v>2065</v>
      </c>
      <c r="L153" s="597" t="s">
        <v>1694</v>
      </c>
      <c r="M153" s="597">
        <v>4</v>
      </c>
      <c r="N153" s="598">
        <v>1978800</v>
      </c>
      <c r="O153" s="598">
        <v>100000</v>
      </c>
    </row>
    <row r="154" spans="8:15">
      <c r="H154" s="595"/>
      <c r="I154" s="596"/>
      <c r="J154" s="596"/>
      <c r="K154" s="596"/>
      <c r="L154" s="597"/>
      <c r="M154" s="597"/>
      <c r="N154" s="598"/>
      <c r="O154" s="598"/>
    </row>
    <row r="155" spans="8:15">
      <c r="H155" s="595"/>
      <c r="I155" s="596" t="s">
        <v>2037</v>
      </c>
      <c r="J155" s="596" t="s">
        <v>2066</v>
      </c>
      <c r="K155" s="596" t="s">
        <v>2067</v>
      </c>
      <c r="L155" s="597" t="s">
        <v>1694</v>
      </c>
      <c r="M155" s="597">
        <v>1</v>
      </c>
      <c r="N155" s="598">
        <v>1299000</v>
      </c>
      <c r="O155" s="598">
        <v>100000</v>
      </c>
    </row>
    <row r="156" spans="8:15">
      <c r="H156" s="595"/>
      <c r="I156" s="596" t="s">
        <v>2037</v>
      </c>
      <c r="J156" s="596" t="s">
        <v>2068</v>
      </c>
      <c r="K156" s="596" t="s">
        <v>2069</v>
      </c>
      <c r="L156" s="597" t="s">
        <v>1694</v>
      </c>
      <c r="M156" s="597">
        <v>8</v>
      </c>
      <c r="N156" s="598">
        <v>1800000</v>
      </c>
      <c r="O156" s="598">
        <v>100000</v>
      </c>
    </row>
    <row r="157" spans="8:15">
      <c r="H157" s="595"/>
      <c r="I157" s="596" t="s">
        <v>2037</v>
      </c>
      <c r="J157" s="596" t="s">
        <v>2070</v>
      </c>
      <c r="K157" s="596" t="s">
        <v>2071</v>
      </c>
      <c r="L157" s="597" t="s">
        <v>1694</v>
      </c>
      <c r="M157" s="597">
        <v>7</v>
      </c>
      <c r="N157" s="598">
        <v>477000</v>
      </c>
      <c r="O157" s="598">
        <v>100000</v>
      </c>
    </row>
    <row r="158" spans="8:15">
      <c r="H158" s="595"/>
      <c r="I158" s="596" t="s">
        <v>2037</v>
      </c>
      <c r="J158" s="596" t="s">
        <v>2072</v>
      </c>
      <c r="K158" s="596" t="s">
        <v>2073</v>
      </c>
      <c r="L158" s="597" t="s">
        <v>1694</v>
      </c>
      <c r="M158" s="597">
        <v>21</v>
      </c>
      <c r="N158" s="598">
        <v>748800</v>
      </c>
      <c r="O158" s="598">
        <v>100000</v>
      </c>
    </row>
    <row r="159" spans="8:15">
      <c r="H159" s="595"/>
      <c r="I159" s="596" t="s">
        <v>2037</v>
      </c>
      <c r="J159" s="596" t="s">
        <v>2074</v>
      </c>
      <c r="K159" s="596" t="s">
        <v>2075</v>
      </c>
      <c r="L159" s="597" t="s">
        <v>1690</v>
      </c>
      <c r="M159" s="597">
        <v>8</v>
      </c>
      <c r="N159" s="598">
        <v>1347600</v>
      </c>
      <c r="O159" s="598">
        <v>100000</v>
      </c>
    </row>
    <row r="160" spans="8:15">
      <c r="H160" s="595"/>
      <c r="I160" s="596" t="s">
        <v>2037</v>
      </c>
      <c r="J160" s="596" t="s">
        <v>2076</v>
      </c>
      <c r="K160" s="596" t="s">
        <v>2077</v>
      </c>
      <c r="L160" s="597" t="s">
        <v>1694</v>
      </c>
      <c r="M160" s="597">
        <v>3</v>
      </c>
      <c r="N160" s="598">
        <v>1536000</v>
      </c>
      <c r="O160" s="598">
        <v>100000</v>
      </c>
    </row>
    <row r="161" spans="8:15">
      <c r="H161" s="595"/>
      <c r="I161" s="860" t="s">
        <v>1682</v>
      </c>
      <c r="J161" s="860" t="s">
        <v>426</v>
      </c>
      <c r="K161" s="860" t="s">
        <v>2078</v>
      </c>
      <c r="L161" s="860" t="s">
        <v>79</v>
      </c>
      <c r="M161" s="860" t="s">
        <v>1684</v>
      </c>
      <c r="N161" s="862" t="s">
        <v>80</v>
      </c>
      <c r="O161" s="862" t="s">
        <v>1685</v>
      </c>
    </row>
    <row r="162" spans="8:15">
      <c r="H162" s="595"/>
      <c r="I162" s="861"/>
      <c r="J162" s="861"/>
      <c r="K162" s="861"/>
      <c r="L162" s="861"/>
      <c r="M162" s="861"/>
      <c r="N162" s="861"/>
      <c r="O162" s="861"/>
    </row>
    <row r="163" spans="8:15">
      <c r="H163" s="595"/>
      <c r="I163" s="596" t="s">
        <v>1770</v>
      </c>
      <c r="J163" s="596" t="s">
        <v>2079</v>
      </c>
      <c r="K163" s="596" t="s">
        <v>2080</v>
      </c>
      <c r="L163" s="597" t="s">
        <v>1694</v>
      </c>
      <c r="M163" s="597" t="s">
        <v>11807</v>
      </c>
      <c r="N163" s="598">
        <v>60000</v>
      </c>
      <c r="O163" s="598">
        <v>5000</v>
      </c>
    </row>
    <row r="164" spans="8:15">
      <c r="H164" s="595"/>
      <c r="I164" s="596" t="s">
        <v>1770</v>
      </c>
      <c r="J164" s="596" t="s">
        <v>2081</v>
      </c>
      <c r="K164" s="596" t="s">
        <v>2082</v>
      </c>
      <c r="L164" s="597" t="s">
        <v>1694</v>
      </c>
      <c r="M164" s="597" t="s">
        <v>11807</v>
      </c>
      <c r="N164" s="598">
        <v>60000</v>
      </c>
      <c r="O164" s="598">
        <v>5000</v>
      </c>
    </row>
    <row r="165" spans="8:15">
      <c r="H165" s="595"/>
      <c r="I165" s="596" t="s">
        <v>1770</v>
      </c>
      <c r="J165" s="596" t="s">
        <v>2083</v>
      </c>
      <c r="K165" s="596" t="s">
        <v>2084</v>
      </c>
      <c r="L165" s="597" t="s">
        <v>1694</v>
      </c>
      <c r="M165" s="597">
        <v>4</v>
      </c>
      <c r="N165" s="598">
        <v>60000</v>
      </c>
      <c r="O165" s="598">
        <v>5000</v>
      </c>
    </row>
    <row r="166" spans="8:15">
      <c r="H166" s="595"/>
      <c r="I166" s="596" t="s">
        <v>1770</v>
      </c>
      <c r="J166" s="596" t="s">
        <v>2085</v>
      </c>
      <c r="K166" s="596" t="s">
        <v>2086</v>
      </c>
      <c r="L166" s="597" t="s">
        <v>1694</v>
      </c>
      <c r="M166" s="597">
        <v>1</v>
      </c>
      <c r="N166" s="598">
        <v>79000</v>
      </c>
      <c r="O166" s="598">
        <v>2000</v>
      </c>
    </row>
    <row r="167" spans="8:15">
      <c r="H167" s="595"/>
      <c r="I167" s="596" t="s">
        <v>1770</v>
      </c>
      <c r="J167" s="596" t="s">
        <v>2087</v>
      </c>
      <c r="K167" s="596" t="s">
        <v>2088</v>
      </c>
      <c r="L167" s="597" t="s">
        <v>1694</v>
      </c>
      <c r="M167" s="597">
        <v>8</v>
      </c>
      <c r="N167" s="598">
        <v>24500</v>
      </c>
      <c r="O167" s="598">
        <v>5000</v>
      </c>
    </row>
    <row r="168" spans="8:15">
      <c r="H168" s="595"/>
      <c r="I168" s="596" t="s">
        <v>1770</v>
      </c>
      <c r="J168" s="596" t="s">
        <v>2089</v>
      </c>
      <c r="K168" s="596" t="s">
        <v>2090</v>
      </c>
      <c r="L168" s="597" t="s">
        <v>1694</v>
      </c>
      <c r="M168" s="597">
        <v>41</v>
      </c>
      <c r="N168" s="598">
        <v>22400</v>
      </c>
      <c r="O168" s="598">
        <v>5000</v>
      </c>
    </row>
    <row r="169" spans="8:15">
      <c r="H169" s="595"/>
      <c r="I169" s="596" t="s">
        <v>1770</v>
      </c>
      <c r="J169" s="596" t="s">
        <v>2091</v>
      </c>
      <c r="K169" s="596" t="s">
        <v>2092</v>
      </c>
      <c r="L169" s="597" t="s">
        <v>1694</v>
      </c>
      <c r="M169" s="597">
        <v>10</v>
      </c>
      <c r="N169" s="598">
        <v>22400</v>
      </c>
      <c r="O169" s="598">
        <v>5000</v>
      </c>
    </row>
    <row r="170" spans="8:15">
      <c r="H170" s="595"/>
      <c r="I170" s="599" t="s">
        <v>1770</v>
      </c>
      <c r="J170" s="599" t="s">
        <v>2093</v>
      </c>
      <c r="K170" s="599" t="s">
        <v>2094</v>
      </c>
      <c r="L170" s="600" t="s">
        <v>1694</v>
      </c>
      <c r="M170" s="600">
        <v>24</v>
      </c>
      <c r="N170" s="601">
        <v>40950</v>
      </c>
      <c r="O170" s="602">
        <v>5000</v>
      </c>
    </row>
    <row r="171" spans="8:15">
      <c r="H171" s="595"/>
      <c r="I171" s="599" t="s">
        <v>1770</v>
      </c>
      <c r="J171" s="599" t="s">
        <v>2095</v>
      </c>
      <c r="K171" s="599" t="s">
        <v>2096</v>
      </c>
      <c r="L171" s="600" t="s">
        <v>1694</v>
      </c>
      <c r="M171" s="600" t="s">
        <v>11807</v>
      </c>
      <c r="N171" s="601">
        <v>115500</v>
      </c>
      <c r="O171" s="602"/>
    </row>
    <row r="172" spans="8:15">
      <c r="H172" s="595"/>
      <c r="I172" s="860" t="s">
        <v>1682</v>
      </c>
      <c r="J172" s="860" t="s">
        <v>426</v>
      </c>
      <c r="K172" s="860" t="s">
        <v>2097</v>
      </c>
      <c r="L172" s="860" t="s">
        <v>79</v>
      </c>
      <c r="M172" s="860" t="s">
        <v>1684</v>
      </c>
      <c r="N172" s="862" t="s">
        <v>80</v>
      </c>
      <c r="O172" s="862" t="s">
        <v>1685</v>
      </c>
    </row>
    <row r="173" spans="8:15">
      <c r="H173" s="595"/>
      <c r="I173" s="861"/>
      <c r="J173" s="861"/>
      <c r="K173" s="861"/>
      <c r="L173" s="861"/>
      <c r="M173" s="861"/>
      <c r="N173" s="861"/>
      <c r="O173" s="861"/>
    </row>
    <row r="174" spans="8:15">
      <c r="H174" s="595"/>
      <c r="I174" s="596" t="s">
        <v>1770</v>
      </c>
      <c r="J174" s="596" t="s">
        <v>2098</v>
      </c>
      <c r="K174" s="596" t="s">
        <v>2099</v>
      </c>
      <c r="L174" s="597" t="s">
        <v>1694</v>
      </c>
      <c r="M174" s="597">
        <v>24</v>
      </c>
      <c r="N174" s="598">
        <v>12600</v>
      </c>
      <c r="O174" s="598">
        <v>10000</v>
      </c>
    </row>
    <row r="175" spans="8:15">
      <c r="H175" s="595"/>
      <c r="I175" s="596" t="s">
        <v>1770</v>
      </c>
      <c r="J175" s="596" t="s">
        <v>2100</v>
      </c>
      <c r="K175" s="596" t="s">
        <v>2101</v>
      </c>
      <c r="L175" s="597" t="s">
        <v>1694</v>
      </c>
      <c r="M175" s="597" t="s">
        <v>11807</v>
      </c>
      <c r="N175" s="598">
        <v>120000</v>
      </c>
      <c r="O175" s="598">
        <v>50000</v>
      </c>
    </row>
    <row r="176" spans="8:15">
      <c r="H176" s="595"/>
      <c r="I176" s="596" t="s">
        <v>1770</v>
      </c>
      <c r="J176" s="596" t="s">
        <v>2102</v>
      </c>
      <c r="K176" s="596" t="s">
        <v>2103</v>
      </c>
      <c r="L176" s="597" t="s">
        <v>1694</v>
      </c>
      <c r="M176" s="597" t="s">
        <v>11807</v>
      </c>
      <c r="N176" s="598">
        <v>330000</v>
      </c>
      <c r="O176" s="598">
        <v>50000</v>
      </c>
    </row>
    <row r="177" spans="8:15">
      <c r="H177" s="595"/>
      <c r="I177" s="596" t="s">
        <v>1770</v>
      </c>
      <c r="J177" s="596" t="s">
        <v>2104</v>
      </c>
      <c r="K177" s="596" t="s">
        <v>2105</v>
      </c>
      <c r="L177" s="597" t="s">
        <v>1694</v>
      </c>
      <c r="M177" s="597" t="s">
        <v>11807</v>
      </c>
      <c r="N177" s="598">
        <v>282000</v>
      </c>
      <c r="O177" s="598">
        <v>50000</v>
      </c>
    </row>
    <row r="178" spans="8:15">
      <c r="H178" s="595"/>
      <c r="I178" s="596" t="s">
        <v>1770</v>
      </c>
      <c r="J178" s="596" t="s">
        <v>2106</v>
      </c>
      <c r="K178" s="596" t="s">
        <v>2107</v>
      </c>
      <c r="L178" s="597" t="s">
        <v>1694</v>
      </c>
      <c r="M178" s="597" t="s">
        <v>11807</v>
      </c>
      <c r="N178" s="598">
        <v>180000</v>
      </c>
      <c r="O178" s="598">
        <v>50000</v>
      </c>
    </row>
    <row r="179" spans="8:15">
      <c r="H179" s="595"/>
      <c r="I179" s="596" t="s">
        <v>1770</v>
      </c>
      <c r="J179" s="596" t="s">
        <v>2108</v>
      </c>
      <c r="K179" s="596" t="s">
        <v>2108</v>
      </c>
      <c r="L179" s="597" t="s">
        <v>1694</v>
      </c>
      <c r="M179" s="597">
        <v>90</v>
      </c>
      <c r="N179" s="598">
        <v>4900</v>
      </c>
      <c r="O179" s="598">
        <v>5000</v>
      </c>
    </row>
    <row r="180" spans="8:15">
      <c r="H180" s="595"/>
      <c r="I180" s="596" t="s">
        <v>1770</v>
      </c>
      <c r="J180" s="596" t="s">
        <v>2109</v>
      </c>
      <c r="K180" s="596" t="s">
        <v>2110</v>
      </c>
      <c r="L180" s="597" t="s">
        <v>1694</v>
      </c>
      <c r="M180" s="597" t="s">
        <v>11807</v>
      </c>
      <c r="N180" s="598">
        <v>22400</v>
      </c>
      <c r="O180" s="598">
        <v>5000</v>
      </c>
    </row>
    <row r="181" spans="8:15">
      <c r="H181" s="595"/>
      <c r="I181" s="596" t="s">
        <v>1770</v>
      </c>
      <c r="J181" s="596" t="s">
        <v>2111</v>
      </c>
      <c r="K181" s="596" t="s">
        <v>2112</v>
      </c>
      <c r="L181" s="597" t="s">
        <v>1694</v>
      </c>
      <c r="M181" s="597">
        <v>28</v>
      </c>
      <c r="N181" s="598">
        <v>58099.999999999993</v>
      </c>
      <c r="O181" s="598">
        <v>5000</v>
      </c>
    </row>
    <row r="182" spans="8:15">
      <c r="H182" s="595"/>
      <c r="I182" s="596" t="s">
        <v>1770</v>
      </c>
      <c r="J182" s="596" t="s">
        <v>2113</v>
      </c>
      <c r="K182" s="596" t="s">
        <v>2114</v>
      </c>
      <c r="L182" s="597" t="s">
        <v>1694</v>
      </c>
      <c r="M182" s="597">
        <v>31</v>
      </c>
      <c r="N182" s="598">
        <v>158200</v>
      </c>
      <c r="O182" s="598">
        <v>5000</v>
      </c>
    </row>
    <row r="183" spans="8:15">
      <c r="H183" s="595"/>
      <c r="I183" s="596"/>
      <c r="J183" s="596"/>
      <c r="K183" s="596"/>
      <c r="L183" s="597"/>
      <c r="M183" s="597"/>
      <c r="N183" s="598"/>
      <c r="O183" s="598"/>
    </row>
    <row r="184" spans="8:15">
      <c r="H184" s="595"/>
      <c r="I184" s="596" t="s">
        <v>1770</v>
      </c>
      <c r="J184" s="596" t="s">
        <v>2115</v>
      </c>
      <c r="K184" s="596" t="s">
        <v>2116</v>
      </c>
      <c r="L184" s="597" t="s">
        <v>1694</v>
      </c>
      <c r="M184" s="597">
        <v>1</v>
      </c>
      <c r="N184" s="598">
        <v>191800</v>
      </c>
      <c r="O184" s="598">
        <v>5000</v>
      </c>
    </row>
    <row r="185" spans="8:15">
      <c r="H185" s="595"/>
      <c r="I185" s="596" t="s">
        <v>1770</v>
      </c>
      <c r="J185" s="596" t="s">
        <v>2117</v>
      </c>
      <c r="K185" s="596" t="s">
        <v>2118</v>
      </c>
      <c r="L185" s="597" t="s">
        <v>1694</v>
      </c>
      <c r="M185" s="597">
        <v>8</v>
      </c>
      <c r="N185" s="598">
        <v>198800</v>
      </c>
      <c r="O185" s="598">
        <v>5000</v>
      </c>
    </row>
    <row r="186" spans="8:15">
      <c r="H186" s="595"/>
      <c r="I186" s="596"/>
      <c r="J186" s="596"/>
      <c r="K186" s="596"/>
      <c r="L186" s="597"/>
      <c r="M186" s="597"/>
      <c r="N186" s="598"/>
      <c r="O186" s="598"/>
    </row>
    <row r="187" spans="8:15">
      <c r="H187" s="595"/>
      <c r="I187" s="596"/>
      <c r="J187" s="596"/>
      <c r="K187" s="596"/>
      <c r="L187" s="597"/>
      <c r="M187" s="597"/>
      <c r="N187" s="598"/>
      <c r="O187" s="598"/>
    </row>
    <row r="188" spans="8:15">
      <c r="H188" s="595"/>
      <c r="I188" s="596"/>
      <c r="J188" s="596"/>
      <c r="K188" s="596"/>
      <c r="L188" s="597"/>
      <c r="M188" s="597"/>
      <c r="N188" s="598"/>
      <c r="O188" s="598"/>
    </row>
    <row r="189" spans="8:15">
      <c r="H189" s="595"/>
      <c r="I189" s="596"/>
      <c r="J189" s="596"/>
      <c r="K189" s="596"/>
      <c r="L189" s="597"/>
      <c r="M189" s="597"/>
      <c r="N189" s="598"/>
      <c r="O189" s="598"/>
    </row>
    <row r="190" spans="8:15">
      <c r="H190" s="595"/>
      <c r="I190" s="596" t="s">
        <v>1770</v>
      </c>
      <c r="J190" s="596" t="s">
        <v>2119</v>
      </c>
      <c r="K190" s="596" t="s">
        <v>2120</v>
      </c>
      <c r="L190" s="597" t="s">
        <v>1694</v>
      </c>
      <c r="M190" s="597" t="s">
        <v>11807</v>
      </c>
      <c r="N190" s="598">
        <v>26000</v>
      </c>
      <c r="O190" s="598">
        <v>5000</v>
      </c>
    </row>
    <row r="191" spans="8:15">
      <c r="H191" s="595"/>
      <c r="I191" s="596" t="s">
        <v>1770</v>
      </c>
      <c r="J191" s="596" t="s">
        <v>2121</v>
      </c>
      <c r="K191" s="596" t="s">
        <v>2122</v>
      </c>
      <c r="L191" s="597" t="s">
        <v>1694</v>
      </c>
      <c r="M191" s="597" t="s">
        <v>11807</v>
      </c>
      <c r="N191" s="598">
        <v>25000</v>
      </c>
      <c r="O191" s="598">
        <v>5000</v>
      </c>
    </row>
    <row r="192" spans="8:15">
      <c r="H192" s="595"/>
      <c r="I192" s="596" t="s">
        <v>1770</v>
      </c>
      <c r="J192" s="596" t="s">
        <v>2123</v>
      </c>
      <c r="K192" s="596" t="s">
        <v>2124</v>
      </c>
      <c r="L192" s="597" t="s">
        <v>1694</v>
      </c>
      <c r="M192" s="597">
        <v>8</v>
      </c>
      <c r="N192" s="598">
        <v>41000</v>
      </c>
      <c r="O192" s="598">
        <v>5000</v>
      </c>
    </row>
    <row r="193" spans="8:15">
      <c r="H193" s="595"/>
      <c r="I193" s="599"/>
      <c r="J193" s="599" t="s">
        <v>2125</v>
      </c>
      <c r="K193" s="599" t="s">
        <v>2126</v>
      </c>
      <c r="L193" s="600" t="s">
        <v>1694</v>
      </c>
      <c r="M193" s="600">
        <v>72</v>
      </c>
      <c r="N193" s="601">
        <v>186670</v>
      </c>
      <c r="O193" s="602"/>
    </row>
    <row r="194" spans="8:15">
      <c r="H194" s="595"/>
      <c r="I194" s="599"/>
      <c r="J194" s="599" t="s">
        <v>2127</v>
      </c>
      <c r="K194" s="599" t="s">
        <v>2128</v>
      </c>
      <c r="L194" s="600" t="s">
        <v>1690</v>
      </c>
      <c r="M194" s="600">
        <v>134</v>
      </c>
      <c r="N194" s="601">
        <v>30450</v>
      </c>
      <c r="O194" s="602"/>
    </row>
  </sheetData>
  <mergeCells count="85">
    <mergeCell ref="L84:L85"/>
    <mergeCell ref="M84:M85"/>
    <mergeCell ref="N84:N85"/>
    <mergeCell ref="O84:O85"/>
    <mergeCell ref="I109:I110"/>
    <mergeCell ref="J109:J110"/>
    <mergeCell ref="K109:K110"/>
    <mergeCell ref="L109:L110"/>
    <mergeCell ref="M109:M110"/>
    <mergeCell ref="N109:N110"/>
    <mergeCell ref="O109:O110"/>
    <mergeCell ref="F72:F73"/>
    <mergeCell ref="G72:G73"/>
    <mergeCell ref="I84:I85"/>
    <mergeCell ref="J84:J85"/>
    <mergeCell ref="K84:K85"/>
    <mergeCell ref="A72:A73"/>
    <mergeCell ref="B72:B73"/>
    <mergeCell ref="C72:C73"/>
    <mergeCell ref="D72:D73"/>
    <mergeCell ref="E72:E73"/>
    <mergeCell ref="F29:F30"/>
    <mergeCell ref="G29:G30"/>
    <mergeCell ref="A43:A44"/>
    <mergeCell ref="B43:B44"/>
    <mergeCell ref="C43:C44"/>
    <mergeCell ref="D43:D44"/>
    <mergeCell ref="E43:E44"/>
    <mergeCell ref="F43:F44"/>
    <mergeCell ref="G43:G44"/>
    <mergeCell ref="A29:A30"/>
    <mergeCell ref="B29:B30"/>
    <mergeCell ref="C29:C30"/>
    <mergeCell ref="D29:D30"/>
    <mergeCell ref="E29:E30"/>
    <mergeCell ref="M5:M6"/>
    <mergeCell ref="N5:N6"/>
    <mergeCell ref="O5:O6"/>
    <mergeCell ref="C2:G3"/>
    <mergeCell ref="A5:A6"/>
    <mergeCell ref="B5:B6"/>
    <mergeCell ref="C5:C6"/>
    <mergeCell ref="D5:D6"/>
    <mergeCell ref="E5:E6"/>
    <mergeCell ref="F5:F6"/>
    <mergeCell ref="G5:G6"/>
    <mergeCell ref="I5:I6"/>
    <mergeCell ref="J5:J6"/>
    <mergeCell ref="K5:K6"/>
    <mergeCell ref="L5:L6"/>
    <mergeCell ref="N138:N139"/>
    <mergeCell ref="O138:O139"/>
    <mergeCell ref="I172:I173"/>
    <mergeCell ref="J172:J173"/>
    <mergeCell ref="K172:K173"/>
    <mergeCell ref="L172:L173"/>
    <mergeCell ref="M172:M173"/>
    <mergeCell ref="N172:N173"/>
    <mergeCell ref="O172:O173"/>
    <mergeCell ref="I161:I162"/>
    <mergeCell ref="J161:J162"/>
    <mergeCell ref="K161:K162"/>
    <mergeCell ref="L161:L162"/>
    <mergeCell ref="M161:M162"/>
    <mergeCell ref="N161:N162"/>
    <mergeCell ref="O161:O162"/>
    <mergeCell ref="I138:I139"/>
    <mergeCell ref="J138:J139"/>
    <mergeCell ref="K138:K139"/>
    <mergeCell ref="L138:L139"/>
    <mergeCell ref="M138:M139"/>
    <mergeCell ref="N121:N122"/>
    <mergeCell ref="O121:O122"/>
    <mergeCell ref="I130:I131"/>
    <mergeCell ref="J130:J131"/>
    <mergeCell ref="K130:K131"/>
    <mergeCell ref="L130:L131"/>
    <mergeCell ref="M130:M131"/>
    <mergeCell ref="N130:N131"/>
    <mergeCell ref="O130:O131"/>
    <mergeCell ref="I121:I122"/>
    <mergeCell ref="J121:J122"/>
    <mergeCell ref="K121:K122"/>
    <mergeCell ref="L121:L122"/>
    <mergeCell ref="M121:M12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  <outlinePr summaryBelow="0" summaryRight="0"/>
  </sheetPr>
  <dimension ref="A1:O77"/>
  <sheetViews>
    <sheetView showGridLines="0" topLeftCell="A7" workbookViewId="0">
      <selection activeCell="C20" sqref="C20:C23"/>
    </sheetView>
  </sheetViews>
  <sheetFormatPr defaultColWidth="12.5703125" defaultRowHeight="15" customHeight="1"/>
  <cols>
    <col min="3" max="3" width="54.5703125" customWidth="1"/>
    <col min="4" max="4" width="10.140625" customWidth="1"/>
    <col min="5" max="5" width="9.28515625" customWidth="1"/>
    <col min="8" max="8" width="6" customWidth="1"/>
    <col min="11" max="11" width="43.85546875" customWidth="1"/>
    <col min="12" max="13" width="9.140625" customWidth="1"/>
  </cols>
  <sheetData>
    <row r="1" spans="1:15">
      <c r="A1" s="595"/>
      <c r="B1" s="595"/>
      <c r="C1" s="595"/>
      <c r="D1" s="595"/>
      <c r="E1" s="595"/>
      <c r="F1" s="595"/>
      <c r="G1" s="595"/>
      <c r="I1" s="595"/>
      <c r="J1" s="595"/>
      <c r="K1" s="595"/>
      <c r="L1" s="595"/>
      <c r="M1" s="595"/>
      <c r="N1" s="595"/>
      <c r="O1" s="595"/>
    </row>
    <row r="2" spans="1:15">
      <c r="A2" s="595"/>
      <c r="C2" s="863" t="s">
        <v>2129</v>
      </c>
      <c r="D2" s="672"/>
      <c r="E2" s="672"/>
      <c r="F2" s="672"/>
      <c r="G2" s="672"/>
      <c r="K2" s="595"/>
      <c r="L2" s="595"/>
      <c r="M2" s="595"/>
      <c r="N2" s="595"/>
      <c r="O2" s="595"/>
    </row>
    <row r="3" spans="1:15">
      <c r="A3" s="595"/>
      <c r="C3" s="672"/>
      <c r="D3" s="672"/>
      <c r="E3" s="672"/>
      <c r="F3" s="672"/>
      <c r="G3" s="672"/>
      <c r="K3" s="595"/>
      <c r="L3" s="595"/>
      <c r="M3" s="595"/>
      <c r="N3" s="595"/>
      <c r="O3" s="595"/>
    </row>
    <row r="4" spans="1:15">
      <c r="A4" s="595"/>
      <c r="B4" s="595"/>
      <c r="C4" s="595"/>
      <c r="D4" s="595"/>
      <c r="E4" s="595"/>
      <c r="F4" s="595"/>
      <c r="G4" s="595"/>
      <c r="I4" s="595"/>
      <c r="J4" s="595"/>
      <c r="K4" s="595"/>
      <c r="L4" s="595"/>
      <c r="M4" s="595"/>
      <c r="N4" s="595"/>
      <c r="O4" s="595"/>
    </row>
    <row r="5" spans="1:15">
      <c r="A5" s="860" t="s">
        <v>1682</v>
      </c>
      <c r="B5" s="860" t="s">
        <v>426</v>
      </c>
      <c r="C5" s="860" t="s">
        <v>2130</v>
      </c>
      <c r="D5" s="860" t="s">
        <v>79</v>
      </c>
      <c r="E5" s="860" t="s">
        <v>1684</v>
      </c>
      <c r="F5" s="862" t="s">
        <v>2131</v>
      </c>
      <c r="G5" s="862" t="s">
        <v>1685</v>
      </c>
      <c r="H5" s="2"/>
      <c r="I5" s="860" t="s">
        <v>1682</v>
      </c>
      <c r="J5" s="860" t="s">
        <v>426</v>
      </c>
      <c r="K5" s="860" t="s">
        <v>2132</v>
      </c>
      <c r="L5" s="860" t="s">
        <v>79</v>
      </c>
      <c r="M5" s="860" t="s">
        <v>1684</v>
      </c>
      <c r="N5" s="862" t="s">
        <v>2131</v>
      </c>
      <c r="O5" s="862" t="s">
        <v>1685</v>
      </c>
    </row>
    <row r="6" spans="1:15">
      <c r="A6" s="861"/>
      <c r="B6" s="861"/>
      <c r="C6" s="861"/>
      <c r="D6" s="861"/>
      <c r="E6" s="861"/>
      <c r="F6" s="861"/>
      <c r="G6" s="861"/>
      <c r="H6" s="2"/>
      <c r="I6" s="861"/>
      <c r="J6" s="861"/>
      <c r="K6" s="861"/>
      <c r="L6" s="861"/>
      <c r="M6" s="861"/>
      <c r="N6" s="861"/>
      <c r="O6" s="861"/>
    </row>
    <row r="7" spans="1:15">
      <c r="A7" s="596"/>
      <c r="B7" s="596" t="s">
        <v>2133</v>
      </c>
      <c r="C7" s="596" t="s">
        <v>2134</v>
      </c>
      <c r="D7" s="597" t="s">
        <v>2135</v>
      </c>
      <c r="E7" s="597">
        <v>11</v>
      </c>
      <c r="F7" s="598">
        <v>10000000</v>
      </c>
      <c r="G7" s="598">
        <v>200000</v>
      </c>
      <c r="H7" s="603"/>
      <c r="I7" s="596" t="s">
        <v>2136</v>
      </c>
      <c r="J7" s="596" t="s">
        <v>2137</v>
      </c>
      <c r="K7" s="596" t="s">
        <v>2138</v>
      </c>
      <c r="L7" s="597" t="s">
        <v>2139</v>
      </c>
      <c r="M7" s="597">
        <v>4</v>
      </c>
      <c r="N7" s="598">
        <v>38000</v>
      </c>
      <c r="O7" s="598">
        <v>5000</v>
      </c>
    </row>
    <row r="8" spans="1:15">
      <c r="A8" s="596"/>
      <c r="B8" s="596"/>
      <c r="C8" s="596"/>
      <c r="D8" s="597"/>
      <c r="E8" s="597"/>
      <c r="F8" s="604"/>
      <c r="G8" s="598"/>
      <c r="H8" s="603"/>
      <c r="I8" s="596" t="s">
        <v>2136</v>
      </c>
      <c r="J8" s="596" t="s">
        <v>2140</v>
      </c>
      <c r="K8" s="596" t="s">
        <v>2141</v>
      </c>
      <c r="L8" s="597" t="s">
        <v>2139</v>
      </c>
      <c r="M8" s="597">
        <v>11</v>
      </c>
      <c r="N8" s="598">
        <v>49000</v>
      </c>
      <c r="O8" s="598">
        <v>5000</v>
      </c>
    </row>
    <row r="9" spans="1:15">
      <c r="A9" s="596"/>
      <c r="B9" s="596" t="s">
        <v>1204</v>
      </c>
      <c r="C9" s="596" t="s">
        <v>1205</v>
      </c>
      <c r="D9" s="597" t="s">
        <v>2142</v>
      </c>
      <c r="E9" s="597">
        <v>1129</v>
      </c>
      <c r="F9" s="604">
        <v>13000</v>
      </c>
      <c r="G9" s="598">
        <v>1000</v>
      </c>
      <c r="H9" s="603"/>
      <c r="I9" s="596" t="s">
        <v>2143</v>
      </c>
      <c r="J9" s="596" t="s">
        <v>2144</v>
      </c>
      <c r="K9" s="596" t="s">
        <v>2145</v>
      </c>
      <c r="L9" s="597" t="s">
        <v>2146</v>
      </c>
      <c r="M9" s="597">
        <v>10</v>
      </c>
      <c r="N9" s="598">
        <v>20000</v>
      </c>
      <c r="O9" s="598">
        <v>5000</v>
      </c>
    </row>
    <row r="10" spans="1:15">
      <c r="A10" s="596"/>
      <c r="B10" s="596" t="s">
        <v>1228</v>
      </c>
      <c r="C10" s="596" t="s">
        <v>2147</v>
      </c>
      <c r="D10" s="597" t="s">
        <v>2142</v>
      </c>
      <c r="E10" s="597">
        <v>2028</v>
      </c>
      <c r="F10" s="604">
        <v>24000</v>
      </c>
      <c r="G10" s="598">
        <v>1000</v>
      </c>
      <c r="H10" s="603"/>
      <c r="I10" s="596" t="s">
        <v>2136</v>
      </c>
      <c r="J10" s="596" t="s">
        <v>2148</v>
      </c>
      <c r="K10" s="596" t="s">
        <v>2149</v>
      </c>
      <c r="L10" s="597" t="s">
        <v>2139</v>
      </c>
      <c r="M10" s="597">
        <v>2</v>
      </c>
      <c r="N10" s="598">
        <v>15000</v>
      </c>
      <c r="O10" s="598">
        <v>5000</v>
      </c>
    </row>
    <row r="11" spans="1:15">
      <c r="A11" s="596"/>
      <c r="B11" s="596"/>
      <c r="C11" s="596"/>
      <c r="D11" s="597"/>
      <c r="E11" s="597"/>
      <c r="F11" s="604"/>
      <c r="G11" s="598"/>
      <c r="H11" s="603"/>
      <c r="I11" s="860" t="s">
        <v>1682</v>
      </c>
      <c r="J11" s="860" t="s">
        <v>426</v>
      </c>
      <c r="K11" s="860" t="s">
        <v>2150</v>
      </c>
      <c r="L11" s="860" t="s">
        <v>79</v>
      </c>
      <c r="M11" s="860" t="s">
        <v>1684</v>
      </c>
      <c r="N11" s="862" t="s">
        <v>2131</v>
      </c>
      <c r="O11" s="862" t="s">
        <v>1685</v>
      </c>
    </row>
    <row r="12" spans="1:15">
      <c r="A12" s="596"/>
      <c r="B12" s="596" t="s">
        <v>1367</v>
      </c>
      <c r="C12" s="596" t="s">
        <v>2151</v>
      </c>
      <c r="D12" s="597" t="s">
        <v>2142</v>
      </c>
      <c r="E12" s="597">
        <v>745</v>
      </c>
      <c r="F12" s="604">
        <v>24000</v>
      </c>
      <c r="G12" s="598">
        <v>1000</v>
      </c>
      <c r="H12" s="603"/>
      <c r="I12" s="861"/>
      <c r="J12" s="861"/>
      <c r="K12" s="861"/>
      <c r="L12" s="861"/>
      <c r="M12" s="861"/>
      <c r="N12" s="861"/>
      <c r="O12" s="861"/>
    </row>
    <row r="13" spans="1:15">
      <c r="A13" s="596"/>
      <c r="B13" s="596"/>
      <c r="C13" s="596"/>
      <c r="D13" s="597"/>
      <c r="E13" s="597"/>
      <c r="F13" s="604"/>
      <c r="G13" s="598"/>
      <c r="H13" s="603"/>
      <c r="I13" s="596"/>
      <c r="J13" s="596" t="s">
        <v>2152</v>
      </c>
      <c r="K13" s="596" t="s">
        <v>2153</v>
      </c>
      <c r="L13" s="597" t="s">
        <v>2142</v>
      </c>
      <c r="M13" s="597">
        <v>44</v>
      </c>
      <c r="N13" s="598">
        <v>20000</v>
      </c>
      <c r="O13" s="598">
        <v>1000</v>
      </c>
    </row>
    <row r="14" spans="1:15">
      <c r="A14" s="596"/>
      <c r="B14" s="596" t="s">
        <v>1207</v>
      </c>
      <c r="C14" s="596" t="s">
        <v>2154</v>
      </c>
      <c r="D14" s="597" t="s">
        <v>2142</v>
      </c>
      <c r="E14" s="597">
        <v>550</v>
      </c>
      <c r="F14" s="604">
        <v>18000</v>
      </c>
      <c r="G14" s="598">
        <v>1000</v>
      </c>
      <c r="H14" s="603"/>
      <c r="I14" s="596"/>
      <c r="J14" s="596" t="s">
        <v>2155</v>
      </c>
      <c r="K14" s="596" t="s">
        <v>2156</v>
      </c>
      <c r="L14" s="597" t="s">
        <v>2142</v>
      </c>
      <c r="M14" s="597">
        <v>119</v>
      </c>
      <c r="N14" s="598">
        <v>20000</v>
      </c>
      <c r="O14" s="598">
        <v>1000</v>
      </c>
    </row>
    <row r="15" spans="1:15">
      <c r="A15" s="596"/>
      <c r="B15" s="596" t="s">
        <v>1371</v>
      </c>
      <c r="C15" s="596" t="s">
        <v>2157</v>
      </c>
      <c r="D15" s="597" t="s">
        <v>2142</v>
      </c>
      <c r="E15" s="597">
        <v>875</v>
      </c>
      <c r="F15" s="604">
        <v>30000</v>
      </c>
      <c r="G15" s="598">
        <v>1000</v>
      </c>
      <c r="H15" s="603"/>
      <c r="I15" s="596"/>
      <c r="J15" s="596" t="s">
        <v>2158</v>
      </c>
      <c r="K15" s="596" t="s">
        <v>2159</v>
      </c>
      <c r="L15" s="597" t="s">
        <v>2142</v>
      </c>
      <c r="M15" s="597">
        <v>787</v>
      </c>
      <c r="N15" s="598">
        <v>4000</v>
      </c>
      <c r="O15" s="598">
        <v>1000</v>
      </c>
    </row>
    <row r="16" spans="1:15">
      <c r="A16" s="596"/>
      <c r="B16" s="596" t="s">
        <v>1236</v>
      </c>
      <c r="C16" s="596" t="s">
        <v>1237</v>
      </c>
      <c r="D16" s="597" t="s">
        <v>2142</v>
      </c>
      <c r="E16" s="597">
        <v>1017</v>
      </c>
      <c r="F16" s="604">
        <v>33000</v>
      </c>
      <c r="G16" s="598">
        <v>1000</v>
      </c>
      <c r="H16" s="603"/>
      <c r="I16" s="596"/>
      <c r="J16" s="596" t="s">
        <v>2160</v>
      </c>
      <c r="K16" s="596" t="s">
        <v>2161</v>
      </c>
      <c r="L16" s="597" t="s">
        <v>2142</v>
      </c>
      <c r="M16" s="597">
        <v>240</v>
      </c>
      <c r="N16" s="598">
        <v>5000</v>
      </c>
      <c r="O16" s="598">
        <v>1000</v>
      </c>
    </row>
    <row r="17" spans="1:15">
      <c r="A17" s="596"/>
      <c r="B17" s="596" t="s">
        <v>1210</v>
      </c>
      <c r="C17" s="596" t="s">
        <v>1211</v>
      </c>
      <c r="D17" s="597" t="s">
        <v>2142</v>
      </c>
      <c r="E17" s="597">
        <v>171</v>
      </c>
      <c r="F17" s="604">
        <v>23000</v>
      </c>
      <c r="G17" s="598">
        <v>1000</v>
      </c>
      <c r="H17" s="603"/>
      <c r="I17" s="596"/>
      <c r="J17" s="596" t="s">
        <v>2162</v>
      </c>
      <c r="K17" s="596" t="s">
        <v>2163</v>
      </c>
      <c r="L17" s="597" t="s">
        <v>2142</v>
      </c>
      <c r="M17" s="597">
        <v>53</v>
      </c>
      <c r="N17" s="598">
        <v>6000</v>
      </c>
      <c r="O17" s="598">
        <v>1000</v>
      </c>
    </row>
    <row r="18" spans="1:15">
      <c r="A18" s="596"/>
      <c r="B18" s="596" t="s">
        <v>1349</v>
      </c>
      <c r="C18" s="596" t="s">
        <v>2164</v>
      </c>
      <c r="D18" s="597" t="s">
        <v>2142</v>
      </c>
      <c r="E18" s="597">
        <v>15</v>
      </c>
      <c r="F18" s="604">
        <v>25000</v>
      </c>
      <c r="G18" s="598">
        <v>1000</v>
      </c>
      <c r="H18" s="603"/>
      <c r="I18" s="860" t="s">
        <v>1682</v>
      </c>
      <c r="J18" s="860" t="s">
        <v>426</v>
      </c>
      <c r="K18" s="860" t="s">
        <v>2165</v>
      </c>
      <c r="L18" s="860" t="s">
        <v>79</v>
      </c>
      <c r="M18" s="860" t="s">
        <v>1684</v>
      </c>
      <c r="N18" s="862" t="s">
        <v>2131</v>
      </c>
      <c r="O18" s="862" t="s">
        <v>1685</v>
      </c>
    </row>
    <row r="19" spans="1:15">
      <c r="A19" s="596"/>
      <c r="B19" s="596" t="s">
        <v>1238</v>
      </c>
      <c r="C19" s="596" t="s">
        <v>2166</v>
      </c>
      <c r="D19" s="597" t="s">
        <v>2142</v>
      </c>
      <c r="E19" s="597">
        <v>242</v>
      </c>
      <c r="F19" s="604">
        <v>41000</v>
      </c>
      <c r="G19" s="598">
        <v>1000</v>
      </c>
      <c r="H19" s="603"/>
      <c r="I19" s="861"/>
      <c r="J19" s="861"/>
      <c r="K19" s="861"/>
      <c r="L19" s="861"/>
      <c r="M19" s="861"/>
      <c r="N19" s="861"/>
      <c r="O19" s="861"/>
    </row>
    <row r="20" spans="1:15">
      <c r="A20" s="596"/>
      <c r="B20" s="596" t="s">
        <v>1375</v>
      </c>
      <c r="C20" s="596" t="s">
        <v>2167</v>
      </c>
      <c r="D20" s="597" t="s">
        <v>2142</v>
      </c>
      <c r="E20" s="597">
        <v>1176</v>
      </c>
      <c r="F20" s="604">
        <v>41000</v>
      </c>
      <c r="G20" s="598">
        <v>1000</v>
      </c>
      <c r="H20" s="603"/>
      <c r="I20" s="599"/>
      <c r="J20" s="599" t="s">
        <v>2168</v>
      </c>
      <c r="K20" s="599" t="s">
        <v>2169</v>
      </c>
      <c r="L20" s="600" t="s">
        <v>525</v>
      </c>
      <c r="M20" s="600">
        <v>5</v>
      </c>
      <c r="N20" s="601">
        <v>67809</v>
      </c>
      <c r="O20" s="602"/>
    </row>
    <row r="21" spans="1:15">
      <c r="A21" s="596"/>
      <c r="B21" s="596" t="s">
        <v>1393</v>
      </c>
      <c r="C21" s="596" t="s">
        <v>2170</v>
      </c>
      <c r="D21" s="597" t="s">
        <v>2142</v>
      </c>
      <c r="E21" s="597">
        <v>26</v>
      </c>
      <c r="F21" s="604">
        <v>60000</v>
      </c>
      <c r="G21" s="598">
        <v>1000</v>
      </c>
      <c r="H21" s="603"/>
      <c r="I21" s="599"/>
      <c r="J21" s="599" t="s">
        <v>2171</v>
      </c>
      <c r="K21" s="599" t="s">
        <v>2172</v>
      </c>
      <c r="L21" s="600" t="s">
        <v>1694</v>
      </c>
      <c r="M21" s="600">
        <v>3</v>
      </c>
      <c r="N21" s="601">
        <v>84126</v>
      </c>
      <c r="O21" s="602"/>
    </row>
    <row r="22" spans="1:15">
      <c r="A22" s="596"/>
      <c r="B22" s="596" t="s">
        <v>1265</v>
      </c>
      <c r="C22" s="596" t="s">
        <v>2173</v>
      </c>
      <c r="D22" s="597" t="s">
        <v>2142</v>
      </c>
      <c r="E22" s="597">
        <v>86</v>
      </c>
      <c r="F22" s="604">
        <v>127000</v>
      </c>
      <c r="G22" s="598">
        <v>1000</v>
      </c>
      <c r="H22" s="603"/>
      <c r="I22" s="599"/>
      <c r="J22" s="599"/>
      <c r="K22" s="599"/>
      <c r="L22" s="600"/>
      <c r="M22" s="600"/>
      <c r="N22" s="601"/>
      <c r="O22" s="602"/>
    </row>
    <row r="23" spans="1:15">
      <c r="A23" s="596"/>
      <c r="B23" s="596" t="s">
        <v>1339</v>
      </c>
      <c r="C23" s="596" t="s">
        <v>2174</v>
      </c>
      <c r="D23" s="597" t="s">
        <v>2142</v>
      </c>
      <c r="E23" s="597">
        <v>126</v>
      </c>
      <c r="F23" s="604">
        <v>17000</v>
      </c>
      <c r="G23" s="598">
        <v>1000</v>
      </c>
      <c r="H23" s="603"/>
      <c r="I23" s="599"/>
      <c r="J23" s="599" t="s">
        <v>125</v>
      </c>
      <c r="K23" s="599" t="s">
        <v>126</v>
      </c>
      <c r="L23" s="600" t="s">
        <v>525</v>
      </c>
      <c r="M23" s="600">
        <v>2478</v>
      </c>
      <c r="N23" s="601">
        <v>19672</v>
      </c>
      <c r="O23" s="602"/>
    </row>
    <row r="24" spans="1:15">
      <c r="A24" s="596"/>
      <c r="B24" s="596"/>
      <c r="C24" s="596"/>
      <c r="D24" s="597"/>
      <c r="E24" s="597"/>
      <c r="F24" s="604"/>
      <c r="G24" s="598"/>
      <c r="H24" s="603"/>
      <c r="I24" s="599"/>
      <c r="J24" s="599" t="s">
        <v>123</v>
      </c>
      <c r="K24" s="599" t="s">
        <v>124</v>
      </c>
      <c r="L24" s="600" t="s">
        <v>525</v>
      </c>
      <c r="M24" s="600">
        <v>8</v>
      </c>
      <c r="N24" s="601">
        <v>33496</v>
      </c>
      <c r="O24" s="602"/>
    </row>
    <row r="25" spans="1:15">
      <c r="A25" s="596"/>
      <c r="B25" s="596" t="s">
        <v>1240</v>
      </c>
      <c r="C25" s="596" t="s">
        <v>2175</v>
      </c>
      <c r="D25" s="597" t="s">
        <v>2142</v>
      </c>
      <c r="E25" s="597">
        <v>52</v>
      </c>
      <c r="F25" s="604">
        <v>44000</v>
      </c>
      <c r="G25" s="598">
        <v>1000</v>
      </c>
      <c r="H25" s="603"/>
      <c r="I25" s="860" t="s">
        <v>1682</v>
      </c>
      <c r="J25" s="860" t="s">
        <v>426</v>
      </c>
      <c r="K25" s="860" t="s">
        <v>2176</v>
      </c>
      <c r="L25" s="860" t="s">
        <v>79</v>
      </c>
      <c r="M25" s="860" t="s">
        <v>1684</v>
      </c>
      <c r="N25" s="862" t="s">
        <v>2131</v>
      </c>
      <c r="O25" s="862" t="s">
        <v>1685</v>
      </c>
    </row>
    <row r="26" spans="1:15">
      <c r="A26" s="596"/>
      <c r="B26" s="596"/>
      <c r="C26" s="596"/>
      <c r="D26" s="597"/>
      <c r="E26" s="597"/>
      <c r="F26" s="604"/>
      <c r="G26" s="598"/>
      <c r="H26" s="603"/>
      <c r="I26" s="861"/>
      <c r="J26" s="861"/>
      <c r="K26" s="861"/>
      <c r="L26" s="861"/>
      <c r="M26" s="861"/>
      <c r="N26" s="861"/>
      <c r="O26" s="861"/>
    </row>
    <row r="27" spans="1:15">
      <c r="A27" s="596"/>
      <c r="B27" s="596" t="s">
        <v>1216</v>
      </c>
      <c r="C27" s="596" t="s">
        <v>2177</v>
      </c>
      <c r="D27" s="597" t="s">
        <v>2142</v>
      </c>
      <c r="E27" s="597">
        <v>726</v>
      </c>
      <c r="F27" s="604">
        <v>29000</v>
      </c>
      <c r="G27" s="598">
        <v>1000</v>
      </c>
      <c r="H27" s="603"/>
      <c r="I27" s="599"/>
      <c r="J27" s="599"/>
      <c r="K27" s="599"/>
      <c r="L27" s="600"/>
      <c r="M27" s="600"/>
      <c r="N27" s="601"/>
      <c r="O27" s="602"/>
    </row>
    <row r="28" spans="1:15">
      <c r="A28" s="596"/>
      <c r="B28" s="596" t="s">
        <v>1353</v>
      </c>
      <c r="C28" s="596" t="s">
        <v>2178</v>
      </c>
      <c r="D28" s="597" t="s">
        <v>2142</v>
      </c>
      <c r="E28" s="597">
        <v>294</v>
      </c>
      <c r="F28" s="604">
        <v>29000</v>
      </c>
      <c r="G28" s="598">
        <v>1000</v>
      </c>
      <c r="H28" s="603"/>
      <c r="I28" s="599"/>
      <c r="J28" s="599" t="s">
        <v>2179</v>
      </c>
      <c r="K28" s="599" t="s">
        <v>2180</v>
      </c>
      <c r="L28" s="600" t="s">
        <v>2181</v>
      </c>
      <c r="M28" s="600" t="s">
        <v>11807</v>
      </c>
      <c r="N28" s="601">
        <v>348986</v>
      </c>
      <c r="O28" s="602"/>
    </row>
    <row r="29" spans="1:15">
      <c r="A29" s="596"/>
      <c r="B29" s="596" t="s">
        <v>1395</v>
      </c>
      <c r="C29" s="596" t="s">
        <v>2182</v>
      </c>
      <c r="D29" s="597" t="s">
        <v>2142</v>
      </c>
      <c r="E29" s="597">
        <v>810</v>
      </c>
      <c r="F29" s="604">
        <v>71000</v>
      </c>
      <c r="G29" s="598">
        <v>1000</v>
      </c>
      <c r="H29" s="603"/>
      <c r="I29" s="599"/>
      <c r="J29" s="599" t="s">
        <v>2183</v>
      </c>
      <c r="K29" s="599" t="s">
        <v>2184</v>
      </c>
      <c r="L29" s="600" t="s">
        <v>1694</v>
      </c>
      <c r="M29" s="600">
        <v>1</v>
      </c>
      <c r="N29" s="601">
        <v>409500</v>
      </c>
      <c r="O29" s="602">
        <v>20000</v>
      </c>
    </row>
    <row r="30" spans="1:15">
      <c r="A30" s="596"/>
      <c r="B30" s="596" t="s">
        <v>1271</v>
      </c>
      <c r="C30" s="596" t="s">
        <v>2185</v>
      </c>
      <c r="D30" s="597" t="s">
        <v>2142</v>
      </c>
      <c r="E30" s="597">
        <v>27</v>
      </c>
      <c r="F30" s="604">
        <v>204000</v>
      </c>
      <c r="G30" s="598">
        <v>1000</v>
      </c>
      <c r="H30" s="603"/>
      <c r="I30" s="605"/>
      <c r="J30" s="605"/>
      <c r="K30" s="605"/>
      <c r="L30" s="605"/>
      <c r="M30" s="605"/>
      <c r="N30" s="605"/>
      <c r="O30" s="605"/>
    </row>
    <row r="31" spans="1:15">
      <c r="A31" s="596"/>
      <c r="B31" s="596" t="s">
        <v>1198</v>
      </c>
      <c r="C31" s="596" t="s">
        <v>1199</v>
      </c>
      <c r="D31" s="597" t="s">
        <v>2142</v>
      </c>
      <c r="E31" s="597">
        <v>280</v>
      </c>
      <c r="F31" s="604">
        <v>23000</v>
      </c>
      <c r="G31" s="598">
        <v>1000</v>
      </c>
      <c r="H31" s="603"/>
      <c r="I31" s="605"/>
      <c r="J31" s="605"/>
      <c r="K31" s="605"/>
      <c r="L31" s="605"/>
      <c r="M31" s="605"/>
      <c r="N31" s="605"/>
      <c r="O31" s="605"/>
    </row>
    <row r="32" spans="1:15">
      <c r="A32" s="596"/>
      <c r="B32" s="596" t="s">
        <v>1218</v>
      </c>
      <c r="C32" s="596" t="s">
        <v>1219</v>
      </c>
      <c r="D32" s="597" t="s">
        <v>2142</v>
      </c>
      <c r="E32" s="597">
        <v>2277</v>
      </c>
      <c r="F32" s="604">
        <v>34000</v>
      </c>
      <c r="G32" s="598">
        <v>1000</v>
      </c>
      <c r="H32" s="603"/>
      <c r="I32" s="605"/>
      <c r="J32" s="605"/>
      <c r="K32" s="605"/>
      <c r="L32" s="605"/>
      <c r="M32" s="605"/>
      <c r="N32" s="605"/>
      <c r="O32" s="605"/>
    </row>
    <row r="33" spans="1:15">
      <c r="A33" s="596"/>
      <c r="B33" s="596"/>
      <c r="C33" s="596"/>
      <c r="D33" s="597"/>
      <c r="E33" s="597"/>
      <c r="F33" s="604"/>
      <c r="G33" s="598"/>
      <c r="H33" s="603"/>
      <c r="I33" s="605"/>
      <c r="J33" s="605"/>
      <c r="K33" s="605"/>
      <c r="L33" s="605"/>
      <c r="M33" s="605"/>
      <c r="N33" s="605"/>
      <c r="O33" s="605"/>
    </row>
    <row r="34" spans="1:15">
      <c r="A34" s="596"/>
      <c r="B34" s="596" t="s">
        <v>1245</v>
      </c>
      <c r="C34" s="596" t="s">
        <v>2186</v>
      </c>
      <c r="D34" s="597" t="s">
        <v>2142</v>
      </c>
      <c r="E34" s="597" t="s">
        <v>11807</v>
      </c>
      <c r="F34" s="604">
        <v>60000</v>
      </c>
      <c r="G34" s="598">
        <v>1000</v>
      </c>
      <c r="H34" s="603"/>
      <c r="I34" s="605"/>
      <c r="J34" s="605"/>
      <c r="K34" s="605"/>
      <c r="L34" s="605"/>
      <c r="M34" s="605"/>
      <c r="N34" s="605"/>
      <c r="O34" s="605"/>
    </row>
    <row r="35" spans="1:15">
      <c r="A35" s="596"/>
      <c r="B35" s="596" t="s">
        <v>1383</v>
      </c>
      <c r="C35" s="596" t="s">
        <v>2187</v>
      </c>
      <c r="D35" s="597" t="s">
        <v>2142</v>
      </c>
      <c r="E35" s="597" t="s">
        <v>11807</v>
      </c>
      <c r="F35" s="604">
        <v>60000</v>
      </c>
      <c r="G35" s="598">
        <v>1000</v>
      </c>
      <c r="H35" s="603"/>
      <c r="I35" s="605"/>
      <c r="J35" s="605"/>
      <c r="K35" s="605"/>
      <c r="L35" s="605"/>
      <c r="M35" s="605"/>
      <c r="N35" s="605"/>
      <c r="O35" s="605"/>
    </row>
    <row r="36" spans="1:15">
      <c r="A36" s="596"/>
      <c r="B36" s="596"/>
      <c r="C36" s="596"/>
      <c r="D36" s="597"/>
      <c r="E36" s="597"/>
      <c r="F36" s="604"/>
      <c r="G36" s="598"/>
      <c r="H36" s="603"/>
      <c r="I36" s="605"/>
      <c r="J36" s="605"/>
      <c r="K36" s="605"/>
      <c r="L36" s="605"/>
      <c r="M36" s="605"/>
      <c r="N36" s="605"/>
      <c r="O36" s="605"/>
    </row>
    <row r="37" spans="1:15">
      <c r="A37" s="596"/>
      <c r="B37" s="596" t="s">
        <v>1274</v>
      </c>
      <c r="C37" s="596" t="s">
        <v>2188</v>
      </c>
      <c r="D37" s="597" t="s">
        <v>2142</v>
      </c>
      <c r="E37" s="597">
        <v>3</v>
      </c>
      <c r="F37" s="604">
        <v>263000</v>
      </c>
      <c r="G37" s="598">
        <v>1000</v>
      </c>
      <c r="H37" s="603"/>
      <c r="I37" s="605"/>
      <c r="J37" s="605"/>
      <c r="K37" s="605"/>
      <c r="L37" s="605"/>
      <c r="M37" s="605"/>
      <c r="N37" s="605"/>
      <c r="O37" s="605"/>
    </row>
    <row r="38" spans="1:15">
      <c r="A38" s="596"/>
      <c r="B38" s="596" t="s">
        <v>1222</v>
      </c>
      <c r="C38" s="596" t="s">
        <v>2189</v>
      </c>
      <c r="D38" s="597" t="s">
        <v>2142</v>
      </c>
      <c r="E38" s="597">
        <v>737</v>
      </c>
      <c r="F38" s="604">
        <v>50000</v>
      </c>
      <c r="G38" s="598">
        <v>1000</v>
      </c>
      <c r="H38" s="603"/>
      <c r="I38" s="605"/>
      <c r="J38" s="605"/>
      <c r="K38" s="605"/>
      <c r="L38" s="605"/>
      <c r="M38" s="605"/>
      <c r="N38" s="605"/>
      <c r="O38" s="605"/>
    </row>
    <row r="39" spans="1:15">
      <c r="A39" s="596"/>
      <c r="B39" s="596" t="s">
        <v>1359</v>
      </c>
      <c r="C39" s="596" t="s">
        <v>2190</v>
      </c>
      <c r="D39" s="597" t="s">
        <v>2142</v>
      </c>
      <c r="E39" s="597">
        <v>61</v>
      </c>
      <c r="F39" s="604">
        <v>50000</v>
      </c>
      <c r="G39" s="598">
        <v>1000</v>
      </c>
      <c r="H39" s="603"/>
      <c r="I39" s="605"/>
      <c r="J39" s="605"/>
      <c r="K39" s="605"/>
      <c r="L39" s="605"/>
      <c r="M39" s="605"/>
      <c r="N39" s="605"/>
      <c r="O39" s="605"/>
    </row>
    <row r="40" spans="1:15">
      <c r="A40" s="596"/>
      <c r="B40" s="596" t="s">
        <v>1276</v>
      </c>
      <c r="C40" s="596" t="s">
        <v>2191</v>
      </c>
      <c r="D40" s="597" t="s">
        <v>2142</v>
      </c>
      <c r="E40" s="597">
        <v>1</v>
      </c>
      <c r="F40" s="604">
        <v>378000</v>
      </c>
      <c r="G40" s="598">
        <v>1000</v>
      </c>
      <c r="H40" s="603"/>
      <c r="I40" s="605"/>
      <c r="J40" s="605"/>
      <c r="K40" s="605"/>
      <c r="L40" s="605"/>
      <c r="M40" s="605"/>
      <c r="N40" s="605"/>
      <c r="O40" s="605"/>
    </row>
    <row r="41" spans="1:15">
      <c r="A41" s="596"/>
      <c r="B41" s="596" t="s">
        <v>1407</v>
      </c>
      <c r="C41" s="596" t="s">
        <v>2192</v>
      </c>
      <c r="D41" s="597" t="s">
        <v>2142</v>
      </c>
      <c r="E41" s="597">
        <v>5</v>
      </c>
      <c r="F41" s="604">
        <v>378000</v>
      </c>
      <c r="G41" s="598">
        <v>1000</v>
      </c>
      <c r="H41" s="603"/>
      <c r="I41" s="605"/>
      <c r="J41" s="605"/>
      <c r="K41" s="605"/>
      <c r="L41" s="605"/>
      <c r="M41" s="605"/>
      <c r="N41" s="605"/>
      <c r="O41" s="605"/>
    </row>
    <row r="42" spans="1:15">
      <c r="A42" s="596"/>
      <c r="B42" s="596" t="s">
        <v>1412</v>
      </c>
      <c r="C42" s="596" t="s">
        <v>2193</v>
      </c>
      <c r="D42" s="597" t="s">
        <v>2142</v>
      </c>
      <c r="E42" s="597">
        <v>6</v>
      </c>
      <c r="F42" s="604">
        <v>518400</v>
      </c>
      <c r="G42" s="598">
        <v>1000</v>
      </c>
      <c r="H42" s="603"/>
      <c r="I42" s="605"/>
      <c r="J42" s="605"/>
      <c r="K42" s="605"/>
      <c r="L42" s="605"/>
      <c r="M42" s="605"/>
      <c r="N42" s="605"/>
      <c r="O42" s="605"/>
    </row>
    <row r="43" spans="1:15">
      <c r="A43" s="596"/>
      <c r="B43" s="596" t="s">
        <v>1361</v>
      </c>
      <c r="C43" s="596" t="s">
        <v>2194</v>
      </c>
      <c r="D43" s="597" t="s">
        <v>2142</v>
      </c>
      <c r="E43" s="597">
        <v>119</v>
      </c>
      <c r="F43" s="604">
        <v>76000</v>
      </c>
      <c r="G43" s="598">
        <v>1000</v>
      </c>
      <c r="H43" s="603"/>
      <c r="I43" s="605"/>
      <c r="J43" s="605"/>
      <c r="K43" s="605"/>
      <c r="L43" s="605"/>
      <c r="M43" s="605"/>
      <c r="N43" s="605"/>
      <c r="O43" s="605"/>
    </row>
    <row r="44" spans="1:15">
      <c r="A44" s="596"/>
      <c r="B44" s="596" t="s">
        <v>1263</v>
      </c>
      <c r="C44" s="596" t="s">
        <v>1264</v>
      </c>
      <c r="D44" s="597" t="s">
        <v>2142</v>
      </c>
      <c r="E44" s="597">
        <v>69</v>
      </c>
      <c r="F44" s="604">
        <v>160000</v>
      </c>
      <c r="G44" s="598">
        <v>1000</v>
      </c>
      <c r="H44" s="603"/>
      <c r="I44" s="605"/>
      <c r="J44" s="605"/>
      <c r="K44" s="605"/>
      <c r="L44" s="605"/>
      <c r="M44" s="605"/>
      <c r="N44" s="605"/>
      <c r="O44" s="605"/>
    </row>
    <row r="45" spans="1:15">
      <c r="A45" s="596"/>
      <c r="B45" s="596" t="s">
        <v>1278</v>
      </c>
      <c r="C45" s="596" t="s">
        <v>1279</v>
      </c>
      <c r="D45" s="597" t="s">
        <v>2142</v>
      </c>
      <c r="E45" s="597">
        <v>12</v>
      </c>
      <c r="F45" s="604">
        <v>419200</v>
      </c>
      <c r="G45" s="598">
        <v>1000</v>
      </c>
      <c r="H45" s="603"/>
      <c r="I45" s="605"/>
      <c r="J45" s="605"/>
      <c r="K45" s="605"/>
      <c r="L45" s="605"/>
      <c r="M45" s="605"/>
      <c r="N45" s="605"/>
      <c r="O45" s="605"/>
    </row>
    <row r="46" spans="1:15">
      <c r="A46" s="596"/>
      <c r="B46" s="596" t="s">
        <v>1283</v>
      </c>
      <c r="C46" s="596" t="s">
        <v>2195</v>
      </c>
      <c r="D46" s="597" t="s">
        <v>2142</v>
      </c>
      <c r="E46" s="597">
        <v>5</v>
      </c>
      <c r="F46" s="604">
        <v>467600</v>
      </c>
      <c r="G46" s="598">
        <v>1000</v>
      </c>
      <c r="H46" s="603"/>
      <c r="I46" s="605"/>
      <c r="J46" s="605"/>
      <c r="K46" s="605"/>
      <c r="L46" s="605"/>
      <c r="M46" s="605"/>
      <c r="N46" s="605"/>
      <c r="O46" s="605"/>
    </row>
    <row r="47" spans="1:15">
      <c r="A47" s="596"/>
      <c r="B47" s="596" t="s">
        <v>1414</v>
      </c>
      <c r="C47" s="596" t="s">
        <v>2196</v>
      </c>
      <c r="D47" s="597" t="s">
        <v>2142</v>
      </c>
      <c r="E47" s="597">
        <v>50</v>
      </c>
      <c r="F47" s="604">
        <v>534400</v>
      </c>
      <c r="G47" s="598">
        <v>1000</v>
      </c>
      <c r="H47" s="603"/>
      <c r="I47" s="605"/>
      <c r="J47" s="605"/>
      <c r="K47" s="605"/>
      <c r="L47" s="605"/>
      <c r="M47" s="605"/>
      <c r="N47" s="605"/>
      <c r="O47" s="605"/>
    </row>
    <row r="48" spans="1:15">
      <c r="A48" s="596"/>
      <c r="B48" s="596"/>
      <c r="C48" s="596"/>
      <c r="D48" s="597"/>
      <c r="E48" s="597"/>
      <c r="F48" s="604"/>
      <c r="G48" s="598"/>
      <c r="H48" s="603"/>
      <c r="I48" s="605"/>
      <c r="J48" s="605"/>
      <c r="K48" s="605"/>
      <c r="L48" s="605"/>
      <c r="M48" s="605"/>
      <c r="N48" s="605"/>
      <c r="O48" s="605"/>
    </row>
    <row r="49" spans="1:15">
      <c r="A49" s="596"/>
      <c r="B49" s="596" t="s">
        <v>1280</v>
      </c>
      <c r="C49" s="596" t="s">
        <v>2197</v>
      </c>
      <c r="D49" s="597" t="s">
        <v>2142</v>
      </c>
      <c r="E49" s="597">
        <v>28</v>
      </c>
      <c r="F49" s="604">
        <v>564000</v>
      </c>
      <c r="G49" s="598">
        <v>1000</v>
      </c>
      <c r="H49" s="603"/>
      <c r="I49" s="605"/>
      <c r="J49" s="605"/>
      <c r="K49" s="605"/>
      <c r="L49" s="605"/>
      <c r="M49" s="605"/>
      <c r="N49" s="605"/>
      <c r="O49" s="605"/>
    </row>
    <row r="50" spans="1:15">
      <c r="A50" s="596"/>
      <c r="B50" s="596" t="s">
        <v>1312</v>
      </c>
      <c r="C50" s="596" t="s">
        <v>2198</v>
      </c>
      <c r="D50" s="597" t="s">
        <v>2142</v>
      </c>
      <c r="E50" s="597">
        <v>1630</v>
      </c>
      <c r="F50" s="604">
        <v>17000</v>
      </c>
      <c r="G50" s="598">
        <v>1000</v>
      </c>
      <c r="H50" s="603"/>
      <c r="I50" s="605"/>
      <c r="J50" s="605"/>
      <c r="K50" s="605"/>
      <c r="L50" s="605"/>
      <c r="M50" s="605"/>
      <c r="N50" s="605"/>
      <c r="O50" s="605"/>
    </row>
    <row r="51" spans="1:15">
      <c r="A51" s="596"/>
      <c r="B51" s="596" t="s">
        <v>1314</v>
      </c>
      <c r="C51" s="596" t="s">
        <v>2199</v>
      </c>
      <c r="D51" s="597" t="s">
        <v>2142</v>
      </c>
      <c r="E51" s="597">
        <v>921</v>
      </c>
      <c r="F51" s="604">
        <v>24000</v>
      </c>
      <c r="G51" s="598">
        <v>1000</v>
      </c>
      <c r="H51" s="603"/>
      <c r="I51" s="605"/>
      <c r="J51" s="605"/>
      <c r="K51" s="605"/>
      <c r="L51" s="605"/>
      <c r="M51" s="605"/>
      <c r="N51" s="605"/>
      <c r="O51" s="605"/>
    </row>
    <row r="52" spans="1:15">
      <c r="A52" s="596"/>
      <c r="B52" s="596" t="s">
        <v>1326</v>
      </c>
      <c r="C52" s="596" t="s">
        <v>2200</v>
      </c>
      <c r="D52" s="597" t="s">
        <v>2142</v>
      </c>
      <c r="E52" s="597">
        <v>428</v>
      </c>
      <c r="F52" s="604">
        <v>50000</v>
      </c>
      <c r="G52" s="598">
        <v>1000</v>
      </c>
      <c r="H52" s="603"/>
      <c r="I52" s="605"/>
      <c r="J52" s="605"/>
      <c r="K52" s="605"/>
      <c r="L52" s="605"/>
      <c r="M52" s="605"/>
      <c r="N52" s="605"/>
      <c r="O52" s="605"/>
    </row>
    <row r="53" spans="1:15">
      <c r="A53" s="596"/>
      <c r="B53" s="596" t="s">
        <v>1298</v>
      </c>
      <c r="C53" s="596" t="s">
        <v>2201</v>
      </c>
      <c r="D53" s="597" t="s">
        <v>2142</v>
      </c>
      <c r="E53" s="597">
        <v>1154</v>
      </c>
      <c r="F53" s="604">
        <v>21000</v>
      </c>
      <c r="G53" s="598">
        <v>1000</v>
      </c>
      <c r="H53" s="603"/>
      <c r="I53" s="605"/>
      <c r="J53" s="605"/>
      <c r="K53" s="605"/>
      <c r="L53" s="605"/>
      <c r="M53" s="605"/>
      <c r="N53" s="605"/>
      <c r="O53" s="605"/>
    </row>
    <row r="54" spans="1:15">
      <c r="A54" s="596"/>
      <c r="B54" s="596" t="s">
        <v>1318</v>
      </c>
      <c r="C54" s="596" t="s">
        <v>2202</v>
      </c>
      <c r="D54" s="597" t="s">
        <v>2142</v>
      </c>
      <c r="E54" s="597">
        <v>132</v>
      </c>
      <c r="F54" s="604">
        <v>33000</v>
      </c>
      <c r="G54" s="598">
        <v>1000</v>
      </c>
      <c r="H54" s="603"/>
      <c r="I54" s="605"/>
      <c r="J54" s="605"/>
      <c r="K54" s="605"/>
      <c r="L54" s="605"/>
      <c r="M54" s="605"/>
      <c r="N54" s="605"/>
      <c r="O54" s="605"/>
    </row>
    <row r="55" spans="1:15">
      <c r="A55" s="596"/>
      <c r="B55" s="596" t="s">
        <v>1328</v>
      </c>
      <c r="C55" s="596" t="s">
        <v>2203</v>
      </c>
      <c r="D55" s="597" t="s">
        <v>2142</v>
      </c>
      <c r="E55" s="597">
        <v>817</v>
      </c>
      <c r="F55" s="604">
        <v>55000</v>
      </c>
      <c r="G55" s="598">
        <v>1000</v>
      </c>
      <c r="H55" s="603"/>
      <c r="I55" s="605"/>
      <c r="J55" s="605"/>
      <c r="K55" s="605"/>
      <c r="L55" s="605"/>
      <c r="M55" s="605"/>
      <c r="N55" s="605"/>
      <c r="O55" s="605"/>
    </row>
    <row r="56" spans="1:15">
      <c r="A56" s="596"/>
      <c r="B56" s="596" t="s">
        <v>1300</v>
      </c>
      <c r="C56" s="596" t="s">
        <v>2204</v>
      </c>
      <c r="D56" s="597" t="s">
        <v>2142</v>
      </c>
      <c r="E56" s="597">
        <v>7</v>
      </c>
      <c r="F56" s="604">
        <v>25000</v>
      </c>
      <c r="G56" s="598">
        <v>1000</v>
      </c>
      <c r="H56" s="603"/>
      <c r="I56" s="605"/>
      <c r="J56" s="605"/>
      <c r="K56" s="605"/>
      <c r="L56" s="605"/>
      <c r="M56" s="605"/>
      <c r="N56" s="605"/>
      <c r="O56" s="605"/>
    </row>
    <row r="57" spans="1:15">
      <c r="A57" s="596"/>
      <c r="B57" s="596" t="s">
        <v>1320</v>
      </c>
      <c r="C57" s="596" t="s">
        <v>2205</v>
      </c>
      <c r="D57" s="597" t="s">
        <v>2142</v>
      </c>
      <c r="E57" s="597">
        <v>36</v>
      </c>
      <c r="F57" s="604">
        <v>41000</v>
      </c>
      <c r="G57" s="598">
        <v>1000</v>
      </c>
      <c r="H57" s="603"/>
      <c r="I57" s="605"/>
      <c r="J57" s="605"/>
      <c r="K57" s="605"/>
      <c r="L57" s="605"/>
      <c r="M57" s="605"/>
      <c r="N57" s="605"/>
      <c r="O57" s="605"/>
    </row>
    <row r="58" spans="1:15">
      <c r="A58" s="596"/>
      <c r="B58" s="596" t="s">
        <v>1302</v>
      </c>
      <c r="C58" s="596" t="s">
        <v>2206</v>
      </c>
      <c r="D58" s="597" t="s">
        <v>2142</v>
      </c>
      <c r="E58" s="597">
        <v>22</v>
      </c>
      <c r="F58" s="604">
        <v>29000</v>
      </c>
      <c r="G58" s="598">
        <v>1000</v>
      </c>
      <c r="H58" s="603"/>
      <c r="I58" s="605"/>
      <c r="J58" s="605"/>
      <c r="K58" s="605"/>
      <c r="L58" s="605"/>
      <c r="M58" s="605"/>
      <c r="N58" s="605"/>
      <c r="O58" s="605"/>
    </row>
    <row r="59" spans="1:15">
      <c r="A59" s="596"/>
      <c r="B59" s="596" t="s">
        <v>1330</v>
      </c>
      <c r="C59" s="596" t="s">
        <v>2207</v>
      </c>
      <c r="D59" s="597" t="s">
        <v>2142</v>
      </c>
      <c r="E59" s="597">
        <v>46</v>
      </c>
      <c r="F59" s="604">
        <v>71000</v>
      </c>
      <c r="G59" s="598">
        <v>1000</v>
      </c>
      <c r="H59" s="603"/>
      <c r="I59" s="605"/>
      <c r="J59" s="605"/>
      <c r="K59" s="605"/>
      <c r="L59" s="605"/>
      <c r="M59" s="605"/>
      <c r="N59" s="605"/>
      <c r="O59" s="605"/>
    </row>
    <row r="60" spans="1:15">
      <c r="A60" s="596"/>
      <c r="B60" s="596" t="s">
        <v>1304</v>
      </c>
      <c r="C60" s="596" t="s">
        <v>2208</v>
      </c>
      <c r="D60" s="597" t="s">
        <v>2142</v>
      </c>
      <c r="E60" s="597">
        <v>148</v>
      </c>
      <c r="F60" s="604">
        <v>34000</v>
      </c>
      <c r="G60" s="598">
        <v>1000</v>
      </c>
      <c r="H60" s="603"/>
      <c r="I60" s="605"/>
      <c r="J60" s="605"/>
      <c r="K60" s="605"/>
      <c r="L60" s="605"/>
      <c r="M60" s="605"/>
      <c r="N60" s="605"/>
      <c r="O60" s="605"/>
    </row>
    <row r="61" spans="1:15">
      <c r="A61" s="596"/>
      <c r="B61" s="596" t="s">
        <v>1322</v>
      </c>
      <c r="C61" s="596" t="s">
        <v>2209</v>
      </c>
      <c r="D61" s="597" t="s">
        <v>2142</v>
      </c>
      <c r="E61" s="597">
        <v>389</v>
      </c>
      <c r="F61" s="604">
        <v>54000</v>
      </c>
      <c r="G61" s="598">
        <v>1000</v>
      </c>
      <c r="H61" s="603"/>
      <c r="I61" s="605"/>
      <c r="J61" s="605"/>
      <c r="K61" s="605"/>
      <c r="L61" s="605"/>
      <c r="M61" s="605"/>
      <c r="N61" s="605"/>
      <c r="O61" s="605"/>
    </row>
    <row r="62" spans="1:15">
      <c r="A62" s="596"/>
      <c r="B62" s="596" t="s">
        <v>1306</v>
      </c>
      <c r="C62" s="596" t="s">
        <v>2210</v>
      </c>
      <c r="D62" s="597" t="s">
        <v>2142</v>
      </c>
      <c r="E62" s="597">
        <v>163</v>
      </c>
      <c r="F62" s="598">
        <v>40000</v>
      </c>
      <c r="G62" s="598">
        <v>1000</v>
      </c>
      <c r="H62" s="603"/>
      <c r="I62" s="605"/>
      <c r="J62" s="605"/>
      <c r="K62" s="605"/>
      <c r="L62" s="605"/>
      <c r="M62" s="605"/>
      <c r="N62" s="605"/>
      <c r="O62" s="605"/>
    </row>
    <row r="63" spans="1:15">
      <c r="A63" s="596"/>
      <c r="B63" s="596"/>
      <c r="C63" s="596"/>
      <c r="D63" s="597"/>
      <c r="E63" s="597"/>
      <c r="F63" s="598"/>
      <c r="G63" s="598"/>
      <c r="H63" s="603"/>
      <c r="I63" s="605"/>
      <c r="J63" s="605"/>
      <c r="K63" s="605"/>
      <c r="L63" s="605"/>
      <c r="M63" s="605"/>
      <c r="N63" s="605"/>
      <c r="O63" s="605"/>
    </row>
    <row r="64" spans="1:15">
      <c r="A64" s="596"/>
      <c r="B64" s="596" t="s">
        <v>1308</v>
      </c>
      <c r="C64" s="596" t="s">
        <v>2211</v>
      </c>
      <c r="D64" s="597" t="s">
        <v>2142</v>
      </c>
      <c r="E64" s="597">
        <v>93</v>
      </c>
      <c r="F64" s="598">
        <v>50000</v>
      </c>
      <c r="G64" s="598">
        <v>1000</v>
      </c>
      <c r="H64" s="603"/>
      <c r="I64" s="605"/>
      <c r="J64" s="605"/>
      <c r="K64" s="605"/>
      <c r="L64" s="605"/>
      <c r="M64" s="605"/>
      <c r="N64" s="605"/>
      <c r="O64" s="605"/>
    </row>
    <row r="65" spans="1:15">
      <c r="A65" s="596"/>
      <c r="B65" s="596" t="s">
        <v>1310</v>
      </c>
      <c r="C65" s="596" t="s">
        <v>2212</v>
      </c>
      <c r="D65" s="597" t="s">
        <v>2142</v>
      </c>
      <c r="E65" s="597">
        <v>60</v>
      </c>
      <c r="F65" s="598">
        <v>65000</v>
      </c>
      <c r="G65" s="598">
        <v>1000</v>
      </c>
      <c r="H65" s="603"/>
      <c r="I65" s="605"/>
      <c r="J65" s="605"/>
      <c r="K65" s="605"/>
      <c r="L65" s="605"/>
      <c r="M65" s="605"/>
      <c r="N65" s="605"/>
      <c r="O65" s="605"/>
    </row>
    <row r="66" spans="1:15">
      <c r="A66" s="596"/>
      <c r="B66" s="596"/>
      <c r="C66" s="596"/>
      <c r="D66" s="597"/>
      <c r="E66" s="597"/>
      <c r="F66" s="598"/>
      <c r="G66" s="598"/>
      <c r="H66" s="603"/>
      <c r="I66" s="605"/>
      <c r="J66" s="605"/>
      <c r="K66" s="605"/>
      <c r="L66" s="605"/>
      <c r="M66" s="605"/>
      <c r="N66" s="605"/>
      <c r="O66" s="605"/>
    </row>
    <row r="67" spans="1:15">
      <c r="A67" s="596"/>
      <c r="B67" s="596" t="s">
        <v>1336</v>
      </c>
      <c r="C67" s="596" t="s">
        <v>2213</v>
      </c>
      <c r="D67" s="597" t="s">
        <v>2142</v>
      </c>
      <c r="E67" s="597">
        <v>1</v>
      </c>
      <c r="F67" s="598">
        <v>467600</v>
      </c>
      <c r="G67" s="598">
        <v>1000</v>
      </c>
      <c r="H67" s="603"/>
      <c r="I67" s="605"/>
      <c r="J67" s="605"/>
      <c r="K67" s="605"/>
      <c r="L67" s="605"/>
      <c r="M67" s="605"/>
      <c r="N67" s="605"/>
      <c r="O67" s="605"/>
    </row>
    <row r="68" spans="1:15">
      <c r="A68" s="596"/>
      <c r="B68" s="596" t="s">
        <v>2214</v>
      </c>
      <c r="C68" s="596" t="s">
        <v>2215</v>
      </c>
      <c r="D68" s="597" t="s">
        <v>525</v>
      </c>
      <c r="E68" s="597">
        <v>1</v>
      </c>
      <c r="F68" s="598">
        <v>978900</v>
      </c>
      <c r="G68" s="598">
        <v>50000</v>
      </c>
      <c r="H68" s="603"/>
      <c r="I68" s="605"/>
      <c r="J68" s="605"/>
      <c r="K68" s="605"/>
      <c r="L68" s="605"/>
      <c r="M68" s="605"/>
      <c r="N68" s="605"/>
      <c r="O68" s="605"/>
    </row>
    <row r="69" spans="1:15">
      <c r="A69" s="596"/>
      <c r="B69" s="596" t="s">
        <v>2216</v>
      </c>
      <c r="C69" s="596" t="s">
        <v>2217</v>
      </c>
      <c r="D69" s="597" t="s">
        <v>525</v>
      </c>
      <c r="E69" s="597">
        <v>158</v>
      </c>
      <c r="F69" s="598">
        <v>589200</v>
      </c>
      <c r="G69" s="598">
        <v>50000</v>
      </c>
      <c r="H69" s="603"/>
      <c r="I69" s="605"/>
      <c r="J69" s="605"/>
      <c r="K69" s="605"/>
      <c r="L69" s="605"/>
      <c r="M69" s="605"/>
      <c r="N69" s="605"/>
      <c r="O69" s="605"/>
    </row>
    <row r="70" spans="1:15">
      <c r="A70" s="596"/>
      <c r="B70" s="596" t="s">
        <v>2218</v>
      </c>
      <c r="C70" s="596" t="s">
        <v>2219</v>
      </c>
      <c r="D70" s="597" t="s">
        <v>525</v>
      </c>
      <c r="E70" s="597">
        <v>1</v>
      </c>
      <c r="F70" s="598">
        <v>1271200</v>
      </c>
      <c r="G70" s="598">
        <v>50000</v>
      </c>
      <c r="H70" s="603"/>
      <c r="I70" s="605"/>
      <c r="J70" s="605"/>
      <c r="K70" s="605"/>
      <c r="L70" s="605"/>
      <c r="M70" s="605"/>
      <c r="N70" s="605"/>
      <c r="O70" s="605"/>
    </row>
    <row r="71" spans="1:15">
      <c r="A71" s="606"/>
      <c r="B71" s="596" t="s">
        <v>2220</v>
      </c>
      <c r="C71" s="596" t="s">
        <v>2221</v>
      </c>
      <c r="D71" s="597" t="s">
        <v>525</v>
      </c>
      <c r="E71" s="597">
        <v>287</v>
      </c>
      <c r="F71" s="598">
        <v>1047900</v>
      </c>
      <c r="G71" s="598">
        <v>50000</v>
      </c>
      <c r="H71" s="603"/>
      <c r="I71" s="605"/>
      <c r="J71" s="605"/>
      <c r="K71" s="605"/>
      <c r="L71" s="605"/>
      <c r="M71" s="605"/>
      <c r="N71" s="605"/>
      <c r="O71" s="605"/>
    </row>
    <row r="72" spans="1:15">
      <c r="A72" s="606"/>
      <c r="B72" s="596" t="s">
        <v>2222</v>
      </c>
      <c r="C72" s="596" t="s">
        <v>2223</v>
      </c>
      <c r="D72" s="597" t="s">
        <v>2146</v>
      </c>
      <c r="E72" s="597">
        <v>1</v>
      </c>
      <c r="F72" s="598">
        <v>905200</v>
      </c>
      <c r="G72" s="598">
        <v>50000</v>
      </c>
      <c r="I72" s="595"/>
      <c r="J72" s="595"/>
      <c r="K72" s="595"/>
      <c r="L72" s="595"/>
      <c r="M72" s="595"/>
      <c r="N72" s="595"/>
      <c r="O72" s="595"/>
    </row>
    <row r="73" spans="1:15">
      <c r="A73" s="595"/>
      <c r="B73" s="595"/>
      <c r="C73" s="595"/>
      <c r="D73" s="595"/>
      <c r="E73" s="595"/>
      <c r="F73" s="595"/>
      <c r="G73" s="595"/>
      <c r="I73" s="595"/>
      <c r="J73" s="595"/>
      <c r="K73" s="595"/>
      <c r="L73" s="595"/>
      <c r="M73" s="595"/>
      <c r="N73" s="595"/>
      <c r="O73" s="595"/>
    </row>
    <row r="74" spans="1:15">
      <c r="A74" s="595"/>
      <c r="B74" s="595"/>
      <c r="C74" s="595"/>
      <c r="D74" s="595"/>
      <c r="E74" s="595"/>
      <c r="F74" s="595"/>
      <c r="G74" s="595"/>
      <c r="I74" s="595"/>
      <c r="J74" s="595"/>
      <c r="K74" s="595"/>
      <c r="L74" s="595"/>
      <c r="M74" s="595"/>
      <c r="N74" s="595"/>
      <c r="O74" s="595"/>
    </row>
    <row r="75" spans="1:15">
      <c r="A75" s="595"/>
      <c r="B75" s="595"/>
      <c r="C75" s="595"/>
      <c r="D75" s="595"/>
      <c r="E75" s="595"/>
      <c r="F75" s="595"/>
      <c r="G75" s="595"/>
      <c r="I75" s="595"/>
      <c r="J75" s="595"/>
      <c r="K75" s="595"/>
      <c r="L75" s="595"/>
      <c r="M75" s="595"/>
      <c r="N75" s="595"/>
      <c r="O75" s="595"/>
    </row>
    <row r="76" spans="1:15">
      <c r="A76" s="595"/>
      <c r="B76" s="595"/>
      <c r="C76" s="595"/>
      <c r="D76" s="595"/>
      <c r="E76" s="595"/>
      <c r="F76" s="595"/>
      <c r="G76" s="595"/>
      <c r="I76" s="595"/>
      <c r="J76" s="595"/>
      <c r="K76" s="595"/>
      <c r="L76" s="595"/>
      <c r="M76" s="595"/>
      <c r="N76" s="595"/>
      <c r="O76" s="595"/>
    </row>
    <row r="77" spans="1:15">
      <c r="A77" s="595"/>
      <c r="B77" s="595"/>
      <c r="C77" s="595"/>
      <c r="D77" s="595"/>
      <c r="E77" s="595"/>
      <c r="F77" s="595"/>
      <c r="G77" s="595"/>
      <c r="I77" s="595"/>
      <c r="J77" s="595"/>
      <c r="K77" s="595"/>
      <c r="L77" s="595"/>
      <c r="M77" s="595"/>
      <c r="N77" s="595"/>
      <c r="O77" s="595"/>
    </row>
  </sheetData>
  <mergeCells count="36">
    <mergeCell ref="M25:M26"/>
    <mergeCell ref="N25:N26"/>
    <mergeCell ref="O25:O26"/>
    <mergeCell ref="I11:I12"/>
    <mergeCell ref="J18:J19"/>
    <mergeCell ref="K18:K19"/>
    <mergeCell ref="L18:L19"/>
    <mergeCell ref="M18:M19"/>
    <mergeCell ref="N18:N19"/>
    <mergeCell ref="O18:O19"/>
    <mergeCell ref="I18:I19"/>
    <mergeCell ref="I25:I26"/>
    <mergeCell ref="J25:J26"/>
    <mergeCell ref="K25:K26"/>
    <mergeCell ref="L25:L26"/>
    <mergeCell ref="O5:O6"/>
    <mergeCell ref="I5:I6"/>
    <mergeCell ref="J11:J12"/>
    <mergeCell ref="K11:K12"/>
    <mergeCell ref="L11:L12"/>
    <mergeCell ref="M11:M12"/>
    <mergeCell ref="N11:N12"/>
    <mergeCell ref="O11:O12"/>
    <mergeCell ref="J5:J6"/>
    <mergeCell ref="K5:K6"/>
    <mergeCell ref="L5:L6"/>
    <mergeCell ref="M5:M6"/>
    <mergeCell ref="N5:N6"/>
    <mergeCell ref="C2:G3"/>
    <mergeCell ref="A5:A6"/>
    <mergeCell ref="B5:B6"/>
    <mergeCell ref="C5:C6"/>
    <mergeCell ref="D5:D6"/>
    <mergeCell ref="E5:E6"/>
    <mergeCell ref="F5:F6"/>
    <mergeCell ref="G5:G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M60"/>
  <sheetViews>
    <sheetView showGridLines="0" workbookViewId="0"/>
  </sheetViews>
  <sheetFormatPr defaultColWidth="12.5703125" defaultRowHeight="15" customHeight="1"/>
  <cols>
    <col min="1" max="1" width="11.42578125" customWidth="1"/>
    <col min="2" max="2" width="21.7109375" customWidth="1"/>
    <col min="3" max="3" width="11.42578125" customWidth="1"/>
    <col min="4" max="4" width="13.42578125" customWidth="1"/>
    <col min="5" max="5" width="13.5703125" customWidth="1"/>
    <col min="6" max="6" width="10.140625" customWidth="1"/>
    <col min="7" max="7" width="14" customWidth="1"/>
    <col min="8" max="8" width="13.5703125" customWidth="1"/>
    <col min="9" max="9" width="15.140625" customWidth="1"/>
    <col min="10" max="10" width="9" customWidth="1"/>
    <col min="11" max="11" width="9.42578125" customWidth="1"/>
    <col min="12" max="12" width="9" customWidth="1"/>
    <col min="13" max="13" width="4.42578125" customWidth="1"/>
  </cols>
  <sheetData>
    <row r="1" spans="1:13" ht="15.75" customHeight="1">
      <c r="A1" s="607"/>
      <c r="B1" s="866" t="s">
        <v>2224</v>
      </c>
      <c r="C1" s="867"/>
      <c r="D1" s="867"/>
      <c r="E1" s="867"/>
      <c r="F1" s="868"/>
      <c r="G1" s="608" t="s">
        <v>2225</v>
      </c>
      <c r="H1" s="609"/>
      <c r="I1" s="866" t="s">
        <v>2226</v>
      </c>
      <c r="J1" s="869"/>
      <c r="K1" s="610"/>
    </row>
    <row r="2" spans="1:13" ht="15.75" customHeight="1">
      <c r="A2" s="607"/>
      <c r="B2" s="870" t="s">
        <v>2227</v>
      </c>
      <c r="C2" s="871"/>
      <c r="D2" s="871"/>
      <c r="E2" s="871"/>
      <c r="F2" s="872"/>
      <c r="G2" s="611" t="s">
        <v>2228</v>
      </c>
      <c r="H2" s="612"/>
      <c r="I2" s="873" t="s">
        <v>2229</v>
      </c>
      <c r="J2" s="874"/>
      <c r="K2" s="613"/>
    </row>
    <row r="3" spans="1:13" ht="15.75" customHeight="1">
      <c r="A3" s="607"/>
      <c r="B3" s="875" t="s">
        <v>2230</v>
      </c>
      <c r="C3" s="876"/>
      <c r="D3" s="876"/>
      <c r="E3" s="876"/>
      <c r="F3" s="877"/>
      <c r="G3" s="614" t="s">
        <v>2231</v>
      </c>
      <c r="H3" s="615"/>
      <c r="I3" s="878" t="s">
        <v>2232</v>
      </c>
      <c r="J3" s="879"/>
      <c r="K3" s="616"/>
    </row>
    <row r="4" spans="1:13" ht="15.75" customHeight="1">
      <c r="A4" s="607"/>
      <c r="B4" s="864"/>
      <c r="C4" s="707"/>
      <c r="D4" s="707"/>
      <c r="E4" s="707"/>
      <c r="F4" s="708"/>
      <c r="G4" s="880"/>
      <c r="H4" s="763"/>
      <c r="I4" s="763"/>
      <c r="J4" s="764"/>
      <c r="K4" s="617"/>
      <c r="L4" s="618"/>
      <c r="M4" s="617"/>
    </row>
    <row r="5" spans="1:13" ht="15.75" customHeight="1">
      <c r="A5" s="607"/>
      <c r="B5" s="865" t="s">
        <v>2233</v>
      </c>
      <c r="C5" s="704"/>
      <c r="D5" s="704"/>
      <c r="E5" s="704"/>
      <c r="F5" s="704"/>
      <c r="G5" s="704"/>
      <c r="H5" s="704"/>
      <c r="I5" s="704"/>
      <c r="J5" s="705"/>
      <c r="K5" s="617"/>
      <c r="L5" s="618"/>
      <c r="M5" s="617"/>
    </row>
    <row r="6" spans="1:13" ht="30">
      <c r="A6" s="619" t="s">
        <v>674</v>
      </c>
      <c r="B6" s="620" t="s">
        <v>2234</v>
      </c>
      <c r="C6" s="621" t="s">
        <v>2235</v>
      </c>
      <c r="E6" s="622" t="s">
        <v>674</v>
      </c>
      <c r="F6" s="623" t="s">
        <v>2236</v>
      </c>
      <c r="G6" s="624" t="s">
        <v>2235</v>
      </c>
      <c r="I6" s="625" t="s">
        <v>674</v>
      </c>
      <c r="J6" s="626" t="s">
        <v>2237</v>
      </c>
      <c r="K6" s="627" t="s">
        <v>2235</v>
      </c>
    </row>
    <row r="7" spans="1:13" ht="15.75" customHeight="1">
      <c r="A7" s="628" t="s">
        <v>2238</v>
      </c>
      <c r="B7" s="629">
        <v>12</v>
      </c>
      <c r="C7" s="630">
        <v>5500</v>
      </c>
      <c r="E7" s="628" t="s">
        <v>2239</v>
      </c>
      <c r="F7" s="629">
        <v>6</v>
      </c>
      <c r="G7" s="630">
        <v>8000</v>
      </c>
      <c r="I7" s="628" t="s">
        <v>2240</v>
      </c>
      <c r="J7" s="631" t="s">
        <v>2241</v>
      </c>
      <c r="K7" s="630">
        <v>8200</v>
      </c>
    </row>
    <row r="8" spans="1:13" ht="15.75" customHeight="1">
      <c r="A8" s="628" t="s">
        <v>2242</v>
      </c>
      <c r="B8" s="629">
        <v>16</v>
      </c>
      <c r="C8" s="630">
        <v>6400</v>
      </c>
      <c r="E8" s="628" t="s">
        <v>2243</v>
      </c>
      <c r="F8" s="629">
        <v>10</v>
      </c>
      <c r="G8" s="630">
        <v>10000</v>
      </c>
      <c r="I8" s="628" t="s">
        <v>2244</v>
      </c>
      <c r="J8" s="632" t="s">
        <v>2245</v>
      </c>
      <c r="K8" s="630">
        <v>8200</v>
      </c>
    </row>
    <row r="9" spans="1:13" ht="15.75" customHeight="1">
      <c r="A9" s="628" t="s">
        <v>2246</v>
      </c>
      <c r="B9" s="629">
        <v>19</v>
      </c>
      <c r="C9" s="630">
        <v>7300</v>
      </c>
      <c r="E9" s="628" t="s">
        <v>2247</v>
      </c>
      <c r="F9" s="629">
        <v>12</v>
      </c>
      <c r="G9" s="630">
        <v>11000</v>
      </c>
      <c r="I9" s="628" t="s">
        <v>2248</v>
      </c>
      <c r="J9" s="631" t="s">
        <v>2249</v>
      </c>
      <c r="K9" s="630">
        <v>11000</v>
      </c>
    </row>
    <row r="10" spans="1:13" ht="15.75" customHeight="1">
      <c r="A10" s="628" t="s">
        <v>2250</v>
      </c>
      <c r="B10" s="629">
        <v>22</v>
      </c>
      <c r="C10" s="630">
        <v>9100</v>
      </c>
      <c r="E10" s="628" t="s">
        <v>2251</v>
      </c>
      <c r="F10" s="629">
        <v>16</v>
      </c>
      <c r="G10" s="630">
        <v>13000</v>
      </c>
      <c r="I10" s="628" t="s">
        <v>2252</v>
      </c>
      <c r="J10" s="631" t="s">
        <v>2253</v>
      </c>
      <c r="K10" s="630">
        <v>11000</v>
      </c>
    </row>
    <row r="11" spans="1:13" ht="15.75" customHeight="1">
      <c r="A11" s="628" t="s">
        <v>2254</v>
      </c>
      <c r="B11" s="629">
        <v>25</v>
      </c>
      <c r="C11" s="630">
        <v>13600</v>
      </c>
      <c r="E11" s="628" t="s">
        <v>2255</v>
      </c>
      <c r="F11" s="629">
        <v>19</v>
      </c>
      <c r="G11" s="630">
        <v>19000</v>
      </c>
      <c r="I11" s="628" t="s">
        <v>2256</v>
      </c>
      <c r="J11" s="631" t="s">
        <v>2257</v>
      </c>
      <c r="K11" s="630">
        <v>15500</v>
      </c>
    </row>
    <row r="12" spans="1:13" ht="15.75" customHeight="1">
      <c r="A12" s="628" t="s">
        <v>2258</v>
      </c>
      <c r="B12" s="629">
        <v>28</v>
      </c>
      <c r="C12" s="630">
        <v>16400</v>
      </c>
      <c r="E12" s="628" t="s">
        <v>2259</v>
      </c>
      <c r="F12" s="629">
        <v>22</v>
      </c>
      <c r="G12" s="630">
        <v>28000</v>
      </c>
      <c r="I12" s="628" t="s">
        <v>2260</v>
      </c>
      <c r="J12" s="631" t="s">
        <v>2261</v>
      </c>
      <c r="K12" s="630">
        <v>15500</v>
      </c>
    </row>
    <row r="13" spans="1:13" ht="15.75" customHeight="1">
      <c r="A13" s="607"/>
      <c r="B13" s="607"/>
      <c r="C13" s="607"/>
      <c r="E13" s="628" t="s">
        <v>2262</v>
      </c>
      <c r="F13" s="629">
        <v>25</v>
      </c>
      <c r="G13" s="630">
        <v>36000</v>
      </c>
      <c r="I13" s="628" t="s">
        <v>2263</v>
      </c>
      <c r="J13" s="631" t="s">
        <v>2264</v>
      </c>
      <c r="K13" s="630">
        <v>15500</v>
      </c>
    </row>
    <row r="14" spans="1:13" ht="15.75" customHeight="1">
      <c r="A14" s="619" t="s">
        <v>674</v>
      </c>
      <c r="B14" s="620" t="s">
        <v>2265</v>
      </c>
      <c r="C14" s="621" t="s">
        <v>2235</v>
      </c>
      <c r="E14" s="628" t="s">
        <v>2266</v>
      </c>
      <c r="F14" s="629">
        <v>28</v>
      </c>
      <c r="G14" s="630">
        <v>38000</v>
      </c>
      <c r="I14" s="628" t="s">
        <v>2267</v>
      </c>
      <c r="J14" s="631" t="s">
        <v>2268</v>
      </c>
      <c r="K14" s="630">
        <v>16400</v>
      </c>
    </row>
    <row r="15" spans="1:13" ht="15.75" customHeight="1">
      <c r="A15" s="628" t="s">
        <v>2269</v>
      </c>
      <c r="B15" s="629">
        <v>16</v>
      </c>
      <c r="C15" s="630">
        <v>7300</v>
      </c>
      <c r="E15" s="628" t="s">
        <v>2270</v>
      </c>
      <c r="F15" s="629">
        <v>32</v>
      </c>
      <c r="G15" s="630">
        <v>58000</v>
      </c>
      <c r="I15" s="628" t="s">
        <v>2271</v>
      </c>
      <c r="J15" s="631" t="s">
        <v>2272</v>
      </c>
      <c r="K15" s="630">
        <v>16400</v>
      </c>
    </row>
    <row r="16" spans="1:13" ht="15.75" customHeight="1">
      <c r="A16" s="607"/>
      <c r="B16" s="633"/>
      <c r="C16" s="607"/>
      <c r="E16" s="628" t="s">
        <v>2273</v>
      </c>
      <c r="F16" s="629">
        <v>35</v>
      </c>
      <c r="G16" s="630">
        <v>78000</v>
      </c>
      <c r="I16" s="628" t="s">
        <v>2274</v>
      </c>
      <c r="J16" s="631" t="s">
        <v>2275</v>
      </c>
      <c r="K16" s="630">
        <v>16400</v>
      </c>
    </row>
    <row r="17" spans="1:11" ht="15.75" customHeight="1">
      <c r="A17" s="634"/>
      <c r="B17" s="635" t="s">
        <v>2229</v>
      </c>
      <c r="C17" s="636" t="s">
        <v>2235</v>
      </c>
      <c r="E17" s="628" t="s">
        <v>2276</v>
      </c>
      <c r="F17" s="629">
        <v>38</v>
      </c>
      <c r="G17" s="630">
        <v>88000</v>
      </c>
      <c r="I17" s="628" t="s">
        <v>2277</v>
      </c>
      <c r="J17" s="631" t="s">
        <v>2278</v>
      </c>
      <c r="K17" s="630">
        <v>16400</v>
      </c>
    </row>
    <row r="18" spans="1:11" ht="15.75" customHeight="1">
      <c r="A18" s="628" t="s">
        <v>2279</v>
      </c>
      <c r="B18" s="629" t="s">
        <v>2280</v>
      </c>
      <c r="C18" s="630">
        <v>9000</v>
      </c>
      <c r="E18" s="628" t="s">
        <v>2281</v>
      </c>
      <c r="F18" s="629">
        <v>42</v>
      </c>
      <c r="G18" s="630">
        <v>118000</v>
      </c>
      <c r="I18" s="628" t="s">
        <v>2282</v>
      </c>
      <c r="J18" s="631" t="s">
        <v>2283</v>
      </c>
      <c r="K18" s="630">
        <v>32400</v>
      </c>
    </row>
    <row r="19" spans="1:11" ht="15.75" customHeight="1">
      <c r="A19" s="628" t="s">
        <v>2284</v>
      </c>
      <c r="B19" s="629" t="s">
        <v>2285</v>
      </c>
      <c r="C19" s="630">
        <v>16200</v>
      </c>
      <c r="E19" s="628" t="s">
        <v>2286</v>
      </c>
      <c r="F19" s="629">
        <v>45</v>
      </c>
      <c r="G19" s="630">
        <v>198000</v>
      </c>
      <c r="I19" s="628" t="s">
        <v>2287</v>
      </c>
      <c r="J19" s="631" t="s">
        <v>2288</v>
      </c>
      <c r="K19" s="630">
        <v>32400</v>
      </c>
    </row>
    <row r="20" spans="1:11" ht="15.75" customHeight="1">
      <c r="A20" s="628" t="s">
        <v>1741</v>
      </c>
      <c r="B20" s="629" t="s">
        <v>1742</v>
      </c>
      <c r="C20" s="630">
        <v>12000</v>
      </c>
      <c r="E20" s="628" t="s">
        <v>2289</v>
      </c>
      <c r="F20" s="629">
        <v>54</v>
      </c>
      <c r="G20" s="630">
        <v>298000</v>
      </c>
      <c r="I20" s="628" t="s">
        <v>2290</v>
      </c>
      <c r="J20" s="631" t="s">
        <v>2291</v>
      </c>
      <c r="K20" s="630">
        <v>23000</v>
      </c>
    </row>
    <row r="21" spans="1:11" ht="15.75" customHeight="1">
      <c r="A21" s="628" t="s">
        <v>2292</v>
      </c>
      <c r="B21" s="629" t="s">
        <v>2293</v>
      </c>
      <c r="C21" s="630">
        <v>16200</v>
      </c>
      <c r="E21" s="628" t="s">
        <v>2294</v>
      </c>
      <c r="F21" s="629">
        <v>67</v>
      </c>
      <c r="G21" s="630">
        <v>368000</v>
      </c>
      <c r="I21" s="628" t="s">
        <v>2295</v>
      </c>
      <c r="J21" s="631" t="s">
        <v>2296</v>
      </c>
      <c r="K21" s="630">
        <v>26400</v>
      </c>
    </row>
    <row r="22" spans="1:11" ht="15.75" customHeight="1">
      <c r="A22" s="628" t="s">
        <v>1729</v>
      </c>
      <c r="B22" s="629" t="s">
        <v>1730</v>
      </c>
      <c r="C22" s="630">
        <v>25200</v>
      </c>
      <c r="E22" s="628" t="s">
        <v>2297</v>
      </c>
      <c r="F22" s="629">
        <v>108</v>
      </c>
      <c r="G22" s="630"/>
      <c r="I22" s="628" t="s">
        <v>2298</v>
      </c>
      <c r="J22" s="631" t="s">
        <v>2299</v>
      </c>
      <c r="K22" s="630">
        <v>26400</v>
      </c>
    </row>
    <row r="23" spans="1:11" ht="15.75" customHeight="1">
      <c r="A23" s="628" t="s">
        <v>1743</v>
      </c>
      <c r="B23" s="629" t="s">
        <v>1744</v>
      </c>
      <c r="C23" s="630">
        <v>18000</v>
      </c>
      <c r="D23" s="607"/>
      <c r="E23" s="607"/>
      <c r="F23" s="607"/>
      <c r="I23" s="628" t="s">
        <v>2300</v>
      </c>
      <c r="J23" s="631" t="s">
        <v>2301</v>
      </c>
      <c r="K23" s="630">
        <v>26400</v>
      </c>
    </row>
    <row r="24" spans="1:11" ht="26.25" customHeight="1">
      <c r="A24" s="628" t="s">
        <v>1715</v>
      </c>
      <c r="B24" s="629" t="s">
        <v>1716</v>
      </c>
      <c r="C24" s="630">
        <v>37800</v>
      </c>
      <c r="E24" s="625" t="s">
        <v>674</v>
      </c>
      <c r="F24" s="626" t="s">
        <v>2302</v>
      </c>
      <c r="G24" s="627" t="s">
        <v>2235</v>
      </c>
      <c r="I24" s="628" t="s">
        <v>2303</v>
      </c>
      <c r="J24" s="632" t="s">
        <v>2304</v>
      </c>
      <c r="K24" s="630">
        <v>26400</v>
      </c>
    </row>
    <row r="25" spans="1:11" ht="15.75" customHeight="1">
      <c r="A25" s="628" t="s">
        <v>2305</v>
      </c>
      <c r="B25" s="629" t="s">
        <v>2306</v>
      </c>
      <c r="C25" s="630">
        <v>54000</v>
      </c>
      <c r="E25" s="628" t="s">
        <v>2307</v>
      </c>
      <c r="F25" s="631" t="s">
        <v>2299</v>
      </c>
      <c r="G25" s="630">
        <v>54000</v>
      </c>
      <c r="I25" s="628" t="s">
        <v>2308</v>
      </c>
      <c r="J25" s="632" t="s">
        <v>2309</v>
      </c>
      <c r="K25" s="630">
        <v>26400</v>
      </c>
    </row>
    <row r="26" spans="1:11" ht="15.75" customHeight="1">
      <c r="A26" s="628" t="s">
        <v>1747</v>
      </c>
      <c r="B26" s="629" t="s">
        <v>1748</v>
      </c>
      <c r="C26" s="630">
        <v>22700</v>
      </c>
      <c r="E26" s="628" t="s">
        <v>2310</v>
      </c>
      <c r="F26" s="631" t="s">
        <v>2311</v>
      </c>
      <c r="G26" s="630">
        <v>360000</v>
      </c>
      <c r="I26" s="628" t="s">
        <v>2312</v>
      </c>
      <c r="J26" s="632" t="s">
        <v>2313</v>
      </c>
      <c r="K26" s="630">
        <v>45000</v>
      </c>
    </row>
    <row r="27" spans="1:11" ht="15.75" customHeight="1">
      <c r="A27" s="628" t="s">
        <v>1720</v>
      </c>
      <c r="B27" s="629" t="s">
        <v>1721</v>
      </c>
      <c r="C27" s="630">
        <v>61200</v>
      </c>
      <c r="E27" s="628" t="s">
        <v>2314</v>
      </c>
      <c r="F27" s="631" t="s">
        <v>2315</v>
      </c>
      <c r="G27" s="630">
        <v>144000</v>
      </c>
      <c r="I27" s="628" t="s">
        <v>2316</v>
      </c>
      <c r="J27" s="632" t="s">
        <v>2317</v>
      </c>
      <c r="K27" s="630">
        <v>45000</v>
      </c>
    </row>
    <row r="28" spans="1:11" ht="15.75" customHeight="1">
      <c r="A28" s="628" t="s">
        <v>1751</v>
      </c>
      <c r="B28" s="629" t="s">
        <v>1752</v>
      </c>
      <c r="C28" s="630">
        <v>36000</v>
      </c>
      <c r="E28" s="628" t="s">
        <v>2318</v>
      </c>
      <c r="F28" s="631" t="s">
        <v>2319</v>
      </c>
      <c r="G28" s="630">
        <v>144000</v>
      </c>
      <c r="I28" s="628" t="s">
        <v>2320</v>
      </c>
      <c r="J28" s="632" t="s">
        <v>2321</v>
      </c>
      <c r="K28" s="630">
        <v>45000</v>
      </c>
    </row>
    <row r="29" spans="1:11" ht="15.75" customHeight="1">
      <c r="A29" s="628" t="s">
        <v>2322</v>
      </c>
      <c r="B29" s="629" t="s">
        <v>2323</v>
      </c>
      <c r="C29" s="630">
        <v>13500</v>
      </c>
      <c r="E29" s="628" t="s">
        <v>2324</v>
      </c>
      <c r="F29" s="631" t="s">
        <v>2325</v>
      </c>
      <c r="G29" s="630">
        <v>900000</v>
      </c>
      <c r="I29" s="628" t="s">
        <v>2326</v>
      </c>
      <c r="J29" s="632" t="s">
        <v>2327</v>
      </c>
      <c r="K29" s="630">
        <v>50000</v>
      </c>
    </row>
    <row r="30" spans="1:11" ht="15.75" customHeight="1">
      <c r="A30" s="628" t="s">
        <v>1753</v>
      </c>
      <c r="B30" s="629" t="s">
        <v>1754</v>
      </c>
      <c r="C30" s="630">
        <v>9000</v>
      </c>
      <c r="E30" s="628" t="s">
        <v>2328</v>
      </c>
      <c r="F30" s="631" t="s">
        <v>2329</v>
      </c>
      <c r="G30" s="630">
        <v>216000</v>
      </c>
      <c r="I30" s="628" t="s">
        <v>2330</v>
      </c>
      <c r="J30" s="632" t="s">
        <v>2331</v>
      </c>
      <c r="K30" s="630">
        <v>70000</v>
      </c>
    </row>
    <row r="31" spans="1:11" ht="15.75" customHeight="1">
      <c r="A31" s="637"/>
      <c r="B31" s="638"/>
      <c r="C31" s="639"/>
      <c r="E31" s="628" t="s">
        <v>2332</v>
      </c>
      <c r="F31" s="631" t="s">
        <v>2253</v>
      </c>
      <c r="G31" s="630">
        <v>16200</v>
      </c>
      <c r="I31" s="628" t="s">
        <v>2333</v>
      </c>
      <c r="J31" s="632" t="s">
        <v>2334</v>
      </c>
      <c r="K31" s="630">
        <v>50000</v>
      </c>
    </row>
    <row r="32" spans="1:11" ht="15.75" customHeight="1">
      <c r="A32" s="640"/>
      <c r="B32" s="607"/>
      <c r="C32" s="607"/>
      <c r="E32" s="637" t="s">
        <v>2335</v>
      </c>
      <c r="F32" s="641" t="s">
        <v>2241</v>
      </c>
      <c r="G32" s="639">
        <v>14400</v>
      </c>
      <c r="I32" s="628" t="s">
        <v>2336</v>
      </c>
      <c r="J32" s="632" t="s">
        <v>2337</v>
      </c>
      <c r="K32" s="630">
        <v>48200</v>
      </c>
    </row>
    <row r="33" spans="1:11" ht="15.75" customHeight="1">
      <c r="A33" s="607"/>
      <c r="B33" s="607"/>
      <c r="C33" s="607"/>
      <c r="G33" s="642"/>
      <c r="I33" s="628" t="s">
        <v>2338</v>
      </c>
      <c r="J33" s="632" t="s">
        <v>2339</v>
      </c>
      <c r="K33" s="630">
        <v>48200</v>
      </c>
    </row>
    <row r="34" spans="1:11" ht="15.75" customHeight="1">
      <c r="A34" s="607"/>
      <c r="B34" s="607"/>
      <c r="C34" s="607"/>
      <c r="G34" s="643"/>
      <c r="I34" s="628" t="s">
        <v>2340</v>
      </c>
      <c r="J34" s="632" t="s">
        <v>2341</v>
      </c>
      <c r="K34" s="630">
        <v>54000</v>
      </c>
    </row>
    <row r="35" spans="1:11" ht="15.75" customHeight="1">
      <c r="G35" s="643"/>
      <c r="I35" s="628" t="s">
        <v>2342</v>
      </c>
      <c r="J35" s="632" t="s">
        <v>2343</v>
      </c>
      <c r="K35" s="630">
        <v>55000</v>
      </c>
    </row>
    <row r="36" spans="1:11" ht="15.75" customHeight="1">
      <c r="G36" s="643"/>
      <c r="I36" s="628" t="s">
        <v>2344</v>
      </c>
      <c r="J36" s="632" t="s">
        <v>2345</v>
      </c>
      <c r="K36" s="630">
        <v>70200</v>
      </c>
    </row>
    <row r="37" spans="1:11" ht="15.75" customHeight="1">
      <c r="G37" s="643"/>
      <c r="I37" s="628" t="s">
        <v>2346</v>
      </c>
      <c r="J37" s="632" t="s">
        <v>2347</v>
      </c>
      <c r="K37" s="630">
        <v>62800</v>
      </c>
    </row>
    <row r="38" spans="1:11" ht="15.75" customHeight="1">
      <c r="G38" s="643"/>
      <c r="I38" s="628" t="s">
        <v>2348</v>
      </c>
      <c r="J38" s="632" t="s">
        <v>2349</v>
      </c>
      <c r="K38" s="630">
        <v>62800</v>
      </c>
    </row>
    <row r="39" spans="1:11" ht="15.75" customHeight="1">
      <c r="G39" s="643"/>
      <c r="I39" s="628" t="s">
        <v>2350</v>
      </c>
      <c r="J39" s="632" t="s">
        <v>2351</v>
      </c>
      <c r="K39" s="630">
        <v>65000</v>
      </c>
    </row>
    <row r="40" spans="1:11" ht="15.75" customHeight="1">
      <c r="G40" s="643"/>
      <c r="I40" s="628" t="s">
        <v>2352</v>
      </c>
      <c r="J40" s="632" t="s">
        <v>2319</v>
      </c>
      <c r="K40" s="630">
        <v>62800</v>
      </c>
    </row>
    <row r="41" spans="1:11" ht="15.75" customHeight="1">
      <c r="G41" s="643"/>
      <c r="I41" s="628" t="s">
        <v>2353</v>
      </c>
      <c r="J41" s="632" t="s">
        <v>2315</v>
      </c>
      <c r="K41" s="630">
        <v>62800</v>
      </c>
    </row>
    <row r="42" spans="1:11" ht="15.75" customHeight="1">
      <c r="G42" s="643"/>
      <c r="I42" s="628" t="s">
        <v>2354</v>
      </c>
      <c r="J42" s="632" t="s">
        <v>2355</v>
      </c>
      <c r="K42" s="630">
        <v>62800</v>
      </c>
    </row>
    <row r="43" spans="1:11" ht="15.75" customHeight="1">
      <c r="G43" s="643"/>
      <c r="I43" s="628" t="s">
        <v>2356</v>
      </c>
      <c r="J43" s="632" t="s">
        <v>2357</v>
      </c>
      <c r="K43" s="630">
        <v>108200</v>
      </c>
    </row>
    <row r="44" spans="1:11" ht="15.75" customHeight="1">
      <c r="A44" s="607"/>
      <c r="B44" s="633"/>
      <c r="C44" s="607"/>
      <c r="G44" s="643"/>
      <c r="I44" s="628" t="s">
        <v>2358</v>
      </c>
      <c r="J44" s="632" t="s">
        <v>2359</v>
      </c>
      <c r="K44" s="630">
        <v>108200</v>
      </c>
    </row>
    <row r="45" spans="1:11" ht="15.75" customHeight="1">
      <c r="A45" s="607"/>
      <c r="B45" s="633"/>
      <c r="C45" s="607"/>
      <c r="G45" s="643"/>
      <c r="I45" s="628" t="s">
        <v>2360</v>
      </c>
      <c r="J45" s="632" t="s">
        <v>2329</v>
      </c>
      <c r="K45" s="630">
        <v>112000</v>
      </c>
    </row>
    <row r="46" spans="1:11" ht="15.75" customHeight="1">
      <c r="A46" s="607"/>
      <c r="B46" s="633"/>
      <c r="C46" s="607"/>
      <c r="G46" s="643"/>
      <c r="I46" s="628" t="s">
        <v>2361</v>
      </c>
      <c r="J46" s="632" t="s">
        <v>2362</v>
      </c>
      <c r="K46" s="630">
        <v>168000</v>
      </c>
    </row>
    <row r="47" spans="1:11" ht="15.75" customHeight="1">
      <c r="A47" s="607"/>
      <c r="B47" s="607"/>
      <c r="C47" s="607"/>
      <c r="G47" s="643"/>
      <c r="I47" s="628" t="s">
        <v>2363</v>
      </c>
      <c r="J47" s="632" t="s">
        <v>2364</v>
      </c>
      <c r="K47" s="630">
        <v>180000</v>
      </c>
    </row>
    <row r="48" spans="1:11" ht="15.75" customHeight="1">
      <c r="A48" s="607"/>
      <c r="B48" s="607"/>
      <c r="C48" s="607"/>
      <c r="G48" s="643"/>
      <c r="I48" s="628" t="s">
        <v>2365</v>
      </c>
      <c r="J48" s="632" t="s">
        <v>2366</v>
      </c>
      <c r="K48" s="630">
        <v>180000</v>
      </c>
    </row>
    <row r="49" spans="1:11" ht="15.75" customHeight="1">
      <c r="A49" s="607"/>
      <c r="B49" s="607"/>
      <c r="C49" s="607"/>
      <c r="G49" s="643"/>
      <c r="I49" s="628" t="s">
        <v>2367</v>
      </c>
      <c r="J49" s="632" t="s">
        <v>2311</v>
      </c>
      <c r="K49" s="630">
        <v>170000</v>
      </c>
    </row>
    <row r="50" spans="1:11" ht="15.75" customHeight="1">
      <c r="A50" s="607"/>
      <c r="B50" s="607"/>
      <c r="C50" s="607"/>
      <c r="G50" s="643"/>
      <c r="I50" s="628" t="s">
        <v>2368</v>
      </c>
      <c r="J50" s="632" t="s">
        <v>2325</v>
      </c>
      <c r="K50" s="630">
        <v>227000</v>
      </c>
    </row>
    <row r="51" spans="1:11" ht="15.75" customHeight="1">
      <c r="A51" s="607"/>
      <c r="B51" s="607"/>
      <c r="C51" s="607"/>
      <c r="G51" s="643"/>
      <c r="I51" s="628" t="s">
        <v>2369</v>
      </c>
      <c r="J51" s="632" t="s">
        <v>2370</v>
      </c>
      <c r="K51" s="630">
        <v>215000</v>
      </c>
    </row>
    <row r="52" spans="1:11" ht="15.75" customHeight="1">
      <c r="A52" s="607"/>
      <c r="B52" s="607"/>
      <c r="C52" s="607"/>
      <c r="G52" s="643"/>
      <c r="I52" s="637" t="s">
        <v>2371</v>
      </c>
      <c r="J52" s="644" t="s">
        <v>2372</v>
      </c>
      <c r="K52" s="639">
        <v>300000</v>
      </c>
    </row>
    <row r="53" spans="1:11" ht="15.75" customHeight="1">
      <c r="A53" s="607"/>
      <c r="B53" s="607"/>
      <c r="C53" s="607"/>
      <c r="G53" s="643"/>
      <c r="H53" s="607"/>
      <c r="I53" s="607"/>
    </row>
    <row r="54" spans="1:11" ht="15.75" customHeight="1">
      <c r="A54" s="607"/>
      <c r="B54" s="607"/>
      <c r="C54" s="607"/>
      <c r="G54" s="643"/>
      <c r="H54" s="607"/>
      <c r="I54" s="607"/>
    </row>
    <row r="55" spans="1:11" ht="15.75" customHeight="1">
      <c r="A55" s="607"/>
      <c r="B55" s="607"/>
      <c r="C55" s="607"/>
      <c r="G55" s="643"/>
      <c r="H55" s="607"/>
      <c r="I55" s="645"/>
    </row>
    <row r="56" spans="1:11" ht="15.75" customHeight="1">
      <c r="A56" s="607"/>
      <c r="B56" s="607"/>
      <c r="C56" s="607"/>
      <c r="G56" s="643"/>
      <c r="H56" s="607"/>
      <c r="I56" s="607"/>
    </row>
    <row r="57" spans="1:11" ht="15.75" customHeight="1">
      <c r="A57" s="607"/>
      <c r="B57" s="607"/>
      <c r="C57" s="607"/>
      <c r="G57" s="643"/>
      <c r="H57" s="607"/>
      <c r="I57" s="607"/>
    </row>
    <row r="58" spans="1:11" ht="15.75" customHeight="1">
      <c r="G58" s="643"/>
      <c r="H58" s="607"/>
      <c r="I58" s="607"/>
    </row>
    <row r="59" spans="1:11" ht="15.75" customHeight="1">
      <c r="G59" s="643"/>
      <c r="H59" s="607"/>
      <c r="I59" s="607"/>
    </row>
    <row r="60" spans="1:11" ht="15.75" customHeight="1">
      <c r="G60" s="643"/>
      <c r="H60" s="607"/>
      <c r="I60" s="607"/>
    </row>
  </sheetData>
  <mergeCells count="9">
    <mergeCell ref="B4:F4"/>
    <mergeCell ref="B5:J5"/>
    <mergeCell ref="B1:F1"/>
    <mergeCell ref="I1:J1"/>
    <mergeCell ref="B2:F2"/>
    <mergeCell ref="I2:J2"/>
    <mergeCell ref="B3:F3"/>
    <mergeCell ref="I3:J3"/>
    <mergeCell ref="G4:J4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D588"/>
  <sheetViews>
    <sheetView workbookViewId="0"/>
  </sheetViews>
  <sheetFormatPr defaultColWidth="12.5703125" defaultRowHeight="15" customHeight="1"/>
  <cols>
    <col min="1" max="1" width="10.28515625" customWidth="1"/>
    <col min="2" max="2" width="24.85546875" customWidth="1"/>
    <col min="3" max="3" width="57.85546875" customWidth="1"/>
    <col min="4" max="4" width="9.42578125" customWidth="1"/>
  </cols>
  <sheetData>
    <row r="1" spans="1:4" ht="15" customHeight="1">
      <c r="A1" s="881" t="s">
        <v>2373</v>
      </c>
      <c r="B1" s="672"/>
      <c r="C1" s="672"/>
      <c r="D1" s="646"/>
    </row>
    <row r="2" spans="1:4">
      <c r="A2" s="647" t="s">
        <v>2374</v>
      </c>
      <c r="B2" s="648" t="s">
        <v>2375</v>
      </c>
      <c r="C2" s="648" t="s">
        <v>2376</v>
      </c>
      <c r="D2" s="648" t="s">
        <v>2377</v>
      </c>
    </row>
    <row r="3" spans="1:4" ht="15" customHeight="1">
      <c r="A3" s="649" t="s">
        <v>2378</v>
      </c>
      <c r="B3" s="650" t="s">
        <v>2379</v>
      </c>
      <c r="C3" s="650" t="s">
        <v>2380</v>
      </c>
      <c r="D3" s="651" t="s">
        <v>2381</v>
      </c>
    </row>
    <row r="4" spans="1:4" ht="15" customHeight="1">
      <c r="A4" s="649" t="s">
        <v>2382</v>
      </c>
      <c r="B4" s="650" t="s">
        <v>2383</v>
      </c>
      <c r="C4" s="650" t="s">
        <v>2384</v>
      </c>
      <c r="D4" s="651" t="s">
        <v>2381</v>
      </c>
    </row>
    <row r="5" spans="1:4" ht="15" customHeight="1">
      <c r="A5" s="649" t="s">
        <v>2385</v>
      </c>
      <c r="B5" s="650" t="s">
        <v>2386</v>
      </c>
      <c r="C5" s="650" t="s">
        <v>2387</v>
      </c>
      <c r="D5" s="651" t="s">
        <v>2381</v>
      </c>
    </row>
    <row r="6" spans="1:4" ht="15" customHeight="1">
      <c r="A6" s="649" t="s">
        <v>2388</v>
      </c>
      <c r="B6" s="650" t="s">
        <v>2389</v>
      </c>
      <c r="C6" s="650" t="s">
        <v>2390</v>
      </c>
      <c r="D6" s="651" t="s">
        <v>2381</v>
      </c>
    </row>
    <row r="7" spans="1:4" ht="15" customHeight="1">
      <c r="A7" s="649" t="s">
        <v>2391</v>
      </c>
      <c r="B7" s="650" t="s">
        <v>2392</v>
      </c>
      <c r="C7" s="650" t="s">
        <v>2393</v>
      </c>
      <c r="D7" s="651" t="s">
        <v>2381</v>
      </c>
    </row>
    <row r="8" spans="1:4" ht="15" customHeight="1">
      <c r="A8" s="649" t="s">
        <v>2394</v>
      </c>
      <c r="B8" s="650" t="s">
        <v>2395</v>
      </c>
      <c r="C8" s="650" t="s">
        <v>2396</v>
      </c>
      <c r="D8" s="651" t="s">
        <v>2397</v>
      </c>
    </row>
    <row r="9" spans="1:4" ht="15" customHeight="1">
      <c r="A9" s="649" t="s">
        <v>2398</v>
      </c>
      <c r="B9" s="650" t="s">
        <v>2399</v>
      </c>
      <c r="C9" s="650" t="s">
        <v>2400</v>
      </c>
      <c r="D9" s="651" t="s">
        <v>2381</v>
      </c>
    </row>
    <row r="10" spans="1:4" ht="15" customHeight="1">
      <c r="A10" s="649" t="s">
        <v>2401</v>
      </c>
      <c r="B10" s="650" t="s">
        <v>2402</v>
      </c>
      <c r="C10" s="650" t="s">
        <v>2403</v>
      </c>
      <c r="D10" s="651" t="s">
        <v>2381</v>
      </c>
    </row>
    <row r="11" spans="1:4" ht="15" customHeight="1">
      <c r="A11" s="649" t="s">
        <v>2404</v>
      </c>
      <c r="B11" s="650" t="s">
        <v>2405</v>
      </c>
      <c r="C11" s="650" t="s">
        <v>2406</v>
      </c>
      <c r="D11" s="651" t="s">
        <v>2381</v>
      </c>
    </row>
    <row r="12" spans="1:4" ht="15" customHeight="1">
      <c r="A12" s="649" t="s">
        <v>2407</v>
      </c>
      <c r="B12" s="650" t="s">
        <v>2408</v>
      </c>
      <c r="C12" s="650" t="s">
        <v>2409</v>
      </c>
      <c r="D12" s="651" t="s">
        <v>2381</v>
      </c>
    </row>
    <row r="13" spans="1:4" ht="15" customHeight="1">
      <c r="A13" s="649" t="s">
        <v>2410</v>
      </c>
      <c r="B13" s="650" t="s">
        <v>2411</v>
      </c>
      <c r="C13" s="650" t="s">
        <v>2412</v>
      </c>
      <c r="D13" s="651" t="s">
        <v>2381</v>
      </c>
    </row>
    <row r="14" spans="1:4" ht="15" customHeight="1">
      <c r="A14" s="649" t="s">
        <v>2413</v>
      </c>
      <c r="B14" s="650" t="s">
        <v>2414</v>
      </c>
      <c r="C14" s="650" t="s">
        <v>2415</v>
      </c>
      <c r="D14" s="651" t="s">
        <v>2397</v>
      </c>
    </row>
    <row r="15" spans="1:4" ht="15" customHeight="1">
      <c r="A15" s="649" t="s">
        <v>2416</v>
      </c>
      <c r="B15" s="650" t="s">
        <v>2417</v>
      </c>
      <c r="C15" s="650" t="s">
        <v>2418</v>
      </c>
      <c r="D15" s="651" t="s">
        <v>2381</v>
      </c>
    </row>
    <row r="16" spans="1:4" ht="15" customHeight="1">
      <c r="A16" s="649" t="s">
        <v>2419</v>
      </c>
      <c r="B16" s="650" t="s">
        <v>2420</v>
      </c>
      <c r="C16" s="650" t="s">
        <v>2421</v>
      </c>
      <c r="D16" s="651" t="s">
        <v>2422</v>
      </c>
    </row>
    <row r="17" spans="1:4" ht="15" customHeight="1">
      <c r="A17" s="649" t="s">
        <v>2423</v>
      </c>
      <c r="B17" s="650" t="s">
        <v>2424</v>
      </c>
      <c r="C17" s="650" t="s">
        <v>2425</v>
      </c>
      <c r="D17" s="651" t="s">
        <v>2397</v>
      </c>
    </row>
    <row r="18" spans="1:4" ht="15" customHeight="1">
      <c r="A18" s="649" t="s">
        <v>2426</v>
      </c>
      <c r="B18" s="650" t="s">
        <v>2427</v>
      </c>
      <c r="C18" s="650" t="s">
        <v>2428</v>
      </c>
      <c r="D18" s="651" t="s">
        <v>2429</v>
      </c>
    </row>
    <row r="19" spans="1:4" ht="15" customHeight="1">
      <c r="A19" s="649" t="s">
        <v>2430</v>
      </c>
      <c r="B19" s="650" t="s">
        <v>2431</v>
      </c>
      <c r="C19" s="650" t="s">
        <v>2432</v>
      </c>
      <c r="D19" s="651" t="s">
        <v>2433</v>
      </c>
    </row>
    <row r="20" spans="1:4" ht="15" customHeight="1">
      <c r="A20" s="649" t="s">
        <v>2434</v>
      </c>
      <c r="B20" s="650" t="s">
        <v>2435</v>
      </c>
      <c r="C20" s="650" t="s">
        <v>2436</v>
      </c>
      <c r="D20" s="651" t="s">
        <v>2381</v>
      </c>
    </row>
    <row r="21" spans="1:4" ht="15" customHeight="1">
      <c r="A21" s="649" t="s">
        <v>2437</v>
      </c>
      <c r="B21" s="650" t="s">
        <v>2438</v>
      </c>
      <c r="C21" s="650" t="s">
        <v>2439</v>
      </c>
      <c r="D21" s="651" t="s">
        <v>2381</v>
      </c>
    </row>
    <row r="22" spans="1:4" ht="15" customHeight="1">
      <c r="A22" s="649" t="s">
        <v>2440</v>
      </c>
      <c r="B22" s="650" t="s">
        <v>2441</v>
      </c>
      <c r="C22" s="650" t="s">
        <v>2442</v>
      </c>
      <c r="D22" s="651" t="s">
        <v>2381</v>
      </c>
    </row>
    <row r="23" spans="1:4" ht="15" customHeight="1">
      <c r="A23" s="649" t="s">
        <v>2443</v>
      </c>
      <c r="B23" s="650" t="s">
        <v>2444</v>
      </c>
      <c r="C23" s="650" t="s">
        <v>2445</v>
      </c>
      <c r="D23" s="651" t="s">
        <v>2381</v>
      </c>
    </row>
    <row r="24" spans="1:4">
      <c r="A24" s="649" t="s">
        <v>2446</v>
      </c>
      <c r="B24" s="650" t="s">
        <v>2447</v>
      </c>
      <c r="C24" s="650" t="s">
        <v>2448</v>
      </c>
      <c r="D24" s="651" t="s">
        <v>2381</v>
      </c>
    </row>
    <row r="25" spans="1:4">
      <c r="A25" s="649" t="s">
        <v>2449</v>
      </c>
      <c r="B25" s="650" t="s">
        <v>2450</v>
      </c>
      <c r="C25" s="650" t="s">
        <v>2451</v>
      </c>
      <c r="D25" s="651" t="s">
        <v>2381</v>
      </c>
    </row>
    <row r="26" spans="1:4">
      <c r="A26" s="649" t="s">
        <v>2452</v>
      </c>
      <c r="B26" s="650" t="s">
        <v>2453</v>
      </c>
      <c r="C26" s="650" t="s">
        <v>2454</v>
      </c>
      <c r="D26" s="651" t="s">
        <v>2381</v>
      </c>
    </row>
    <row r="27" spans="1:4">
      <c r="A27" s="649" t="s">
        <v>2455</v>
      </c>
      <c r="B27" s="650" t="s">
        <v>2456</v>
      </c>
      <c r="C27" s="650" t="s">
        <v>2457</v>
      </c>
      <c r="D27" s="651" t="s">
        <v>2381</v>
      </c>
    </row>
    <row r="28" spans="1:4">
      <c r="A28" s="649" t="s">
        <v>2458</v>
      </c>
      <c r="B28" s="650" t="s">
        <v>2459</v>
      </c>
      <c r="C28" s="650" t="s">
        <v>2460</v>
      </c>
      <c r="D28" s="651" t="s">
        <v>2381</v>
      </c>
    </row>
    <row r="29" spans="1:4">
      <c r="A29" s="649" t="s">
        <v>2461</v>
      </c>
      <c r="B29" s="650" t="s">
        <v>2462</v>
      </c>
      <c r="C29" s="650" t="s">
        <v>2463</v>
      </c>
      <c r="D29" s="651" t="s">
        <v>2381</v>
      </c>
    </row>
    <row r="30" spans="1:4">
      <c r="A30" s="649" t="s">
        <v>2464</v>
      </c>
      <c r="B30" s="650" t="s">
        <v>2465</v>
      </c>
      <c r="C30" s="650" t="s">
        <v>2466</v>
      </c>
      <c r="D30" s="651" t="s">
        <v>2381</v>
      </c>
    </row>
    <row r="31" spans="1:4">
      <c r="A31" s="649" t="s">
        <v>2467</v>
      </c>
      <c r="B31" s="650" t="s">
        <v>2468</v>
      </c>
      <c r="C31" s="650" t="s">
        <v>2469</v>
      </c>
      <c r="D31" s="651" t="s">
        <v>2381</v>
      </c>
    </row>
    <row r="32" spans="1:4">
      <c r="A32" s="649" t="s">
        <v>2470</v>
      </c>
      <c r="B32" s="650" t="s">
        <v>2471</v>
      </c>
      <c r="C32" s="650" t="s">
        <v>2472</v>
      </c>
      <c r="D32" s="651" t="s">
        <v>2381</v>
      </c>
    </row>
    <row r="33" spans="1:4">
      <c r="A33" s="649" t="s">
        <v>2473</v>
      </c>
      <c r="B33" s="650" t="s">
        <v>2474</v>
      </c>
      <c r="C33" s="650" t="s">
        <v>2475</v>
      </c>
      <c r="D33" s="651" t="s">
        <v>2381</v>
      </c>
    </row>
    <row r="34" spans="1:4">
      <c r="A34" s="649" t="s">
        <v>2476</v>
      </c>
      <c r="B34" s="650" t="s">
        <v>2477</v>
      </c>
      <c r="C34" s="650" t="s">
        <v>2478</v>
      </c>
      <c r="D34" s="651" t="s">
        <v>2397</v>
      </c>
    </row>
    <row r="35" spans="1:4">
      <c r="A35" s="649" t="s">
        <v>2479</v>
      </c>
      <c r="B35" s="650" t="s">
        <v>2480</v>
      </c>
      <c r="C35" s="650" t="s">
        <v>2481</v>
      </c>
      <c r="D35" s="651" t="s">
        <v>2397</v>
      </c>
    </row>
    <row r="36" spans="1:4">
      <c r="A36" s="649" t="s">
        <v>2482</v>
      </c>
      <c r="B36" s="650" t="s">
        <v>2483</v>
      </c>
      <c r="C36" s="650" t="s">
        <v>2484</v>
      </c>
      <c r="D36" s="651" t="s">
        <v>2381</v>
      </c>
    </row>
    <row r="37" spans="1:4">
      <c r="A37" s="649" t="s">
        <v>2485</v>
      </c>
      <c r="B37" s="650" t="s">
        <v>2486</v>
      </c>
      <c r="C37" s="650" t="s">
        <v>2487</v>
      </c>
      <c r="D37" s="651" t="s">
        <v>2381</v>
      </c>
    </row>
    <row r="38" spans="1:4">
      <c r="A38" s="649" t="s">
        <v>2488</v>
      </c>
      <c r="B38" s="650" t="s">
        <v>2489</v>
      </c>
      <c r="C38" s="650" t="s">
        <v>2490</v>
      </c>
      <c r="D38" s="651" t="s">
        <v>2491</v>
      </c>
    </row>
    <row r="39" spans="1:4">
      <c r="A39" s="649" t="s">
        <v>2492</v>
      </c>
      <c r="B39" s="650" t="s">
        <v>2493</v>
      </c>
      <c r="C39" s="650" t="s">
        <v>2494</v>
      </c>
      <c r="D39" s="651" t="s">
        <v>2397</v>
      </c>
    </row>
    <row r="40" spans="1:4">
      <c r="A40" s="649" t="s">
        <v>2495</v>
      </c>
      <c r="B40" s="650" t="s">
        <v>2496</v>
      </c>
      <c r="C40" s="650" t="s">
        <v>2497</v>
      </c>
      <c r="D40" s="651" t="s">
        <v>2381</v>
      </c>
    </row>
    <row r="41" spans="1:4">
      <c r="A41" s="649" t="s">
        <v>2498</v>
      </c>
      <c r="B41" s="650" t="s">
        <v>2499</v>
      </c>
      <c r="C41" s="650" t="s">
        <v>2500</v>
      </c>
      <c r="D41" s="651" t="s">
        <v>2397</v>
      </c>
    </row>
    <row r="42" spans="1:4">
      <c r="A42" s="649" t="s">
        <v>2501</v>
      </c>
      <c r="B42" s="650" t="s">
        <v>2502</v>
      </c>
      <c r="C42" s="650" t="s">
        <v>2503</v>
      </c>
      <c r="D42" s="651" t="s">
        <v>2381</v>
      </c>
    </row>
    <row r="43" spans="1:4">
      <c r="A43" s="649" t="s">
        <v>2504</v>
      </c>
      <c r="B43" s="650" t="s">
        <v>2505</v>
      </c>
      <c r="C43" s="650" t="s">
        <v>2506</v>
      </c>
      <c r="D43" s="651" t="s">
        <v>2429</v>
      </c>
    </row>
    <row r="44" spans="1:4">
      <c r="A44" s="649" t="s">
        <v>2507</v>
      </c>
      <c r="B44" s="650" t="s">
        <v>2508</v>
      </c>
      <c r="C44" s="650" t="s">
        <v>2509</v>
      </c>
      <c r="D44" s="651" t="s">
        <v>2397</v>
      </c>
    </row>
    <row r="45" spans="1:4">
      <c r="A45" s="649" t="s">
        <v>2510</v>
      </c>
      <c r="B45" s="650" t="s">
        <v>2511</v>
      </c>
      <c r="C45" s="650" t="s">
        <v>2512</v>
      </c>
      <c r="D45" s="651" t="s">
        <v>2433</v>
      </c>
    </row>
    <row r="46" spans="1:4">
      <c r="A46" s="649" t="s">
        <v>2513</v>
      </c>
      <c r="B46" s="650" t="s">
        <v>2514</v>
      </c>
      <c r="C46" s="650" t="s">
        <v>2515</v>
      </c>
      <c r="D46" s="651" t="s">
        <v>2381</v>
      </c>
    </row>
    <row r="47" spans="1:4">
      <c r="A47" s="649" t="s">
        <v>2516</v>
      </c>
      <c r="B47" s="650" t="s">
        <v>2517</v>
      </c>
      <c r="C47" s="650" t="s">
        <v>2518</v>
      </c>
      <c r="D47" s="651" t="s">
        <v>2381</v>
      </c>
    </row>
    <row r="48" spans="1:4">
      <c r="A48" s="649" t="s">
        <v>2519</v>
      </c>
      <c r="B48" s="650" t="s">
        <v>2520</v>
      </c>
      <c r="C48" s="650" t="s">
        <v>2521</v>
      </c>
      <c r="D48" s="651" t="s">
        <v>2381</v>
      </c>
    </row>
    <row r="49" spans="1:4">
      <c r="A49" s="649" t="s">
        <v>2522</v>
      </c>
      <c r="B49" s="650" t="s">
        <v>2523</v>
      </c>
      <c r="C49" s="650" t="s">
        <v>2524</v>
      </c>
      <c r="D49" s="651" t="s">
        <v>2381</v>
      </c>
    </row>
    <row r="50" spans="1:4">
      <c r="A50" s="649" t="s">
        <v>2525</v>
      </c>
      <c r="B50" s="650" t="s">
        <v>2526</v>
      </c>
      <c r="C50" s="650" t="s">
        <v>2527</v>
      </c>
      <c r="D50" s="651" t="s">
        <v>2381</v>
      </c>
    </row>
    <row r="51" spans="1:4">
      <c r="A51" s="649" t="s">
        <v>2528</v>
      </c>
      <c r="B51" s="650" t="s">
        <v>2529</v>
      </c>
      <c r="C51" s="650" t="s">
        <v>2530</v>
      </c>
      <c r="D51" s="651" t="s">
        <v>2381</v>
      </c>
    </row>
    <row r="52" spans="1:4">
      <c r="A52" s="649" t="s">
        <v>2531</v>
      </c>
      <c r="B52" s="650" t="s">
        <v>2532</v>
      </c>
      <c r="C52" s="650" t="s">
        <v>2533</v>
      </c>
      <c r="D52" s="651" t="s">
        <v>2381</v>
      </c>
    </row>
    <row r="53" spans="1:4">
      <c r="A53" s="649" t="s">
        <v>2534</v>
      </c>
      <c r="B53" s="650" t="s">
        <v>2535</v>
      </c>
      <c r="C53" s="650" t="s">
        <v>2530</v>
      </c>
      <c r="D53" s="651" t="s">
        <v>2381</v>
      </c>
    </row>
    <row r="54" spans="1:4">
      <c r="A54" s="649" t="s">
        <v>2536</v>
      </c>
      <c r="B54" s="650" t="s">
        <v>2537</v>
      </c>
      <c r="C54" s="650" t="s">
        <v>2538</v>
      </c>
      <c r="D54" s="651" t="s">
        <v>2381</v>
      </c>
    </row>
    <row r="55" spans="1:4">
      <c r="A55" s="649" t="s">
        <v>2539</v>
      </c>
      <c r="B55" s="650" t="s">
        <v>2540</v>
      </c>
      <c r="C55" s="650" t="s">
        <v>2541</v>
      </c>
      <c r="D55" s="651" t="s">
        <v>2433</v>
      </c>
    </row>
    <row r="56" spans="1:4">
      <c r="A56" s="649" t="s">
        <v>2542</v>
      </c>
      <c r="B56" s="650" t="s">
        <v>2543</v>
      </c>
      <c r="C56" s="650" t="s">
        <v>2544</v>
      </c>
      <c r="D56" s="651" t="s">
        <v>2397</v>
      </c>
    </row>
    <row r="57" spans="1:4">
      <c r="A57" s="649" t="s">
        <v>2545</v>
      </c>
      <c r="B57" s="650" t="s">
        <v>2546</v>
      </c>
      <c r="C57" s="650" t="s">
        <v>2547</v>
      </c>
      <c r="D57" s="651" t="s">
        <v>2381</v>
      </c>
    </row>
    <row r="58" spans="1:4">
      <c r="A58" s="649" t="s">
        <v>2548</v>
      </c>
      <c r="B58" s="650" t="s">
        <v>2549</v>
      </c>
      <c r="C58" s="650" t="s">
        <v>2550</v>
      </c>
      <c r="D58" s="651" t="s">
        <v>2429</v>
      </c>
    </row>
    <row r="59" spans="1:4">
      <c r="A59" s="649" t="s">
        <v>2551</v>
      </c>
      <c r="B59" s="650" t="s">
        <v>2552</v>
      </c>
      <c r="C59" s="650" t="s">
        <v>2553</v>
      </c>
      <c r="D59" s="651" t="s">
        <v>2397</v>
      </c>
    </row>
    <row r="60" spans="1:4">
      <c r="A60" s="649" t="s">
        <v>2554</v>
      </c>
      <c r="B60" s="650" t="s">
        <v>2555</v>
      </c>
      <c r="C60" s="650" t="s">
        <v>2556</v>
      </c>
      <c r="D60" s="651" t="s">
        <v>2397</v>
      </c>
    </row>
    <row r="61" spans="1:4">
      <c r="A61" s="649" t="s">
        <v>2557</v>
      </c>
      <c r="B61" s="650" t="s">
        <v>2558</v>
      </c>
      <c r="C61" s="650" t="s">
        <v>2559</v>
      </c>
      <c r="D61" s="651" t="s">
        <v>2381</v>
      </c>
    </row>
    <row r="62" spans="1:4">
      <c r="A62" s="649" t="s">
        <v>2560</v>
      </c>
      <c r="B62" s="650" t="s">
        <v>2561</v>
      </c>
      <c r="C62" s="650" t="s">
        <v>2562</v>
      </c>
      <c r="D62" s="651" t="s">
        <v>2381</v>
      </c>
    </row>
    <row r="63" spans="1:4">
      <c r="A63" s="649" t="s">
        <v>2563</v>
      </c>
      <c r="B63" s="650" t="s">
        <v>2564</v>
      </c>
      <c r="C63" s="650" t="s">
        <v>2565</v>
      </c>
      <c r="D63" s="651" t="s">
        <v>2381</v>
      </c>
    </row>
    <row r="64" spans="1:4">
      <c r="A64" s="649" t="s">
        <v>2566</v>
      </c>
      <c r="B64" s="650" t="s">
        <v>2567</v>
      </c>
      <c r="C64" s="650" t="s">
        <v>2568</v>
      </c>
      <c r="D64" s="651" t="s">
        <v>2381</v>
      </c>
    </row>
    <row r="65" spans="1:4">
      <c r="A65" s="649" t="s">
        <v>2569</v>
      </c>
      <c r="B65" s="650" t="s">
        <v>2570</v>
      </c>
      <c r="C65" s="650" t="s">
        <v>2571</v>
      </c>
      <c r="D65" s="651" t="s">
        <v>2381</v>
      </c>
    </row>
    <row r="66" spans="1:4">
      <c r="A66" s="649" t="s">
        <v>2572</v>
      </c>
      <c r="B66" s="650" t="s">
        <v>2573</v>
      </c>
      <c r="C66" s="650" t="s">
        <v>2574</v>
      </c>
      <c r="D66" s="651" t="s">
        <v>2381</v>
      </c>
    </row>
    <row r="67" spans="1:4">
      <c r="A67" s="649" t="s">
        <v>2575</v>
      </c>
      <c r="B67" s="650" t="s">
        <v>2576</v>
      </c>
      <c r="C67" s="650" t="s">
        <v>2577</v>
      </c>
      <c r="D67" s="651" t="s">
        <v>2381</v>
      </c>
    </row>
    <row r="68" spans="1:4">
      <c r="A68" s="649" t="s">
        <v>2578</v>
      </c>
      <c r="B68" s="650" t="s">
        <v>2579</v>
      </c>
      <c r="C68" s="650" t="s">
        <v>2580</v>
      </c>
      <c r="D68" s="651" t="s">
        <v>2381</v>
      </c>
    </row>
    <row r="69" spans="1:4">
      <c r="A69" s="649" t="s">
        <v>2581</v>
      </c>
      <c r="B69" s="650" t="s">
        <v>2582</v>
      </c>
      <c r="C69" s="650" t="s">
        <v>2583</v>
      </c>
      <c r="D69" s="651" t="s">
        <v>2381</v>
      </c>
    </row>
    <row r="70" spans="1:4">
      <c r="A70" s="649" t="s">
        <v>2584</v>
      </c>
      <c r="B70" s="650" t="s">
        <v>2585</v>
      </c>
      <c r="C70" s="650"/>
      <c r="D70" s="651" t="s">
        <v>2397</v>
      </c>
    </row>
    <row r="71" spans="1:4">
      <c r="A71" s="649" t="s">
        <v>2586</v>
      </c>
      <c r="B71" s="650" t="s">
        <v>2587</v>
      </c>
      <c r="C71" s="650"/>
      <c r="D71" s="651" t="s">
        <v>2422</v>
      </c>
    </row>
    <row r="72" spans="1:4">
      <c r="A72" s="649" t="s">
        <v>2588</v>
      </c>
      <c r="B72" s="650" t="s">
        <v>2589</v>
      </c>
      <c r="C72" s="650"/>
      <c r="D72" s="651" t="s">
        <v>2429</v>
      </c>
    </row>
    <row r="73" spans="1:4">
      <c r="A73" s="649" t="s">
        <v>2590</v>
      </c>
      <c r="B73" s="650" t="s">
        <v>2591</v>
      </c>
      <c r="C73" s="650"/>
      <c r="D73" s="651" t="s">
        <v>2433</v>
      </c>
    </row>
    <row r="74" spans="1:4">
      <c r="A74" s="649" t="s">
        <v>2592</v>
      </c>
      <c r="B74" s="650" t="s">
        <v>2593</v>
      </c>
      <c r="C74" s="650"/>
      <c r="D74" s="651" t="s">
        <v>2397</v>
      </c>
    </row>
    <row r="75" spans="1:4">
      <c r="A75" s="649" t="s">
        <v>2594</v>
      </c>
      <c r="B75" s="650" t="s">
        <v>2595</v>
      </c>
      <c r="C75" s="650" t="s">
        <v>2596</v>
      </c>
      <c r="D75" s="651" t="s">
        <v>2597</v>
      </c>
    </row>
    <row r="76" spans="1:4">
      <c r="A76" s="649" t="s">
        <v>2598</v>
      </c>
      <c r="B76" s="650" t="s">
        <v>2599</v>
      </c>
      <c r="C76" s="650"/>
      <c r="D76" s="651" t="s">
        <v>2397</v>
      </c>
    </row>
    <row r="77" spans="1:4">
      <c r="A77" s="649" t="s">
        <v>2600</v>
      </c>
      <c r="B77" s="650" t="s">
        <v>2601</v>
      </c>
      <c r="C77" s="650"/>
      <c r="D77" s="651" t="s">
        <v>2397</v>
      </c>
    </row>
    <row r="78" spans="1:4">
      <c r="A78" s="649" t="s">
        <v>2602</v>
      </c>
      <c r="B78" s="650" t="s">
        <v>2603</v>
      </c>
      <c r="C78" s="650"/>
      <c r="D78" s="651" t="s">
        <v>2597</v>
      </c>
    </row>
    <row r="79" spans="1:4">
      <c r="A79" s="649" t="s">
        <v>2604</v>
      </c>
      <c r="B79" s="650" t="s">
        <v>2605</v>
      </c>
      <c r="C79" s="650"/>
      <c r="D79" s="651" t="s">
        <v>2397</v>
      </c>
    </row>
    <row r="80" spans="1:4">
      <c r="A80" s="649" t="s">
        <v>2606</v>
      </c>
      <c r="B80" s="650" t="s">
        <v>2607</v>
      </c>
      <c r="C80" s="650"/>
      <c r="D80" s="651" t="s">
        <v>2397</v>
      </c>
    </row>
    <row r="81" spans="1:4">
      <c r="A81" s="649" t="s">
        <v>2608</v>
      </c>
      <c r="B81" s="650" t="s">
        <v>2609</v>
      </c>
      <c r="C81" s="650"/>
      <c r="D81" s="651" t="s">
        <v>2397</v>
      </c>
    </row>
    <row r="82" spans="1:4">
      <c r="A82" s="649" t="s">
        <v>2610</v>
      </c>
      <c r="B82" s="650" t="s">
        <v>2611</v>
      </c>
      <c r="C82" s="650"/>
      <c r="D82" s="651" t="s">
        <v>2397</v>
      </c>
    </row>
    <row r="83" spans="1:4">
      <c r="A83" s="649" t="s">
        <v>2612</v>
      </c>
      <c r="B83" s="650" t="s">
        <v>2613</v>
      </c>
      <c r="C83" s="650"/>
      <c r="D83" s="651" t="s">
        <v>2397</v>
      </c>
    </row>
    <row r="84" spans="1:4">
      <c r="A84" s="649" t="s">
        <v>2614</v>
      </c>
      <c r="B84" s="650" t="s">
        <v>2615</v>
      </c>
      <c r="C84" s="650"/>
      <c r="D84" s="651" t="s">
        <v>2433</v>
      </c>
    </row>
    <row r="85" spans="1:4">
      <c r="A85" s="649" t="s">
        <v>2616</v>
      </c>
      <c r="B85" s="650" t="s">
        <v>2617</v>
      </c>
      <c r="C85" s="650"/>
      <c r="D85" s="651" t="s">
        <v>2433</v>
      </c>
    </row>
    <row r="86" spans="1:4">
      <c r="A86" s="649" t="s">
        <v>2618</v>
      </c>
      <c r="B86" s="650" t="s">
        <v>2619</v>
      </c>
      <c r="C86" s="650"/>
      <c r="D86" s="651" t="s">
        <v>2397</v>
      </c>
    </row>
    <row r="87" spans="1:4">
      <c r="A87" s="649" t="s">
        <v>2620</v>
      </c>
      <c r="B87" s="650" t="s">
        <v>2621</v>
      </c>
      <c r="C87" s="650"/>
      <c r="D87" s="651" t="s">
        <v>2397</v>
      </c>
    </row>
    <row r="88" spans="1:4">
      <c r="A88" s="649" t="s">
        <v>2622</v>
      </c>
      <c r="B88" s="650" t="s">
        <v>2623</v>
      </c>
      <c r="C88" s="650"/>
      <c r="D88" s="651" t="s">
        <v>2397</v>
      </c>
    </row>
    <row r="89" spans="1:4">
      <c r="A89" s="649" t="s">
        <v>2624</v>
      </c>
      <c r="B89" s="650" t="s">
        <v>2625</v>
      </c>
      <c r="C89" s="650"/>
      <c r="D89" s="651" t="s">
        <v>2597</v>
      </c>
    </row>
    <row r="90" spans="1:4">
      <c r="A90" s="649" t="s">
        <v>2626</v>
      </c>
      <c r="B90" s="650" t="s">
        <v>2627</v>
      </c>
      <c r="C90" s="650"/>
      <c r="D90" s="651" t="s">
        <v>2397</v>
      </c>
    </row>
    <row r="91" spans="1:4">
      <c r="A91" s="649" t="s">
        <v>2628</v>
      </c>
      <c r="B91" s="650" t="s">
        <v>2629</v>
      </c>
      <c r="C91" s="650"/>
      <c r="D91" s="651" t="s">
        <v>2597</v>
      </c>
    </row>
    <row r="92" spans="1:4">
      <c r="A92" s="649" t="s">
        <v>2630</v>
      </c>
      <c r="B92" s="650" t="s">
        <v>2631</v>
      </c>
      <c r="C92" s="650"/>
      <c r="D92" s="651" t="s">
        <v>2491</v>
      </c>
    </row>
    <row r="93" spans="1:4">
      <c r="A93" s="649" t="s">
        <v>2632</v>
      </c>
      <c r="B93" s="650" t="s">
        <v>2633</v>
      </c>
      <c r="C93" s="650"/>
      <c r="D93" s="651" t="s">
        <v>2433</v>
      </c>
    </row>
    <row r="94" spans="1:4">
      <c r="A94" s="649" t="s">
        <v>2634</v>
      </c>
      <c r="B94" s="650" t="s">
        <v>2635</v>
      </c>
      <c r="C94" s="650"/>
      <c r="D94" s="651" t="s">
        <v>2397</v>
      </c>
    </row>
    <row r="95" spans="1:4">
      <c r="A95" s="649" t="s">
        <v>2636</v>
      </c>
      <c r="B95" s="650" t="s">
        <v>2637</v>
      </c>
      <c r="C95" s="650"/>
      <c r="D95" s="651" t="s">
        <v>2397</v>
      </c>
    </row>
    <row r="96" spans="1:4">
      <c r="A96" s="649" t="s">
        <v>2638</v>
      </c>
      <c r="B96" s="650" t="s">
        <v>2639</v>
      </c>
      <c r="C96" s="650" t="s">
        <v>2640</v>
      </c>
      <c r="D96" s="651" t="s">
        <v>2429</v>
      </c>
    </row>
    <row r="97" spans="1:4">
      <c r="A97" s="649" t="s">
        <v>2641</v>
      </c>
      <c r="B97" s="650" t="s">
        <v>2642</v>
      </c>
      <c r="C97" s="650" t="s">
        <v>2643</v>
      </c>
      <c r="D97" s="651" t="s">
        <v>2397</v>
      </c>
    </row>
    <row r="98" spans="1:4">
      <c r="A98" s="649" t="s">
        <v>2644</v>
      </c>
      <c r="B98" s="650" t="s">
        <v>2645</v>
      </c>
      <c r="C98" s="650" t="s">
        <v>2646</v>
      </c>
      <c r="D98" s="651" t="s">
        <v>2429</v>
      </c>
    </row>
    <row r="99" spans="1:4">
      <c r="A99" s="649" t="s">
        <v>2647</v>
      </c>
      <c r="B99" s="650" t="s">
        <v>2648</v>
      </c>
      <c r="C99" s="650" t="s">
        <v>2649</v>
      </c>
      <c r="D99" s="651" t="s">
        <v>2397</v>
      </c>
    </row>
    <row r="100" spans="1:4">
      <c r="A100" s="649" t="s">
        <v>2650</v>
      </c>
      <c r="B100" s="650" t="s">
        <v>2651</v>
      </c>
      <c r="C100" s="650" t="s">
        <v>2652</v>
      </c>
      <c r="D100" s="651" t="s">
        <v>2397</v>
      </c>
    </row>
    <row r="101" spans="1:4">
      <c r="A101" s="649" t="s">
        <v>2653</v>
      </c>
      <c r="B101" s="650" t="s">
        <v>2654</v>
      </c>
      <c r="C101" s="650"/>
      <c r="D101" s="651" t="s">
        <v>2429</v>
      </c>
    </row>
    <row r="102" spans="1:4">
      <c r="A102" s="649" t="s">
        <v>2655</v>
      </c>
      <c r="B102" s="650" t="s">
        <v>2656</v>
      </c>
      <c r="C102" s="650"/>
      <c r="D102" s="651" t="s">
        <v>2397</v>
      </c>
    </row>
    <row r="103" spans="1:4">
      <c r="A103" s="649" t="s">
        <v>2657</v>
      </c>
      <c r="B103" s="650" t="s">
        <v>2658</v>
      </c>
      <c r="C103" s="650"/>
      <c r="D103" s="651" t="s">
        <v>2397</v>
      </c>
    </row>
    <row r="104" spans="1:4">
      <c r="A104" s="649" t="s">
        <v>2659</v>
      </c>
      <c r="B104" s="650" t="s">
        <v>2660</v>
      </c>
      <c r="C104" s="650"/>
      <c r="D104" s="651" t="s">
        <v>2429</v>
      </c>
    </row>
    <row r="105" spans="1:4">
      <c r="A105" s="649" t="s">
        <v>2661</v>
      </c>
      <c r="B105" s="650" t="s">
        <v>2662</v>
      </c>
      <c r="C105" s="650"/>
      <c r="D105" s="651" t="s">
        <v>2397</v>
      </c>
    </row>
    <row r="106" spans="1:4">
      <c r="A106" s="649" t="s">
        <v>2663</v>
      </c>
      <c r="B106" s="650" t="s">
        <v>2664</v>
      </c>
      <c r="C106" s="650"/>
      <c r="D106" s="651" t="s">
        <v>2397</v>
      </c>
    </row>
    <row r="107" spans="1:4">
      <c r="A107" s="649" t="s">
        <v>2665</v>
      </c>
      <c r="B107" s="650" t="s">
        <v>2666</v>
      </c>
      <c r="C107" s="650"/>
      <c r="D107" s="651" t="s">
        <v>2397</v>
      </c>
    </row>
    <row r="108" spans="1:4">
      <c r="A108" s="649" t="s">
        <v>2667</v>
      </c>
      <c r="B108" s="650" t="s">
        <v>2668</v>
      </c>
      <c r="C108" s="650"/>
      <c r="D108" s="651" t="s">
        <v>2429</v>
      </c>
    </row>
    <row r="109" spans="1:4">
      <c r="A109" s="649" t="s">
        <v>2669</v>
      </c>
      <c r="B109" s="650" t="s">
        <v>2670</v>
      </c>
      <c r="C109" s="650"/>
      <c r="D109" s="651" t="s">
        <v>2397</v>
      </c>
    </row>
    <row r="110" spans="1:4">
      <c r="A110" s="649" t="s">
        <v>2671</v>
      </c>
      <c r="B110" s="650" t="s">
        <v>2672</v>
      </c>
      <c r="C110" s="650"/>
      <c r="D110" s="651" t="s">
        <v>2433</v>
      </c>
    </row>
    <row r="111" spans="1:4">
      <c r="A111" s="649" t="s">
        <v>2673</v>
      </c>
      <c r="B111" s="650" t="s">
        <v>2674</v>
      </c>
      <c r="C111" s="650"/>
      <c r="D111" s="651" t="s">
        <v>2397</v>
      </c>
    </row>
    <row r="112" spans="1:4">
      <c r="A112" s="649" t="s">
        <v>2675</v>
      </c>
      <c r="B112" s="650" t="s">
        <v>2676</v>
      </c>
      <c r="C112" s="650"/>
      <c r="D112" s="651" t="s">
        <v>2429</v>
      </c>
    </row>
    <row r="113" spans="1:4">
      <c r="A113" s="649" t="s">
        <v>2677</v>
      </c>
      <c r="B113" s="650" t="s">
        <v>2678</v>
      </c>
      <c r="C113" s="650" t="s">
        <v>2679</v>
      </c>
      <c r="D113" s="651" t="s">
        <v>2397</v>
      </c>
    </row>
    <row r="114" spans="1:4">
      <c r="A114" s="649" t="s">
        <v>2680</v>
      </c>
      <c r="B114" s="650" t="s">
        <v>2681</v>
      </c>
      <c r="C114" s="650" t="s">
        <v>2682</v>
      </c>
      <c r="D114" s="651" t="s">
        <v>2381</v>
      </c>
    </row>
    <row r="115" spans="1:4">
      <c r="A115" s="649" t="s">
        <v>2683</v>
      </c>
      <c r="B115" s="650" t="s">
        <v>2684</v>
      </c>
      <c r="C115" s="650" t="s">
        <v>2685</v>
      </c>
      <c r="D115" s="651" t="s">
        <v>2397</v>
      </c>
    </row>
    <row r="116" spans="1:4">
      <c r="A116" s="649" t="s">
        <v>2686</v>
      </c>
      <c r="B116" s="650" t="s">
        <v>2687</v>
      </c>
      <c r="C116" s="650" t="s">
        <v>2688</v>
      </c>
      <c r="D116" s="651" t="s">
        <v>2381</v>
      </c>
    </row>
    <row r="117" spans="1:4">
      <c r="A117" s="649" t="s">
        <v>2689</v>
      </c>
      <c r="B117" s="650" t="s">
        <v>2690</v>
      </c>
      <c r="C117" s="650" t="s">
        <v>2691</v>
      </c>
      <c r="D117" s="651" t="s">
        <v>2422</v>
      </c>
    </row>
    <row r="118" spans="1:4">
      <c r="A118" s="649" t="s">
        <v>2692</v>
      </c>
      <c r="B118" s="650" t="s">
        <v>2693</v>
      </c>
      <c r="C118" s="650" t="s">
        <v>2694</v>
      </c>
      <c r="D118" s="651" t="s">
        <v>2381</v>
      </c>
    </row>
    <row r="119" spans="1:4">
      <c r="A119" s="649" t="s">
        <v>2695</v>
      </c>
      <c r="B119" s="650" t="s">
        <v>2696</v>
      </c>
      <c r="C119" s="650" t="s">
        <v>29</v>
      </c>
      <c r="D119" s="651" t="s">
        <v>2381</v>
      </c>
    </row>
    <row r="120" spans="1:4">
      <c r="A120" s="649" t="s">
        <v>2697</v>
      </c>
      <c r="B120" s="650" t="s">
        <v>2698</v>
      </c>
      <c r="C120" s="650" t="s">
        <v>2699</v>
      </c>
      <c r="D120" s="651" t="s">
        <v>2381</v>
      </c>
    </row>
    <row r="121" spans="1:4">
      <c r="A121" s="649" t="s">
        <v>2700</v>
      </c>
      <c r="B121" s="650" t="s">
        <v>2701</v>
      </c>
      <c r="C121" s="650" t="s">
        <v>2702</v>
      </c>
      <c r="D121" s="651" t="s">
        <v>2381</v>
      </c>
    </row>
    <row r="122" spans="1:4">
      <c r="A122" s="649" t="s">
        <v>2703</v>
      </c>
      <c r="B122" s="650" t="s">
        <v>2704</v>
      </c>
      <c r="C122" s="650" t="s">
        <v>2705</v>
      </c>
      <c r="D122" s="651" t="s">
        <v>2381</v>
      </c>
    </row>
    <row r="123" spans="1:4">
      <c r="A123" s="649" t="s">
        <v>2706</v>
      </c>
      <c r="B123" s="650" t="s">
        <v>2707</v>
      </c>
      <c r="C123" s="650"/>
      <c r="D123" s="651" t="s">
        <v>2433</v>
      </c>
    </row>
    <row r="124" spans="1:4">
      <c r="A124" s="649" t="s">
        <v>2708</v>
      </c>
      <c r="B124" s="650" t="s">
        <v>2709</v>
      </c>
      <c r="C124" s="650"/>
      <c r="D124" s="651" t="s">
        <v>2397</v>
      </c>
    </row>
    <row r="125" spans="1:4">
      <c r="A125" s="649" t="s">
        <v>2710</v>
      </c>
      <c r="B125" s="650" t="s">
        <v>2711</v>
      </c>
      <c r="C125" s="650" t="s">
        <v>2712</v>
      </c>
      <c r="D125" s="651" t="s">
        <v>2433</v>
      </c>
    </row>
    <row r="126" spans="1:4">
      <c r="A126" s="649" t="s">
        <v>2713</v>
      </c>
      <c r="B126" s="650" t="s">
        <v>2714</v>
      </c>
      <c r="C126" s="650" t="s">
        <v>2715</v>
      </c>
      <c r="D126" s="651" t="s">
        <v>2433</v>
      </c>
    </row>
    <row r="127" spans="1:4">
      <c r="A127" s="649" t="s">
        <v>2716</v>
      </c>
      <c r="B127" s="650" t="s">
        <v>2717</v>
      </c>
      <c r="C127" s="650" t="s">
        <v>2718</v>
      </c>
      <c r="D127" s="651" t="s">
        <v>2397</v>
      </c>
    </row>
    <row r="128" spans="1:4">
      <c r="A128" s="649" t="s">
        <v>2719</v>
      </c>
      <c r="B128" s="650" t="s">
        <v>2720</v>
      </c>
      <c r="C128" s="650" t="s">
        <v>2721</v>
      </c>
      <c r="D128" s="651" t="s">
        <v>2381</v>
      </c>
    </row>
    <row r="129" spans="1:4">
      <c r="A129" s="649" t="s">
        <v>2722</v>
      </c>
      <c r="B129" s="650" t="s">
        <v>2723</v>
      </c>
      <c r="C129" s="650" t="s">
        <v>2724</v>
      </c>
      <c r="D129" s="651" t="s">
        <v>2397</v>
      </c>
    </row>
    <row r="130" spans="1:4">
      <c r="A130" s="649" t="s">
        <v>2725</v>
      </c>
      <c r="B130" s="650" t="s">
        <v>2726</v>
      </c>
      <c r="C130" s="650" t="s">
        <v>2727</v>
      </c>
      <c r="D130" s="651" t="s">
        <v>2381</v>
      </c>
    </row>
    <row r="131" spans="1:4">
      <c r="A131" s="649" t="s">
        <v>2728</v>
      </c>
      <c r="B131" s="650" t="s">
        <v>2729</v>
      </c>
      <c r="C131" s="650"/>
      <c r="D131" s="651" t="s">
        <v>2397</v>
      </c>
    </row>
    <row r="132" spans="1:4">
      <c r="A132" s="649" t="s">
        <v>2730</v>
      </c>
      <c r="B132" s="650" t="s">
        <v>2731</v>
      </c>
      <c r="C132" s="650" t="s">
        <v>2732</v>
      </c>
      <c r="D132" s="651" t="s">
        <v>2433</v>
      </c>
    </row>
    <row r="133" spans="1:4">
      <c r="A133" s="649" t="s">
        <v>2733</v>
      </c>
      <c r="B133" s="650" t="s">
        <v>2734</v>
      </c>
      <c r="C133" s="650"/>
      <c r="D133" s="651" t="s">
        <v>2433</v>
      </c>
    </row>
    <row r="134" spans="1:4">
      <c r="A134" s="649" t="s">
        <v>2735</v>
      </c>
      <c r="B134" s="650" t="s">
        <v>2736</v>
      </c>
      <c r="C134" s="650" t="s">
        <v>2737</v>
      </c>
      <c r="D134" s="651" t="s">
        <v>2381</v>
      </c>
    </row>
    <row r="135" spans="1:4">
      <c r="A135" s="649" t="s">
        <v>2738</v>
      </c>
      <c r="B135" s="650" t="s">
        <v>2739</v>
      </c>
      <c r="C135" s="650" t="s">
        <v>2740</v>
      </c>
      <c r="D135" s="651" t="s">
        <v>2381</v>
      </c>
    </row>
    <row r="136" spans="1:4">
      <c r="A136" s="649" t="s">
        <v>2741</v>
      </c>
      <c r="B136" s="650" t="s">
        <v>2742</v>
      </c>
      <c r="C136" s="650" t="s">
        <v>2743</v>
      </c>
      <c r="D136" s="651" t="s">
        <v>2397</v>
      </c>
    </row>
    <row r="137" spans="1:4">
      <c r="A137" s="649" t="s">
        <v>2744</v>
      </c>
      <c r="B137" s="650" t="s">
        <v>2745</v>
      </c>
      <c r="C137" s="650"/>
      <c r="D137" s="651" t="s">
        <v>2433</v>
      </c>
    </row>
    <row r="138" spans="1:4">
      <c r="A138" s="649" t="s">
        <v>2746</v>
      </c>
      <c r="B138" s="650" t="s">
        <v>2611</v>
      </c>
      <c r="C138" s="650"/>
      <c r="D138" s="651" t="s">
        <v>2397</v>
      </c>
    </row>
    <row r="139" spans="1:4">
      <c r="A139" s="649" t="s">
        <v>2747</v>
      </c>
      <c r="B139" s="650" t="s">
        <v>2748</v>
      </c>
      <c r="C139" s="650"/>
      <c r="D139" s="651" t="s">
        <v>2433</v>
      </c>
    </row>
    <row r="140" spans="1:4">
      <c r="A140" s="649" t="s">
        <v>2749</v>
      </c>
      <c r="B140" s="650" t="s">
        <v>2750</v>
      </c>
      <c r="C140" s="650"/>
      <c r="D140" s="651" t="s">
        <v>2433</v>
      </c>
    </row>
    <row r="141" spans="1:4">
      <c r="A141" s="649" t="s">
        <v>2751</v>
      </c>
      <c r="B141" s="650" t="s">
        <v>2752</v>
      </c>
      <c r="C141" s="650"/>
      <c r="D141" s="651" t="s">
        <v>2381</v>
      </c>
    </row>
    <row r="142" spans="1:4">
      <c r="A142" s="649" t="s">
        <v>2753</v>
      </c>
      <c r="B142" s="650" t="s">
        <v>2754</v>
      </c>
      <c r="C142" s="650" t="s">
        <v>2755</v>
      </c>
      <c r="D142" s="651" t="s">
        <v>2397</v>
      </c>
    </row>
    <row r="143" spans="1:4">
      <c r="A143" s="649" t="s">
        <v>2756</v>
      </c>
      <c r="B143" s="650" t="s">
        <v>2757</v>
      </c>
      <c r="C143" s="650"/>
      <c r="D143" s="651" t="s">
        <v>2397</v>
      </c>
    </row>
    <row r="144" spans="1:4">
      <c r="A144" s="649" t="s">
        <v>2758</v>
      </c>
      <c r="B144" s="650" t="s">
        <v>2759</v>
      </c>
      <c r="C144" s="650"/>
      <c r="D144" s="651" t="s">
        <v>2381</v>
      </c>
    </row>
    <row r="145" spans="1:4">
      <c r="A145" s="649" t="s">
        <v>2760</v>
      </c>
      <c r="B145" s="650" t="s">
        <v>2761</v>
      </c>
      <c r="C145" s="650"/>
      <c r="D145" s="651" t="s">
        <v>2397</v>
      </c>
    </row>
    <row r="146" spans="1:4">
      <c r="A146" s="649" t="s">
        <v>2762</v>
      </c>
      <c r="B146" s="650" t="s">
        <v>2763</v>
      </c>
      <c r="C146" s="650"/>
      <c r="D146" s="651" t="s">
        <v>2397</v>
      </c>
    </row>
    <row r="147" spans="1:4">
      <c r="A147" s="649" t="s">
        <v>2764</v>
      </c>
      <c r="B147" s="650" t="s">
        <v>2765</v>
      </c>
      <c r="C147" s="650"/>
      <c r="D147" s="651" t="s">
        <v>2397</v>
      </c>
    </row>
    <row r="148" spans="1:4">
      <c r="A148" s="649" t="s">
        <v>2766</v>
      </c>
      <c r="B148" s="650" t="s">
        <v>2767</v>
      </c>
      <c r="C148" s="650"/>
      <c r="D148" s="651" t="s">
        <v>2397</v>
      </c>
    </row>
    <row r="149" spans="1:4">
      <c r="A149" s="649" t="s">
        <v>2768</v>
      </c>
      <c r="B149" s="650" t="s">
        <v>2769</v>
      </c>
      <c r="C149" s="650"/>
      <c r="D149" s="651" t="s">
        <v>2397</v>
      </c>
    </row>
    <row r="150" spans="1:4">
      <c r="A150" s="649" t="s">
        <v>2770</v>
      </c>
      <c r="B150" s="650" t="s">
        <v>2771</v>
      </c>
      <c r="C150" s="650"/>
      <c r="D150" s="651" t="s">
        <v>2397</v>
      </c>
    </row>
    <row r="151" spans="1:4">
      <c r="A151" s="649" t="s">
        <v>2772</v>
      </c>
      <c r="B151" s="650" t="s">
        <v>2773</v>
      </c>
      <c r="C151" s="650"/>
      <c r="D151" s="651" t="s">
        <v>2397</v>
      </c>
    </row>
    <row r="152" spans="1:4">
      <c r="A152" s="649" t="s">
        <v>2774</v>
      </c>
      <c r="B152" s="650" t="s">
        <v>2775</v>
      </c>
      <c r="C152" s="650"/>
      <c r="D152" s="651" t="s">
        <v>2397</v>
      </c>
    </row>
    <row r="153" spans="1:4">
      <c r="A153" s="649" t="s">
        <v>2776</v>
      </c>
      <c r="B153" s="650" t="s">
        <v>2777</v>
      </c>
      <c r="C153" s="650"/>
      <c r="D153" s="651" t="s">
        <v>2422</v>
      </c>
    </row>
    <row r="154" spans="1:4">
      <c r="A154" s="649" t="s">
        <v>2778</v>
      </c>
      <c r="B154" s="650" t="s">
        <v>2779</v>
      </c>
      <c r="C154" s="650" t="s">
        <v>2780</v>
      </c>
      <c r="D154" s="651" t="s">
        <v>2397</v>
      </c>
    </row>
    <row r="155" spans="1:4">
      <c r="A155" s="649" t="s">
        <v>2781</v>
      </c>
      <c r="B155" s="650" t="s">
        <v>2782</v>
      </c>
      <c r="C155" s="650" t="s">
        <v>2783</v>
      </c>
      <c r="D155" s="651" t="s">
        <v>2397</v>
      </c>
    </row>
    <row r="156" spans="1:4">
      <c r="A156" s="649" t="s">
        <v>2784</v>
      </c>
      <c r="B156" s="650" t="s">
        <v>2785</v>
      </c>
      <c r="C156" s="650" t="s">
        <v>2786</v>
      </c>
      <c r="D156" s="651" t="s">
        <v>2397</v>
      </c>
    </row>
    <row r="157" spans="1:4">
      <c r="A157" s="649" t="s">
        <v>2787</v>
      </c>
      <c r="B157" s="650" t="s">
        <v>2788</v>
      </c>
      <c r="C157" s="650" t="s">
        <v>2789</v>
      </c>
      <c r="D157" s="651" t="s">
        <v>2397</v>
      </c>
    </row>
    <row r="158" spans="1:4">
      <c r="A158" s="649" t="s">
        <v>2790</v>
      </c>
      <c r="B158" s="650" t="s">
        <v>2791</v>
      </c>
      <c r="C158" s="650" t="s">
        <v>2792</v>
      </c>
      <c r="D158" s="651" t="s">
        <v>2597</v>
      </c>
    </row>
    <row r="159" spans="1:4">
      <c r="A159" s="649" t="s">
        <v>2793</v>
      </c>
      <c r="B159" s="650" t="s">
        <v>2794</v>
      </c>
      <c r="C159" s="650" t="s">
        <v>2795</v>
      </c>
      <c r="D159" s="651" t="s">
        <v>2381</v>
      </c>
    </row>
    <row r="160" spans="1:4">
      <c r="A160" s="649" t="s">
        <v>2796</v>
      </c>
      <c r="B160" s="650" t="s">
        <v>2797</v>
      </c>
      <c r="C160" s="650" t="s">
        <v>2795</v>
      </c>
      <c r="D160" s="651" t="s">
        <v>2381</v>
      </c>
    </row>
    <row r="161" spans="1:4">
      <c r="A161" s="649" t="s">
        <v>2798</v>
      </c>
      <c r="B161" s="650" t="s">
        <v>2799</v>
      </c>
      <c r="C161" s="650" t="s">
        <v>2800</v>
      </c>
      <c r="D161" s="651" t="s">
        <v>2397</v>
      </c>
    </row>
    <row r="162" spans="1:4">
      <c r="A162" s="649" t="s">
        <v>2801</v>
      </c>
      <c r="B162" s="650" t="s">
        <v>2802</v>
      </c>
      <c r="C162" s="650" t="s">
        <v>2803</v>
      </c>
      <c r="D162" s="651" t="s">
        <v>2491</v>
      </c>
    </row>
    <row r="163" spans="1:4">
      <c r="A163" s="649" t="s">
        <v>2804</v>
      </c>
      <c r="B163" s="650" t="s">
        <v>2805</v>
      </c>
      <c r="C163" s="650" t="s">
        <v>25</v>
      </c>
      <c r="D163" s="651" t="s">
        <v>2433</v>
      </c>
    </row>
    <row r="164" spans="1:4">
      <c r="A164" s="649" t="s">
        <v>2806</v>
      </c>
      <c r="B164" s="650" t="s">
        <v>2807</v>
      </c>
      <c r="C164" s="650"/>
      <c r="D164" s="651" t="s">
        <v>2397</v>
      </c>
    </row>
    <row r="165" spans="1:4">
      <c r="A165" s="649" t="s">
        <v>2808</v>
      </c>
      <c r="B165" s="650" t="s">
        <v>2809</v>
      </c>
      <c r="C165" s="650" t="s">
        <v>2810</v>
      </c>
      <c r="D165" s="651" t="s">
        <v>2397</v>
      </c>
    </row>
    <row r="166" spans="1:4">
      <c r="A166" s="649" t="s">
        <v>2811</v>
      </c>
      <c r="B166" s="650" t="s">
        <v>2812</v>
      </c>
      <c r="C166" s="650" t="s">
        <v>23</v>
      </c>
      <c r="D166" s="651" t="s">
        <v>2397</v>
      </c>
    </row>
    <row r="167" spans="1:4">
      <c r="A167" s="649" t="s">
        <v>2813</v>
      </c>
      <c r="B167" s="650" t="s">
        <v>2814</v>
      </c>
      <c r="C167" s="650" t="s">
        <v>2815</v>
      </c>
      <c r="D167" s="651" t="s">
        <v>2397</v>
      </c>
    </row>
    <row r="168" spans="1:4">
      <c r="A168" s="649" t="s">
        <v>2816</v>
      </c>
      <c r="B168" s="650" t="s">
        <v>2817</v>
      </c>
      <c r="C168" s="650" t="s">
        <v>23</v>
      </c>
      <c r="D168" s="651" t="s">
        <v>2397</v>
      </c>
    </row>
    <row r="169" spans="1:4">
      <c r="A169" s="649" t="s">
        <v>2818</v>
      </c>
      <c r="B169" s="650" t="s">
        <v>2819</v>
      </c>
      <c r="C169" s="650" t="s">
        <v>2820</v>
      </c>
      <c r="D169" s="651" t="s">
        <v>2397</v>
      </c>
    </row>
    <row r="170" spans="1:4">
      <c r="A170" s="649" t="s">
        <v>2821</v>
      </c>
      <c r="B170" s="650" t="s">
        <v>2822</v>
      </c>
      <c r="C170" s="650" t="s">
        <v>2815</v>
      </c>
      <c r="D170" s="651" t="s">
        <v>2397</v>
      </c>
    </row>
    <row r="171" spans="1:4">
      <c r="A171" s="649" t="s">
        <v>2823</v>
      </c>
      <c r="B171" s="650" t="s">
        <v>2824</v>
      </c>
      <c r="C171" s="650" t="s">
        <v>2815</v>
      </c>
      <c r="D171" s="651" t="s">
        <v>2397</v>
      </c>
    </row>
    <row r="172" spans="1:4">
      <c r="A172" s="649" t="s">
        <v>2825</v>
      </c>
      <c r="B172" s="650" t="s">
        <v>2826</v>
      </c>
      <c r="C172" s="650" t="s">
        <v>2827</v>
      </c>
      <c r="D172" s="651" t="s">
        <v>2397</v>
      </c>
    </row>
    <row r="173" spans="1:4">
      <c r="A173" s="649" t="s">
        <v>2828</v>
      </c>
      <c r="B173" s="650" t="s">
        <v>2829</v>
      </c>
      <c r="C173" s="650" t="s">
        <v>2830</v>
      </c>
      <c r="D173" s="651" t="s">
        <v>2397</v>
      </c>
    </row>
    <row r="174" spans="1:4">
      <c r="A174" s="649" t="s">
        <v>2831</v>
      </c>
      <c r="B174" s="650" t="s">
        <v>2832</v>
      </c>
      <c r="C174" s="650" t="s">
        <v>2833</v>
      </c>
      <c r="D174" s="651" t="s">
        <v>2397</v>
      </c>
    </row>
    <row r="175" spans="1:4">
      <c r="A175" s="649" t="s">
        <v>2834</v>
      </c>
      <c r="B175" s="650" t="s">
        <v>2835</v>
      </c>
      <c r="C175" s="650" t="s">
        <v>2836</v>
      </c>
      <c r="D175" s="651" t="s">
        <v>2397</v>
      </c>
    </row>
    <row r="176" spans="1:4">
      <c r="A176" s="649" t="s">
        <v>2837</v>
      </c>
      <c r="B176" s="650" t="s">
        <v>2838</v>
      </c>
      <c r="C176" s="650" t="s">
        <v>2839</v>
      </c>
      <c r="D176" s="651" t="s">
        <v>2397</v>
      </c>
    </row>
    <row r="177" spans="1:4">
      <c r="A177" s="649" t="s">
        <v>2840</v>
      </c>
      <c r="B177" s="650" t="s">
        <v>2841</v>
      </c>
      <c r="C177" s="650" t="s">
        <v>2842</v>
      </c>
      <c r="D177" s="651" t="s">
        <v>2433</v>
      </c>
    </row>
    <row r="178" spans="1:4">
      <c r="A178" s="649" t="s">
        <v>2843</v>
      </c>
      <c r="B178" s="650" t="s">
        <v>2844</v>
      </c>
      <c r="C178" s="650"/>
      <c r="D178" s="651" t="s">
        <v>2491</v>
      </c>
    </row>
    <row r="179" spans="1:4">
      <c r="A179" s="649" t="s">
        <v>2845</v>
      </c>
      <c r="B179" s="650" t="s">
        <v>2846</v>
      </c>
      <c r="C179" s="650" t="s">
        <v>2847</v>
      </c>
      <c r="D179" s="651" t="s">
        <v>2397</v>
      </c>
    </row>
    <row r="180" spans="1:4">
      <c r="A180" s="649" t="s">
        <v>2848</v>
      </c>
      <c r="B180" s="650" t="s">
        <v>2849</v>
      </c>
      <c r="C180" s="650" t="s">
        <v>2847</v>
      </c>
      <c r="D180" s="651" t="s">
        <v>2397</v>
      </c>
    </row>
    <row r="181" spans="1:4">
      <c r="A181" s="649" t="s">
        <v>2850</v>
      </c>
      <c r="B181" s="650" t="s">
        <v>2851</v>
      </c>
      <c r="C181" s="650"/>
      <c r="D181" s="651" t="s">
        <v>2381</v>
      </c>
    </row>
    <row r="182" spans="1:4">
      <c r="A182" s="649" t="s">
        <v>2852</v>
      </c>
      <c r="B182" s="650" t="s">
        <v>2853</v>
      </c>
      <c r="C182" s="650" t="s">
        <v>2854</v>
      </c>
      <c r="D182" s="651" t="s">
        <v>2381</v>
      </c>
    </row>
    <row r="183" spans="1:4">
      <c r="A183" s="649" t="s">
        <v>2855</v>
      </c>
      <c r="B183" s="650" t="s">
        <v>2856</v>
      </c>
      <c r="C183" s="650" t="s">
        <v>38</v>
      </c>
      <c r="D183" s="651" t="s">
        <v>2381</v>
      </c>
    </row>
    <row r="184" spans="1:4">
      <c r="A184" s="649" t="s">
        <v>2857</v>
      </c>
      <c r="B184" s="650" t="s">
        <v>2858</v>
      </c>
      <c r="C184" s="650" t="s">
        <v>38</v>
      </c>
      <c r="D184" s="651" t="s">
        <v>2381</v>
      </c>
    </row>
    <row r="185" spans="1:4">
      <c r="A185" s="649" t="s">
        <v>2859</v>
      </c>
      <c r="B185" s="650" t="s">
        <v>2860</v>
      </c>
      <c r="C185" s="650" t="s">
        <v>45</v>
      </c>
      <c r="D185" s="651" t="s">
        <v>2381</v>
      </c>
    </row>
    <row r="186" spans="1:4">
      <c r="A186" s="649" t="s">
        <v>2861</v>
      </c>
      <c r="B186" s="650" t="s">
        <v>2862</v>
      </c>
      <c r="C186" s="650" t="s">
        <v>2863</v>
      </c>
      <c r="D186" s="651" t="s">
        <v>2397</v>
      </c>
    </row>
    <row r="187" spans="1:4">
      <c r="A187" s="649" t="s">
        <v>2864</v>
      </c>
      <c r="B187" s="650" t="s">
        <v>2865</v>
      </c>
      <c r="C187" s="650"/>
      <c r="D187" s="651" t="s">
        <v>2397</v>
      </c>
    </row>
    <row r="188" spans="1:4">
      <c r="A188" s="649" t="s">
        <v>2866</v>
      </c>
      <c r="B188" s="650" t="s">
        <v>2867</v>
      </c>
      <c r="C188" s="650"/>
      <c r="D188" s="651" t="s">
        <v>2491</v>
      </c>
    </row>
    <row r="189" spans="1:4">
      <c r="A189" s="649" t="s">
        <v>2868</v>
      </c>
      <c r="B189" s="650" t="s">
        <v>2869</v>
      </c>
      <c r="C189" s="650"/>
      <c r="D189" s="651" t="s">
        <v>2381</v>
      </c>
    </row>
    <row r="190" spans="1:4">
      <c r="A190" s="649" t="s">
        <v>2870</v>
      </c>
      <c r="B190" s="650" t="s">
        <v>2871</v>
      </c>
      <c r="C190" s="650"/>
      <c r="D190" s="651" t="s">
        <v>2491</v>
      </c>
    </row>
    <row r="191" spans="1:4">
      <c r="A191" s="649" t="s">
        <v>2872</v>
      </c>
      <c r="B191" s="650" t="s">
        <v>2873</v>
      </c>
      <c r="C191" s="650" t="s">
        <v>2874</v>
      </c>
      <c r="D191" s="651" t="s">
        <v>2397</v>
      </c>
    </row>
    <row r="192" spans="1:4">
      <c r="A192" s="649" t="s">
        <v>2875</v>
      </c>
      <c r="B192" s="650" t="s">
        <v>2876</v>
      </c>
      <c r="C192" s="650" t="s">
        <v>2877</v>
      </c>
      <c r="D192" s="651" t="s">
        <v>2397</v>
      </c>
    </row>
    <row r="193" spans="1:4">
      <c r="A193" s="649" t="s">
        <v>2878</v>
      </c>
      <c r="B193" s="650" t="s">
        <v>2879</v>
      </c>
      <c r="C193" s="650" t="s">
        <v>2880</v>
      </c>
      <c r="D193" s="651" t="s">
        <v>2397</v>
      </c>
    </row>
    <row r="194" spans="1:4">
      <c r="A194" s="649" t="s">
        <v>2881</v>
      </c>
      <c r="B194" s="650" t="s">
        <v>2882</v>
      </c>
      <c r="C194" s="650" t="s">
        <v>2883</v>
      </c>
      <c r="D194" s="651" t="s">
        <v>2397</v>
      </c>
    </row>
    <row r="195" spans="1:4">
      <c r="A195" s="649" t="s">
        <v>2884</v>
      </c>
      <c r="B195" s="650" t="s">
        <v>2885</v>
      </c>
      <c r="C195" s="650" t="s">
        <v>2886</v>
      </c>
      <c r="D195" s="651" t="s">
        <v>2397</v>
      </c>
    </row>
    <row r="196" spans="1:4">
      <c r="A196" s="649" t="s">
        <v>2887</v>
      </c>
      <c r="B196" s="650" t="s">
        <v>2888</v>
      </c>
      <c r="C196" s="650" t="s">
        <v>2889</v>
      </c>
      <c r="D196" s="651" t="s">
        <v>2491</v>
      </c>
    </row>
    <row r="197" spans="1:4">
      <c r="A197" s="649" t="s">
        <v>2890</v>
      </c>
      <c r="B197" s="650" t="s">
        <v>2891</v>
      </c>
      <c r="C197" s="650" t="s">
        <v>2892</v>
      </c>
      <c r="D197" s="651" t="s">
        <v>2397</v>
      </c>
    </row>
    <row r="198" spans="1:4">
      <c r="A198" s="649" t="s">
        <v>2893</v>
      </c>
      <c r="B198" s="650" t="s">
        <v>2894</v>
      </c>
      <c r="C198" s="650" t="s">
        <v>2895</v>
      </c>
      <c r="D198" s="651" t="s">
        <v>2397</v>
      </c>
    </row>
    <row r="199" spans="1:4">
      <c r="A199" s="649" t="s">
        <v>2896</v>
      </c>
      <c r="B199" s="650" t="s">
        <v>2897</v>
      </c>
      <c r="C199" s="650" t="s">
        <v>2895</v>
      </c>
      <c r="D199" s="651" t="s">
        <v>2397</v>
      </c>
    </row>
    <row r="200" spans="1:4">
      <c r="A200" s="649" t="s">
        <v>2898</v>
      </c>
      <c r="B200" s="650" t="s">
        <v>2899</v>
      </c>
      <c r="C200" s="650" t="s">
        <v>2900</v>
      </c>
      <c r="D200" s="651" t="s">
        <v>2397</v>
      </c>
    </row>
    <row r="201" spans="1:4">
      <c r="A201" s="649" t="s">
        <v>2901</v>
      </c>
      <c r="B201" s="650" t="s">
        <v>2902</v>
      </c>
      <c r="C201" s="650" t="s">
        <v>2903</v>
      </c>
      <c r="D201" s="651" t="s">
        <v>2397</v>
      </c>
    </row>
    <row r="202" spans="1:4">
      <c r="A202" s="649" t="s">
        <v>2904</v>
      </c>
      <c r="B202" s="650" t="s">
        <v>2905</v>
      </c>
      <c r="C202" s="650" t="s">
        <v>2906</v>
      </c>
      <c r="D202" s="651" t="s">
        <v>2397</v>
      </c>
    </row>
    <row r="203" spans="1:4">
      <c r="A203" s="649" t="s">
        <v>2907</v>
      </c>
      <c r="B203" s="650" t="s">
        <v>2908</v>
      </c>
      <c r="C203" s="650" t="s">
        <v>2909</v>
      </c>
      <c r="D203" s="651" t="s">
        <v>2397</v>
      </c>
    </row>
    <row r="204" spans="1:4">
      <c r="A204" s="649" t="s">
        <v>2910</v>
      </c>
      <c r="B204" s="650" t="s">
        <v>2911</v>
      </c>
      <c r="C204" s="650" t="s">
        <v>2912</v>
      </c>
      <c r="D204" s="651" t="s">
        <v>2397</v>
      </c>
    </row>
    <row r="205" spans="1:4">
      <c r="A205" s="649" t="s">
        <v>2913</v>
      </c>
      <c r="B205" s="650" t="s">
        <v>2914</v>
      </c>
      <c r="C205" s="650" t="s">
        <v>2915</v>
      </c>
      <c r="D205" s="651" t="s">
        <v>2397</v>
      </c>
    </row>
    <row r="206" spans="1:4">
      <c r="A206" s="649" t="s">
        <v>2916</v>
      </c>
      <c r="B206" s="650" t="s">
        <v>2917</v>
      </c>
      <c r="C206" s="650" t="s">
        <v>2918</v>
      </c>
      <c r="D206" s="651" t="s">
        <v>2433</v>
      </c>
    </row>
    <row r="207" spans="1:4">
      <c r="A207" s="649" t="s">
        <v>2919</v>
      </c>
      <c r="B207" s="650" t="s">
        <v>2920</v>
      </c>
      <c r="C207" s="650" t="s">
        <v>2921</v>
      </c>
      <c r="D207" s="651" t="s">
        <v>2397</v>
      </c>
    </row>
    <row r="208" spans="1:4">
      <c r="A208" s="649" t="s">
        <v>2922</v>
      </c>
      <c r="B208" s="650" t="s">
        <v>2923</v>
      </c>
      <c r="C208" s="650" t="s">
        <v>2924</v>
      </c>
      <c r="D208" s="651" t="s">
        <v>2397</v>
      </c>
    </row>
    <row r="209" spans="1:4">
      <c r="A209" s="649" t="s">
        <v>2925</v>
      </c>
      <c r="B209" s="650" t="s">
        <v>2926</v>
      </c>
      <c r="C209" s="650" t="s">
        <v>2927</v>
      </c>
      <c r="D209" s="651" t="s">
        <v>2397</v>
      </c>
    </row>
    <row r="210" spans="1:4">
      <c r="A210" s="649" t="s">
        <v>2928</v>
      </c>
      <c r="B210" s="650" t="s">
        <v>2929</v>
      </c>
      <c r="C210" s="650" t="s">
        <v>2930</v>
      </c>
      <c r="D210" s="651" t="s">
        <v>2397</v>
      </c>
    </row>
    <row r="211" spans="1:4">
      <c r="A211" s="649" t="s">
        <v>2931</v>
      </c>
      <c r="B211" s="650" t="s">
        <v>2932</v>
      </c>
      <c r="C211" s="650" t="s">
        <v>2933</v>
      </c>
      <c r="D211" s="651" t="s">
        <v>2397</v>
      </c>
    </row>
    <row r="212" spans="1:4">
      <c r="A212" s="649" t="s">
        <v>2934</v>
      </c>
      <c r="B212" s="650" t="s">
        <v>2935</v>
      </c>
      <c r="C212" s="650" t="s">
        <v>2936</v>
      </c>
      <c r="D212" s="651" t="s">
        <v>2597</v>
      </c>
    </row>
    <row r="213" spans="1:4">
      <c r="A213" s="649" t="s">
        <v>2937</v>
      </c>
      <c r="B213" s="650" t="s">
        <v>2938</v>
      </c>
      <c r="C213" s="650" t="s">
        <v>2939</v>
      </c>
      <c r="D213" s="651" t="s">
        <v>2429</v>
      </c>
    </row>
    <row r="214" spans="1:4">
      <c r="A214" s="649" t="s">
        <v>2940</v>
      </c>
      <c r="B214" s="650" t="s">
        <v>2941</v>
      </c>
      <c r="C214" s="650" t="s">
        <v>2942</v>
      </c>
      <c r="D214" s="651" t="s">
        <v>2397</v>
      </c>
    </row>
    <row r="215" spans="1:4">
      <c r="A215" s="649" t="s">
        <v>2943</v>
      </c>
      <c r="B215" s="650" t="s">
        <v>2944</v>
      </c>
      <c r="C215" s="650" t="s">
        <v>2945</v>
      </c>
      <c r="D215" s="651" t="s">
        <v>2397</v>
      </c>
    </row>
    <row r="216" spans="1:4">
      <c r="A216" s="649" t="s">
        <v>2946</v>
      </c>
      <c r="B216" s="650" t="s">
        <v>2947</v>
      </c>
      <c r="C216" s="650" t="s">
        <v>2948</v>
      </c>
      <c r="D216" s="651" t="s">
        <v>2397</v>
      </c>
    </row>
    <row r="217" spans="1:4">
      <c r="A217" s="649" t="s">
        <v>2949</v>
      </c>
      <c r="B217" s="650" t="s">
        <v>2950</v>
      </c>
      <c r="C217" s="650" t="s">
        <v>2951</v>
      </c>
      <c r="D217" s="651" t="s">
        <v>2491</v>
      </c>
    </row>
    <row r="218" spans="1:4">
      <c r="A218" s="649" t="s">
        <v>2952</v>
      </c>
      <c r="B218" s="650" t="s">
        <v>2953</v>
      </c>
      <c r="C218" s="650" t="s">
        <v>2954</v>
      </c>
      <c r="D218" s="651" t="s">
        <v>2397</v>
      </c>
    </row>
    <row r="219" spans="1:4">
      <c r="A219" s="649" t="s">
        <v>2955</v>
      </c>
      <c r="B219" s="650" t="s">
        <v>2956</v>
      </c>
      <c r="C219" s="650" t="s">
        <v>2957</v>
      </c>
      <c r="D219" s="651" t="s">
        <v>2397</v>
      </c>
    </row>
    <row r="220" spans="1:4">
      <c r="A220" s="649" t="s">
        <v>2958</v>
      </c>
      <c r="B220" s="650" t="s">
        <v>2959</v>
      </c>
      <c r="C220" s="650" t="s">
        <v>2960</v>
      </c>
      <c r="D220" s="651" t="s">
        <v>2597</v>
      </c>
    </row>
    <row r="221" spans="1:4">
      <c r="A221" s="649" t="s">
        <v>2961</v>
      </c>
      <c r="B221" s="650" t="s">
        <v>2962</v>
      </c>
      <c r="C221" s="650" t="s">
        <v>2963</v>
      </c>
      <c r="D221" s="651" t="s">
        <v>2381</v>
      </c>
    </row>
    <row r="222" spans="1:4">
      <c r="A222" s="649" t="s">
        <v>2964</v>
      </c>
      <c r="B222" s="650" t="s">
        <v>2965</v>
      </c>
      <c r="C222" s="650" t="s">
        <v>2966</v>
      </c>
      <c r="D222" s="651" t="s">
        <v>2597</v>
      </c>
    </row>
    <row r="223" spans="1:4">
      <c r="A223" s="649" t="s">
        <v>2967</v>
      </c>
      <c r="B223" s="650" t="s">
        <v>2968</v>
      </c>
      <c r="C223" s="650" t="s">
        <v>2969</v>
      </c>
      <c r="D223" s="651" t="s">
        <v>2381</v>
      </c>
    </row>
    <row r="224" spans="1:4">
      <c r="A224" s="649" t="s">
        <v>2970</v>
      </c>
      <c r="B224" s="650" t="s">
        <v>2971</v>
      </c>
      <c r="C224" s="650" t="s">
        <v>2972</v>
      </c>
      <c r="D224" s="651" t="s">
        <v>2422</v>
      </c>
    </row>
    <row r="225" spans="1:4">
      <c r="A225" s="649" t="s">
        <v>2973</v>
      </c>
      <c r="B225" s="650" t="s">
        <v>2974</v>
      </c>
      <c r="C225" s="650" t="s">
        <v>2975</v>
      </c>
      <c r="D225" s="651" t="s">
        <v>2397</v>
      </c>
    </row>
    <row r="226" spans="1:4">
      <c r="A226" s="649" t="s">
        <v>2976</v>
      </c>
      <c r="B226" s="650" t="s">
        <v>2977</v>
      </c>
      <c r="C226" s="650" t="s">
        <v>2978</v>
      </c>
      <c r="D226" s="651" t="s">
        <v>2397</v>
      </c>
    </row>
    <row r="227" spans="1:4">
      <c r="A227" s="649" t="s">
        <v>2979</v>
      </c>
      <c r="B227" s="650" t="s">
        <v>2980</v>
      </c>
      <c r="C227" s="650" t="s">
        <v>2981</v>
      </c>
      <c r="D227" s="651" t="s">
        <v>2381</v>
      </c>
    </row>
    <row r="228" spans="1:4">
      <c r="A228" s="649" t="s">
        <v>2982</v>
      </c>
      <c r="B228" s="650" t="s">
        <v>2983</v>
      </c>
      <c r="C228" s="650" t="s">
        <v>32</v>
      </c>
      <c r="D228" s="651" t="s">
        <v>2597</v>
      </c>
    </row>
    <row r="229" spans="1:4">
      <c r="A229" s="649" t="s">
        <v>2984</v>
      </c>
      <c r="B229" s="650" t="s">
        <v>2985</v>
      </c>
      <c r="C229" s="650" t="s">
        <v>2986</v>
      </c>
      <c r="D229" s="651" t="s">
        <v>2381</v>
      </c>
    </row>
    <row r="230" spans="1:4">
      <c r="A230" s="649" t="s">
        <v>2987</v>
      </c>
      <c r="B230" s="650" t="s">
        <v>2988</v>
      </c>
      <c r="C230" s="650" t="s">
        <v>29</v>
      </c>
      <c r="D230" s="651" t="s">
        <v>2397</v>
      </c>
    </row>
    <row r="231" spans="1:4">
      <c r="A231" s="649" t="s">
        <v>2989</v>
      </c>
      <c r="B231" s="650" t="s">
        <v>2990</v>
      </c>
      <c r="C231" s="650" t="s">
        <v>2991</v>
      </c>
      <c r="D231" s="651" t="s">
        <v>2381</v>
      </c>
    </row>
    <row r="232" spans="1:4">
      <c r="A232" s="649" t="s">
        <v>2992</v>
      </c>
      <c r="B232" s="650" t="s">
        <v>2993</v>
      </c>
      <c r="C232" s="650" t="s">
        <v>41</v>
      </c>
      <c r="D232" s="651" t="s">
        <v>2397</v>
      </c>
    </row>
    <row r="233" spans="1:4">
      <c r="A233" s="649" t="s">
        <v>2994</v>
      </c>
      <c r="B233" s="650" t="s">
        <v>2995</v>
      </c>
      <c r="C233" s="650" t="s">
        <v>2996</v>
      </c>
      <c r="D233" s="651" t="s">
        <v>2397</v>
      </c>
    </row>
    <row r="234" spans="1:4">
      <c r="A234" s="649" t="s">
        <v>2997</v>
      </c>
      <c r="B234" s="650" t="s">
        <v>2998</v>
      </c>
      <c r="C234" s="650" t="s">
        <v>41</v>
      </c>
      <c r="D234" s="651" t="s">
        <v>2397</v>
      </c>
    </row>
    <row r="235" spans="1:4">
      <c r="A235" s="649" t="s">
        <v>2999</v>
      </c>
      <c r="B235" s="650" t="s">
        <v>3000</v>
      </c>
      <c r="C235" s="650" t="s">
        <v>3001</v>
      </c>
      <c r="D235" s="651" t="s">
        <v>2491</v>
      </c>
    </row>
    <row r="236" spans="1:4">
      <c r="A236" s="649" t="s">
        <v>3002</v>
      </c>
      <c r="B236" s="650" t="s">
        <v>3003</v>
      </c>
      <c r="C236" s="650" t="s">
        <v>3004</v>
      </c>
      <c r="D236" s="651" t="s">
        <v>2381</v>
      </c>
    </row>
    <row r="237" spans="1:4">
      <c r="A237" s="649" t="s">
        <v>3005</v>
      </c>
      <c r="B237" s="650" t="s">
        <v>3006</v>
      </c>
      <c r="C237" s="650" t="s">
        <v>3007</v>
      </c>
      <c r="D237" s="651" t="s">
        <v>2433</v>
      </c>
    </row>
    <row r="238" spans="1:4">
      <c r="A238" s="649" t="s">
        <v>3008</v>
      </c>
      <c r="B238" s="650" t="s">
        <v>3009</v>
      </c>
      <c r="C238" s="650" t="s">
        <v>3010</v>
      </c>
      <c r="D238" s="651" t="s">
        <v>2397</v>
      </c>
    </row>
    <row r="239" spans="1:4">
      <c r="A239" s="649" t="s">
        <v>3011</v>
      </c>
      <c r="B239" s="650" t="s">
        <v>3012</v>
      </c>
      <c r="C239" s="650" t="s">
        <v>3013</v>
      </c>
      <c r="D239" s="651" t="s">
        <v>2397</v>
      </c>
    </row>
    <row r="240" spans="1:4">
      <c r="A240" s="649" t="s">
        <v>3014</v>
      </c>
      <c r="B240" s="650" t="s">
        <v>3015</v>
      </c>
      <c r="C240" s="650" t="s">
        <v>3016</v>
      </c>
      <c r="D240" s="651" t="s">
        <v>2397</v>
      </c>
    </row>
    <row r="241" spans="1:4">
      <c r="A241" s="649" t="s">
        <v>3017</v>
      </c>
      <c r="B241" s="650" t="s">
        <v>3018</v>
      </c>
      <c r="C241" s="650" t="s">
        <v>3019</v>
      </c>
      <c r="D241" s="651" t="s">
        <v>2433</v>
      </c>
    </row>
    <row r="242" spans="1:4">
      <c r="A242" s="649" t="s">
        <v>3020</v>
      </c>
      <c r="B242" s="650" t="s">
        <v>3021</v>
      </c>
      <c r="C242" s="650" t="s">
        <v>3022</v>
      </c>
      <c r="D242" s="651" t="s">
        <v>2397</v>
      </c>
    </row>
    <row r="243" spans="1:4">
      <c r="A243" s="649" t="s">
        <v>3023</v>
      </c>
      <c r="B243" s="650" t="s">
        <v>3024</v>
      </c>
      <c r="C243" s="650" t="s">
        <v>3025</v>
      </c>
      <c r="D243" s="651" t="s">
        <v>2397</v>
      </c>
    </row>
    <row r="244" spans="1:4">
      <c r="A244" s="649" t="s">
        <v>3026</v>
      </c>
      <c r="B244" s="650" t="s">
        <v>3027</v>
      </c>
      <c r="C244" s="650" t="s">
        <v>3028</v>
      </c>
      <c r="D244" s="651" t="s">
        <v>2397</v>
      </c>
    </row>
    <row r="245" spans="1:4">
      <c r="A245" s="649" t="s">
        <v>3029</v>
      </c>
      <c r="B245" s="650" t="s">
        <v>3030</v>
      </c>
      <c r="C245" s="650" t="s">
        <v>3031</v>
      </c>
      <c r="D245" s="651" t="s">
        <v>2397</v>
      </c>
    </row>
    <row r="246" spans="1:4">
      <c r="A246" s="649" t="s">
        <v>3032</v>
      </c>
      <c r="B246" s="650" t="s">
        <v>3033</v>
      </c>
      <c r="C246" s="650" t="s">
        <v>3034</v>
      </c>
      <c r="D246" s="651" t="s">
        <v>2381</v>
      </c>
    </row>
    <row r="247" spans="1:4">
      <c r="A247" s="649" t="s">
        <v>3035</v>
      </c>
      <c r="B247" s="650" t="s">
        <v>3036</v>
      </c>
      <c r="C247" s="650" t="s">
        <v>3037</v>
      </c>
      <c r="D247" s="651" t="s">
        <v>2397</v>
      </c>
    </row>
    <row r="248" spans="1:4">
      <c r="A248" s="649" t="s">
        <v>3038</v>
      </c>
      <c r="B248" s="650" t="s">
        <v>3039</v>
      </c>
      <c r="C248" s="650" t="s">
        <v>3040</v>
      </c>
      <c r="D248" s="651" t="s">
        <v>2597</v>
      </c>
    </row>
    <row r="249" spans="1:4">
      <c r="A249" s="649" t="s">
        <v>3041</v>
      </c>
      <c r="B249" s="650" t="s">
        <v>3042</v>
      </c>
      <c r="C249" s="650" t="s">
        <v>3043</v>
      </c>
      <c r="D249" s="651" t="s">
        <v>2433</v>
      </c>
    </row>
    <row r="250" spans="1:4">
      <c r="A250" s="649" t="s">
        <v>3044</v>
      </c>
      <c r="B250" s="650" t="s">
        <v>3045</v>
      </c>
      <c r="C250" s="650" t="s">
        <v>3046</v>
      </c>
      <c r="D250" s="651" t="s">
        <v>2397</v>
      </c>
    </row>
    <row r="251" spans="1:4">
      <c r="A251" s="649" t="s">
        <v>3047</v>
      </c>
      <c r="B251" s="650" t="s">
        <v>3048</v>
      </c>
      <c r="C251" s="650" t="s">
        <v>3049</v>
      </c>
      <c r="D251" s="651" t="s">
        <v>2597</v>
      </c>
    </row>
    <row r="252" spans="1:4">
      <c r="A252" s="649" t="s">
        <v>3050</v>
      </c>
      <c r="B252" s="650" t="s">
        <v>3051</v>
      </c>
      <c r="C252" s="650" t="s">
        <v>3052</v>
      </c>
      <c r="D252" s="651" t="s">
        <v>2381</v>
      </c>
    </row>
    <row r="253" spans="1:4">
      <c r="A253" s="649" t="s">
        <v>3053</v>
      </c>
      <c r="B253" s="650" t="s">
        <v>3054</v>
      </c>
      <c r="C253" s="650"/>
      <c r="D253" s="651" t="s">
        <v>2433</v>
      </c>
    </row>
    <row r="254" spans="1:4">
      <c r="A254" s="649" t="s">
        <v>3055</v>
      </c>
      <c r="B254" s="650" t="s">
        <v>3056</v>
      </c>
      <c r="C254" s="650" t="s">
        <v>3057</v>
      </c>
      <c r="D254" s="651" t="s">
        <v>2433</v>
      </c>
    </row>
    <row r="255" spans="1:4">
      <c r="A255" s="649" t="s">
        <v>3058</v>
      </c>
      <c r="B255" s="650" t="s">
        <v>3059</v>
      </c>
      <c r="C255" s="650" t="s">
        <v>3060</v>
      </c>
      <c r="D255" s="651" t="s">
        <v>2422</v>
      </c>
    </row>
    <row r="256" spans="1:4">
      <c r="A256" s="649" t="s">
        <v>3061</v>
      </c>
      <c r="B256" s="650" t="s">
        <v>3062</v>
      </c>
      <c r="C256" s="650" t="s">
        <v>15</v>
      </c>
      <c r="D256" s="651" t="s">
        <v>2422</v>
      </c>
    </row>
    <row r="257" spans="1:4">
      <c r="A257" s="649" t="s">
        <v>3063</v>
      </c>
      <c r="B257" s="650" t="s">
        <v>3064</v>
      </c>
      <c r="C257" s="650" t="s">
        <v>3065</v>
      </c>
      <c r="D257" s="651" t="s">
        <v>2397</v>
      </c>
    </row>
    <row r="258" spans="1:4">
      <c r="A258" s="649" t="s">
        <v>3066</v>
      </c>
      <c r="B258" s="650" t="s">
        <v>3067</v>
      </c>
      <c r="C258" s="650" t="s">
        <v>3068</v>
      </c>
      <c r="D258" s="651" t="s">
        <v>2397</v>
      </c>
    </row>
    <row r="259" spans="1:4">
      <c r="A259" s="649" t="s">
        <v>3069</v>
      </c>
      <c r="B259" s="650" t="s">
        <v>3070</v>
      </c>
      <c r="C259" s="650" t="s">
        <v>3071</v>
      </c>
      <c r="D259" s="651" t="s">
        <v>2397</v>
      </c>
    </row>
    <row r="260" spans="1:4">
      <c r="A260" s="649" t="s">
        <v>3072</v>
      </c>
      <c r="B260" s="650" t="s">
        <v>3073</v>
      </c>
      <c r="C260" s="650" t="s">
        <v>3074</v>
      </c>
      <c r="D260" s="651" t="s">
        <v>2397</v>
      </c>
    </row>
    <row r="261" spans="1:4">
      <c r="A261" s="649" t="s">
        <v>3075</v>
      </c>
      <c r="B261" s="650" t="s">
        <v>3076</v>
      </c>
      <c r="C261" s="650" t="s">
        <v>3077</v>
      </c>
      <c r="D261" s="651" t="s">
        <v>2433</v>
      </c>
    </row>
    <row r="262" spans="1:4">
      <c r="A262" s="649" t="s">
        <v>3078</v>
      </c>
      <c r="B262" s="650" t="s">
        <v>3079</v>
      </c>
      <c r="C262" s="650" t="s">
        <v>3080</v>
      </c>
      <c r="D262" s="651" t="s">
        <v>2381</v>
      </c>
    </row>
    <row r="263" spans="1:4">
      <c r="A263" s="649" t="s">
        <v>3081</v>
      </c>
      <c r="B263" s="650" t="s">
        <v>3082</v>
      </c>
      <c r="C263" s="650" t="s">
        <v>3083</v>
      </c>
      <c r="D263" s="651" t="s">
        <v>2397</v>
      </c>
    </row>
    <row r="264" spans="1:4">
      <c r="A264" s="649" t="s">
        <v>3084</v>
      </c>
      <c r="B264" s="650" t="s">
        <v>3085</v>
      </c>
      <c r="C264" s="650"/>
      <c r="D264" s="651" t="s">
        <v>2381</v>
      </c>
    </row>
    <row r="265" spans="1:4">
      <c r="A265" s="649" t="s">
        <v>3086</v>
      </c>
      <c r="B265" s="650" t="s">
        <v>3087</v>
      </c>
      <c r="C265" s="650"/>
      <c r="D265" s="651" t="s">
        <v>2433</v>
      </c>
    </row>
    <row r="266" spans="1:4">
      <c r="A266" s="649" t="s">
        <v>3088</v>
      </c>
      <c r="B266" s="650" t="s">
        <v>3089</v>
      </c>
      <c r="C266" s="650"/>
      <c r="D266" s="651" t="s">
        <v>2397</v>
      </c>
    </row>
    <row r="267" spans="1:4">
      <c r="A267" s="649" t="s">
        <v>3090</v>
      </c>
      <c r="B267" s="650" t="s">
        <v>3091</v>
      </c>
      <c r="C267" s="650"/>
      <c r="D267" s="651" t="s">
        <v>2491</v>
      </c>
    </row>
    <row r="268" spans="1:4">
      <c r="A268" s="649" t="s">
        <v>3092</v>
      </c>
      <c r="B268" s="650" t="s">
        <v>3093</v>
      </c>
      <c r="C268" s="650"/>
      <c r="D268" s="651" t="s">
        <v>2381</v>
      </c>
    </row>
    <row r="269" spans="1:4">
      <c r="A269" s="649" t="s">
        <v>3094</v>
      </c>
      <c r="B269" s="650" t="s">
        <v>3095</v>
      </c>
      <c r="C269" s="650"/>
      <c r="D269" s="651" t="s">
        <v>2397</v>
      </c>
    </row>
    <row r="270" spans="1:4">
      <c r="A270" s="649" t="s">
        <v>3096</v>
      </c>
      <c r="B270" s="650" t="s">
        <v>3097</v>
      </c>
      <c r="C270" s="650"/>
      <c r="D270" s="651" t="s">
        <v>2397</v>
      </c>
    </row>
    <row r="271" spans="1:4">
      <c r="A271" s="649" t="s">
        <v>3098</v>
      </c>
      <c r="B271" s="650" t="s">
        <v>3099</v>
      </c>
      <c r="C271" s="650"/>
      <c r="D271" s="651" t="s">
        <v>2433</v>
      </c>
    </row>
    <row r="272" spans="1:4">
      <c r="A272" s="649" t="s">
        <v>3100</v>
      </c>
      <c r="B272" s="650" t="s">
        <v>3101</v>
      </c>
      <c r="C272" s="650"/>
      <c r="D272" s="651" t="s">
        <v>2397</v>
      </c>
    </row>
    <row r="273" spans="1:4">
      <c r="A273" s="649" t="s">
        <v>3102</v>
      </c>
      <c r="B273" s="650" t="s">
        <v>3103</v>
      </c>
      <c r="C273" s="650"/>
      <c r="D273" s="651" t="s">
        <v>2422</v>
      </c>
    </row>
    <row r="274" spans="1:4">
      <c r="A274" s="649" t="s">
        <v>3104</v>
      </c>
      <c r="B274" s="650" t="s">
        <v>3105</v>
      </c>
      <c r="C274" s="650"/>
      <c r="D274" s="651" t="s">
        <v>2397</v>
      </c>
    </row>
    <row r="275" spans="1:4">
      <c r="A275" s="649" t="s">
        <v>3106</v>
      </c>
      <c r="B275" s="650" t="s">
        <v>3107</v>
      </c>
      <c r="C275" s="650"/>
      <c r="D275" s="651" t="s">
        <v>2397</v>
      </c>
    </row>
    <row r="276" spans="1:4">
      <c r="A276" s="649" t="s">
        <v>3108</v>
      </c>
      <c r="B276" s="650" t="s">
        <v>3109</v>
      </c>
      <c r="C276" s="650"/>
      <c r="D276" s="651" t="s">
        <v>2397</v>
      </c>
    </row>
    <row r="277" spans="1:4">
      <c r="A277" s="649" t="s">
        <v>3110</v>
      </c>
      <c r="B277" s="650" t="s">
        <v>3111</v>
      </c>
      <c r="C277" s="650" t="s">
        <v>3112</v>
      </c>
      <c r="D277" s="651" t="s">
        <v>2397</v>
      </c>
    </row>
    <row r="278" spans="1:4">
      <c r="A278" s="649" t="s">
        <v>3113</v>
      </c>
      <c r="B278" s="650" t="s">
        <v>3114</v>
      </c>
      <c r="C278" s="650"/>
      <c r="D278" s="651" t="s">
        <v>2381</v>
      </c>
    </row>
    <row r="279" spans="1:4">
      <c r="A279" s="649" t="s">
        <v>3115</v>
      </c>
      <c r="B279" s="650" t="s">
        <v>3116</v>
      </c>
      <c r="C279" s="650" t="s">
        <v>3117</v>
      </c>
      <c r="D279" s="651" t="s">
        <v>2397</v>
      </c>
    </row>
    <row r="280" spans="1:4">
      <c r="A280" s="649" t="s">
        <v>3118</v>
      </c>
      <c r="B280" s="650" t="s">
        <v>3119</v>
      </c>
      <c r="C280" s="650" t="s">
        <v>3120</v>
      </c>
      <c r="D280" s="651" t="s">
        <v>3121</v>
      </c>
    </row>
    <row r="281" spans="1:4">
      <c r="A281" s="649" t="s">
        <v>3122</v>
      </c>
      <c r="B281" s="650" t="s">
        <v>3123</v>
      </c>
      <c r="C281" s="650" t="s">
        <v>3124</v>
      </c>
      <c r="D281" s="651" t="s">
        <v>2433</v>
      </c>
    </row>
    <row r="282" spans="1:4">
      <c r="A282" s="649" t="s">
        <v>3125</v>
      </c>
      <c r="B282" s="650" t="s">
        <v>3126</v>
      </c>
      <c r="C282" s="650" t="s">
        <v>3127</v>
      </c>
      <c r="D282" s="651" t="s">
        <v>2397</v>
      </c>
    </row>
    <row r="283" spans="1:4">
      <c r="A283" s="649" t="s">
        <v>3128</v>
      </c>
      <c r="B283" s="650" t="s">
        <v>3129</v>
      </c>
      <c r="C283" s="650" t="s">
        <v>3130</v>
      </c>
      <c r="D283" s="651" t="s">
        <v>2397</v>
      </c>
    </row>
    <row r="284" spans="1:4">
      <c r="A284" s="649" t="s">
        <v>3131</v>
      </c>
      <c r="B284" s="650" t="s">
        <v>3132</v>
      </c>
      <c r="C284" s="650" t="s">
        <v>3133</v>
      </c>
      <c r="D284" s="651" t="s">
        <v>2422</v>
      </c>
    </row>
    <row r="285" spans="1:4">
      <c r="A285" s="649" t="s">
        <v>3134</v>
      </c>
      <c r="B285" s="650" t="s">
        <v>3135</v>
      </c>
      <c r="C285" s="650" t="s">
        <v>3136</v>
      </c>
      <c r="D285" s="651" t="s">
        <v>2433</v>
      </c>
    </row>
    <row r="286" spans="1:4">
      <c r="A286" s="649" t="s">
        <v>3137</v>
      </c>
      <c r="B286" s="650" t="s">
        <v>3138</v>
      </c>
      <c r="C286" s="650" t="s">
        <v>3139</v>
      </c>
      <c r="D286" s="651" t="s">
        <v>2397</v>
      </c>
    </row>
    <row r="287" spans="1:4">
      <c r="A287" s="649" t="s">
        <v>3140</v>
      </c>
      <c r="B287" s="650" t="s">
        <v>3141</v>
      </c>
      <c r="C287" s="650" t="s">
        <v>3142</v>
      </c>
      <c r="D287" s="651" t="s">
        <v>2433</v>
      </c>
    </row>
    <row r="288" spans="1:4">
      <c r="A288" s="649" t="s">
        <v>3143</v>
      </c>
      <c r="B288" s="650" t="s">
        <v>3144</v>
      </c>
      <c r="C288" s="650" t="s">
        <v>3142</v>
      </c>
      <c r="D288" s="651" t="s">
        <v>2433</v>
      </c>
    </row>
    <row r="289" spans="1:4">
      <c r="A289" s="649" t="s">
        <v>3145</v>
      </c>
      <c r="B289" s="650" t="s">
        <v>3146</v>
      </c>
      <c r="C289" s="650" t="s">
        <v>3142</v>
      </c>
      <c r="D289" s="651" t="s">
        <v>2397</v>
      </c>
    </row>
    <row r="290" spans="1:4">
      <c r="A290" s="649" t="s">
        <v>3147</v>
      </c>
      <c r="B290" s="650" t="s">
        <v>3148</v>
      </c>
      <c r="C290" s="650" t="s">
        <v>3142</v>
      </c>
      <c r="D290" s="651" t="s">
        <v>2491</v>
      </c>
    </row>
    <row r="291" spans="1:4">
      <c r="A291" s="649" t="s">
        <v>3149</v>
      </c>
      <c r="B291" s="650" t="s">
        <v>3150</v>
      </c>
      <c r="C291" s="650" t="s">
        <v>3142</v>
      </c>
      <c r="D291" s="651" t="s">
        <v>2433</v>
      </c>
    </row>
    <row r="292" spans="1:4">
      <c r="A292" s="649" t="s">
        <v>3151</v>
      </c>
      <c r="B292" s="650" t="s">
        <v>3152</v>
      </c>
      <c r="C292" s="650" t="s">
        <v>3142</v>
      </c>
      <c r="D292" s="651" t="s">
        <v>2397</v>
      </c>
    </row>
    <row r="293" spans="1:4">
      <c r="A293" s="649" t="s">
        <v>3153</v>
      </c>
      <c r="B293" s="650" t="s">
        <v>3154</v>
      </c>
      <c r="C293" s="650" t="s">
        <v>3142</v>
      </c>
      <c r="D293" s="651" t="s">
        <v>2429</v>
      </c>
    </row>
    <row r="294" spans="1:4">
      <c r="A294" s="649" t="s">
        <v>3155</v>
      </c>
      <c r="B294" s="650" t="s">
        <v>3156</v>
      </c>
      <c r="C294" s="650" t="s">
        <v>3142</v>
      </c>
      <c r="D294" s="651" t="s">
        <v>2433</v>
      </c>
    </row>
    <row r="295" spans="1:4">
      <c r="A295" s="649" t="s">
        <v>3157</v>
      </c>
      <c r="B295" s="650" t="s">
        <v>3158</v>
      </c>
      <c r="C295" s="650" t="s">
        <v>3142</v>
      </c>
      <c r="D295" s="651" t="s">
        <v>2433</v>
      </c>
    </row>
    <row r="296" spans="1:4">
      <c r="A296" s="649" t="s">
        <v>3159</v>
      </c>
      <c r="B296" s="650" t="s">
        <v>3160</v>
      </c>
      <c r="C296" s="650" t="s">
        <v>3142</v>
      </c>
      <c r="D296" s="651" t="s">
        <v>2433</v>
      </c>
    </row>
    <row r="297" spans="1:4">
      <c r="A297" s="649" t="s">
        <v>3161</v>
      </c>
      <c r="B297" s="650" t="s">
        <v>3162</v>
      </c>
      <c r="C297" s="650" t="s">
        <v>3163</v>
      </c>
      <c r="D297" s="651" t="s">
        <v>2397</v>
      </c>
    </row>
    <row r="298" spans="1:4">
      <c r="A298" s="649" t="s">
        <v>3164</v>
      </c>
      <c r="B298" s="650" t="s">
        <v>3165</v>
      </c>
      <c r="C298" s="650" t="s">
        <v>3166</v>
      </c>
      <c r="D298" s="651" t="s">
        <v>2397</v>
      </c>
    </row>
    <row r="299" spans="1:4">
      <c r="A299" s="649" t="s">
        <v>3167</v>
      </c>
      <c r="B299" s="650" t="s">
        <v>3168</v>
      </c>
      <c r="C299" s="650" t="s">
        <v>3169</v>
      </c>
      <c r="D299" s="651" t="s">
        <v>2433</v>
      </c>
    </row>
    <row r="300" spans="1:4">
      <c r="A300" s="649" t="s">
        <v>3170</v>
      </c>
      <c r="B300" s="650" t="s">
        <v>3171</v>
      </c>
      <c r="C300" s="650" t="s">
        <v>3172</v>
      </c>
      <c r="D300" s="651" t="s">
        <v>2397</v>
      </c>
    </row>
    <row r="301" spans="1:4">
      <c r="A301" s="649" t="s">
        <v>3173</v>
      </c>
      <c r="B301" s="650" t="s">
        <v>3174</v>
      </c>
      <c r="C301" s="650" t="s">
        <v>3175</v>
      </c>
      <c r="D301" s="651" t="s">
        <v>2433</v>
      </c>
    </row>
    <row r="302" spans="1:4">
      <c r="A302" s="649" t="s">
        <v>3176</v>
      </c>
      <c r="B302" s="650" t="s">
        <v>3177</v>
      </c>
      <c r="C302" s="650" t="s">
        <v>3178</v>
      </c>
      <c r="D302" s="651" t="s">
        <v>2397</v>
      </c>
    </row>
    <row r="303" spans="1:4">
      <c r="A303" s="649" t="s">
        <v>3179</v>
      </c>
      <c r="B303" s="650" t="s">
        <v>3180</v>
      </c>
      <c r="C303" s="650" t="s">
        <v>3181</v>
      </c>
      <c r="D303" s="651" t="s">
        <v>3121</v>
      </c>
    </row>
    <row r="304" spans="1:4">
      <c r="A304" s="649" t="s">
        <v>3182</v>
      </c>
      <c r="B304" s="650" t="s">
        <v>3183</v>
      </c>
      <c r="C304" s="650" t="s">
        <v>3184</v>
      </c>
      <c r="D304" s="651" t="s">
        <v>2397</v>
      </c>
    </row>
    <row r="305" spans="1:4">
      <c r="A305" s="649" t="s">
        <v>3185</v>
      </c>
      <c r="B305" s="650" t="s">
        <v>3186</v>
      </c>
      <c r="C305" s="650" t="s">
        <v>3187</v>
      </c>
      <c r="D305" s="651" t="s">
        <v>2397</v>
      </c>
    </row>
    <row r="306" spans="1:4">
      <c r="A306" s="649" t="s">
        <v>3188</v>
      </c>
      <c r="B306" s="650" t="s">
        <v>3189</v>
      </c>
      <c r="C306" s="650" t="s">
        <v>3190</v>
      </c>
      <c r="D306" s="651" t="s">
        <v>2422</v>
      </c>
    </row>
    <row r="307" spans="1:4">
      <c r="A307" s="649" t="s">
        <v>3191</v>
      </c>
      <c r="B307" s="650" t="s">
        <v>3192</v>
      </c>
      <c r="C307" s="650" t="s">
        <v>3193</v>
      </c>
      <c r="D307" s="651" t="s">
        <v>2433</v>
      </c>
    </row>
    <row r="308" spans="1:4">
      <c r="A308" s="649" t="s">
        <v>3194</v>
      </c>
      <c r="B308" s="650" t="s">
        <v>3195</v>
      </c>
      <c r="C308" s="650" t="s">
        <v>3196</v>
      </c>
      <c r="D308" s="651" t="s">
        <v>2429</v>
      </c>
    </row>
    <row r="309" spans="1:4">
      <c r="A309" s="649" t="s">
        <v>3197</v>
      </c>
      <c r="B309" s="650" t="s">
        <v>3198</v>
      </c>
      <c r="C309" s="650" t="s">
        <v>3199</v>
      </c>
      <c r="D309" s="651" t="s">
        <v>2433</v>
      </c>
    </row>
    <row r="310" spans="1:4">
      <c r="A310" s="649" t="s">
        <v>3200</v>
      </c>
      <c r="B310" s="650" t="s">
        <v>3201</v>
      </c>
      <c r="C310" s="650" t="s">
        <v>3202</v>
      </c>
      <c r="D310" s="651" t="s">
        <v>2433</v>
      </c>
    </row>
    <row r="311" spans="1:4">
      <c r="A311" s="649" t="s">
        <v>3203</v>
      </c>
      <c r="B311" s="650" t="s">
        <v>3204</v>
      </c>
      <c r="C311" s="650" t="s">
        <v>3205</v>
      </c>
      <c r="D311" s="651" t="s">
        <v>2397</v>
      </c>
    </row>
    <row r="312" spans="1:4">
      <c r="A312" s="649" t="s">
        <v>3206</v>
      </c>
      <c r="B312" s="650" t="s">
        <v>3207</v>
      </c>
      <c r="C312" s="650" t="s">
        <v>3208</v>
      </c>
      <c r="D312" s="651" t="s">
        <v>2433</v>
      </c>
    </row>
    <row r="313" spans="1:4">
      <c r="A313" s="649" t="s">
        <v>3209</v>
      </c>
      <c r="B313" s="650" t="s">
        <v>3210</v>
      </c>
      <c r="C313" s="650" t="s">
        <v>3142</v>
      </c>
      <c r="D313" s="651" t="s">
        <v>2397</v>
      </c>
    </row>
    <row r="314" spans="1:4">
      <c r="A314" s="649" t="s">
        <v>3211</v>
      </c>
      <c r="B314" s="650" t="s">
        <v>3212</v>
      </c>
      <c r="C314" s="650" t="s">
        <v>3142</v>
      </c>
      <c r="D314" s="651" t="s">
        <v>2397</v>
      </c>
    </row>
    <row r="315" spans="1:4">
      <c r="A315" s="649" t="s">
        <v>3213</v>
      </c>
      <c r="B315" s="650" t="s">
        <v>3214</v>
      </c>
      <c r="C315" s="650" t="s">
        <v>3202</v>
      </c>
      <c r="D315" s="651" t="s">
        <v>2433</v>
      </c>
    </row>
    <row r="316" spans="1:4">
      <c r="A316" s="649" t="s">
        <v>3215</v>
      </c>
      <c r="B316" s="650" t="s">
        <v>3216</v>
      </c>
      <c r="C316" s="650" t="s">
        <v>3217</v>
      </c>
      <c r="D316" s="651" t="s">
        <v>2397</v>
      </c>
    </row>
    <row r="317" spans="1:4">
      <c r="A317" s="649" t="s">
        <v>3218</v>
      </c>
      <c r="B317" s="650" t="s">
        <v>3219</v>
      </c>
      <c r="C317" s="650" t="s">
        <v>3220</v>
      </c>
      <c r="D317" s="651" t="s">
        <v>2433</v>
      </c>
    </row>
    <row r="318" spans="1:4">
      <c r="A318" s="649" t="s">
        <v>3221</v>
      </c>
      <c r="B318" s="650" t="s">
        <v>3222</v>
      </c>
      <c r="C318" s="650" t="s">
        <v>3223</v>
      </c>
      <c r="D318" s="651" t="s">
        <v>2397</v>
      </c>
    </row>
    <row r="319" spans="1:4">
      <c r="A319" s="649" t="s">
        <v>3224</v>
      </c>
      <c r="B319" s="650" t="s">
        <v>3225</v>
      </c>
      <c r="C319" s="650" t="s">
        <v>3226</v>
      </c>
      <c r="D319" s="651" t="s">
        <v>2422</v>
      </c>
    </row>
    <row r="320" spans="1:4">
      <c r="A320" s="649" t="s">
        <v>3227</v>
      </c>
      <c r="B320" s="650" t="s">
        <v>3228</v>
      </c>
      <c r="C320" s="650" t="s">
        <v>3229</v>
      </c>
      <c r="D320" s="651" t="s">
        <v>2429</v>
      </c>
    </row>
    <row r="321" spans="1:4">
      <c r="A321" s="649" t="s">
        <v>3230</v>
      </c>
      <c r="B321" s="650" t="s">
        <v>3231</v>
      </c>
      <c r="C321" s="650" t="s">
        <v>3232</v>
      </c>
      <c r="D321" s="651" t="s">
        <v>2397</v>
      </c>
    </row>
    <row r="322" spans="1:4">
      <c r="A322" s="649" t="s">
        <v>3233</v>
      </c>
      <c r="B322" s="650" t="s">
        <v>3234</v>
      </c>
      <c r="C322" s="650" t="s">
        <v>3235</v>
      </c>
      <c r="D322" s="651" t="s">
        <v>3236</v>
      </c>
    </row>
    <row r="323" spans="1:4">
      <c r="A323" s="649" t="s">
        <v>3237</v>
      </c>
      <c r="B323" s="650" t="s">
        <v>3238</v>
      </c>
      <c r="C323" s="650" t="s">
        <v>3239</v>
      </c>
      <c r="D323" s="651" t="s">
        <v>3236</v>
      </c>
    </row>
    <row r="324" spans="1:4">
      <c r="A324" s="649" t="s">
        <v>3240</v>
      </c>
      <c r="B324" s="650" t="s">
        <v>3241</v>
      </c>
      <c r="C324" s="650" t="s">
        <v>3242</v>
      </c>
      <c r="D324" s="651" t="s">
        <v>3236</v>
      </c>
    </row>
    <row r="325" spans="1:4">
      <c r="A325" s="649" t="s">
        <v>3243</v>
      </c>
      <c r="B325" s="650" t="s">
        <v>3244</v>
      </c>
      <c r="C325" s="650" t="s">
        <v>3245</v>
      </c>
      <c r="D325" s="651" t="s">
        <v>2397</v>
      </c>
    </row>
    <row r="326" spans="1:4">
      <c r="A326" s="649" t="s">
        <v>3246</v>
      </c>
      <c r="B326" s="650" t="s">
        <v>3247</v>
      </c>
      <c r="C326" s="650" t="s">
        <v>3248</v>
      </c>
      <c r="D326" s="651" t="s">
        <v>2433</v>
      </c>
    </row>
    <row r="327" spans="1:4">
      <c r="A327" s="649" t="s">
        <v>3249</v>
      </c>
      <c r="B327" s="650" t="s">
        <v>3250</v>
      </c>
      <c r="C327" s="650" t="s">
        <v>3251</v>
      </c>
      <c r="D327" s="651" t="s">
        <v>2433</v>
      </c>
    </row>
    <row r="328" spans="1:4">
      <c r="A328" s="649" t="s">
        <v>3252</v>
      </c>
      <c r="B328" s="650" t="s">
        <v>3253</v>
      </c>
      <c r="C328" s="650" t="s">
        <v>3254</v>
      </c>
      <c r="D328" s="651" t="s">
        <v>2433</v>
      </c>
    </row>
    <row r="329" spans="1:4">
      <c r="A329" s="649" t="s">
        <v>3255</v>
      </c>
      <c r="B329" s="650" t="s">
        <v>3256</v>
      </c>
      <c r="C329" s="650" t="s">
        <v>3220</v>
      </c>
      <c r="D329" s="651" t="s">
        <v>2433</v>
      </c>
    </row>
    <row r="330" spans="1:4">
      <c r="A330" s="649" t="s">
        <v>3257</v>
      </c>
      <c r="B330" s="650" t="s">
        <v>3258</v>
      </c>
      <c r="C330" s="650" t="s">
        <v>3259</v>
      </c>
      <c r="D330" s="651" t="s">
        <v>2397</v>
      </c>
    </row>
    <row r="331" spans="1:4">
      <c r="A331" s="649" t="s">
        <v>3260</v>
      </c>
      <c r="B331" s="650" t="s">
        <v>3261</v>
      </c>
      <c r="C331" s="650" t="s">
        <v>3142</v>
      </c>
      <c r="D331" s="651" t="s">
        <v>2433</v>
      </c>
    </row>
    <row r="332" spans="1:4">
      <c r="A332" s="649" t="s">
        <v>3262</v>
      </c>
      <c r="B332" s="650" t="s">
        <v>3263</v>
      </c>
      <c r="C332" s="650" t="s">
        <v>3142</v>
      </c>
      <c r="D332" s="651" t="s">
        <v>2433</v>
      </c>
    </row>
    <row r="333" spans="1:4">
      <c r="A333" s="649" t="s">
        <v>3264</v>
      </c>
      <c r="B333" s="650" t="s">
        <v>3265</v>
      </c>
      <c r="C333" s="650" t="s">
        <v>3142</v>
      </c>
      <c r="D333" s="651" t="s">
        <v>2397</v>
      </c>
    </row>
    <row r="334" spans="1:4">
      <c r="A334" s="649" t="s">
        <v>3266</v>
      </c>
      <c r="B334" s="650" t="s">
        <v>3267</v>
      </c>
      <c r="C334" s="650" t="s">
        <v>3142</v>
      </c>
      <c r="D334" s="651" t="s">
        <v>2397</v>
      </c>
    </row>
    <row r="335" spans="1:4">
      <c r="A335" s="649" t="s">
        <v>3268</v>
      </c>
      <c r="B335" s="650" t="s">
        <v>3269</v>
      </c>
      <c r="C335" s="650" t="s">
        <v>3142</v>
      </c>
      <c r="D335" s="651" t="s">
        <v>2397</v>
      </c>
    </row>
    <row r="336" spans="1:4">
      <c r="A336" s="649" t="s">
        <v>3270</v>
      </c>
      <c r="B336" s="650" t="s">
        <v>3271</v>
      </c>
      <c r="C336" s="650" t="s">
        <v>3142</v>
      </c>
      <c r="D336" s="651" t="s">
        <v>2397</v>
      </c>
    </row>
    <row r="337" spans="1:4">
      <c r="A337" s="649" t="s">
        <v>3272</v>
      </c>
      <c r="B337" s="650" t="s">
        <v>3273</v>
      </c>
      <c r="C337" s="650" t="s">
        <v>3274</v>
      </c>
      <c r="D337" s="651" t="s">
        <v>2433</v>
      </c>
    </row>
    <row r="338" spans="1:4">
      <c r="A338" s="649" t="s">
        <v>3275</v>
      </c>
      <c r="B338" s="650" t="s">
        <v>3276</v>
      </c>
      <c r="C338" s="650" t="s">
        <v>3277</v>
      </c>
      <c r="D338" s="651" t="s">
        <v>2381</v>
      </c>
    </row>
    <row r="339" spans="1:4">
      <c r="A339" s="649" t="s">
        <v>3278</v>
      </c>
      <c r="B339" s="650" t="s">
        <v>3279</v>
      </c>
      <c r="C339" s="650" t="s">
        <v>3280</v>
      </c>
      <c r="D339" s="651" t="s">
        <v>2397</v>
      </c>
    </row>
    <row r="340" spans="1:4">
      <c r="A340" s="649" t="s">
        <v>3281</v>
      </c>
      <c r="B340" s="650" t="s">
        <v>3282</v>
      </c>
      <c r="C340" s="650" t="s">
        <v>3283</v>
      </c>
      <c r="D340" s="651" t="s">
        <v>2397</v>
      </c>
    </row>
    <row r="341" spans="1:4">
      <c r="A341" s="649" t="s">
        <v>3284</v>
      </c>
      <c r="B341" s="650" t="s">
        <v>3285</v>
      </c>
      <c r="C341" s="650" t="s">
        <v>3286</v>
      </c>
      <c r="D341" s="651" t="s">
        <v>2429</v>
      </c>
    </row>
    <row r="342" spans="1:4">
      <c r="A342" s="649" t="s">
        <v>3287</v>
      </c>
      <c r="B342" s="650" t="s">
        <v>3288</v>
      </c>
      <c r="C342" s="650" t="s">
        <v>3289</v>
      </c>
      <c r="D342" s="651" t="s">
        <v>2397</v>
      </c>
    </row>
    <row r="343" spans="1:4">
      <c r="A343" s="649" t="s">
        <v>3290</v>
      </c>
      <c r="B343" s="650" t="s">
        <v>3291</v>
      </c>
      <c r="C343" s="650" t="s">
        <v>3292</v>
      </c>
      <c r="D343" s="651" t="s">
        <v>2433</v>
      </c>
    </row>
    <row r="344" spans="1:4">
      <c r="A344" s="649" t="s">
        <v>3293</v>
      </c>
      <c r="B344" s="650" t="s">
        <v>3294</v>
      </c>
      <c r="C344" s="650" t="s">
        <v>3295</v>
      </c>
      <c r="D344" s="651" t="s">
        <v>2397</v>
      </c>
    </row>
    <row r="345" spans="1:4">
      <c r="A345" s="649" t="s">
        <v>3296</v>
      </c>
      <c r="B345" s="650" t="s">
        <v>3297</v>
      </c>
      <c r="C345" s="650" t="s">
        <v>3298</v>
      </c>
      <c r="D345" s="651" t="s">
        <v>2433</v>
      </c>
    </row>
    <row r="346" spans="1:4">
      <c r="A346" s="649" t="s">
        <v>3299</v>
      </c>
      <c r="B346" s="650" t="s">
        <v>3300</v>
      </c>
      <c r="C346" s="650" t="s">
        <v>3301</v>
      </c>
      <c r="D346" s="651" t="s">
        <v>2433</v>
      </c>
    </row>
    <row r="347" spans="1:4">
      <c r="A347" s="649" t="s">
        <v>3302</v>
      </c>
      <c r="B347" s="650" t="s">
        <v>3303</v>
      </c>
      <c r="C347" s="650" t="s">
        <v>3304</v>
      </c>
      <c r="D347" s="651" t="s">
        <v>2422</v>
      </c>
    </row>
    <row r="348" spans="1:4">
      <c r="A348" s="649" t="s">
        <v>3305</v>
      </c>
      <c r="B348" s="650" t="s">
        <v>3306</v>
      </c>
      <c r="C348" s="650" t="s">
        <v>3307</v>
      </c>
      <c r="D348" s="651" t="s">
        <v>2422</v>
      </c>
    </row>
    <row r="349" spans="1:4">
      <c r="A349" s="649" t="s">
        <v>3308</v>
      </c>
      <c r="B349" s="650" t="s">
        <v>3309</v>
      </c>
      <c r="C349" s="650" t="s">
        <v>3310</v>
      </c>
      <c r="D349" s="651" t="s">
        <v>2433</v>
      </c>
    </row>
    <row r="350" spans="1:4">
      <c r="A350" s="649" t="s">
        <v>3311</v>
      </c>
      <c r="B350" s="650" t="s">
        <v>3312</v>
      </c>
      <c r="C350" s="650" t="s">
        <v>3313</v>
      </c>
      <c r="D350" s="651" t="s">
        <v>2491</v>
      </c>
    </row>
    <row r="351" spans="1:4">
      <c r="A351" s="649" t="s">
        <v>3314</v>
      </c>
      <c r="B351" s="650" t="s">
        <v>3315</v>
      </c>
      <c r="C351" s="650" t="s">
        <v>3316</v>
      </c>
      <c r="D351" s="651" t="s">
        <v>2433</v>
      </c>
    </row>
    <row r="352" spans="1:4">
      <c r="A352" s="649" t="s">
        <v>3317</v>
      </c>
      <c r="B352" s="650" t="s">
        <v>3318</v>
      </c>
      <c r="C352" s="650" t="s">
        <v>3319</v>
      </c>
      <c r="D352" s="651" t="s">
        <v>2397</v>
      </c>
    </row>
    <row r="353" spans="1:4">
      <c r="A353" s="649" t="s">
        <v>3320</v>
      </c>
      <c r="B353" s="650" t="s">
        <v>3321</v>
      </c>
      <c r="C353" s="650" t="s">
        <v>3142</v>
      </c>
      <c r="D353" s="651" t="s">
        <v>2429</v>
      </c>
    </row>
    <row r="354" spans="1:4">
      <c r="A354" s="649" t="s">
        <v>3322</v>
      </c>
      <c r="B354" s="650" t="s">
        <v>3323</v>
      </c>
      <c r="C354" s="650" t="s">
        <v>30</v>
      </c>
      <c r="D354" s="651" t="s">
        <v>2381</v>
      </c>
    </row>
    <row r="355" spans="1:4">
      <c r="A355" s="649" t="s">
        <v>3324</v>
      </c>
      <c r="B355" s="650" t="s">
        <v>3325</v>
      </c>
      <c r="C355" s="650" t="s">
        <v>3326</v>
      </c>
      <c r="D355" s="651" t="s">
        <v>2433</v>
      </c>
    </row>
    <row r="356" spans="1:4">
      <c r="A356" s="649" t="s">
        <v>3327</v>
      </c>
      <c r="B356" s="650" t="s">
        <v>3328</v>
      </c>
      <c r="C356" s="650" t="s">
        <v>3329</v>
      </c>
      <c r="D356" s="651" t="s">
        <v>2397</v>
      </c>
    </row>
    <row r="357" spans="1:4">
      <c r="A357" s="649" t="s">
        <v>3330</v>
      </c>
      <c r="B357" s="650" t="s">
        <v>3331</v>
      </c>
      <c r="C357" s="650" t="s">
        <v>3332</v>
      </c>
      <c r="D357" s="651" t="s">
        <v>2491</v>
      </c>
    </row>
    <row r="358" spans="1:4">
      <c r="A358" s="649" t="s">
        <v>3333</v>
      </c>
      <c r="B358" s="650" t="s">
        <v>3334</v>
      </c>
      <c r="C358" s="650" t="s">
        <v>3335</v>
      </c>
      <c r="D358" s="651" t="s">
        <v>2433</v>
      </c>
    </row>
    <row r="359" spans="1:4">
      <c r="A359" s="649" t="s">
        <v>3336</v>
      </c>
      <c r="B359" s="650" t="s">
        <v>3337</v>
      </c>
      <c r="C359" s="650" t="s">
        <v>3338</v>
      </c>
      <c r="D359" s="651" t="s">
        <v>2433</v>
      </c>
    </row>
    <row r="360" spans="1:4">
      <c r="A360" s="649" t="s">
        <v>3339</v>
      </c>
      <c r="B360" s="650" t="s">
        <v>3340</v>
      </c>
      <c r="C360" s="650" t="s">
        <v>3341</v>
      </c>
      <c r="D360" s="651" t="s">
        <v>2397</v>
      </c>
    </row>
    <row r="361" spans="1:4">
      <c r="A361" s="649" t="s">
        <v>3342</v>
      </c>
      <c r="B361" s="650" t="s">
        <v>3343</v>
      </c>
      <c r="C361" s="650" t="s">
        <v>3344</v>
      </c>
      <c r="D361" s="651" t="s">
        <v>2491</v>
      </c>
    </row>
    <row r="362" spans="1:4">
      <c r="A362" s="649" t="s">
        <v>3345</v>
      </c>
      <c r="B362" s="650" t="s">
        <v>3346</v>
      </c>
      <c r="C362" s="650" t="s">
        <v>3347</v>
      </c>
      <c r="D362" s="651" t="s">
        <v>2433</v>
      </c>
    </row>
    <row r="363" spans="1:4">
      <c r="A363" s="649" t="s">
        <v>3348</v>
      </c>
      <c r="B363" s="650" t="s">
        <v>3349</v>
      </c>
      <c r="C363" s="650" t="s">
        <v>3350</v>
      </c>
      <c r="D363" s="651" t="s">
        <v>2433</v>
      </c>
    </row>
    <row r="364" spans="1:4">
      <c r="A364" s="649" t="s">
        <v>3351</v>
      </c>
      <c r="B364" s="650" t="s">
        <v>3352</v>
      </c>
      <c r="C364" s="650" t="s">
        <v>3350</v>
      </c>
      <c r="D364" s="651" t="s">
        <v>2433</v>
      </c>
    </row>
    <row r="365" spans="1:4">
      <c r="A365" s="649" t="s">
        <v>3353</v>
      </c>
      <c r="B365" s="650" t="s">
        <v>3354</v>
      </c>
      <c r="C365" s="650" t="s">
        <v>3355</v>
      </c>
      <c r="D365" s="651" t="s">
        <v>2429</v>
      </c>
    </row>
    <row r="366" spans="1:4">
      <c r="A366" s="649" t="s">
        <v>3356</v>
      </c>
      <c r="B366" s="650" t="s">
        <v>3357</v>
      </c>
      <c r="C366" s="650" t="s">
        <v>3350</v>
      </c>
      <c r="D366" s="651" t="s">
        <v>2433</v>
      </c>
    </row>
    <row r="367" spans="1:4">
      <c r="A367" s="649" t="s">
        <v>3358</v>
      </c>
      <c r="B367" s="650" t="s">
        <v>3359</v>
      </c>
      <c r="C367" s="650" t="s">
        <v>3350</v>
      </c>
      <c r="D367" s="651" t="s">
        <v>2433</v>
      </c>
    </row>
    <row r="368" spans="1:4">
      <c r="A368" s="649" t="s">
        <v>3360</v>
      </c>
      <c r="B368" s="650" t="s">
        <v>3361</v>
      </c>
      <c r="C368" s="650" t="s">
        <v>3350</v>
      </c>
      <c r="D368" s="651" t="s">
        <v>2433</v>
      </c>
    </row>
    <row r="369" spans="1:4">
      <c r="A369" s="649" t="s">
        <v>3362</v>
      </c>
      <c r="B369" s="650" t="s">
        <v>3363</v>
      </c>
      <c r="C369" s="650" t="s">
        <v>3364</v>
      </c>
      <c r="D369" s="651" t="s">
        <v>2433</v>
      </c>
    </row>
    <row r="370" spans="1:4">
      <c r="A370" s="649" t="s">
        <v>3365</v>
      </c>
      <c r="B370" s="650" t="s">
        <v>3366</v>
      </c>
      <c r="C370" s="650" t="s">
        <v>3367</v>
      </c>
      <c r="D370" s="651" t="s">
        <v>2433</v>
      </c>
    </row>
    <row r="371" spans="1:4">
      <c r="A371" s="649" t="s">
        <v>3368</v>
      </c>
      <c r="B371" s="650" t="s">
        <v>3369</v>
      </c>
      <c r="C371" s="650" t="s">
        <v>3370</v>
      </c>
      <c r="D371" s="651" t="s">
        <v>2433</v>
      </c>
    </row>
    <row r="372" spans="1:4">
      <c r="A372" s="649" t="s">
        <v>3371</v>
      </c>
      <c r="B372" s="650" t="s">
        <v>3372</v>
      </c>
      <c r="C372" s="650" t="s">
        <v>3373</v>
      </c>
      <c r="D372" s="651" t="s">
        <v>2433</v>
      </c>
    </row>
    <row r="373" spans="1:4">
      <c r="A373" s="649" t="s">
        <v>3374</v>
      </c>
      <c r="B373" s="650" t="s">
        <v>3375</v>
      </c>
      <c r="C373" s="650" t="s">
        <v>3376</v>
      </c>
      <c r="D373" s="651" t="s">
        <v>2433</v>
      </c>
    </row>
    <row r="374" spans="1:4">
      <c r="A374" s="649" t="s">
        <v>3377</v>
      </c>
      <c r="B374" s="650" t="s">
        <v>3378</v>
      </c>
      <c r="C374" s="650" t="s">
        <v>3379</v>
      </c>
      <c r="D374" s="651" t="s">
        <v>2433</v>
      </c>
    </row>
    <row r="375" spans="1:4">
      <c r="A375" s="649" t="s">
        <v>3380</v>
      </c>
      <c r="B375" s="650" t="s">
        <v>3381</v>
      </c>
      <c r="C375" s="650" t="s">
        <v>3382</v>
      </c>
      <c r="D375" s="651" t="s">
        <v>2433</v>
      </c>
    </row>
    <row r="376" spans="1:4">
      <c r="A376" s="649" t="s">
        <v>3383</v>
      </c>
      <c r="B376" s="650" t="s">
        <v>3384</v>
      </c>
      <c r="C376" s="650" t="s">
        <v>3385</v>
      </c>
      <c r="D376" s="651" t="s">
        <v>2433</v>
      </c>
    </row>
    <row r="377" spans="1:4">
      <c r="A377" s="649" t="s">
        <v>3386</v>
      </c>
      <c r="B377" s="650" t="s">
        <v>3387</v>
      </c>
      <c r="C377" s="650" t="s">
        <v>3385</v>
      </c>
      <c r="D377" s="651" t="s">
        <v>2433</v>
      </c>
    </row>
    <row r="378" spans="1:4">
      <c r="A378" s="649" t="s">
        <v>3388</v>
      </c>
      <c r="B378" s="650" t="s">
        <v>3389</v>
      </c>
      <c r="C378" s="650" t="s">
        <v>3385</v>
      </c>
      <c r="D378" s="651" t="s">
        <v>2433</v>
      </c>
    </row>
    <row r="379" spans="1:4">
      <c r="A379" s="649" t="s">
        <v>3390</v>
      </c>
      <c r="B379" s="650" t="s">
        <v>3391</v>
      </c>
      <c r="C379" s="650" t="s">
        <v>3373</v>
      </c>
      <c r="D379" s="651" t="s">
        <v>2433</v>
      </c>
    </row>
    <row r="380" spans="1:4">
      <c r="A380" s="649" t="s">
        <v>3392</v>
      </c>
      <c r="B380" s="650" t="s">
        <v>3393</v>
      </c>
      <c r="C380" s="650" t="s">
        <v>3394</v>
      </c>
      <c r="D380" s="651" t="s">
        <v>2433</v>
      </c>
    </row>
    <row r="381" spans="1:4">
      <c r="A381" s="649" t="s">
        <v>3395</v>
      </c>
      <c r="B381" s="650" t="s">
        <v>3396</v>
      </c>
      <c r="C381" s="650" t="s">
        <v>3373</v>
      </c>
      <c r="D381" s="651" t="s">
        <v>2397</v>
      </c>
    </row>
    <row r="382" spans="1:4">
      <c r="A382" s="649" t="s">
        <v>3397</v>
      </c>
      <c r="B382" s="650" t="s">
        <v>3398</v>
      </c>
      <c r="C382" s="650" t="s">
        <v>3373</v>
      </c>
      <c r="D382" s="651" t="s">
        <v>2397</v>
      </c>
    </row>
    <row r="383" spans="1:4">
      <c r="A383" s="649" t="s">
        <v>3399</v>
      </c>
      <c r="B383" s="650" t="s">
        <v>3400</v>
      </c>
      <c r="C383" s="650" t="s">
        <v>3373</v>
      </c>
      <c r="D383" s="651" t="s">
        <v>2433</v>
      </c>
    </row>
    <row r="384" spans="1:4">
      <c r="A384" s="649" t="s">
        <v>3401</v>
      </c>
      <c r="B384" s="650" t="s">
        <v>3402</v>
      </c>
      <c r="C384" s="650" t="s">
        <v>3403</v>
      </c>
      <c r="D384" s="651" t="s">
        <v>2433</v>
      </c>
    </row>
    <row r="385" spans="1:4">
      <c r="A385" s="649" t="s">
        <v>3404</v>
      </c>
      <c r="B385" s="650" t="s">
        <v>3405</v>
      </c>
      <c r="C385" s="650" t="s">
        <v>3406</v>
      </c>
      <c r="D385" s="651" t="s">
        <v>2433</v>
      </c>
    </row>
    <row r="386" spans="1:4">
      <c r="A386" s="649" t="s">
        <v>3407</v>
      </c>
      <c r="B386" s="650" t="s">
        <v>3408</v>
      </c>
      <c r="C386" s="650" t="s">
        <v>3409</v>
      </c>
      <c r="D386" s="651" t="s">
        <v>2433</v>
      </c>
    </row>
    <row r="387" spans="1:4">
      <c r="A387" s="649" t="s">
        <v>3410</v>
      </c>
      <c r="B387" s="650" t="s">
        <v>3411</v>
      </c>
      <c r="C387" s="650" t="s">
        <v>3412</v>
      </c>
      <c r="D387" s="651" t="s">
        <v>2429</v>
      </c>
    </row>
    <row r="388" spans="1:4">
      <c r="A388" s="649" t="s">
        <v>3413</v>
      </c>
      <c r="B388" s="650" t="s">
        <v>3414</v>
      </c>
      <c r="C388" s="650" t="s">
        <v>3007</v>
      </c>
      <c r="D388" s="651" t="s">
        <v>2433</v>
      </c>
    </row>
    <row r="389" spans="1:4">
      <c r="A389" s="649" t="s">
        <v>3415</v>
      </c>
      <c r="B389" s="650" t="s">
        <v>3416</v>
      </c>
      <c r="C389" s="650" t="s">
        <v>3007</v>
      </c>
      <c r="D389" s="651" t="s">
        <v>2433</v>
      </c>
    </row>
    <row r="390" spans="1:4">
      <c r="A390" s="649" t="s">
        <v>3417</v>
      </c>
      <c r="B390" s="650" t="s">
        <v>3418</v>
      </c>
      <c r="C390" s="650" t="s">
        <v>3419</v>
      </c>
      <c r="D390" s="651" t="s">
        <v>2433</v>
      </c>
    </row>
    <row r="391" spans="1:4">
      <c r="A391" s="649" t="s">
        <v>3420</v>
      </c>
      <c r="B391" s="650" t="s">
        <v>3421</v>
      </c>
      <c r="C391" s="650" t="s">
        <v>3419</v>
      </c>
      <c r="D391" s="651" t="s">
        <v>2381</v>
      </c>
    </row>
    <row r="392" spans="1:4">
      <c r="A392" s="649" t="s">
        <v>3422</v>
      </c>
      <c r="B392" s="650" t="s">
        <v>3423</v>
      </c>
      <c r="C392" s="650" t="s">
        <v>3424</v>
      </c>
      <c r="D392" s="651" t="s">
        <v>2433</v>
      </c>
    </row>
    <row r="393" spans="1:4">
      <c r="A393" s="649" t="s">
        <v>3425</v>
      </c>
      <c r="B393" s="650" t="s">
        <v>3426</v>
      </c>
      <c r="C393" s="650" t="s">
        <v>3427</v>
      </c>
      <c r="D393" s="651" t="s">
        <v>2397</v>
      </c>
    </row>
    <row r="394" spans="1:4">
      <c r="A394" s="649" t="s">
        <v>3428</v>
      </c>
      <c r="B394" s="650" t="s">
        <v>3429</v>
      </c>
      <c r="C394" s="650" t="s">
        <v>3430</v>
      </c>
      <c r="D394" s="651" t="s">
        <v>2433</v>
      </c>
    </row>
    <row r="395" spans="1:4">
      <c r="A395" s="649" t="s">
        <v>3431</v>
      </c>
      <c r="B395" s="650" t="s">
        <v>3432</v>
      </c>
      <c r="C395" s="650" t="s">
        <v>3433</v>
      </c>
      <c r="D395" s="651" t="s">
        <v>2397</v>
      </c>
    </row>
    <row r="396" spans="1:4">
      <c r="A396" s="649" t="s">
        <v>3434</v>
      </c>
      <c r="B396" s="650" t="s">
        <v>3435</v>
      </c>
      <c r="C396" s="650" t="s">
        <v>3436</v>
      </c>
      <c r="D396" s="651" t="s">
        <v>2381</v>
      </c>
    </row>
    <row r="397" spans="1:4">
      <c r="A397" s="649" t="s">
        <v>3437</v>
      </c>
      <c r="B397" s="650" t="s">
        <v>3438</v>
      </c>
      <c r="C397" s="650" t="s">
        <v>3439</v>
      </c>
      <c r="D397" s="651" t="s">
        <v>2491</v>
      </c>
    </row>
    <row r="398" spans="1:4">
      <c r="A398" s="649" t="s">
        <v>3440</v>
      </c>
      <c r="B398" s="650" t="s">
        <v>3441</v>
      </c>
      <c r="C398" s="650" t="s">
        <v>3442</v>
      </c>
      <c r="D398" s="651" t="s">
        <v>2433</v>
      </c>
    </row>
    <row r="399" spans="1:4">
      <c r="A399" s="649" t="s">
        <v>3443</v>
      </c>
      <c r="B399" s="650" t="s">
        <v>3444</v>
      </c>
      <c r="C399" s="650" t="s">
        <v>3445</v>
      </c>
      <c r="D399" s="651" t="s">
        <v>2433</v>
      </c>
    </row>
    <row r="400" spans="1:4">
      <c r="A400" s="649" t="s">
        <v>3446</v>
      </c>
      <c r="B400" s="650" t="s">
        <v>3447</v>
      </c>
      <c r="C400" s="650" t="s">
        <v>3445</v>
      </c>
      <c r="D400" s="651" t="s">
        <v>2433</v>
      </c>
    </row>
    <row r="401" spans="1:4">
      <c r="A401" s="649" t="s">
        <v>3448</v>
      </c>
      <c r="B401" s="650" t="s">
        <v>3449</v>
      </c>
      <c r="C401" s="650" t="s">
        <v>3445</v>
      </c>
      <c r="D401" s="651" t="s">
        <v>2433</v>
      </c>
    </row>
    <row r="402" spans="1:4">
      <c r="A402" s="649" t="s">
        <v>3450</v>
      </c>
      <c r="B402" s="650" t="s">
        <v>3451</v>
      </c>
      <c r="C402" s="650" t="s">
        <v>3452</v>
      </c>
      <c r="D402" s="651" t="s">
        <v>2433</v>
      </c>
    </row>
    <row r="403" spans="1:4">
      <c r="A403" s="649" t="s">
        <v>3453</v>
      </c>
      <c r="B403" s="650" t="s">
        <v>3454</v>
      </c>
      <c r="C403" s="650" t="s">
        <v>3445</v>
      </c>
      <c r="D403" s="651" t="s">
        <v>2433</v>
      </c>
    </row>
    <row r="404" spans="1:4">
      <c r="A404" s="649" t="s">
        <v>3455</v>
      </c>
      <c r="B404" s="650" t="s">
        <v>3456</v>
      </c>
      <c r="C404" s="650" t="s">
        <v>3457</v>
      </c>
      <c r="D404" s="651" t="s">
        <v>2397</v>
      </c>
    </row>
    <row r="405" spans="1:4">
      <c r="A405" s="649" t="s">
        <v>3458</v>
      </c>
      <c r="B405" s="650" t="s">
        <v>3459</v>
      </c>
      <c r="C405" s="650" t="s">
        <v>3457</v>
      </c>
      <c r="D405" s="651" t="s">
        <v>2433</v>
      </c>
    </row>
    <row r="406" spans="1:4">
      <c r="A406" s="649" t="s">
        <v>3460</v>
      </c>
      <c r="B406" s="650" t="s">
        <v>3461</v>
      </c>
      <c r="C406" s="650" t="s">
        <v>3462</v>
      </c>
      <c r="D406" s="651" t="s">
        <v>2433</v>
      </c>
    </row>
    <row r="407" spans="1:4">
      <c r="A407" s="649" t="s">
        <v>3463</v>
      </c>
      <c r="B407" s="650" t="s">
        <v>3464</v>
      </c>
      <c r="C407" s="650" t="s">
        <v>3465</v>
      </c>
      <c r="D407" s="651" t="s">
        <v>2433</v>
      </c>
    </row>
    <row r="408" spans="1:4">
      <c r="A408" s="649" t="s">
        <v>3466</v>
      </c>
      <c r="B408" s="650" t="s">
        <v>3467</v>
      </c>
      <c r="C408" s="650" t="s">
        <v>3468</v>
      </c>
      <c r="D408" s="651" t="s">
        <v>2433</v>
      </c>
    </row>
    <row r="409" spans="1:4">
      <c r="A409" s="649" t="s">
        <v>3469</v>
      </c>
      <c r="B409" s="650" t="s">
        <v>3470</v>
      </c>
      <c r="C409" s="650" t="s">
        <v>3471</v>
      </c>
      <c r="D409" s="651" t="s">
        <v>2433</v>
      </c>
    </row>
    <row r="410" spans="1:4">
      <c r="A410" s="649" t="s">
        <v>3472</v>
      </c>
      <c r="B410" s="650" t="s">
        <v>3473</v>
      </c>
      <c r="C410" s="650" t="s">
        <v>3474</v>
      </c>
      <c r="D410" s="651" t="s">
        <v>2397</v>
      </c>
    </row>
    <row r="411" spans="1:4">
      <c r="A411" s="649" t="s">
        <v>3475</v>
      </c>
      <c r="B411" s="650" t="s">
        <v>3476</v>
      </c>
      <c r="C411" s="650" t="s">
        <v>3477</v>
      </c>
      <c r="D411" s="651" t="s">
        <v>2381</v>
      </c>
    </row>
    <row r="412" spans="1:4">
      <c r="A412" s="649" t="s">
        <v>3478</v>
      </c>
      <c r="B412" s="650" t="s">
        <v>3479</v>
      </c>
      <c r="C412" s="650" t="s">
        <v>3480</v>
      </c>
      <c r="D412" s="651" t="s">
        <v>2397</v>
      </c>
    </row>
    <row r="413" spans="1:4">
      <c r="A413" s="649" t="s">
        <v>3481</v>
      </c>
      <c r="B413" s="650" t="s">
        <v>3482</v>
      </c>
      <c r="C413" s="650" t="s">
        <v>3480</v>
      </c>
      <c r="D413" s="651" t="s">
        <v>2397</v>
      </c>
    </row>
    <row r="414" spans="1:4">
      <c r="A414" s="649" t="s">
        <v>3483</v>
      </c>
      <c r="B414" s="650" t="s">
        <v>3484</v>
      </c>
      <c r="C414" s="650" t="s">
        <v>3480</v>
      </c>
      <c r="D414" s="651" t="s">
        <v>2422</v>
      </c>
    </row>
    <row r="415" spans="1:4">
      <c r="A415" s="649" t="s">
        <v>3485</v>
      </c>
      <c r="B415" s="650" t="s">
        <v>3486</v>
      </c>
      <c r="C415" s="650" t="s">
        <v>3487</v>
      </c>
      <c r="D415" s="651" t="s">
        <v>2433</v>
      </c>
    </row>
    <row r="416" spans="1:4">
      <c r="A416" s="649" t="s">
        <v>3488</v>
      </c>
      <c r="B416" s="650" t="s">
        <v>3489</v>
      </c>
      <c r="C416" s="650" t="s">
        <v>3490</v>
      </c>
      <c r="D416" s="651" t="s">
        <v>2433</v>
      </c>
    </row>
    <row r="417" spans="1:4">
      <c r="A417" s="649" t="s">
        <v>3491</v>
      </c>
      <c r="B417" s="650" t="s">
        <v>3492</v>
      </c>
      <c r="C417" s="650" t="s">
        <v>3493</v>
      </c>
      <c r="D417" s="651" t="s">
        <v>2422</v>
      </c>
    </row>
    <row r="418" spans="1:4">
      <c r="A418" s="649" t="s">
        <v>3494</v>
      </c>
      <c r="B418" s="650" t="s">
        <v>3495</v>
      </c>
      <c r="C418" s="650" t="s">
        <v>3496</v>
      </c>
      <c r="D418" s="651" t="s">
        <v>2433</v>
      </c>
    </row>
    <row r="419" spans="1:4">
      <c r="A419" s="649" t="s">
        <v>3497</v>
      </c>
      <c r="B419" s="650" t="s">
        <v>3498</v>
      </c>
      <c r="C419" s="650" t="s">
        <v>3496</v>
      </c>
      <c r="D419" s="651" t="s">
        <v>2397</v>
      </c>
    </row>
    <row r="420" spans="1:4">
      <c r="A420" s="649" t="s">
        <v>3499</v>
      </c>
      <c r="B420" s="650" t="s">
        <v>3500</v>
      </c>
      <c r="C420" s="650" t="s">
        <v>3501</v>
      </c>
      <c r="D420" s="651" t="s">
        <v>2397</v>
      </c>
    </row>
    <row r="421" spans="1:4">
      <c r="A421" s="649" t="s">
        <v>3502</v>
      </c>
      <c r="B421" s="650" t="s">
        <v>3503</v>
      </c>
      <c r="C421" s="650" t="s">
        <v>3504</v>
      </c>
      <c r="D421" s="651" t="s">
        <v>2397</v>
      </c>
    </row>
    <row r="422" spans="1:4">
      <c r="A422" s="649" t="s">
        <v>3505</v>
      </c>
      <c r="B422" s="650" t="s">
        <v>3506</v>
      </c>
      <c r="C422" s="650" t="s">
        <v>3507</v>
      </c>
      <c r="D422" s="651" t="s">
        <v>2381</v>
      </c>
    </row>
    <row r="423" spans="1:4">
      <c r="A423" s="649" t="s">
        <v>3508</v>
      </c>
      <c r="B423" s="650" t="s">
        <v>3509</v>
      </c>
      <c r="C423" s="650" t="s">
        <v>3507</v>
      </c>
      <c r="D423" s="651" t="s">
        <v>2381</v>
      </c>
    </row>
    <row r="424" spans="1:4">
      <c r="A424" s="649" t="s">
        <v>3510</v>
      </c>
      <c r="B424" s="650" t="s">
        <v>3511</v>
      </c>
      <c r="C424" s="650" t="s">
        <v>3507</v>
      </c>
      <c r="D424" s="651" t="s">
        <v>2397</v>
      </c>
    </row>
    <row r="425" spans="1:4">
      <c r="A425" s="649" t="s">
        <v>3512</v>
      </c>
      <c r="B425" s="650" t="s">
        <v>3513</v>
      </c>
      <c r="C425" s="650" t="s">
        <v>3514</v>
      </c>
      <c r="D425" s="651" t="s">
        <v>2381</v>
      </c>
    </row>
    <row r="426" spans="1:4">
      <c r="A426" s="649" t="s">
        <v>3515</v>
      </c>
      <c r="B426" s="650" t="s">
        <v>3516</v>
      </c>
      <c r="C426" s="650" t="s">
        <v>3517</v>
      </c>
      <c r="D426" s="651" t="s">
        <v>2397</v>
      </c>
    </row>
    <row r="427" spans="1:4">
      <c r="A427" s="649" t="s">
        <v>3518</v>
      </c>
      <c r="B427" s="650" t="s">
        <v>3519</v>
      </c>
      <c r="C427" s="650" t="s">
        <v>3520</v>
      </c>
      <c r="D427" s="651" t="s">
        <v>2381</v>
      </c>
    </row>
    <row r="428" spans="1:4">
      <c r="A428" s="649" t="s">
        <v>3521</v>
      </c>
      <c r="B428" s="650" t="s">
        <v>3522</v>
      </c>
      <c r="C428" s="650" t="s">
        <v>3520</v>
      </c>
      <c r="D428" s="651" t="s">
        <v>2381</v>
      </c>
    </row>
    <row r="429" spans="1:4">
      <c r="A429" s="649" t="s">
        <v>3523</v>
      </c>
      <c r="B429" s="650" t="s">
        <v>3524</v>
      </c>
      <c r="C429" s="650" t="s">
        <v>3520</v>
      </c>
      <c r="D429" s="651" t="s">
        <v>2381</v>
      </c>
    </row>
    <row r="430" spans="1:4">
      <c r="A430" s="649" t="s">
        <v>3525</v>
      </c>
      <c r="B430" s="650" t="s">
        <v>3526</v>
      </c>
      <c r="C430" s="650" t="s">
        <v>3520</v>
      </c>
      <c r="D430" s="651" t="s">
        <v>2381</v>
      </c>
    </row>
    <row r="431" spans="1:4">
      <c r="A431" s="649" t="s">
        <v>3527</v>
      </c>
      <c r="B431" s="650" t="s">
        <v>3528</v>
      </c>
      <c r="C431" s="650" t="s">
        <v>3529</v>
      </c>
      <c r="D431" s="651" t="s">
        <v>2397</v>
      </c>
    </row>
    <row r="432" spans="1:4">
      <c r="A432" s="649" t="s">
        <v>3530</v>
      </c>
      <c r="B432" s="650" t="s">
        <v>3531</v>
      </c>
      <c r="C432" s="650" t="s">
        <v>3532</v>
      </c>
      <c r="D432" s="651" t="s">
        <v>2429</v>
      </c>
    </row>
    <row r="433" spans="1:4">
      <c r="A433" s="649" t="s">
        <v>3533</v>
      </c>
      <c r="B433" s="650" t="s">
        <v>3534</v>
      </c>
      <c r="C433" s="650" t="s">
        <v>3535</v>
      </c>
      <c r="D433" s="651" t="s">
        <v>2397</v>
      </c>
    </row>
    <row r="434" spans="1:4">
      <c r="A434" s="649" t="s">
        <v>3536</v>
      </c>
      <c r="B434" s="650" t="s">
        <v>3537</v>
      </c>
      <c r="C434" s="650" t="s">
        <v>3538</v>
      </c>
      <c r="D434" s="651" t="s">
        <v>2397</v>
      </c>
    </row>
    <row r="435" spans="1:4">
      <c r="A435" s="649" t="s">
        <v>3539</v>
      </c>
      <c r="B435" s="650" t="s">
        <v>3540</v>
      </c>
      <c r="C435" s="650" t="s">
        <v>3541</v>
      </c>
      <c r="D435" s="651" t="s">
        <v>2397</v>
      </c>
    </row>
    <row r="436" spans="1:4">
      <c r="A436" s="649" t="s">
        <v>3542</v>
      </c>
      <c r="B436" s="650" t="s">
        <v>3543</v>
      </c>
      <c r="C436" s="650"/>
      <c r="D436" s="651" t="s">
        <v>2433</v>
      </c>
    </row>
    <row r="437" spans="1:4">
      <c r="A437" s="649" t="s">
        <v>3544</v>
      </c>
      <c r="B437" s="650" t="s">
        <v>3545</v>
      </c>
      <c r="C437" s="650" t="s">
        <v>3546</v>
      </c>
      <c r="D437" s="651" t="s">
        <v>2381</v>
      </c>
    </row>
    <row r="438" spans="1:4">
      <c r="A438" s="649" t="s">
        <v>3547</v>
      </c>
      <c r="B438" s="650" t="s">
        <v>3548</v>
      </c>
      <c r="C438" s="650" t="s">
        <v>3549</v>
      </c>
      <c r="D438" s="651" t="s">
        <v>2381</v>
      </c>
    </row>
    <row r="439" spans="1:4">
      <c r="A439" s="649" t="s">
        <v>3550</v>
      </c>
      <c r="B439" s="650" t="s">
        <v>3551</v>
      </c>
      <c r="C439" s="650" t="s">
        <v>3552</v>
      </c>
      <c r="D439" s="651" t="s">
        <v>2381</v>
      </c>
    </row>
    <row r="440" spans="1:4">
      <c r="A440" s="649" t="s">
        <v>3553</v>
      </c>
      <c r="B440" s="650" t="s">
        <v>3554</v>
      </c>
      <c r="C440" s="650" t="s">
        <v>3555</v>
      </c>
      <c r="D440" s="651" t="s">
        <v>2381</v>
      </c>
    </row>
    <row r="441" spans="1:4">
      <c r="A441" s="649" t="s">
        <v>3556</v>
      </c>
      <c r="B441" s="650" t="s">
        <v>3557</v>
      </c>
      <c r="C441" s="650" t="s">
        <v>3558</v>
      </c>
      <c r="D441" s="651" t="s">
        <v>2381</v>
      </c>
    </row>
    <row r="442" spans="1:4">
      <c r="A442" s="649" t="s">
        <v>3559</v>
      </c>
      <c r="B442" s="650" t="s">
        <v>3560</v>
      </c>
      <c r="C442" s="650" t="s">
        <v>3561</v>
      </c>
      <c r="D442" s="651" t="s">
        <v>2381</v>
      </c>
    </row>
    <row r="443" spans="1:4">
      <c r="A443" s="649" t="s">
        <v>3562</v>
      </c>
      <c r="B443" s="650" t="s">
        <v>3563</v>
      </c>
      <c r="C443" s="650" t="s">
        <v>3564</v>
      </c>
      <c r="D443" s="651" t="s">
        <v>2381</v>
      </c>
    </row>
    <row r="444" spans="1:4">
      <c r="A444" s="649" t="s">
        <v>3565</v>
      </c>
      <c r="B444" s="650" t="s">
        <v>3566</v>
      </c>
      <c r="C444" s="650" t="s">
        <v>3567</v>
      </c>
      <c r="D444" s="651" t="s">
        <v>2381</v>
      </c>
    </row>
    <row r="445" spans="1:4">
      <c r="A445" s="649" t="s">
        <v>3568</v>
      </c>
      <c r="B445" s="650" t="s">
        <v>3569</v>
      </c>
      <c r="C445" s="650" t="s">
        <v>3570</v>
      </c>
      <c r="D445" s="651" t="s">
        <v>2397</v>
      </c>
    </row>
    <row r="446" spans="1:4">
      <c r="A446" s="649" t="s">
        <v>3571</v>
      </c>
      <c r="B446" s="650" t="s">
        <v>3572</v>
      </c>
      <c r="C446" s="650" t="s">
        <v>3573</v>
      </c>
      <c r="D446" s="651" t="s">
        <v>2397</v>
      </c>
    </row>
    <row r="447" spans="1:4">
      <c r="A447" s="649" t="s">
        <v>3574</v>
      </c>
      <c r="B447" s="650" t="s">
        <v>3575</v>
      </c>
      <c r="C447" s="650" t="s">
        <v>3576</v>
      </c>
      <c r="D447" s="651" t="s">
        <v>2433</v>
      </c>
    </row>
    <row r="448" spans="1:4">
      <c r="A448" s="649" t="s">
        <v>3577</v>
      </c>
      <c r="B448" s="650" t="s">
        <v>3578</v>
      </c>
      <c r="C448" s="650" t="s">
        <v>3579</v>
      </c>
      <c r="D448" s="651" t="s">
        <v>2397</v>
      </c>
    </row>
    <row r="449" spans="1:4">
      <c r="A449" s="649" t="s">
        <v>3580</v>
      </c>
      <c r="B449" s="650" t="s">
        <v>3581</v>
      </c>
      <c r="C449" s="650" t="s">
        <v>2895</v>
      </c>
      <c r="D449" s="651" t="s">
        <v>2422</v>
      </c>
    </row>
    <row r="450" spans="1:4">
      <c r="A450" s="649" t="s">
        <v>3582</v>
      </c>
      <c r="B450" s="650" t="s">
        <v>3583</v>
      </c>
      <c r="C450" s="650" t="s">
        <v>3584</v>
      </c>
      <c r="D450" s="651" t="s">
        <v>2397</v>
      </c>
    </row>
    <row r="451" spans="1:4">
      <c r="A451" s="649" t="s">
        <v>3585</v>
      </c>
      <c r="B451" s="650" t="s">
        <v>3586</v>
      </c>
      <c r="C451" s="650"/>
      <c r="D451" s="651" t="s">
        <v>2397</v>
      </c>
    </row>
    <row r="452" spans="1:4">
      <c r="A452" s="649" t="s">
        <v>3587</v>
      </c>
      <c r="B452" s="650" t="s">
        <v>3588</v>
      </c>
      <c r="C452" s="650" t="s">
        <v>31</v>
      </c>
      <c r="D452" s="651" t="s">
        <v>2433</v>
      </c>
    </row>
    <row r="453" spans="1:4">
      <c r="A453" s="649" t="s">
        <v>3589</v>
      </c>
      <c r="B453" s="650" t="s">
        <v>3590</v>
      </c>
      <c r="C453" s="650" t="s">
        <v>3591</v>
      </c>
      <c r="D453" s="651" t="s">
        <v>2397</v>
      </c>
    </row>
    <row r="454" spans="1:4">
      <c r="A454" s="649" t="s">
        <v>3592</v>
      </c>
      <c r="B454" s="650" t="s">
        <v>3593</v>
      </c>
      <c r="C454" s="650" t="s">
        <v>3594</v>
      </c>
      <c r="D454" s="651" t="s">
        <v>2429</v>
      </c>
    </row>
    <row r="455" spans="1:4">
      <c r="A455" s="649" t="s">
        <v>3595</v>
      </c>
      <c r="B455" s="650" t="s">
        <v>3596</v>
      </c>
      <c r="C455" s="650" t="s">
        <v>3597</v>
      </c>
      <c r="D455" s="651" t="s">
        <v>2433</v>
      </c>
    </row>
    <row r="456" spans="1:4">
      <c r="A456" s="649" t="s">
        <v>3598</v>
      </c>
      <c r="B456" s="650" t="s">
        <v>3599</v>
      </c>
      <c r="C456" s="650"/>
      <c r="D456" s="651" t="s">
        <v>2433</v>
      </c>
    </row>
    <row r="457" spans="1:4">
      <c r="A457" s="649" t="s">
        <v>3600</v>
      </c>
      <c r="B457" s="650" t="s">
        <v>3601</v>
      </c>
      <c r="C457" s="650" t="s">
        <v>3602</v>
      </c>
      <c r="D457" s="651" t="s">
        <v>2381</v>
      </c>
    </row>
    <row r="458" spans="1:4">
      <c r="A458" s="649" t="s">
        <v>3603</v>
      </c>
      <c r="B458" s="650" t="s">
        <v>3604</v>
      </c>
      <c r="C458" s="650" t="s">
        <v>3605</v>
      </c>
      <c r="D458" s="651" t="s">
        <v>2429</v>
      </c>
    </row>
    <row r="459" spans="1:4">
      <c r="A459" s="649" t="s">
        <v>3606</v>
      </c>
      <c r="B459" s="650" t="s">
        <v>3607</v>
      </c>
      <c r="C459" s="650" t="s">
        <v>2472</v>
      </c>
      <c r="D459" s="651" t="s">
        <v>2381</v>
      </c>
    </row>
    <row r="460" spans="1:4">
      <c r="A460" s="649" t="s">
        <v>3608</v>
      </c>
      <c r="B460" s="650" t="s">
        <v>3609</v>
      </c>
      <c r="C460" s="650" t="s">
        <v>3610</v>
      </c>
      <c r="D460" s="651" t="s">
        <v>2381</v>
      </c>
    </row>
    <row r="461" spans="1:4">
      <c r="A461" s="649" t="s">
        <v>3611</v>
      </c>
      <c r="B461" s="650" t="s">
        <v>3612</v>
      </c>
      <c r="C461" s="650"/>
      <c r="D461" s="651" t="s">
        <v>2429</v>
      </c>
    </row>
    <row r="462" spans="1:4">
      <c r="A462" s="649" t="s">
        <v>3613</v>
      </c>
      <c r="B462" s="650" t="s">
        <v>3614</v>
      </c>
      <c r="C462" s="650"/>
      <c r="D462" s="651" t="s">
        <v>2397</v>
      </c>
    </row>
    <row r="463" spans="1:4">
      <c r="A463" s="649" t="s">
        <v>3615</v>
      </c>
      <c r="B463" s="650" t="s">
        <v>3616</v>
      </c>
      <c r="C463" s="650"/>
      <c r="D463" s="651" t="s">
        <v>2397</v>
      </c>
    </row>
    <row r="464" spans="1:4">
      <c r="A464" s="649" t="s">
        <v>3617</v>
      </c>
      <c r="B464" s="650" t="s">
        <v>3618</v>
      </c>
      <c r="C464" s="650"/>
      <c r="D464" s="651" t="s">
        <v>2397</v>
      </c>
    </row>
    <row r="465" spans="1:4">
      <c r="A465" s="649" t="s">
        <v>3619</v>
      </c>
      <c r="B465" s="650" t="s">
        <v>3620</v>
      </c>
      <c r="C465" s="650"/>
      <c r="D465" s="651" t="s">
        <v>2397</v>
      </c>
    </row>
    <row r="466" spans="1:4">
      <c r="A466" s="649" t="s">
        <v>3621</v>
      </c>
      <c r="B466" s="650" t="s">
        <v>3622</v>
      </c>
      <c r="C466" s="650"/>
      <c r="D466" s="651" t="s">
        <v>2397</v>
      </c>
    </row>
    <row r="467" spans="1:4">
      <c r="A467" s="649" t="s">
        <v>3623</v>
      </c>
      <c r="B467" s="650" t="s">
        <v>3624</v>
      </c>
      <c r="C467" s="650"/>
      <c r="D467" s="651" t="s">
        <v>2397</v>
      </c>
    </row>
    <row r="468" spans="1:4">
      <c r="A468" s="649" t="s">
        <v>3625</v>
      </c>
      <c r="B468" s="650" t="s">
        <v>3626</v>
      </c>
      <c r="C468" s="650"/>
      <c r="D468" s="651" t="s">
        <v>2397</v>
      </c>
    </row>
    <row r="469" spans="1:4">
      <c r="A469" s="649" t="s">
        <v>3627</v>
      </c>
      <c r="B469" s="650" t="s">
        <v>3628</v>
      </c>
      <c r="C469" s="650"/>
      <c r="D469" s="651" t="s">
        <v>2397</v>
      </c>
    </row>
    <row r="470" spans="1:4">
      <c r="A470" s="649" t="s">
        <v>3629</v>
      </c>
      <c r="B470" s="650" t="s">
        <v>3630</v>
      </c>
      <c r="C470" s="650"/>
      <c r="D470" s="651" t="s">
        <v>2397</v>
      </c>
    </row>
    <row r="471" spans="1:4">
      <c r="A471" s="649" t="s">
        <v>3631</v>
      </c>
      <c r="B471" s="650" t="s">
        <v>3632</v>
      </c>
      <c r="C471" s="650"/>
      <c r="D471" s="651" t="s">
        <v>2397</v>
      </c>
    </row>
    <row r="472" spans="1:4">
      <c r="A472" s="649" t="s">
        <v>3633</v>
      </c>
      <c r="B472" s="650" t="s">
        <v>3634</v>
      </c>
      <c r="C472" s="650"/>
      <c r="D472" s="651" t="s">
        <v>2397</v>
      </c>
    </row>
    <row r="473" spans="1:4">
      <c r="A473" s="649" t="s">
        <v>3635</v>
      </c>
      <c r="B473" s="650" t="s">
        <v>3636</v>
      </c>
      <c r="C473" s="650"/>
      <c r="D473" s="651" t="s">
        <v>2397</v>
      </c>
    </row>
    <row r="474" spans="1:4">
      <c r="A474" s="649" t="s">
        <v>3637</v>
      </c>
      <c r="B474" s="650" t="s">
        <v>3638</v>
      </c>
      <c r="C474" s="650"/>
      <c r="D474" s="651" t="s">
        <v>2397</v>
      </c>
    </row>
    <row r="475" spans="1:4">
      <c r="A475" s="649" t="s">
        <v>3639</v>
      </c>
      <c r="B475" s="650" t="s">
        <v>3640</v>
      </c>
      <c r="C475" s="650"/>
      <c r="D475" s="651" t="s">
        <v>2397</v>
      </c>
    </row>
    <row r="476" spans="1:4">
      <c r="A476" s="649" t="s">
        <v>3641</v>
      </c>
      <c r="B476" s="650" t="s">
        <v>3642</v>
      </c>
      <c r="C476" s="650"/>
      <c r="D476" s="651" t="s">
        <v>2397</v>
      </c>
    </row>
    <row r="477" spans="1:4">
      <c r="A477" s="649" t="s">
        <v>3643</v>
      </c>
      <c r="B477" s="650" t="s">
        <v>3644</v>
      </c>
      <c r="C477" s="650" t="s">
        <v>3645</v>
      </c>
      <c r="D477" s="651" t="s">
        <v>2397</v>
      </c>
    </row>
    <row r="478" spans="1:4">
      <c r="A478" s="649" t="s">
        <v>3646</v>
      </c>
      <c r="B478" s="650" t="s">
        <v>3647</v>
      </c>
      <c r="C478" s="650"/>
      <c r="D478" s="651" t="s">
        <v>2397</v>
      </c>
    </row>
    <row r="479" spans="1:4">
      <c r="A479" s="649" t="s">
        <v>3648</v>
      </c>
      <c r="B479" s="650" t="s">
        <v>3649</v>
      </c>
      <c r="C479" s="650"/>
      <c r="D479" s="651" t="s">
        <v>2429</v>
      </c>
    </row>
    <row r="480" spans="1:4">
      <c r="A480" s="649" t="s">
        <v>3650</v>
      </c>
      <c r="B480" s="650" t="s">
        <v>3651</v>
      </c>
      <c r="C480" s="650"/>
      <c r="D480" s="651" t="s">
        <v>2397</v>
      </c>
    </row>
    <row r="481" spans="1:4">
      <c r="A481" s="649" t="s">
        <v>3652</v>
      </c>
      <c r="B481" s="650" t="s">
        <v>3653</v>
      </c>
      <c r="C481" s="650"/>
      <c r="D481" s="651" t="s">
        <v>2397</v>
      </c>
    </row>
    <row r="482" spans="1:4">
      <c r="A482" s="649" t="s">
        <v>3654</v>
      </c>
      <c r="B482" s="650" t="s">
        <v>3655</v>
      </c>
      <c r="C482" s="650"/>
      <c r="D482" s="651" t="s">
        <v>2397</v>
      </c>
    </row>
    <row r="483" spans="1:4">
      <c r="A483" s="649" t="s">
        <v>3656</v>
      </c>
      <c r="B483" s="650" t="s">
        <v>2745</v>
      </c>
      <c r="C483" s="650"/>
      <c r="D483" s="651" t="s">
        <v>2397</v>
      </c>
    </row>
    <row r="484" spans="1:4">
      <c r="A484" s="649" t="s">
        <v>3657</v>
      </c>
      <c r="B484" s="650" t="s">
        <v>3658</v>
      </c>
      <c r="C484" s="650"/>
      <c r="D484" s="651" t="s">
        <v>2397</v>
      </c>
    </row>
    <row r="485" spans="1:4">
      <c r="A485" s="649" t="s">
        <v>3659</v>
      </c>
      <c r="B485" s="650" t="s">
        <v>3660</v>
      </c>
      <c r="C485" s="650"/>
      <c r="D485" s="651" t="s">
        <v>2397</v>
      </c>
    </row>
    <row r="486" spans="1:4">
      <c r="A486" s="649" t="s">
        <v>3661</v>
      </c>
      <c r="B486" s="650" t="s">
        <v>3662</v>
      </c>
      <c r="C486" s="650"/>
      <c r="D486" s="651" t="s">
        <v>2397</v>
      </c>
    </row>
    <row r="487" spans="1:4">
      <c r="A487" s="649" t="s">
        <v>3663</v>
      </c>
      <c r="B487" s="650" t="s">
        <v>3664</v>
      </c>
      <c r="C487" s="650"/>
      <c r="D487" s="651" t="s">
        <v>2397</v>
      </c>
    </row>
    <row r="488" spans="1:4">
      <c r="A488" s="649" t="s">
        <v>3665</v>
      </c>
      <c r="B488" s="650" t="s">
        <v>3666</v>
      </c>
      <c r="C488" s="650"/>
      <c r="D488" s="651" t="s">
        <v>2397</v>
      </c>
    </row>
    <row r="489" spans="1:4">
      <c r="A489" s="649" t="s">
        <v>3667</v>
      </c>
      <c r="B489" s="650" t="s">
        <v>3668</v>
      </c>
      <c r="C489" s="650" t="s">
        <v>3669</v>
      </c>
      <c r="D489" s="651" t="s">
        <v>2397</v>
      </c>
    </row>
    <row r="490" spans="1:4">
      <c r="A490" s="649" t="s">
        <v>3670</v>
      </c>
      <c r="B490" s="650" t="s">
        <v>3671</v>
      </c>
      <c r="C490" s="650" t="s">
        <v>3672</v>
      </c>
      <c r="D490" s="651" t="s">
        <v>2397</v>
      </c>
    </row>
    <row r="491" spans="1:4">
      <c r="A491" s="649" t="s">
        <v>3673</v>
      </c>
      <c r="B491" s="650" t="s">
        <v>3674</v>
      </c>
      <c r="C491" s="650" t="s">
        <v>3675</v>
      </c>
      <c r="D491" s="651" t="s">
        <v>2597</v>
      </c>
    </row>
    <row r="492" spans="1:4">
      <c r="A492" s="649" t="s">
        <v>3676</v>
      </c>
      <c r="B492" s="650" t="s">
        <v>3677</v>
      </c>
      <c r="C492" s="650" t="s">
        <v>3678</v>
      </c>
      <c r="D492" s="651" t="s">
        <v>2397</v>
      </c>
    </row>
    <row r="493" spans="1:4">
      <c r="A493" s="649" t="s">
        <v>3679</v>
      </c>
      <c r="B493" s="650" t="s">
        <v>3680</v>
      </c>
      <c r="C493" s="650" t="s">
        <v>3681</v>
      </c>
      <c r="D493" s="651" t="s">
        <v>2429</v>
      </c>
    </row>
    <row r="494" spans="1:4">
      <c r="A494" s="649" t="s">
        <v>3682</v>
      </c>
      <c r="B494" s="650" t="s">
        <v>3683</v>
      </c>
      <c r="C494" s="650" t="s">
        <v>3684</v>
      </c>
      <c r="D494" s="651" t="s">
        <v>2597</v>
      </c>
    </row>
    <row r="495" spans="1:4">
      <c r="A495" s="649" t="s">
        <v>3685</v>
      </c>
      <c r="B495" s="650" t="s">
        <v>3686</v>
      </c>
      <c r="C495" s="650" t="s">
        <v>3687</v>
      </c>
      <c r="D495" s="651" t="s">
        <v>2597</v>
      </c>
    </row>
    <row r="496" spans="1:4">
      <c r="A496" s="649" t="s">
        <v>3688</v>
      </c>
      <c r="B496" s="650" t="s">
        <v>3689</v>
      </c>
      <c r="C496" s="650" t="s">
        <v>3690</v>
      </c>
      <c r="D496" s="651" t="s">
        <v>2397</v>
      </c>
    </row>
    <row r="497" spans="1:4">
      <c r="A497" s="649" t="s">
        <v>3691</v>
      </c>
      <c r="B497" s="650" t="s">
        <v>3692</v>
      </c>
      <c r="C497" s="650" t="s">
        <v>3693</v>
      </c>
      <c r="D497" s="651" t="s">
        <v>2397</v>
      </c>
    </row>
    <row r="498" spans="1:4">
      <c r="A498" s="649" t="s">
        <v>3694</v>
      </c>
      <c r="B498" s="650" t="s">
        <v>3695</v>
      </c>
      <c r="C498" s="650" t="s">
        <v>3696</v>
      </c>
      <c r="D498" s="651" t="s">
        <v>2397</v>
      </c>
    </row>
    <row r="499" spans="1:4">
      <c r="A499" s="649" t="s">
        <v>3697</v>
      </c>
      <c r="B499" s="650" t="s">
        <v>3698</v>
      </c>
      <c r="C499" s="650" t="s">
        <v>3699</v>
      </c>
      <c r="D499" s="651" t="s">
        <v>2397</v>
      </c>
    </row>
    <row r="500" spans="1:4">
      <c r="A500" s="649" t="s">
        <v>3700</v>
      </c>
      <c r="B500" s="650" t="s">
        <v>3701</v>
      </c>
      <c r="C500" s="650" t="s">
        <v>3702</v>
      </c>
      <c r="D500" s="651" t="s">
        <v>2397</v>
      </c>
    </row>
    <row r="501" spans="1:4">
      <c r="A501" s="649" t="s">
        <v>3703</v>
      </c>
      <c r="B501" s="650" t="s">
        <v>3704</v>
      </c>
      <c r="C501" s="650" t="s">
        <v>3705</v>
      </c>
      <c r="D501" s="651" t="s">
        <v>2597</v>
      </c>
    </row>
    <row r="502" spans="1:4">
      <c r="A502" s="649" t="s">
        <v>3706</v>
      </c>
      <c r="B502" s="650" t="s">
        <v>3707</v>
      </c>
      <c r="C502" s="650" t="s">
        <v>3708</v>
      </c>
      <c r="D502" s="651" t="s">
        <v>2397</v>
      </c>
    </row>
    <row r="503" spans="1:4">
      <c r="A503" s="649" t="s">
        <v>3709</v>
      </c>
      <c r="B503" s="650" t="s">
        <v>3710</v>
      </c>
      <c r="C503" s="650" t="s">
        <v>3711</v>
      </c>
      <c r="D503" s="651" t="s">
        <v>2597</v>
      </c>
    </row>
    <row r="504" spans="1:4">
      <c r="A504" s="649" t="s">
        <v>3712</v>
      </c>
      <c r="B504" s="650" t="s">
        <v>3713</v>
      </c>
      <c r="C504" s="650" t="s">
        <v>3714</v>
      </c>
      <c r="D504" s="651" t="s">
        <v>2597</v>
      </c>
    </row>
    <row r="505" spans="1:4">
      <c r="A505" s="649" t="s">
        <v>3715</v>
      </c>
      <c r="B505" s="650" t="s">
        <v>3716</v>
      </c>
      <c r="C505" s="650" t="s">
        <v>3717</v>
      </c>
      <c r="D505" s="651" t="s">
        <v>2397</v>
      </c>
    </row>
    <row r="506" spans="1:4">
      <c r="A506" s="649" t="s">
        <v>3718</v>
      </c>
      <c r="B506" s="650" t="s">
        <v>3719</v>
      </c>
      <c r="C506" s="650" t="s">
        <v>3720</v>
      </c>
      <c r="D506" s="651" t="s">
        <v>2397</v>
      </c>
    </row>
    <row r="507" spans="1:4">
      <c r="A507" s="649" t="s">
        <v>3721</v>
      </c>
      <c r="B507" s="650" t="s">
        <v>3722</v>
      </c>
      <c r="C507" s="650" t="s">
        <v>3723</v>
      </c>
      <c r="D507" s="651" t="s">
        <v>2397</v>
      </c>
    </row>
    <row r="508" spans="1:4">
      <c r="A508" s="649" t="s">
        <v>3724</v>
      </c>
      <c r="B508" s="650" t="s">
        <v>3725</v>
      </c>
      <c r="C508" s="650" t="s">
        <v>3726</v>
      </c>
      <c r="D508" s="651" t="s">
        <v>2397</v>
      </c>
    </row>
    <row r="509" spans="1:4">
      <c r="A509" s="649" t="s">
        <v>3727</v>
      </c>
      <c r="B509" s="650" t="s">
        <v>3728</v>
      </c>
      <c r="C509" s="650" t="s">
        <v>3729</v>
      </c>
      <c r="D509" s="651" t="s">
        <v>2397</v>
      </c>
    </row>
    <row r="510" spans="1:4">
      <c r="A510" s="649" t="s">
        <v>3730</v>
      </c>
      <c r="B510" s="650" t="s">
        <v>3731</v>
      </c>
      <c r="C510" s="650" t="s">
        <v>3732</v>
      </c>
      <c r="D510" s="651" t="s">
        <v>2397</v>
      </c>
    </row>
    <row r="511" spans="1:4">
      <c r="A511" s="649" t="s">
        <v>3733</v>
      </c>
      <c r="B511" s="650" t="s">
        <v>3734</v>
      </c>
      <c r="C511" s="650" t="s">
        <v>3735</v>
      </c>
      <c r="D511" s="651" t="s">
        <v>2397</v>
      </c>
    </row>
    <row r="512" spans="1:4">
      <c r="A512" s="649" t="s">
        <v>3736</v>
      </c>
      <c r="B512" s="650" t="s">
        <v>2752</v>
      </c>
      <c r="C512" s="650"/>
      <c r="D512" s="651" t="s">
        <v>2381</v>
      </c>
    </row>
    <row r="513" spans="1:4">
      <c r="A513" s="649" t="s">
        <v>3737</v>
      </c>
      <c r="B513" s="650" t="s">
        <v>3738</v>
      </c>
      <c r="C513" s="650"/>
      <c r="D513" s="651" t="s">
        <v>2597</v>
      </c>
    </row>
    <row r="514" spans="1:4">
      <c r="A514" s="649" t="s">
        <v>3739</v>
      </c>
      <c r="B514" s="650" t="s">
        <v>3740</v>
      </c>
      <c r="C514" s="650"/>
      <c r="D514" s="651" t="s">
        <v>2397</v>
      </c>
    </row>
    <row r="515" spans="1:4">
      <c r="A515" s="649" t="s">
        <v>3741</v>
      </c>
      <c r="B515" s="650" t="s">
        <v>3742</v>
      </c>
      <c r="C515" s="650"/>
      <c r="D515" s="651" t="s">
        <v>2397</v>
      </c>
    </row>
    <row r="516" spans="1:4">
      <c r="A516" s="649" t="s">
        <v>3743</v>
      </c>
      <c r="B516" s="650" t="s">
        <v>3744</v>
      </c>
      <c r="C516" s="650"/>
      <c r="D516" s="651" t="s">
        <v>2433</v>
      </c>
    </row>
    <row r="517" spans="1:4">
      <c r="A517" s="649" t="s">
        <v>3745</v>
      </c>
      <c r="B517" s="650" t="s">
        <v>3746</v>
      </c>
      <c r="C517" s="650" t="s">
        <v>3747</v>
      </c>
      <c r="D517" s="651" t="s">
        <v>2429</v>
      </c>
    </row>
    <row r="518" spans="1:4">
      <c r="A518" s="649" t="s">
        <v>3748</v>
      </c>
      <c r="B518" s="650" t="s">
        <v>3749</v>
      </c>
      <c r="C518" s="650" t="s">
        <v>3750</v>
      </c>
      <c r="D518" s="651" t="s">
        <v>2381</v>
      </c>
    </row>
    <row r="519" spans="1:4">
      <c r="A519" s="649" t="s">
        <v>3751</v>
      </c>
      <c r="B519" s="650" t="s">
        <v>3752</v>
      </c>
      <c r="C519" s="650"/>
      <c r="D519" s="651" t="s">
        <v>2381</v>
      </c>
    </row>
    <row r="520" spans="1:4">
      <c r="A520" s="649" t="s">
        <v>3753</v>
      </c>
      <c r="B520" s="650" t="s">
        <v>3754</v>
      </c>
      <c r="C520" s="650"/>
      <c r="D520" s="651" t="s">
        <v>2397</v>
      </c>
    </row>
    <row r="521" spans="1:4">
      <c r="A521" s="649" t="s">
        <v>3755</v>
      </c>
      <c r="B521" s="650" t="s">
        <v>3756</v>
      </c>
      <c r="C521" s="650"/>
      <c r="D521" s="651" t="s">
        <v>2597</v>
      </c>
    </row>
    <row r="522" spans="1:4">
      <c r="A522" s="649" t="s">
        <v>3757</v>
      </c>
      <c r="B522" s="650" t="s">
        <v>3758</v>
      </c>
      <c r="C522" s="650"/>
      <c r="D522" s="651" t="s">
        <v>2433</v>
      </c>
    </row>
    <row r="523" spans="1:4">
      <c r="A523" s="649" t="s">
        <v>3759</v>
      </c>
      <c r="B523" s="650" t="s">
        <v>3760</v>
      </c>
      <c r="C523" s="650" t="s">
        <v>3761</v>
      </c>
      <c r="D523" s="651" t="s">
        <v>2597</v>
      </c>
    </row>
    <row r="524" spans="1:4">
      <c r="A524" s="649" t="s">
        <v>3762</v>
      </c>
      <c r="B524" s="650" t="s">
        <v>3763</v>
      </c>
      <c r="C524" s="650" t="s">
        <v>3764</v>
      </c>
      <c r="D524" s="651" t="s">
        <v>2433</v>
      </c>
    </row>
    <row r="525" spans="1:4">
      <c r="A525" s="649" t="s">
        <v>3765</v>
      </c>
      <c r="B525" s="650" t="s">
        <v>3766</v>
      </c>
      <c r="C525" s="650"/>
      <c r="D525" s="651" t="s">
        <v>2397</v>
      </c>
    </row>
    <row r="526" spans="1:4">
      <c r="A526" s="649" t="s">
        <v>3767</v>
      </c>
      <c r="B526" s="650" t="s">
        <v>3768</v>
      </c>
      <c r="C526" s="650"/>
      <c r="D526" s="651" t="s">
        <v>2397</v>
      </c>
    </row>
    <row r="527" spans="1:4">
      <c r="A527" s="649" t="s">
        <v>3769</v>
      </c>
      <c r="B527" s="650" t="s">
        <v>3770</v>
      </c>
      <c r="C527" s="650"/>
      <c r="D527" s="651" t="s">
        <v>2397</v>
      </c>
    </row>
    <row r="528" spans="1:4">
      <c r="A528" s="649" t="s">
        <v>3771</v>
      </c>
      <c r="B528" s="650" t="s">
        <v>3772</v>
      </c>
      <c r="C528" s="650"/>
      <c r="D528" s="651" t="s">
        <v>2397</v>
      </c>
    </row>
    <row r="529" spans="1:4">
      <c r="A529" s="649" t="s">
        <v>3773</v>
      </c>
      <c r="B529" s="650" t="s">
        <v>3774</v>
      </c>
      <c r="C529" s="650"/>
      <c r="D529" s="651" t="s">
        <v>2433</v>
      </c>
    </row>
    <row r="530" spans="1:4">
      <c r="A530" s="649" t="s">
        <v>3775</v>
      </c>
      <c r="B530" s="650" t="s">
        <v>3776</v>
      </c>
      <c r="C530" s="650"/>
      <c r="D530" s="651" t="s">
        <v>2433</v>
      </c>
    </row>
    <row r="531" spans="1:4">
      <c r="A531" s="649" t="s">
        <v>3777</v>
      </c>
      <c r="B531" s="650" t="s">
        <v>3778</v>
      </c>
      <c r="C531" s="650"/>
      <c r="D531" s="651" t="s">
        <v>2433</v>
      </c>
    </row>
    <row r="532" spans="1:4">
      <c r="A532" s="649" t="s">
        <v>3779</v>
      </c>
      <c r="B532" s="650" t="s">
        <v>3780</v>
      </c>
      <c r="C532" s="650"/>
      <c r="D532" s="651" t="s">
        <v>2381</v>
      </c>
    </row>
    <row r="533" spans="1:4">
      <c r="A533" s="649" t="s">
        <v>3781</v>
      </c>
      <c r="B533" s="650" t="s">
        <v>3782</v>
      </c>
      <c r="C533" s="650"/>
      <c r="D533" s="651" t="s">
        <v>2433</v>
      </c>
    </row>
    <row r="534" spans="1:4">
      <c r="A534" s="649" t="s">
        <v>3783</v>
      </c>
      <c r="B534" s="650" t="s">
        <v>3784</v>
      </c>
      <c r="C534" s="650" t="s">
        <v>3785</v>
      </c>
      <c r="D534" s="651" t="s">
        <v>2433</v>
      </c>
    </row>
    <row r="535" spans="1:4">
      <c r="A535" s="649" t="s">
        <v>3786</v>
      </c>
      <c r="B535" s="650" t="s">
        <v>3787</v>
      </c>
      <c r="C535" s="650"/>
      <c r="D535" s="651" t="s">
        <v>2433</v>
      </c>
    </row>
    <row r="536" spans="1:4">
      <c r="A536" s="649" t="s">
        <v>3788</v>
      </c>
      <c r="B536" s="650" t="s">
        <v>3789</v>
      </c>
      <c r="C536" s="650"/>
      <c r="D536" s="651" t="s">
        <v>2433</v>
      </c>
    </row>
    <row r="537" spans="1:4">
      <c r="A537" s="649" t="s">
        <v>3790</v>
      </c>
      <c r="B537" s="650" t="s">
        <v>3791</v>
      </c>
      <c r="C537" s="650"/>
      <c r="D537" s="651" t="s">
        <v>2597</v>
      </c>
    </row>
    <row r="538" spans="1:4">
      <c r="A538" s="649" t="s">
        <v>3792</v>
      </c>
      <c r="B538" s="650" t="s">
        <v>3793</v>
      </c>
      <c r="C538" s="650"/>
      <c r="D538" s="651" t="s">
        <v>2433</v>
      </c>
    </row>
    <row r="539" spans="1:4">
      <c r="A539" s="649" t="s">
        <v>3794</v>
      </c>
      <c r="B539" s="650" t="s">
        <v>3795</v>
      </c>
      <c r="C539" s="650"/>
      <c r="D539" s="651" t="s">
        <v>2433</v>
      </c>
    </row>
    <row r="540" spans="1:4">
      <c r="A540" s="649" t="s">
        <v>3796</v>
      </c>
      <c r="B540" s="650" t="s">
        <v>3797</v>
      </c>
      <c r="C540" s="650"/>
      <c r="D540" s="651" t="s">
        <v>2433</v>
      </c>
    </row>
    <row r="541" spans="1:4">
      <c r="A541" s="649" t="s">
        <v>3798</v>
      </c>
      <c r="B541" s="650" t="s">
        <v>3799</v>
      </c>
      <c r="C541" s="650"/>
      <c r="D541" s="651" t="s">
        <v>2433</v>
      </c>
    </row>
    <row r="542" spans="1:4">
      <c r="A542" s="649" t="s">
        <v>3800</v>
      </c>
      <c r="B542" s="650" t="s">
        <v>3801</v>
      </c>
      <c r="C542" s="650"/>
      <c r="D542" s="651" t="s">
        <v>2433</v>
      </c>
    </row>
    <row r="543" spans="1:4">
      <c r="A543" s="649" t="s">
        <v>3802</v>
      </c>
      <c r="B543" s="650" t="s">
        <v>3803</v>
      </c>
      <c r="C543" s="650" t="s">
        <v>3804</v>
      </c>
      <c r="D543" s="651" t="s">
        <v>2433</v>
      </c>
    </row>
    <row r="544" spans="1:4">
      <c r="A544" s="649" t="s">
        <v>3805</v>
      </c>
      <c r="B544" s="650" t="s">
        <v>3806</v>
      </c>
      <c r="C544" s="650" t="s">
        <v>3807</v>
      </c>
      <c r="D544" s="651" t="s">
        <v>2433</v>
      </c>
    </row>
    <row r="545" spans="1:4">
      <c r="A545" s="649" t="s">
        <v>3808</v>
      </c>
      <c r="B545" s="650" t="s">
        <v>3809</v>
      </c>
      <c r="C545" s="650" t="s">
        <v>3810</v>
      </c>
      <c r="D545" s="651" t="s">
        <v>2433</v>
      </c>
    </row>
    <row r="546" spans="1:4">
      <c r="A546" s="649" t="s">
        <v>3811</v>
      </c>
      <c r="B546" s="650" t="s">
        <v>3812</v>
      </c>
      <c r="C546" s="650" t="s">
        <v>3813</v>
      </c>
      <c r="D546" s="651" t="s">
        <v>2433</v>
      </c>
    </row>
    <row r="547" spans="1:4">
      <c r="A547" s="649" t="s">
        <v>3814</v>
      </c>
      <c r="B547" s="650" t="s">
        <v>3815</v>
      </c>
      <c r="C547" s="650" t="s">
        <v>3813</v>
      </c>
      <c r="D547" s="651" t="s">
        <v>2433</v>
      </c>
    </row>
    <row r="548" spans="1:4">
      <c r="A548" s="649" t="s">
        <v>3816</v>
      </c>
      <c r="B548" s="650" t="s">
        <v>3817</v>
      </c>
      <c r="C548" s="650" t="s">
        <v>3818</v>
      </c>
      <c r="D548" s="651" t="s">
        <v>2429</v>
      </c>
    </row>
    <row r="549" spans="1:4">
      <c r="A549" s="649" t="s">
        <v>3819</v>
      </c>
      <c r="B549" s="650" t="s">
        <v>3039</v>
      </c>
      <c r="C549" s="650" t="s">
        <v>3820</v>
      </c>
      <c r="D549" s="651" t="s">
        <v>2597</v>
      </c>
    </row>
    <row r="550" spans="1:4">
      <c r="A550" s="649" t="s">
        <v>3821</v>
      </c>
      <c r="B550" s="650" t="s">
        <v>3822</v>
      </c>
      <c r="C550" s="650" t="s">
        <v>3823</v>
      </c>
      <c r="D550" s="651" t="s">
        <v>2397</v>
      </c>
    </row>
    <row r="551" spans="1:4">
      <c r="A551" s="649" t="s">
        <v>3824</v>
      </c>
      <c r="B551" s="650" t="s">
        <v>3825</v>
      </c>
      <c r="C551" s="650" t="s">
        <v>3826</v>
      </c>
      <c r="D551" s="651" t="s">
        <v>2397</v>
      </c>
    </row>
    <row r="552" spans="1:4">
      <c r="A552" s="649" t="s">
        <v>3827</v>
      </c>
      <c r="B552" s="650" t="s">
        <v>3828</v>
      </c>
      <c r="C552" s="650" t="s">
        <v>3829</v>
      </c>
      <c r="D552" s="651" t="s">
        <v>2397</v>
      </c>
    </row>
    <row r="553" spans="1:4">
      <c r="A553" s="649" t="s">
        <v>3830</v>
      </c>
      <c r="B553" s="650" t="s">
        <v>3831</v>
      </c>
      <c r="C553" s="650" t="s">
        <v>3832</v>
      </c>
      <c r="D553" s="651" t="s">
        <v>2397</v>
      </c>
    </row>
    <row r="554" spans="1:4">
      <c r="A554" s="649" t="s">
        <v>3833</v>
      </c>
      <c r="B554" s="650" t="s">
        <v>3834</v>
      </c>
      <c r="C554" s="650"/>
      <c r="D554" s="651" t="s">
        <v>2429</v>
      </c>
    </row>
    <row r="555" spans="1:4">
      <c r="A555" s="649" t="s">
        <v>3835</v>
      </c>
      <c r="B555" s="650" t="s">
        <v>3836</v>
      </c>
      <c r="C555" s="650"/>
      <c r="D555" s="651" t="s">
        <v>2597</v>
      </c>
    </row>
    <row r="556" spans="1:4">
      <c r="A556" s="649" t="s">
        <v>3837</v>
      </c>
      <c r="B556" s="650" t="s">
        <v>3838</v>
      </c>
      <c r="C556" s="650" t="s">
        <v>3839</v>
      </c>
      <c r="D556" s="651" t="s">
        <v>2433</v>
      </c>
    </row>
    <row r="557" spans="1:4">
      <c r="A557" s="649" t="s">
        <v>3840</v>
      </c>
      <c r="B557" s="650" t="s">
        <v>3841</v>
      </c>
      <c r="C557" s="650" t="s">
        <v>3842</v>
      </c>
      <c r="D557" s="651" t="s">
        <v>2429</v>
      </c>
    </row>
    <row r="558" spans="1:4">
      <c r="A558" s="649" t="s">
        <v>3843</v>
      </c>
      <c r="B558" s="650" t="s">
        <v>3844</v>
      </c>
      <c r="C558" s="650" t="s">
        <v>3845</v>
      </c>
      <c r="D558" s="651" t="s">
        <v>2433</v>
      </c>
    </row>
    <row r="559" spans="1:4">
      <c r="A559" s="649" t="s">
        <v>3846</v>
      </c>
      <c r="B559" s="650" t="s">
        <v>3847</v>
      </c>
      <c r="C559" s="650" t="s">
        <v>3848</v>
      </c>
      <c r="D559" s="651" t="s">
        <v>2433</v>
      </c>
    </row>
    <row r="560" spans="1:4">
      <c r="A560" s="649" t="s">
        <v>3849</v>
      </c>
      <c r="B560" s="650" t="s">
        <v>3850</v>
      </c>
      <c r="C560" s="650" t="s">
        <v>3851</v>
      </c>
      <c r="D560" s="651" t="s">
        <v>2381</v>
      </c>
    </row>
    <row r="561" spans="1:4">
      <c r="A561" s="649" t="s">
        <v>3852</v>
      </c>
      <c r="B561" s="650" t="s">
        <v>3853</v>
      </c>
      <c r="C561" s="650" t="s">
        <v>3854</v>
      </c>
      <c r="D561" s="651" t="s">
        <v>2397</v>
      </c>
    </row>
    <row r="562" spans="1:4">
      <c r="A562" s="649" t="s">
        <v>3855</v>
      </c>
      <c r="B562" s="650" t="s">
        <v>3856</v>
      </c>
      <c r="C562" s="650" t="s">
        <v>3857</v>
      </c>
      <c r="D562" s="651" t="s">
        <v>2433</v>
      </c>
    </row>
    <row r="563" spans="1:4">
      <c r="A563" s="649" t="s">
        <v>3858</v>
      </c>
      <c r="B563" s="650" t="s">
        <v>3859</v>
      </c>
      <c r="C563" s="650" t="s">
        <v>3860</v>
      </c>
      <c r="D563" s="651" t="s">
        <v>2433</v>
      </c>
    </row>
    <row r="564" spans="1:4">
      <c r="A564" s="649" t="s">
        <v>3861</v>
      </c>
      <c r="B564" s="650" t="s">
        <v>3862</v>
      </c>
      <c r="C564" s="650" t="s">
        <v>3863</v>
      </c>
      <c r="D564" s="651" t="s">
        <v>2429</v>
      </c>
    </row>
    <row r="565" spans="1:4">
      <c r="A565" s="649" t="s">
        <v>3864</v>
      </c>
      <c r="B565" s="650" t="s">
        <v>3865</v>
      </c>
      <c r="C565" s="650" t="s">
        <v>3866</v>
      </c>
      <c r="D565" s="651" t="s">
        <v>2433</v>
      </c>
    </row>
    <row r="566" spans="1:4">
      <c r="A566" s="649" t="s">
        <v>3867</v>
      </c>
      <c r="B566" s="650" t="s">
        <v>3868</v>
      </c>
      <c r="C566" s="650" t="s">
        <v>3869</v>
      </c>
      <c r="D566" s="651" t="s">
        <v>2433</v>
      </c>
    </row>
    <row r="567" spans="1:4">
      <c r="A567" s="649" t="s">
        <v>3870</v>
      </c>
      <c r="B567" s="650" t="s">
        <v>3871</v>
      </c>
      <c r="C567" s="650" t="s">
        <v>3872</v>
      </c>
      <c r="D567" s="651" t="s">
        <v>2433</v>
      </c>
    </row>
    <row r="568" spans="1:4">
      <c r="A568" s="649" t="s">
        <v>3873</v>
      </c>
      <c r="B568" s="650" t="s">
        <v>3874</v>
      </c>
      <c r="C568" s="650" t="s">
        <v>3875</v>
      </c>
      <c r="D568" s="651" t="s">
        <v>2381</v>
      </c>
    </row>
    <row r="569" spans="1:4">
      <c r="A569" s="649" t="s">
        <v>3876</v>
      </c>
      <c r="B569" s="650" t="s">
        <v>3877</v>
      </c>
      <c r="C569" s="650" t="s">
        <v>3878</v>
      </c>
      <c r="D569" s="651" t="s">
        <v>2397</v>
      </c>
    </row>
    <row r="570" spans="1:4">
      <c r="A570" s="649" t="s">
        <v>3879</v>
      </c>
      <c r="B570" s="650" t="s">
        <v>3880</v>
      </c>
      <c r="C570" s="650" t="s">
        <v>3881</v>
      </c>
      <c r="D570" s="651" t="s">
        <v>2397</v>
      </c>
    </row>
    <row r="571" spans="1:4">
      <c r="A571" s="649" t="s">
        <v>3882</v>
      </c>
      <c r="B571" s="650" t="s">
        <v>3883</v>
      </c>
      <c r="C571" s="650" t="s">
        <v>3884</v>
      </c>
      <c r="D571" s="651" t="s">
        <v>2397</v>
      </c>
    </row>
    <row r="572" spans="1:4">
      <c r="A572" s="649" t="s">
        <v>3885</v>
      </c>
      <c r="B572" s="650" t="s">
        <v>3886</v>
      </c>
      <c r="C572" s="650" t="s">
        <v>3887</v>
      </c>
      <c r="D572" s="651" t="s">
        <v>2397</v>
      </c>
    </row>
    <row r="573" spans="1:4">
      <c r="A573" s="649" t="s">
        <v>3888</v>
      </c>
      <c r="B573" s="650" t="s">
        <v>3889</v>
      </c>
      <c r="C573" s="650" t="s">
        <v>3890</v>
      </c>
      <c r="D573" s="651" t="s">
        <v>2397</v>
      </c>
    </row>
    <row r="574" spans="1:4">
      <c r="A574" s="649" t="s">
        <v>3891</v>
      </c>
      <c r="B574" s="650" t="s">
        <v>3892</v>
      </c>
      <c r="C574" s="650" t="s">
        <v>3893</v>
      </c>
      <c r="D574" s="651" t="s">
        <v>2397</v>
      </c>
    </row>
    <row r="575" spans="1:4">
      <c r="A575" s="649" t="s">
        <v>3894</v>
      </c>
      <c r="B575" s="650" t="s">
        <v>3895</v>
      </c>
      <c r="C575" s="650"/>
      <c r="D575" s="651" t="s">
        <v>2397</v>
      </c>
    </row>
    <row r="576" spans="1:4">
      <c r="A576" s="649" t="s">
        <v>3896</v>
      </c>
      <c r="B576" s="650" t="s">
        <v>3897</v>
      </c>
      <c r="C576" s="650"/>
      <c r="D576" s="651" t="s">
        <v>2381</v>
      </c>
    </row>
    <row r="577" spans="1:4">
      <c r="A577" s="649" t="s">
        <v>3898</v>
      </c>
      <c r="B577" s="650" t="s">
        <v>3899</v>
      </c>
      <c r="C577" s="650"/>
      <c r="D577" s="651" t="s">
        <v>2397</v>
      </c>
    </row>
    <row r="578" spans="1:4">
      <c r="A578" s="649" t="s">
        <v>3900</v>
      </c>
      <c r="B578" s="650" t="s">
        <v>3901</v>
      </c>
      <c r="C578" s="650"/>
      <c r="D578" s="651" t="s">
        <v>2397</v>
      </c>
    </row>
    <row r="579" spans="1:4">
      <c r="A579" s="649" t="s">
        <v>3902</v>
      </c>
      <c r="B579" s="650" t="s">
        <v>3903</v>
      </c>
      <c r="C579" s="650"/>
      <c r="D579" s="651" t="s">
        <v>2397</v>
      </c>
    </row>
    <row r="580" spans="1:4">
      <c r="A580" s="649" t="s">
        <v>3904</v>
      </c>
      <c r="B580" s="650" t="s">
        <v>3905</v>
      </c>
      <c r="C580" s="650"/>
      <c r="D580" s="651" t="s">
        <v>2397</v>
      </c>
    </row>
    <row r="581" spans="1:4">
      <c r="A581" s="649" t="s">
        <v>3906</v>
      </c>
      <c r="B581" s="650" t="s">
        <v>3907</v>
      </c>
      <c r="C581" s="650"/>
      <c r="D581" s="651" t="s">
        <v>2397</v>
      </c>
    </row>
    <row r="582" spans="1:4">
      <c r="A582" s="649" t="s">
        <v>3908</v>
      </c>
      <c r="B582" s="650" t="s">
        <v>3909</v>
      </c>
      <c r="C582" s="650"/>
      <c r="D582" s="651" t="s">
        <v>2397</v>
      </c>
    </row>
    <row r="583" spans="1:4">
      <c r="A583" s="649" t="s">
        <v>3910</v>
      </c>
      <c r="B583" s="650" t="s">
        <v>3911</v>
      </c>
      <c r="C583" s="650"/>
      <c r="D583" s="651" t="s">
        <v>2381</v>
      </c>
    </row>
    <row r="584" spans="1:4">
      <c r="A584" s="649" t="s">
        <v>3912</v>
      </c>
      <c r="B584" s="650" t="s">
        <v>3913</v>
      </c>
      <c r="C584" s="650" t="s">
        <v>3914</v>
      </c>
      <c r="D584" s="651" t="s">
        <v>2433</v>
      </c>
    </row>
    <row r="585" spans="1:4">
      <c r="A585" s="649" t="s">
        <v>3915</v>
      </c>
      <c r="B585" s="650" t="s">
        <v>3916</v>
      </c>
      <c r="C585" s="650" t="s">
        <v>3917</v>
      </c>
      <c r="D585" s="651" t="s">
        <v>2597</v>
      </c>
    </row>
    <row r="586" spans="1:4">
      <c r="A586" s="649" t="s">
        <v>3918</v>
      </c>
      <c r="B586" s="650" t="s">
        <v>3919</v>
      </c>
      <c r="C586" s="650"/>
      <c r="D586" s="651" t="s">
        <v>2433</v>
      </c>
    </row>
    <row r="587" spans="1:4">
      <c r="A587" s="649" t="s">
        <v>3920</v>
      </c>
      <c r="B587" s="650" t="s">
        <v>3921</v>
      </c>
      <c r="C587" s="650" t="s">
        <v>3922</v>
      </c>
      <c r="D587" s="651" t="s">
        <v>2433</v>
      </c>
    </row>
    <row r="588" spans="1:4">
      <c r="A588" s="652" t="s">
        <v>3923</v>
      </c>
      <c r="B588" s="653"/>
      <c r="C588" s="653"/>
      <c r="D588" s="646"/>
    </row>
  </sheetData>
  <autoFilter ref="A2:E588" xr:uid="{00000000-0009-0000-0000-00000E000000}"/>
  <mergeCells count="1">
    <mergeCell ref="A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H1613"/>
  <sheetViews>
    <sheetView showGridLines="0" workbookViewId="0">
      <pane ySplit="4" topLeftCell="A32" activePane="bottomLeft" state="frozen"/>
      <selection pane="bottomLeft" activeCell="D41" sqref="D41"/>
    </sheetView>
  </sheetViews>
  <sheetFormatPr defaultColWidth="12.5703125" defaultRowHeight="15" customHeight="1"/>
  <cols>
    <col min="1" max="1" width="9.140625" customWidth="1"/>
    <col min="2" max="2" width="24.28515625" customWidth="1"/>
    <col min="3" max="3" width="19.42578125" customWidth="1"/>
    <col min="4" max="4" width="21.42578125" customWidth="1"/>
    <col min="5" max="5" width="51.140625" customWidth="1"/>
    <col min="6" max="6" width="12.28515625" customWidth="1"/>
    <col min="7" max="7" width="13.7109375" customWidth="1"/>
    <col min="8" max="8" width="9.140625" customWidth="1"/>
  </cols>
  <sheetData>
    <row r="1" spans="1:8" ht="14.25" customHeight="1">
      <c r="A1" s="882" t="s">
        <v>3924</v>
      </c>
      <c r="B1" s="704"/>
      <c r="C1" s="704"/>
      <c r="D1" s="704"/>
      <c r="E1" s="704"/>
      <c r="F1" s="704"/>
      <c r="G1" s="704"/>
      <c r="H1" s="705"/>
    </row>
    <row r="2" spans="1:8" ht="14.25" customHeight="1">
      <c r="A2" s="706"/>
      <c r="B2" s="707"/>
      <c r="C2" s="707"/>
      <c r="D2" s="707"/>
      <c r="E2" s="707"/>
      <c r="F2" s="707"/>
      <c r="G2" s="707"/>
      <c r="H2" s="708"/>
    </row>
    <row r="3" spans="1:8" ht="14.25" customHeight="1">
      <c r="A3" s="654"/>
      <c r="B3" s="654"/>
      <c r="C3" s="654"/>
      <c r="D3" s="654"/>
      <c r="E3" s="654"/>
      <c r="F3" s="654"/>
      <c r="G3" s="654"/>
      <c r="H3" s="654"/>
    </row>
    <row r="4" spans="1:8" ht="20.25" customHeight="1">
      <c r="A4" s="654"/>
      <c r="B4" s="655" t="s">
        <v>673</v>
      </c>
      <c r="C4" s="655" t="s">
        <v>3925</v>
      </c>
      <c r="D4" s="655" t="s">
        <v>674</v>
      </c>
      <c r="E4" s="655" t="s">
        <v>675</v>
      </c>
      <c r="F4" s="655" t="s">
        <v>3926</v>
      </c>
      <c r="G4" s="655" t="s">
        <v>3927</v>
      </c>
      <c r="H4" s="654"/>
    </row>
    <row r="5" spans="1:8" ht="18.75" customHeight="1">
      <c r="A5" s="656"/>
      <c r="B5" s="657" t="s">
        <v>3928</v>
      </c>
      <c r="C5" s="657" t="s">
        <v>3929</v>
      </c>
      <c r="D5" s="657" t="s">
        <v>3930</v>
      </c>
      <c r="E5" s="657" t="s">
        <v>3931</v>
      </c>
      <c r="F5" s="658">
        <v>0.1</v>
      </c>
      <c r="G5" s="658">
        <v>0</v>
      </c>
      <c r="H5" s="656"/>
    </row>
    <row r="6" spans="1:8" ht="18.75" customHeight="1">
      <c r="A6" s="656"/>
      <c r="B6" s="659" t="s">
        <v>3928</v>
      </c>
      <c r="C6" s="659" t="s">
        <v>3929</v>
      </c>
      <c r="D6" s="659" t="s">
        <v>3932</v>
      </c>
      <c r="E6" s="659" t="s">
        <v>3933</v>
      </c>
      <c r="F6" s="660">
        <v>0.1</v>
      </c>
      <c r="G6" s="660">
        <v>0</v>
      </c>
      <c r="H6" s="656"/>
    </row>
    <row r="7" spans="1:8" ht="18.75" customHeight="1">
      <c r="A7" s="656"/>
      <c r="B7" s="657" t="s">
        <v>3928</v>
      </c>
      <c r="C7" s="657" t="s">
        <v>3934</v>
      </c>
      <c r="D7" s="657" t="s">
        <v>3935</v>
      </c>
      <c r="E7" s="657" t="s">
        <v>3936</v>
      </c>
      <c r="F7" s="658">
        <v>0.1</v>
      </c>
      <c r="G7" s="658">
        <v>0</v>
      </c>
      <c r="H7" s="656"/>
    </row>
    <row r="8" spans="1:8" ht="18.75" customHeight="1">
      <c r="A8" s="656"/>
      <c r="B8" s="659" t="s">
        <v>3928</v>
      </c>
      <c r="C8" s="659" t="s">
        <v>3934</v>
      </c>
      <c r="D8" s="659" t="s">
        <v>3937</v>
      </c>
      <c r="E8" s="659" t="s">
        <v>3938</v>
      </c>
      <c r="F8" s="660">
        <v>0.1</v>
      </c>
      <c r="G8" s="660">
        <v>0</v>
      </c>
      <c r="H8" s="656"/>
    </row>
    <row r="9" spans="1:8" ht="18.75" customHeight="1">
      <c r="A9" s="656"/>
      <c r="B9" s="657" t="s">
        <v>3928</v>
      </c>
      <c r="C9" s="657" t="s">
        <v>3934</v>
      </c>
      <c r="D9" s="657" t="s">
        <v>3939</v>
      </c>
      <c r="E9" s="657" t="s">
        <v>3940</v>
      </c>
      <c r="F9" s="658">
        <v>0.1</v>
      </c>
      <c r="G9" s="658">
        <v>0</v>
      </c>
      <c r="H9" s="656"/>
    </row>
    <row r="10" spans="1:8" ht="18.75" customHeight="1">
      <c r="A10" s="656"/>
      <c r="B10" s="659" t="s">
        <v>3928</v>
      </c>
      <c r="C10" s="659" t="s">
        <v>3934</v>
      </c>
      <c r="D10" s="659" t="s">
        <v>3941</v>
      </c>
      <c r="E10" s="659" t="s">
        <v>3942</v>
      </c>
      <c r="F10" s="660">
        <v>0.1</v>
      </c>
      <c r="G10" s="660">
        <v>0</v>
      </c>
      <c r="H10" s="656"/>
    </row>
    <row r="11" spans="1:8" ht="18.75" customHeight="1">
      <c r="A11" s="656"/>
      <c r="B11" s="657" t="s">
        <v>3928</v>
      </c>
      <c r="C11" s="657" t="s">
        <v>3934</v>
      </c>
      <c r="D11" s="657" t="s">
        <v>3943</v>
      </c>
      <c r="E11" s="657" t="s">
        <v>3944</v>
      </c>
      <c r="F11" s="658">
        <v>0.1</v>
      </c>
      <c r="G11" s="658">
        <v>0</v>
      </c>
      <c r="H11" s="656"/>
    </row>
    <row r="12" spans="1:8" ht="18.75" customHeight="1">
      <c r="A12" s="656"/>
      <c r="B12" s="659" t="s">
        <v>3928</v>
      </c>
      <c r="C12" s="659" t="s">
        <v>3934</v>
      </c>
      <c r="D12" s="659" t="s">
        <v>3945</v>
      </c>
      <c r="E12" s="659" t="s">
        <v>3946</v>
      </c>
      <c r="F12" s="660">
        <v>0.1</v>
      </c>
      <c r="G12" s="660">
        <v>0</v>
      </c>
      <c r="H12" s="656"/>
    </row>
    <row r="13" spans="1:8" ht="18.75" customHeight="1">
      <c r="A13" s="656"/>
      <c r="B13" s="657" t="s">
        <v>3928</v>
      </c>
      <c r="C13" s="657" t="s">
        <v>3934</v>
      </c>
      <c r="D13" s="657" t="s">
        <v>3947</v>
      </c>
      <c r="E13" s="657" t="s">
        <v>3948</v>
      </c>
      <c r="F13" s="658">
        <v>0.1</v>
      </c>
      <c r="G13" s="658">
        <v>0</v>
      </c>
      <c r="H13" s="656"/>
    </row>
    <row r="14" spans="1:8" ht="18.75" customHeight="1">
      <c r="A14" s="656"/>
      <c r="B14" s="659" t="s">
        <v>3928</v>
      </c>
      <c r="C14" s="659" t="s">
        <v>3934</v>
      </c>
      <c r="D14" s="659" t="s">
        <v>3949</v>
      </c>
      <c r="E14" s="659" t="s">
        <v>3950</v>
      </c>
      <c r="F14" s="660">
        <v>0.1</v>
      </c>
      <c r="G14" s="660">
        <v>0</v>
      </c>
      <c r="H14" s="656"/>
    </row>
    <row r="15" spans="1:8" ht="18.75" customHeight="1">
      <c r="A15" s="656"/>
      <c r="B15" s="657" t="s">
        <v>3928</v>
      </c>
      <c r="C15" s="657" t="s">
        <v>3934</v>
      </c>
      <c r="D15" s="657" t="s">
        <v>3951</v>
      </c>
      <c r="E15" s="657" t="s">
        <v>3952</v>
      </c>
      <c r="F15" s="658">
        <v>0.1</v>
      </c>
      <c r="G15" s="658">
        <v>0</v>
      </c>
      <c r="H15" s="656"/>
    </row>
    <row r="16" spans="1:8" ht="18.75" customHeight="1">
      <c r="A16" s="656"/>
      <c r="B16" s="659" t="s">
        <v>3928</v>
      </c>
      <c r="C16" s="659" t="s">
        <v>3934</v>
      </c>
      <c r="D16" s="659" t="s">
        <v>3953</v>
      </c>
      <c r="E16" s="659" t="s">
        <v>3954</v>
      </c>
      <c r="F16" s="660">
        <v>0.1</v>
      </c>
      <c r="G16" s="660">
        <v>0</v>
      </c>
      <c r="H16" s="656"/>
    </row>
    <row r="17" spans="1:8" ht="18.75" customHeight="1">
      <c r="A17" s="656"/>
      <c r="B17" s="657" t="s">
        <v>3928</v>
      </c>
      <c r="C17" s="657" t="s">
        <v>3934</v>
      </c>
      <c r="D17" s="657" t="s">
        <v>3955</v>
      </c>
      <c r="E17" s="657" t="s">
        <v>3956</v>
      </c>
      <c r="F17" s="658">
        <v>0.1</v>
      </c>
      <c r="G17" s="658">
        <v>0</v>
      </c>
      <c r="H17" s="656"/>
    </row>
    <row r="18" spans="1:8" ht="18.75" customHeight="1">
      <c r="A18" s="656"/>
      <c r="B18" s="659" t="s">
        <v>3928</v>
      </c>
      <c r="C18" s="659" t="s">
        <v>3934</v>
      </c>
      <c r="D18" s="659" t="s">
        <v>3957</v>
      </c>
      <c r="E18" s="659" t="s">
        <v>3958</v>
      </c>
      <c r="F18" s="660">
        <v>0.1</v>
      </c>
      <c r="G18" s="660">
        <v>0</v>
      </c>
      <c r="H18" s="656"/>
    </row>
    <row r="19" spans="1:8" ht="18.75" customHeight="1">
      <c r="A19" s="656"/>
      <c r="B19" s="657" t="s">
        <v>3928</v>
      </c>
      <c r="C19" s="657" t="s">
        <v>3934</v>
      </c>
      <c r="D19" s="657" t="s">
        <v>3959</v>
      </c>
      <c r="E19" s="657" t="s">
        <v>3960</v>
      </c>
      <c r="F19" s="658">
        <v>0.1</v>
      </c>
      <c r="G19" s="658">
        <v>0</v>
      </c>
      <c r="H19" s="656"/>
    </row>
    <row r="20" spans="1:8" ht="18.75" customHeight="1">
      <c r="A20" s="656"/>
      <c r="B20" s="659" t="s">
        <v>3928</v>
      </c>
      <c r="C20" s="659" t="s">
        <v>3934</v>
      </c>
      <c r="D20" s="659" t="s">
        <v>3961</v>
      </c>
      <c r="E20" s="659" t="s">
        <v>3962</v>
      </c>
      <c r="F20" s="660">
        <v>0.1</v>
      </c>
      <c r="G20" s="660">
        <v>0</v>
      </c>
      <c r="H20" s="656"/>
    </row>
    <row r="21" spans="1:8" ht="18.75" customHeight="1">
      <c r="A21" s="656"/>
      <c r="B21" s="657" t="s">
        <v>3928</v>
      </c>
      <c r="C21" s="657" t="s">
        <v>3934</v>
      </c>
      <c r="D21" s="657" t="s">
        <v>3963</v>
      </c>
      <c r="E21" s="657" t="s">
        <v>3964</v>
      </c>
      <c r="F21" s="658">
        <v>0.1</v>
      </c>
      <c r="G21" s="658">
        <v>0</v>
      </c>
      <c r="H21" s="656"/>
    </row>
    <row r="22" spans="1:8" ht="18.75" customHeight="1">
      <c r="A22" s="656"/>
      <c r="B22" s="659" t="s">
        <v>3928</v>
      </c>
      <c r="C22" s="659" t="s">
        <v>3934</v>
      </c>
      <c r="D22" s="659" t="s">
        <v>3965</v>
      </c>
      <c r="E22" s="659" t="s">
        <v>3966</v>
      </c>
      <c r="F22" s="660">
        <v>0.1</v>
      </c>
      <c r="G22" s="660">
        <v>0</v>
      </c>
      <c r="H22" s="656"/>
    </row>
    <row r="23" spans="1:8" ht="18.75" customHeight="1">
      <c r="A23" s="656"/>
      <c r="B23" s="657" t="s">
        <v>3928</v>
      </c>
      <c r="C23" s="657" t="s">
        <v>3929</v>
      </c>
      <c r="D23" s="657" t="s">
        <v>3967</v>
      </c>
      <c r="E23" s="657" t="s">
        <v>3968</v>
      </c>
      <c r="F23" s="658">
        <v>0.1</v>
      </c>
      <c r="G23" s="658">
        <v>0</v>
      </c>
      <c r="H23" s="656"/>
    </row>
    <row r="24" spans="1:8" ht="18.75" customHeight="1">
      <c r="A24" s="656"/>
      <c r="B24" s="659" t="s">
        <v>3928</v>
      </c>
      <c r="C24" s="659" t="s">
        <v>3934</v>
      </c>
      <c r="D24" s="659" t="s">
        <v>3969</v>
      </c>
      <c r="E24" s="659" t="s">
        <v>3970</v>
      </c>
      <c r="F24" s="660">
        <v>0.1</v>
      </c>
      <c r="G24" s="660">
        <v>0</v>
      </c>
      <c r="H24" s="656"/>
    </row>
    <row r="25" spans="1:8" ht="18.75" customHeight="1">
      <c r="A25" s="656"/>
      <c r="B25" s="657" t="s">
        <v>3928</v>
      </c>
      <c r="C25" s="657" t="s">
        <v>3934</v>
      </c>
      <c r="D25" s="657" t="s">
        <v>3971</v>
      </c>
      <c r="E25" s="657" t="s">
        <v>3972</v>
      </c>
      <c r="F25" s="658">
        <v>0.1</v>
      </c>
      <c r="G25" s="658">
        <v>0</v>
      </c>
      <c r="H25" s="656"/>
    </row>
    <row r="26" spans="1:8" ht="18.75" customHeight="1">
      <c r="A26" s="656"/>
      <c r="B26" s="659" t="s">
        <v>3928</v>
      </c>
      <c r="C26" s="659" t="s">
        <v>3934</v>
      </c>
      <c r="D26" s="659" t="s">
        <v>3973</v>
      </c>
      <c r="E26" s="659" t="s">
        <v>3974</v>
      </c>
      <c r="F26" s="660">
        <v>0.1</v>
      </c>
      <c r="G26" s="660">
        <v>0</v>
      </c>
      <c r="H26" s="656"/>
    </row>
    <row r="27" spans="1:8" ht="18.75" customHeight="1">
      <c r="A27" s="656"/>
      <c r="B27" s="657" t="s">
        <v>3928</v>
      </c>
      <c r="C27" s="657" t="s">
        <v>3975</v>
      </c>
      <c r="D27" s="657" t="s">
        <v>3976</v>
      </c>
      <c r="E27" s="657" t="s">
        <v>3977</v>
      </c>
      <c r="F27" s="658">
        <v>0.1</v>
      </c>
      <c r="G27" s="658">
        <v>0</v>
      </c>
      <c r="H27" s="656"/>
    </row>
    <row r="28" spans="1:8" ht="18.75" customHeight="1">
      <c r="A28" s="656"/>
      <c r="B28" s="659" t="s">
        <v>3928</v>
      </c>
      <c r="C28" s="659" t="s">
        <v>3934</v>
      </c>
      <c r="D28" s="659" t="s">
        <v>3978</v>
      </c>
      <c r="E28" s="659" t="s">
        <v>3979</v>
      </c>
      <c r="F28" s="660">
        <v>0.1</v>
      </c>
      <c r="G28" s="660">
        <v>0</v>
      </c>
      <c r="H28" s="656"/>
    </row>
    <row r="29" spans="1:8" ht="18.75" customHeight="1">
      <c r="A29" s="656"/>
      <c r="B29" s="657" t="s">
        <v>3928</v>
      </c>
      <c r="C29" s="657" t="s">
        <v>3934</v>
      </c>
      <c r="D29" s="657" t="s">
        <v>3980</v>
      </c>
      <c r="E29" s="657" t="s">
        <v>3981</v>
      </c>
      <c r="F29" s="658">
        <v>0.1</v>
      </c>
      <c r="G29" s="658">
        <v>0</v>
      </c>
      <c r="H29" s="656"/>
    </row>
    <row r="30" spans="1:8" ht="18.75" customHeight="1">
      <c r="A30" s="656"/>
      <c r="B30" s="659" t="s">
        <v>3928</v>
      </c>
      <c r="C30" s="659" t="s">
        <v>3934</v>
      </c>
      <c r="D30" s="659" t="s">
        <v>3982</v>
      </c>
      <c r="E30" s="659" t="s">
        <v>3983</v>
      </c>
      <c r="F30" s="660">
        <v>0.1</v>
      </c>
      <c r="G30" s="660">
        <v>0</v>
      </c>
      <c r="H30" s="656"/>
    </row>
    <row r="31" spans="1:8" ht="18.75" customHeight="1">
      <c r="A31" s="656"/>
      <c r="B31" s="657" t="s">
        <v>3928</v>
      </c>
      <c r="C31" s="657" t="s">
        <v>3934</v>
      </c>
      <c r="D31" s="657" t="s">
        <v>3984</v>
      </c>
      <c r="E31" s="657" t="s">
        <v>3985</v>
      </c>
      <c r="F31" s="658">
        <v>0.1</v>
      </c>
      <c r="G31" s="658">
        <v>0</v>
      </c>
      <c r="H31" s="656"/>
    </row>
    <row r="32" spans="1:8" ht="18.75" customHeight="1">
      <c r="A32" s="656"/>
      <c r="B32" s="659" t="s">
        <v>3928</v>
      </c>
      <c r="C32" s="659" t="s">
        <v>3934</v>
      </c>
      <c r="D32" s="659" t="s">
        <v>3986</v>
      </c>
      <c r="E32" s="659" t="s">
        <v>3987</v>
      </c>
      <c r="F32" s="660">
        <v>0.1</v>
      </c>
      <c r="G32" s="660">
        <v>0</v>
      </c>
      <c r="H32" s="656"/>
    </row>
    <row r="33" spans="1:8" ht="18.75" customHeight="1">
      <c r="A33" s="656"/>
      <c r="B33" s="657" t="s">
        <v>3928</v>
      </c>
      <c r="C33" s="657" t="s">
        <v>3934</v>
      </c>
      <c r="D33" s="657" t="s">
        <v>3988</v>
      </c>
      <c r="E33" s="657" t="s">
        <v>3989</v>
      </c>
      <c r="F33" s="658">
        <v>0.1</v>
      </c>
      <c r="G33" s="658">
        <v>0</v>
      </c>
      <c r="H33" s="656"/>
    </row>
    <row r="34" spans="1:8" ht="18.75" customHeight="1">
      <c r="A34" s="656"/>
      <c r="B34" s="659" t="s">
        <v>3928</v>
      </c>
      <c r="C34" s="659" t="s">
        <v>3975</v>
      </c>
      <c r="D34" s="659" t="s">
        <v>3990</v>
      </c>
      <c r="E34" s="659" t="s">
        <v>3991</v>
      </c>
      <c r="F34" s="660">
        <v>0.1</v>
      </c>
      <c r="G34" s="660">
        <v>0</v>
      </c>
      <c r="H34" s="656"/>
    </row>
    <row r="35" spans="1:8" ht="18.75" customHeight="1">
      <c r="A35" s="656"/>
      <c r="B35" s="657" t="s">
        <v>3928</v>
      </c>
      <c r="C35" s="657" t="s">
        <v>3934</v>
      </c>
      <c r="D35" s="657" t="s">
        <v>3992</v>
      </c>
      <c r="E35" s="657" t="s">
        <v>3993</v>
      </c>
      <c r="F35" s="658">
        <v>0.1</v>
      </c>
      <c r="G35" s="658">
        <v>0</v>
      </c>
      <c r="H35" s="656"/>
    </row>
    <row r="36" spans="1:8" ht="18.75" customHeight="1">
      <c r="A36" s="656"/>
      <c r="B36" s="659" t="s">
        <v>3928</v>
      </c>
      <c r="C36" s="659" t="s">
        <v>3934</v>
      </c>
      <c r="D36" s="659" t="s">
        <v>3994</v>
      </c>
      <c r="E36" s="659" t="s">
        <v>3995</v>
      </c>
      <c r="F36" s="660">
        <v>0.1</v>
      </c>
      <c r="G36" s="660">
        <v>0</v>
      </c>
      <c r="H36" s="656"/>
    </row>
    <row r="37" spans="1:8" ht="18.75" customHeight="1">
      <c r="A37" s="656"/>
      <c r="B37" s="657" t="s">
        <v>3928</v>
      </c>
      <c r="C37" s="657" t="s">
        <v>3934</v>
      </c>
      <c r="D37" s="657" t="s">
        <v>3996</v>
      </c>
      <c r="E37" s="657" t="s">
        <v>3997</v>
      </c>
      <c r="F37" s="658">
        <v>0.1</v>
      </c>
      <c r="G37" s="658">
        <v>0</v>
      </c>
      <c r="H37" s="656"/>
    </row>
    <row r="38" spans="1:8" ht="18.75" customHeight="1">
      <c r="A38" s="656"/>
      <c r="B38" s="659" t="s">
        <v>3928</v>
      </c>
      <c r="C38" s="659" t="s">
        <v>3934</v>
      </c>
      <c r="D38" s="659" t="s">
        <v>3998</v>
      </c>
      <c r="E38" s="659" t="s">
        <v>3999</v>
      </c>
      <c r="F38" s="660">
        <v>0.1</v>
      </c>
      <c r="G38" s="660">
        <v>0</v>
      </c>
      <c r="H38" s="656"/>
    </row>
    <row r="39" spans="1:8" ht="18.75" customHeight="1">
      <c r="A39" s="656"/>
      <c r="B39" s="657" t="s">
        <v>3928</v>
      </c>
      <c r="C39" s="657" t="s">
        <v>4000</v>
      </c>
      <c r="D39" s="657" t="s">
        <v>4001</v>
      </c>
      <c r="E39" s="657" t="s">
        <v>4002</v>
      </c>
      <c r="F39" s="658">
        <v>0.1</v>
      </c>
      <c r="G39" s="658">
        <v>0</v>
      </c>
      <c r="H39" s="656"/>
    </row>
    <row r="40" spans="1:8" ht="18.75" customHeight="1">
      <c r="A40" s="656"/>
      <c r="B40" s="659" t="s">
        <v>3928</v>
      </c>
      <c r="C40" s="659" t="s">
        <v>3934</v>
      </c>
      <c r="D40" s="659" t="s">
        <v>4003</v>
      </c>
      <c r="E40" s="659" t="s">
        <v>4004</v>
      </c>
      <c r="F40" s="660">
        <v>0.1</v>
      </c>
      <c r="G40" s="660">
        <v>0</v>
      </c>
      <c r="H40" s="656"/>
    </row>
    <row r="41" spans="1:8" ht="18.75" customHeight="1">
      <c r="A41" s="656"/>
      <c r="B41" s="657" t="s">
        <v>3928</v>
      </c>
      <c r="C41" s="657" t="s">
        <v>3934</v>
      </c>
      <c r="D41" s="657" t="s">
        <v>4005</v>
      </c>
      <c r="E41" s="657" t="s">
        <v>4006</v>
      </c>
      <c r="F41" s="658">
        <v>0.1</v>
      </c>
      <c r="G41" s="658">
        <v>0</v>
      </c>
      <c r="H41" s="656"/>
    </row>
    <row r="42" spans="1:8" ht="18.75" customHeight="1">
      <c r="A42" s="656"/>
      <c r="B42" s="659" t="s">
        <v>3928</v>
      </c>
      <c r="C42" s="659" t="s">
        <v>3934</v>
      </c>
      <c r="D42" s="659" t="s">
        <v>4007</v>
      </c>
      <c r="E42" s="659" t="s">
        <v>4008</v>
      </c>
      <c r="F42" s="660">
        <v>0.1</v>
      </c>
      <c r="G42" s="660">
        <v>0</v>
      </c>
      <c r="H42" s="656"/>
    </row>
    <row r="43" spans="1:8" ht="18.75" customHeight="1">
      <c r="A43" s="656"/>
      <c r="B43" s="657" t="s">
        <v>3928</v>
      </c>
      <c r="C43" s="657" t="s">
        <v>3934</v>
      </c>
      <c r="D43" s="657" t="s">
        <v>4009</v>
      </c>
      <c r="E43" s="657" t="s">
        <v>4010</v>
      </c>
      <c r="F43" s="658">
        <v>0.1</v>
      </c>
      <c r="G43" s="658">
        <v>0</v>
      </c>
      <c r="H43" s="656"/>
    </row>
    <row r="44" spans="1:8" ht="18.75" customHeight="1">
      <c r="A44" s="656"/>
      <c r="B44" s="659" t="s">
        <v>3928</v>
      </c>
      <c r="C44" s="659" t="s">
        <v>3934</v>
      </c>
      <c r="D44" s="659" t="s">
        <v>4011</v>
      </c>
      <c r="E44" s="659" t="s">
        <v>4012</v>
      </c>
      <c r="F44" s="660">
        <v>0.1</v>
      </c>
      <c r="G44" s="660">
        <v>0</v>
      </c>
      <c r="H44" s="656"/>
    </row>
    <row r="45" spans="1:8" ht="18.75" customHeight="1">
      <c r="A45" s="656"/>
      <c r="B45" s="657" t="s">
        <v>3928</v>
      </c>
      <c r="C45" s="657" t="s">
        <v>3934</v>
      </c>
      <c r="D45" s="657" t="s">
        <v>4013</v>
      </c>
      <c r="E45" s="657" t="s">
        <v>4014</v>
      </c>
      <c r="F45" s="658">
        <v>0.1</v>
      </c>
      <c r="G45" s="658">
        <v>0</v>
      </c>
      <c r="H45" s="656"/>
    </row>
    <row r="46" spans="1:8" ht="18.75" customHeight="1">
      <c r="A46" s="656"/>
      <c r="B46" s="659" t="s">
        <v>3928</v>
      </c>
      <c r="C46" s="659" t="s">
        <v>3929</v>
      </c>
      <c r="D46" s="659" t="s">
        <v>4015</v>
      </c>
      <c r="E46" s="659" t="s">
        <v>4016</v>
      </c>
      <c r="F46" s="660">
        <v>0.1</v>
      </c>
      <c r="G46" s="660">
        <v>0</v>
      </c>
      <c r="H46" s="656"/>
    </row>
    <row r="47" spans="1:8" ht="18.75" customHeight="1">
      <c r="A47" s="656"/>
      <c r="B47" s="657" t="s">
        <v>3928</v>
      </c>
      <c r="C47" s="657" t="s">
        <v>3934</v>
      </c>
      <c r="D47" s="657" t="s">
        <v>4017</v>
      </c>
      <c r="E47" s="657" t="s">
        <v>4018</v>
      </c>
      <c r="F47" s="658">
        <v>0.1</v>
      </c>
      <c r="G47" s="658">
        <v>0</v>
      </c>
      <c r="H47" s="656"/>
    </row>
    <row r="48" spans="1:8" ht="18.75" customHeight="1">
      <c r="A48" s="656"/>
      <c r="B48" s="659" t="s">
        <v>3928</v>
      </c>
      <c r="C48" s="659" t="s">
        <v>3934</v>
      </c>
      <c r="D48" s="659" t="s">
        <v>4019</v>
      </c>
      <c r="E48" s="659" t="s">
        <v>4020</v>
      </c>
      <c r="F48" s="660">
        <v>0.1</v>
      </c>
      <c r="G48" s="660">
        <v>0</v>
      </c>
      <c r="H48" s="656"/>
    </row>
    <row r="49" spans="1:8" ht="18.75" customHeight="1">
      <c r="A49" s="656"/>
      <c r="B49" s="657" t="s">
        <v>3928</v>
      </c>
      <c r="C49" s="657" t="s">
        <v>3934</v>
      </c>
      <c r="D49" s="657" t="s">
        <v>4021</v>
      </c>
      <c r="E49" s="657" t="s">
        <v>4022</v>
      </c>
      <c r="F49" s="658">
        <v>0.1</v>
      </c>
      <c r="G49" s="658">
        <v>0</v>
      </c>
      <c r="H49" s="656"/>
    </row>
    <row r="50" spans="1:8" ht="18.75" customHeight="1">
      <c r="A50" s="656"/>
      <c r="B50" s="659" t="s">
        <v>3928</v>
      </c>
      <c r="C50" s="659" t="s">
        <v>3934</v>
      </c>
      <c r="D50" s="659" t="s">
        <v>4023</v>
      </c>
      <c r="E50" s="659" t="s">
        <v>4024</v>
      </c>
      <c r="F50" s="660">
        <v>0.1</v>
      </c>
      <c r="G50" s="660">
        <v>0</v>
      </c>
      <c r="H50" s="656"/>
    </row>
    <row r="51" spans="1:8" ht="18.75" customHeight="1">
      <c r="A51" s="656"/>
      <c r="B51" s="657" t="s">
        <v>3928</v>
      </c>
      <c r="C51" s="657" t="s">
        <v>3934</v>
      </c>
      <c r="D51" s="657" t="s">
        <v>4025</v>
      </c>
      <c r="E51" s="657" t="s">
        <v>4026</v>
      </c>
      <c r="F51" s="658">
        <v>0.1</v>
      </c>
      <c r="G51" s="658">
        <v>0</v>
      </c>
      <c r="H51" s="656"/>
    </row>
    <row r="52" spans="1:8" ht="18.75" customHeight="1">
      <c r="A52" s="656"/>
      <c r="B52" s="659" t="s">
        <v>3928</v>
      </c>
      <c r="C52" s="659" t="s">
        <v>3934</v>
      </c>
      <c r="D52" s="659" t="s">
        <v>4027</v>
      </c>
      <c r="E52" s="659" t="s">
        <v>4028</v>
      </c>
      <c r="F52" s="660">
        <v>0.1</v>
      </c>
      <c r="G52" s="660">
        <v>0</v>
      </c>
      <c r="H52" s="656"/>
    </row>
    <row r="53" spans="1:8" ht="18.75" customHeight="1">
      <c r="A53" s="656"/>
      <c r="B53" s="657" t="s">
        <v>3928</v>
      </c>
      <c r="C53" s="657" t="s">
        <v>3934</v>
      </c>
      <c r="D53" s="657" t="s">
        <v>4029</v>
      </c>
      <c r="E53" s="657" t="s">
        <v>4030</v>
      </c>
      <c r="F53" s="658">
        <v>0.1</v>
      </c>
      <c r="G53" s="658">
        <v>0</v>
      </c>
      <c r="H53" s="656"/>
    </row>
    <row r="54" spans="1:8" ht="18.75" customHeight="1">
      <c r="A54" s="656"/>
      <c r="B54" s="659" t="s">
        <v>3928</v>
      </c>
      <c r="C54" s="659" t="s">
        <v>3934</v>
      </c>
      <c r="D54" s="659" t="s">
        <v>4031</v>
      </c>
      <c r="E54" s="659" t="s">
        <v>4032</v>
      </c>
      <c r="F54" s="660">
        <v>0.1</v>
      </c>
      <c r="G54" s="660">
        <v>0</v>
      </c>
      <c r="H54" s="656"/>
    </row>
    <row r="55" spans="1:8" ht="18.75" customHeight="1">
      <c r="A55" s="656"/>
      <c r="B55" s="657" t="s">
        <v>3928</v>
      </c>
      <c r="C55" s="657" t="s">
        <v>3934</v>
      </c>
      <c r="D55" s="657" t="s">
        <v>4033</v>
      </c>
      <c r="E55" s="657" t="s">
        <v>4034</v>
      </c>
      <c r="F55" s="658">
        <v>0.1</v>
      </c>
      <c r="G55" s="658">
        <v>0</v>
      </c>
      <c r="H55" s="656"/>
    </row>
    <row r="56" spans="1:8" ht="18.75" customHeight="1">
      <c r="A56" s="656"/>
      <c r="B56" s="659" t="s">
        <v>3928</v>
      </c>
      <c r="C56" s="659" t="s">
        <v>3934</v>
      </c>
      <c r="D56" s="659" t="s">
        <v>4035</v>
      </c>
      <c r="E56" s="659" t="s">
        <v>4036</v>
      </c>
      <c r="F56" s="660">
        <v>0.1</v>
      </c>
      <c r="G56" s="660">
        <v>0</v>
      </c>
      <c r="H56" s="656"/>
    </row>
    <row r="57" spans="1:8" ht="18.75" customHeight="1">
      <c r="A57" s="656"/>
      <c r="B57" s="657" t="s">
        <v>3928</v>
      </c>
      <c r="C57" s="657" t="s">
        <v>3934</v>
      </c>
      <c r="D57" s="657" t="s">
        <v>4037</v>
      </c>
      <c r="E57" s="657" t="s">
        <v>4038</v>
      </c>
      <c r="F57" s="658">
        <v>0.1</v>
      </c>
      <c r="G57" s="658">
        <v>0</v>
      </c>
      <c r="H57" s="656"/>
    </row>
    <row r="58" spans="1:8" ht="18.75" customHeight="1">
      <c r="A58" s="656"/>
      <c r="B58" s="659" t="s">
        <v>3928</v>
      </c>
      <c r="C58" s="659" t="s">
        <v>3934</v>
      </c>
      <c r="D58" s="659" t="s">
        <v>4039</v>
      </c>
      <c r="E58" s="659" t="s">
        <v>4040</v>
      </c>
      <c r="F58" s="660">
        <v>0.1</v>
      </c>
      <c r="G58" s="660">
        <v>0</v>
      </c>
      <c r="H58" s="656"/>
    </row>
    <row r="59" spans="1:8" ht="18.75" customHeight="1">
      <c r="A59" s="656"/>
      <c r="B59" s="657" t="s">
        <v>3928</v>
      </c>
      <c r="C59" s="657" t="s">
        <v>3934</v>
      </c>
      <c r="D59" s="657" t="s">
        <v>4041</v>
      </c>
      <c r="E59" s="657" t="s">
        <v>4042</v>
      </c>
      <c r="F59" s="658">
        <v>0.1</v>
      </c>
      <c r="G59" s="658">
        <v>0</v>
      </c>
      <c r="H59" s="656"/>
    </row>
    <row r="60" spans="1:8" ht="18.75" customHeight="1">
      <c r="A60" s="656"/>
      <c r="B60" s="659" t="s">
        <v>3928</v>
      </c>
      <c r="C60" s="659" t="s">
        <v>3934</v>
      </c>
      <c r="D60" s="659" t="s">
        <v>4043</v>
      </c>
      <c r="E60" s="659" t="s">
        <v>4044</v>
      </c>
      <c r="F60" s="660">
        <v>0.1</v>
      </c>
      <c r="G60" s="660">
        <v>0</v>
      </c>
      <c r="H60" s="656"/>
    </row>
    <row r="61" spans="1:8" ht="18.75" customHeight="1">
      <c r="A61" s="656"/>
      <c r="B61" s="657" t="s">
        <v>3928</v>
      </c>
      <c r="C61" s="657" t="s">
        <v>3934</v>
      </c>
      <c r="D61" s="657" t="s">
        <v>4045</v>
      </c>
      <c r="E61" s="657" t="s">
        <v>4046</v>
      </c>
      <c r="F61" s="658">
        <v>0.1</v>
      </c>
      <c r="G61" s="658">
        <v>0</v>
      </c>
      <c r="H61" s="656"/>
    </row>
    <row r="62" spans="1:8" ht="18.75" customHeight="1">
      <c r="A62" s="656"/>
      <c r="B62" s="659" t="s">
        <v>3928</v>
      </c>
      <c r="C62" s="659" t="s">
        <v>3934</v>
      </c>
      <c r="D62" s="659" t="s">
        <v>4047</v>
      </c>
      <c r="E62" s="659" t="s">
        <v>4048</v>
      </c>
      <c r="F62" s="660">
        <v>0.1</v>
      </c>
      <c r="G62" s="660">
        <v>0</v>
      </c>
      <c r="H62" s="656"/>
    </row>
    <row r="63" spans="1:8" ht="18.75" customHeight="1">
      <c r="A63" s="656"/>
      <c r="B63" s="657" t="s">
        <v>3928</v>
      </c>
      <c r="C63" s="657" t="s">
        <v>3934</v>
      </c>
      <c r="D63" s="657" t="s">
        <v>4049</v>
      </c>
      <c r="E63" s="657" t="s">
        <v>4050</v>
      </c>
      <c r="F63" s="658">
        <v>0.1</v>
      </c>
      <c r="G63" s="658">
        <v>0</v>
      </c>
      <c r="H63" s="656"/>
    </row>
    <row r="64" spans="1:8" ht="18.75" customHeight="1">
      <c r="A64" s="656"/>
      <c r="B64" s="659" t="s">
        <v>3928</v>
      </c>
      <c r="C64" s="659" t="s">
        <v>3934</v>
      </c>
      <c r="D64" s="659" t="s">
        <v>4051</v>
      </c>
      <c r="E64" s="659" t="s">
        <v>4052</v>
      </c>
      <c r="F64" s="660">
        <v>0.1</v>
      </c>
      <c r="G64" s="660">
        <v>0</v>
      </c>
      <c r="H64" s="656"/>
    </row>
    <row r="65" spans="1:8" ht="18.75" customHeight="1">
      <c r="A65" s="656"/>
      <c r="B65" s="657" t="s">
        <v>3928</v>
      </c>
      <c r="C65" s="657" t="s">
        <v>3934</v>
      </c>
      <c r="D65" s="657" t="s">
        <v>4053</v>
      </c>
      <c r="E65" s="657" t="s">
        <v>4054</v>
      </c>
      <c r="F65" s="658">
        <v>0.1</v>
      </c>
      <c r="G65" s="658">
        <v>0</v>
      </c>
      <c r="H65" s="656"/>
    </row>
    <row r="66" spans="1:8" ht="18.75" customHeight="1">
      <c r="A66" s="656"/>
      <c r="B66" s="659" t="s">
        <v>3928</v>
      </c>
      <c r="C66" s="659" t="s">
        <v>3934</v>
      </c>
      <c r="D66" s="659" t="s">
        <v>4055</v>
      </c>
      <c r="E66" s="659" t="s">
        <v>4056</v>
      </c>
      <c r="F66" s="660">
        <v>0.1</v>
      </c>
      <c r="G66" s="660">
        <v>0</v>
      </c>
      <c r="H66" s="656"/>
    </row>
    <row r="67" spans="1:8" ht="18.75" customHeight="1">
      <c r="A67" s="656"/>
      <c r="B67" s="657" t="s">
        <v>3928</v>
      </c>
      <c r="C67" s="657" t="s">
        <v>3975</v>
      </c>
      <c r="D67" s="657" t="s">
        <v>4057</v>
      </c>
      <c r="E67" s="657" t="s">
        <v>4058</v>
      </c>
      <c r="F67" s="658">
        <v>0.1</v>
      </c>
      <c r="G67" s="658">
        <v>0</v>
      </c>
      <c r="H67" s="656"/>
    </row>
    <row r="68" spans="1:8" ht="18.75" customHeight="1">
      <c r="A68" s="656"/>
      <c r="B68" s="659" t="s">
        <v>3928</v>
      </c>
      <c r="C68" s="659" t="s">
        <v>3934</v>
      </c>
      <c r="D68" s="659" t="s">
        <v>4059</v>
      </c>
      <c r="E68" s="659" t="s">
        <v>4060</v>
      </c>
      <c r="F68" s="660">
        <v>0.1</v>
      </c>
      <c r="G68" s="660">
        <v>0</v>
      </c>
      <c r="H68" s="656"/>
    </row>
    <row r="69" spans="1:8" ht="18.75" customHeight="1">
      <c r="A69" s="656"/>
      <c r="B69" s="657" t="s">
        <v>3928</v>
      </c>
      <c r="C69" s="657" t="s">
        <v>3934</v>
      </c>
      <c r="D69" s="657" t="s">
        <v>4061</v>
      </c>
      <c r="E69" s="657" t="s">
        <v>4062</v>
      </c>
      <c r="F69" s="658">
        <v>0.1</v>
      </c>
      <c r="G69" s="658">
        <v>0</v>
      </c>
      <c r="H69" s="656"/>
    </row>
    <row r="70" spans="1:8" ht="18.75" customHeight="1">
      <c r="A70" s="656"/>
      <c r="B70" s="659" t="s">
        <v>3928</v>
      </c>
      <c r="C70" s="659" t="s">
        <v>3934</v>
      </c>
      <c r="D70" s="659" t="s">
        <v>4063</v>
      </c>
      <c r="E70" s="659" t="s">
        <v>4064</v>
      </c>
      <c r="F70" s="660">
        <v>0.1</v>
      </c>
      <c r="G70" s="660">
        <v>0</v>
      </c>
      <c r="H70" s="656"/>
    </row>
    <row r="71" spans="1:8" ht="18.75" customHeight="1">
      <c r="A71" s="656"/>
      <c r="B71" s="657" t="s">
        <v>3928</v>
      </c>
      <c r="C71" s="657" t="s">
        <v>3934</v>
      </c>
      <c r="D71" s="657" t="s">
        <v>4065</v>
      </c>
      <c r="E71" s="657" t="s">
        <v>4066</v>
      </c>
      <c r="F71" s="658">
        <v>0.1</v>
      </c>
      <c r="G71" s="658">
        <v>0</v>
      </c>
      <c r="H71" s="656"/>
    </row>
    <row r="72" spans="1:8" ht="18.75" customHeight="1">
      <c r="A72" s="656"/>
      <c r="B72" s="659" t="s">
        <v>3928</v>
      </c>
      <c r="C72" s="659" t="s">
        <v>3934</v>
      </c>
      <c r="D72" s="659" t="s">
        <v>4067</v>
      </c>
      <c r="E72" s="659" t="s">
        <v>4068</v>
      </c>
      <c r="F72" s="660">
        <v>0.1</v>
      </c>
      <c r="G72" s="660">
        <v>0</v>
      </c>
      <c r="H72" s="656"/>
    </row>
    <row r="73" spans="1:8" ht="18.75" customHeight="1">
      <c r="A73" s="656"/>
      <c r="B73" s="657" t="s">
        <v>3928</v>
      </c>
      <c r="C73" s="657" t="s">
        <v>3934</v>
      </c>
      <c r="D73" s="657" t="s">
        <v>4069</v>
      </c>
      <c r="E73" s="657" t="s">
        <v>4070</v>
      </c>
      <c r="F73" s="658">
        <v>0.1</v>
      </c>
      <c r="G73" s="658">
        <v>0</v>
      </c>
      <c r="H73" s="656"/>
    </row>
    <row r="74" spans="1:8" ht="18.75" customHeight="1">
      <c r="A74" s="656"/>
      <c r="B74" s="659" t="s">
        <v>3928</v>
      </c>
      <c r="C74" s="659" t="s">
        <v>3975</v>
      </c>
      <c r="D74" s="659" t="s">
        <v>4071</v>
      </c>
      <c r="E74" s="659" t="s">
        <v>4072</v>
      </c>
      <c r="F74" s="660">
        <v>0.1</v>
      </c>
      <c r="G74" s="660">
        <v>0</v>
      </c>
      <c r="H74" s="656"/>
    </row>
    <row r="75" spans="1:8" ht="18.75" customHeight="1">
      <c r="A75" s="656"/>
      <c r="B75" s="657" t="s">
        <v>3928</v>
      </c>
      <c r="C75" s="657" t="s">
        <v>3934</v>
      </c>
      <c r="D75" s="657" t="s">
        <v>4073</v>
      </c>
      <c r="E75" s="657" t="s">
        <v>4074</v>
      </c>
      <c r="F75" s="658">
        <v>0.1</v>
      </c>
      <c r="G75" s="658">
        <v>0</v>
      </c>
      <c r="H75" s="656"/>
    </row>
    <row r="76" spans="1:8" ht="18.75" customHeight="1">
      <c r="A76" s="656"/>
      <c r="B76" s="659" t="s">
        <v>3928</v>
      </c>
      <c r="C76" s="659" t="s">
        <v>3934</v>
      </c>
      <c r="D76" s="659" t="s">
        <v>4075</v>
      </c>
      <c r="E76" s="659" t="s">
        <v>4076</v>
      </c>
      <c r="F76" s="660">
        <v>0.1</v>
      </c>
      <c r="G76" s="660">
        <v>0</v>
      </c>
      <c r="H76" s="656"/>
    </row>
    <row r="77" spans="1:8" ht="18.75" customHeight="1">
      <c r="A77" s="656"/>
      <c r="B77" s="657" t="s">
        <v>3928</v>
      </c>
      <c r="C77" s="657" t="s">
        <v>3934</v>
      </c>
      <c r="D77" s="657" t="s">
        <v>4077</v>
      </c>
      <c r="E77" s="657" t="s">
        <v>4078</v>
      </c>
      <c r="F77" s="658">
        <v>0.1</v>
      </c>
      <c r="G77" s="658">
        <v>0</v>
      </c>
      <c r="H77" s="656"/>
    </row>
    <row r="78" spans="1:8" ht="18.75" customHeight="1">
      <c r="A78" s="656"/>
      <c r="B78" s="659" t="s">
        <v>3928</v>
      </c>
      <c r="C78" s="659" t="s">
        <v>3934</v>
      </c>
      <c r="D78" s="659" t="s">
        <v>4079</v>
      </c>
      <c r="E78" s="659" t="s">
        <v>4080</v>
      </c>
      <c r="F78" s="660">
        <v>0.1</v>
      </c>
      <c r="G78" s="660">
        <v>0</v>
      </c>
      <c r="H78" s="656"/>
    </row>
    <row r="79" spans="1:8" ht="18.75" customHeight="1">
      <c r="A79" s="656"/>
      <c r="B79" s="657" t="s">
        <v>3928</v>
      </c>
      <c r="C79" s="657" t="s">
        <v>3934</v>
      </c>
      <c r="D79" s="657" t="s">
        <v>4081</v>
      </c>
      <c r="E79" s="657" t="s">
        <v>4082</v>
      </c>
      <c r="F79" s="658">
        <v>0.1</v>
      </c>
      <c r="G79" s="658">
        <v>0</v>
      </c>
      <c r="H79" s="656"/>
    </row>
    <row r="80" spans="1:8" ht="18.75" customHeight="1">
      <c r="A80" s="656"/>
      <c r="B80" s="659" t="s">
        <v>3928</v>
      </c>
      <c r="C80" s="659" t="s">
        <v>4000</v>
      </c>
      <c r="D80" s="659" t="s">
        <v>4083</v>
      </c>
      <c r="E80" s="659" t="s">
        <v>4084</v>
      </c>
      <c r="F80" s="660">
        <v>0.1</v>
      </c>
      <c r="G80" s="660">
        <v>0</v>
      </c>
      <c r="H80" s="656"/>
    </row>
    <row r="81" spans="1:8" ht="18.75" customHeight="1">
      <c r="A81" s="656"/>
      <c r="B81" s="657" t="s">
        <v>3928</v>
      </c>
      <c r="C81" s="657" t="s">
        <v>3934</v>
      </c>
      <c r="D81" s="657" t="s">
        <v>4085</v>
      </c>
      <c r="E81" s="657" t="s">
        <v>4086</v>
      </c>
      <c r="F81" s="658">
        <v>0.1</v>
      </c>
      <c r="G81" s="658">
        <v>0</v>
      </c>
      <c r="H81" s="656"/>
    </row>
    <row r="82" spans="1:8" ht="18.75" customHeight="1">
      <c r="A82" s="656"/>
      <c r="B82" s="659" t="s">
        <v>3928</v>
      </c>
      <c r="C82" s="659" t="s">
        <v>3934</v>
      </c>
      <c r="D82" s="659" t="s">
        <v>4087</v>
      </c>
      <c r="E82" s="659" t="s">
        <v>4088</v>
      </c>
      <c r="F82" s="660">
        <v>0.1</v>
      </c>
      <c r="G82" s="660">
        <v>0</v>
      </c>
      <c r="H82" s="656"/>
    </row>
    <row r="83" spans="1:8" ht="18.75" customHeight="1">
      <c r="A83" s="656"/>
      <c r="B83" s="657" t="s">
        <v>3928</v>
      </c>
      <c r="C83" s="657" t="s">
        <v>3934</v>
      </c>
      <c r="D83" s="657" t="s">
        <v>4089</v>
      </c>
      <c r="E83" s="657" t="s">
        <v>4090</v>
      </c>
      <c r="F83" s="658">
        <v>0.1</v>
      </c>
      <c r="G83" s="658">
        <v>0</v>
      </c>
      <c r="H83" s="656"/>
    </row>
    <row r="84" spans="1:8" ht="18.75" customHeight="1">
      <c r="A84" s="656"/>
      <c r="B84" s="659" t="s">
        <v>3928</v>
      </c>
      <c r="C84" s="659" t="s">
        <v>3934</v>
      </c>
      <c r="D84" s="659" t="s">
        <v>4091</v>
      </c>
      <c r="E84" s="659" t="s">
        <v>4092</v>
      </c>
      <c r="F84" s="660">
        <v>0.1</v>
      </c>
      <c r="G84" s="660">
        <v>0</v>
      </c>
      <c r="H84" s="656"/>
    </row>
    <row r="85" spans="1:8" ht="18.75" customHeight="1">
      <c r="A85" s="656"/>
      <c r="B85" s="657" t="s">
        <v>3928</v>
      </c>
      <c r="C85" s="657" t="s">
        <v>3934</v>
      </c>
      <c r="D85" s="657" t="s">
        <v>4093</v>
      </c>
      <c r="E85" s="657" t="s">
        <v>4094</v>
      </c>
      <c r="F85" s="658">
        <v>0.1</v>
      </c>
      <c r="G85" s="658">
        <v>0</v>
      </c>
      <c r="H85" s="656"/>
    </row>
    <row r="86" spans="1:8" ht="18.75" customHeight="1">
      <c r="A86" s="656"/>
      <c r="B86" s="659" t="s">
        <v>3928</v>
      </c>
      <c r="C86" s="659" t="s">
        <v>3934</v>
      </c>
      <c r="D86" s="659" t="s">
        <v>4095</v>
      </c>
      <c r="E86" s="659" t="s">
        <v>4096</v>
      </c>
      <c r="F86" s="660">
        <v>0.1</v>
      </c>
      <c r="G86" s="660">
        <v>0</v>
      </c>
      <c r="H86" s="656"/>
    </row>
    <row r="87" spans="1:8" ht="18.75" customHeight="1">
      <c r="A87" s="656"/>
      <c r="B87" s="657" t="s">
        <v>3928</v>
      </c>
      <c r="C87" s="657" t="s">
        <v>3934</v>
      </c>
      <c r="D87" s="657" t="s">
        <v>4097</v>
      </c>
      <c r="E87" s="657" t="s">
        <v>4098</v>
      </c>
      <c r="F87" s="658">
        <v>0.1</v>
      </c>
      <c r="G87" s="658">
        <v>0</v>
      </c>
      <c r="H87" s="656"/>
    </row>
    <row r="88" spans="1:8" ht="18.75" customHeight="1">
      <c r="A88" s="656"/>
      <c r="B88" s="659" t="s">
        <v>3928</v>
      </c>
      <c r="C88" s="659" t="s">
        <v>3934</v>
      </c>
      <c r="D88" s="659" t="s">
        <v>4099</v>
      </c>
      <c r="E88" s="659" t="s">
        <v>4100</v>
      </c>
      <c r="F88" s="660">
        <v>0.1</v>
      </c>
      <c r="G88" s="660">
        <v>0</v>
      </c>
      <c r="H88" s="656"/>
    </row>
    <row r="89" spans="1:8" ht="18.75" customHeight="1">
      <c r="A89" s="656"/>
      <c r="B89" s="657" t="s">
        <v>3928</v>
      </c>
      <c r="C89" s="657" t="s">
        <v>3934</v>
      </c>
      <c r="D89" s="657" t="s">
        <v>4101</v>
      </c>
      <c r="E89" s="657" t="s">
        <v>4102</v>
      </c>
      <c r="F89" s="658">
        <v>0.1</v>
      </c>
      <c r="G89" s="658">
        <v>0</v>
      </c>
      <c r="H89" s="656"/>
    </row>
    <row r="90" spans="1:8" ht="18.75" customHeight="1">
      <c r="A90" s="656"/>
      <c r="B90" s="659" t="s">
        <v>3928</v>
      </c>
      <c r="C90" s="659" t="s">
        <v>3934</v>
      </c>
      <c r="D90" s="659" t="s">
        <v>4103</v>
      </c>
      <c r="E90" s="659" t="s">
        <v>4104</v>
      </c>
      <c r="F90" s="660">
        <v>0.1</v>
      </c>
      <c r="G90" s="660">
        <v>0</v>
      </c>
      <c r="H90" s="656"/>
    </row>
    <row r="91" spans="1:8" ht="18.75" customHeight="1">
      <c r="A91" s="656"/>
      <c r="B91" s="657" t="s">
        <v>3928</v>
      </c>
      <c r="C91" s="657" t="s">
        <v>3934</v>
      </c>
      <c r="D91" s="657" t="s">
        <v>4105</v>
      </c>
      <c r="E91" s="657" t="s">
        <v>4106</v>
      </c>
      <c r="F91" s="658">
        <v>0.1</v>
      </c>
      <c r="G91" s="658">
        <v>0</v>
      </c>
      <c r="H91" s="656"/>
    </row>
    <row r="92" spans="1:8" ht="18.75" customHeight="1">
      <c r="A92" s="656"/>
      <c r="B92" s="659" t="s">
        <v>3928</v>
      </c>
      <c r="C92" s="659" t="s">
        <v>3934</v>
      </c>
      <c r="D92" s="659" t="s">
        <v>4107</v>
      </c>
      <c r="E92" s="659" t="s">
        <v>4108</v>
      </c>
      <c r="F92" s="660">
        <v>0.1</v>
      </c>
      <c r="G92" s="660">
        <v>0</v>
      </c>
      <c r="H92" s="656"/>
    </row>
    <row r="93" spans="1:8" ht="18.75" customHeight="1">
      <c r="A93" s="656"/>
      <c r="B93" s="657" t="s">
        <v>3928</v>
      </c>
      <c r="C93" s="657" t="s">
        <v>3934</v>
      </c>
      <c r="D93" s="657" t="s">
        <v>4109</v>
      </c>
      <c r="E93" s="657" t="s">
        <v>4110</v>
      </c>
      <c r="F93" s="658">
        <v>0.1</v>
      </c>
      <c r="G93" s="658">
        <v>0</v>
      </c>
      <c r="H93" s="656"/>
    </row>
    <row r="94" spans="1:8" ht="18.75" customHeight="1">
      <c r="A94" s="656"/>
      <c r="B94" s="659" t="s">
        <v>3928</v>
      </c>
      <c r="C94" s="659" t="s">
        <v>3934</v>
      </c>
      <c r="D94" s="659" t="s">
        <v>4111</v>
      </c>
      <c r="E94" s="659" t="s">
        <v>4112</v>
      </c>
      <c r="F94" s="660">
        <v>0.1</v>
      </c>
      <c r="G94" s="660">
        <v>0</v>
      </c>
      <c r="H94" s="656"/>
    </row>
    <row r="95" spans="1:8" ht="18.75" customHeight="1">
      <c r="A95" s="656"/>
      <c r="B95" s="657" t="s">
        <v>3928</v>
      </c>
      <c r="C95" s="657" t="s">
        <v>3934</v>
      </c>
      <c r="D95" s="657" t="s">
        <v>4113</v>
      </c>
      <c r="E95" s="657" t="s">
        <v>4114</v>
      </c>
      <c r="F95" s="658">
        <v>0.1</v>
      </c>
      <c r="G95" s="658">
        <v>0</v>
      </c>
      <c r="H95" s="656"/>
    </row>
    <row r="96" spans="1:8" ht="18.75" customHeight="1">
      <c r="A96" s="656"/>
      <c r="B96" s="659" t="s">
        <v>3928</v>
      </c>
      <c r="C96" s="659" t="s">
        <v>3934</v>
      </c>
      <c r="D96" s="659" t="s">
        <v>4115</v>
      </c>
      <c r="E96" s="659" t="s">
        <v>4116</v>
      </c>
      <c r="F96" s="660">
        <v>0.1</v>
      </c>
      <c r="G96" s="660">
        <v>0</v>
      </c>
      <c r="H96" s="656"/>
    </row>
    <row r="97" spans="1:8" ht="18.75" customHeight="1">
      <c r="A97" s="656"/>
      <c r="B97" s="657" t="s">
        <v>3928</v>
      </c>
      <c r="C97" s="657" t="s">
        <v>3934</v>
      </c>
      <c r="D97" s="657" t="s">
        <v>4117</v>
      </c>
      <c r="E97" s="657" t="s">
        <v>4118</v>
      </c>
      <c r="F97" s="658">
        <v>0.1</v>
      </c>
      <c r="G97" s="658">
        <v>0</v>
      </c>
      <c r="H97" s="656"/>
    </row>
    <row r="98" spans="1:8" ht="18.75" customHeight="1">
      <c r="A98" s="656"/>
      <c r="B98" s="659" t="s">
        <v>3928</v>
      </c>
      <c r="C98" s="659" t="s">
        <v>3934</v>
      </c>
      <c r="D98" s="659" t="s">
        <v>4119</v>
      </c>
      <c r="E98" s="659" t="s">
        <v>4120</v>
      </c>
      <c r="F98" s="660">
        <v>0.1</v>
      </c>
      <c r="G98" s="660">
        <v>0</v>
      </c>
      <c r="H98" s="656"/>
    </row>
    <row r="99" spans="1:8" ht="18.75" customHeight="1">
      <c r="A99" s="656"/>
      <c r="B99" s="657" t="s">
        <v>3928</v>
      </c>
      <c r="C99" s="657" t="s">
        <v>3934</v>
      </c>
      <c r="D99" s="657" t="s">
        <v>4121</v>
      </c>
      <c r="E99" s="657" t="s">
        <v>4122</v>
      </c>
      <c r="F99" s="658">
        <v>0.1</v>
      </c>
      <c r="G99" s="658">
        <v>0</v>
      </c>
      <c r="H99" s="656"/>
    </row>
    <row r="100" spans="1:8" ht="18.75" customHeight="1">
      <c r="A100" s="656"/>
      <c r="B100" s="659" t="s">
        <v>3928</v>
      </c>
      <c r="C100" s="659" t="s">
        <v>3975</v>
      </c>
      <c r="D100" s="659" t="s">
        <v>4123</v>
      </c>
      <c r="E100" s="659" t="s">
        <v>4124</v>
      </c>
      <c r="F100" s="660">
        <v>0.1</v>
      </c>
      <c r="G100" s="660">
        <v>0</v>
      </c>
      <c r="H100" s="656"/>
    </row>
    <row r="101" spans="1:8" ht="18.75" customHeight="1">
      <c r="A101" s="656"/>
      <c r="B101" s="657" t="s">
        <v>3928</v>
      </c>
      <c r="C101" s="657" t="s">
        <v>3934</v>
      </c>
      <c r="D101" s="657" t="s">
        <v>4125</v>
      </c>
      <c r="E101" s="657" t="s">
        <v>4126</v>
      </c>
      <c r="F101" s="658">
        <v>0.1</v>
      </c>
      <c r="G101" s="658">
        <v>0</v>
      </c>
      <c r="H101" s="656"/>
    </row>
    <row r="102" spans="1:8" ht="18.75" customHeight="1">
      <c r="A102" s="656"/>
      <c r="B102" s="659" t="s">
        <v>3928</v>
      </c>
      <c r="C102" s="659" t="s">
        <v>3934</v>
      </c>
      <c r="D102" s="659" t="s">
        <v>4127</v>
      </c>
      <c r="E102" s="659" t="s">
        <v>4128</v>
      </c>
      <c r="F102" s="660">
        <v>0.1</v>
      </c>
      <c r="G102" s="660">
        <v>0</v>
      </c>
      <c r="H102" s="656"/>
    </row>
    <row r="103" spans="1:8" ht="18.75" customHeight="1">
      <c r="A103" s="656"/>
      <c r="B103" s="657" t="s">
        <v>3928</v>
      </c>
      <c r="C103" s="657" t="s">
        <v>3934</v>
      </c>
      <c r="D103" s="657" t="s">
        <v>4129</v>
      </c>
      <c r="E103" s="657" t="s">
        <v>4130</v>
      </c>
      <c r="F103" s="658">
        <v>0.1</v>
      </c>
      <c r="G103" s="658">
        <v>0</v>
      </c>
      <c r="H103" s="656"/>
    </row>
    <row r="104" spans="1:8" ht="18.75" customHeight="1">
      <c r="A104" s="656"/>
      <c r="B104" s="659" t="s">
        <v>3928</v>
      </c>
      <c r="C104" s="659" t="s">
        <v>3975</v>
      </c>
      <c r="D104" s="659" t="s">
        <v>4131</v>
      </c>
      <c r="E104" s="659" t="s">
        <v>4132</v>
      </c>
      <c r="F104" s="660">
        <v>0.1</v>
      </c>
      <c r="G104" s="660">
        <v>0</v>
      </c>
      <c r="H104" s="656"/>
    </row>
    <row r="105" spans="1:8" ht="18.75" customHeight="1">
      <c r="A105" s="656"/>
      <c r="B105" s="657" t="s">
        <v>3928</v>
      </c>
      <c r="C105" s="657" t="s">
        <v>3934</v>
      </c>
      <c r="D105" s="657" t="s">
        <v>4133</v>
      </c>
      <c r="E105" s="657" t="s">
        <v>4134</v>
      </c>
      <c r="F105" s="658">
        <v>0.1</v>
      </c>
      <c r="G105" s="658">
        <v>0</v>
      </c>
      <c r="H105" s="656"/>
    </row>
    <row r="106" spans="1:8" ht="18.75" customHeight="1">
      <c r="A106" s="656"/>
      <c r="B106" s="659" t="s">
        <v>3928</v>
      </c>
      <c r="C106" s="659" t="s">
        <v>3934</v>
      </c>
      <c r="D106" s="659" t="s">
        <v>4135</v>
      </c>
      <c r="E106" s="659" t="s">
        <v>4136</v>
      </c>
      <c r="F106" s="660">
        <v>0.1</v>
      </c>
      <c r="G106" s="660">
        <v>0</v>
      </c>
      <c r="H106" s="656"/>
    </row>
    <row r="107" spans="1:8" ht="18.75" customHeight="1">
      <c r="A107" s="656"/>
      <c r="B107" s="657" t="s">
        <v>3928</v>
      </c>
      <c r="C107" s="657" t="s">
        <v>3934</v>
      </c>
      <c r="D107" s="657" t="s">
        <v>4137</v>
      </c>
      <c r="E107" s="657" t="s">
        <v>4138</v>
      </c>
      <c r="F107" s="658">
        <v>0.1</v>
      </c>
      <c r="G107" s="658">
        <v>0</v>
      </c>
      <c r="H107" s="656"/>
    </row>
    <row r="108" spans="1:8" ht="18.75" customHeight="1">
      <c r="A108" s="656"/>
      <c r="B108" s="659" t="s">
        <v>3928</v>
      </c>
      <c r="C108" s="659" t="s">
        <v>3934</v>
      </c>
      <c r="D108" s="659" t="s">
        <v>4139</v>
      </c>
      <c r="E108" s="659" t="s">
        <v>4140</v>
      </c>
      <c r="F108" s="660">
        <v>0.1</v>
      </c>
      <c r="G108" s="660">
        <v>0</v>
      </c>
      <c r="H108" s="656"/>
    </row>
    <row r="109" spans="1:8" ht="18.75" customHeight="1">
      <c r="A109" s="656"/>
      <c r="B109" s="657" t="s">
        <v>3928</v>
      </c>
      <c r="C109" s="657" t="s">
        <v>4000</v>
      </c>
      <c r="D109" s="657" t="s">
        <v>4141</v>
      </c>
      <c r="E109" s="657" t="s">
        <v>4142</v>
      </c>
      <c r="F109" s="658">
        <v>0.1</v>
      </c>
      <c r="G109" s="658">
        <v>0</v>
      </c>
      <c r="H109" s="656"/>
    </row>
    <row r="110" spans="1:8" ht="18.75" customHeight="1">
      <c r="A110" s="656"/>
      <c r="B110" s="659" t="s">
        <v>3928</v>
      </c>
      <c r="C110" s="659" t="s">
        <v>3934</v>
      </c>
      <c r="D110" s="659" t="s">
        <v>4143</v>
      </c>
      <c r="E110" s="659" t="s">
        <v>4144</v>
      </c>
      <c r="F110" s="660">
        <v>0.1</v>
      </c>
      <c r="G110" s="660">
        <v>0</v>
      </c>
      <c r="H110" s="656"/>
    </row>
    <row r="111" spans="1:8" ht="18.75" customHeight="1">
      <c r="A111" s="656"/>
      <c r="B111" s="657" t="s">
        <v>3928</v>
      </c>
      <c r="C111" s="657" t="s">
        <v>3934</v>
      </c>
      <c r="D111" s="657" t="s">
        <v>4145</v>
      </c>
      <c r="E111" s="657" t="s">
        <v>4146</v>
      </c>
      <c r="F111" s="658">
        <v>0.1</v>
      </c>
      <c r="G111" s="658">
        <v>0</v>
      </c>
      <c r="H111" s="656"/>
    </row>
    <row r="112" spans="1:8" ht="18.75" customHeight="1">
      <c r="A112" s="656"/>
      <c r="B112" s="659" t="s">
        <v>3928</v>
      </c>
      <c r="C112" s="659" t="s">
        <v>3934</v>
      </c>
      <c r="D112" s="659" t="s">
        <v>4147</v>
      </c>
      <c r="E112" s="659" t="s">
        <v>4148</v>
      </c>
      <c r="F112" s="660">
        <v>0.1</v>
      </c>
      <c r="G112" s="660">
        <v>0</v>
      </c>
      <c r="H112" s="656"/>
    </row>
    <row r="113" spans="1:8" ht="18.75" customHeight="1">
      <c r="A113" s="656"/>
      <c r="B113" s="657" t="s">
        <v>3928</v>
      </c>
      <c r="C113" s="657" t="s">
        <v>3934</v>
      </c>
      <c r="D113" s="657" t="s">
        <v>4149</v>
      </c>
      <c r="E113" s="657" t="s">
        <v>4150</v>
      </c>
      <c r="F113" s="658">
        <v>0.1</v>
      </c>
      <c r="G113" s="658">
        <v>0</v>
      </c>
      <c r="H113" s="656"/>
    </row>
    <row r="114" spans="1:8" ht="18.75" customHeight="1">
      <c r="A114" s="656"/>
      <c r="B114" s="659" t="s">
        <v>3928</v>
      </c>
      <c r="C114" s="659" t="s">
        <v>3934</v>
      </c>
      <c r="D114" s="659" t="s">
        <v>4151</v>
      </c>
      <c r="E114" s="659" t="s">
        <v>4152</v>
      </c>
      <c r="F114" s="660">
        <v>0.1</v>
      </c>
      <c r="G114" s="660">
        <v>0</v>
      </c>
      <c r="H114" s="656"/>
    </row>
    <row r="115" spans="1:8" ht="18.75" customHeight="1">
      <c r="A115" s="656"/>
      <c r="B115" s="657" t="s">
        <v>3928</v>
      </c>
      <c r="C115" s="657" t="s">
        <v>3934</v>
      </c>
      <c r="D115" s="657" t="s">
        <v>4153</v>
      </c>
      <c r="E115" s="657" t="s">
        <v>4154</v>
      </c>
      <c r="F115" s="658">
        <v>0.1</v>
      </c>
      <c r="G115" s="658">
        <v>0</v>
      </c>
      <c r="H115" s="656"/>
    </row>
    <row r="116" spans="1:8" ht="18.75" customHeight="1">
      <c r="A116" s="656"/>
      <c r="B116" s="659" t="s">
        <v>3928</v>
      </c>
      <c r="C116" s="659" t="s">
        <v>3934</v>
      </c>
      <c r="D116" s="659" t="s">
        <v>4155</v>
      </c>
      <c r="E116" s="659" t="s">
        <v>4156</v>
      </c>
      <c r="F116" s="660">
        <v>0.1</v>
      </c>
      <c r="G116" s="660">
        <v>0</v>
      </c>
      <c r="H116" s="656"/>
    </row>
    <row r="117" spans="1:8" ht="18.75" customHeight="1">
      <c r="A117" s="656"/>
      <c r="B117" s="657" t="s">
        <v>3928</v>
      </c>
      <c r="C117" s="657" t="s">
        <v>3934</v>
      </c>
      <c r="D117" s="657" t="s">
        <v>4157</v>
      </c>
      <c r="E117" s="657" t="s">
        <v>4158</v>
      </c>
      <c r="F117" s="658">
        <v>0.1</v>
      </c>
      <c r="G117" s="658">
        <v>0</v>
      </c>
      <c r="H117" s="656"/>
    </row>
    <row r="118" spans="1:8" ht="18.75" customHeight="1">
      <c r="A118" s="656"/>
      <c r="B118" s="659" t="s">
        <v>3928</v>
      </c>
      <c r="C118" s="659" t="s">
        <v>3934</v>
      </c>
      <c r="D118" s="659" t="s">
        <v>4159</v>
      </c>
      <c r="E118" s="659" t="s">
        <v>4160</v>
      </c>
      <c r="F118" s="660">
        <v>0.1</v>
      </c>
      <c r="G118" s="660">
        <v>0</v>
      </c>
      <c r="H118" s="656"/>
    </row>
    <row r="119" spans="1:8" ht="18.75" customHeight="1">
      <c r="A119" s="656"/>
      <c r="B119" s="657" t="s">
        <v>3928</v>
      </c>
      <c r="C119" s="657" t="s">
        <v>3934</v>
      </c>
      <c r="D119" s="657" t="s">
        <v>4161</v>
      </c>
      <c r="E119" s="657" t="s">
        <v>4162</v>
      </c>
      <c r="F119" s="658">
        <v>0.1</v>
      </c>
      <c r="G119" s="658">
        <v>0</v>
      </c>
      <c r="H119" s="656"/>
    </row>
    <row r="120" spans="1:8" ht="18.75" customHeight="1">
      <c r="A120" s="656"/>
      <c r="B120" s="659" t="s">
        <v>3928</v>
      </c>
      <c r="C120" s="659" t="s">
        <v>3934</v>
      </c>
      <c r="D120" s="659" t="s">
        <v>4163</v>
      </c>
      <c r="E120" s="659" t="s">
        <v>4164</v>
      </c>
      <c r="F120" s="660">
        <v>0.1</v>
      </c>
      <c r="G120" s="660">
        <v>0</v>
      </c>
      <c r="H120" s="656"/>
    </row>
    <row r="121" spans="1:8" ht="18.75" customHeight="1">
      <c r="A121" s="656"/>
      <c r="B121" s="657" t="s">
        <v>3928</v>
      </c>
      <c r="C121" s="657" t="s">
        <v>3934</v>
      </c>
      <c r="D121" s="657" t="s">
        <v>4165</v>
      </c>
      <c r="E121" s="657" t="s">
        <v>4166</v>
      </c>
      <c r="F121" s="658">
        <v>0.1</v>
      </c>
      <c r="G121" s="658">
        <v>0</v>
      </c>
      <c r="H121" s="656"/>
    </row>
    <row r="122" spans="1:8" ht="18.75" customHeight="1">
      <c r="A122" s="656"/>
      <c r="B122" s="659" t="s">
        <v>3928</v>
      </c>
      <c r="C122" s="659" t="s">
        <v>3934</v>
      </c>
      <c r="D122" s="659" t="s">
        <v>4167</v>
      </c>
      <c r="E122" s="659" t="s">
        <v>4168</v>
      </c>
      <c r="F122" s="660">
        <v>0.1</v>
      </c>
      <c r="G122" s="660">
        <v>0</v>
      </c>
      <c r="H122" s="656"/>
    </row>
    <row r="123" spans="1:8" ht="18.75" customHeight="1">
      <c r="A123" s="656"/>
      <c r="B123" s="657" t="s">
        <v>3928</v>
      </c>
      <c r="C123" s="657" t="s">
        <v>3934</v>
      </c>
      <c r="D123" s="657" t="s">
        <v>4169</v>
      </c>
      <c r="E123" s="657" t="s">
        <v>4170</v>
      </c>
      <c r="F123" s="658">
        <v>0.1</v>
      </c>
      <c r="G123" s="658">
        <v>0</v>
      </c>
      <c r="H123" s="656"/>
    </row>
    <row r="124" spans="1:8" ht="18.75" customHeight="1">
      <c r="A124" s="656"/>
      <c r="B124" s="659" t="s">
        <v>3928</v>
      </c>
      <c r="C124" s="659" t="s">
        <v>3934</v>
      </c>
      <c r="D124" s="659" t="s">
        <v>4171</v>
      </c>
      <c r="E124" s="659" t="s">
        <v>4172</v>
      </c>
      <c r="F124" s="660">
        <v>0.1</v>
      </c>
      <c r="G124" s="660">
        <v>0</v>
      </c>
      <c r="H124" s="656"/>
    </row>
    <row r="125" spans="1:8" ht="18.75" customHeight="1">
      <c r="A125" s="656"/>
      <c r="B125" s="657" t="s">
        <v>3928</v>
      </c>
      <c r="C125" s="657" t="s">
        <v>3934</v>
      </c>
      <c r="D125" s="657" t="s">
        <v>4173</v>
      </c>
      <c r="E125" s="657" t="s">
        <v>4174</v>
      </c>
      <c r="F125" s="658">
        <v>0.1</v>
      </c>
      <c r="G125" s="658">
        <v>0</v>
      </c>
      <c r="H125" s="656"/>
    </row>
    <row r="126" spans="1:8" ht="18.75" customHeight="1">
      <c r="A126" s="656"/>
      <c r="B126" s="659" t="s">
        <v>3928</v>
      </c>
      <c r="C126" s="659" t="s">
        <v>3934</v>
      </c>
      <c r="D126" s="659" t="s">
        <v>4175</v>
      </c>
      <c r="E126" s="659" t="s">
        <v>4176</v>
      </c>
      <c r="F126" s="660">
        <v>0.1</v>
      </c>
      <c r="G126" s="660">
        <v>0</v>
      </c>
      <c r="H126" s="656"/>
    </row>
    <row r="127" spans="1:8" ht="18.75" customHeight="1">
      <c r="A127" s="656"/>
      <c r="B127" s="657" t="s">
        <v>3928</v>
      </c>
      <c r="C127" s="657" t="s">
        <v>3929</v>
      </c>
      <c r="D127" s="657" t="s">
        <v>4177</v>
      </c>
      <c r="E127" s="657" t="s">
        <v>4178</v>
      </c>
      <c r="F127" s="658">
        <v>0.1</v>
      </c>
      <c r="G127" s="658">
        <v>0</v>
      </c>
      <c r="H127" s="656"/>
    </row>
    <row r="128" spans="1:8" ht="18.75" customHeight="1">
      <c r="A128" s="656"/>
      <c r="B128" s="659" t="s">
        <v>3928</v>
      </c>
      <c r="C128" s="659" t="s">
        <v>3934</v>
      </c>
      <c r="D128" s="659" t="s">
        <v>4179</v>
      </c>
      <c r="E128" s="659" t="s">
        <v>4180</v>
      </c>
      <c r="F128" s="660">
        <v>0.1</v>
      </c>
      <c r="G128" s="660">
        <v>0</v>
      </c>
      <c r="H128" s="656"/>
    </row>
    <row r="129" spans="1:8" ht="18.75" customHeight="1">
      <c r="A129" s="656"/>
      <c r="B129" s="657" t="s">
        <v>3928</v>
      </c>
      <c r="C129" s="657" t="s">
        <v>3934</v>
      </c>
      <c r="D129" s="657" t="s">
        <v>4181</v>
      </c>
      <c r="E129" s="657" t="s">
        <v>4182</v>
      </c>
      <c r="F129" s="658">
        <v>0.1</v>
      </c>
      <c r="G129" s="658">
        <v>0</v>
      </c>
      <c r="H129" s="656"/>
    </row>
    <row r="130" spans="1:8" ht="18.75" customHeight="1">
      <c r="A130" s="656"/>
      <c r="B130" s="659" t="s">
        <v>3928</v>
      </c>
      <c r="C130" s="659" t="s">
        <v>3975</v>
      </c>
      <c r="D130" s="659" t="s">
        <v>4183</v>
      </c>
      <c r="E130" s="659" t="s">
        <v>4184</v>
      </c>
      <c r="F130" s="660">
        <v>0.1</v>
      </c>
      <c r="G130" s="660">
        <v>0</v>
      </c>
      <c r="H130" s="656"/>
    </row>
    <row r="131" spans="1:8" ht="18.75" customHeight="1">
      <c r="A131" s="656"/>
      <c r="B131" s="657" t="s">
        <v>3928</v>
      </c>
      <c r="C131" s="657" t="s">
        <v>3934</v>
      </c>
      <c r="D131" s="657" t="s">
        <v>4185</v>
      </c>
      <c r="E131" s="657" t="s">
        <v>4186</v>
      </c>
      <c r="F131" s="658">
        <v>0.1</v>
      </c>
      <c r="G131" s="658">
        <v>0</v>
      </c>
      <c r="H131" s="656"/>
    </row>
    <row r="132" spans="1:8" ht="18.75" customHeight="1">
      <c r="A132" s="656"/>
      <c r="B132" s="659" t="s">
        <v>3928</v>
      </c>
      <c r="C132" s="659" t="s">
        <v>3934</v>
      </c>
      <c r="D132" s="659" t="s">
        <v>4187</v>
      </c>
      <c r="E132" s="659" t="s">
        <v>4188</v>
      </c>
      <c r="F132" s="660">
        <v>0.1</v>
      </c>
      <c r="G132" s="660">
        <v>0</v>
      </c>
      <c r="H132" s="656"/>
    </row>
    <row r="133" spans="1:8" ht="18.75" customHeight="1">
      <c r="A133" s="656"/>
      <c r="B133" s="657" t="s">
        <v>3928</v>
      </c>
      <c r="C133" s="657" t="s">
        <v>3934</v>
      </c>
      <c r="D133" s="657" t="s">
        <v>4189</v>
      </c>
      <c r="E133" s="657" t="s">
        <v>4190</v>
      </c>
      <c r="F133" s="658">
        <v>0.1</v>
      </c>
      <c r="G133" s="658">
        <v>0</v>
      </c>
      <c r="H133" s="656"/>
    </row>
    <row r="134" spans="1:8" ht="18.75" customHeight="1">
      <c r="A134" s="656"/>
      <c r="B134" s="659" t="s">
        <v>3928</v>
      </c>
      <c r="C134" s="659" t="s">
        <v>3934</v>
      </c>
      <c r="D134" s="659" t="s">
        <v>4191</v>
      </c>
      <c r="E134" s="659" t="s">
        <v>4192</v>
      </c>
      <c r="F134" s="660">
        <v>0.1</v>
      </c>
      <c r="G134" s="660">
        <v>0</v>
      </c>
      <c r="H134" s="656"/>
    </row>
    <row r="135" spans="1:8" ht="18.75" customHeight="1">
      <c r="A135" s="656"/>
      <c r="B135" s="657" t="s">
        <v>3928</v>
      </c>
      <c r="C135" s="657" t="s">
        <v>3934</v>
      </c>
      <c r="D135" s="657" t="s">
        <v>4193</v>
      </c>
      <c r="E135" s="657" t="s">
        <v>4194</v>
      </c>
      <c r="F135" s="658">
        <v>0.1</v>
      </c>
      <c r="G135" s="658">
        <v>0</v>
      </c>
      <c r="H135" s="656"/>
    </row>
    <row r="136" spans="1:8" ht="18.75" customHeight="1">
      <c r="A136" s="656"/>
      <c r="B136" s="659" t="s">
        <v>3928</v>
      </c>
      <c r="C136" s="659" t="s">
        <v>4000</v>
      </c>
      <c r="D136" s="659" t="s">
        <v>4195</v>
      </c>
      <c r="E136" s="659" t="s">
        <v>4196</v>
      </c>
      <c r="F136" s="660">
        <v>0.1</v>
      </c>
      <c r="G136" s="660">
        <v>0</v>
      </c>
      <c r="H136" s="656"/>
    </row>
    <row r="137" spans="1:8" ht="18.75" customHeight="1">
      <c r="A137" s="656"/>
      <c r="B137" s="657" t="s">
        <v>3928</v>
      </c>
      <c r="C137" s="657" t="s">
        <v>3934</v>
      </c>
      <c r="D137" s="657" t="s">
        <v>4197</v>
      </c>
      <c r="E137" s="657" t="s">
        <v>4198</v>
      </c>
      <c r="F137" s="658">
        <v>0.1</v>
      </c>
      <c r="G137" s="658">
        <v>0</v>
      </c>
      <c r="H137" s="656"/>
    </row>
    <row r="138" spans="1:8" ht="18.75" customHeight="1">
      <c r="A138" s="656"/>
      <c r="B138" s="659" t="s">
        <v>3928</v>
      </c>
      <c r="C138" s="659" t="s">
        <v>3934</v>
      </c>
      <c r="D138" s="659" t="s">
        <v>4199</v>
      </c>
      <c r="E138" s="659" t="s">
        <v>4200</v>
      </c>
      <c r="F138" s="660">
        <v>0.1</v>
      </c>
      <c r="G138" s="660">
        <v>0</v>
      </c>
      <c r="H138" s="656"/>
    </row>
    <row r="139" spans="1:8" ht="18.75" customHeight="1">
      <c r="A139" s="656"/>
      <c r="B139" s="657" t="s">
        <v>3928</v>
      </c>
      <c r="C139" s="657" t="s">
        <v>3934</v>
      </c>
      <c r="D139" s="657" t="s">
        <v>4201</v>
      </c>
      <c r="E139" s="657" t="s">
        <v>4202</v>
      </c>
      <c r="F139" s="658">
        <v>0.1</v>
      </c>
      <c r="G139" s="658">
        <v>0</v>
      </c>
      <c r="H139" s="656"/>
    </row>
    <row r="140" spans="1:8" ht="18.75" customHeight="1">
      <c r="A140" s="656"/>
      <c r="B140" s="659" t="s">
        <v>3928</v>
      </c>
      <c r="C140" s="659" t="s">
        <v>3934</v>
      </c>
      <c r="D140" s="659" t="s">
        <v>4203</v>
      </c>
      <c r="E140" s="659" t="s">
        <v>4204</v>
      </c>
      <c r="F140" s="660">
        <v>0.1</v>
      </c>
      <c r="G140" s="660">
        <v>0</v>
      </c>
      <c r="H140" s="656"/>
    </row>
    <row r="141" spans="1:8" ht="18.75" customHeight="1">
      <c r="A141" s="656"/>
      <c r="B141" s="657" t="s">
        <v>3928</v>
      </c>
      <c r="C141" s="657" t="s">
        <v>3934</v>
      </c>
      <c r="D141" s="657" t="s">
        <v>4205</v>
      </c>
      <c r="E141" s="657" t="s">
        <v>4206</v>
      </c>
      <c r="F141" s="658">
        <v>0.1</v>
      </c>
      <c r="G141" s="658">
        <v>0</v>
      </c>
      <c r="H141" s="656"/>
    </row>
    <row r="142" spans="1:8" ht="18.75" customHeight="1">
      <c r="A142" s="656"/>
      <c r="B142" s="659" t="s">
        <v>3928</v>
      </c>
      <c r="C142" s="659" t="s">
        <v>3934</v>
      </c>
      <c r="D142" s="659" t="s">
        <v>4207</v>
      </c>
      <c r="E142" s="659" t="s">
        <v>4208</v>
      </c>
      <c r="F142" s="660">
        <v>0.1</v>
      </c>
      <c r="G142" s="660">
        <v>0</v>
      </c>
      <c r="H142" s="656"/>
    </row>
    <row r="143" spans="1:8" ht="18.75" customHeight="1">
      <c r="A143" s="656"/>
      <c r="B143" s="657" t="s">
        <v>3928</v>
      </c>
      <c r="C143" s="657" t="s">
        <v>3934</v>
      </c>
      <c r="D143" s="657" t="s">
        <v>4209</v>
      </c>
      <c r="E143" s="657" t="s">
        <v>4210</v>
      </c>
      <c r="F143" s="658">
        <v>0.1</v>
      </c>
      <c r="G143" s="658">
        <v>0</v>
      </c>
      <c r="H143" s="656"/>
    </row>
    <row r="144" spans="1:8" ht="18.75" customHeight="1">
      <c r="A144" s="656"/>
      <c r="B144" s="659" t="s">
        <v>3928</v>
      </c>
      <c r="C144" s="659" t="s">
        <v>4000</v>
      </c>
      <c r="D144" s="659" t="s">
        <v>4211</v>
      </c>
      <c r="E144" s="659" t="s">
        <v>4212</v>
      </c>
      <c r="F144" s="660">
        <v>0.1</v>
      </c>
      <c r="G144" s="660">
        <v>0</v>
      </c>
      <c r="H144" s="656"/>
    </row>
    <row r="145" spans="1:8" ht="18.75" customHeight="1">
      <c r="A145" s="656"/>
      <c r="B145" s="657" t="s">
        <v>3928</v>
      </c>
      <c r="C145" s="657" t="s">
        <v>3934</v>
      </c>
      <c r="D145" s="657" t="s">
        <v>4213</v>
      </c>
      <c r="E145" s="657" t="s">
        <v>4214</v>
      </c>
      <c r="F145" s="658">
        <v>0.1</v>
      </c>
      <c r="G145" s="658">
        <v>0</v>
      </c>
      <c r="H145" s="656"/>
    </row>
    <row r="146" spans="1:8" ht="18.75" customHeight="1">
      <c r="A146" s="656"/>
      <c r="B146" s="659" t="s">
        <v>3928</v>
      </c>
      <c r="C146" s="659" t="s">
        <v>3934</v>
      </c>
      <c r="D146" s="659" t="s">
        <v>4215</v>
      </c>
      <c r="E146" s="659" t="s">
        <v>4216</v>
      </c>
      <c r="F146" s="660">
        <v>0.1</v>
      </c>
      <c r="G146" s="660">
        <v>0</v>
      </c>
      <c r="H146" s="656"/>
    </row>
    <row r="147" spans="1:8" ht="18.75" customHeight="1">
      <c r="A147" s="656"/>
      <c r="B147" s="657" t="s">
        <v>3928</v>
      </c>
      <c r="C147" s="657" t="s">
        <v>3934</v>
      </c>
      <c r="D147" s="657" t="s">
        <v>4217</v>
      </c>
      <c r="E147" s="657" t="s">
        <v>4218</v>
      </c>
      <c r="F147" s="658">
        <v>0.1</v>
      </c>
      <c r="G147" s="658">
        <v>0</v>
      </c>
      <c r="H147" s="656"/>
    </row>
    <row r="148" spans="1:8" ht="18.75" customHeight="1">
      <c r="A148" s="656"/>
      <c r="B148" s="659" t="s">
        <v>3928</v>
      </c>
      <c r="C148" s="659" t="s">
        <v>3934</v>
      </c>
      <c r="D148" s="659" t="s">
        <v>4219</v>
      </c>
      <c r="E148" s="659" t="s">
        <v>4220</v>
      </c>
      <c r="F148" s="660">
        <v>0.1</v>
      </c>
      <c r="G148" s="660">
        <v>0</v>
      </c>
      <c r="H148" s="656"/>
    </row>
    <row r="149" spans="1:8" ht="18.75" customHeight="1">
      <c r="A149" s="656"/>
      <c r="B149" s="657" t="s">
        <v>3928</v>
      </c>
      <c r="C149" s="657" t="s">
        <v>3934</v>
      </c>
      <c r="D149" s="657" t="s">
        <v>4221</v>
      </c>
      <c r="E149" s="657" t="s">
        <v>4222</v>
      </c>
      <c r="F149" s="658">
        <v>0.1</v>
      </c>
      <c r="G149" s="658">
        <v>0</v>
      </c>
      <c r="H149" s="656"/>
    </row>
    <row r="150" spans="1:8" ht="18.75" customHeight="1">
      <c r="A150" s="656"/>
      <c r="B150" s="659" t="s">
        <v>3928</v>
      </c>
      <c r="C150" s="659" t="s">
        <v>3934</v>
      </c>
      <c r="D150" s="659" t="s">
        <v>4223</v>
      </c>
      <c r="E150" s="659" t="s">
        <v>4224</v>
      </c>
      <c r="F150" s="660">
        <v>0.1</v>
      </c>
      <c r="G150" s="660">
        <v>0</v>
      </c>
      <c r="H150" s="656"/>
    </row>
    <row r="151" spans="1:8" ht="18.75" customHeight="1">
      <c r="A151" s="656"/>
      <c r="B151" s="657" t="s">
        <v>3928</v>
      </c>
      <c r="C151" s="657" t="s">
        <v>3934</v>
      </c>
      <c r="D151" s="657" t="s">
        <v>4225</v>
      </c>
      <c r="E151" s="657" t="s">
        <v>4226</v>
      </c>
      <c r="F151" s="658">
        <v>0.1</v>
      </c>
      <c r="G151" s="658">
        <v>0</v>
      </c>
      <c r="H151" s="656"/>
    </row>
    <row r="152" spans="1:8" ht="18.75" customHeight="1">
      <c r="A152" s="656"/>
      <c r="B152" s="659" t="s">
        <v>3928</v>
      </c>
      <c r="C152" s="659" t="s">
        <v>3934</v>
      </c>
      <c r="D152" s="659" t="s">
        <v>4227</v>
      </c>
      <c r="E152" s="659" t="s">
        <v>4228</v>
      </c>
      <c r="F152" s="660">
        <v>0.1</v>
      </c>
      <c r="G152" s="660">
        <v>0</v>
      </c>
      <c r="H152" s="656"/>
    </row>
    <row r="153" spans="1:8" ht="18.75" customHeight="1">
      <c r="A153" s="656"/>
      <c r="B153" s="657" t="s">
        <v>3928</v>
      </c>
      <c r="C153" s="657" t="s">
        <v>3934</v>
      </c>
      <c r="D153" s="657" t="s">
        <v>4229</v>
      </c>
      <c r="E153" s="657" t="s">
        <v>4230</v>
      </c>
      <c r="F153" s="658">
        <v>0.1</v>
      </c>
      <c r="G153" s="658">
        <v>0</v>
      </c>
      <c r="H153" s="656"/>
    </row>
    <row r="154" spans="1:8" ht="18.75" customHeight="1">
      <c r="A154" s="656"/>
      <c r="B154" s="659" t="s">
        <v>3928</v>
      </c>
      <c r="C154" s="659" t="s">
        <v>3934</v>
      </c>
      <c r="D154" s="659" t="s">
        <v>4231</v>
      </c>
      <c r="E154" s="659" t="s">
        <v>4232</v>
      </c>
      <c r="F154" s="660">
        <v>0.1</v>
      </c>
      <c r="G154" s="660">
        <v>0</v>
      </c>
      <c r="H154" s="656"/>
    </row>
    <row r="155" spans="1:8" ht="18.75" customHeight="1">
      <c r="A155" s="656"/>
      <c r="B155" s="657" t="s">
        <v>3928</v>
      </c>
      <c r="C155" s="657" t="s">
        <v>3934</v>
      </c>
      <c r="D155" s="657" t="s">
        <v>4233</v>
      </c>
      <c r="E155" s="657" t="s">
        <v>4234</v>
      </c>
      <c r="F155" s="658">
        <v>0.1</v>
      </c>
      <c r="G155" s="658">
        <v>0</v>
      </c>
      <c r="H155" s="656"/>
    </row>
    <row r="156" spans="1:8" ht="18.75" customHeight="1">
      <c r="A156" s="656"/>
      <c r="B156" s="659" t="s">
        <v>3928</v>
      </c>
      <c r="C156" s="659" t="s">
        <v>3934</v>
      </c>
      <c r="D156" s="659" t="s">
        <v>4235</v>
      </c>
      <c r="E156" s="659" t="s">
        <v>4236</v>
      </c>
      <c r="F156" s="660">
        <v>0.1</v>
      </c>
      <c r="G156" s="660">
        <v>0</v>
      </c>
      <c r="H156" s="656"/>
    </row>
    <row r="157" spans="1:8" ht="18.75" customHeight="1">
      <c r="A157" s="656"/>
      <c r="B157" s="657" t="s">
        <v>3928</v>
      </c>
      <c r="C157" s="657" t="s">
        <v>3934</v>
      </c>
      <c r="D157" s="657" t="s">
        <v>4237</v>
      </c>
      <c r="E157" s="657" t="s">
        <v>4238</v>
      </c>
      <c r="F157" s="658">
        <v>0.1</v>
      </c>
      <c r="G157" s="658">
        <v>0</v>
      </c>
      <c r="H157" s="656"/>
    </row>
    <row r="158" spans="1:8" ht="18.75" customHeight="1">
      <c r="A158" s="656"/>
      <c r="B158" s="659" t="s">
        <v>3928</v>
      </c>
      <c r="C158" s="659" t="s">
        <v>3934</v>
      </c>
      <c r="D158" s="659" t="s">
        <v>4239</v>
      </c>
      <c r="E158" s="659" t="s">
        <v>4240</v>
      </c>
      <c r="F158" s="660">
        <v>0.1</v>
      </c>
      <c r="G158" s="660">
        <v>0</v>
      </c>
      <c r="H158" s="656"/>
    </row>
    <row r="159" spans="1:8" ht="18.75" customHeight="1">
      <c r="A159" s="656"/>
      <c r="B159" s="657" t="s">
        <v>3928</v>
      </c>
      <c r="C159" s="657" t="s">
        <v>3975</v>
      </c>
      <c r="D159" s="657" t="s">
        <v>4241</v>
      </c>
      <c r="E159" s="657" t="s">
        <v>4242</v>
      </c>
      <c r="F159" s="658">
        <v>0.1</v>
      </c>
      <c r="G159" s="658">
        <v>0</v>
      </c>
      <c r="H159" s="656"/>
    </row>
    <row r="160" spans="1:8" ht="18.75" customHeight="1">
      <c r="A160" s="656"/>
      <c r="B160" s="659" t="s">
        <v>3928</v>
      </c>
      <c r="C160" s="659" t="s">
        <v>3934</v>
      </c>
      <c r="D160" s="659" t="s">
        <v>4243</v>
      </c>
      <c r="E160" s="659" t="s">
        <v>4244</v>
      </c>
      <c r="F160" s="660">
        <v>0.1</v>
      </c>
      <c r="G160" s="660">
        <v>0</v>
      </c>
      <c r="H160" s="656"/>
    </row>
    <row r="161" spans="1:8" ht="18.75" customHeight="1">
      <c r="A161" s="656"/>
      <c r="B161" s="657" t="s">
        <v>3928</v>
      </c>
      <c r="C161" s="657" t="s">
        <v>3934</v>
      </c>
      <c r="D161" s="657" t="s">
        <v>4245</v>
      </c>
      <c r="E161" s="657" t="s">
        <v>4246</v>
      </c>
      <c r="F161" s="658">
        <v>0.1</v>
      </c>
      <c r="G161" s="658">
        <v>0</v>
      </c>
      <c r="H161" s="656"/>
    </row>
    <row r="162" spans="1:8" ht="18.75" customHeight="1">
      <c r="A162" s="656"/>
      <c r="B162" s="659" t="s">
        <v>3928</v>
      </c>
      <c r="C162" s="659" t="s">
        <v>3934</v>
      </c>
      <c r="D162" s="659" t="s">
        <v>4247</v>
      </c>
      <c r="E162" s="659" t="s">
        <v>4248</v>
      </c>
      <c r="F162" s="660">
        <v>0.1</v>
      </c>
      <c r="G162" s="660">
        <v>0</v>
      </c>
      <c r="H162" s="656"/>
    </row>
    <row r="163" spans="1:8" ht="18.75" customHeight="1">
      <c r="A163" s="656"/>
      <c r="B163" s="657" t="s">
        <v>3928</v>
      </c>
      <c r="C163" s="657" t="s">
        <v>4000</v>
      </c>
      <c r="D163" s="657" t="s">
        <v>4249</v>
      </c>
      <c r="E163" s="657" t="s">
        <v>4250</v>
      </c>
      <c r="F163" s="658">
        <v>0.1</v>
      </c>
      <c r="G163" s="658">
        <v>0</v>
      </c>
      <c r="H163" s="656"/>
    </row>
    <row r="164" spans="1:8" ht="18.75" customHeight="1">
      <c r="A164" s="656"/>
      <c r="B164" s="659" t="s">
        <v>3928</v>
      </c>
      <c r="C164" s="659" t="s">
        <v>3934</v>
      </c>
      <c r="D164" s="659" t="s">
        <v>4251</v>
      </c>
      <c r="E164" s="659" t="s">
        <v>4252</v>
      </c>
      <c r="F164" s="660">
        <v>0.1</v>
      </c>
      <c r="G164" s="660">
        <v>0</v>
      </c>
      <c r="H164" s="656"/>
    </row>
    <row r="165" spans="1:8" ht="18.75" customHeight="1">
      <c r="A165" s="656"/>
      <c r="B165" s="657" t="s">
        <v>3928</v>
      </c>
      <c r="C165" s="657" t="s">
        <v>3934</v>
      </c>
      <c r="D165" s="657" t="s">
        <v>4253</v>
      </c>
      <c r="E165" s="657" t="s">
        <v>4254</v>
      </c>
      <c r="F165" s="658">
        <v>0.1</v>
      </c>
      <c r="G165" s="658">
        <v>0</v>
      </c>
      <c r="H165" s="656"/>
    </row>
    <row r="166" spans="1:8" ht="18.75" customHeight="1">
      <c r="A166" s="656"/>
      <c r="B166" s="659" t="s">
        <v>3928</v>
      </c>
      <c r="C166" s="659" t="s">
        <v>3934</v>
      </c>
      <c r="D166" s="659" t="s">
        <v>4255</v>
      </c>
      <c r="E166" s="659" t="s">
        <v>4256</v>
      </c>
      <c r="F166" s="660">
        <v>0.1</v>
      </c>
      <c r="G166" s="660">
        <v>0</v>
      </c>
      <c r="H166" s="656"/>
    </row>
    <row r="167" spans="1:8" ht="18.75" customHeight="1">
      <c r="A167" s="656"/>
      <c r="B167" s="657" t="s">
        <v>3928</v>
      </c>
      <c r="C167" s="657" t="s">
        <v>3934</v>
      </c>
      <c r="D167" s="657" t="s">
        <v>4257</v>
      </c>
      <c r="E167" s="657" t="s">
        <v>4258</v>
      </c>
      <c r="F167" s="658">
        <v>0.1</v>
      </c>
      <c r="G167" s="658">
        <v>0</v>
      </c>
      <c r="H167" s="656"/>
    </row>
    <row r="168" spans="1:8" ht="18.75" customHeight="1">
      <c r="A168" s="656"/>
      <c r="B168" s="659" t="s">
        <v>3928</v>
      </c>
      <c r="C168" s="659" t="s">
        <v>3934</v>
      </c>
      <c r="D168" s="659" t="s">
        <v>4259</v>
      </c>
      <c r="E168" s="659" t="s">
        <v>4260</v>
      </c>
      <c r="F168" s="660">
        <v>0.1</v>
      </c>
      <c r="G168" s="660">
        <v>0</v>
      </c>
      <c r="H168" s="656"/>
    </row>
    <row r="169" spans="1:8" ht="18.75" customHeight="1">
      <c r="A169" s="656"/>
      <c r="B169" s="657" t="s">
        <v>3928</v>
      </c>
      <c r="C169" s="657" t="s">
        <v>3934</v>
      </c>
      <c r="D169" s="657" t="s">
        <v>4261</v>
      </c>
      <c r="E169" s="657" t="s">
        <v>4262</v>
      </c>
      <c r="F169" s="658">
        <v>0.1</v>
      </c>
      <c r="G169" s="658">
        <v>0</v>
      </c>
      <c r="H169" s="656"/>
    </row>
    <row r="170" spans="1:8" ht="18.75" customHeight="1">
      <c r="A170" s="656"/>
      <c r="B170" s="659" t="s">
        <v>3928</v>
      </c>
      <c r="C170" s="659" t="s">
        <v>4000</v>
      </c>
      <c r="D170" s="659" t="s">
        <v>4263</v>
      </c>
      <c r="E170" s="659" t="s">
        <v>4264</v>
      </c>
      <c r="F170" s="660">
        <v>0.1</v>
      </c>
      <c r="G170" s="660">
        <v>0</v>
      </c>
      <c r="H170" s="656"/>
    </row>
    <row r="171" spans="1:8" ht="18.75" customHeight="1">
      <c r="A171" s="656"/>
      <c r="B171" s="657" t="s">
        <v>3928</v>
      </c>
      <c r="C171" s="657" t="s">
        <v>3934</v>
      </c>
      <c r="D171" s="657" t="s">
        <v>4265</v>
      </c>
      <c r="E171" s="657" t="s">
        <v>4266</v>
      </c>
      <c r="F171" s="658">
        <v>0.1</v>
      </c>
      <c r="G171" s="658">
        <v>0</v>
      </c>
      <c r="H171" s="656"/>
    </row>
    <row r="172" spans="1:8" ht="18.75" customHeight="1">
      <c r="A172" s="656"/>
      <c r="B172" s="659" t="s">
        <v>3928</v>
      </c>
      <c r="C172" s="659" t="s">
        <v>3934</v>
      </c>
      <c r="D172" s="659" t="s">
        <v>4267</v>
      </c>
      <c r="E172" s="659" t="s">
        <v>4268</v>
      </c>
      <c r="F172" s="660">
        <v>0.1</v>
      </c>
      <c r="G172" s="660">
        <v>0</v>
      </c>
      <c r="H172" s="656"/>
    </row>
    <row r="173" spans="1:8" ht="18.75" customHeight="1">
      <c r="A173" s="656"/>
      <c r="B173" s="657" t="s">
        <v>3928</v>
      </c>
      <c r="C173" s="657" t="s">
        <v>3934</v>
      </c>
      <c r="D173" s="657" t="s">
        <v>4269</v>
      </c>
      <c r="E173" s="657" t="s">
        <v>4270</v>
      </c>
      <c r="F173" s="658">
        <v>0.1</v>
      </c>
      <c r="G173" s="658">
        <v>0</v>
      </c>
      <c r="H173" s="656"/>
    </row>
    <row r="174" spans="1:8" ht="18.75" customHeight="1">
      <c r="A174" s="656"/>
      <c r="B174" s="659" t="s">
        <v>3928</v>
      </c>
      <c r="C174" s="659" t="s">
        <v>3934</v>
      </c>
      <c r="D174" s="659" t="s">
        <v>4271</v>
      </c>
      <c r="E174" s="659" t="s">
        <v>4272</v>
      </c>
      <c r="F174" s="660">
        <v>0.1</v>
      </c>
      <c r="G174" s="660">
        <v>0</v>
      </c>
      <c r="H174" s="656"/>
    </row>
    <row r="175" spans="1:8" ht="18.75" customHeight="1">
      <c r="A175" s="656"/>
      <c r="B175" s="657" t="s">
        <v>3928</v>
      </c>
      <c r="C175" s="657" t="s">
        <v>3934</v>
      </c>
      <c r="D175" s="657" t="s">
        <v>4273</v>
      </c>
      <c r="E175" s="657" t="s">
        <v>4274</v>
      </c>
      <c r="F175" s="658">
        <v>0.1</v>
      </c>
      <c r="G175" s="658">
        <v>0</v>
      </c>
      <c r="H175" s="656"/>
    </row>
    <row r="176" spans="1:8" ht="18.75" customHeight="1">
      <c r="A176" s="656"/>
      <c r="B176" s="659" t="s">
        <v>3928</v>
      </c>
      <c r="C176" s="659" t="s">
        <v>3934</v>
      </c>
      <c r="D176" s="659" t="s">
        <v>4275</v>
      </c>
      <c r="E176" s="659" t="s">
        <v>4276</v>
      </c>
      <c r="F176" s="660">
        <v>0.1</v>
      </c>
      <c r="G176" s="660">
        <v>0</v>
      </c>
      <c r="H176" s="656"/>
    </row>
    <row r="177" spans="1:8" ht="18.75" customHeight="1">
      <c r="A177" s="656"/>
      <c r="B177" s="657" t="s">
        <v>3928</v>
      </c>
      <c r="C177" s="657" t="s">
        <v>3934</v>
      </c>
      <c r="D177" s="657" t="s">
        <v>4277</v>
      </c>
      <c r="E177" s="657" t="s">
        <v>4278</v>
      </c>
      <c r="F177" s="658">
        <v>0.1</v>
      </c>
      <c r="G177" s="658">
        <v>0</v>
      </c>
      <c r="H177" s="656"/>
    </row>
    <row r="178" spans="1:8" ht="18.75" customHeight="1">
      <c r="A178" s="656"/>
      <c r="B178" s="659" t="s">
        <v>3928</v>
      </c>
      <c r="C178" s="659" t="s">
        <v>3934</v>
      </c>
      <c r="D178" s="659" t="s">
        <v>4279</v>
      </c>
      <c r="E178" s="659" t="s">
        <v>4280</v>
      </c>
      <c r="F178" s="660">
        <v>0.1</v>
      </c>
      <c r="G178" s="660">
        <v>0</v>
      </c>
      <c r="H178" s="656"/>
    </row>
    <row r="179" spans="1:8" ht="18.75" customHeight="1">
      <c r="A179" s="656"/>
      <c r="B179" s="657" t="s">
        <v>3928</v>
      </c>
      <c r="C179" s="657" t="s">
        <v>3934</v>
      </c>
      <c r="D179" s="657" t="s">
        <v>4281</v>
      </c>
      <c r="E179" s="657" t="s">
        <v>4282</v>
      </c>
      <c r="F179" s="658">
        <v>0.1</v>
      </c>
      <c r="G179" s="658">
        <v>0</v>
      </c>
      <c r="H179" s="656"/>
    </row>
    <row r="180" spans="1:8" ht="18.75" customHeight="1">
      <c r="A180" s="656"/>
      <c r="B180" s="659" t="s">
        <v>3928</v>
      </c>
      <c r="C180" s="659" t="s">
        <v>3934</v>
      </c>
      <c r="D180" s="659" t="s">
        <v>4283</v>
      </c>
      <c r="E180" s="659" t="s">
        <v>4284</v>
      </c>
      <c r="F180" s="660">
        <v>0.1</v>
      </c>
      <c r="G180" s="660">
        <v>0</v>
      </c>
      <c r="H180" s="656"/>
    </row>
    <row r="181" spans="1:8" ht="18.75" customHeight="1">
      <c r="A181" s="656"/>
      <c r="B181" s="657" t="s">
        <v>3928</v>
      </c>
      <c r="C181" s="657" t="s">
        <v>3934</v>
      </c>
      <c r="D181" s="657" t="s">
        <v>4285</v>
      </c>
      <c r="E181" s="657" t="s">
        <v>4286</v>
      </c>
      <c r="F181" s="658">
        <v>0.1</v>
      </c>
      <c r="G181" s="658">
        <v>0</v>
      </c>
      <c r="H181" s="656"/>
    </row>
    <row r="182" spans="1:8" ht="18.75" customHeight="1">
      <c r="A182" s="656"/>
      <c r="B182" s="659" t="s">
        <v>3928</v>
      </c>
      <c r="C182" s="659" t="s">
        <v>3934</v>
      </c>
      <c r="D182" s="659" t="s">
        <v>4287</v>
      </c>
      <c r="E182" s="659" t="s">
        <v>4288</v>
      </c>
      <c r="F182" s="660">
        <v>0.1</v>
      </c>
      <c r="G182" s="660">
        <v>0</v>
      </c>
      <c r="H182" s="656"/>
    </row>
    <row r="183" spans="1:8" ht="18.75" customHeight="1">
      <c r="A183" s="656"/>
      <c r="B183" s="657" t="s">
        <v>3928</v>
      </c>
      <c r="C183" s="657" t="s">
        <v>3934</v>
      </c>
      <c r="D183" s="657" t="s">
        <v>4289</v>
      </c>
      <c r="E183" s="657" t="s">
        <v>4290</v>
      </c>
      <c r="F183" s="658">
        <v>0.1</v>
      </c>
      <c r="G183" s="658">
        <v>0</v>
      </c>
      <c r="H183" s="656"/>
    </row>
    <row r="184" spans="1:8" ht="18.75" customHeight="1">
      <c r="A184" s="656"/>
      <c r="B184" s="659" t="s">
        <v>3928</v>
      </c>
      <c r="C184" s="659" t="s">
        <v>3934</v>
      </c>
      <c r="D184" s="659" t="s">
        <v>4291</v>
      </c>
      <c r="E184" s="659" t="s">
        <v>4292</v>
      </c>
      <c r="F184" s="660">
        <v>0.1</v>
      </c>
      <c r="G184" s="660">
        <v>0</v>
      </c>
      <c r="H184" s="656"/>
    </row>
    <row r="185" spans="1:8" ht="18.75" customHeight="1">
      <c r="A185" s="656"/>
      <c r="B185" s="657" t="s">
        <v>3928</v>
      </c>
      <c r="C185" s="657" t="s">
        <v>3934</v>
      </c>
      <c r="D185" s="657" t="s">
        <v>4293</v>
      </c>
      <c r="E185" s="657" t="s">
        <v>4294</v>
      </c>
      <c r="F185" s="658">
        <v>0.1</v>
      </c>
      <c r="G185" s="658">
        <v>0</v>
      </c>
      <c r="H185" s="656"/>
    </row>
    <row r="186" spans="1:8" ht="18.75" customHeight="1">
      <c r="A186" s="656"/>
      <c r="B186" s="659" t="s">
        <v>3928</v>
      </c>
      <c r="C186" s="659" t="s">
        <v>3934</v>
      </c>
      <c r="D186" s="659" t="s">
        <v>4295</v>
      </c>
      <c r="E186" s="659" t="s">
        <v>4296</v>
      </c>
      <c r="F186" s="660">
        <v>0.1</v>
      </c>
      <c r="G186" s="660">
        <v>0</v>
      </c>
      <c r="H186" s="656"/>
    </row>
    <row r="187" spans="1:8" ht="18.75" customHeight="1">
      <c r="A187" s="656"/>
      <c r="B187" s="657" t="s">
        <v>3928</v>
      </c>
      <c r="C187" s="657" t="s">
        <v>3934</v>
      </c>
      <c r="D187" s="657" t="s">
        <v>4297</v>
      </c>
      <c r="E187" s="657" t="s">
        <v>4298</v>
      </c>
      <c r="F187" s="658">
        <v>0.1</v>
      </c>
      <c r="G187" s="658">
        <v>0</v>
      </c>
      <c r="H187" s="656"/>
    </row>
    <row r="188" spans="1:8" ht="18.75" customHeight="1">
      <c r="A188" s="656"/>
      <c r="B188" s="659" t="s">
        <v>3928</v>
      </c>
      <c r="C188" s="659" t="s">
        <v>3934</v>
      </c>
      <c r="D188" s="659" t="s">
        <v>4299</v>
      </c>
      <c r="E188" s="659" t="s">
        <v>4300</v>
      </c>
      <c r="F188" s="660">
        <v>0.1</v>
      </c>
      <c r="G188" s="660">
        <v>0</v>
      </c>
      <c r="H188" s="656"/>
    </row>
    <row r="189" spans="1:8" ht="18.75" customHeight="1">
      <c r="A189" s="656"/>
      <c r="B189" s="657" t="s">
        <v>3928</v>
      </c>
      <c r="C189" s="657" t="s">
        <v>3934</v>
      </c>
      <c r="D189" s="657" t="s">
        <v>4301</v>
      </c>
      <c r="E189" s="657" t="s">
        <v>4302</v>
      </c>
      <c r="F189" s="658">
        <v>0.1</v>
      </c>
      <c r="G189" s="658">
        <v>0</v>
      </c>
      <c r="H189" s="656"/>
    </row>
    <row r="190" spans="1:8" ht="18.75" customHeight="1">
      <c r="A190" s="656"/>
      <c r="B190" s="659" t="s">
        <v>3928</v>
      </c>
      <c r="C190" s="659" t="s">
        <v>4303</v>
      </c>
      <c r="D190" s="659" t="s">
        <v>4304</v>
      </c>
      <c r="E190" s="659" t="s">
        <v>4305</v>
      </c>
      <c r="F190" s="660">
        <v>0.1</v>
      </c>
      <c r="G190" s="660">
        <v>0</v>
      </c>
      <c r="H190" s="656"/>
    </row>
    <row r="191" spans="1:8" ht="18.75" customHeight="1">
      <c r="A191" s="656"/>
      <c r="B191" s="657" t="s">
        <v>3928</v>
      </c>
      <c r="C191" s="657" t="s">
        <v>4303</v>
      </c>
      <c r="D191" s="657" t="s">
        <v>4306</v>
      </c>
      <c r="E191" s="657" t="s">
        <v>4307</v>
      </c>
      <c r="F191" s="658">
        <v>0.1</v>
      </c>
      <c r="G191" s="658">
        <v>0</v>
      </c>
      <c r="H191" s="656"/>
    </row>
    <row r="192" spans="1:8" ht="18.75" customHeight="1">
      <c r="A192" s="656"/>
      <c r="B192" s="659" t="s">
        <v>3928</v>
      </c>
      <c r="C192" s="659" t="s">
        <v>4303</v>
      </c>
      <c r="D192" s="659" t="s">
        <v>4308</v>
      </c>
      <c r="E192" s="659" t="s">
        <v>4309</v>
      </c>
      <c r="F192" s="660">
        <v>0.1</v>
      </c>
      <c r="G192" s="660">
        <v>0</v>
      </c>
      <c r="H192" s="656"/>
    </row>
    <row r="193" spans="1:8" ht="18.75" customHeight="1">
      <c r="A193" s="656"/>
      <c r="B193" s="657" t="s">
        <v>3928</v>
      </c>
      <c r="C193" s="657" t="s">
        <v>4303</v>
      </c>
      <c r="D193" s="657" t="s">
        <v>4310</v>
      </c>
      <c r="E193" s="657" t="s">
        <v>4311</v>
      </c>
      <c r="F193" s="658">
        <v>0.1</v>
      </c>
      <c r="G193" s="658">
        <v>0</v>
      </c>
      <c r="H193" s="656"/>
    </row>
    <row r="194" spans="1:8" ht="18.75" customHeight="1">
      <c r="A194" s="656"/>
      <c r="B194" s="659" t="s">
        <v>3928</v>
      </c>
      <c r="C194" s="659" t="s">
        <v>4303</v>
      </c>
      <c r="D194" s="659" t="s">
        <v>4312</v>
      </c>
      <c r="E194" s="659" t="s">
        <v>4313</v>
      </c>
      <c r="F194" s="660">
        <v>0.1</v>
      </c>
      <c r="G194" s="660">
        <v>0</v>
      </c>
      <c r="H194" s="656"/>
    </row>
    <row r="195" spans="1:8" ht="18.75" customHeight="1">
      <c r="A195" s="656"/>
      <c r="B195" s="657" t="s">
        <v>3928</v>
      </c>
      <c r="C195" s="657" t="s">
        <v>4303</v>
      </c>
      <c r="D195" s="657" t="s">
        <v>4314</v>
      </c>
      <c r="E195" s="657" t="s">
        <v>4315</v>
      </c>
      <c r="F195" s="658">
        <v>0.1</v>
      </c>
      <c r="G195" s="658">
        <v>0</v>
      </c>
      <c r="H195" s="656"/>
    </row>
    <row r="196" spans="1:8" ht="18.75" customHeight="1">
      <c r="A196" s="656"/>
      <c r="B196" s="659" t="s">
        <v>3928</v>
      </c>
      <c r="C196" s="659" t="s">
        <v>4303</v>
      </c>
      <c r="D196" s="659" t="s">
        <v>4316</v>
      </c>
      <c r="E196" s="659" t="s">
        <v>4317</v>
      </c>
      <c r="F196" s="660">
        <v>0.1</v>
      </c>
      <c r="G196" s="660">
        <v>0</v>
      </c>
      <c r="H196" s="656"/>
    </row>
    <row r="197" spans="1:8" ht="18.75" customHeight="1">
      <c r="A197" s="656"/>
      <c r="B197" s="657" t="s">
        <v>3928</v>
      </c>
      <c r="C197" s="657" t="s">
        <v>4303</v>
      </c>
      <c r="D197" s="657" t="s">
        <v>4318</v>
      </c>
      <c r="E197" s="657" t="s">
        <v>4319</v>
      </c>
      <c r="F197" s="658">
        <v>0.1</v>
      </c>
      <c r="G197" s="658">
        <v>0</v>
      </c>
      <c r="H197" s="656"/>
    </row>
    <row r="198" spans="1:8" ht="18.75" customHeight="1">
      <c r="A198" s="656"/>
      <c r="B198" s="659" t="s">
        <v>3928</v>
      </c>
      <c r="C198" s="659" t="s">
        <v>4303</v>
      </c>
      <c r="D198" s="659" t="s">
        <v>4320</v>
      </c>
      <c r="E198" s="659" t="s">
        <v>4321</v>
      </c>
      <c r="F198" s="660">
        <v>0.1</v>
      </c>
      <c r="G198" s="660">
        <v>0</v>
      </c>
      <c r="H198" s="656"/>
    </row>
    <row r="199" spans="1:8" ht="18.75" customHeight="1">
      <c r="A199" s="656"/>
      <c r="B199" s="657" t="s">
        <v>3928</v>
      </c>
      <c r="C199" s="657" t="s">
        <v>4303</v>
      </c>
      <c r="D199" s="657" t="s">
        <v>4322</v>
      </c>
      <c r="E199" s="657" t="s">
        <v>4323</v>
      </c>
      <c r="F199" s="658">
        <v>0.1</v>
      </c>
      <c r="G199" s="658">
        <v>0</v>
      </c>
      <c r="H199" s="656"/>
    </row>
    <row r="200" spans="1:8" ht="18.75" customHeight="1">
      <c r="A200" s="656"/>
      <c r="B200" s="659" t="s">
        <v>3928</v>
      </c>
      <c r="C200" s="659" t="s">
        <v>4303</v>
      </c>
      <c r="D200" s="659" t="s">
        <v>4324</v>
      </c>
      <c r="E200" s="659" t="s">
        <v>4325</v>
      </c>
      <c r="F200" s="660">
        <v>0.1</v>
      </c>
      <c r="G200" s="660">
        <v>0</v>
      </c>
      <c r="H200" s="656"/>
    </row>
    <row r="201" spans="1:8" ht="18.75" customHeight="1">
      <c r="A201" s="656"/>
      <c r="B201" s="657" t="s">
        <v>3928</v>
      </c>
      <c r="C201" s="657" t="s">
        <v>4303</v>
      </c>
      <c r="D201" s="657" t="s">
        <v>4326</v>
      </c>
      <c r="E201" s="657" t="s">
        <v>4327</v>
      </c>
      <c r="F201" s="658">
        <v>0.1</v>
      </c>
      <c r="G201" s="658">
        <v>0</v>
      </c>
      <c r="H201" s="656"/>
    </row>
    <row r="202" spans="1:8" ht="18.75" customHeight="1">
      <c r="A202" s="656"/>
      <c r="B202" s="659" t="s">
        <v>3928</v>
      </c>
      <c r="C202" s="659" t="s">
        <v>4303</v>
      </c>
      <c r="D202" s="659" t="s">
        <v>4328</v>
      </c>
      <c r="E202" s="659" t="s">
        <v>4329</v>
      </c>
      <c r="F202" s="660">
        <v>0.1</v>
      </c>
      <c r="G202" s="660">
        <v>0</v>
      </c>
      <c r="H202" s="656"/>
    </row>
    <row r="203" spans="1:8" ht="18.75" customHeight="1">
      <c r="A203" s="656"/>
      <c r="B203" s="657" t="s">
        <v>3928</v>
      </c>
      <c r="C203" s="657" t="s">
        <v>4303</v>
      </c>
      <c r="D203" s="657" t="s">
        <v>4330</v>
      </c>
      <c r="E203" s="657" t="s">
        <v>4331</v>
      </c>
      <c r="F203" s="658">
        <v>0.1</v>
      </c>
      <c r="G203" s="658">
        <v>0</v>
      </c>
      <c r="H203" s="656"/>
    </row>
    <row r="204" spans="1:8" ht="18.75" customHeight="1">
      <c r="A204" s="656"/>
      <c r="B204" s="659" t="s">
        <v>3928</v>
      </c>
      <c r="C204" s="659" t="s">
        <v>4303</v>
      </c>
      <c r="D204" s="659" t="s">
        <v>4332</v>
      </c>
      <c r="E204" s="659" t="s">
        <v>4333</v>
      </c>
      <c r="F204" s="660">
        <v>0.1</v>
      </c>
      <c r="G204" s="660">
        <v>0</v>
      </c>
      <c r="H204" s="656"/>
    </row>
    <row r="205" spans="1:8" ht="18.75" customHeight="1">
      <c r="A205" s="656"/>
      <c r="B205" s="657" t="s">
        <v>3928</v>
      </c>
      <c r="C205" s="657" t="s">
        <v>4303</v>
      </c>
      <c r="D205" s="657" t="s">
        <v>4334</v>
      </c>
      <c r="E205" s="657" t="s">
        <v>4335</v>
      </c>
      <c r="F205" s="658">
        <v>0.1</v>
      </c>
      <c r="G205" s="658">
        <v>0</v>
      </c>
      <c r="H205" s="656"/>
    </row>
    <row r="206" spans="1:8" ht="18.75" customHeight="1">
      <c r="A206" s="656"/>
      <c r="B206" s="659" t="s">
        <v>3928</v>
      </c>
      <c r="C206" s="659" t="s">
        <v>4303</v>
      </c>
      <c r="D206" s="659" t="s">
        <v>4336</v>
      </c>
      <c r="E206" s="659" t="s">
        <v>4337</v>
      </c>
      <c r="F206" s="660">
        <v>0.1</v>
      </c>
      <c r="G206" s="660">
        <v>0</v>
      </c>
      <c r="H206" s="656"/>
    </row>
    <row r="207" spans="1:8" ht="18.75" customHeight="1">
      <c r="A207" s="656"/>
      <c r="B207" s="657" t="s">
        <v>3928</v>
      </c>
      <c r="C207" s="657" t="s">
        <v>4303</v>
      </c>
      <c r="D207" s="657" t="s">
        <v>4338</v>
      </c>
      <c r="E207" s="657" t="s">
        <v>4339</v>
      </c>
      <c r="F207" s="658">
        <v>0.1</v>
      </c>
      <c r="G207" s="658">
        <v>0</v>
      </c>
      <c r="H207" s="656"/>
    </row>
    <row r="208" spans="1:8" ht="18.75" customHeight="1">
      <c r="A208" s="656"/>
      <c r="B208" s="659" t="s">
        <v>3928</v>
      </c>
      <c r="C208" s="659" t="s">
        <v>4303</v>
      </c>
      <c r="D208" s="659" t="s">
        <v>4340</v>
      </c>
      <c r="E208" s="659" t="s">
        <v>4341</v>
      </c>
      <c r="F208" s="660">
        <v>0.1</v>
      </c>
      <c r="G208" s="660">
        <v>0</v>
      </c>
      <c r="H208" s="656"/>
    </row>
    <row r="209" spans="1:8" ht="18.75" customHeight="1">
      <c r="A209" s="656"/>
      <c r="B209" s="657" t="s">
        <v>3928</v>
      </c>
      <c r="C209" s="657" t="s">
        <v>4303</v>
      </c>
      <c r="D209" s="657" t="s">
        <v>4342</v>
      </c>
      <c r="E209" s="657" t="s">
        <v>4343</v>
      </c>
      <c r="F209" s="658">
        <v>0.1</v>
      </c>
      <c r="G209" s="658">
        <v>0</v>
      </c>
      <c r="H209" s="656"/>
    </row>
    <row r="210" spans="1:8" ht="18.75" customHeight="1">
      <c r="A210" s="656"/>
      <c r="B210" s="659" t="s">
        <v>3928</v>
      </c>
      <c r="C210" s="659" t="s">
        <v>4303</v>
      </c>
      <c r="D210" s="659" t="s">
        <v>4344</v>
      </c>
      <c r="E210" s="659" t="s">
        <v>4345</v>
      </c>
      <c r="F210" s="660">
        <v>0.1</v>
      </c>
      <c r="G210" s="660">
        <v>0</v>
      </c>
      <c r="H210" s="656"/>
    </row>
    <row r="211" spans="1:8" ht="18.75" customHeight="1">
      <c r="A211" s="656"/>
      <c r="B211" s="657" t="s">
        <v>3928</v>
      </c>
      <c r="C211" s="657" t="s">
        <v>4303</v>
      </c>
      <c r="D211" s="657" t="s">
        <v>4346</v>
      </c>
      <c r="E211" s="657" t="s">
        <v>4347</v>
      </c>
      <c r="F211" s="658">
        <v>0.1</v>
      </c>
      <c r="G211" s="658">
        <v>0</v>
      </c>
      <c r="H211" s="656"/>
    </row>
    <row r="212" spans="1:8" ht="18.75" customHeight="1">
      <c r="A212" s="656"/>
      <c r="B212" s="659" t="s">
        <v>3928</v>
      </c>
      <c r="C212" s="659" t="s">
        <v>4303</v>
      </c>
      <c r="D212" s="659" t="s">
        <v>4348</v>
      </c>
      <c r="E212" s="659" t="s">
        <v>4349</v>
      </c>
      <c r="F212" s="660">
        <v>0.1</v>
      </c>
      <c r="G212" s="660">
        <v>0</v>
      </c>
      <c r="H212" s="656"/>
    </row>
    <row r="213" spans="1:8" ht="18.75" customHeight="1">
      <c r="A213" s="656"/>
      <c r="B213" s="657" t="s">
        <v>3928</v>
      </c>
      <c r="C213" s="657" t="s">
        <v>4303</v>
      </c>
      <c r="D213" s="657" t="s">
        <v>4350</v>
      </c>
      <c r="E213" s="657" t="s">
        <v>4351</v>
      </c>
      <c r="F213" s="658">
        <v>0.1</v>
      </c>
      <c r="G213" s="658">
        <v>0</v>
      </c>
      <c r="H213" s="656"/>
    </row>
    <row r="214" spans="1:8" ht="18.75" customHeight="1">
      <c r="A214" s="656"/>
      <c r="B214" s="659" t="s">
        <v>3928</v>
      </c>
      <c r="C214" s="659" t="s">
        <v>4303</v>
      </c>
      <c r="D214" s="659" t="s">
        <v>4352</v>
      </c>
      <c r="E214" s="659" t="s">
        <v>4353</v>
      </c>
      <c r="F214" s="660">
        <v>0.1</v>
      </c>
      <c r="G214" s="660">
        <v>0</v>
      </c>
      <c r="H214" s="656"/>
    </row>
    <row r="215" spans="1:8" ht="18.75" customHeight="1">
      <c r="A215" s="656"/>
      <c r="B215" s="657" t="s">
        <v>3928</v>
      </c>
      <c r="C215" s="657" t="s">
        <v>4303</v>
      </c>
      <c r="D215" s="657" t="s">
        <v>4354</v>
      </c>
      <c r="E215" s="657" t="s">
        <v>4355</v>
      </c>
      <c r="F215" s="658">
        <v>0.1</v>
      </c>
      <c r="G215" s="658">
        <v>0</v>
      </c>
      <c r="H215" s="656"/>
    </row>
    <row r="216" spans="1:8" ht="18.75" customHeight="1">
      <c r="A216" s="656"/>
      <c r="B216" s="659" t="s">
        <v>3928</v>
      </c>
      <c r="C216" s="659" t="s">
        <v>4303</v>
      </c>
      <c r="D216" s="659" t="s">
        <v>4356</v>
      </c>
      <c r="E216" s="659" t="s">
        <v>4357</v>
      </c>
      <c r="F216" s="660">
        <v>0.1</v>
      </c>
      <c r="G216" s="660">
        <v>0</v>
      </c>
      <c r="H216" s="656"/>
    </row>
    <row r="217" spans="1:8" ht="18.75" customHeight="1">
      <c r="A217" s="656"/>
      <c r="B217" s="657" t="s">
        <v>3928</v>
      </c>
      <c r="C217" s="657" t="s">
        <v>4303</v>
      </c>
      <c r="D217" s="657" t="s">
        <v>4358</v>
      </c>
      <c r="E217" s="657" t="s">
        <v>4359</v>
      </c>
      <c r="F217" s="658">
        <v>0.1</v>
      </c>
      <c r="G217" s="658">
        <v>0</v>
      </c>
      <c r="H217" s="656"/>
    </row>
    <row r="218" spans="1:8" ht="18.75" customHeight="1">
      <c r="A218" s="656"/>
      <c r="B218" s="659" t="s">
        <v>3928</v>
      </c>
      <c r="C218" s="659" t="s">
        <v>4303</v>
      </c>
      <c r="D218" s="659" t="s">
        <v>4360</v>
      </c>
      <c r="E218" s="659" t="s">
        <v>4361</v>
      </c>
      <c r="F218" s="660">
        <v>0.1</v>
      </c>
      <c r="G218" s="660">
        <v>0</v>
      </c>
      <c r="H218" s="656"/>
    </row>
    <row r="219" spans="1:8" ht="18.75" customHeight="1">
      <c r="A219" s="656"/>
      <c r="B219" s="657" t="s">
        <v>3928</v>
      </c>
      <c r="C219" s="657" t="s">
        <v>4303</v>
      </c>
      <c r="D219" s="657" t="s">
        <v>4362</v>
      </c>
      <c r="E219" s="657" t="s">
        <v>4363</v>
      </c>
      <c r="F219" s="658">
        <v>0.1</v>
      </c>
      <c r="G219" s="658">
        <v>0</v>
      </c>
      <c r="H219" s="656"/>
    </row>
    <row r="220" spans="1:8" ht="18.75" customHeight="1">
      <c r="A220" s="656"/>
      <c r="B220" s="659" t="s">
        <v>3928</v>
      </c>
      <c r="C220" s="659" t="s">
        <v>4303</v>
      </c>
      <c r="D220" s="659" t="s">
        <v>4364</v>
      </c>
      <c r="E220" s="659" t="s">
        <v>4365</v>
      </c>
      <c r="F220" s="660">
        <v>0.1</v>
      </c>
      <c r="G220" s="660">
        <v>0</v>
      </c>
      <c r="H220" s="656"/>
    </row>
    <row r="221" spans="1:8" ht="18.75" customHeight="1">
      <c r="A221" s="656"/>
      <c r="B221" s="657" t="s">
        <v>3928</v>
      </c>
      <c r="C221" s="657" t="s">
        <v>4303</v>
      </c>
      <c r="D221" s="657" t="s">
        <v>4366</v>
      </c>
      <c r="E221" s="657" t="s">
        <v>4367</v>
      </c>
      <c r="F221" s="658">
        <v>0.1</v>
      </c>
      <c r="G221" s="658">
        <v>0</v>
      </c>
      <c r="H221" s="656"/>
    </row>
    <row r="222" spans="1:8" ht="18.75" customHeight="1">
      <c r="A222" s="656"/>
      <c r="B222" s="659" t="s">
        <v>3928</v>
      </c>
      <c r="C222" s="659" t="s">
        <v>4303</v>
      </c>
      <c r="D222" s="659" t="s">
        <v>4368</v>
      </c>
      <c r="E222" s="659" t="s">
        <v>4369</v>
      </c>
      <c r="F222" s="660">
        <v>0.1</v>
      </c>
      <c r="G222" s="660">
        <v>0</v>
      </c>
      <c r="H222" s="656"/>
    </row>
    <row r="223" spans="1:8" ht="18.75" customHeight="1">
      <c r="A223" s="656"/>
      <c r="B223" s="657" t="s">
        <v>3928</v>
      </c>
      <c r="C223" s="657" t="s">
        <v>4303</v>
      </c>
      <c r="D223" s="657" t="s">
        <v>4370</v>
      </c>
      <c r="E223" s="657" t="s">
        <v>4371</v>
      </c>
      <c r="F223" s="658">
        <v>0.1</v>
      </c>
      <c r="G223" s="658">
        <v>0</v>
      </c>
      <c r="H223" s="656"/>
    </row>
    <row r="224" spans="1:8" ht="18.75" customHeight="1">
      <c r="A224" s="656"/>
      <c r="B224" s="659" t="s">
        <v>3928</v>
      </c>
      <c r="C224" s="659" t="s">
        <v>4303</v>
      </c>
      <c r="D224" s="659" t="s">
        <v>4372</v>
      </c>
      <c r="E224" s="659" t="s">
        <v>4373</v>
      </c>
      <c r="F224" s="660">
        <v>0.1</v>
      </c>
      <c r="G224" s="660">
        <v>0</v>
      </c>
      <c r="H224" s="656"/>
    </row>
    <row r="225" spans="1:8" ht="18.75" customHeight="1">
      <c r="A225" s="656"/>
      <c r="B225" s="657" t="s">
        <v>3928</v>
      </c>
      <c r="C225" s="657" t="s">
        <v>4303</v>
      </c>
      <c r="D225" s="657" t="s">
        <v>4374</v>
      </c>
      <c r="E225" s="657" t="s">
        <v>4375</v>
      </c>
      <c r="F225" s="658">
        <v>0.1</v>
      </c>
      <c r="G225" s="658">
        <v>0</v>
      </c>
      <c r="H225" s="656"/>
    </row>
    <row r="226" spans="1:8" ht="18.75" customHeight="1">
      <c r="A226" s="656"/>
      <c r="B226" s="659" t="s">
        <v>3928</v>
      </c>
      <c r="C226" s="659" t="s">
        <v>4303</v>
      </c>
      <c r="D226" s="659" t="s">
        <v>4376</v>
      </c>
      <c r="E226" s="659" t="s">
        <v>4377</v>
      </c>
      <c r="F226" s="660">
        <v>0.1</v>
      </c>
      <c r="G226" s="660">
        <v>0</v>
      </c>
      <c r="H226" s="656"/>
    </row>
    <row r="227" spans="1:8" ht="18.75" customHeight="1">
      <c r="A227" s="656"/>
      <c r="B227" s="657" t="s">
        <v>3928</v>
      </c>
      <c r="C227" s="657" t="s">
        <v>4303</v>
      </c>
      <c r="D227" s="657" t="s">
        <v>4378</v>
      </c>
      <c r="E227" s="657" t="s">
        <v>4379</v>
      </c>
      <c r="F227" s="658">
        <v>0.1</v>
      </c>
      <c r="G227" s="658">
        <v>0</v>
      </c>
      <c r="H227" s="656"/>
    </row>
    <row r="228" spans="1:8" ht="18.75" customHeight="1">
      <c r="A228" s="656"/>
      <c r="B228" s="659" t="s">
        <v>3928</v>
      </c>
      <c r="C228" s="659" t="s">
        <v>4303</v>
      </c>
      <c r="D228" s="659" t="s">
        <v>4380</v>
      </c>
      <c r="E228" s="659" t="s">
        <v>4381</v>
      </c>
      <c r="F228" s="660">
        <v>0.1</v>
      </c>
      <c r="G228" s="660">
        <v>0</v>
      </c>
      <c r="H228" s="656"/>
    </row>
    <row r="229" spans="1:8" ht="18.75" customHeight="1">
      <c r="A229" s="656"/>
      <c r="B229" s="657" t="s">
        <v>3928</v>
      </c>
      <c r="C229" s="657" t="s">
        <v>4303</v>
      </c>
      <c r="D229" s="657" t="s">
        <v>4382</v>
      </c>
      <c r="E229" s="657" t="s">
        <v>4383</v>
      </c>
      <c r="F229" s="658">
        <v>0.1</v>
      </c>
      <c r="G229" s="658">
        <v>0</v>
      </c>
      <c r="H229" s="656"/>
    </row>
    <row r="230" spans="1:8" ht="18.75" customHeight="1">
      <c r="A230" s="656"/>
      <c r="B230" s="659" t="s">
        <v>3928</v>
      </c>
      <c r="C230" s="659" t="s">
        <v>4303</v>
      </c>
      <c r="D230" s="659" t="s">
        <v>4384</v>
      </c>
      <c r="E230" s="659" t="s">
        <v>4385</v>
      </c>
      <c r="F230" s="660">
        <v>0.1</v>
      </c>
      <c r="G230" s="660">
        <v>0</v>
      </c>
      <c r="H230" s="656"/>
    </row>
    <row r="231" spans="1:8" ht="18.75" customHeight="1">
      <c r="A231" s="656"/>
      <c r="B231" s="657" t="s">
        <v>3928</v>
      </c>
      <c r="C231" s="657" t="s">
        <v>4303</v>
      </c>
      <c r="D231" s="657" t="s">
        <v>4386</v>
      </c>
      <c r="E231" s="657" t="s">
        <v>4387</v>
      </c>
      <c r="F231" s="658">
        <v>0.1</v>
      </c>
      <c r="G231" s="658">
        <v>0</v>
      </c>
      <c r="H231" s="656"/>
    </row>
    <row r="232" spans="1:8" ht="18.75" customHeight="1">
      <c r="A232" s="656"/>
      <c r="B232" s="659" t="s">
        <v>3928</v>
      </c>
      <c r="C232" s="659" t="s">
        <v>4303</v>
      </c>
      <c r="D232" s="659" t="s">
        <v>4388</v>
      </c>
      <c r="E232" s="659" t="s">
        <v>4389</v>
      </c>
      <c r="F232" s="660">
        <v>0.1</v>
      </c>
      <c r="G232" s="660">
        <v>0</v>
      </c>
      <c r="H232" s="656"/>
    </row>
    <row r="233" spans="1:8" ht="18.75" customHeight="1">
      <c r="A233" s="656"/>
      <c r="B233" s="657" t="s">
        <v>3928</v>
      </c>
      <c r="C233" s="657" t="s">
        <v>4303</v>
      </c>
      <c r="D233" s="657" t="s">
        <v>4390</v>
      </c>
      <c r="E233" s="657" t="s">
        <v>4391</v>
      </c>
      <c r="F233" s="658">
        <v>0.1</v>
      </c>
      <c r="G233" s="658">
        <v>0</v>
      </c>
      <c r="H233" s="656"/>
    </row>
    <row r="234" spans="1:8" ht="18.75" customHeight="1">
      <c r="A234" s="656"/>
      <c r="B234" s="659" t="s">
        <v>3928</v>
      </c>
      <c r="C234" s="659" t="s">
        <v>4303</v>
      </c>
      <c r="D234" s="659" t="s">
        <v>4392</v>
      </c>
      <c r="E234" s="659" t="s">
        <v>4393</v>
      </c>
      <c r="F234" s="660">
        <v>0.1</v>
      </c>
      <c r="G234" s="660">
        <v>0</v>
      </c>
      <c r="H234" s="656"/>
    </row>
    <row r="235" spans="1:8" ht="18.75" customHeight="1">
      <c r="A235" s="656"/>
      <c r="B235" s="657" t="s">
        <v>3928</v>
      </c>
      <c r="C235" s="657" t="s">
        <v>4303</v>
      </c>
      <c r="D235" s="657" t="s">
        <v>4394</v>
      </c>
      <c r="E235" s="657" t="s">
        <v>4395</v>
      </c>
      <c r="F235" s="658">
        <v>0.1</v>
      </c>
      <c r="G235" s="658">
        <v>0</v>
      </c>
      <c r="H235" s="656"/>
    </row>
    <row r="236" spans="1:8" ht="18.75" customHeight="1">
      <c r="A236" s="656"/>
      <c r="B236" s="659" t="s">
        <v>3928</v>
      </c>
      <c r="C236" s="659" t="s">
        <v>4303</v>
      </c>
      <c r="D236" s="659" t="s">
        <v>4396</v>
      </c>
      <c r="E236" s="659" t="s">
        <v>4397</v>
      </c>
      <c r="F236" s="660">
        <v>0.1</v>
      </c>
      <c r="G236" s="660">
        <v>0</v>
      </c>
      <c r="H236" s="656"/>
    </row>
    <row r="237" spans="1:8" ht="18.75" customHeight="1">
      <c r="A237" s="656"/>
      <c r="B237" s="657" t="s">
        <v>3928</v>
      </c>
      <c r="C237" s="657" t="s">
        <v>4303</v>
      </c>
      <c r="D237" s="657" t="s">
        <v>4398</v>
      </c>
      <c r="E237" s="657" t="s">
        <v>4399</v>
      </c>
      <c r="F237" s="658">
        <v>0.1</v>
      </c>
      <c r="G237" s="658">
        <v>0</v>
      </c>
      <c r="H237" s="656"/>
    </row>
    <row r="238" spans="1:8" ht="18.75" customHeight="1">
      <c r="A238" s="656"/>
      <c r="B238" s="659" t="s">
        <v>3928</v>
      </c>
      <c r="C238" s="659" t="s">
        <v>4303</v>
      </c>
      <c r="D238" s="659" t="s">
        <v>4400</v>
      </c>
      <c r="E238" s="659" t="s">
        <v>4401</v>
      </c>
      <c r="F238" s="660">
        <v>0.1</v>
      </c>
      <c r="G238" s="660">
        <v>0</v>
      </c>
      <c r="H238" s="656"/>
    </row>
    <row r="239" spans="1:8" ht="18.75" customHeight="1">
      <c r="A239" s="656"/>
      <c r="B239" s="657" t="s">
        <v>3928</v>
      </c>
      <c r="C239" s="657" t="s">
        <v>4303</v>
      </c>
      <c r="D239" s="657" t="s">
        <v>4402</v>
      </c>
      <c r="E239" s="657" t="s">
        <v>4403</v>
      </c>
      <c r="F239" s="658">
        <v>0.1</v>
      </c>
      <c r="G239" s="658">
        <v>0</v>
      </c>
      <c r="H239" s="656"/>
    </row>
    <row r="240" spans="1:8" ht="18.75" customHeight="1">
      <c r="A240" s="656"/>
      <c r="B240" s="659" t="s">
        <v>3928</v>
      </c>
      <c r="C240" s="659" t="s">
        <v>4303</v>
      </c>
      <c r="D240" s="659" t="s">
        <v>4404</v>
      </c>
      <c r="E240" s="659" t="s">
        <v>4405</v>
      </c>
      <c r="F240" s="660">
        <v>0.1</v>
      </c>
      <c r="G240" s="660">
        <v>0</v>
      </c>
      <c r="H240" s="656"/>
    </row>
    <row r="241" spans="1:8" ht="18.75" customHeight="1">
      <c r="A241" s="656"/>
      <c r="B241" s="657" t="s">
        <v>3928</v>
      </c>
      <c r="C241" s="657" t="s">
        <v>4303</v>
      </c>
      <c r="D241" s="657" t="s">
        <v>4406</v>
      </c>
      <c r="E241" s="657" t="s">
        <v>4407</v>
      </c>
      <c r="F241" s="658">
        <v>0.1</v>
      </c>
      <c r="G241" s="658">
        <v>0</v>
      </c>
      <c r="H241" s="656"/>
    </row>
    <row r="242" spans="1:8" ht="18.75" customHeight="1">
      <c r="A242" s="656"/>
      <c r="B242" s="659" t="s">
        <v>3928</v>
      </c>
      <c r="C242" s="659" t="s">
        <v>4303</v>
      </c>
      <c r="D242" s="659" t="s">
        <v>4408</v>
      </c>
      <c r="E242" s="659" t="s">
        <v>4409</v>
      </c>
      <c r="F242" s="660">
        <v>0.1</v>
      </c>
      <c r="G242" s="660">
        <v>0</v>
      </c>
      <c r="H242" s="656"/>
    </row>
    <row r="243" spans="1:8" ht="18.75" customHeight="1">
      <c r="A243" s="656"/>
      <c r="B243" s="657" t="s">
        <v>3928</v>
      </c>
      <c r="C243" s="657" t="s">
        <v>4303</v>
      </c>
      <c r="D243" s="657" t="s">
        <v>4410</v>
      </c>
      <c r="E243" s="657" t="s">
        <v>4411</v>
      </c>
      <c r="F243" s="658">
        <v>0.1</v>
      </c>
      <c r="G243" s="658">
        <v>0</v>
      </c>
      <c r="H243" s="656"/>
    </row>
    <row r="244" spans="1:8" ht="18.75" customHeight="1">
      <c r="A244" s="656"/>
      <c r="B244" s="659" t="s">
        <v>3928</v>
      </c>
      <c r="C244" s="659" t="s">
        <v>4303</v>
      </c>
      <c r="D244" s="659" t="s">
        <v>4412</v>
      </c>
      <c r="E244" s="659" t="s">
        <v>4413</v>
      </c>
      <c r="F244" s="660">
        <v>0.1</v>
      </c>
      <c r="G244" s="660">
        <v>0</v>
      </c>
      <c r="H244" s="656"/>
    </row>
    <row r="245" spans="1:8" ht="18.75" customHeight="1">
      <c r="A245" s="656"/>
      <c r="B245" s="657" t="s">
        <v>3928</v>
      </c>
      <c r="C245" s="657" t="s">
        <v>4303</v>
      </c>
      <c r="D245" s="657" t="s">
        <v>4414</v>
      </c>
      <c r="E245" s="657" t="s">
        <v>4415</v>
      </c>
      <c r="F245" s="658">
        <v>0.1</v>
      </c>
      <c r="G245" s="658">
        <v>0</v>
      </c>
      <c r="H245" s="656"/>
    </row>
    <row r="246" spans="1:8" ht="18.75" customHeight="1">
      <c r="A246" s="656"/>
      <c r="B246" s="659" t="s">
        <v>3928</v>
      </c>
      <c r="C246" s="659" t="s">
        <v>4303</v>
      </c>
      <c r="D246" s="659" t="s">
        <v>4416</v>
      </c>
      <c r="E246" s="659" t="s">
        <v>4417</v>
      </c>
      <c r="F246" s="660">
        <v>0.1</v>
      </c>
      <c r="G246" s="660">
        <v>0</v>
      </c>
      <c r="H246" s="656"/>
    </row>
    <row r="247" spans="1:8" ht="18.75" customHeight="1">
      <c r="A247" s="656"/>
      <c r="B247" s="657" t="s">
        <v>3928</v>
      </c>
      <c r="C247" s="657" t="s">
        <v>4303</v>
      </c>
      <c r="D247" s="657" t="s">
        <v>4418</v>
      </c>
      <c r="E247" s="657" t="s">
        <v>4419</v>
      </c>
      <c r="F247" s="658">
        <v>0.1</v>
      </c>
      <c r="G247" s="658">
        <v>0</v>
      </c>
      <c r="H247" s="656"/>
    </row>
    <row r="248" spans="1:8" ht="18.75" customHeight="1">
      <c r="A248" s="656"/>
      <c r="B248" s="659" t="s">
        <v>3928</v>
      </c>
      <c r="C248" s="659" t="s">
        <v>4303</v>
      </c>
      <c r="D248" s="659" t="s">
        <v>4420</v>
      </c>
      <c r="E248" s="659" t="s">
        <v>4421</v>
      </c>
      <c r="F248" s="660">
        <v>0.1</v>
      </c>
      <c r="G248" s="660">
        <v>0</v>
      </c>
      <c r="H248" s="656"/>
    </row>
    <row r="249" spans="1:8" ht="18.75" customHeight="1">
      <c r="A249" s="656"/>
      <c r="B249" s="657" t="s">
        <v>3928</v>
      </c>
      <c r="C249" s="657" t="s">
        <v>4303</v>
      </c>
      <c r="D249" s="657" t="s">
        <v>4422</v>
      </c>
      <c r="E249" s="657" t="s">
        <v>4423</v>
      </c>
      <c r="F249" s="658">
        <v>0.1</v>
      </c>
      <c r="G249" s="658">
        <v>0</v>
      </c>
      <c r="H249" s="656"/>
    </row>
    <row r="250" spans="1:8" ht="18.75" customHeight="1">
      <c r="A250" s="656"/>
      <c r="B250" s="659" t="s">
        <v>3928</v>
      </c>
      <c r="C250" s="659" t="s">
        <v>4303</v>
      </c>
      <c r="D250" s="659" t="s">
        <v>4424</v>
      </c>
      <c r="E250" s="659" t="s">
        <v>4425</v>
      </c>
      <c r="F250" s="660">
        <v>0.1</v>
      </c>
      <c r="G250" s="660">
        <v>0</v>
      </c>
      <c r="H250" s="656"/>
    </row>
    <row r="251" spans="1:8" ht="18.75" customHeight="1">
      <c r="A251" s="656"/>
      <c r="B251" s="657" t="s">
        <v>3928</v>
      </c>
      <c r="C251" s="657" t="s">
        <v>4303</v>
      </c>
      <c r="D251" s="657" t="s">
        <v>4426</v>
      </c>
      <c r="E251" s="657" t="s">
        <v>4427</v>
      </c>
      <c r="F251" s="658">
        <v>0.1</v>
      </c>
      <c r="G251" s="658">
        <v>0</v>
      </c>
      <c r="H251" s="656"/>
    </row>
    <row r="252" spans="1:8" ht="18.75" customHeight="1">
      <c r="A252" s="656"/>
      <c r="B252" s="659" t="s">
        <v>3928</v>
      </c>
      <c r="C252" s="659" t="s">
        <v>4303</v>
      </c>
      <c r="D252" s="659" t="s">
        <v>4428</v>
      </c>
      <c r="E252" s="659" t="s">
        <v>4429</v>
      </c>
      <c r="F252" s="660">
        <v>0.1</v>
      </c>
      <c r="G252" s="660">
        <v>0</v>
      </c>
      <c r="H252" s="656"/>
    </row>
    <row r="253" spans="1:8" ht="18.75" customHeight="1">
      <c r="A253" s="656"/>
      <c r="B253" s="657" t="s">
        <v>3928</v>
      </c>
      <c r="C253" s="657" t="s">
        <v>4303</v>
      </c>
      <c r="D253" s="657" t="s">
        <v>4430</v>
      </c>
      <c r="E253" s="657" t="s">
        <v>4431</v>
      </c>
      <c r="F253" s="658">
        <v>0.1</v>
      </c>
      <c r="G253" s="658">
        <v>0</v>
      </c>
      <c r="H253" s="656"/>
    </row>
    <row r="254" spans="1:8" ht="18.75" customHeight="1">
      <c r="A254" s="656"/>
      <c r="B254" s="659" t="s">
        <v>3928</v>
      </c>
      <c r="C254" s="659" t="s">
        <v>4303</v>
      </c>
      <c r="D254" s="659" t="s">
        <v>4432</v>
      </c>
      <c r="E254" s="659" t="s">
        <v>4433</v>
      </c>
      <c r="F254" s="660">
        <v>0.1</v>
      </c>
      <c r="G254" s="660">
        <v>0</v>
      </c>
      <c r="H254" s="656"/>
    </row>
    <row r="255" spans="1:8" ht="18.75" customHeight="1">
      <c r="A255" s="656"/>
      <c r="B255" s="657" t="s">
        <v>3928</v>
      </c>
      <c r="C255" s="657" t="s">
        <v>4303</v>
      </c>
      <c r="D255" s="657" t="s">
        <v>4434</v>
      </c>
      <c r="E255" s="657" t="s">
        <v>4435</v>
      </c>
      <c r="F255" s="658">
        <v>0.1</v>
      </c>
      <c r="G255" s="658">
        <v>0</v>
      </c>
      <c r="H255" s="656"/>
    </row>
    <row r="256" spans="1:8" ht="18.75" customHeight="1">
      <c r="A256" s="656"/>
      <c r="B256" s="659" t="s">
        <v>3928</v>
      </c>
      <c r="C256" s="659" t="s">
        <v>4303</v>
      </c>
      <c r="D256" s="659" t="s">
        <v>4436</v>
      </c>
      <c r="E256" s="659" t="s">
        <v>4437</v>
      </c>
      <c r="F256" s="660">
        <v>0.1</v>
      </c>
      <c r="G256" s="660">
        <v>0</v>
      </c>
      <c r="H256" s="656"/>
    </row>
    <row r="257" spans="1:8" ht="18.75" customHeight="1">
      <c r="A257" s="656"/>
      <c r="B257" s="657" t="s">
        <v>3928</v>
      </c>
      <c r="C257" s="657" t="s">
        <v>4303</v>
      </c>
      <c r="D257" s="657" t="s">
        <v>4438</v>
      </c>
      <c r="E257" s="657" t="s">
        <v>4439</v>
      </c>
      <c r="F257" s="658">
        <v>0.1</v>
      </c>
      <c r="G257" s="658">
        <v>0</v>
      </c>
      <c r="H257" s="656"/>
    </row>
    <row r="258" spans="1:8" ht="18.75" customHeight="1">
      <c r="A258" s="656"/>
      <c r="B258" s="659" t="s">
        <v>3928</v>
      </c>
      <c r="C258" s="659" t="s">
        <v>4303</v>
      </c>
      <c r="D258" s="659" t="s">
        <v>4440</v>
      </c>
      <c r="E258" s="659" t="s">
        <v>4441</v>
      </c>
      <c r="F258" s="660">
        <v>0.1</v>
      </c>
      <c r="G258" s="660">
        <v>0</v>
      </c>
      <c r="H258" s="656"/>
    </row>
    <row r="259" spans="1:8" ht="18.75" customHeight="1">
      <c r="A259" s="656"/>
      <c r="B259" s="657" t="s">
        <v>3928</v>
      </c>
      <c r="C259" s="657" t="s">
        <v>4303</v>
      </c>
      <c r="D259" s="657" t="s">
        <v>4442</v>
      </c>
      <c r="E259" s="657" t="s">
        <v>4443</v>
      </c>
      <c r="F259" s="658">
        <v>0.1</v>
      </c>
      <c r="G259" s="658">
        <v>0</v>
      </c>
      <c r="H259" s="656"/>
    </row>
    <row r="260" spans="1:8" ht="18.75" customHeight="1">
      <c r="A260" s="656"/>
      <c r="B260" s="659" t="s">
        <v>3928</v>
      </c>
      <c r="C260" s="659" t="s">
        <v>4303</v>
      </c>
      <c r="D260" s="659" t="s">
        <v>4444</v>
      </c>
      <c r="E260" s="659" t="s">
        <v>4445</v>
      </c>
      <c r="F260" s="660">
        <v>0.1</v>
      </c>
      <c r="G260" s="660">
        <v>0</v>
      </c>
      <c r="H260" s="656"/>
    </row>
    <row r="261" spans="1:8" ht="18.75" customHeight="1">
      <c r="A261" s="656"/>
      <c r="B261" s="657" t="s">
        <v>3928</v>
      </c>
      <c r="C261" s="657" t="s">
        <v>4303</v>
      </c>
      <c r="D261" s="657" t="s">
        <v>4446</v>
      </c>
      <c r="E261" s="657" t="s">
        <v>4447</v>
      </c>
      <c r="F261" s="658">
        <v>0.1</v>
      </c>
      <c r="G261" s="658">
        <v>0</v>
      </c>
      <c r="H261" s="656"/>
    </row>
    <row r="262" spans="1:8" ht="18.75" customHeight="1">
      <c r="A262" s="656"/>
      <c r="B262" s="659" t="s">
        <v>3928</v>
      </c>
      <c r="C262" s="659" t="s">
        <v>4303</v>
      </c>
      <c r="D262" s="659" t="s">
        <v>4448</v>
      </c>
      <c r="E262" s="659" t="s">
        <v>4449</v>
      </c>
      <c r="F262" s="660">
        <v>0.1</v>
      </c>
      <c r="G262" s="660">
        <v>0</v>
      </c>
      <c r="H262" s="656"/>
    </row>
    <row r="263" spans="1:8" ht="18.75" customHeight="1">
      <c r="A263" s="656"/>
      <c r="B263" s="657" t="s">
        <v>3928</v>
      </c>
      <c r="C263" s="657" t="s">
        <v>4303</v>
      </c>
      <c r="D263" s="657" t="s">
        <v>4450</v>
      </c>
      <c r="E263" s="657" t="s">
        <v>4451</v>
      </c>
      <c r="F263" s="658">
        <v>0.1</v>
      </c>
      <c r="G263" s="658">
        <v>0</v>
      </c>
      <c r="H263" s="656"/>
    </row>
    <row r="264" spans="1:8" ht="18.75" customHeight="1">
      <c r="A264" s="656"/>
      <c r="B264" s="659" t="s">
        <v>3928</v>
      </c>
      <c r="C264" s="659" t="s">
        <v>4303</v>
      </c>
      <c r="D264" s="659" t="s">
        <v>4452</v>
      </c>
      <c r="E264" s="659" t="s">
        <v>4453</v>
      </c>
      <c r="F264" s="660">
        <v>0.1</v>
      </c>
      <c r="G264" s="660">
        <v>0</v>
      </c>
      <c r="H264" s="656"/>
    </row>
    <row r="265" spans="1:8" ht="18.75" customHeight="1">
      <c r="A265" s="656"/>
      <c r="B265" s="657" t="s">
        <v>3928</v>
      </c>
      <c r="C265" s="657" t="s">
        <v>4303</v>
      </c>
      <c r="D265" s="657" t="s">
        <v>4454</v>
      </c>
      <c r="E265" s="657" t="s">
        <v>4455</v>
      </c>
      <c r="F265" s="658">
        <v>0.1</v>
      </c>
      <c r="G265" s="658">
        <v>0</v>
      </c>
      <c r="H265" s="656"/>
    </row>
    <row r="266" spans="1:8" ht="18.75" customHeight="1">
      <c r="A266" s="656"/>
      <c r="B266" s="659" t="s">
        <v>3928</v>
      </c>
      <c r="C266" s="659" t="s">
        <v>4303</v>
      </c>
      <c r="D266" s="659" t="s">
        <v>4456</v>
      </c>
      <c r="E266" s="659" t="s">
        <v>4457</v>
      </c>
      <c r="F266" s="660">
        <v>0.1</v>
      </c>
      <c r="G266" s="660">
        <v>0</v>
      </c>
      <c r="H266" s="656"/>
    </row>
    <row r="267" spans="1:8" ht="18.75" customHeight="1">
      <c r="A267" s="656"/>
      <c r="B267" s="657" t="s">
        <v>3928</v>
      </c>
      <c r="C267" s="657" t="s">
        <v>4303</v>
      </c>
      <c r="D267" s="657" t="s">
        <v>4458</v>
      </c>
      <c r="E267" s="657" t="s">
        <v>4459</v>
      </c>
      <c r="F267" s="658">
        <v>0.1</v>
      </c>
      <c r="G267" s="658">
        <v>0</v>
      </c>
      <c r="H267" s="656"/>
    </row>
    <row r="268" spans="1:8" ht="18.75" customHeight="1">
      <c r="A268" s="656"/>
      <c r="B268" s="659" t="s">
        <v>3928</v>
      </c>
      <c r="C268" s="659" t="s">
        <v>4303</v>
      </c>
      <c r="D268" s="659" t="s">
        <v>4460</v>
      </c>
      <c r="E268" s="659" t="s">
        <v>4461</v>
      </c>
      <c r="F268" s="660">
        <v>0.1</v>
      </c>
      <c r="G268" s="660">
        <v>0</v>
      </c>
      <c r="H268" s="656"/>
    </row>
    <row r="269" spans="1:8" ht="18.75" customHeight="1">
      <c r="A269" s="656"/>
      <c r="B269" s="657" t="s">
        <v>3928</v>
      </c>
      <c r="C269" s="657" t="s">
        <v>4303</v>
      </c>
      <c r="D269" s="657" t="s">
        <v>4462</v>
      </c>
      <c r="E269" s="657" t="s">
        <v>4463</v>
      </c>
      <c r="F269" s="658">
        <v>0.1</v>
      </c>
      <c r="G269" s="658">
        <v>0</v>
      </c>
      <c r="H269" s="656"/>
    </row>
    <row r="270" spans="1:8" ht="18.75" customHeight="1">
      <c r="A270" s="656"/>
      <c r="B270" s="659" t="s">
        <v>3928</v>
      </c>
      <c r="C270" s="659" t="s">
        <v>4303</v>
      </c>
      <c r="D270" s="659" t="s">
        <v>4464</v>
      </c>
      <c r="E270" s="659" t="s">
        <v>4465</v>
      </c>
      <c r="F270" s="660">
        <v>0.1</v>
      </c>
      <c r="G270" s="660">
        <v>0</v>
      </c>
      <c r="H270" s="656"/>
    </row>
    <row r="271" spans="1:8" ht="18.75" customHeight="1">
      <c r="A271" s="656"/>
      <c r="B271" s="657" t="s">
        <v>3928</v>
      </c>
      <c r="C271" s="657" t="s">
        <v>4303</v>
      </c>
      <c r="D271" s="657" t="s">
        <v>4466</v>
      </c>
      <c r="E271" s="657" t="s">
        <v>4467</v>
      </c>
      <c r="F271" s="658">
        <v>0.1</v>
      </c>
      <c r="G271" s="658">
        <v>0</v>
      </c>
      <c r="H271" s="656"/>
    </row>
    <row r="272" spans="1:8" ht="18.75" customHeight="1">
      <c r="A272" s="656"/>
      <c r="B272" s="659" t="s">
        <v>3928</v>
      </c>
      <c r="C272" s="659" t="s">
        <v>4303</v>
      </c>
      <c r="D272" s="659" t="s">
        <v>4468</v>
      </c>
      <c r="E272" s="659" t="s">
        <v>4469</v>
      </c>
      <c r="F272" s="660">
        <v>0.1</v>
      </c>
      <c r="G272" s="660">
        <v>0</v>
      </c>
      <c r="H272" s="656"/>
    </row>
    <row r="273" spans="1:8" ht="18.75" customHeight="1">
      <c r="A273" s="656"/>
      <c r="B273" s="657" t="s">
        <v>3928</v>
      </c>
      <c r="C273" s="657" t="s">
        <v>4303</v>
      </c>
      <c r="D273" s="657" t="s">
        <v>4470</v>
      </c>
      <c r="E273" s="657" t="s">
        <v>4471</v>
      </c>
      <c r="F273" s="658">
        <v>0.1</v>
      </c>
      <c r="G273" s="658">
        <v>0</v>
      </c>
      <c r="H273" s="656"/>
    </row>
    <row r="274" spans="1:8" ht="18.75" customHeight="1">
      <c r="A274" s="656"/>
      <c r="B274" s="659" t="s">
        <v>3928</v>
      </c>
      <c r="C274" s="659" t="s">
        <v>4303</v>
      </c>
      <c r="D274" s="659" t="s">
        <v>4472</v>
      </c>
      <c r="E274" s="659" t="s">
        <v>4473</v>
      </c>
      <c r="F274" s="660">
        <v>0.1</v>
      </c>
      <c r="G274" s="660">
        <v>0</v>
      </c>
      <c r="H274" s="656"/>
    </row>
    <row r="275" spans="1:8" ht="18.75" customHeight="1">
      <c r="A275" s="656"/>
      <c r="B275" s="657" t="s">
        <v>3928</v>
      </c>
      <c r="C275" s="657" t="s">
        <v>4303</v>
      </c>
      <c r="D275" s="657" t="s">
        <v>4474</v>
      </c>
      <c r="E275" s="657" t="s">
        <v>4475</v>
      </c>
      <c r="F275" s="658">
        <v>0.1</v>
      </c>
      <c r="G275" s="658">
        <v>0</v>
      </c>
      <c r="H275" s="656"/>
    </row>
    <row r="276" spans="1:8" ht="18.75" customHeight="1">
      <c r="A276" s="656"/>
      <c r="B276" s="659" t="s">
        <v>3928</v>
      </c>
      <c r="C276" s="659" t="s">
        <v>4303</v>
      </c>
      <c r="D276" s="659" t="s">
        <v>4476</v>
      </c>
      <c r="E276" s="659" t="s">
        <v>4475</v>
      </c>
      <c r="F276" s="660">
        <v>0.1</v>
      </c>
      <c r="G276" s="660">
        <v>0</v>
      </c>
      <c r="H276" s="656"/>
    </row>
    <row r="277" spans="1:8" ht="18.75" customHeight="1">
      <c r="A277" s="656"/>
      <c r="B277" s="657" t="s">
        <v>3928</v>
      </c>
      <c r="C277" s="657" t="s">
        <v>4303</v>
      </c>
      <c r="D277" s="657" t="s">
        <v>4477</v>
      </c>
      <c r="E277" s="657" t="s">
        <v>4478</v>
      </c>
      <c r="F277" s="658">
        <v>0.1</v>
      </c>
      <c r="G277" s="658">
        <v>0</v>
      </c>
      <c r="H277" s="656"/>
    </row>
    <row r="278" spans="1:8" ht="18.75" customHeight="1">
      <c r="A278" s="656"/>
      <c r="B278" s="659" t="s">
        <v>3928</v>
      </c>
      <c r="C278" s="659" t="s">
        <v>4303</v>
      </c>
      <c r="D278" s="659" t="s">
        <v>4479</v>
      </c>
      <c r="E278" s="659" t="s">
        <v>4480</v>
      </c>
      <c r="F278" s="660">
        <v>0.1</v>
      </c>
      <c r="G278" s="660">
        <v>0</v>
      </c>
      <c r="H278" s="656"/>
    </row>
    <row r="279" spans="1:8" ht="18.75" customHeight="1">
      <c r="A279" s="656"/>
      <c r="B279" s="657" t="s">
        <v>3928</v>
      </c>
      <c r="C279" s="657" t="s">
        <v>4303</v>
      </c>
      <c r="D279" s="657" t="s">
        <v>4481</v>
      </c>
      <c r="E279" s="657" t="s">
        <v>4482</v>
      </c>
      <c r="F279" s="658">
        <v>0.1</v>
      </c>
      <c r="G279" s="658">
        <v>0</v>
      </c>
      <c r="H279" s="656"/>
    </row>
    <row r="280" spans="1:8" ht="18.75" customHeight="1">
      <c r="A280" s="656"/>
      <c r="B280" s="659" t="s">
        <v>3928</v>
      </c>
      <c r="C280" s="659" t="s">
        <v>4303</v>
      </c>
      <c r="D280" s="659" t="s">
        <v>4483</v>
      </c>
      <c r="E280" s="659" t="s">
        <v>4484</v>
      </c>
      <c r="F280" s="660">
        <v>0.1</v>
      </c>
      <c r="G280" s="660">
        <v>0</v>
      </c>
      <c r="H280" s="656"/>
    </row>
    <row r="281" spans="1:8" ht="18.75" customHeight="1">
      <c r="A281" s="656"/>
      <c r="B281" s="657" t="s">
        <v>3928</v>
      </c>
      <c r="C281" s="657" t="s">
        <v>4303</v>
      </c>
      <c r="D281" s="657" t="s">
        <v>4485</v>
      </c>
      <c r="E281" s="657" t="s">
        <v>4486</v>
      </c>
      <c r="F281" s="658">
        <v>0.1</v>
      </c>
      <c r="G281" s="658">
        <v>0</v>
      </c>
      <c r="H281" s="656"/>
    </row>
    <row r="282" spans="1:8" ht="18.75" customHeight="1">
      <c r="A282" s="656"/>
      <c r="B282" s="659" t="s">
        <v>3928</v>
      </c>
      <c r="C282" s="659" t="s">
        <v>4303</v>
      </c>
      <c r="D282" s="659" t="s">
        <v>4487</v>
      </c>
      <c r="E282" s="659" t="s">
        <v>4488</v>
      </c>
      <c r="F282" s="660">
        <v>0.1</v>
      </c>
      <c r="G282" s="660">
        <v>0</v>
      </c>
      <c r="H282" s="656"/>
    </row>
    <row r="283" spans="1:8" ht="18.75" customHeight="1">
      <c r="A283" s="656"/>
      <c r="B283" s="657" t="s">
        <v>3928</v>
      </c>
      <c r="C283" s="657" t="s">
        <v>4303</v>
      </c>
      <c r="D283" s="657" t="s">
        <v>4489</v>
      </c>
      <c r="E283" s="657" t="s">
        <v>4490</v>
      </c>
      <c r="F283" s="658">
        <v>0.1</v>
      </c>
      <c r="G283" s="658">
        <v>0</v>
      </c>
      <c r="H283" s="656"/>
    </row>
    <row r="284" spans="1:8" ht="18.75" customHeight="1">
      <c r="A284" s="656"/>
      <c r="B284" s="659" t="s">
        <v>3928</v>
      </c>
      <c r="C284" s="659" t="s">
        <v>4303</v>
      </c>
      <c r="D284" s="659" t="s">
        <v>4491</v>
      </c>
      <c r="E284" s="659" t="s">
        <v>4492</v>
      </c>
      <c r="F284" s="660">
        <v>0.1</v>
      </c>
      <c r="G284" s="660">
        <v>0</v>
      </c>
      <c r="H284" s="656"/>
    </row>
    <row r="285" spans="1:8" ht="18.75" customHeight="1">
      <c r="A285" s="656"/>
      <c r="B285" s="657" t="s">
        <v>3928</v>
      </c>
      <c r="C285" s="657" t="s">
        <v>4303</v>
      </c>
      <c r="D285" s="657" t="s">
        <v>4493</v>
      </c>
      <c r="E285" s="657" t="s">
        <v>4494</v>
      </c>
      <c r="F285" s="658">
        <v>0.1</v>
      </c>
      <c r="G285" s="658">
        <v>0</v>
      </c>
      <c r="H285" s="656"/>
    </row>
    <row r="286" spans="1:8" ht="18.75" customHeight="1">
      <c r="A286" s="656"/>
      <c r="B286" s="659" t="s">
        <v>3928</v>
      </c>
      <c r="C286" s="659" t="s">
        <v>4303</v>
      </c>
      <c r="D286" s="659" t="s">
        <v>4495</v>
      </c>
      <c r="E286" s="659" t="s">
        <v>4496</v>
      </c>
      <c r="F286" s="660">
        <v>0.1</v>
      </c>
      <c r="G286" s="660">
        <v>0</v>
      </c>
      <c r="H286" s="656"/>
    </row>
    <row r="287" spans="1:8" ht="18.75" customHeight="1">
      <c r="A287" s="656"/>
      <c r="B287" s="657" t="s">
        <v>3928</v>
      </c>
      <c r="C287" s="657" t="s">
        <v>4303</v>
      </c>
      <c r="D287" s="657" t="s">
        <v>4497</v>
      </c>
      <c r="E287" s="657" t="s">
        <v>4498</v>
      </c>
      <c r="F287" s="658">
        <v>0.1</v>
      </c>
      <c r="G287" s="658">
        <v>0</v>
      </c>
      <c r="H287" s="656"/>
    </row>
    <row r="288" spans="1:8" ht="18.75" customHeight="1">
      <c r="A288" s="656"/>
      <c r="B288" s="659" t="s">
        <v>3928</v>
      </c>
      <c r="C288" s="659" t="s">
        <v>4303</v>
      </c>
      <c r="D288" s="659" t="s">
        <v>4499</v>
      </c>
      <c r="E288" s="659" t="s">
        <v>4500</v>
      </c>
      <c r="F288" s="660">
        <v>0.1</v>
      </c>
      <c r="G288" s="660">
        <v>0</v>
      </c>
      <c r="H288" s="656"/>
    </row>
    <row r="289" spans="1:8" ht="18.75" customHeight="1">
      <c r="A289" s="656"/>
      <c r="B289" s="657" t="s">
        <v>3928</v>
      </c>
      <c r="C289" s="657" t="s">
        <v>4303</v>
      </c>
      <c r="D289" s="657" t="s">
        <v>4501</v>
      </c>
      <c r="E289" s="657" t="s">
        <v>4502</v>
      </c>
      <c r="F289" s="658">
        <v>0.1</v>
      </c>
      <c r="G289" s="658">
        <v>0</v>
      </c>
      <c r="H289" s="656"/>
    </row>
    <row r="290" spans="1:8" ht="18.75" customHeight="1">
      <c r="A290" s="656"/>
      <c r="B290" s="659" t="s">
        <v>3928</v>
      </c>
      <c r="C290" s="659" t="s">
        <v>4303</v>
      </c>
      <c r="D290" s="659" t="s">
        <v>4503</v>
      </c>
      <c r="E290" s="659" t="s">
        <v>4504</v>
      </c>
      <c r="F290" s="660">
        <v>0.1</v>
      </c>
      <c r="G290" s="660">
        <v>0</v>
      </c>
      <c r="H290" s="656"/>
    </row>
    <row r="291" spans="1:8" ht="18.75" customHeight="1">
      <c r="A291" s="656"/>
      <c r="B291" s="657" t="s">
        <v>3928</v>
      </c>
      <c r="C291" s="657" t="s">
        <v>4303</v>
      </c>
      <c r="D291" s="657" t="s">
        <v>4505</v>
      </c>
      <c r="E291" s="657" t="s">
        <v>4506</v>
      </c>
      <c r="F291" s="658">
        <v>0.1</v>
      </c>
      <c r="G291" s="658">
        <v>0</v>
      </c>
      <c r="H291" s="656"/>
    </row>
    <row r="292" spans="1:8" ht="18.75" customHeight="1">
      <c r="A292" s="656"/>
      <c r="B292" s="659" t="s">
        <v>3928</v>
      </c>
      <c r="C292" s="659" t="s">
        <v>4303</v>
      </c>
      <c r="D292" s="659" t="s">
        <v>4507</v>
      </c>
      <c r="E292" s="659" t="s">
        <v>4508</v>
      </c>
      <c r="F292" s="660">
        <v>0.1</v>
      </c>
      <c r="G292" s="660">
        <v>0</v>
      </c>
      <c r="H292" s="656"/>
    </row>
    <row r="293" spans="1:8" ht="18.75" customHeight="1">
      <c r="A293" s="656"/>
      <c r="B293" s="657" t="s">
        <v>3928</v>
      </c>
      <c r="C293" s="657" t="s">
        <v>4303</v>
      </c>
      <c r="D293" s="657" t="s">
        <v>4509</v>
      </c>
      <c r="E293" s="657" t="s">
        <v>4510</v>
      </c>
      <c r="F293" s="658">
        <v>0.1</v>
      </c>
      <c r="G293" s="658">
        <v>0</v>
      </c>
      <c r="H293" s="656"/>
    </row>
    <row r="294" spans="1:8" ht="18.75" customHeight="1">
      <c r="A294" s="656"/>
      <c r="B294" s="659" t="s">
        <v>3928</v>
      </c>
      <c r="C294" s="659" t="s">
        <v>4303</v>
      </c>
      <c r="D294" s="659" t="s">
        <v>4511</v>
      </c>
      <c r="E294" s="659" t="s">
        <v>4512</v>
      </c>
      <c r="F294" s="660">
        <v>0.1</v>
      </c>
      <c r="G294" s="660">
        <v>0</v>
      </c>
      <c r="H294" s="656"/>
    </row>
    <row r="295" spans="1:8" ht="18.75" customHeight="1">
      <c r="A295" s="656"/>
      <c r="B295" s="657" t="s">
        <v>3928</v>
      </c>
      <c r="C295" s="657" t="s">
        <v>4303</v>
      </c>
      <c r="D295" s="657" t="s">
        <v>4513</v>
      </c>
      <c r="E295" s="657" t="s">
        <v>4514</v>
      </c>
      <c r="F295" s="658">
        <v>0.1</v>
      </c>
      <c r="G295" s="658">
        <v>0</v>
      </c>
      <c r="H295" s="656"/>
    </row>
    <row r="296" spans="1:8" ht="18.75" customHeight="1">
      <c r="A296" s="656"/>
      <c r="B296" s="659" t="s">
        <v>3928</v>
      </c>
      <c r="C296" s="659" t="s">
        <v>4303</v>
      </c>
      <c r="D296" s="659" t="s">
        <v>4515</v>
      </c>
      <c r="E296" s="659" t="s">
        <v>4516</v>
      </c>
      <c r="F296" s="660">
        <v>0.1</v>
      </c>
      <c r="G296" s="660">
        <v>0</v>
      </c>
      <c r="H296" s="656"/>
    </row>
    <row r="297" spans="1:8" ht="18.75" customHeight="1">
      <c r="A297" s="656"/>
      <c r="B297" s="657" t="s">
        <v>3928</v>
      </c>
      <c r="C297" s="657" t="s">
        <v>4303</v>
      </c>
      <c r="D297" s="657" t="s">
        <v>4517</v>
      </c>
      <c r="E297" s="657" t="s">
        <v>4518</v>
      </c>
      <c r="F297" s="658">
        <v>0.1</v>
      </c>
      <c r="G297" s="658">
        <v>0</v>
      </c>
      <c r="H297" s="656"/>
    </row>
    <row r="298" spans="1:8" ht="18.75" customHeight="1">
      <c r="A298" s="656"/>
      <c r="B298" s="659" t="s">
        <v>3928</v>
      </c>
      <c r="C298" s="659" t="s">
        <v>4303</v>
      </c>
      <c r="D298" s="659" t="s">
        <v>4519</v>
      </c>
      <c r="E298" s="659" t="s">
        <v>4520</v>
      </c>
      <c r="F298" s="660">
        <v>0.1</v>
      </c>
      <c r="G298" s="660">
        <v>0</v>
      </c>
      <c r="H298" s="656"/>
    </row>
    <row r="299" spans="1:8" ht="18.75" customHeight="1">
      <c r="A299" s="656"/>
      <c r="B299" s="657" t="s">
        <v>3928</v>
      </c>
      <c r="C299" s="657" t="s">
        <v>4303</v>
      </c>
      <c r="D299" s="657" t="s">
        <v>4521</v>
      </c>
      <c r="E299" s="657" t="s">
        <v>4522</v>
      </c>
      <c r="F299" s="658">
        <v>0.1</v>
      </c>
      <c r="G299" s="658">
        <v>0</v>
      </c>
      <c r="H299" s="656"/>
    </row>
    <row r="300" spans="1:8" ht="18.75" customHeight="1">
      <c r="A300" s="656"/>
      <c r="B300" s="659" t="s">
        <v>3928</v>
      </c>
      <c r="C300" s="659" t="s">
        <v>4303</v>
      </c>
      <c r="D300" s="659" t="s">
        <v>4523</v>
      </c>
      <c r="E300" s="659" t="s">
        <v>4524</v>
      </c>
      <c r="F300" s="660">
        <v>0.1</v>
      </c>
      <c r="G300" s="660">
        <v>0</v>
      </c>
      <c r="H300" s="656"/>
    </row>
    <row r="301" spans="1:8" ht="18.75" customHeight="1">
      <c r="A301" s="656"/>
      <c r="B301" s="657" t="s">
        <v>3928</v>
      </c>
      <c r="C301" s="657" t="s">
        <v>4303</v>
      </c>
      <c r="D301" s="657" t="s">
        <v>4525</v>
      </c>
      <c r="E301" s="657" t="s">
        <v>4526</v>
      </c>
      <c r="F301" s="658">
        <v>0.1</v>
      </c>
      <c r="G301" s="658">
        <v>0</v>
      </c>
      <c r="H301" s="656"/>
    </row>
    <row r="302" spans="1:8" ht="18.75" customHeight="1">
      <c r="A302" s="656"/>
      <c r="B302" s="659" t="s">
        <v>3928</v>
      </c>
      <c r="C302" s="659" t="s">
        <v>4303</v>
      </c>
      <c r="D302" s="659" t="s">
        <v>4527</v>
      </c>
      <c r="E302" s="659" t="s">
        <v>4528</v>
      </c>
      <c r="F302" s="660">
        <v>0.1</v>
      </c>
      <c r="G302" s="660">
        <v>0</v>
      </c>
      <c r="H302" s="656"/>
    </row>
    <row r="303" spans="1:8" ht="18.75" customHeight="1">
      <c r="A303" s="656"/>
      <c r="B303" s="657" t="s">
        <v>3928</v>
      </c>
      <c r="C303" s="657" t="s">
        <v>4303</v>
      </c>
      <c r="D303" s="657" t="s">
        <v>4529</v>
      </c>
      <c r="E303" s="657" t="s">
        <v>4530</v>
      </c>
      <c r="F303" s="658">
        <v>0.1</v>
      </c>
      <c r="G303" s="658">
        <v>0</v>
      </c>
      <c r="H303" s="656"/>
    </row>
    <row r="304" spans="1:8" ht="18.75" customHeight="1">
      <c r="A304" s="656"/>
      <c r="B304" s="659" t="s">
        <v>3928</v>
      </c>
      <c r="C304" s="659" t="s">
        <v>4303</v>
      </c>
      <c r="D304" s="659" t="s">
        <v>4531</v>
      </c>
      <c r="E304" s="659" t="s">
        <v>4532</v>
      </c>
      <c r="F304" s="660">
        <v>0.1</v>
      </c>
      <c r="G304" s="660">
        <v>0</v>
      </c>
      <c r="H304" s="656"/>
    </row>
    <row r="305" spans="1:8" ht="18.75" customHeight="1">
      <c r="A305" s="656"/>
      <c r="B305" s="657" t="s">
        <v>3928</v>
      </c>
      <c r="C305" s="657" t="s">
        <v>4303</v>
      </c>
      <c r="D305" s="657" t="s">
        <v>4533</v>
      </c>
      <c r="E305" s="657" t="s">
        <v>4534</v>
      </c>
      <c r="F305" s="658">
        <v>0.1</v>
      </c>
      <c r="G305" s="658">
        <v>0</v>
      </c>
      <c r="H305" s="656"/>
    </row>
    <row r="306" spans="1:8" ht="18.75" customHeight="1">
      <c r="A306" s="656"/>
      <c r="B306" s="659" t="s">
        <v>3928</v>
      </c>
      <c r="C306" s="659" t="s">
        <v>4303</v>
      </c>
      <c r="D306" s="659" t="s">
        <v>4535</v>
      </c>
      <c r="E306" s="659" t="s">
        <v>4536</v>
      </c>
      <c r="F306" s="660">
        <v>0.1</v>
      </c>
      <c r="G306" s="660">
        <v>0</v>
      </c>
      <c r="H306" s="656"/>
    </row>
    <row r="307" spans="1:8" ht="18.75" customHeight="1">
      <c r="A307" s="656"/>
      <c r="B307" s="657" t="s">
        <v>3928</v>
      </c>
      <c r="C307" s="657" t="s">
        <v>4303</v>
      </c>
      <c r="D307" s="657" t="s">
        <v>4537</v>
      </c>
      <c r="E307" s="657" t="s">
        <v>4538</v>
      </c>
      <c r="F307" s="658">
        <v>0.1</v>
      </c>
      <c r="G307" s="658">
        <v>0</v>
      </c>
      <c r="H307" s="656"/>
    </row>
    <row r="308" spans="1:8" ht="18.75" customHeight="1">
      <c r="A308" s="656"/>
      <c r="B308" s="659" t="s">
        <v>3928</v>
      </c>
      <c r="C308" s="659" t="s">
        <v>4303</v>
      </c>
      <c r="D308" s="659" t="s">
        <v>4539</v>
      </c>
      <c r="E308" s="659" t="s">
        <v>4540</v>
      </c>
      <c r="F308" s="660">
        <v>0.1</v>
      </c>
      <c r="G308" s="660">
        <v>0</v>
      </c>
      <c r="H308" s="656"/>
    </row>
    <row r="309" spans="1:8" ht="18.75" customHeight="1">
      <c r="A309" s="656"/>
      <c r="B309" s="657" t="s">
        <v>3928</v>
      </c>
      <c r="C309" s="657" t="s">
        <v>4303</v>
      </c>
      <c r="D309" s="657" t="s">
        <v>4541</v>
      </c>
      <c r="E309" s="657" t="s">
        <v>4542</v>
      </c>
      <c r="F309" s="658">
        <v>0.1</v>
      </c>
      <c r="G309" s="658">
        <v>0</v>
      </c>
      <c r="H309" s="656"/>
    </row>
    <row r="310" spans="1:8" ht="18.75" customHeight="1">
      <c r="A310" s="656"/>
      <c r="B310" s="659" t="s">
        <v>3928</v>
      </c>
      <c r="C310" s="659" t="s">
        <v>4303</v>
      </c>
      <c r="D310" s="659" t="s">
        <v>4543</v>
      </c>
      <c r="E310" s="659" t="s">
        <v>4544</v>
      </c>
      <c r="F310" s="660">
        <v>0.1</v>
      </c>
      <c r="G310" s="660">
        <v>0</v>
      </c>
      <c r="H310" s="656"/>
    </row>
    <row r="311" spans="1:8" ht="18.75" customHeight="1">
      <c r="A311" s="656"/>
      <c r="B311" s="657" t="s">
        <v>3928</v>
      </c>
      <c r="C311" s="657" t="s">
        <v>4303</v>
      </c>
      <c r="D311" s="657" t="s">
        <v>4545</v>
      </c>
      <c r="E311" s="657" t="s">
        <v>4546</v>
      </c>
      <c r="F311" s="658">
        <v>0.1</v>
      </c>
      <c r="G311" s="658">
        <v>0</v>
      </c>
      <c r="H311" s="656"/>
    </row>
    <row r="312" spans="1:8" ht="18.75" customHeight="1">
      <c r="A312" s="656"/>
      <c r="B312" s="659" t="s">
        <v>3928</v>
      </c>
      <c r="C312" s="659" t="s">
        <v>4303</v>
      </c>
      <c r="D312" s="659" t="s">
        <v>4547</v>
      </c>
      <c r="E312" s="659" t="s">
        <v>4548</v>
      </c>
      <c r="F312" s="660">
        <v>0.1</v>
      </c>
      <c r="G312" s="660">
        <v>0</v>
      </c>
      <c r="H312" s="656"/>
    </row>
    <row r="313" spans="1:8" ht="18.75" customHeight="1">
      <c r="A313" s="656"/>
      <c r="B313" s="657" t="s">
        <v>3928</v>
      </c>
      <c r="C313" s="657" t="s">
        <v>4303</v>
      </c>
      <c r="D313" s="657" t="s">
        <v>4549</v>
      </c>
      <c r="E313" s="657" t="s">
        <v>4550</v>
      </c>
      <c r="F313" s="658">
        <v>0.1</v>
      </c>
      <c r="G313" s="658">
        <v>0</v>
      </c>
      <c r="H313" s="656"/>
    </row>
    <row r="314" spans="1:8" ht="18.75" customHeight="1">
      <c r="A314" s="656"/>
      <c r="B314" s="659" t="s">
        <v>3928</v>
      </c>
      <c r="C314" s="659" t="s">
        <v>4303</v>
      </c>
      <c r="D314" s="659" t="s">
        <v>4551</v>
      </c>
      <c r="E314" s="659" t="s">
        <v>4552</v>
      </c>
      <c r="F314" s="660">
        <v>0.1</v>
      </c>
      <c r="G314" s="660">
        <v>0</v>
      </c>
      <c r="H314" s="656"/>
    </row>
    <row r="315" spans="1:8" ht="18.75" customHeight="1">
      <c r="A315" s="656"/>
      <c r="B315" s="657" t="s">
        <v>3928</v>
      </c>
      <c r="C315" s="657" t="s">
        <v>4303</v>
      </c>
      <c r="D315" s="657" t="s">
        <v>4553</v>
      </c>
      <c r="E315" s="657" t="s">
        <v>4554</v>
      </c>
      <c r="F315" s="658">
        <v>0.1</v>
      </c>
      <c r="G315" s="658">
        <v>0</v>
      </c>
      <c r="H315" s="656"/>
    </row>
    <row r="316" spans="1:8" ht="18.75" customHeight="1">
      <c r="A316" s="656"/>
      <c r="B316" s="659" t="s">
        <v>3928</v>
      </c>
      <c r="C316" s="659" t="s">
        <v>4303</v>
      </c>
      <c r="D316" s="659" t="s">
        <v>4555</v>
      </c>
      <c r="E316" s="659" t="s">
        <v>4556</v>
      </c>
      <c r="F316" s="660">
        <v>0.1</v>
      </c>
      <c r="G316" s="660">
        <v>0</v>
      </c>
      <c r="H316" s="656"/>
    </row>
    <row r="317" spans="1:8" ht="18.75" customHeight="1">
      <c r="A317" s="656"/>
      <c r="B317" s="657" t="s">
        <v>3928</v>
      </c>
      <c r="C317" s="657" t="s">
        <v>4303</v>
      </c>
      <c r="D317" s="657" t="s">
        <v>4557</v>
      </c>
      <c r="E317" s="657" t="s">
        <v>4558</v>
      </c>
      <c r="F317" s="658">
        <v>0.1</v>
      </c>
      <c r="G317" s="658">
        <v>0</v>
      </c>
      <c r="H317" s="656"/>
    </row>
    <row r="318" spans="1:8" ht="18.75" customHeight="1">
      <c r="A318" s="656"/>
      <c r="B318" s="659" t="s">
        <v>3928</v>
      </c>
      <c r="C318" s="659" t="s">
        <v>4303</v>
      </c>
      <c r="D318" s="659" t="s">
        <v>4559</v>
      </c>
      <c r="E318" s="659" t="s">
        <v>4560</v>
      </c>
      <c r="F318" s="660">
        <v>0.1</v>
      </c>
      <c r="G318" s="660">
        <v>0</v>
      </c>
      <c r="H318" s="656"/>
    </row>
    <row r="319" spans="1:8" ht="18.75" customHeight="1">
      <c r="A319" s="656"/>
      <c r="B319" s="657" t="s">
        <v>3928</v>
      </c>
      <c r="C319" s="657" t="s">
        <v>4303</v>
      </c>
      <c r="D319" s="657" t="s">
        <v>4561</v>
      </c>
      <c r="E319" s="657" t="s">
        <v>4562</v>
      </c>
      <c r="F319" s="658">
        <v>0.1</v>
      </c>
      <c r="G319" s="658">
        <v>0</v>
      </c>
      <c r="H319" s="656"/>
    </row>
    <row r="320" spans="1:8" ht="18.75" customHeight="1">
      <c r="A320" s="656"/>
      <c r="B320" s="659" t="s">
        <v>3928</v>
      </c>
      <c r="C320" s="659" t="s">
        <v>4303</v>
      </c>
      <c r="D320" s="659" t="s">
        <v>4563</v>
      </c>
      <c r="E320" s="659" t="s">
        <v>4564</v>
      </c>
      <c r="F320" s="660">
        <v>0.1</v>
      </c>
      <c r="G320" s="660">
        <v>0</v>
      </c>
      <c r="H320" s="656"/>
    </row>
    <row r="321" spans="1:8" ht="18.75" customHeight="1">
      <c r="A321" s="656"/>
      <c r="B321" s="657" t="s">
        <v>3928</v>
      </c>
      <c r="C321" s="657" t="s">
        <v>4303</v>
      </c>
      <c r="D321" s="657" t="s">
        <v>4565</v>
      </c>
      <c r="E321" s="657" t="s">
        <v>4566</v>
      </c>
      <c r="F321" s="658">
        <v>0.1</v>
      </c>
      <c r="G321" s="658">
        <v>0</v>
      </c>
      <c r="H321" s="656"/>
    </row>
    <row r="322" spans="1:8" ht="18.75" customHeight="1">
      <c r="A322" s="656"/>
      <c r="B322" s="659" t="s">
        <v>3928</v>
      </c>
      <c r="C322" s="659" t="s">
        <v>4303</v>
      </c>
      <c r="D322" s="659" t="s">
        <v>4567</v>
      </c>
      <c r="E322" s="659" t="s">
        <v>4568</v>
      </c>
      <c r="F322" s="660">
        <v>0.1</v>
      </c>
      <c r="G322" s="660">
        <v>0</v>
      </c>
      <c r="H322" s="656"/>
    </row>
    <row r="323" spans="1:8" ht="18.75" customHeight="1">
      <c r="A323" s="656"/>
      <c r="B323" s="657" t="s">
        <v>3928</v>
      </c>
      <c r="C323" s="657" t="s">
        <v>4303</v>
      </c>
      <c r="D323" s="657" t="s">
        <v>4569</v>
      </c>
      <c r="E323" s="657" t="s">
        <v>4570</v>
      </c>
      <c r="F323" s="658">
        <v>0.1</v>
      </c>
      <c r="G323" s="658">
        <v>0</v>
      </c>
      <c r="H323" s="656"/>
    </row>
    <row r="324" spans="1:8" ht="18.75" customHeight="1">
      <c r="A324" s="656"/>
      <c r="B324" s="659" t="s">
        <v>3928</v>
      </c>
      <c r="C324" s="659" t="s">
        <v>4303</v>
      </c>
      <c r="D324" s="659" t="s">
        <v>4571</v>
      </c>
      <c r="E324" s="659" t="s">
        <v>4475</v>
      </c>
      <c r="F324" s="660">
        <v>0.1</v>
      </c>
      <c r="G324" s="660">
        <v>0</v>
      </c>
      <c r="H324" s="656"/>
    </row>
    <row r="325" spans="1:8" ht="18.75" customHeight="1">
      <c r="A325" s="656"/>
      <c r="B325" s="657" t="s">
        <v>3928</v>
      </c>
      <c r="C325" s="657" t="s">
        <v>4303</v>
      </c>
      <c r="D325" s="657" t="s">
        <v>4572</v>
      </c>
      <c r="E325" s="657" t="s">
        <v>4573</v>
      </c>
      <c r="F325" s="658">
        <v>0.1</v>
      </c>
      <c r="G325" s="658">
        <v>0</v>
      </c>
      <c r="H325" s="656"/>
    </row>
    <row r="326" spans="1:8" ht="18.75" customHeight="1">
      <c r="A326" s="656"/>
      <c r="B326" s="659" t="s">
        <v>3928</v>
      </c>
      <c r="C326" s="659" t="s">
        <v>4303</v>
      </c>
      <c r="D326" s="659" t="s">
        <v>4574</v>
      </c>
      <c r="E326" s="659" t="s">
        <v>4575</v>
      </c>
      <c r="F326" s="660">
        <v>0.1</v>
      </c>
      <c r="G326" s="660">
        <v>0</v>
      </c>
      <c r="H326" s="656"/>
    </row>
    <row r="327" spans="1:8" ht="18.75" customHeight="1">
      <c r="A327" s="656"/>
      <c r="B327" s="657" t="s">
        <v>3928</v>
      </c>
      <c r="C327" s="657" t="s">
        <v>4303</v>
      </c>
      <c r="D327" s="657" t="s">
        <v>4576</v>
      </c>
      <c r="E327" s="657" t="s">
        <v>4577</v>
      </c>
      <c r="F327" s="658">
        <v>0.1</v>
      </c>
      <c r="G327" s="658">
        <v>0</v>
      </c>
      <c r="H327" s="656"/>
    </row>
    <row r="328" spans="1:8" ht="18.75" customHeight="1">
      <c r="A328" s="656"/>
      <c r="B328" s="659" t="s">
        <v>3928</v>
      </c>
      <c r="C328" s="659" t="s">
        <v>4303</v>
      </c>
      <c r="D328" s="659" t="s">
        <v>4578</v>
      </c>
      <c r="E328" s="659" t="s">
        <v>4579</v>
      </c>
      <c r="F328" s="660">
        <v>0.1</v>
      </c>
      <c r="G328" s="660">
        <v>0</v>
      </c>
      <c r="H328" s="656"/>
    </row>
    <row r="329" spans="1:8" ht="18.75" customHeight="1">
      <c r="A329" s="656"/>
      <c r="B329" s="657" t="s">
        <v>3928</v>
      </c>
      <c r="C329" s="657" t="s">
        <v>4303</v>
      </c>
      <c r="D329" s="657" t="s">
        <v>4580</v>
      </c>
      <c r="E329" s="657" t="s">
        <v>4581</v>
      </c>
      <c r="F329" s="658">
        <v>0.1</v>
      </c>
      <c r="G329" s="658">
        <v>0</v>
      </c>
      <c r="H329" s="656"/>
    </row>
    <row r="330" spans="1:8" ht="18.75" customHeight="1">
      <c r="A330" s="656"/>
      <c r="B330" s="659" t="s">
        <v>3928</v>
      </c>
      <c r="C330" s="659" t="s">
        <v>4303</v>
      </c>
      <c r="D330" s="659" t="s">
        <v>4582</v>
      </c>
      <c r="E330" s="659" t="s">
        <v>4583</v>
      </c>
      <c r="F330" s="660">
        <v>0.1</v>
      </c>
      <c r="G330" s="660">
        <v>0</v>
      </c>
      <c r="H330" s="656"/>
    </row>
    <row r="331" spans="1:8" ht="18.75" customHeight="1">
      <c r="A331" s="656"/>
      <c r="B331" s="657" t="s">
        <v>3928</v>
      </c>
      <c r="C331" s="657" t="s">
        <v>4303</v>
      </c>
      <c r="D331" s="657" t="s">
        <v>4584</v>
      </c>
      <c r="E331" s="657" t="s">
        <v>4585</v>
      </c>
      <c r="F331" s="658">
        <v>0.1</v>
      </c>
      <c r="G331" s="658">
        <v>0</v>
      </c>
      <c r="H331" s="656"/>
    </row>
    <row r="332" spans="1:8" ht="18.75" customHeight="1">
      <c r="A332" s="656"/>
      <c r="B332" s="659" t="s">
        <v>3928</v>
      </c>
      <c r="C332" s="659" t="s">
        <v>4303</v>
      </c>
      <c r="D332" s="659" t="s">
        <v>4586</v>
      </c>
      <c r="E332" s="659" t="s">
        <v>4587</v>
      </c>
      <c r="F332" s="660">
        <v>0.1</v>
      </c>
      <c r="G332" s="660">
        <v>0</v>
      </c>
      <c r="H332" s="656"/>
    </row>
    <row r="333" spans="1:8" ht="18.75" customHeight="1">
      <c r="A333" s="656"/>
      <c r="B333" s="657" t="s">
        <v>3928</v>
      </c>
      <c r="C333" s="657" t="s">
        <v>4303</v>
      </c>
      <c r="D333" s="657" t="s">
        <v>4588</v>
      </c>
      <c r="E333" s="657" t="s">
        <v>4589</v>
      </c>
      <c r="F333" s="658">
        <v>0.1</v>
      </c>
      <c r="G333" s="658">
        <v>0</v>
      </c>
      <c r="H333" s="656"/>
    </row>
    <row r="334" spans="1:8" ht="18.75" customHeight="1">
      <c r="A334" s="656"/>
      <c r="B334" s="659" t="s">
        <v>3928</v>
      </c>
      <c r="C334" s="659" t="s">
        <v>4303</v>
      </c>
      <c r="D334" s="659" t="s">
        <v>4590</v>
      </c>
      <c r="E334" s="659" t="s">
        <v>4591</v>
      </c>
      <c r="F334" s="660">
        <v>0.1</v>
      </c>
      <c r="G334" s="660">
        <v>0</v>
      </c>
      <c r="H334" s="656"/>
    </row>
    <row r="335" spans="1:8" ht="18.75" customHeight="1">
      <c r="A335" s="656"/>
      <c r="B335" s="657" t="s">
        <v>3928</v>
      </c>
      <c r="C335" s="657" t="s">
        <v>4303</v>
      </c>
      <c r="D335" s="657" t="s">
        <v>4592</v>
      </c>
      <c r="E335" s="657" t="s">
        <v>4593</v>
      </c>
      <c r="F335" s="658">
        <v>0.1</v>
      </c>
      <c r="G335" s="658">
        <v>0</v>
      </c>
      <c r="H335" s="656"/>
    </row>
    <row r="336" spans="1:8" ht="18.75" customHeight="1">
      <c r="A336" s="656"/>
      <c r="B336" s="659" t="s">
        <v>3928</v>
      </c>
      <c r="C336" s="659" t="s">
        <v>4303</v>
      </c>
      <c r="D336" s="659" t="s">
        <v>4594</v>
      </c>
      <c r="E336" s="659" t="s">
        <v>4595</v>
      </c>
      <c r="F336" s="660">
        <v>0.1</v>
      </c>
      <c r="G336" s="660">
        <v>0</v>
      </c>
      <c r="H336" s="656"/>
    </row>
    <row r="337" spans="1:8" ht="18.75" customHeight="1">
      <c r="A337" s="656"/>
      <c r="B337" s="657" t="s">
        <v>3928</v>
      </c>
      <c r="C337" s="657" t="s">
        <v>4303</v>
      </c>
      <c r="D337" s="657" t="s">
        <v>4596</v>
      </c>
      <c r="E337" s="657" t="s">
        <v>4597</v>
      </c>
      <c r="F337" s="658">
        <v>0.1</v>
      </c>
      <c r="G337" s="658">
        <v>0</v>
      </c>
      <c r="H337" s="656"/>
    </row>
    <row r="338" spans="1:8" ht="18.75" customHeight="1">
      <c r="A338" s="656"/>
      <c r="B338" s="659" t="s">
        <v>3928</v>
      </c>
      <c r="C338" s="659" t="s">
        <v>4303</v>
      </c>
      <c r="D338" s="659" t="s">
        <v>4598</v>
      </c>
      <c r="E338" s="659" t="s">
        <v>4599</v>
      </c>
      <c r="F338" s="660">
        <v>0.1</v>
      </c>
      <c r="G338" s="660">
        <v>0</v>
      </c>
      <c r="H338" s="656"/>
    </row>
    <row r="339" spans="1:8" ht="18.75" customHeight="1">
      <c r="A339" s="656"/>
      <c r="B339" s="657" t="s">
        <v>3928</v>
      </c>
      <c r="C339" s="657" t="s">
        <v>4303</v>
      </c>
      <c r="D339" s="657" t="s">
        <v>4600</v>
      </c>
      <c r="E339" s="657" t="s">
        <v>4601</v>
      </c>
      <c r="F339" s="658">
        <v>0.1</v>
      </c>
      <c r="G339" s="658">
        <v>0</v>
      </c>
      <c r="H339" s="656"/>
    </row>
    <row r="340" spans="1:8" ht="18.75" customHeight="1">
      <c r="A340" s="656"/>
      <c r="B340" s="659" t="s">
        <v>3928</v>
      </c>
      <c r="C340" s="659" t="s">
        <v>4303</v>
      </c>
      <c r="D340" s="659" t="s">
        <v>4602</v>
      </c>
      <c r="E340" s="659" t="s">
        <v>4603</v>
      </c>
      <c r="F340" s="660">
        <v>0.1</v>
      </c>
      <c r="G340" s="660">
        <v>0</v>
      </c>
      <c r="H340" s="656"/>
    </row>
    <row r="341" spans="1:8" ht="18.75" customHeight="1">
      <c r="A341" s="656"/>
      <c r="B341" s="657" t="s">
        <v>3928</v>
      </c>
      <c r="C341" s="657" t="s">
        <v>4303</v>
      </c>
      <c r="D341" s="657" t="s">
        <v>4604</v>
      </c>
      <c r="E341" s="657" t="s">
        <v>4605</v>
      </c>
      <c r="F341" s="658">
        <v>0.1</v>
      </c>
      <c r="G341" s="658">
        <v>0</v>
      </c>
      <c r="H341" s="656"/>
    </row>
    <row r="342" spans="1:8" ht="18.75" customHeight="1">
      <c r="A342" s="656"/>
      <c r="B342" s="659" t="s">
        <v>3928</v>
      </c>
      <c r="C342" s="659" t="s">
        <v>4303</v>
      </c>
      <c r="D342" s="659" t="s">
        <v>4606</v>
      </c>
      <c r="E342" s="659" t="s">
        <v>4607</v>
      </c>
      <c r="F342" s="660">
        <v>0.1</v>
      </c>
      <c r="G342" s="660">
        <v>0</v>
      </c>
      <c r="H342" s="656"/>
    </row>
    <row r="343" spans="1:8" ht="18.75" customHeight="1">
      <c r="A343" s="656"/>
      <c r="B343" s="657" t="s">
        <v>3928</v>
      </c>
      <c r="C343" s="657" t="s">
        <v>4303</v>
      </c>
      <c r="D343" s="657" t="s">
        <v>4608</v>
      </c>
      <c r="E343" s="657" t="s">
        <v>4609</v>
      </c>
      <c r="F343" s="658">
        <v>0.1</v>
      </c>
      <c r="G343" s="658">
        <v>0</v>
      </c>
      <c r="H343" s="656"/>
    </row>
    <row r="344" spans="1:8" ht="18.75" customHeight="1">
      <c r="A344" s="656"/>
      <c r="B344" s="659" t="s">
        <v>3928</v>
      </c>
      <c r="C344" s="659" t="s">
        <v>4303</v>
      </c>
      <c r="D344" s="659" t="s">
        <v>4610</v>
      </c>
      <c r="E344" s="659" t="s">
        <v>4611</v>
      </c>
      <c r="F344" s="660">
        <v>0.1</v>
      </c>
      <c r="G344" s="660">
        <v>0</v>
      </c>
      <c r="H344" s="656"/>
    </row>
    <row r="345" spans="1:8" ht="18.75" customHeight="1">
      <c r="A345" s="656"/>
      <c r="B345" s="657" t="s">
        <v>3928</v>
      </c>
      <c r="C345" s="657" t="s">
        <v>4303</v>
      </c>
      <c r="D345" s="657" t="s">
        <v>4612</v>
      </c>
      <c r="E345" s="657" t="s">
        <v>4613</v>
      </c>
      <c r="F345" s="658">
        <v>0.1</v>
      </c>
      <c r="G345" s="658">
        <v>0</v>
      </c>
      <c r="H345" s="656"/>
    </row>
    <row r="346" spans="1:8" ht="18.75" customHeight="1">
      <c r="A346" s="656"/>
      <c r="B346" s="659" t="s">
        <v>3928</v>
      </c>
      <c r="C346" s="659" t="s">
        <v>4303</v>
      </c>
      <c r="D346" s="659" t="s">
        <v>4614</v>
      </c>
      <c r="E346" s="659" t="s">
        <v>4615</v>
      </c>
      <c r="F346" s="660">
        <v>0.1</v>
      </c>
      <c r="G346" s="660">
        <v>0</v>
      </c>
      <c r="H346" s="656"/>
    </row>
    <row r="347" spans="1:8" ht="18.75" customHeight="1">
      <c r="A347" s="656"/>
      <c r="B347" s="657" t="s">
        <v>3928</v>
      </c>
      <c r="C347" s="657" t="s">
        <v>4303</v>
      </c>
      <c r="D347" s="657" t="s">
        <v>4616</v>
      </c>
      <c r="E347" s="657" t="s">
        <v>4617</v>
      </c>
      <c r="F347" s="658">
        <v>0.1</v>
      </c>
      <c r="G347" s="658">
        <v>0</v>
      </c>
      <c r="H347" s="656"/>
    </row>
    <row r="348" spans="1:8" ht="18.75" customHeight="1">
      <c r="A348" s="656"/>
      <c r="B348" s="659" t="s">
        <v>3928</v>
      </c>
      <c r="C348" s="659" t="s">
        <v>4303</v>
      </c>
      <c r="D348" s="659" t="s">
        <v>4618</v>
      </c>
      <c r="E348" s="659" t="s">
        <v>4619</v>
      </c>
      <c r="F348" s="660">
        <v>0.1</v>
      </c>
      <c r="G348" s="660">
        <v>0</v>
      </c>
      <c r="H348" s="656"/>
    </row>
    <row r="349" spans="1:8" ht="18.75" customHeight="1">
      <c r="A349" s="656"/>
      <c r="B349" s="657" t="s">
        <v>3928</v>
      </c>
      <c r="C349" s="657" t="s">
        <v>4303</v>
      </c>
      <c r="D349" s="657" t="s">
        <v>4620</v>
      </c>
      <c r="E349" s="657" t="s">
        <v>4621</v>
      </c>
      <c r="F349" s="658">
        <v>0.1</v>
      </c>
      <c r="G349" s="658">
        <v>0</v>
      </c>
      <c r="H349" s="656"/>
    </row>
    <row r="350" spans="1:8" ht="18.75" customHeight="1">
      <c r="A350" s="656"/>
      <c r="B350" s="659" t="s">
        <v>3928</v>
      </c>
      <c r="C350" s="659" t="s">
        <v>4303</v>
      </c>
      <c r="D350" s="659" t="s">
        <v>4622</v>
      </c>
      <c r="E350" s="659" t="s">
        <v>4623</v>
      </c>
      <c r="F350" s="660">
        <v>0.1</v>
      </c>
      <c r="G350" s="660">
        <v>0</v>
      </c>
      <c r="H350" s="656"/>
    </row>
    <row r="351" spans="1:8" ht="18.75" customHeight="1">
      <c r="A351" s="656"/>
      <c r="B351" s="657" t="s">
        <v>3928</v>
      </c>
      <c r="C351" s="657" t="s">
        <v>4303</v>
      </c>
      <c r="D351" s="657" t="s">
        <v>4624</v>
      </c>
      <c r="E351" s="657" t="s">
        <v>4625</v>
      </c>
      <c r="F351" s="658">
        <v>0.1</v>
      </c>
      <c r="G351" s="658">
        <v>0</v>
      </c>
      <c r="H351" s="656"/>
    </row>
    <row r="352" spans="1:8" ht="18.75" customHeight="1">
      <c r="A352" s="656"/>
      <c r="B352" s="659" t="s">
        <v>3928</v>
      </c>
      <c r="C352" s="659" t="s">
        <v>4303</v>
      </c>
      <c r="D352" s="659" t="s">
        <v>4626</v>
      </c>
      <c r="E352" s="659" t="s">
        <v>4627</v>
      </c>
      <c r="F352" s="660">
        <v>0.1</v>
      </c>
      <c r="G352" s="660">
        <v>0</v>
      </c>
      <c r="H352" s="656"/>
    </row>
    <row r="353" spans="1:8" ht="18.75" customHeight="1">
      <c r="A353" s="656"/>
      <c r="B353" s="657" t="s">
        <v>3928</v>
      </c>
      <c r="C353" s="657" t="s">
        <v>4303</v>
      </c>
      <c r="D353" s="657" t="s">
        <v>4628</v>
      </c>
      <c r="E353" s="657" t="s">
        <v>4629</v>
      </c>
      <c r="F353" s="658">
        <v>0.1</v>
      </c>
      <c r="G353" s="658">
        <v>0</v>
      </c>
      <c r="H353" s="656"/>
    </row>
    <row r="354" spans="1:8" ht="18.75" customHeight="1">
      <c r="A354" s="656"/>
      <c r="B354" s="659" t="s">
        <v>3928</v>
      </c>
      <c r="C354" s="659" t="s">
        <v>4303</v>
      </c>
      <c r="D354" s="659" t="s">
        <v>4630</v>
      </c>
      <c r="E354" s="659" t="s">
        <v>4631</v>
      </c>
      <c r="F354" s="660">
        <v>0.1</v>
      </c>
      <c r="G354" s="660">
        <v>0</v>
      </c>
      <c r="H354" s="656"/>
    </row>
    <row r="355" spans="1:8" ht="18.75" customHeight="1">
      <c r="A355" s="656"/>
      <c r="B355" s="657" t="s">
        <v>3928</v>
      </c>
      <c r="C355" s="657" t="s">
        <v>4303</v>
      </c>
      <c r="D355" s="657" t="s">
        <v>4632</v>
      </c>
      <c r="E355" s="657" t="s">
        <v>4633</v>
      </c>
      <c r="F355" s="658">
        <v>0.1</v>
      </c>
      <c r="G355" s="658">
        <v>0</v>
      </c>
      <c r="H355" s="656"/>
    </row>
    <row r="356" spans="1:8" ht="18.75" customHeight="1">
      <c r="A356" s="656"/>
      <c r="B356" s="659" t="s">
        <v>3928</v>
      </c>
      <c r="C356" s="659" t="s">
        <v>4303</v>
      </c>
      <c r="D356" s="659" t="s">
        <v>4634</v>
      </c>
      <c r="E356" s="659" t="s">
        <v>4635</v>
      </c>
      <c r="F356" s="660">
        <v>0.1</v>
      </c>
      <c r="G356" s="660">
        <v>0</v>
      </c>
      <c r="H356" s="656"/>
    </row>
    <row r="357" spans="1:8" ht="18.75" customHeight="1">
      <c r="A357" s="656"/>
      <c r="B357" s="657" t="s">
        <v>3928</v>
      </c>
      <c r="C357" s="657" t="s">
        <v>4303</v>
      </c>
      <c r="D357" s="657" t="s">
        <v>4636</v>
      </c>
      <c r="E357" s="657" t="s">
        <v>4637</v>
      </c>
      <c r="F357" s="658">
        <v>0.1</v>
      </c>
      <c r="G357" s="658">
        <v>0</v>
      </c>
      <c r="H357" s="656"/>
    </row>
    <row r="358" spans="1:8" ht="18.75" customHeight="1">
      <c r="A358" s="656"/>
      <c r="B358" s="659" t="s">
        <v>3928</v>
      </c>
      <c r="C358" s="659" t="s">
        <v>4303</v>
      </c>
      <c r="D358" s="659" t="s">
        <v>4638</v>
      </c>
      <c r="E358" s="659" t="s">
        <v>4639</v>
      </c>
      <c r="F358" s="660">
        <v>0.1</v>
      </c>
      <c r="G358" s="660">
        <v>0</v>
      </c>
      <c r="H358" s="656"/>
    </row>
    <row r="359" spans="1:8" ht="18.75" customHeight="1">
      <c r="A359" s="656"/>
      <c r="B359" s="657" t="s">
        <v>3928</v>
      </c>
      <c r="C359" s="657" t="s">
        <v>4303</v>
      </c>
      <c r="D359" s="657" t="s">
        <v>4640</v>
      </c>
      <c r="E359" s="657" t="s">
        <v>4641</v>
      </c>
      <c r="F359" s="658">
        <v>0.1</v>
      </c>
      <c r="G359" s="658">
        <v>0</v>
      </c>
      <c r="H359" s="656"/>
    </row>
    <row r="360" spans="1:8" ht="18.75" customHeight="1">
      <c r="A360" s="656"/>
      <c r="B360" s="659" t="s">
        <v>3928</v>
      </c>
      <c r="C360" s="659" t="s">
        <v>4303</v>
      </c>
      <c r="D360" s="659" t="s">
        <v>4642</v>
      </c>
      <c r="E360" s="659" t="s">
        <v>4643</v>
      </c>
      <c r="F360" s="660">
        <v>0.1</v>
      </c>
      <c r="G360" s="660">
        <v>0</v>
      </c>
      <c r="H360" s="656"/>
    </row>
    <row r="361" spans="1:8" ht="18.75" customHeight="1">
      <c r="A361" s="656"/>
      <c r="B361" s="657" t="s">
        <v>3928</v>
      </c>
      <c r="C361" s="657" t="s">
        <v>4303</v>
      </c>
      <c r="D361" s="657" t="s">
        <v>4644</v>
      </c>
      <c r="E361" s="657" t="s">
        <v>4645</v>
      </c>
      <c r="F361" s="658">
        <v>0.1</v>
      </c>
      <c r="G361" s="658">
        <v>0</v>
      </c>
      <c r="H361" s="656"/>
    </row>
    <row r="362" spans="1:8" ht="18.75" customHeight="1">
      <c r="A362" s="656"/>
      <c r="B362" s="659" t="s">
        <v>3928</v>
      </c>
      <c r="C362" s="659" t="s">
        <v>4303</v>
      </c>
      <c r="D362" s="659" t="s">
        <v>4646</v>
      </c>
      <c r="E362" s="659" t="s">
        <v>4647</v>
      </c>
      <c r="F362" s="660">
        <v>0.1</v>
      </c>
      <c r="G362" s="660">
        <v>0</v>
      </c>
      <c r="H362" s="656"/>
    </row>
    <row r="363" spans="1:8" ht="18.75" customHeight="1">
      <c r="A363" s="656"/>
      <c r="B363" s="657" t="s">
        <v>3928</v>
      </c>
      <c r="C363" s="657" t="s">
        <v>4303</v>
      </c>
      <c r="D363" s="657" t="s">
        <v>4648</v>
      </c>
      <c r="E363" s="657" t="s">
        <v>4649</v>
      </c>
      <c r="F363" s="658">
        <v>0.1</v>
      </c>
      <c r="G363" s="658">
        <v>0</v>
      </c>
      <c r="H363" s="656"/>
    </row>
    <row r="364" spans="1:8" ht="18.75" customHeight="1">
      <c r="A364" s="656"/>
      <c r="B364" s="659" t="s">
        <v>3928</v>
      </c>
      <c r="C364" s="659" t="s">
        <v>4303</v>
      </c>
      <c r="D364" s="659" t="s">
        <v>4650</v>
      </c>
      <c r="E364" s="659" t="s">
        <v>4651</v>
      </c>
      <c r="F364" s="660">
        <v>0.1</v>
      </c>
      <c r="G364" s="660">
        <v>0</v>
      </c>
      <c r="H364" s="656"/>
    </row>
    <row r="365" spans="1:8" ht="18.75" customHeight="1">
      <c r="A365" s="656"/>
      <c r="B365" s="657" t="s">
        <v>3928</v>
      </c>
      <c r="C365" s="657" t="s">
        <v>4303</v>
      </c>
      <c r="D365" s="657" t="s">
        <v>4652</v>
      </c>
      <c r="E365" s="657" t="s">
        <v>4653</v>
      </c>
      <c r="F365" s="658">
        <v>0.1</v>
      </c>
      <c r="G365" s="658">
        <v>0</v>
      </c>
      <c r="H365" s="656"/>
    </row>
    <row r="366" spans="1:8" ht="18.75" customHeight="1">
      <c r="A366" s="656"/>
      <c r="B366" s="659" t="s">
        <v>3928</v>
      </c>
      <c r="C366" s="659" t="s">
        <v>4303</v>
      </c>
      <c r="D366" s="659" t="s">
        <v>4654</v>
      </c>
      <c r="E366" s="659" t="s">
        <v>4655</v>
      </c>
      <c r="F366" s="660">
        <v>0.1</v>
      </c>
      <c r="G366" s="660">
        <v>0</v>
      </c>
      <c r="H366" s="656"/>
    </row>
    <row r="367" spans="1:8" ht="18.75" customHeight="1">
      <c r="A367" s="656"/>
      <c r="B367" s="657" t="s">
        <v>3928</v>
      </c>
      <c r="C367" s="657" t="s">
        <v>4303</v>
      </c>
      <c r="D367" s="657" t="s">
        <v>4656</v>
      </c>
      <c r="E367" s="657" t="s">
        <v>4657</v>
      </c>
      <c r="F367" s="658">
        <v>0.1</v>
      </c>
      <c r="G367" s="658">
        <v>0</v>
      </c>
      <c r="H367" s="656"/>
    </row>
    <row r="368" spans="1:8" ht="18.75" customHeight="1">
      <c r="A368" s="656"/>
      <c r="B368" s="659" t="s">
        <v>3928</v>
      </c>
      <c r="C368" s="659" t="s">
        <v>4303</v>
      </c>
      <c r="D368" s="659" t="s">
        <v>4658</v>
      </c>
      <c r="E368" s="659" t="s">
        <v>4659</v>
      </c>
      <c r="F368" s="660">
        <v>0.1</v>
      </c>
      <c r="G368" s="660">
        <v>0</v>
      </c>
      <c r="H368" s="656"/>
    </row>
    <row r="369" spans="1:8" ht="18.75" customHeight="1">
      <c r="A369" s="656"/>
      <c r="B369" s="657" t="s">
        <v>3928</v>
      </c>
      <c r="C369" s="657" t="s">
        <v>4303</v>
      </c>
      <c r="D369" s="657" t="s">
        <v>4660</v>
      </c>
      <c r="E369" s="657" t="s">
        <v>4661</v>
      </c>
      <c r="F369" s="658">
        <v>0.1</v>
      </c>
      <c r="G369" s="658">
        <v>0</v>
      </c>
      <c r="H369" s="656"/>
    </row>
    <row r="370" spans="1:8" ht="18.75" customHeight="1">
      <c r="A370" s="656"/>
      <c r="B370" s="659" t="s">
        <v>3928</v>
      </c>
      <c r="C370" s="659" t="s">
        <v>4303</v>
      </c>
      <c r="D370" s="659" t="s">
        <v>4662</v>
      </c>
      <c r="E370" s="659" t="s">
        <v>4663</v>
      </c>
      <c r="F370" s="660">
        <v>0.1</v>
      </c>
      <c r="G370" s="660">
        <v>0</v>
      </c>
      <c r="H370" s="656"/>
    </row>
    <row r="371" spans="1:8" ht="18.75" customHeight="1">
      <c r="A371" s="656"/>
      <c r="B371" s="657" t="s">
        <v>3928</v>
      </c>
      <c r="C371" s="657" t="s">
        <v>4303</v>
      </c>
      <c r="D371" s="657" t="s">
        <v>4664</v>
      </c>
      <c r="E371" s="657" t="s">
        <v>4665</v>
      </c>
      <c r="F371" s="658">
        <v>0.1</v>
      </c>
      <c r="G371" s="658">
        <v>0</v>
      </c>
      <c r="H371" s="656"/>
    </row>
    <row r="372" spans="1:8" ht="18.75" customHeight="1">
      <c r="A372" s="656"/>
      <c r="B372" s="659" t="s">
        <v>3928</v>
      </c>
      <c r="C372" s="659" t="s">
        <v>4303</v>
      </c>
      <c r="D372" s="659" t="s">
        <v>4666</v>
      </c>
      <c r="E372" s="659" t="s">
        <v>4667</v>
      </c>
      <c r="F372" s="660">
        <v>0.1</v>
      </c>
      <c r="G372" s="660">
        <v>0</v>
      </c>
      <c r="H372" s="656"/>
    </row>
    <row r="373" spans="1:8" ht="18.75" customHeight="1">
      <c r="A373" s="656"/>
      <c r="B373" s="657" t="s">
        <v>3928</v>
      </c>
      <c r="C373" s="657" t="s">
        <v>4303</v>
      </c>
      <c r="D373" s="657" t="s">
        <v>4668</v>
      </c>
      <c r="E373" s="657" t="s">
        <v>4669</v>
      </c>
      <c r="F373" s="658">
        <v>0.1</v>
      </c>
      <c r="G373" s="658">
        <v>0</v>
      </c>
      <c r="H373" s="656"/>
    </row>
    <row r="374" spans="1:8" ht="18.75" customHeight="1">
      <c r="A374" s="656"/>
      <c r="B374" s="659" t="s">
        <v>3928</v>
      </c>
      <c r="C374" s="659" t="s">
        <v>4303</v>
      </c>
      <c r="D374" s="659" t="s">
        <v>4670</v>
      </c>
      <c r="E374" s="659" t="s">
        <v>4671</v>
      </c>
      <c r="F374" s="660">
        <v>0.1</v>
      </c>
      <c r="G374" s="660">
        <v>0</v>
      </c>
      <c r="H374" s="656"/>
    </row>
    <row r="375" spans="1:8" ht="18.75" customHeight="1">
      <c r="A375" s="656"/>
      <c r="B375" s="657" t="s">
        <v>3928</v>
      </c>
      <c r="C375" s="657" t="s">
        <v>4303</v>
      </c>
      <c r="D375" s="657" t="s">
        <v>4672</v>
      </c>
      <c r="E375" s="657" t="s">
        <v>4673</v>
      </c>
      <c r="F375" s="658">
        <v>0.1</v>
      </c>
      <c r="G375" s="658">
        <v>0</v>
      </c>
      <c r="H375" s="656"/>
    </row>
    <row r="376" spans="1:8" ht="18.75" customHeight="1">
      <c r="A376" s="656"/>
      <c r="B376" s="659" t="s">
        <v>3928</v>
      </c>
      <c r="C376" s="659" t="s">
        <v>4303</v>
      </c>
      <c r="D376" s="659" t="s">
        <v>4674</v>
      </c>
      <c r="E376" s="659" t="s">
        <v>4675</v>
      </c>
      <c r="F376" s="660">
        <v>0.1</v>
      </c>
      <c r="G376" s="660">
        <v>0</v>
      </c>
      <c r="H376" s="656"/>
    </row>
    <row r="377" spans="1:8" ht="18.75" customHeight="1">
      <c r="A377" s="656"/>
      <c r="B377" s="657" t="s">
        <v>3928</v>
      </c>
      <c r="C377" s="657" t="s">
        <v>4676</v>
      </c>
      <c r="D377" s="657" t="s">
        <v>4677</v>
      </c>
      <c r="E377" s="657" t="s">
        <v>4678</v>
      </c>
      <c r="F377" s="658">
        <v>0.1</v>
      </c>
      <c r="G377" s="658">
        <v>0</v>
      </c>
      <c r="H377" s="656"/>
    </row>
    <row r="378" spans="1:8" ht="18.75" customHeight="1">
      <c r="A378" s="656"/>
      <c r="B378" s="659" t="s">
        <v>3928</v>
      </c>
      <c r="C378" s="659" t="s">
        <v>4303</v>
      </c>
      <c r="D378" s="659" t="s">
        <v>4679</v>
      </c>
      <c r="E378" s="659" t="s">
        <v>4680</v>
      </c>
      <c r="F378" s="660">
        <v>0.1</v>
      </c>
      <c r="G378" s="660">
        <v>0</v>
      </c>
      <c r="H378" s="656"/>
    </row>
    <row r="379" spans="1:8" ht="18.75" customHeight="1">
      <c r="A379" s="656"/>
      <c r="B379" s="657" t="s">
        <v>3928</v>
      </c>
      <c r="C379" s="657" t="s">
        <v>4303</v>
      </c>
      <c r="D379" s="657" t="s">
        <v>4681</v>
      </c>
      <c r="E379" s="657" t="s">
        <v>4682</v>
      </c>
      <c r="F379" s="658">
        <v>0.1</v>
      </c>
      <c r="G379" s="658">
        <v>0</v>
      </c>
      <c r="H379" s="656"/>
    </row>
    <row r="380" spans="1:8" ht="18.75" customHeight="1">
      <c r="A380" s="656"/>
      <c r="B380" s="659" t="s">
        <v>3928</v>
      </c>
      <c r="C380" s="659" t="s">
        <v>4303</v>
      </c>
      <c r="D380" s="659" t="s">
        <v>4683</v>
      </c>
      <c r="E380" s="659" t="s">
        <v>4684</v>
      </c>
      <c r="F380" s="660">
        <v>0.1</v>
      </c>
      <c r="G380" s="660">
        <v>0</v>
      </c>
      <c r="H380" s="656"/>
    </row>
    <row r="381" spans="1:8" ht="18.75" customHeight="1">
      <c r="A381" s="656"/>
      <c r="B381" s="657" t="s">
        <v>3928</v>
      </c>
      <c r="C381" s="657" t="s">
        <v>4303</v>
      </c>
      <c r="D381" s="657" t="s">
        <v>4685</v>
      </c>
      <c r="E381" s="657" t="s">
        <v>4686</v>
      </c>
      <c r="F381" s="658">
        <v>0.1</v>
      </c>
      <c r="G381" s="658">
        <v>0</v>
      </c>
      <c r="H381" s="656"/>
    </row>
    <row r="382" spans="1:8" ht="18.75" customHeight="1">
      <c r="A382" s="656"/>
      <c r="B382" s="659" t="s">
        <v>3928</v>
      </c>
      <c r="C382" s="659" t="s">
        <v>4303</v>
      </c>
      <c r="D382" s="659" t="s">
        <v>4687</v>
      </c>
      <c r="E382" s="659" t="s">
        <v>4688</v>
      </c>
      <c r="F382" s="660">
        <v>0.1</v>
      </c>
      <c r="G382" s="660">
        <v>0</v>
      </c>
      <c r="H382" s="656"/>
    </row>
    <row r="383" spans="1:8" ht="18.75" customHeight="1">
      <c r="A383" s="656"/>
      <c r="B383" s="657" t="s">
        <v>3928</v>
      </c>
      <c r="C383" s="657" t="s">
        <v>4303</v>
      </c>
      <c r="D383" s="657" t="s">
        <v>4689</v>
      </c>
      <c r="E383" s="657" t="s">
        <v>4690</v>
      </c>
      <c r="F383" s="658">
        <v>0.1</v>
      </c>
      <c r="G383" s="658">
        <v>0</v>
      </c>
      <c r="H383" s="656"/>
    </row>
    <row r="384" spans="1:8" ht="18.75" customHeight="1">
      <c r="A384" s="656"/>
      <c r="B384" s="659" t="s">
        <v>3928</v>
      </c>
      <c r="C384" s="659" t="s">
        <v>4303</v>
      </c>
      <c r="D384" s="659" t="s">
        <v>4691</v>
      </c>
      <c r="E384" s="659" t="s">
        <v>4692</v>
      </c>
      <c r="F384" s="660">
        <v>0.1</v>
      </c>
      <c r="G384" s="660">
        <v>0</v>
      </c>
      <c r="H384" s="656"/>
    </row>
    <row r="385" spans="1:8" ht="18.75" customHeight="1">
      <c r="A385" s="656"/>
      <c r="B385" s="657" t="s">
        <v>3928</v>
      </c>
      <c r="C385" s="657" t="s">
        <v>4303</v>
      </c>
      <c r="D385" s="657" t="s">
        <v>4693</v>
      </c>
      <c r="E385" s="657" t="s">
        <v>4694</v>
      </c>
      <c r="F385" s="658">
        <v>0.1</v>
      </c>
      <c r="G385" s="658">
        <v>0</v>
      </c>
      <c r="H385" s="656"/>
    </row>
    <row r="386" spans="1:8" ht="18.75" customHeight="1">
      <c r="A386" s="656"/>
      <c r="B386" s="659" t="s">
        <v>3928</v>
      </c>
      <c r="C386" s="659" t="s">
        <v>4303</v>
      </c>
      <c r="D386" s="659" t="s">
        <v>4695</v>
      </c>
      <c r="E386" s="659" t="s">
        <v>4696</v>
      </c>
      <c r="F386" s="660">
        <v>0.1</v>
      </c>
      <c r="G386" s="660">
        <v>0</v>
      </c>
      <c r="H386" s="656"/>
    </row>
    <row r="387" spans="1:8" ht="18.75" customHeight="1">
      <c r="A387" s="656"/>
      <c r="B387" s="657" t="s">
        <v>3928</v>
      </c>
      <c r="C387" s="657" t="s">
        <v>4303</v>
      </c>
      <c r="D387" s="657" t="s">
        <v>4697</v>
      </c>
      <c r="E387" s="657" t="s">
        <v>4698</v>
      </c>
      <c r="F387" s="658">
        <v>0.1</v>
      </c>
      <c r="G387" s="658">
        <v>0</v>
      </c>
      <c r="H387" s="656"/>
    </row>
    <row r="388" spans="1:8" ht="18.75" customHeight="1">
      <c r="A388" s="656"/>
      <c r="B388" s="659" t="s">
        <v>3928</v>
      </c>
      <c r="C388" s="659" t="s">
        <v>4303</v>
      </c>
      <c r="D388" s="659" t="s">
        <v>4699</v>
      </c>
      <c r="E388" s="659" t="s">
        <v>4700</v>
      </c>
      <c r="F388" s="660">
        <v>0.1</v>
      </c>
      <c r="G388" s="660">
        <v>0</v>
      </c>
      <c r="H388" s="656"/>
    </row>
    <row r="389" spans="1:8" ht="18.75" customHeight="1">
      <c r="A389" s="656"/>
      <c r="B389" s="657" t="s">
        <v>3928</v>
      </c>
      <c r="C389" s="657" t="s">
        <v>4303</v>
      </c>
      <c r="D389" s="657" t="s">
        <v>4701</v>
      </c>
      <c r="E389" s="657" t="s">
        <v>4702</v>
      </c>
      <c r="F389" s="658">
        <v>0.1</v>
      </c>
      <c r="G389" s="658">
        <v>0</v>
      </c>
      <c r="H389" s="656"/>
    </row>
    <row r="390" spans="1:8" ht="18.75" customHeight="1">
      <c r="A390" s="656"/>
      <c r="B390" s="659" t="s">
        <v>3928</v>
      </c>
      <c r="C390" s="659" t="s">
        <v>4303</v>
      </c>
      <c r="D390" s="659" t="s">
        <v>4703</v>
      </c>
      <c r="E390" s="659" t="s">
        <v>4704</v>
      </c>
      <c r="F390" s="660">
        <v>0.1</v>
      </c>
      <c r="G390" s="660">
        <v>0</v>
      </c>
      <c r="H390" s="656"/>
    </row>
    <row r="391" spans="1:8" ht="18.75" customHeight="1">
      <c r="A391" s="656"/>
      <c r="B391" s="657" t="s">
        <v>3928</v>
      </c>
      <c r="C391" s="657" t="s">
        <v>4303</v>
      </c>
      <c r="D391" s="657" t="s">
        <v>4705</v>
      </c>
      <c r="E391" s="657" t="s">
        <v>4706</v>
      </c>
      <c r="F391" s="658">
        <v>0.1</v>
      </c>
      <c r="G391" s="658">
        <v>0</v>
      </c>
      <c r="H391" s="656"/>
    </row>
    <row r="392" spans="1:8" ht="18.75" customHeight="1">
      <c r="A392" s="656"/>
      <c r="B392" s="659" t="s">
        <v>3928</v>
      </c>
      <c r="C392" s="659" t="s">
        <v>4303</v>
      </c>
      <c r="D392" s="659" t="s">
        <v>4707</v>
      </c>
      <c r="E392" s="659" t="s">
        <v>4708</v>
      </c>
      <c r="F392" s="660">
        <v>0.1</v>
      </c>
      <c r="G392" s="660">
        <v>0</v>
      </c>
      <c r="H392" s="656"/>
    </row>
    <row r="393" spans="1:8" ht="18.75" customHeight="1">
      <c r="A393" s="656"/>
      <c r="B393" s="657" t="s">
        <v>3928</v>
      </c>
      <c r="C393" s="657" t="s">
        <v>4303</v>
      </c>
      <c r="D393" s="657" t="s">
        <v>4709</v>
      </c>
      <c r="E393" s="657" t="s">
        <v>4710</v>
      </c>
      <c r="F393" s="658">
        <v>0.1</v>
      </c>
      <c r="G393" s="658">
        <v>0</v>
      </c>
      <c r="H393" s="656"/>
    </row>
    <row r="394" spans="1:8" ht="18.75" customHeight="1">
      <c r="A394" s="656"/>
      <c r="B394" s="659" t="s">
        <v>3928</v>
      </c>
      <c r="C394" s="659" t="s">
        <v>4303</v>
      </c>
      <c r="D394" s="659" t="s">
        <v>4711</v>
      </c>
      <c r="E394" s="659" t="s">
        <v>4712</v>
      </c>
      <c r="F394" s="660">
        <v>0.1</v>
      </c>
      <c r="G394" s="660">
        <v>0</v>
      </c>
      <c r="H394" s="656"/>
    </row>
    <row r="395" spans="1:8" ht="18.75" customHeight="1">
      <c r="A395" s="656"/>
      <c r="B395" s="657" t="s">
        <v>3928</v>
      </c>
      <c r="C395" s="657" t="s">
        <v>4303</v>
      </c>
      <c r="D395" s="657" t="s">
        <v>4713</v>
      </c>
      <c r="E395" s="657" t="s">
        <v>4714</v>
      </c>
      <c r="F395" s="658">
        <v>0.1</v>
      </c>
      <c r="G395" s="658">
        <v>0</v>
      </c>
      <c r="H395" s="656"/>
    </row>
    <row r="396" spans="1:8" ht="18.75" customHeight="1">
      <c r="A396" s="656"/>
      <c r="B396" s="659" t="s">
        <v>3928</v>
      </c>
      <c r="C396" s="659" t="s">
        <v>4303</v>
      </c>
      <c r="D396" s="659" t="s">
        <v>4715</v>
      </c>
      <c r="E396" s="659" t="s">
        <v>4716</v>
      </c>
      <c r="F396" s="660">
        <v>0.1</v>
      </c>
      <c r="G396" s="660">
        <v>0</v>
      </c>
      <c r="H396" s="656"/>
    </row>
    <row r="397" spans="1:8" ht="18.75" customHeight="1">
      <c r="A397" s="656"/>
      <c r="B397" s="657" t="s">
        <v>3928</v>
      </c>
      <c r="C397" s="657" t="s">
        <v>4303</v>
      </c>
      <c r="D397" s="657" t="s">
        <v>4717</v>
      </c>
      <c r="E397" s="657" t="s">
        <v>4718</v>
      </c>
      <c r="F397" s="658">
        <v>0.1</v>
      </c>
      <c r="G397" s="658">
        <v>0</v>
      </c>
      <c r="H397" s="656"/>
    </row>
    <row r="398" spans="1:8" ht="18.75" customHeight="1">
      <c r="A398" s="656"/>
      <c r="B398" s="659" t="s">
        <v>3928</v>
      </c>
      <c r="C398" s="659" t="s">
        <v>4303</v>
      </c>
      <c r="D398" s="659" t="s">
        <v>4719</v>
      </c>
      <c r="E398" s="659" t="s">
        <v>4720</v>
      </c>
      <c r="F398" s="660">
        <v>0.1</v>
      </c>
      <c r="G398" s="660">
        <v>0</v>
      </c>
      <c r="H398" s="656"/>
    </row>
    <row r="399" spans="1:8" ht="18.75" customHeight="1">
      <c r="A399" s="656"/>
      <c r="B399" s="657" t="s">
        <v>3928</v>
      </c>
      <c r="C399" s="657" t="s">
        <v>4303</v>
      </c>
      <c r="D399" s="657" t="s">
        <v>4721</v>
      </c>
      <c r="E399" s="657" t="s">
        <v>4722</v>
      </c>
      <c r="F399" s="658">
        <v>0.1</v>
      </c>
      <c r="G399" s="658">
        <v>0</v>
      </c>
      <c r="H399" s="656"/>
    </row>
    <row r="400" spans="1:8" ht="18.75" customHeight="1">
      <c r="A400" s="656"/>
      <c r="B400" s="659" t="s">
        <v>3928</v>
      </c>
      <c r="C400" s="659" t="s">
        <v>4303</v>
      </c>
      <c r="D400" s="659" t="s">
        <v>4723</v>
      </c>
      <c r="E400" s="659" t="s">
        <v>4724</v>
      </c>
      <c r="F400" s="660">
        <v>0.1</v>
      </c>
      <c r="G400" s="660">
        <v>0</v>
      </c>
      <c r="H400" s="656"/>
    </row>
    <row r="401" spans="1:8" ht="18.75" customHeight="1">
      <c r="A401" s="656"/>
      <c r="B401" s="657" t="s">
        <v>3928</v>
      </c>
      <c r="C401" s="657" t="s">
        <v>4303</v>
      </c>
      <c r="D401" s="657" t="s">
        <v>4725</v>
      </c>
      <c r="E401" s="657" t="s">
        <v>4726</v>
      </c>
      <c r="F401" s="658">
        <v>0.1</v>
      </c>
      <c r="G401" s="658">
        <v>0</v>
      </c>
      <c r="H401" s="656"/>
    </row>
    <row r="402" spans="1:8" ht="18.75" customHeight="1">
      <c r="A402" s="656"/>
      <c r="B402" s="659" t="s">
        <v>3928</v>
      </c>
      <c r="C402" s="659" t="s">
        <v>4303</v>
      </c>
      <c r="D402" s="659" t="s">
        <v>4727</v>
      </c>
      <c r="E402" s="659" t="s">
        <v>4728</v>
      </c>
      <c r="F402" s="660">
        <v>0.1</v>
      </c>
      <c r="G402" s="660">
        <v>0</v>
      </c>
      <c r="H402" s="656"/>
    </row>
    <row r="403" spans="1:8" ht="18.75" customHeight="1">
      <c r="A403" s="656"/>
      <c r="B403" s="657" t="s">
        <v>3928</v>
      </c>
      <c r="C403" s="657" t="s">
        <v>4303</v>
      </c>
      <c r="D403" s="657" t="s">
        <v>4729</v>
      </c>
      <c r="E403" s="657" t="s">
        <v>4730</v>
      </c>
      <c r="F403" s="658">
        <v>0.1</v>
      </c>
      <c r="G403" s="658">
        <v>0</v>
      </c>
      <c r="H403" s="656"/>
    </row>
    <row r="404" spans="1:8" ht="18.75" customHeight="1">
      <c r="A404" s="656"/>
      <c r="B404" s="659" t="s">
        <v>3928</v>
      </c>
      <c r="C404" s="659" t="s">
        <v>4303</v>
      </c>
      <c r="D404" s="659" t="s">
        <v>4731</v>
      </c>
      <c r="E404" s="659" t="s">
        <v>4732</v>
      </c>
      <c r="F404" s="660">
        <v>0.1</v>
      </c>
      <c r="G404" s="660">
        <v>0</v>
      </c>
      <c r="H404" s="656"/>
    </row>
    <row r="405" spans="1:8" ht="18.75" customHeight="1">
      <c r="A405" s="656"/>
      <c r="B405" s="657" t="s">
        <v>3928</v>
      </c>
      <c r="C405" s="657" t="s">
        <v>4303</v>
      </c>
      <c r="D405" s="657" t="s">
        <v>4733</v>
      </c>
      <c r="E405" s="657" t="s">
        <v>4734</v>
      </c>
      <c r="F405" s="658">
        <v>0.1</v>
      </c>
      <c r="G405" s="658">
        <v>0</v>
      </c>
      <c r="H405" s="656"/>
    </row>
    <row r="406" spans="1:8" ht="18.75" customHeight="1">
      <c r="A406" s="656"/>
      <c r="B406" s="659" t="s">
        <v>3928</v>
      </c>
      <c r="C406" s="659" t="s">
        <v>4303</v>
      </c>
      <c r="D406" s="659" t="s">
        <v>4735</v>
      </c>
      <c r="E406" s="659" t="s">
        <v>4736</v>
      </c>
      <c r="F406" s="660">
        <v>0.1</v>
      </c>
      <c r="G406" s="660">
        <v>0</v>
      </c>
      <c r="H406" s="656"/>
    </row>
    <row r="407" spans="1:8" ht="18.75" customHeight="1">
      <c r="A407" s="656"/>
      <c r="B407" s="657" t="s">
        <v>3928</v>
      </c>
      <c r="C407" s="657" t="s">
        <v>4303</v>
      </c>
      <c r="D407" s="657" t="s">
        <v>4737</v>
      </c>
      <c r="E407" s="657" t="s">
        <v>4738</v>
      </c>
      <c r="F407" s="658">
        <v>0.1</v>
      </c>
      <c r="G407" s="658">
        <v>0</v>
      </c>
      <c r="H407" s="656"/>
    </row>
    <row r="408" spans="1:8" ht="18.75" customHeight="1">
      <c r="A408" s="656"/>
      <c r="B408" s="659" t="s">
        <v>3928</v>
      </c>
      <c r="C408" s="659" t="s">
        <v>4303</v>
      </c>
      <c r="D408" s="659" t="s">
        <v>4739</v>
      </c>
      <c r="E408" s="659" t="s">
        <v>4740</v>
      </c>
      <c r="F408" s="660">
        <v>0.1</v>
      </c>
      <c r="G408" s="660">
        <v>0</v>
      </c>
      <c r="H408" s="656"/>
    </row>
    <row r="409" spans="1:8" ht="18.75" customHeight="1">
      <c r="A409" s="656"/>
      <c r="B409" s="657" t="s">
        <v>3928</v>
      </c>
      <c r="C409" s="657" t="s">
        <v>4303</v>
      </c>
      <c r="D409" s="657" t="s">
        <v>4741</v>
      </c>
      <c r="E409" s="657" t="s">
        <v>4742</v>
      </c>
      <c r="F409" s="658">
        <v>0.1</v>
      </c>
      <c r="G409" s="658">
        <v>0</v>
      </c>
      <c r="H409" s="656"/>
    </row>
    <row r="410" spans="1:8" ht="18.75" customHeight="1">
      <c r="A410" s="656"/>
      <c r="B410" s="659" t="s">
        <v>3928</v>
      </c>
      <c r="C410" s="659" t="s">
        <v>4303</v>
      </c>
      <c r="D410" s="659" t="s">
        <v>4743</v>
      </c>
      <c r="E410" s="659" t="s">
        <v>4744</v>
      </c>
      <c r="F410" s="660">
        <v>0.1</v>
      </c>
      <c r="G410" s="660">
        <v>0</v>
      </c>
      <c r="H410" s="656"/>
    </row>
    <row r="411" spans="1:8" ht="18.75" customHeight="1">
      <c r="A411" s="656"/>
      <c r="B411" s="657" t="s">
        <v>3928</v>
      </c>
      <c r="C411" s="657" t="s">
        <v>4303</v>
      </c>
      <c r="D411" s="657" t="s">
        <v>4745</v>
      </c>
      <c r="E411" s="657" t="s">
        <v>4746</v>
      </c>
      <c r="F411" s="658">
        <v>0.1</v>
      </c>
      <c r="G411" s="658">
        <v>0</v>
      </c>
      <c r="H411" s="656"/>
    </row>
    <row r="412" spans="1:8" ht="18.75" customHeight="1">
      <c r="A412" s="656"/>
      <c r="B412" s="659" t="s">
        <v>3928</v>
      </c>
      <c r="C412" s="659" t="s">
        <v>4303</v>
      </c>
      <c r="D412" s="659" t="s">
        <v>4747</v>
      </c>
      <c r="E412" s="659" t="s">
        <v>4748</v>
      </c>
      <c r="F412" s="660">
        <v>0.1</v>
      </c>
      <c r="G412" s="660">
        <v>0</v>
      </c>
      <c r="H412" s="656"/>
    </row>
    <row r="413" spans="1:8" ht="18.75" customHeight="1">
      <c r="A413" s="656"/>
      <c r="B413" s="657" t="s">
        <v>3928</v>
      </c>
      <c r="C413" s="657" t="s">
        <v>4303</v>
      </c>
      <c r="D413" s="657" t="s">
        <v>4749</v>
      </c>
      <c r="E413" s="657" t="s">
        <v>4750</v>
      </c>
      <c r="F413" s="658">
        <v>0.1</v>
      </c>
      <c r="G413" s="658">
        <v>0</v>
      </c>
      <c r="H413" s="656"/>
    </row>
    <row r="414" spans="1:8" ht="18.75" customHeight="1">
      <c r="A414" s="656"/>
      <c r="B414" s="659" t="s">
        <v>3928</v>
      </c>
      <c r="C414" s="659" t="s">
        <v>4303</v>
      </c>
      <c r="D414" s="659" t="s">
        <v>4751</v>
      </c>
      <c r="E414" s="659" t="s">
        <v>4752</v>
      </c>
      <c r="F414" s="660">
        <v>0.1</v>
      </c>
      <c r="G414" s="660">
        <v>0</v>
      </c>
      <c r="H414" s="656"/>
    </row>
    <row r="415" spans="1:8" ht="18.75" customHeight="1">
      <c r="A415" s="656"/>
      <c r="B415" s="657" t="s">
        <v>3928</v>
      </c>
      <c r="C415" s="657" t="s">
        <v>4303</v>
      </c>
      <c r="D415" s="657" t="s">
        <v>4753</v>
      </c>
      <c r="E415" s="657" t="s">
        <v>4754</v>
      </c>
      <c r="F415" s="658">
        <v>0.1</v>
      </c>
      <c r="G415" s="658">
        <v>0</v>
      </c>
      <c r="H415" s="656"/>
    </row>
    <row r="416" spans="1:8" ht="18.75" customHeight="1">
      <c r="A416" s="656"/>
      <c r="B416" s="659" t="s">
        <v>3928</v>
      </c>
      <c r="C416" s="659" t="s">
        <v>4303</v>
      </c>
      <c r="D416" s="659" t="s">
        <v>4755</v>
      </c>
      <c r="E416" s="659" t="s">
        <v>4756</v>
      </c>
      <c r="F416" s="660">
        <v>0.1</v>
      </c>
      <c r="G416" s="660">
        <v>0</v>
      </c>
      <c r="H416" s="656"/>
    </row>
    <row r="417" spans="1:8" ht="18.75" customHeight="1">
      <c r="A417" s="656"/>
      <c r="B417" s="657" t="s">
        <v>3928</v>
      </c>
      <c r="C417" s="657" t="s">
        <v>4303</v>
      </c>
      <c r="D417" s="657" t="s">
        <v>4757</v>
      </c>
      <c r="E417" s="657" t="s">
        <v>4758</v>
      </c>
      <c r="F417" s="658">
        <v>0.1</v>
      </c>
      <c r="G417" s="658">
        <v>0</v>
      </c>
      <c r="H417" s="656"/>
    </row>
    <row r="418" spans="1:8" ht="18.75" customHeight="1">
      <c r="A418" s="656"/>
      <c r="B418" s="659" t="s">
        <v>3928</v>
      </c>
      <c r="C418" s="659" t="s">
        <v>4303</v>
      </c>
      <c r="D418" s="659" t="s">
        <v>4759</v>
      </c>
      <c r="E418" s="659" t="s">
        <v>4760</v>
      </c>
      <c r="F418" s="660">
        <v>0.1</v>
      </c>
      <c r="G418" s="660">
        <v>0</v>
      </c>
      <c r="H418" s="656"/>
    </row>
    <row r="419" spans="1:8" ht="18.75" customHeight="1">
      <c r="A419" s="656"/>
      <c r="B419" s="657" t="s">
        <v>3928</v>
      </c>
      <c r="C419" s="657" t="s">
        <v>4303</v>
      </c>
      <c r="D419" s="657" t="s">
        <v>4761</v>
      </c>
      <c r="E419" s="657" t="s">
        <v>4762</v>
      </c>
      <c r="F419" s="658">
        <v>0.1</v>
      </c>
      <c r="G419" s="658">
        <v>0</v>
      </c>
      <c r="H419" s="656"/>
    </row>
    <row r="420" spans="1:8" ht="18.75" customHeight="1">
      <c r="A420" s="656"/>
      <c r="B420" s="659" t="s">
        <v>3928</v>
      </c>
      <c r="C420" s="659" t="s">
        <v>4303</v>
      </c>
      <c r="D420" s="659" t="s">
        <v>4763</v>
      </c>
      <c r="E420" s="659" t="s">
        <v>4764</v>
      </c>
      <c r="F420" s="660">
        <v>0.1</v>
      </c>
      <c r="G420" s="660">
        <v>0</v>
      </c>
      <c r="H420" s="656"/>
    </row>
    <row r="421" spans="1:8" ht="18.75" customHeight="1">
      <c r="A421" s="656"/>
      <c r="B421" s="657" t="s">
        <v>3928</v>
      </c>
      <c r="C421" s="657" t="s">
        <v>4303</v>
      </c>
      <c r="D421" s="657" t="s">
        <v>4765</v>
      </c>
      <c r="E421" s="657" t="s">
        <v>4766</v>
      </c>
      <c r="F421" s="658">
        <v>0.1</v>
      </c>
      <c r="G421" s="658">
        <v>0</v>
      </c>
      <c r="H421" s="656"/>
    </row>
    <row r="422" spans="1:8" ht="18.75" customHeight="1">
      <c r="A422" s="656"/>
      <c r="B422" s="659" t="s">
        <v>3928</v>
      </c>
      <c r="C422" s="659" t="s">
        <v>4303</v>
      </c>
      <c r="D422" s="659" t="s">
        <v>4767</v>
      </c>
      <c r="E422" s="659" t="s">
        <v>4768</v>
      </c>
      <c r="F422" s="660">
        <v>0.1</v>
      </c>
      <c r="G422" s="660">
        <v>0</v>
      </c>
      <c r="H422" s="656"/>
    </row>
    <row r="423" spans="1:8" ht="18.75" customHeight="1">
      <c r="A423" s="656"/>
      <c r="B423" s="657" t="s">
        <v>3928</v>
      </c>
      <c r="C423" s="657" t="s">
        <v>4303</v>
      </c>
      <c r="D423" s="657" t="s">
        <v>4769</v>
      </c>
      <c r="E423" s="657" t="s">
        <v>4770</v>
      </c>
      <c r="F423" s="658">
        <v>0.1</v>
      </c>
      <c r="G423" s="658">
        <v>0</v>
      </c>
      <c r="H423" s="656"/>
    </row>
    <row r="424" spans="1:8" ht="18.75" customHeight="1">
      <c r="A424" s="656"/>
      <c r="B424" s="659" t="s">
        <v>3928</v>
      </c>
      <c r="C424" s="659" t="s">
        <v>4303</v>
      </c>
      <c r="D424" s="659" t="s">
        <v>4771</v>
      </c>
      <c r="E424" s="659" t="s">
        <v>4772</v>
      </c>
      <c r="F424" s="660">
        <v>0.1</v>
      </c>
      <c r="G424" s="660">
        <v>0</v>
      </c>
      <c r="H424" s="656"/>
    </row>
    <row r="425" spans="1:8" ht="18.75" customHeight="1">
      <c r="A425" s="656"/>
      <c r="B425" s="657" t="s">
        <v>3928</v>
      </c>
      <c r="C425" s="657" t="s">
        <v>4303</v>
      </c>
      <c r="D425" s="657" t="s">
        <v>4773</v>
      </c>
      <c r="E425" s="657" t="s">
        <v>4774</v>
      </c>
      <c r="F425" s="658">
        <v>0.1</v>
      </c>
      <c r="G425" s="658">
        <v>0</v>
      </c>
      <c r="H425" s="656"/>
    </row>
    <row r="426" spans="1:8" ht="18.75" customHeight="1">
      <c r="A426" s="656"/>
      <c r="B426" s="659" t="s">
        <v>3928</v>
      </c>
      <c r="C426" s="659" t="s">
        <v>4676</v>
      </c>
      <c r="D426" s="659" t="s">
        <v>4775</v>
      </c>
      <c r="E426" s="659" t="s">
        <v>4776</v>
      </c>
      <c r="F426" s="660">
        <v>0.1</v>
      </c>
      <c r="G426" s="660">
        <v>0</v>
      </c>
      <c r="H426" s="656"/>
    </row>
    <row r="427" spans="1:8" ht="18.75" customHeight="1">
      <c r="A427" s="656"/>
      <c r="B427" s="657" t="s">
        <v>3928</v>
      </c>
      <c r="C427" s="657" t="s">
        <v>4303</v>
      </c>
      <c r="D427" s="657" t="s">
        <v>4777</v>
      </c>
      <c r="E427" s="657" t="s">
        <v>4778</v>
      </c>
      <c r="F427" s="658">
        <v>0.1</v>
      </c>
      <c r="G427" s="658">
        <v>0</v>
      </c>
      <c r="H427" s="656"/>
    </row>
    <row r="428" spans="1:8" ht="18.75" customHeight="1">
      <c r="A428" s="656"/>
      <c r="B428" s="659" t="s">
        <v>3928</v>
      </c>
      <c r="C428" s="659" t="s">
        <v>4303</v>
      </c>
      <c r="D428" s="659" t="s">
        <v>4779</v>
      </c>
      <c r="E428" s="659" t="s">
        <v>4780</v>
      </c>
      <c r="F428" s="660">
        <v>0.1</v>
      </c>
      <c r="G428" s="660">
        <v>0</v>
      </c>
      <c r="H428" s="656"/>
    </row>
    <row r="429" spans="1:8" ht="18.75" customHeight="1">
      <c r="A429" s="656"/>
      <c r="B429" s="657" t="s">
        <v>3928</v>
      </c>
      <c r="C429" s="657" t="s">
        <v>4303</v>
      </c>
      <c r="D429" s="657" t="s">
        <v>4781</v>
      </c>
      <c r="E429" s="657" t="s">
        <v>4782</v>
      </c>
      <c r="F429" s="658">
        <v>0.1</v>
      </c>
      <c r="G429" s="658">
        <v>0</v>
      </c>
      <c r="H429" s="656"/>
    </row>
    <row r="430" spans="1:8" ht="18.75" customHeight="1">
      <c r="A430" s="656"/>
      <c r="B430" s="659" t="s">
        <v>3928</v>
      </c>
      <c r="C430" s="659" t="s">
        <v>4303</v>
      </c>
      <c r="D430" s="659" t="s">
        <v>4783</v>
      </c>
      <c r="E430" s="659" t="s">
        <v>4784</v>
      </c>
      <c r="F430" s="660">
        <v>0.1</v>
      </c>
      <c r="G430" s="660">
        <v>0</v>
      </c>
      <c r="H430" s="656"/>
    </row>
    <row r="431" spans="1:8" ht="18.75" customHeight="1">
      <c r="A431" s="656"/>
      <c r="B431" s="657" t="s">
        <v>3928</v>
      </c>
      <c r="C431" s="657" t="s">
        <v>4303</v>
      </c>
      <c r="D431" s="657" t="s">
        <v>4785</v>
      </c>
      <c r="E431" s="657" t="s">
        <v>4786</v>
      </c>
      <c r="F431" s="658">
        <v>0.1</v>
      </c>
      <c r="G431" s="658">
        <v>0</v>
      </c>
      <c r="H431" s="656"/>
    </row>
    <row r="432" spans="1:8" ht="18.75" customHeight="1">
      <c r="A432" s="656"/>
      <c r="B432" s="659" t="s">
        <v>3928</v>
      </c>
      <c r="C432" s="659" t="s">
        <v>4303</v>
      </c>
      <c r="D432" s="659" t="s">
        <v>4787</v>
      </c>
      <c r="E432" s="659" t="s">
        <v>4788</v>
      </c>
      <c r="F432" s="660">
        <v>0.1</v>
      </c>
      <c r="G432" s="660">
        <v>0</v>
      </c>
      <c r="H432" s="656"/>
    </row>
    <row r="433" spans="1:8" ht="18.75" customHeight="1">
      <c r="A433" s="656"/>
      <c r="B433" s="657" t="s">
        <v>3928</v>
      </c>
      <c r="C433" s="657" t="s">
        <v>4676</v>
      </c>
      <c r="D433" s="657" t="s">
        <v>4789</v>
      </c>
      <c r="E433" s="657" t="s">
        <v>4790</v>
      </c>
      <c r="F433" s="658">
        <v>0.1</v>
      </c>
      <c r="G433" s="658">
        <v>0</v>
      </c>
      <c r="H433" s="656"/>
    </row>
    <row r="434" spans="1:8" ht="18.75" customHeight="1">
      <c r="A434" s="656"/>
      <c r="B434" s="659" t="s">
        <v>3928</v>
      </c>
      <c r="C434" s="659" t="s">
        <v>4303</v>
      </c>
      <c r="D434" s="659" t="s">
        <v>4791</v>
      </c>
      <c r="E434" s="659" t="s">
        <v>4792</v>
      </c>
      <c r="F434" s="660">
        <v>0.1</v>
      </c>
      <c r="G434" s="660">
        <v>0</v>
      </c>
      <c r="H434" s="656"/>
    </row>
    <row r="435" spans="1:8" ht="18.75" customHeight="1">
      <c r="A435" s="656"/>
      <c r="B435" s="657" t="s">
        <v>3928</v>
      </c>
      <c r="C435" s="657" t="s">
        <v>4303</v>
      </c>
      <c r="D435" s="657" t="s">
        <v>4793</v>
      </c>
      <c r="E435" s="657" t="s">
        <v>4794</v>
      </c>
      <c r="F435" s="658">
        <v>0.1</v>
      </c>
      <c r="G435" s="658">
        <v>0</v>
      </c>
      <c r="H435" s="656"/>
    </row>
    <row r="436" spans="1:8" ht="18.75" customHeight="1">
      <c r="A436" s="656"/>
      <c r="B436" s="659" t="s">
        <v>3928</v>
      </c>
      <c r="C436" s="659" t="s">
        <v>4303</v>
      </c>
      <c r="D436" s="659" t="s">
        <v>4795</v>
      </c>
      <c r="E436" s="659" t="s">
        <v>4796</v>
      </c>
      <c r="F436" s="660">
        <v>0.1</v>
      </c>
      <c r="G436" s="660">
        <v>0</v>
      </c>
      <c r="H436" s="656"/>
    </row>
    <row r="437" spans="1:8" ht="18.75" customHeight="1">
      <c r="A437" s="656"/>
      <c r="B437" s="657" t="s">
        <v>3928</v>
      </c>
      <c r="C437" s="657" t="s">
        <v>4303</v>
      </c>
      <c r="D437" s="657" t="s">
        <v>4797</v>
      </c>
      <c r="E437" s="657" t="s">
        <v>4798</v>
      </c>
      <c r="F437" s="658">
        <v>0.1</v>
      </c>
      <c r="G437" s="658">
        <v>0</v>
      </c>
      <c r="H437" s="656"/>
    </row>
    <row r="438" spans="1:8" ht="18.75" customHeight="1">
      <c r="A438" s="656"/>
      <c r="B438" s="659" t="s">
        <v>3928</v>
      </c>
      <c r="C438" s="659" t="s">
        <v>4799</v>
      </c>
      <c r="D438" s="659" t="s">
        <v>4800</v>
      </c>
      <c r="E438" s="659" t="s">
        <v>4801</v>
      </c>
      <c r="F438" s="660">
        <v>0.1</v>
      </c>
      <c r="G438" s="660">
        <v>0</v>
      </c>
      <c r="H438" s="656"/>
    </row>
    <row r="439" spans="1:8" ht="18.75" customHeight="1">
      <c r="A439" s="656"/>
      <c r="B439" s="657" t="s">
        <v>3928</v>
      </c>
      <c r="C439" s="657" t="s">
        <v>4303</v>
      </c>
      <c r="D439" s="657" t="s">
        <v>4802</v>
      </c>
      <c r="E439" s="657" t="s">
        <v>4803</v>
      </c>
      <c r="F439" s="658">
        <v>0.1</v>
      </c>
      <c r="G439" s="658">
        <v>0</v>
      </c>
      <c r="H439" s="656"/>
    </row>
    <row r="440" spans="1:8" ht="18.75" customHeight="1">
      <c r="A440" s="656"/>
      <c r="B440" s="659" t="s">
        <v>3928</v>
      </c>
      <c r="C440" s="659" t="s">
        <v>4303</v>
      </c>
      <c r="D440" s="659" t="s">
        <v>4804</v>
      </c>
      <c r="E440" s="659" t="s">
        <v>4805</v>
      </c>
      <c r="F440" s="660">
        <v>0.1</v>
      </c>
      <c r="G440" s="660">
        <v>0</v>
      </c>
      <c r="H440" s="656"/>
    </row>
    <row r="441" spans="1:8" ht="18.75" customHeight="1">
      <c r="A441" s="656"/>
      <c r="B441" s="657" t="s">
        <v>3928</v>
      </c>
      <c r="C441" s="657" t="s">
        <v>4303</v>
      </c>
      <c r="D441" s="657" t="s">
        <v>4806</v>
      </c>
      <c r="E441" s="657" t="s">
        <v>4807</v>
      </c>
      <c r="F441" s="658">
        <v>0.1</v>
      </c>
      <c r="G441" s="658">
        <v>0</v>
      </c>
      <c r="H441" s="656"/>
    </row>
    <row r="442" spans="1:8" ht="18.75" customHeight="1">
      <c r="A442" s="656"/>
      <c r="B442" s="659" t="s">
        <v>3928</v>
      </c>
      <c r="C442" s="659" t="s">
        <v>4303</v>
      </c>
      <c r="D442" s="659" t="s">
        <v>4808</v>
      </c>
      <c r="E442" s="659" t="s">
        <v>4809</v>
      </c>
      <c r="F442" s="660">
        <v>0.1</v>
      </c>
      <c r="G442" s="660">
        <v>0</v>
      </c>
      <c r="H442" s="656"/>
    </row>
    <row r="443" spans="1:8" ht="18.75" customHeight="1">
      <c r="A443" s="656"/>
      <c r="B443" s="657" t="s">
        <v>3928</v>
      </c>
      <c r="C443" s="657" t="s">
        <v>4303</v>
      </c>
      <c r="D443" s="657" t="s">
        <v>4810</v>
      </c>
      <c r="E443" s="657" t="s">
        <v>4811</v>
      </c>
      <c r="F443" s="658">
        <v>0.1</v>
      </c>
      <c r="G443" s="658">
        <v>0</v>
      </c>
      <c r="H443" s="656"/>
    </row>
    <row r="444" spans="1:8" ht="18.75" customHeight="1">
      <c r="A444" s="656"/>
      <c r="B444" s="659" t="s">
        <v>3928</v>
      </c>
      <c r="C444" s="659" t="s">
        <v>4303</v>
      </c>
      <c r="D444" s="659" t="s">
        <v>4812</v>
      </c>
      <c r="E444" s="659" t="s">
        <v>4813</v>
      </c>
      <c r="F444" s="660">
        <v>0.1</v>
      </c>
      <c r="G444" s="660">
        <v>0</v>
      </c>
      <c r="H444" s="656"/>
    </row>
    <row r="445" spans="1:8" ht="18.75" customHeight="1">
      <c r="A445" s="656"/>
      <c r="B445" s="657" t="s">
        <v>3928</v>
      </c>
      <c r="C445" s="657" t="s">
        <v>4303</v>
      </c>
      <c r="D445" s="657" t="s">
        <v>4814</v>
      </c>
      <c r="E445" s="657" t="s">
        <v>4815</v>
      </c>
      <c r="F445" s="658">
        <v>0.1</v>
      </c>
      <c r="G445" s="658">
        <v>0</v>
      </c>
      <c r="H445" s="656"/>
    </row>
    <row r="446" spans="1:8" ht="18.75" customHeight="1">
      <c r="A446" s="656"/>
      <c r="B446" s="659" t="s">
        <v>3928</v>
      </c>
      <c r="C446" s="659" t="s">
        <v>4303</v>
      </c>
      <c r="D446" s="659" t="s">
        <v>4816</v>
      </c>
      <c r="E446" s="659" t="s">
        <v>4817</v>
      </c>
      <c r="F446" s="660">
        <v>0.1</v>
      </c>
      <c r="G446" s="660">
        <v>0</v>
      </c>
      <c r="H446" s="656"/>
    </row>
    <row r="447" spans="1:8" ht="18.75" customHeight="1">
      <c r="A447" s="656"/>
      <c r="B447" s="657" t="s">
        <v>3928</v>
      </c>
      <c r="C447" s="657" t="s">
        <v>4303</v>
      </c>
      <c r="D447" s="657" t="s">
        <v>4818</v>
      </c>
      <c r="E447" s="657" t="s">
        <v>4819</v>
      </c>
      <c r="F447" s="658">
        <v>0.1</v>
      </c>
      <c r="G447" s="658">
        <v>0</v>
      </c>
      <c r="H447" s="656"/>
    </row>
    <row r="448" spans="1:8" ht="18.75" customHeight="1">
      <c r="A448" s="656"/>
      <c r="B448" s="659" t="s">
        <v>3928</v>
      </c>
      <c r="C448" s="659" t="s">
        <v>4799</v>
      </c>
      <c r="D448" s="659" t="s">
        <v>4820</v>
      </c>
      <c r="E448" s="659" t="s">
        <v>4821</v>
      </c>
      <c r="F448" s="660">
        <v>0.1</v>
      </c>
      <c r="G448" s="660">
        <v>0</v>
      </c>
      <c r="H448" s="656"/>
    </row>
    <row r="449" spans="1:8" ht="18.75" customHeight="1">
      <c r="A449" s="656"/>
      <c r="B449" s="657" t="s">
        <v>3928</v>
      </c>
      <c r="C449" s="657" t="s">
        <v>4303</v>
      </c>
      <c r="D449" s="657" t="s">
        <v>4822</v>
      </c>
      <c r="E449" s="657" t="s">
        <v>4823</v>
      </c>
      <c r="F449" s="658">
        <v>0.1</v>
      </c>
      <c r="G449" s="658">
        <v>0</v>
      </c>
      <c r="H449" s="656"/>
    </row>
    <row r="450" spans="1:8" ht="18.75" customHeight="1">
      <c r="A450" s="656"/>
      <c r="B450" s="659" t="s">
        <v>3928</v>
      </c>
      <c r="C450" s="659" t="s">
        <v>4303</v>
      </c>
      <c r="D450" s="659" t="s">
        <v>4824</v>
      </c>
      <c r="E450" s="659" t="s">
        <v>4825</v>
      </c>
      <c r="F450" s="660">
        <v>0.1</v>
      </c>
      <c r="G450" s="660">
        <v>0</v>
      </c>
      <c r="H450" s="656"/>
    </row>
    <row r="451" spans="1:8" ht="18.75" customHeight="1">
      <c r="A451" s="656"/>
      <c r="B451" s="657" t="s">
        <v>3928</v>
      </c>
      <c r="C451" s="657" t="s">
        <v>4303</v>
      </c>
      <c r="D451" s="657" t="s">
        <v>4826</v>
      </c>
      <c r="E451" s="657" t="s">
        <v>4827</v>
      </c>
      <c r="F451" s="658">
        <v>0.1</v>
      </c>
      <c r="G451" s="658">
        <v>0</v>
      </c>
      <c r="H451" s="656"/>
    </row>
    <row r="452" spans="1:8" ht="18.75" customHeight="1">
      <c r="A452" s="656"/>
      <c r="B452" s="659" t="s">
        <v>3928</v>
      </c>
      <c r="C452" s="659" t="s">
        <v>4303</v>
      </c>
      <c r="D452" s="659" t="s">
        <v>4828</v>
      </c>
      <c r="E452" s="659" t="s">
        <v>4829</v>
      </c>
      <c r="F452" s="660">
        <v>0.1</v>
      </c>
      <c r="G452" s="660">
        <v>0</v>
      </c>
      <c r="H452" s="656"/>
    </row>
    <row r="453" spans="1:8" ht="18.75" customHeight="1">
      <c r="A453" s="656"/>
      <c r="B453" s="657" t="s">
        <v>3928</v>
      </c>
      <c r="C453" s="657" t="s">
        <v>4303</v>
      </c>
      <c r="D453" s="657" t="s">
        <v>4830</v>
      </c>
      <c r="E453" s="657" t="s">
        <v>4831</v>
      </c>
      <c r="F453" s="658">
        <v>0.1</v>
      </c>
      <c r="G453" s="658">
        <v>0</v>
      </c>
      <c r="H453" s="656"/>
    </row>
    <row r="454" spans="1:8" ht="18.75" customHeight="1">
      <c r="A454" s="656"/>
      <c r="B454" s="659" t="s">
        <v>3928</v>
      </c>
      <c r="C454" s="659" t="s">
        <v>4303</v>
      </c>
      <c r="D454" s="659" t="s">
        <v>4832</v>
      </c>
      <c r="E454" s="659" t="s">
        <v>4833</v>
      </c>
      <c r="F454" s="660">
        <v>0.1</v>
      </c>
      <c r="G454" s="660">
        <v>0</v>
      </c>
      <c r="H454" s="656"/>
    </row>
    <row r="455" spans="1:8" ht="18.75" customHeight="1">
      <c r="A455" s="656"/>
      <c r="B455" s="657" t="s">
        <v>3928</v>
      </c>
      <c r="C455" s="657" t="s">
        <v>4303</v>
      </c>
      <c r="D455" s="657" t="s">
        <v>4834</v>
      </c>
      <c r="E455" s="657" t="s">
        <v>4835</v>
      </c>
      <c r="F455" s="658">
        <v>0.1</v>
      </c>
      <c r="G455" s="658">
        <v>0</v>
      </c>
      <c r="H455" s="656"/>
    </row>
    <row r="456" spans="1:8" ht="18.75" customHeight="1">
      <c r="A456" s="656"/>
      <c r="B456" s="659" t="s">
        <v>3928</v>
      </c>
      <c r="C456" s="659" t="s">
        <v>4303</v>
      </c>
      <c r="D456" s="659" t="s">
        <v>4836</v>
      </c>
      <c r="E456" s="659" t="s">
        <v>4837</v>
      </c>
      <c r="F456" s="660">
        <v>0.1</v>
      </c>
      <c r="G456" s="660">
        <v>0</v>
      </c>
      <c r="H456" s="656"/>
    </row>
    <row r="457" spans="1:8" ht="18.75" customHeight="1">
      <c r="A457" s="656"/>
      <c r="B457" s="657" t="s">
        <v>3928</v>
      </c>
      <c r="C457" s="657" t="s">
        <v>4303</v>
      </c>
      <c r="D457" s="657" t="s">
        <v>4838</v>
      </c>
      <c r="E457" s="657" t="s">
        <v>4839</v>
      </c>
      <c r="F457" s="658">
        <v>0.1</v>
      </c>
      <c r="G457" s="658">
        <v>0</v>
      </c>
      <c r="H457" s="656"/>
    </row>
    <row r="458" spans="1:8" ht="18.75" customHeight="1">
      <c r="A458" s="656"/>
      <c r="B458" s="659" t="s">
        <v>3928</v>
      </c>
      <c r="C458" s="659" t="s">
        <v>4303</v>
      </c>
      <c r="D458" s="659" t="s">
        <v>4840</v>
      </c>
      <c r="E458" s="659" t="s">
        <v>4841</v>
      </c>
      <c r="F458" s="660">
        <v>0.1</v>
      </c>
      <c r="G458" s="660">
        <v>0</v>
      </c>
      <c r="H458" s="656"/>
    </row>
    <row r="459" spans="1:8" ht="18.75" customHeight="1">
      <c r="A459" s="656"/>
      <c r="B459" s="657" t="s">
        <v>3928</v>
      </c>
      <c r="C459" s="657" t="s">
        <v>4303</v>
      </c>
      <c r="D459" s="657" t="s">
        <v>4842</v>
      </c>
      <c r="E459" s="657" t="s">
        <v>4843</v>
      </c>
      <c r="F459" s="658">
        <v>0.1</v>
      </c>
      <c r="G459" s="658">
        <v>0</v>
      </c>
      <c r="H459" s="656"/>
    </row>
    <row r="460" spans="1:8" ht="18.75" customHeight="1">
      <c r="A460" s="656"/>
      <c r="B460" s="659" t="s">
        <v>3928</v>
      </c>
      <c r="C460" s="659" t="s">
        <v>4303</v>
      </c>
      <c r="D460" s="659" t="s">
        <v>4844</v>
      </c>
      <c r="E460" s="659" t="s">
        <v>4845</v>
      </c>
      <c r="F460" s="660">
        <v>0.1</v>
      </c>
      <c r="G460" s="660">
        <v>0</v>
      </c>
      <c r="H460" s="656"/>
    </row>
    <row r="461" spans="1:8" ht="18.75" customHeight="1">
      <c r="A461" s="656"/>
      <c r="B461" s="657" t="s">
        <v>3928</v>
      </c>
      <c r="C461" s="657" t="s">
        <v>4303</v>
      </c>
      <c r="D461" s="657" t="s">
        <v>4846</v>
      </c>
      <c r="E461" s="657" t="s">
        <v>4847</v>
      </c>
      <c r="F461" s="658">
        <v>0.1</v>
      </c>
      <c r="G461" s="658">
        <v>0</v>
      </c>
      <c r="H461" s="656"/>
    </row>
    <row r="462" spans="1:8" ht="18.75" customHeight="1">
      <c r="A462" s="656"/>
      <c r="B462" s="659" t="s">
        <v>3928</v>
      </c>
      <c r="C462" s="659" t="s">
        <v>4303</v>
      </c>
      <c r="D462" s="659" t="s">
        <v>4848</v>
      </c>
      <c r="E462" s="659" t="s">
        <v>4849</v>
      </c>
      <c r="F462" s="660">
        <v>0.1</v>
      </c>
      <c r="G462" s="660">
        <v>0</v>
      </c>
      <c r="H462" s="656"/>
    </row>
    <row r="463" spans="1:8" ht="18.75" customHeight="1">
      <c r="A463" s="656"/>
      <c r="B463" s="657" t="s">
        <v>3928</v>
      </c>
      <c r="C463" s="657" t="s">
        <v>4303</v>
      </c>
      <c r="D463" s="657" t="s">
        <v>4850</v>
      </c>
      <c r="E463" s="657" t="s">
        <v>4851</v>
      </c>
      <c r="F463" s="658">
        <v>0.1</v>
      </c>
      <c r="G463" s="658">
        <v>0</v>
      </c>
      <c r="H463" s="656"/>
    </row>
    <row r="464" spans="1:8" ht="18.75" customHeight="1">
      <c r="A464" s="656"/>
      <c r="B464" s="659" t="s">
        <v>3928</v>
      </c>
      <c r="C464" s="659" t="s">
        <v>4303</v>
      </c>
      <c r="D464" s="659" t="s">
        <v>4852</v>
      </c>
      <c r="E464" s="659" t="s">
        <v>4853</v>
      </c>
      <c r="F464" s="660">
        <v>0.1</v>
      </c>
      <c r="G464" s="660">
        <v>0</v>
      </c>
      <c r="H464" s="656"/>
    </row>
    <row r="465" spans="1:8" ht="18.75" customHeight="1">
      <c r="A465" s="656"/>
      <c r="B465" s="657" t="s">
        <v>3928</v>
      </c>
      <c r="C465" s="657" t="s">
        <v>4303</v>
      </c>
      <c r="D465" s="657" t="s">
        <v>4854</v>
      </c>
      <c r="E465" s="657" t="s">
        <v>4855</v>
      </c>
      <c r="F465" s="658">
        <v>0.1</v>
      </c>
      <c r="G465" s="658">
        <v>0</v>
      </c>
      <c r="H465" s="656"/>
    </row>
    <row r="466" spans="1:8" ht="18.75" customHeight="1">
      <c r="A466" s="656"/>
      <c r="B466" s="659" t="s">
        <v>3928</v>
      </c>
      <c r="C466" s="659" t="s">
        <v>4303</v>
      </c>
      <c r="D466" s="659" t="s">
        <v>4856</v>
      </c>
      <c r="E466" s="659" t="s">
        <v>4857</v>
      </c>
      <c r="F466" s="660">
        <v>0.1</v>
      </c>
      <c r="G466" s="660">
        <v>0</v>
      </c>
      <c r="H466" s="656"/>
    </row>
    <row r="467" spans="1:8" ht="18.75" customHeight="1">
      <c r="A467" s="656"/>
      <c r="B467" s="657" t="s">
        <v>3928</v>
      </c>
      <c r="C467" s="657" t="s">
        <v>4303</v>
      </c>
      <c r="D467" s="657" t="s">
        <v>4858</v>
      </c>
      <c r="E467" s="657" t="s">
        <v>4859</v>
      </c>
      <c r="F467" s="658">
        <v>0.1</v>
      </c>
      <c r="G467" s="658">
        <v>0</v>
      </c>
      <c r="H467" s="656"/>
    </row>
    <row r="468" spans="1:8" ht="18.75" customHeight="1">
      <c r="A468" s="656"/>
      <c r="B468" s="659" t="s">
        <v>3928</v>
      </c>
      <c r="C468" s="659" t="s">
        <v>4303</v>
      </c>
      <c r="D468" s="659" t="s">
        <v>4860</v>
      </c>
      <c r="E468" s="659" t="s">
        <v>4861</v>
      </c>
      <c r="F468" s="660">
        <v>0.1</v>
      </c>
      <c r="G468" s="660">
        <v>0</v>
      </c>
      <c r="H468" s="656"/>
    </row>
    <row r="469" spans="1:8" ht="18.75" customHeight="1">
      <c r="A469" s="656"/>
      <c r="B469" s="657" t="s">
        <v>3928</v>
      </c>
      <c r="C469" s="657" t="s">
        <v>4303</v>
      </c>
      <c r="D469" s="657" t="s">
        <v>4862</v>
      </c>
      <c r="E469" s="657" t="s">
        <v>4863</v>
      </c>
      <c r="F469" s="658">
        <v>0.1</v>
      </c>
      <c r="G469" s="658">
        <v>0</v>
      </c>
      <c r="H469" s="656"/>
    </row>
    <row r="470" spans="1:8" ht="18.75" customHeight="1">
      <c r="A470" s="656"/>
      <c r="B470" s="659" t="s">
        <v>3928</v>
      </c>
      <c r="C470" s="659" t="s">
        <v>4303</v>
      </c>
      <c r="D470" s="659" t="s">
        <v>4864</v>
      </c>
      <c r="E470" s="659" t="s">
        <v>4865</v>
      </c>
      <c r="F470" s="660">
        <v>0.1</v>
      </c>
      <c r="G470" s="660">
        <v>0</v>
      </c>
      <c r="H470" s="656"/>
    </row>
    <row r="471" spans="1:8" ht="18.75" customHeight="1">
      <c r="A471" s="656"/>
      <c r="B471" s="657" t="s">
        <v>3928</v>
      </c>
      <c r="C471" s="657" t="s">
        <v>4303</v>
      </c>
      <c r="D471" s="657" t="s">
        <v>4866</v>
      </c>
      <c r="E471" s="657" t="s">
        <v>4867</v>
      </c>
      <c r="F471" s="658">
        <v>0.1</v>
      </c>
      <c r="G471" s="658">
        <v>0</v>
      </c>
      <c r="H471" s="656"/>
    </row>
    <row r="472" spans="1:8" ht="18.75" customHeight="1">
      <c r="A472" s="656"/>
      <c r="B472" s="659" t="s">
        <v>3928</v>
      </c>
      <c r="C472" s="659" t="s">
        <v>4303</v>
      </c>
      <c r="D472" s="659" t="s">
        <v>4868</v>
      </c>
      <c r="E472" s="659" t="s">
        <v>4869</v>
      </c>
      <c r="F472" s="660">
        <v>0.1</v>
      </c>
      <c r="G472" s="660">
        <v>0</v>
      </c>
      <c r="H472" s="656"/>
    </row>
    <row r="473" spans="1:8" ht="18.75" customHeight="1">
      <c r="A473" s="656"/>
      <c r="B473" s="657" t="s">
        <v>3928</v>
      </c>
      <c r="C473" s="657" t="s">
        <v>4303</v>
      </c>
      <c r="D473" s="657" t="s">
        <v>4870</v>
      </c>
      <c r="E473" s="657" t="s">
        <v>4871</v>
      </c>
      <c r="F473" s="658">
        <v>0.1</v>
      </c>
      <c r="G473" s="658">
        <v>0</v>
      </c>
      <c r="H473" s="656"/>
    </row>
    <row r="474" spans="1:8" ht="18.75" customHeight="1">
      <c r="A474" s="656"/>
      <c r="B474" s="659" t="s">
        <v>3928</v>
      </c>
      <c r="C474" s="659" t="s">
        <v>4303</v>
      </c>
      <c r="D474" s="659" t="s">
        <v>4872</v>
      </c>
      <c r="E474" s="659" t="s">
        <v>4873</v>
      </c>
      <c r="F474" s="660">
        <v>0.1</v>
      </c>
      <c r="G474" s="660">
        <v>0</v>
      </c>
      <c r="H474" s="656"/>
    </row>
    <row r="475" spans="1:8" ht="18.75" customHeight="1">
      <c r="A475" s="656"/>
      <c r="B475" s="657" t="s">
        <v>3928</v>
      </c>
      <c r="C475" s="657" t="s">
        <v>4303</v>
      </c>
      <c r="D475" s="657" t="s">
        <v>4874</v>
      </c>
      <c r="E475" s="657" t="s">
        <v>4875</v>
      </c>
      <c r="F475" s="658">
        <v>0.1</v>
      </c>
      <c r="G475" s="658">
        <v>0</v>
      </c>
      <c r="H475" s="656"/>
    </row>
    <row r="476" spans="1:8" ht="18.75" customHeight="1">
      <c r="A476" s="656"/>
      <c r="B476" s="659" t="s">
        <v>3928</v>
      </c>
      <c r="C476" s="659" t="s">
        <v>4303</v>
      </c>
      <c r="D476" s="659" t="s">
        <v>4876</v>
      </c>
      <c r="E476" s="659" t="s">
        <v>4877</v>
      </c>
      <c r="F476" s="660">
        <v>0.1</v>
      </c>
      <c r="G476" s="660">
        <v>0</v>
      </c>
      <c r="H476" s="656"/>
    </row>
    <row r="477" spans="1:8" ht="18.75" customHeight="1">
      <c r="A477" s="656"/>
      <c r="B477" s="657" t="s">
        <v>3928</v>
      </c>
      <c r="C477" s="657" t="s">
        <v>4303</v>
      </c>
      <c r="D477" s="657" t="s">
        <v>4878</v>
      </c>
      <c r="E477" s="657" t="s">
        <v>4879</v>
      </c>
      <c r="F477" s="658">
        <v>0.1</v>
      </c>
      <c r="G477" s="658">
        <v>0</v>
      </c>
      <c r="H477" s="656"/>
    </row>
    <row r="478" spans="1:8" ht="18.75" customHeight="1">
      <c r="A478" s="656"/>
      <c r="B478" s="659" t="s">
        <v>3928</v>
      </c>
      <c r="C478" s="659" t="s">
        <v>4303</v>
      </c>
      <c r="D478" s="659" t="s">
        <v>4880</v>
      </c>
      <c r="E478" s="659" t="s">
        <v>4881</v>
      </c>
      <c r="F478" s="660">
        <v>0.1</v>
      </c>
      <c r="G478" s="660">
        <v>0</v>
      </c>
      <c r="H478" s="656"/>
    </row>
    <row r="479" spans="1:8" ht="18.75" customHeight="1">
      <c r="A479" s="656"/>
      <c r="B479" s="657" t="s">
        <v>3928</v>
      </c>
      <c r="C479" s="657" t="s">
        <v>4303</v>
      </c>
      <c r="D479" s="657" t="s">
        <v>4882</v>
      </c>
      <c r="E479" s="657" t="s">
        <v>4883</v>
      </c>
      <c r="F479" s="658">
        <v>0.1</v>
      </c>
      <c r="G479" s="658">
        <v>0</v>
      </c>
      <c r="H479" s="656"/>
    </row>
    <row r="480" spans="1:8" ht="18.75" customHeight="1">
      <c r="A480" s="656"/>
      <c r="B480" s="659" t="s">
        <v>3928</v>
      </c>
      <c r="C480" s="659" t="s">
        <v>4303</v>
      </c>
      <c r="D480" s="659" t="s">
        <v>4884</v>
      </c>
      <c r="E480" s="659" t="s">
        <v>4885</v>
      </c>
      <c r="F480" s="660">
        <v>0.1</v>
      </c>
      <c r="G480" s="660">
        <v>0</v>
      </c>
      <c r="H480" s="656"/>
    </row>
    <row r="481" spans="1:8" ht="18.75" customHeight="1">
      <c r="A481" s="656"/>
      <c r="B481" s="657" t="s">
        <v>3928</v>
      </c>
      <c r="C481" s="657" t="s">
        <v>4303</v>
      </c>
      <c r="D481" s="657" t="s">
        <v>4886</v>
      </c>
      <c r="E481" s="657" t="s">
        <v>4887</v>
      </c>
      <c r="F481" s="658">
        <v>0.1</v>
      </c>
      <c r="G481" s="658">
        <v>0</v>
      </c>
      <c r="H481" s="656"/>
    </row>
    <row r="482" spans="1:8" ht="18.75" customHeight="1">
      <c r="A482" s="656"/>
      <c r="B482" s="659" t="s">
        <v>3928</v>
      </c>
      <c r="C482" s="659" t="s">
        <v>4303</v>
      </c>
      <c r="D482" s="659" t="s">
        <v>4888</v>
      </c>
      <c r="E482" s="659" t="s">
        <v>4889</v>
      </c>
      <c r="F482" s="660">
        <v>0.1</v>
      </c>
      <c r="G482" s="660">
        <v>0</v>
      </c>
      <c r="H482" s="656"/>
    </row>
    <row r="483" spans="1:8" ht="18.75" customHeight="1">
      <c r="A483" s="656"/>
      <c r="B483" s="657" t="s">
        <v>3928</v>
      </c>
      <c r="C483" s="657" t="s">
        <v>4303</v>
      </c>
      <c r="D483" s="657" t="s">
        <v>4890</v>
      </c>
      <c r="E483" s="657" t="s">
        <v>4891</v>
      </c>
      <c r="F483" s="658">
        <v>0.1</v>
      </c>
      <c r="G483" s="658">
        <v>0</v>
      </c>
      <c r="H483" s="656"/>
    </row>
    <row r="484" spans="1:8" ht="18.75" customHeight="1">
      <c r="A484" s="656"/>
      <c r="B484" s="659" t="s">
        <v>3928</v>
      </c>
      <c r="C484" s="659" t="s">
        <v>4303</v>
      </c>
      <c r="D484" s="659" t="s">
        <v>4892</v>
      </c>
      <c r="E484" s="659" t="s">
        <v>4893</v>
      </c>
      <c r="F484" s="660">
        <v>0.1</v>
      </c>
      <c r="G484" s="660">
        <v>0</v>
      </c>
      <c r="H484" s="656"/>
    </row>
    <row r="485" spans="1:8" ht="18.75" customHeight="1">
      <c r="A485" s="656"/>
      <c r="B485" s="657" t="s">
        <v>3928</v>
      </c>
      <c r="C485" s="657" t="s">
        <v>4303</v>
      </c>
      <c r="D485" s="657" t="s">
        <v>4894</v>
      </c>
      <c r="E485" s="657" t="s">
        <v>4895</v>
      </c>
      <c r="F485" s="658">
        <v>0.1</v>
      </c>
      <c r="G485" s="658">
        <v>0</v>
      </c>
      <c r="H485" s="656"/>
    </row>
    <row r="486" spans="1:8" ht="18.75" customHeight="1">
      <c r="A486" s="656"/>
      <c r="B486" s="659" t="s">
        <v>3928</v>
      </c>
      <c r="C486" s="659" t="s">
        <v>4303</v>
      </c>
      <c r="D486" s="659" t="s">
        <v>4896</v>
      </c>
      <c r="E486" s="659" t="s">
        <v>4897</v>
      </c>
      <c r="F486" s="660">
        <v>0.1</v>
      </c>
      <c r="G486" s="660">
        <v>0</v>
      </c>
      <c r="H486" s="656"/>
    </row>
    <row r="487" spans="1:8" ht="18.75" customHeight="1">
      <c r="A487" s="656"/>
      <c r="B487" s="657" t="s">
        <v>3928</v>
      </c>
      <c r="C487" s="657" t="s">
        <v>4303</v>
      </c>
      <c r="D487" s="657" t="s">
        <v>4898</v>
      </c>
      <c r="E487" s="657" t="s">
        <v>4899</v>
      </c>
      <c r="F487" s="658">
        <v>0.1</v>
      </c>
      <c r="G487" s="658">
        <v>0</v>
      </c>
      <c r="H487" s="656"/>
    </row>
    <row r="488" spans="1:8" ht="18.75" customHeight="1">
      <c r="A488" s="656"/>
      <c r="B488" s="659" t="s">
        <v>3928</v>
      </c>
      <c r="C488" s="659" t="s">
        <v>4303</v>
      </c>
      <c r="D488" s="659" t="s">
        <v>4900</v>
      </c>
      <c r="E488" s="659" t="s">
        <v>4901</v>
      </c>
      <c r="F488" s="660">
        <v>0.1</v>
      </c>
      <c r="G488" s="660">
        <v>0</v>
      </c>
      <c r="H488" s="656"/>
    </row>
    <row r="489" spans="1:8" ht="18.75" customHeight="1">
      <c r="A489" s="656"/>
      <c r="B489" s="657" t="s">
        <v>3928</v>
      </c>
      <c r="C489" s="657" t="s">
        <v>4303</v>
      </c>
      <c r="D489" s="657" t="s">
        <v>4902</v>
      </c>
      <c r="E489" s="657" t="s">
        <v>4903</v>
      </c>
      <c r="F489" s="658">
        <v>0.1</v>
      </c>
      <c r="G489" s="658">
        <v>0</v>
      </c>
      <c r="H489" s="656"/>
    </row>
    <row r="490" spans="1:8" ht="18.75" customHeight="1">
      <c r="A490" s="656"/>
      <c r="B490" s="659" t="s">
        <v>3928</v>
      </c>
      <c r="C490" s="659" t="s">
        <v>4303</v>
      </c>
      <c r="D490" s="659" t="s">
        <v>4904</v>
      </c>
      <c r="E490" s="659" t="s">
        <v>4905</v>
      </c>
      <c r="F490" s="660">
        <v>0.1</v>
      </c>
      <c r="G490" s="660">
        <v>0</v>
      </c>
      <c r="H490" s="656"/>
    </row>
    <row r="491" spans="1:8" ht="18.75" customHeight="1">
      <c r="A491" s="656"/>
      <c r="B491" s="657" t="s">
        <v>3928</v>
      </c>
      <c r="C491" s="657" t="s">
        <v>4303</v>
      </c>
      <c r="D491" s="657" t="s">
        <v>4906</v>
      </c>
      <c r="E491" s="657" t="s">
        <v>4907</v>
      </c>
      <c r="F491" s="658">
        <v>0.1</v>
      </c>
      <c r="G491" s="658">
        <v>0</v>
      </c>
      <c r="H491" s="656"/>
    </row>
    <row r="492" spans="1:8" ht="18.75" customHeight="1">
      <c r="A492" s="656"/>
      <c r="B492" s="659" t="s">
        <v>3928</v>
      </c>
      <c r="C492" s="659" t="s">
        <v>4303</v>
      </c>
      <c r="D492" s="659" t="s">
        <v>4908</v>
      </c>
      <c r="E492" s="659" t="s">
        <v>4909</v>
      </c>
      <c r="F492" s="660">
        <v>0.1</v>
      </c>
      <c r="G492" s="660">
        <v>0</v>
      </c>
      <c r="H492" s="656"/>
    </row>
    <row r="493" spans="1:8" ht="18.75" customHeight="1">
      <c r="A493" s="656"/>
      <c r="B493" s="657" t="s">
        <v>3928</v>
      </c>
      <c r="C493" s="657" t="s">
        <v>4303</v>
      </c>
      <c r="D493" s="657" t="s">
        <v>4910</v>
      </c>
      <c r="E493" s="657" t="s">
        <v>4911</v>
      </c>
      <c r="F493" s="658">
        <v>0.1</v>
      </c>
      <c r="G493" s="658">
        <v>0</v>
      </c>
      <c r="H493" s="656"/>
    </row>
    <row r="494" spans="1:8" ht="18.75" customHeight="1">
      <c r="A494" s="656"/>
      <c r="B494" s="659" t="s">
        <v>3928</v>
      </c>
      <c r="C494" s="659" t="s">
        <v>4303</v>
      </c>
      <c r="D494" s="659" t="s">
        <v>4912</v>
      </c>
      <c r="E494" s="659" t="s">
        <v>4913</v>
      </c>
      <c r="F494" s="660">
        <v>0.1</v>
      </c>
      <c r="G494" s="660">
        <v>0</v>
      </c>
      <c r="H494" s="656"/>
    </row>
    <row r="495" spans="1:8" ht="18.75" customHeight="1">
      <c r="A495" s="656"/>
      <c r="B495" s="657" t="s">
        <v>3928</v>
      </c>
      <c r="C495" s="657" t="s">
        <v>4303</v>
      </c>
      <c r="D495" s="657" t="s">
        <v>4914</v>
      </c>
      <c r="E495" s="657" t="s">
        <v>4915</v>
      </c>
      <c r="F495" s="658">
        <v>0.1</v>
      </c>
      <c r="G495" s="658">
        <v>0</v>
      </c>
      <c r="H495" s="656"/>
    </row>
    <row r="496" spans="1:8" ht="18.75" customHeight="1">
      <c r="A496" s="656"/>
      <c r="B496" s="659" t="s">
        <v>3928</v>
      </c>
      <c r="C496" s="659" t="s">
        <v>4303</v>
      </c>
      <c r="D496" s="659" t="s">
        <v>4916</v>
      </c>
      <c r="E496" s="659" t="s">
        <v>4917</v>
      </c>
      <c r="F496" s="660">
        <v>0.1</v>
      </c>
      <c r="G496" s="660">
        <v>0</v>
      </c>
      <c r="H496" s="656"/>
    </row>
    <row r="497" spans="1:8" ht="18.75" customHeight="1">
      <c r="A497" s="656"/>
      <c r="B497" s="657" t="s">
        <v>3928</v>
      </c>
      <c r="C497" s="657" t="s">
        <v>4303</v>
      </c>
      <c r="D497" s="657" t="s">
        <v>4918</v>
      </c>
      <c r="E497" s="657" t="s">
        <v>4919</v>
      </c>
      <c r="F497" s="658">
        <v>0.1</v>
      </c>
      <c r="G497" s="658">
        <v>0</v>
      </c>
      <c r="H497" s="656"/>
    </row>
    <row r="498" spans="1:8" ht="18.75" customHeight="1">
      <c r="A498" s="656"/>
      <c r="B498" s="659" t="s">
        <v>3928</v>
      </c>
      <c r="C498" s="659" t="s">
        <v>4303</v>
      </c>
      <c r="D498" s="659" t="s">
        <v>4920</v>
      </c>
      <c r="E498" s="659" t="s">
        <v>4921</v>
      </c>
      <c r="F498" s="660">
        <v>0.1</v>
      </c>
      <c r="G498" s="660">
        <v>0</v>
      </c>
      <c r="H498" s="656"/>
    </row>
    <row r="499" spans="1:8" ht="18.75" customHeight="1">
      <c r="A499" s="656"/>
      <c r="B499" s="657" t="s">
        <v>3928</v>
      </c>
      <c r="C499" s="657" t="s">
        <v>4303</v>
      </c>
      <c r="D499" s="657" t="s">
        <v>4922</v>
      </c>
      <c r="E499" s="657" t="s">
        <v>4923</v>
      </c>
      <c r="F499" s="658">
        <v>0.1</v>
      </c>
      <c r="G499" s="658">
        <v>0</v>
      </c>
      <c r="H499" s="656"/>
    </row>
    <row r="500" spans="1:8" ht="18.75" customHeight="1">
      <c r="A500" s="656"/>
      <c r="B500" s="659" t="s">
        <v>3928</v>
      </c>
      <c r="C500" s="659" t="s">
        <v>4799</v>
      </c>
      <c r="D500" s="659" t="s">
        <v>4924</v>
      </c>
      <c r="E500" s="659" t="s">
        <v>4925</v>
      </c>
      <c r="F500" s="660">
        <v>0.1</v>
      </c>
      <c r="G500" s="660">
        <v>0</v>
      </c>
      <c r="H500" s="656"/>
    </row>
    <row r="501" spans="1:8" ht="18.75" customHeight="1">
      <c r="A501" s="656"/>
      <c r="B501" s="657" t="s">
        <v>3928</v>
      </c>
      <c r="C501" s="657" t="s">
        <v>4303</v>
      </c>
      <c r="D501" s="657" t="s">
        <v>4926</v>
      </c>
      <c r="E501" s="657" t="s">
        <v>4927</v>
      </c>
      <c r="F501" s="658">
        <v>0.1</v>
      </c>
      <c r="G501" s="658">
        <v>0</v>
      </c>
      <c r="H501" s="656"/>
    </row>
    <row r="502" spans="1:8" ht="18.75" customHeight="1">
      <c r="A502" s="656"/>
      <c r="B502" s="659" t="s">
        <v>3928</v>
      </c>
      <c r="C502" s="659" t="s">
        <v>4303</v>
      </c>
      <c r="D502" s="659" t="s">
        <v>4928</v>
      </c>
      <c r="E502" s="659" t="s">
        <v>4929</v>
      </c>
      <c r="F502" s="660">
        <v>0.1</v>
      </c>
      <c r="G502" s="660">
        <v>0</v>
      </c>
      <c r="H502" s="656"/>
    </row>
    <row r="503" spans="1:8" ht="18.75" customHeight="1">
      <c r="A503" s="656"/>
      <c r="B503" s="657" t="s">
        <v>3928</v>
      </c>
      <c r="C503" s="657" t="s">
        <v>4303</v>
      </c>
      <c r="D503" s="657" t="s">
        <v>4930</v>
      </c>
      <c r="E503" s="657" t="s">
        <v>4931</v>
      </c>
      <c r="F503" s="658">
        <v>0.1</v>
      </c>
      <c r="G503" s="658">
        <v>0</v>
      </c>
      <c r="H503" s="656"/>
    </row>
    <row r="504" spans="1:8" ht="18.75" customHeight="1">
      <c r="A504" s="656"/>
      <c r="B504" s="659" t="s">
        <v>3928</v>
      </c>
      <c r="C504" s="659" t="s">
        <v>4303</v>
      </c>
      <c r="D504" s="659" t="s">
        <v>4932</v>
      </c>
      <c r="E504" s="659" t="s">
        <v>4933</v>
      </c>
      <c r="F504" s="660">
        <v>0.1</v>
      </c>
      <c r="G504" s="660">
        <v>0</v>
      </c>
      <c r="H504" s="656"/>
    </row>
    <row r="505" spans="1:8" ht="18.75" customHeight="1">
      <c r="A505" s="656"/>
      <c r="B505" s="657" t="s">
        <v>3928</v>
      </c>
      <c r="C505" s="657" t="s">
        <v>4303</v>
      </c>
      <c r="D505" s="657" t="s">
        <v>4934</v>
      </c>
      <c r="E505" s="657" t="s">
        <v>4935</v>
      </c>
      <c r="F505" s="658">
        <v>0.1</v>
      </c>
      <c r="G505" s="658">
        <v>0</v>
      </c>
      <c r="H505" s="656"/>
    </row>
    <row r="506" spans="1:8" ht="18.75" customHeight="1">
      <c r="A506" s="656"/>
      <c r="B506" s="659" t="s">
        <v>3928</v>
      </c>
      <c r="C506" s="659" t="s">
        <v>4303</v>
      </c>
      <c r="D506" s="659" t="s">
        <v>4936</v>
      </c>
      <c r="E506" s="659" t="s">
        <v>4937</v>
      </c>
      <c r="F506" s="660">
        <v>0.1</v>
      </c>
      <c r="G506" s="660">
        <v>0</v>
      </c>
      <c r="H506" s="656"/>
    </row>
    <row r="507" spans="1:8" ht="18.75" customHeight="1">
      <c r="A507" s="656"/>
      <c r="B507" s="657" t="s">
        <v>3928</v>
      </c>
      <c r="C507" s="657" t="s">
        <v>4303</v>
      </c>
      <c r="D507" s="657" t="s">
        <v>4938</v>
      </c>
      <c r="E507" s="657" t="s">
        <v>4939</v>
      </c>
      <c r="F507" s="658">
        <v>0.1</v>
      </c>
      <c r="G507" s="658">
        <v>0</v>
      </c>
      <c r="H507" s="656"/>
    </row>
    <row r="508" spans="1:8" ht="18.75" customHeight="1">
      <c r="A508" s="656"/>
      <c r="B508" s="659" t="s">
        <v>3928</v>
      </c>
      <c r="C508" s="659" t="s">
        <v>4303</v>
      </c>
      <c r="D508" s="659" t="s">
        <v>4940</v>
      </c>
      <c r="E508" s="659" t="s">
        <v>4941</v>
      </c>
      <c r="F508" s="660">
        <v>0.1</v>
      </c>
      <c r="G508" s="660">
        <v>0</v>
      </c>
      <c r="H508" s="656"/>
    </row>
    <row r="509" spans="1:8" ht="18.75" customHeight="1">
      <c r="A509" s="656"/>
      <c r="B509" s="657" t="s">
        <v>3928</v>
      </c>
      <c r="C509" s="657" t="s">
        <v>4303</v>
      </c>
      <c r="D509" s="657" t="s">
        <v>4942</v>
      </c>
      <c r="E509" s="657" t="s">
        <v>4943</v>
      </c>
      <c r="F509" s="658">
        <v>0.1</v>
      </c>
      <c r="G509" s="658">
        <v>0</v>
      </c>
      <c r="H509" s="656"/>
    </row>
    <row r="510" spans="1:8" ht="18.75" customHeight="1">
      <c r="A510" s="656"/>
      <c r="B510" s="659" t="s">
        <v>3928</v>
      </c>
      <c r="C510" s="659" t="s">
        <v>4303</v>
      </c>
      <c r="D510" s="659" t="s">
        <v>4944</v>
      </c>
      <c r="E510" s="659" t="s">
        <v>4945</v>
      </c>
      <c r="F510" s="660">
        <v>0.1</v>
      </c>
      <c r="G510" s="660">
        <v>0</v>
      </c>
      <c r="H510" s="656"/>
    </row>
    <row r="511" spans="1:8" ht="18.75" customHeight="1">
      <c r="A511" s="656"/>
      <c r="B511" s="657" t="s">
        <v>3928</v>
      </c>
      <c r="C511" s="657" t="s">
        <v>4303</v>
      </c>
      <c r="D511" s="657" t="s">
        <v>4946</v>
      </c>
      <c r="E511" s="657" t="s">
        <v>4947</v>
      </c>
      <c r="F511" s="658">
        <v>0.1</v>
      </c>
      <c r="G511" s="658">
        <v>0</v>
      </c>
      <c r="H511" s="656"/>
    </row>
    <row r="512" spans="1:8" ht="18.75" customHeight="1">
      <c r="A512" s="656"/>
      <c r="B512" s="659" t="s">
        <v>3928</v>
      </c>
      <c r="C512" s="659" t="s">
        <v>4303</v>
      </c>
      <c r="D512" s="659" t="s">
        <v>4948</v>
      </c>
      <c r="E512" s="659" t="s">
        <v>4949</v>
      </c>
      <c r="F512" s="660">
        <v>0.1</v>
      </c>
      <c r="G512" s="660">
        <v>0</v>
      </c>
      <c r="H512" s="656"/>
    </row>
    <row r="513" spans="1:8" ht="18.75" customHeight="1">
      <c r="A513" s="656"/>
      <c r="B513" s="657" t="s">
        <v>3928</v>
      </c>
      <c r="C513" s="657" t="s">
        <v>4303</v>
      </c>
      <c r="D513" s="657" t="s">
        <v>4950</v>
      </c>
      <c r="E513" s="657" t="s">
        <v>4951</v>
      </c>
      <c r="F513" s="658">
        <v>0.1</v>
      </c>
      <c r="G513" s="658">
        <v>0</v>
      </c>
      <c r="H513" s="656"/>
    </row>
    <row r="514" spans="1:8" ht="18.75" customHeight="1">
      <c r="A514" s="656"/>
      <c r="B514" s="659" t="s">
        <v>3928</v>
      </c>
      <c r="C514" s="659" t="s">
        <v>4303</v>
      </c>
      <c r="D514" s="659" t="s">
        <v>4952</v>
      </c>
      <c r="E514" s="659" t="s">
        <v>4953</v>
      </c>
      <c r="F514" s="660">
        <v>0.1</v>
      </c>
      <c r="G514" s="660">
        <v>0</v>
      </c>
      <c r="H514" s="656"/>
    </row>
    <row r="515" spans="1:8" ht="18.75" customHeight="1">
      <c r="A515" s="656"/>
      <c r="B515" s="657" t="s">
        <v>3928</v>
      </c>
      <c r="C515" s="657" t="s">
        <v>4303</v>
      </c>
      <c r="D515" s="657" t="s">
        <v>4954</v>
      </c>
      <c r="E515" s="657" t="s">
        <v>4955</v>
      </c>
      <c r="F515" s="658">
        <v>0.1</v>
      </c>
      <c r="G515" s="658">
        <v>0</v>
      </c>
      <c r="H515" s="656"/>
    </row>
    <row r="516" spans="1:8" ht="18.75" customHeight="1">
      <c r="A516" s="656"/>
      <c r="B516" s="659" t="s">
        <v>3928</v>
      </c>
      <c r="C516" s="659" t="s">
        <v>4303</v>
      </c>
      <c r="D516" s="659" t="s">
        <v>4956</v>
      </c>
      <c r="E516" s="659" t="s">
        <v>4957</v>
      </c>
      <c r="F516" s="660">
        <v>0.1</v>
      </c>
      <c r="G516" s="660">
        <v>0</v>
      </c>
      <c r="H516" s="656"/>
    </row>
    <row r="517" spans="1:8" ht="18.75" customHeight="1">
      <c r="A517" s="656"/>
      <c r="B517" s="657" t="s">
        <v>3928</v>
      </c>
      <c r="C517" s="657" t="s">
        <v>4303</v>
      </c>
      <c r="D517" s="657" t="s">
        <v>4958</v>
      </c>
      <c r="E517" s="657" t="s">
        <v>4959</v>
      </c>
      <c r="F517" s="658">
        <v>0.1</v>
      </c>
      <c r="G517" s="658">
        <v>0</v>
      </c>
      <c r="H517" s="656"/>
    </row>
    <row r="518" spans="1:8" ht="18.75" customHeight="1">
      <c r="A518" s="656"/>
      <c r="B518" s="659" t="s">
        <v>3928</v>
      </c>
      <c r="C518" s="659" t="s">
        <v>4303</v>
      </c>
      <c r="D518" s="659" t="s">
        <v>4960</v>
      </c>
      <c r="E518" s="659" t="s">
        <v>4961</v>
      </c>
      <c r="F518" s="660">
        <v>0.1</v>
      </c>
      <c r="G518" s="660">
        <v>0</v>
      </c>
      <c r="H518" s="656"/>
    </row>
    <row r="519" spans="1:8" ht="18.75" customHeight="1">
      <c r="A519" s="656"/>
      <c r="B519" s="657" t="s">
        <v>3928</v>
      </c>
      <c r="C519" s="657" t="s">
        <v>4303</v>
      </c>
      <c r="D519" s="657" t="s">
        <v>4962</v>
      </c>
      <c r="E519" s="657" t="s">
        <v>4963</v>
      </c>
      <c r="F519" s="658">
        <v>0.1</v>
      </c>
      <c r="G519" s="658">
        <v>0</v>
      </c>
      <c r="H519" s="656"/>
    </row>
    <row r="520" spans="1:8" ht="18.75" customHeight="1">
      <c r="A520" s="656"/>
      <c r="B520" s="659" t="s">
        <v>3928</v>
      </c>
      <c r="C520" s="659" t="s">
        <v>4303</v>
      </c>
      <c r="D520" s="659" t="s">
        <v>4964</v>
      </c>
      <c r="E520" s="659" t="s">
        <v>4965</v>
      </c>
      <c r="F520" s="660">
        <v>0.1</v>
      </c>
      <c r="G520" s="660">
        <v>0</v>
      </c>
      <c r="H520" s="656"/>
    </row>
    <row r="521" spans="1:8" ht="18.75" customHeight="1">
      <c r="A521" s="656"/>
      <c r="B521" s="657" t="s">
        <v>3928</v>
      </c>
      <c r="C521" s="657" t="s">
        <v>4303</v>
      </c>
      <c r="D521" s="657" t="s">
        <v>4966</v>
      </c>
      <c r="E521" s="657" t="s">
        <v>4967</v>
      </c>
      <c r="F521" s="658">
        <v>0.1</v>
      </c>
      <c r="G521" s="658">
        <v>0</v>
      </c>
      <c r="H521" s="656"/>
    </row>
    <row r="522" spans="1:8" ht="18.75" customHeight="1">
      <c r="A522" s="656"/>
      <c r="B522" s="659" t="s">
        <v>3928</v>
      </c>
      <c r="C522" s="659" t="s">
        <v>4303</v>
      </c>
      <c r="D522" s="659" t="s">
        <v>4968</v>
      </c>
      <c r="E522" s="659" t="s">
        <v>4969</v>
      </c>
      <c r="F522" s="660">
        <v>0.1</v>
      </c>
      <c r="G522" s="660">
        <v>0</v>
      </c>
      <c r="H522" s="656"/>
    </row>
    <row r="523" spans="1:8" ht="18.75" customHeight="1">
      <c r="A523" s="656"/>
      <c r="B523" s="657" t="s">
        <v>3928</v>
      </c>
      <c r="C523" s="657" t="s">
        <v>4303</v>
      </c>
      <c r="D523" s="657" t="s">
        <v>4970</v>
      </c>
      <c r="E523" s="657" t="s">
        <v>4971</v>
      </c>
      <c r="F523" s="658">
        <v>0.1</v>
      </c>
      <c r="G523" s="658">
        <v>0</v>
      </c>
      <c r="H523" s="656"/>
    </row>
    <row r="524" spans="1:8" ht="18.75" customHeight="1">
      <c r="A524" s="656"/>
      <c r="B524" s="659" t="s">
        <v>3928</v>
      </c>
      <c r="C524" s="659" t="s">
        <v>4303</v>
      </c>
      <c r="D524" s="659" t="s">
        <v>4972</v>
      </c>
      <c r="E524" s="659" t="s">
        <v>4973</v>
      </c>
      <c r="F524" s="660">
        <v>0.1</v>
      </c>
      <c r="G524" s="660">
        <v>0</v>
      </c>
      <c r="H524" s="656"/>
    </row>
    <row r="525" spans="1:8" ht="18.75" customHeight="1">
      <c r="A525" s="656"/>
      <c r="B525" s="657" t="s">
        <v>3928</v>
      </c>
      <c r="C525" s="657" t="s">
        <v>4303</v>
      </c>
      <c r="D525" s="657" t="s">
        <v>4974</v>
      </c>
      <c r="E525" s="657" t="s">
        <v>4975</v>
      </c>
      <c r="F525" s="658">
        <v>0.1</v>
      </c>
      <c r="G525" s="658">
        <v>0</v>
      </c>
      <c r="H525" s="656"/>
    </row>
    <row r="526" spans="1:8" ht="18.75" customHeight="1">
      <c r="A526" s="656"/>
      <c r="B526" s="659" t="s">
        <v>3928</v>
      </c>
      <c r="C526" s="659" t="s">
        <v>4303</v>
      </c>
      <c r="D526" s="659" t="s">
        <v>4976</v>
      </c>
      <c r="E526" s="659" t="s">
        <v>4977</v>
      </c>
      <c r="F526" s="660">
        <v>0.1</v>
      </c>
      <c r="G526" s="660">
        <v>0</v>
      </c>
      <c r="H526" s="656"/>
    </row>
    <row r="527" spans="1:8" ht="18.75" customHeight="1">
      <c r="A527" s="656"/>
      <c r="B527" s="657" t="s">
        <v>3928</v>
      </c>
      <c r="C527" s="657" t="s">
        <v>4303</v>
      </c>
      <c r="D527" s="657" t="s">
        <v>4978</v>
      </c>
      <c r="E527" s="657" t="s">
        <v>4979</v>
      </c>
      <c r="F527" s="658">
        <v>0.1</v>
      </c>
      <c r="G527" s="658">
        <v>0</v>
      </c>
      <c r="H527" s="656"/>
    </row>
    <row r="528" spans="1:8" ht="18.75" customHeight="1">
      <c r="A528" s="656"/>
      <c r="B528" s="659" t="s">
        <v>3928</v>
      </c>
      <c r="C528" s="659" t="s">
        <v>4303</v>
      </c>
      <c r="D528" s="659" t="s">
        <v>4980</v>
      </c>
      <c r="E528" s="659" t="s">
        <v>4981</v>
      </c>
      <c r="F528" s="660">
        <v>0.1</v>
      </c>
      <c r="G528" s="660">
        <v>0</v>
      </c>
      <c r="H528" s="656"/>
    </row>
    <row r="529" spans="1:8" ht="18.75" customHeight="1">
      <c r="A529" s="656"/>
      <c r="B529" s="657" t="s">
        <v>3928</v>
      </c>
      <c r="C529" s="657" t="s">
        <v>4303</v>
      </c>
      <c r="D529" s="657" t="s">
        <v>4982</v>
      </c>
      <c r="E529" s="657" t="s">
        <v>4983</v>
      </c>
      <c r="F529" s="658">
        <v>0.1</v>
      </c>
      <c r="G529" s="658">
        <v>0</v>
      </c>
      <c r="H529" s="656"/>
    </row>
    <row r="530" spans="1:8" ht="18.75" customHeight="1">
      <c r="A530" s="656"/>
      <c r="B530" s="659" t="s">
        <v>3928</v>
      </c>
      <c r="C530" s="659" t="s">
        <v>4303</v>
      </c>
      <c r="D530" s="659" t="s">
        <v>4984</v>
      </c>
      <c r="E530" s="659" t="s">
        <v>4985</v>
      </c>
      <c r="F530" s="660">
        <v>0.1</v>
      </c>
      <c r="G530" s="660">
        <v>0</v>
      </c>
      <c r="H530" s="656"/>
    </row>
    <row r="531" spans="1:8" ht="18.75" customHeight="1">
      <c r="A531" s="656"/>
      <c r="B531" s="657" t="s">
        <v>3928</v>
      </c>
      <c r="C531" s="657" t="s">
        <v>4303</v>
      </c>
      <c r="D531" s="657" t="s">
        <v>4986</v>
      </c>
      <c r="E531" s="657" t="s">
        <v>4987</v>
      </c>
      <c r="F531" s="658">
        <v>0.1</v>
      </c>
      <c r="G531" s="658">
        <v>0</v>
      </c>
      <c r="H531" s="656"/>
    </row>
    <row r="532" spans="1:8" ht="18.75" customHeight="1">
      <c r="A532" s="656"/>
      <c r="B532" s="659" t="s">
        <v>3928</v>
      </c>
      <c r="C532" s="659" t="s">
        <v>4303</v>
      </c>
      <c r="D532" s="659" t="s">
        <v>4988</v>
      </c>
      <c r="E532" s="659" t="s">
        <v>4989</v>
      </c>
      <c r="F532" s="660">
        <v>0.1</v>
      </c>
      <c r="G532" s="660">
        <v>0</v>
      </c>
      <c r="H532" s="656"/>
    </row>
    <row r="533" spans="1:8" ht="18.75" customHeight="1">
      <c r="A533" s="656"/>
      <c r="B533" s="657" t="s">
        <v>3928</v>
      </c>
      <c r="C533" s="657" t="s">
        <v>4303</v>
      </c>
      <c r="D533" s="657" t="s">
        <v>4990</v>
      </c>
      <c r="E533" s="657" t="s">
        <v>4991</v>
      </c>
      <c r="F533" s="658">
        <v>0.1</v>
      </c>
      <c r="G533" s="658">
        <v>0</v>
      </c>
      <c r="H533" s="656"/>
    </row>
    <row r="534" spans="1:8" ht="18.75" customHeight="1">
      <c r="A534" s="656"/>
      <c r="B534" s="659" t="s">
        <v>3928</v>
      </c>
      <c r="C534" s="659" t="s">
        <v>4303</v>
      </c>
      <c r="D534" s="659" t="s">
        <v>4992</v>
      </c>
      <c r="E534" s="659" t="s">
        <v>4993</v>
      </c>
      <c r="F534" s="660">
        <v>0.1</v>
      </c>
      <c r="G534" s="660">
        <v>0</v>
      </c>
      <c r="H534" s="656"/>
    </row>
    <row r="535" spans="1:8" ht="18.75" customHeight="1">
      <c r="A535" s="656"/>
      <c r="B535" s="657" t="s">
        <v>3928</v>
      </c>
      <c r="C535" s="657" t="s">
        <v>4303</v>
      </c>
      <c r="D535" s="657" t="s">
        <v>4994</v>
      </c>
      <c r="E535" s="657" t="s">
        <v>4995</v>
      </c>
      <c r="F535" s="658">
        <v>0.1</v>
      </c>
      <c r="G535" s="658">
        <v>0</v>
      </c>
      <c r="H535" s="656"/>
    </row>
    <row r="536" spans="1:8" ht="18.75" customHeight="1">
      <c r="A536" s="656"/>
      <c r="B536" s="659" t="s">
        <v>3928</v>
      </c>
      <c r="C536" s="659" t="s">
        <v>4303</v>
      </c>
      <c r="D536" s="659" t="s">
        <v>4996</v>
      </c>
      <c r="E536" s="659" t="s">
        <v>4997</v>
      </c>
      <c r="F536" s="660">
        <v>0.1</v>
      </c>
      <c r="G536" s="660">
        <v>0</v>
      </c>
      <c r="H536" s="656"/>
    </row>
    <row r="537" spans="1:8" ht="18.75" customHeight="1">
      <c r="A537" s="656"/>
      <c r="B537" s="657" t="s">
        <v>3928</v>
      </c>
      <c r="C537" s="657" t="s">
        <v>4303</v>
      </c>
      <c r="D537" s="657" t="s">
        <v>4998</v>
      </c>
      <c r="E537" s="657" t="s">
        <v>4999</v>
      </c>
      <c r="F537" s="658">
        <v>0.1</v>
      </c>
      <c r="G537" s="658">
        <v>0</v>
      </c>
      <c r="H537" s="656"/>
    </row>
    <row r="538" spans="1:8" ht="18.75" customHeight="1">
      <c r="A538" s="656"/>
      <c r="B538" s="659" t="s">
        <v>3928</v>
      </c>
      <c r="C538" s="659" t="s">
        <v>4303</v>
      </c>
      <c r="D538" s="659" t="s">
        <v>5000</v>
      </c>
      <c r="E538" s="659" t="s">
        <v>5001</v>
      </c>
      <c r="F538" s="660">
        <v>0.1</v>
      </c>
      <c r="G538" s="660">
        <v>0</v>
      </c>
      <c r="H538" s="656"/>
    </row>
    <row r="539" spans="1:8" ht="18.75" customHeight="1">
      <c r="A539" s="656"/>
      <c r="B539" s="657" t="s">
        <v>3928</v>
      </c>
      <c r="C539" s="657" t="s">
        <v>4303</v>
      </c>
      <c r="D539" s="657" t="s">
        <v>5002</v>
      </c>
      <c r="E539" s="657" t="s">
        <v>5003</v>
      </c>
      <c r="F539" s="658">
        <v>0.1</v>
      </c>
      <c r="G539" s="658">
        <v>0</v>
      </c>
      <c r="H539" s="656"/>
    </row>
    <row r="540" spans="1:8" ht="18.75" customHeight="1">
      <c r="A540" s="656"/>
      <c r="B540" s="659" t="s">
        <v>3928</v>
      </c>
      <c r="C540" s="659" t="s">
        <v>4303</v>
      </c>
      <c r="D540" s="659" t="s">
        <v>5004</v>
      </c>
      <c r="E540" s="659" t="s">
        <v>5005</v>
      </c>
      <c r="F540" s="660">
        <v>0.1</v>
      </c>
      <c r="G540" s="660">
        <v>0</v>
      </c>
      <c r="H540" s="656"/>
    </row>
    <row r="541" spans="1:8" ht="18.75" customHeight="1">
      <c r="A541" s="656"/>
      <c r="B541" s="657" t="s">
        <v>3928</v>
      </c>
      <c r="C541" s="657" t="s">
        <v>4303</v>
      </c>
      <c r="D541" s="657" t="s">
        <v>5006</v>
      </c>
      <c r="E541" s="657" t="s">
        <v>5007</v>
      </c>
      <c r="F541" s="658">
        <v>0.1</v>
      </c>
      <c r="G541" s="658">
        <v>0</v>
      </c>
      <c r="H541" s="656"/>
    </row>
    <row r="542" spans="1:8" ht="18.75" customHeight="1">
      <c r="A542" s="656"/>
      <c r="B542" s="659" t="s">
        <v>3928</v>
      </c>
      <c r="C542" s="659" t="s">
        <v>4303</v>
      </c>
      <c r="D542" s="659" t="s">
        <v>5008</v>
      </c>
      <c r="E542" s="659" t="s">
        <v>5009</v>
      </c>
      <c r="F542" s="660">
        <v>0.1</v>
      </c>
      <c r="G542" s="660">
        <v>0</v>
      </c>
      <c r="H542" s="656"/>
    </row>
    <row r="543" spans="1:8" ht="18.75" customHeight="1">
      <c r="A543" s="656"/>
      <c r="B543" s="657" t="s">
        <v>3928</v>
      </c>
      <c r="C543" s="657" t="s">
        <v>4303</v>
      </c>
      <c r="D543" s="657" t="s">
        <v>5010</v>
      </c>
      <c r="E543" s="657" t="s">
        <v>5011</v>
      </c>
      <c r="F543" s="658">
        <v>0.1</v>
      </c>
      <c r="G543" s="658">
        <v>0</v>
      </c>
      <c r="H543" s="656"/>
    </row>
    <row r="544" spans="1:8" ht="18.75" customHeight="1">
      <c r="A544" s="656"/>
      <c r="B544" s="659" t="s">
        <v>3928</v>
      </c>
      <c r="C544" s="659" t="s">
        <v>4303</v>
      </c>
      <c r="D544" s="659" t="s">
        <v>5012</v>
      </c>
      <c r="E544" s="659" t="s">
        <v>5013</v>
      </c>
      <c r="F544" s="660">
        <v>0.1</v>
      </c>
      <c r="G544" s="660">
        <v>0</v>
      </c>
      <c r="H544" s="656"/>
    </row>
    <row r="545" spans="1:8" ht="18.75" customHeight="1">
      <c r="A545" s="656"/>
      <c r="B545" s="657" t="s">
        <v>3928</v>
      </c>
      <c r="C545" s="657" t="s">
        <v>4303</v>
      </c>
      <c r="D545" s="657" t="s">
        <v>5014</v>
      </c>
      <c r="E545" s="657" t="s">
        <v>5015</v>
      </c>
      <c r="F545" s="658">
        <v>0.1</v>
      </c>
      <c r="G545" s="658">
        <v>0</v>
      </c>
      <c r="H545" s="656"/>
    </row>
    <row r="546" spans="1:8" ht="18.75" customHeight="1">
      <c r="A546" s="656"/>
      <c r="B546" s="659" t="s">
        <v>3928</v>
      </c>
      <c r="C546" s="659" t="s">
        <v>4303</v>
      </c>
      <c r="D546" s="659" t="s">
        <v>5016</v>
      </c>
      <c r="E546" s="659" t="s">
        <v>5017</v>
      </c>
      <c r="F546" s="660">
        <v>0.1</v>
      </c>
      <c r="G546" s="660">
        <v>0</v>
      </c>
      <c r="H546" s="656"/>
    </row>
    <row r="547" spans="1:8" ht="18.75" customHeight="1">
      <c r="A547" s="656"/>
      <c r="B547" s="657" t="s">
        <v>3928</v>
      </c>
      <c r="C547" s="657" t="s">
        <v>4303</v>
      </c>
      <c r="D547" s="657" t="s">
        <v>5018</v>
      </c>
      <c r="E547" s="657" t="s">
        <v>5019</v>
      </c>
      <c r="F547" s="658">
        <v>0.1</v>
      </c>
      <c r="G547" s="658">
        <v>0</v>
      </c>
      <c r="H547" s="656"/>
    </row>
    <row r="548" spans="1:8" ht="18.75" customHeight="1">
      <c r="A548" s="656"/>
      <c r="B548" s="659" t="s">
        <v>3928</v>
      </c>
      <c r="C548" s="659" t="s">
        <v>4303</v>
      </c>
      <c r="D548" s="659" t="s">
        <v>5020</v>
      </c>
      <c r="E548" s="659" t="s">
        <v>5021</v>
      </c>
      <c r="F548" s="660">
        <v>0.1</v>
      </c>
      <c r="G548" s="660">
        <v>0</v>
      </c>
      <c r="H548" s="656"/>
    </row>
    <row r="549" spans="1:8" ht="18.75" customHeight="1">
      <c r="A549" s="656"/>
      <c r="B549" s="657" t="s">
        <v>3928</v>
      </c>
      <c r="C549" s="657" t="s">
        <v>4303</v>
      </c>
      <c r="D549" s="657" t="s">
        <v>5022</v>
      </c>
      <c r="E549" s="657" t="s">
        <v>5023</v>
      </c>
      <c r="F549" s="658">
        <v>0.1</v>
      </c>
      <c r="G549" s="658">
        <v>0</v>
      </c>
      <c r="H549" s="656"/>
    </row>
    <row r="550" spans="1:8" ht="18.75" customHeight="1">
      <c r="A550" s="656"/>
      <c r="B550" s="659" t="s">
        <v>3928</v>
      </c>
      <c r="C550" s="659" t="s">
        <v>4303</v>
      </c>
      <c r="D550" s="659" t="s">
        <v>5024</v>
      </c>
      <c r="E550" s="659" t="s">
        <v>5025</v>
      </c>
      <c r="F550" s="660">
        <v>0.1</v>
      </c>
      <c r="G550" s="660">
        <v>0</v>
      </c>
      <c r="H550" s="656"/>
    </row>
    <row r="551" spans="1:8" ht="18.75" customHeight="1">
      <c r="A551" s="656"/>
      <c r="B551" s="657" t="s">
        <v>3928</v>
      </c>
      <c r="C551" s="657" t="s">
        <v>4303</v>
      </c>
      <c r="D551" s="657" t="s">
        <v>5026</v>
      </c>
      <c r="E551" s="657" t="s">
        <v>5027</v>
      </c>
      <c r="F551" s="658">
        <v>0.1</v>
      </c>
      <c r="G551" s="658">
        <v>0</v>
      </c>
      <c r="H551" s="656"/>
    </row>
    <row r="552" spans="1:8" ht="18.75" customHeight="1">
      <c r="A552" s="656"/>
      <c r="B552" s="659" t="s">
        <v>3928</v>
      </c>
      <c r="C552" s="659" t="s">
        <v>4303</v>
      </c>
      <c r="D552" s="659" t="s">
        <v>5028</v>
      </c>
      <c r="E552" s="659" t="s">
        <v>5029</v>
      </c>
      <c r="F552" s="660">
        <v>0.1</v>
      </c>
      <c r="G552" s="660">
        <v>0</v>
      </c>
      <c r="H552" s="656"/>
    </row>
    <row r="553" spans="1:8" ht="18.75" customHeight="1">
      <c r="A553" s="656"/>
      <c r="B553" s="657" t="s">
        <v>3928</v>
      </c>
      <c r="C553" s="657" t="s">
        <v>4303</v>
      </c>
      <c r="D553" s="657" t="s">
        <v>5030</v>
      </c>
      <c r="E553" s="657" t="s">
        <v>5031</v>
      </c>
      <c r="F553" s="658">
        <v>0.1</v>
      </c>
      <c r="G553" s="658">
        <v>0</v>
      </c>
      <c r="H553" s="656"/>
    </row>
    <row r="554" spans="1:8" ht="18.75" customHeight="1">
      <c r="A554" s="656"/>
      <c r="B554" s="659" t="s">
        <v>3928</v>
      </c>
      <c r="C554" s="659" t="s">
        <v>4303</v>
      </c>
      <c r="D554" s="659" t="s">
        <v>5032</v>
      </c>
      <c r="E554" s="659" t="s">
        <v>5033</v>
      </c>
      <c r="F554" s="660">
        <v>0.1</v>
      </c>
      <c r="G554" s="660">
        <v>0</v>
      </c>
      <c r="H554" s="656"/>
    </row>
    <row r="555" spans="1:8" ht="18.75" customHeight="1">
      <c r="A555" s="656"/>
      <c r="B555" s="657" t="s">
        <v>3928</v>
      </c>
      <c r="C555" s="657" t="s">
        <v>4303</v>
      </c>
      <c r="D555" s="657" t="s">
        <v>5034</v>
      </c>
      <c r="E555" s="657" t="s">
        <v>5035</v>
      </c>
      <c r="F555" s="658">
        <v>0.1</v>
      </c>
      <c r="G555" s="658">
        <v>0</v>
      </c>
      <c r="H555" s="656"/>
    </row>
    <row r="556" spans="1:8" ht="18.75" customHeight="1">
      <c r="A556" s="656"/>
      <c r="B556" s="659" t="s">
        <v>3928</v>
      </c>
      <c r="C556" s="659" t="s">
        <v>4303</v>
      </c>
      <c r="D556" s="659" t="s">
        <v>5036</v>
      </c>
      <c r="E556" s="659" t="s">
        <v>5037</v>
      </c>
      <c r="F556" s="660">
        <v>0.1</v>
      </c>
      <c r="G556" s="660">
        <v>0</v>
      </c>
      <c r="H556" s="656"/>
    </row>
    <row r="557" spans="1:8" ht="18.75" customHeight="1">
      <c r="A557" s="656"/>
      <c r="B557" s="657" t="s">
        <v>3928</v>
      </c>
      <c r="C557" s="657" t="s">
        <v>4303</v>
      </c>
      <c r="D557" s="657" t="s">
        <v>5038</v>
      </c>
      <c r="E557" s="657" t="s">
        <v>5039</v>
      </c>
      <c r="F557" s="658">
        <v>0.1</v>
      </c>
      <c r="G557" s="658">
        <v>0</v>
      </c>
      <c r="H557" s="656"/>
    </row>
    <row r="558" spans="1:8" ht="18.75" customHeight="1">
      <c r="A558" s="656"/>
      <c r="B558" s="659" t="s">
        <v>3928</v>
      </c>
      <c r="C558" s="659" t="s">
        <v>4303</v>
      </c>
      <c r="D558" s="659" t="s">
        <v>5040</v>
      </c>
      <c r="E558" s="659" t="s">
        <v>5041</v>
      </c>
      <c r="F558" s="660">
        <v>0.1</v>
      </c>
      <c r="G558" s="660">
        <v>0</v>
      </c>
      <c r="H558" s="656"/>
    </row>
    <row r="559" spans="1:8" ht="18.75" customHeight="1">
      <c r="A559" s="656"/>
      <c r="B559" s="657" t="s">
        <v>3928</v>
      </c>
      <c r="C559" s="657" t="s">
        <v>4303</v>
      </c>
      <c r="D559" s="657" t="s">
        <v>5042</v>
      </c>
      <c r="E559" s="657" t="s">
        <v>5043</v>
      </c>
      <c r="F559" s="658">
        <v>0.1</v>
      </c>
      <c r="G559" s="658">
        <v>0</v>
      </c>
      <c r="H559" s="656"/>
    </row>
    <row r="560" spans="1:8" ht="18.75" customHeight="1">
      <c r="A560" s="656"/>
      <c r="B560" s="659" t="s">
        <v>3928</v>
      </c>
      <c r="C560" s="659" t="s">
        <v>4799</v>
      </c>
      <c r="D560" s="659" t="s">
        <v>5044</v>
      </c>
      <c r="E560" s="659" t="s">
        <v>5045</v>
      </c>
      <c r="F560" s="660">
        <v>0.1</v>
      </c>
      <c r="G560" s="660">
        <v>0</v>
      </c>
      <c r="H560" s="656"/>
    </row>
    <row r="561" spans="1:8" ht="18.75" customHeight="1">
      <c r="A561" s="656"/>
      <c r="B561" s="657" t="s">
        <v>3928</v>
      </c>
      <c r="C561" s="657" t="s">
        <v>4303</v>
      </c>
      <c r="D561" s="657" t="s">
        <v>5046</v>
      </c>
      <c r="E561" s="657" t="s">
        <v>5047</v>
      </c>
      <c r="F561" s="658">
        <v>0.1</v>
      </c>
      <c r="G561" s="658">
        <v>0</v>
      </c>
      <c r="H561" s="656"/>
    </row>
    <row r="562" spans="1:8" ht="18.75" customHeight="1">
      <c r="A562" s="656"/>
      <c r="B562" s="659" t="s">
        <v>3928</v>
      </c>
      <c r="C562" s="659" t="s">
        <v>4303</v>
      </c>
      <c r="D562" s="659" t="s">
        <v>5048</v>
      </c>
      <c r="E562" s="659" t="s">
        <v>5049</v>
      </c>
      <c r="F562" s="660">
        <v>0.1</v>
      </c>
      <c r="G562" s="660">
        <v>0</v>
      </c>
      <c r="H562" s="656"/>
    </row>
    <row r="563" spans="1:8" ht="18.75" customHeight="1">
      <c r="A563" s="656"/>
      <c r="B563" s="657" t="s">
        <v>3928</v>
      </c>
      <c r="C563" s="657" t="s">
        <v>4303</v>
      </c>
      <c r="D563" s="657" t="s">
        <v>5050</v>
      </c>
      <c r="E563" s="657" t="s">
        <v>5051</v>
      </c>
      <c r="F563" s="658">
        <v>0.1</v>
      </c>
      <c r="G563" s="658">
        <v>0</v>
      </c>
      <c r="H563" s="656"/>
    </row>
    <row r="564" spans="1:8" ht="18.75" customHeight="1">
      <c r="A564" s="656"/>
      <c r="B564" s="659" t="s">
        <v>3928</v>
      </c>
      <c r="C564" s="659" t="s">
        <v>4303</v>
      </c>
      <c r="D564" s="659" t="s">
        <v>5052</v>
      </c>
      <c r="E564" s="659" t="s">
        <v>5053</v>
      </c>
      <c r="F564" s="660">
        <v>0.1</v>
      </c>
      <c r="G564" s="660">
        <v>0</v>
      </c>
      <c r="H564" s="656"/>
    </row>
    <row r="565" spans="1:8" ht="18.75" customHeight="1">
      <c r="A565" s="656"/>
      <c r="B565" s="657" t="s">
        <v>3928</v>
      </c>
      <c r="C565" s="657" t="s">
        <v>5054</v>
      </c>
      <c r="D565" s="657" t="s">
        <v>5055</v>
      </c>
      <c r="E565" s="657" t="s">
        <v>5056</v>
      </c>
      <c r="F565" s="658">
        <v>0.1</v>
      </c>
      <c r="G565" s="658">
        <v>0</v>
      </c>
      <c r="H565" s="656"/>
    </row>
    <row r="566" spans="1:8" ht="18.75" customHeight="1">
      <c r="A566" s="656"/>
      <c r="B566" s="659" t="s">
        <v>3928</v>
      </c>
      <c r="C566" s="659" t="s">
        <v>4303</v>
      </c>
      <c r="D566" s="659" t="s">
        <v>5057</v>
      </c>
      <c r="E566" s="659" t="s">
        <v>5058</v>
      </c>
      <c r="F566" s="660">
        <v>0.1</v>
      </c>
      <c r="G566" s="660">
        <v>0</v>
      </c>
      <c r="H566" s="656"/>
    </row>
    <row r="567" spans="1:8" ht="18.75" customHeight="1">
      <c r="A567" s="656"/>
      <c r="B567" s="657" t="s">
        <v>3928</v>
      </c>
      <c r="C567" s="657" t="s">
        <v>4303</v>
      </c>
      <c r="D567" s="657" t="s">
        <v>5059</v>
      </c>
      <c r="E567" s="657" t="s">
        <v>5060</v>
      </c>
      <c r="F567" s="658">
        <v>0.1</v>
      </c>
      <c r="G567" s="658">
        <v>0</v>
      </c>
      <c r="H567" s="656"/>
    </row>
    <row r="568" spans="1:8" ht="18.75" customHeight="1">
      <c r="A568" s="656"/>
      <c r="B568" s="659" t="s">
        <v>3928</v>
      </c>
      <c r="C568" s="659" t="s">
        <v>4303</v>
      </c>
      <c r="D568" s="659" t="s">
        <v>5061</v>
      </c>
      <c r="E568" s="659" t="s">
        <v>5062</v>
      </c>
      <c r="F568" s="660">
        <v>0.1</v>
      </c>
      <c r="G568" s="660">
        <v>0</v>
      </c>
      <c r="H568" s="656"/>
    </row>
    <row r="569" spans="1:8" ht="18.75" customHeight="1">
      <c r="A569" s="656"/>
      <c r="B569" s="657" t="s">
        <v>3928</v>
      </c>
      <c r="C569" s="657" t="s">
        <v>4303</v>
      </c>
      <c r="D569" s="657" t="s">
        <v>5063</v>
      </c>
      <c r="E569" s="657" t="s">
        <v>5064</v>
      </c>
      <c r="F569" s="658">
        <v>0.1</v>
      </c>
      <c r="G569" s="658">
        <v>0</v>
      </c>
      <c r="H569" s="656"/>
    </row>
    <row r="570" spans="1:8" ht="18.75" customHeight="1">
      <c r="A570" s="656"/>
      <c r="B570" s="659" t="s">
        <v>3928</v>
      </c>
      <c r="C570" s="659" t="s">
        <v>4303</v>
      </c>
      <c r="D570" s="659" t="s">
        <v>5065</v>
      </c>
      <c r="E570" s="659" t="s">
        <v>5066</v>
      </c>
      <c r="F570" s="660">
        <v>0.1</v>
      </c>
      <c r="G570" s="660">
        <v>0</v>
      </c>
      <c r="H570" s="656"/>
    </row>
    <row r="571" spans="1:8" ht="18.75" customHeight="1">
      <c r="A571" s="656"/>
      <c r="B571" s="657" t="s">
        <v>3928</v>
      </c>
      <c r="C571" s="657" t="s">
        <v>4303</v>
      </c>
      <c r="D571" s="657" t="s">
        <v>5067</v>
      </c>
      <c r="E571" s="657" t="s">
        <v>5068</v>
      </c>
      <c r="F571" s="658">
        <v>0.1</v>
      </c>
      <c r="G571" s="658">
        <v>0</v>
      </c>
      <c r="H571" s="656"/>
    </row>
    <row r="572" spans="1:8" ht="18.75" customHeight="1">
      <c r="A572" s="656"/>
      <c r="B572" s="659" t="s">
        <v>3928</v>
      </c>
      <c r="C572" s="659" t="s">
        <v>4303</v>
      </c>
      <c r="D572" s="659" t="s">
        <v>5069</v>
      </c>
      <c r="E572" s="659" t="s">
        <v>5070</v>
      </c>
      <c r="F572" s="660">
        <v>0.1</v>
      </c>
      <c r="G572" s="660">
        <v>0</v>
      </c>
      <c r="H572" s="656"/>
    </row>
    <row r="573" spans="1:8" ht="18.75" customHeight="1">
      <c r="A573" s="656"/>
      <c r="B573" s="657" t="s">
        <v>3928</v>
      </c>
      <c r="C573" s="657" t="s">
        <v>4303</v>
      </c>
      <c r="D573" s="657" t="s">
        <v>5071</v>
      </c>
      <c r="E573" s="657" t="s">
        <v>5072</v>
      </c>
      <c r="F573" s="658">
        <v>0.1</v>
      </c>
      <c r="G573" s="658">
        <v>0</v>
      </c>
      <c r="H573" s="656"/>
    </row>
    <row r="574" spans="1:8" ht="18.75" customHeight="1">
      <c r="A574" s="656"/>
      <c r="B574" s="659" t="s">
        <v>3928</v>
      </c>
      <c r="C574" s="659" t="s">
        <v>5054</v>
      </c>
      <c r="D574" s="659" t="s">
        <v>5073</v>
      </c>
      <c r="E574" s="659" t="s">
        <v>5074</v>
      </c>
      <c r="F574" s="660">
        <v>0.1</v>
      </c>
      <c r="G574" s="660">
        <v>0</v>
      </c>
      <c r="H574" s="656"/>
    </row>
    <row r="575" spans="1:8" ht="18.75" customHeight="1">
      <c r="A575" s="656"/>
      <c r="B575" s="657" t="s">
        <v>3928</v>
      </c>
      <c r="C575" s="657" t="s">
        <v>4303</v>
      </c>
      <c r="D575" s="657" t="s">
        <v>5075</v>
      </c>
      <c r="E575" s="657" t="s">
        <v>5076</v>
      </c>
      <c r="F575" s="658">
        <v>0.1</v>
      </c>
      <c r="G575" s="658">
        <v>0</v>
      </c>
      <c r="H575" s="656"/>
    </row>
    <row r="576" spans="1:8" ht="18.75" customHeight="1">
      <c r="A576" s="656"/>
      <c r="B576" s="659" t="s">
        <v>3928</v>
      </c>
      <c r="C576" s="659" t="s">
        <v>4303</v>
      </c>
      <c r="D576" s="659" t="s">
        <v>5077</v>
      </c>
      <c r="E576" s="659" t="s">
        <v>5078</v>
      </c>
      <c r="F576" s="660">
        <v>0.1</v>
      </c>
      <c r="G576" s="660">
        <v>0</v>
      </c>
      <c r="H576" s="656"/>
    </row>
    <row r="577" spans="1:8" ht="18.75" customHeight="1">
      <c r="A577" s="656"/>
      <c r="B577" s="657" t="s">
        <v>3928</v>
      </c>
      <c r="C577" s="657" t="s">
        <v>4303</v>
      </c>
      <c r="D577" s="657" t="s">
        <v>5079</v>
      </c>
      <c r="E577" s="657" t="s">
        <v>5080</v>
      </c>
      <c r="F577" s="658">
        <v>0.1</v>
      </c>
      <c r="G577" s="658">
        <v>0</v>
      </c>
      <c r="H577" s="656"/>
    </row>
    <row r="578" spans="1:8" ht="18.75" customHeight="1">
      <c r="A578" s="656"/>
      <c r="B578" s="659" t="s">
        <v>3928</v>
      </c>
      <c r="C578" s="659" t="s">
        <v>4303</v>
      </c>
      <c r="D578" s="659" t="s">
        <v>5081</v>
      </c>
      <c r="E578" s="659" t="s">
        <v>5082</v>
      </c>
      <c r="F578" s="660">
        <v>0.1</v>
      </c>
      <c r="G578" s="660">
        <v>0</v>
      </c>
      <c r="H578" s="656"/>
    </row>
    <row r="579" spans="1:8" ht="18.75" customHeight="1">
      <c r="A579" s="656"/>
      <c r="B579" s="657" t="s">
        <v>3928</v>
      </c>
      <c r="C579" s="657" t="s">
        <v>4303</v>
      </c>
      <c r="D579" s="657" t="s">
        <v>5083</v>
      </c>
      <c r="E579" s="657" t="s">
        <v>5084</v>
      </c>
      <c r="F579" s="658">
        <v>0.1</v>
      </c>
      <c r="G579" s="658">
        <v>0</v>
      </c>
      <c r="H579" s="656"/>
    </row>
    <row r="580" spans="1:8" ht="18.75" customHeight="1">
      <c r="A580" s="656"/>
      <c r="B580" s="659" t="s">
        <v>3928</v>
      </c>
      <c r="C580" s="659" t="s">
        <v>4303</v>
      </c>
      <c r="D580" s="659" t="s">
        <v>5085</v>
      </c>
      <c r="E580" s="659" t="s">
        <v>5086</v>
      </c>
      <c r="F580" s="660">
        <v>0.1</v>
      </c>
      <c r="G580" s="660">
        <v>0</v>
      </c>
      <c r="H580" s="656"/>
    </row>
    <row r="581" spans="1:8" ht="18.75" customHeight="1">
      <c r="A581" s="656"/>
      <c r="B581" s="657" t="s">
        <v>3928</v>
      </c>
      <c r="C581" s="657" t="s">
        <v>4303</v>
      </c>
      <c r="D581" s="657" t="s">
        <v>5087</v>
      </c>
      <c r="E581" s="657" t="s">
        <v>5088</v>
      </c>
      <c r="F581" s="658">
        <v>0.1</v>
      </c>
      <c r="G581" s="658">
        <v>0</v>
      </c>
      <c r="H581" s="656"/>
    </row>
    <row r="582" spans="1:8" ht="18.75" customHeight="1">
      <c r="A582" s="656"/>
      <c r="B582" s="659" t="s">
        <v>3928</v>
      </c>
      <c r="C582" s="659" t="s">
        <v>4303</v>
      </c>
      <c r="D582" s="659" t="s">
        <v>5089</v>
      </c>
      <c r="E582" s="659" t="s">
        <v>5090</v>
      </c>
      <c r="F582" s="660">
        <v>0.1</v>
      </c>
      <c r="G582" s="660">
        <v>0</v>
      </c>
      <c r="H582" s="656"/>
    </row>
    <row r="583" spans="1:8" ht="18.75" customHeight="1">
      <c r="A583" s="656"/>
      <c r="B583" s="657" t="s">
        <v>3928</v>
      </c>
      <c r="C583" s="657" t="s">
        <v>4303</v>
      </c>
      <c r="D583" s="657" t="s">
        <v>5091</v>
      </c>
      <c r="E583" s="657" t="s">
        <v>5092</v>
      </c>
      <c r="F583" s="658">
        <v>0.1</v>
      </c>
      <c r="G583" s="658">
        <v>0</v>
      </c>
      <c r="H583" s="656"/>
    </row>
    <row r="584" spans="1:8" ht="18.75" customHeight="1">
      <c r="A584" s="656"/>
      <c r="B584" s="659" t="s">
        <v>3928</v>
      </c>
      <c r="C584" s="659" t="s">
        <v>4303</v>
      </c>
      <c r="D584" s="659" t="s">
        <v>5093</v>
      </c>
      <c r="E584" s="659" t="s">
        <v>5094</v>
      </c>
      <c r="F584" s="660">
        <v>0.1</v>
      </c>
      <c r="G584" s="660">
        <v>0</v>
      </c>
      <c r="H584" s="656"/>
    </row>
    <row r="585" spans="1:8" ht="18.75" customHeight="1">
      <c r="A585" s="656"/>
      <c r="B585" s="657" t="s">
        <v>3928</v>
      </c>
      <c r="C585" s="657" t="s">
        <v>4303</v>
      </c>
      <c r="D585" s="657" t="s">
        <v>5095</v>
      </c>
      <c r="E585" s="657" t="s">
        <v>5096</v>
      </c>
      <c r="F585" s="658">
        <v>0.1</v>
      </c>
      <c r="G585" s="658">
        <v>0</v>
      </c>
      <c r="H585" s="656"/>
    </row>
    <row r="586" spans="1:8" ht="18.75" customHeight="1">
      <c r="A586" s="656"/>
      <c r="B586" s="659" t="s">
        <v>3928</v>
      </c>
      <c r="C586" s="659" t="s">
        <v>4303</v>
      </c>
      <c r="D586" s="659" t="s">
        <v>5097</v>
      </c>
      <c r="E586" s="659" t="s">
        <v>5098</v>
      </c>
      <c r="F586" s="660">
        <v>0.1</v>
      </c>
      <c r="G586" s="660">
        <v>0</v>
      </c>
      <c r="H586" s="656"/>
    </row>
    <row r="587" spans="1:8" ht="18.75" customHeight="1">
      <c r="A587" s="656"/>
      <c r="B587" s="657" t="s">
        <v>3928</v>
      </c>
      <c r="C587" s="657" t="s">
        <v>4303</v>
      </c>
      <c r="D587" s="657" t="s">
        <v>5099</v>
      </c>
      <c r="E587" s="657" t="s">
        <v>5100</v>
      </c>
      <c r="F587" s="658">
        <v>0.1</v>
      </c>
      <c r="G587" s="658">
        <v>0</v>
      </c>
      <c r="H587" s="656"/>
    </row>
    <row r="588" spans="1:8" ht="18.75" customHeight="1">
      <c r="A588" s="656"/>
      <c r="B588" s="659" t="s">
        <v>3928</v>
      </c>
      <c r="C588" s="659" t="s">
        <v>4303</v>
      </c>
      <c r="D588" s="659" t="s">
        <v>5101</v>
      </c>
      <c r="E588" s="659" t="s">
        <v>5102</v>
      </c>
      <c r="F588" s="660">
        <v>0.1</v>
      </c>
      <c r="G588" s="660">
        <v>0</v>
      </c>
      <c r="H588" s="656"/>
    </row>
    <row r="589" spans="1:8" ht="18.75" customHeight="1">
      <c r="A589" s="656"/>
      <c r="B589" s="657" t="s">
        <v>3928</v>
      </c>
      <c r="C589" s="657" t="s">
        <v>4303</v>
      </c>
      <c r="D589" s="657" t="s">
        <v>5103</v>
      </c>
      <c r="E589" s="657" t="s">
        <v>5104</v>
      </c>
      <c r="F589" s="658">
        <v>0.1</v>
      </c>
      <c r="G589" s="658">
        <v>0</v>
      </c>
      <c r="H589" s="656"/>
    </row>
    <row r="590" spans="1:8" ht="18.75" customHeight="1">
      <c r="A590" s="656"/>
      <c r="B590" s="659" t="s">
        <v>3928</v>
      </c>
      <c r="C590" s="659" t="s">
        <v>4303</v>
      </c>
      <c r="D590" s="659" t="s">
        <v>5105</v>
      </c>
      <c r="E590" s="659" t="s">
        <v>5106</v>
      </c>
      <c r="F590" s="660">
        <v>0.1</v>
      </c>
      <c r="G590" s="660">
        <v>0</v>
      </c>
      <c r="H590" s="656"/>
    </row>
    <row r="591" spans="1:8" ht="18.75" customHeight="1">
      <c r="A591" s="656"/>
      <c r="B591" s="657" t="s">
        <v>3928</v>
      </c>
      <c r="C591" s="657" t="s">
        <v>4303</v>
      </c>
      <c r="D591" s="657" t="s">
        <v>5107</v>
      </c>
      <c r="E591" s="657" t="s">
        <v>5108</v>
      </c>
      <c r="F591" s="658">
        <v>0.1</v>
      </c>
      <c r="G591" s="658">
        <v>0</v>
      </c>
      <c r="H591" s="656"/>
    </row>
    <row r="592" spans="1:8" ht="18.75" customHeight="1">
      <c r="A592" s="656"/>
      <c r="B592" s="659" t="s">
        <v>3928</v>
      </c>
      <c r="C592" s="659" t="s">
        <v>4303</v>
      </c>
      <c r="D592" s="659" t="s">
        <v>5109</v>
      </c>
      <c r="E592" s="659" t="s">
        <v>5110</v>
      </c>
      <c r="F592" s="660">
        <v>0.1</v>
      </c>
      <c r="G592" s="660">
        <v>0</v>
      </c>
      <c r="H592" s="656"/>
    </row>
    <row r="593" spans="1:8" ht="18.75" customHeight="1">
      <c r="A593" s="656"/>
      <c r="B593" s="657" t="s">
        <v>3928</v>
      </c>
      <c r="C593" s="657" t="s">
        <v>4303</v>
      </c>
      <c r="D593" s="657" t="s">
        <v>5111</v>
      </c>
      <c r="E593" s="657" t="s">
        <v>5112</v>
      </c>
      <c r="F593" s="658">
        <v>0.1</v>
      </c>
      <c r="G593" s="658">
        <v>0</v>
      </c>
      <c r="H593" s="656"/>
    </row>
    <row r="594" spans="1:8" ht="18.75" customHeight="1">
      <c r="A594" s="656"/>
      <c r="B594" s="659" t="s">
        <v>3928</v>
      </c>
      <c r="C594" s="659" t="s">
        <v>4303</v>
      </c>
      <c r="D594" s="659" t="s">
        <v>5113</v>
      </c>
      <c r="E594" s="659" t="s">
        <v>5114</v>
      </c>
      <c r="F594" s="660">
        <v>0.1</v>
      </c>
      <c r="G594" s="660">
        <v>0</v>
      </c>
      <c r="H594" s="656"/>
    </row>
    <row r="595" spans="1:8" ht="18.75" customHeight="1">
      <c r="A595" s="656"/>
      <c r="B595" s="657" t="s">
        <v>3928</v>
      </c>
      <c r="C595" s="657" t="s">
        <v>4303</v>
      </c>
      <c r="D595" s="657" t="s">
        <v>5115</v>
      </c>
      <c r="E595" s="657" t="s">
        <v>5116</v>
      </c>
      <c r="F595" s="658">
        <v>0.1</v>
      </c>
      <c r="G595" s="658">
        <v>0</v>
      </c>
      <c r="H595" s="656"/>
    </row>
    <row r="596" spans="1:8" ht="18.75" customHeight="1">
      <c r="A596" s="656"/>
      <c r="B596" s="659" t="s">
        <v>3928</v>
      </c>
      <c r="C596" s="659" t="s">
        <v>4303</v>
      </c>
      <c r="D596" s="659" t="s">
        <v>5117</v>
      </c>
      <c r="E596" s="659" t="s">
        <v>5118</v>
      </c>
      <c r="F596" s="660">
        <v>0.1</v>
      </c>
      <c r="G596" s="660">
        <v>0</v>
      </c>
      <c r="H596" s="656"/>
    </row>
    <row r="597" spans="1:8" ht="18.75" customHeight="1">
      <c r="A597" s="656"/>
      <c r="B597" s="657" t="s">
        <v>3928</v>
      </c>
      <c r="C597" s="657" t="s">
        <v>4303</v>
      </c>
      <c r="D597" s="657" t="s">
        <v>5119</v>
      </c>
      <c r="E597" s="657" t="s">
        <v>5120</v>
      </c>
      <c r="F597" s="658">
        <v>0.1</v>
      </c>
      <c r="G597" s="658">
        <v>0</v>
      </c>
      <c r="H597" s="656"/>
    </row>
    <row r="598" spans="1:8" ht="18.75" customHeight="1">
      <c r="A598" s="656"/>
      <c r="B598" s="659" t="s">
        <v>3928</v>
      </c>
      <c r="C598" s="659" t="s">
        <v>4303</v>
      </c>
      <c r="D598" s="659" t="s">
        <v>5121</v>
      </c>
      <c r="E598" s="659" t="s">
        <v>5122</v>
      </c>
      <c r="F598" s="660">
        <v>0.1</v>
      </c>
      <c r="G598" s="660">
        <v>0</v>
      </c>
      <c r="H598" s="656"/>
    </row>
    <row r="599" spans="1:8" ht="18.75" customHeight="1">
      <c r="A599" s="656"/>
      <c r="B599" s="657" t="s">
        <v>3928</v>
      </c>
      <c r="C599" s="657" t="s">
        <v>4303</v>
      </c>
      <c r="D599" s="657" t="s">
        <v>5123</v>
      </c>
      <c r="E599" s="657" t="s">
        <v>5124</v>
      </c>
      <c r="F599" s="658">
        <v>0.1</v>
      </c>
      <c r="G599" s="658">
        <v>0</v>
      </c>
      <c r="H599" s="656"/>
    </row>
    <row r="600" spans="1:8" ht="18.75" customHeight="1">
      <c r="A600" s="656"/>
      <c r="B600" s="659" t="s">
        <v>3928</v>
      </c>
      <c r="C600" s="659" t="s">
        <v>4303</v>
      </c>
      <c r="D600" s="659" t="s">
        <v>5125</v>
      </c>
      <c r="E600" s="659" t="s">
        <v>5126</v>
      </c>
      <c r="F600" s="660">
        <v>0.1</v>
      </c>
      <c r="G600" s="660">
        <v>0</v>
      </c>
      <c r="H600" s="656"/>
    </row>
    <row r="601" spans="1:8" ht="18.75" customHeight="1">
      <c r="A601" s="656"/>
      <c r="B601" s="657" t="s">
        <v>3928</v>
      </c>
      <c r="C601" s="657" t="s">
        <v>4303</v>
      </c>
      <c r="D601" s="657" t="s">
        <v>5127</v>
      </c>
      <c r="E601" s="657" t="s">
        <v>5128</v>
      </c>
      <c r="F601" s="658">
        <v>0.1</v>
      </c>
      <c r="G601" s="658">
        <v>0</v>
      </c>
      <c r="H601" s="656"/>
    </row>
    <row r="602" spans="1:8" ht="18.75" customHeight="1">
      <c r="A602" s="656"/>
      <c r="B602" s="659" t="s">
        <v>3928</v>
      </c>
      <c r="C602" s="659" t="s">
        <v>4303</v>
      </c>
      <c r="D602" s="659" t="s">
        <v>5129</v>
      </c>
      <c r="E602" s="659" t="s">
        <v>5130</v>
      </c>
      <c r="F602" s="660">
        <v>0.1</v>
      </c>
      <c r="G602" s="660">
        <v>0</v>
      </c>
      <c r="H602" s="656"/>
    </row>
    <row r="603" spans="1:8" ht="18.75" customHeight="1">
      <c r="A603" s="656"/>
      <c r="B603" s="657" t="s">
        <v>3928</v>
      </c>
      <c r="C603" s="657" t="s">
        <v>4303</v>
      </c>
      <c r="D603" s="657" t="s">
        <v>5131</v>
      </c>
      <c r="E603" s="657" t="s">
        <v>5132</v>
      </c>
      <c r="F603" s="658">
        <v>0.1</v>
      </c>
      <c r="G603" s="658">
        <v>0</v>
      </c>
      <c r="H603" s="656"/>
    </row>
    <row r="604" spans="1:8" ht="18.75" customHeight="1">
      <c r="A604" s="656"/>
      <c r="B604" s="659" t="s">
        <v>3928</v>
      </c>
      <c r="C604" s="659" t="s">
        <v>4303</v>
      </c>
      <c r="D604" s="659" t="s">
        <v>5133</v>
      </c>
      <c r="E604" s="659" t="s">
        <v>5134</v>
      </c>
      <c r="F604" s="660">
        <v>0.1</v>
      </c>
      <c r="G604" s="660">
        <v>0</v>
      </c>
      <c r="H604" s="656"/>
    </row>
    <row r="605" spans="1:8" ht="18.75" customHeight="1">
      <c r="A605" s="656"/>
      <c r="B605" s="657" t="s">
        <v>3928</v>
      </c>
      <c r="C605" s="657" t="s">
        <v>4303</v>
      </c>
      <c r="D605" s="657" t="s">
        <v>5135</v>
      </c>
      <c r="E605" s="657" t="s">
        <v>5136</v>
      </c>
      <c r="F605" s="658">
        <v>0.1</v>
      </c>
      <c r="G605" s="658">
        <v>0</v>
      </c>
      <c r="H605" s="656"/>
    </row>
    <row r="606" spans="1:8" ht="18.75" customHeight="1">
      <c r="A606" s="656"/>
      <c r="B606" s="659" t="s">
        <v>3928</v>
      </c>
      <c r="C606" s="659" t="s">
        <v>4303</v>
      </c>
      <c r="D606" s="659" t="s">
        <v>5137</v>
      </c>
      <c r="E606" s="659" t="s">
        <v>5138</v>
      </c>
      <c r="F606" s="660">
        <v>0.1</v>
      </c>
      <c r="G606" s="660">
        <v>0</v>
      </c>
      <c r="H606" s="656"/>
    </row>
    <row r="607" spans="1:8" ht="18.75" customHeight="1">
      <c r="A607" s="656"/>
      <c r="B607" s="657" t="s">
        <v>3928</v>
      </c>
      <c r="C607" s="657" t="s">
        <v>4303</v>
      </c>
      <c r="D607" s="657" t="s">
        <v>5139</v>
      </c>
      <c r="E607" s="657" t="s">
        <v>5140</v>
      </c>
      <c r="F607" s="658">
        <v>0.1</v>
      </c>
      <c r="G607" s="658">
        <v>0</v>
      </c>
      <c r="H607" s="656"/>
    </row>
    <row r="608" spans="1:8" ht="18.75" customHeight="1">
      <c r="A608" s="656"/>
      <c r="B608" s="659" t="s">
        <v>3928</v>
      </c>
      <c r="C608" s="659" t="s">
        <v>4303</v>
      </c>
      <c r="D608" s="659" t="s">
        <v>5141</v>
      </c>
      <c r="E608" s="659" t="s">
        <v>5142</v>
      </c>
      <c r="F608" s="660">
        <v>0.1</v>
      </c>
      <c r="G608" s="660">
        <v>0</v>
      </c>
      <c r="H608" s="656"/>
    </row>
    <row r="609" spans="1:8" ht="18.75" customHeight="1">
      <c r="A609" s="656"/>
      <c r="B609" s="657" t="s">
        <v>3928</v>
      </c>
      <c r="C609" s="657" t="s">
        <v>4303</v>
      </c>
      <c r="D609" s="657" t="s">
        <v>5143</v>
      </c>
      <c r="E609" s="657" t="s">
        <v>5144</v>
      </c>
      <c r="F609" s="658">
        <v>0.1</v>
      </c>
      <c r="G609" s="658">
        <v>0</v>
      </c>
      <c r="H609" s="656"/>
    </row>
    <row r="610" spans="1:8" ht="18.75" customHeight="1">
      <c r="A610" s="656"/>
      <c r="B610" s="659" t="s">
        <v>3928</v>
      </c>
      <c r="C610" s="659" t="s">
        <v>4303</v>
      </c>
      <c r="D610" s="659" t="s">
        <v>5145</v>
      </c>
      <c r="E610" s="659" t="s">
        <v>5146</v>
      </c>
      <c r="F610" s="660">
        <v>0.1</v>
      </c>
      <c r="G610" s="660">
        <v>0</v>
      </c>
      <c r="H610" s="656"/>
    </row>
    <row r="611" spans="1:8" ht="18.75" customHeight="1">
      <c r="A611" s="656"/>
      <c r="B611" s="657" t="s">
        <v>3928</v>
      </c>
      <c r="C611" s="657" t="s">
        <v>4303</v>
      </c>
      <c r="D611" s="657" t="s">
        <v>5147</v>
      </c>
      <c r="E611" s="657" t="s">
        <v>5148</v>
      </c>
      <c r="F611" s="658">
        <v>0.1</v>
      </c>
      <c r="G611" s="658">
        <v>0</v>
      </c>
      <c r="H611" s="656"/>
    </row>
    <row r="612" spans="1:8" ht="18.75" customHeight="1">
      <c r="A612" s="656"/>
      <c r="B612" s="659" t="s">
        <v>3928</v>
      </c>
      <c r="C612" s="659" t="s">
        <v>4303</v>
      </c>
      <c r="D612" s="659" t="s">
        <v>5149</v>
      </c>
      <c r="E612" s="659" t="s">
        <v>5150</v>
      </c>
      <c r="F612" s="660">
        <v>0.1</v>
      </c>
      <c r="G612" s="660">
        <v>0</v>
      </c>
      <c r="H612" s="656"/>
    </row>
    <row r="613" spans="1:8" ht="18.75" customHeight="1">
      <c r="A613" s="656"/>
      <c r="B613" s="657" t="s">
        <v>3928</v>
      </c>
      <c r="C613" s="657" t="s">
        <v>4799</v>
      </c>
      <c r="D613" s="657" t="s">
        <v>5151</v>
      </c>
      <c r="E613" s="657" t="s">
        <v>5152</v>
      </c>
      <c r="F613" s="658">
        <v>0.1</v>
      </c>
      <c r="G613" s="658">
        <v>0</v>
      </c>
      <c r="H613" s="656"/>
    </row>
    <row r="614" spans="1:8" ht="18.75" customHeight="1">
      <c r="A614" s="656"/>
      <c r="B614" s="659" t="s">
        <v>3928</v>
      </c>
      <c r="C614" s="659" t="s">
        <v>4303</v>
      </c>
      <c r="D614" s="659" t="s">
        <v>5153</v>
      </c>
      <c r="E614" s="659" t="s">
        <v>5154</v>
      </c>
      <c r="F614" s="660">
        <v>0.1</v>
      </c>
      <c r="G614" s="660">
        <v>0</v>
      </c>
      <c r="H614" s="656"/>
    </row>
    <row r="615" spans="1:8" ht="18.75" customHeight="1">
      <c r="A615" s="656"/>
      <c r="B615" s="657" t="s">
        <v>3928</v>
      </c>
      <c r="C615" s="657" t="s">
        <v>4303</v>
      </c>
      <c r="D615" s="657" t="s">
        <v>5155</v>
      </c>
      <c r="E615" s="657" t="s">
        <v>5156</v>
      </c>
      <c r="F615" s="658">
        <v>0.1</v>
      </c>
      <c r="G615" s="658">
        <v>0</v>
      </c>
      <c r="H615" s="656"/>
    </row>
    <row r="616" spans="1:8" ht="18.75" customHeight="1">
      <c r="A616" s="656"/>
      <c r="B616" s="659" t="s">
        <v>3928</v>
      </c>
      <c r="C616" s="659" t="s">
        <v>4799</v>
      </c>
      <c r="D616" s="659" t="s">
        <v>5157</v>
      </c>
      <c r="E616" s="659" t="s">
        <v>5158</v>
      </c>
      <c r="F616" s="660">
        <v>0.1</v>
      </c>
      <c r="G616" s="660">
        <v>0</v>
      </c>
      <c r="H616" s="656"/>
    </row>
    <row r="617" spans="1:8" ht="18.75" customHeight="1">
      <c r="A617" s="656"/>
      <c r="B617" s="657" t="s">
        <v>3928</v>
      </c>
      <c r="C617" s="657" t="s">
        <v>4303</v>
      </c>
      <c r="D617" s="657" t="s">
        <v>5159</v>
      </c>
      <c r="E617" s="657" t="s">
        <v>5160</v>
      </c>
      <c r="F617" s="658">
        <v>0.1</v>
      </c>
      <c r="G617" s="658">
        <v>0</v>
      </c>
      <c r="H617" s="656"/>
    </row>
    <row r="618" spans="1:8" ht="18.75" customHeight="1">
      <c r="A618" s="656"/>
      <c r="B618" s="659" t="s">
        <v>3928</v>
      </c>
      <c r="C618" s="659" t="s">
        <v>4303</v>
      </c>
      <c r="D618" s="659" t="s">
        <v>5161</v>
      </c>
      <c r="E618" s="659" t="s">
        <v>5162</v>
      </c>
      <c r="F618" s="660">
        <v>0.1</v>
      </c>
      <c r="G618" s="660">
        <v>0</v>
      </c>
      <c r="H618" s="656"/>
    </row>
    <row r="619" spans="1:8" ht="18.75" customHeight="1">
      <c r="A619" s="656"/>
      <c r="B619" s="657" t="s">
        <v>3928</v>
      </c>
      <c r="C619" s="657" t="s">
        <v>4303</v>
      </c>
      <c r="D619" s="657" t="s">
        <v>5163</v>
      </c>
      <c r="E619" s="657" t="s">
        <v>5164</v>
      </c>
      <c r="F619" s="658">
        <v>0.1</v>
      </c>
      <c r="G619" s="658">
        <v>0</v>
      </c>
      <c r="H619" s="656"/>
    </row>
    <row r="620" spans="1:8" ht="18.75" customHeight="1">
      <c r="A620" s="656"/>
      <c r="B620" s="659" t="s">
        <v>3928</v>
      </c>
      <c r="C620" s="659" t="s">
        <v>4303</v>
      </c>
      <c r="D620" s="659" t="s">
        <v>5165</v>
      </c>
      <c r="E620" s="659" t="s">
        <v>5166</v>
      </c>
      <c r="F620" s="660">
        <v>0.1</v>
      </c>
      <c r="G620" s="660">
        <v>0</v>
      </c>
      <c r="H620" s="656"/>
    </row>
    <row r="621" spans="1:8" ht="18.75" customHeight="1">
      <c r="A621" s="656"/>
      <c r="B621" s="657" t="s">
        <v>3928</v>
      </c>
      <c r="C621" s="657" t="s">
        <v>4303</v>
      </c>
      <c r="D621" s="657" t="s">
        <v>5167</v>
      </c>
      <c r="E621" s="657" t="s">
        <v>5166</v>
      </c>
      <c r="F621" s="658">
        <v>0.1</v>
      </c>
      <c r="G621" s="658">
        <v>0</v>
      </c>
      <c r="H621" s="656"/>
    </row>
    <row r="622" spans="1:8" ht="18.75" customHeight="1">
      <c r="A622" s="656"/>
      <c r="B622" s="659" t="s">
        <v>3928</v>
      </c>
      <c r="C622" s="659" t="s">
        <v>4303</v>
      </c>
      <c r="D622" s="659" t="s">
        <v>5168</v>
      </c>
      <c r="E622" s="659" t="s">
        <v>5169</v>
      </c>
      <c r="F622" s="660">
        <v>0.1</v>
      </c>
      <c r="G622" s="660">
        <v>0</v>
      </c>
      <c r="H622" s="656"/>
    </row>
    <row r="623" spans="1:8" ht="18.75" customHeight="1">
      <c r="A623" s="656"/>
      <c r="B623" s="657" t="s">
        <v>3928</v>
      </c>
      <c r="C623" s="657" t="s">
        <v>4303</v>
      </c>
      <c r="D623" s="657" t="s">
        <v>5170</v>
      </c>
      <c r="E623" s="657" t="s">
        <v>5171</v>
      </c>
      <c r="F623" s="658">
        <v>0.1</v>
      </c>
      <c r="G623" s="658">
        <v>0</v>
      </c>
      <c r="H623" s="656"/>
    </row>
    <row r="624" spans="1:8" ht="18.75" customHeight="1">
      <c r="A624" s="656"/>
      <c r="B624" s="659" t="s">
        <v>3928</v>
      </c>
      <c r="C624" s="659" t="s">
        <v>4303</v>
      </c>
      <c r="D624" s="659" t="s">
        <v>5172</v>
      </c>
      <c r="E624" s="659" t="s">
        <v>5173</v>
      </c>
      <c r="F624" s="660">
        <v>0.1</v>
      </c>
      <c r="G624" s="660">
        <v>0</v>
      </c>
      <c r="H624" s="656"/>
    </row>
    <row r="625" spans="1:8" ht="18.75" customHeight="1">
      <c r="A625" s="656"/>
      <c r="B625" s="657" t="s">
        <v>3928</v>
      </c>
      <c r="C625" s="657" t="s">
        <v>4303</v>
      </c>
      <c r="D625" s="657" t="s">
        <v>5174</v>
      </c>
      <c r="E625" s="657" t="s">
        <v>5175</v>
      </c>
      <c r="F625" s="658">
        <v>0.1</v>
      </c>
      <c r="G625" s="658">
        <v>0</v>
      </c>
      <c r="H625" s="656"/>
    </row>
    <row r="626" spans="1:8" ht="18.75" customHeight="1">
      <c r="A626" s="656"/>
      <c r="B626" s="659" t="s">
        <v>3928</v>
      </c>
      <c r="C626" s="659" t="s">
        <v>4303</v>
      </c>
      <c r="D626" s="659" t="s">
        <v>5176</v>
      </c>
      <c r="E626" s="659" t="s">
        <v>5177</v>
      </c>
      <c r="F626" s="660">
        <v>0.1</v>
      </c>
      <c r="G626" s="660">
        <v>0</v>
      </c>
      <c r="H626" s="656"/>
    </row>
    <row r="627" spans="1:8" ht="18.75" customHeight="1">
      <c r="A627" s="656"/>
      <c r="B627" s="657" t="s">
        <v>3928</v>
      </c>
      <c r="C627" s="657" t="s">
        <v>4303</v>
      </c>
      <c r="D627" s="657" t="s">
        <v>5178</v>
      </c>
      <c r="E627" s="657" t="s">
        <v>5179</v>
      </c>
      <c r="F627" s="658">
        <v>0.1</v>
      </c>
      <c r="G627" s="658">
        <v>0</v>
      </c>
      <c r="H627" s="656"/>
    </row>
    <row r="628" spans="1:8" ht="18.75" customHeight="1">
      <c r="A628" s="656"/>
      <c r="B628" s="659" t="s">
        <v>3928</v>
      </c>
      <c r="C628" s="659" t="s">
        <v>4303</v>
      </c>
      <c r="D628" s="659" t="s">
        <v>5180</v>
      </c>
      <c r="E628" s="659" t="s">
        <v>5181</v>
      </c>
      <c r="F628" s="660">
        <v>0.1</v>
      </c>
      <c r="G628" s="660">
        <v>0</v>
      </c>
      <c r="H628" s="656"/>
    </row>
    <row r="629" spans="1:8" ht="18.75" customHeight="1">
      <c r="A629" s="656"/>
      <c r="B629" s="657" t="s">
        <v>3928</v>
      </c>
      <c r="C629" s="657" t="s">
        <v>4303</v>
      </c>
      <c r="D629" s="657" t="s">
        <v>5182</v>
      </c>
      <c r="E629" s="657" t="s">
        <v>5183</v>
      </c>
      <c r="F629" s="658">
        <v>0.1</v>
      </c>
      <c r="G629" s="658">
        <v>0</v>
      </c>
      <c r="H629" s="656"/>
    </row>
    <row r="630" spans="1:8" ht="18.75" customHeight="1">
      <c r="A630" s="656"/>
      <c r="B630" s="659" t="s">
        <v>3928</v>
      </c>
      <c r="C630" s="659" t="s">
        <v>4303</v>
      </c>
      <c r="D630" s="659" t="s">
        <v>5184</v>
      </c>
      <c r="E630" s="659" t="s">
        <v>5185</v>
      </c>
      <c r="F630" s="660">
        <v>0.1</v>
      </c>
      <c r="G630" s="660">
        <v>0</v>
      </c>
      <c r="H630" s="656"/>
    </row>
    <row r="631" spans="1:8" ht="18.75" customHeight="1">
      <c r="A631" s="656"/>
      <c r="B631" s="657" t="s">
        <v>3928</v>
      </c>
      <c r="C631" s="657" t="s">
        <v>4303</v>
      </c>
      <c r="D631" s="657" t="s">
        <v>5186</v>
      </c>
      <c r="E631" s="657" t="s">
        <v>5187</v>
      </c>
      <c r="F631" s="658">
        <v>0.1</v>
      </c>
      <c r="G631" s="658">
        <v>0</v>
      </c>
      <c r="H631" s="656"/>
    </row>
    <row r="632" spans="1:8" ht="18.75" customHeight="1">
      <c r="A632" s="656"/>
      <c r="B632" s="659" t="s">
        <v>3928</v>
      </c>
      <c r="C632" s="659" t="s">
        <v>4303</v>
      </c>
      <c r="D632" s="659" t="s">
        <v>5188</v>
      </c>
      <c r="E632" s="659" t="s">
        <v>5189</v>
      </c>
      <c r="F632" s="660">
        <v>0.1</v>
      </c>
      <c r="G632" s="660">
        <v>0</v>
      </c>
      <c r="H632" s="656"/>
    </row>
    <row r="633" spans="1:8" ht="18.75" customHeight="1">
      <c r="A633" s="656"/>
      <c r="B633" s="657" t="s">
        <v>3928</v>
      </c>
      <c r="C633" s="657" t="s">
        <v>4303</v>
      </c>
      <c r="D633" s="657" t="s">
        <v>5190</v>
      </c>
      <c r="E633" s="657" t="s">
        <v>5191</v>
      </c>
      <c r="F633" s="658">
        <v>0.1</v>
      </c>
      <c r="G633" s="658">
        <v>0</v>
      </c>
      <c r="H633" s="656"/>
    </row>
    <row r="634" spans="1:8" ht="18.75" customHeight="1">
      <c r="A634" s="656"/>
      <c r="B634" s="659" t="s">
        <v>3928</v>
      </c>
      <c r="C634" s="659" t="s">
        <v>4303</v>
      </c>
      <c r="D634" s="659" t="s">
        <v>5192</v>
      </c>
      <c r="E634" s="659" t="s">
        <v>5193</v>
      </c>
      <c r="F634" s="660">
        <v>0.1</v>
      </c>
      <c r="G634" s="660">
        <v>0</v>
      </c>
      <c r="H634" s="656"/>
    </row>
    <row r="635" spans="1:8" ht="18.75" customHeight="1">
      <c r="A635" s="656"/>
      <c r="B635" s="657" t="s">
        <v>3928</v>
      </c>
      <c r="C635" s="657" t="s">
        <v>4303</v>
      </c>
      <c r="D635" s="657" t="s">
        <v>5194</v>
      </c>
      <c r="E635" s="657" t="s">
        <v>5195</v>
      </c>
      <c r="F635" s="658">
        <v>0.1</v>
      </c>
      <c r="G635" s="658">
        <v>0</v>
      </c>
      <c r="H635" s="656"/>
    </row>
    <row r="636" spans="1:8" ht="18.75" customHeight="1">
      <c r="A636" s="656"/>
      <c r="B636" s="659" t="s">
        <v>3928</v>
      </c>
      <c r="C636" s="659" t="s">
        <v>4303</v>
      </c>
      <c r="D636" s="659" t="s">
        <v>5196</v>
      </c>
      <c r="E636" s="659" t="s">
        <v>5197</v>
      </c>
      <c r="F636" s="660">
        <v>0.1</v>
      </c>
      <c r="G636" s="660">
        <v>0</v>
      </c>
      <c r="H636" s="656"/>
    </row>
    <row r="637" spans="1:8" ht="18.75" customHeight="1">
      <c r="A637" s="656"/>
      <c r="B637" s="657" t="s">
        <v>3928</v>
      </c>
      <c r="C637" s="657" t="s">
        <v>4303</v>
      </c>
      <c r="D637" s="657" t="s">
        <v>5198</v>
      </c>
      <c r="E637" s="657" t="s">
        <v>5199</v>
      </c>
      <c r="F637" s="658">
        <v>0.1</v>
      </c>
      <c r="G637" s="658">
        <v>0</v>
      </c>
      <c r="H637" s="656"/>
    </row>
    <row r="638" spans="1:8" ht="18.75" customHeight="1">
      <c r="A638" s="656"/>
      <c r="B638" s="659" t="s">
        <v>3928</v>
      </c>
      <c r="C638" s="659" t="s">
        <v>4303</v>
      </c>
      <c r="D638" s="659" t="s">
        <v>5200</v>
      </c>
      <c r="E638" s="659" t="s">
        <v>5201</v>
      </c>
      <c r="F638" s="660">
        <v>0.1</v>
      </c>
      <c r="G638" s="660">
        <v>0</v>
      </c>
      <c r="H638" s="656"/>
    </row>
    <row r="639" spans="1:8" ht="18.75" customHeight="1">
      <c r="A639" s="656"/>
      <c r="B639" s="657" t="s">
        <v>3928</v>
      </c>
      <c r="C639" s="657" t="s">
        <v>4303</v>
      </c>
      <c r="D639" s="657" t="s">
        <v>5202</v>
      </c>
      <c r="E639" s="657" t="s">
        <v>5164</v>
      </c>
      <c r="F639" s="658">
        <v>0.1</v>
      </c>
      <c r="G639" s="658">
        <v>0</v>
      </c>
      <c r="H639" s="656"/>
    </row>
    <row r="640" spans="1:8" ht="18.75" customHeight="1">
      <c r="A640" s="656"/>
      <c r="B640" s="659" t="s">
        <v>3928</v>
      </c>
      <c r="C640" s="659" t="s">
        <v>4303</v>
      </c>
      <c r="D640" s="659" t="s">
        <v>5203</v>
      </c>
      <c r="E640" s="659" t="s">
        <v>5204</v>
      </c>
      <c r="F640" s="660">
        <v>0.1</v>
      </c>
      <c r="G640" s="660">
        <v>0</v>
      </c>
      <c r="H640" s="656"/>
    </row>
    <row r="641" spans="1:8" ht="18.75" customHeight="1">
      <c r="A641" s="656"/>
      <c r="B641" s="657" t="s">
        <v>3928</v>
      </c>
      <c r="C641" s="657" t="s">
        <v>4303</v>
      </c>
      <c r="D641" s="657" t="s">
        <v>5205</v>
      </c>
      <c r="E641" s="657" t="s">
        <v>5206</v>
      </c>
      <c r="F641" s="658">
        <v>0.1</v>
      </c>
      <c r="G641" s="658">
        <v>0</v>
      </c>
      <c r="H641" s="656"/>
    </row>
    <row r="642" spans="1:8" ht="18.75" customHeight="1">
      <c r="A642" s="656"/>
      <c r="B642" s="659" t="s">
        <v>3928</v>
      </c>
      <c r="C642" s="659" t="s">
        <v>4303</v>
      </c>
      <c r="D642" s="659" t="s">
        <v>5207</v>
      </c>
      <c r="E642" s="659" t="s">
        <v>5208</v>
      </c>
      <c r="F642" s="660">
        <v>0.1</v>
      </c>
      <c r="G642" s="660">
        <v>0</v>
      </c>
      <c r="H642" s="656"/>
    </row>
    <row r="643" spans="1:8" ht="18.75" customHeight="1">
      <c r="A643" s="656"/>
      <c r="B643" s="657" t="s">
        <v>3928</v>
      </c>
      <c r="C643" s="657" t="s">
        <v>4303</v>
      </c>
      <c r="D643" s="657" t="s">
        <v>5209</v>
      </c>
      <c r="E643" s="657" t="s">
        <v>5210</v>
      </c>
      <c r="F643" s="658">
        <v>0.1</v>
      </c>
      <c r="G643" s="658">
        <v>0</v>
      </c>
      <c r="H643" s="656"/>
    </row>
    <row r="644" spans="1:8" ht="18.75" customHeight="1">
      <c r="A644" s="656"/>
      <c r="B644" s="659" t="s">
        <v>3928</v>
      </c>
      <c r="C644" s="659" t="s">
        <v>4303</v>
      </c>
      <c r="D644" s="659" t="s">
        <v>5211</v>
      </c>
      <c r="E644" s="659" t="s">
        <v>5212</v>
      </c>
      <c r="F644" s="660">
        <v>0.1</v>
      </c>
      <c r="G644" s="660">
        <v>0</v>
      </c>
      <c r="H644" s="656"/>
    </row>
    <row r="645" spans="1:8" ht="18.75" customHeight="1">
      <c r="A645" s="656"/>
      <c r="B645" s="657" t="s">
        <v>3928</v>
      </c>
      <c r="C645" s="657" t="s">
        <v>4303</v>
      </c>
      <c r="D645" s="657" t="s">
        <v>5213</v>
      </c>
      <c r="E645" s="657" t="s">
        <v>5214</v>
      </c>
      <c r="F645" s="658">
        <v>0.1</v>
      </c>
      <c r="G645" s="658">
        <v>0</v>
      </c>
      <c r="H645" s="656"/>
    </row>
    <row r="646" spans="1:8" ht="18.75" customHeight="1">
      <c r="A646" s="656"/>
      <c r="B646" s="659" t="s">
        <v>3928</v>
      </c>
      <c r="C646" s="659" t="s">
        <v>4303</v>
      </c>
      <c r="D646" s="659" t="s">
        <v>5215</v>
      </c>
      <c r="E646" s="659" t="s">
        <v>5216</v>
      </c>
      <c r="F646" s="660">
        <v>0.1</v>
      </c>
      <c r="G646" s="660">
        <v>0</v>
      </c>
      <c r="H646" s="656"/>
    </row>
    <row r="647" spans="1:8" ht="18.75" customHeight="1">
      <c r="A647" s="656"/>
      <c r="B647" s="657" t="s">
        <v>3928</v>
      </c>
      <c r="C647" s="657" t="s">
        <v>4799</v>
      </c>
      <c r="D647" s="657" t="s">
        <v>5217</v>
      </c>
      <c r="E647" s="657" t="s">
        <v>5218</v>
      </c>
      <c r="F647" s="658">
        <v>0.1</v>
      </c>
      <c r="G647" s="658">
        <v>0</v>
      </c>
      <c r="H647" s="656"/>
    </row>
    <row r="648" spans="1:8" ht="18.75" customHeight="1">
      <c r="A648" s="656"/>
      <c r="B648" s="659" t="s">
        <v>3928</v>
      </c>
      <c r="C648" s="659" t="s">
        <v>4303</v>
      </c>
      <c r="D648" s="659" t="s">
        <v>5219</v>
      </c>
      <c r="E648" s="659" t="s">
        <v>5220</v>
      </c>
      <c r="F648" s="660">
        <v>0.1</v>
      </c>
      <c r="G648" s="660">
        <v>0</v>
      </c>
      <c r="H648" s="656"/>
    </row>
    <row r="649" spans="1:8" ht="18.75" customHeight="1">
      <c r="A649" s="656"/>
      <c r="B649" s="657" t="s">
        <v>3928</v>
      </c>
      <c r="C649" s="657" t="s">
        <v>4303</v>
      </c>
      <c r="D649" s="657" t="s">
        <v>5221</v>
      </c>
      <c r="E649" s="657" t="s">
        <v>5222</v>
      </c>
      <c r="F649" s="658">
        <v>0.1</v>
      </c>
      <c r="G649" s="658">
        <v>0</v>
      </c>
      <c r="H649" s="656"/>
    </row>
    <row r="650" spans="1:8" ht="18.75" customHeight="1">
      <c r="A650" s="656"/>
      <c r="B650" s="659" t="s">
        <v>3928</v>
      </c>
      <c r="C650" s="659" t="s">
        <v>4303</v>
      </c>
      <c r="D650" s="659" t="s">
        <v>5223</v>
      </c>
      <c r="E650" s="659" t="s">
        <v>5224</v>
      </c>
      <c r="F650" s="660">
        <v>0.1</v>
      </c>
      <c r="G650" s="660">
        <v>0</v>
      </c>
      <c r="H650" s="656"/>
    </row>
    <row r="651" spans="1:8" ht="18.75" customHeight="1">
      <c r="A651" s="656"/>
      <c r="B651" s="657" t="s">
        <v>3928</v>
      </c>
      <c r="C651" s="657" t="s">
        <v>4303</v>
      </c>
      <c r="D651" s="657" t="s">
        <v>5225</v>
      </c>
      <c r="E651" s="657" t="s">
        <v>5226</v>
      </c>
      <c r="F651" s="658">
        <v>0.1</v>
      </c>
      <c r="G651" s="658">
        <v>0</v>
      </c>
      <c r="H651" s="656"/>
    </row>
    <row r="652" spans="1:8" ht="18.75" customHeight="1">
      <c r="A652" s="656"/>
      <c r="B652" s="659" t="s">
        <v>3928</v>
      </c>
      <c r="C652" s="659" t="s">
        <v>4303</v>
      </c>
      <c r="D652" s="659" t="s">
        <v>5227</v>
      </c>
      <c r="E652" s="659" t="s">
        <v>5228</v>
      </c>
      <c r="F652" s="660">
        <v>0.1</v>
      </c>
      <c r="G652" s="660">
        <v>0</v>
      </c>
      <c r="H652" s="656"/>
    </row>
    <row r="653" spans="1:8" ht="18.75" customHeight="1">
      <c r="A653" s="656"/>
      <c r="B653" s="657" t="s">
        <v>3928</v>
      </c>
      <c r="C653" s="657" t="s">
        <v>4303</v>
      </c>
      <c r="D653" s="657" t="s">
        <v>5229</v>
      </c>
      <c r="E653" s="657" t="s">
        <v>5230</v>
      </c>
      <c r="F653" s="658">
        <v>0.1</v>
      </c>
      <c r="G653" s="658">
        <v>0</v>
      </c>
      <c r="H653" s="656"/>
    </row>
    <row r="654" spans="1:8" ht="18.75" customHeight="1">
      <c r="A654" s="656"/>
      <c r="B654" s="659" t="s">
        <v>3928</v>
      </c>
      <c r="C654" s="659" t="s">
        <v>5054</v>
      </c>
      <c r="D654" s="659" t="s">
        <v>5231</v>
      </c>
      <c r="E654" s="659" t="s">
        <v>5232</v>
      </c>
      <c r="F654" s="660">
        <v>0.1</v>
      </c>
      <c r="G654" s="660">
        <v>0</v>
      </c>
      <c r="H654" s="656"/>
    </row>
    <row r="655" spans="1:8" ht="18.75" customHeight="1">
      <c r="A655" s="656"/>
      <c r="B655" s="657" t="s">
        <v>3928</v>
      </c>
      <c r="C655" s="657" t="s">
        <v>4303</v>
      </c>
      <c r="D655" s="657" t="s">
        <v>5233</v>
      </c>
      <c r="E655" s="657" t="s">
        <v>5234</v>
      </c>
      <c r="F655" s="658">
        <v>0.1</v>
      </c>
      <c r="G655" s="658">
        <v>0</v>
      </c>
      <c r="H655" s="656"/>
    </row>
    <row r="656" spans="1:8" ht="18.75" customHeight="1">
      <c r="A656" s="656"/>
      <c r="B656" s="659" t="s">
        <v>3928</v>
      </c>
      <c r="C656" s="659" t="s">
        <v>4303</v>
      </c>
      <c r="D656" s="659" t="s">
        <v>5235</v>
      </c>
      <c r="E656" s="659" t="s">
        <v>5236</v>
      </c>
      <c r="F656" s="660">
        <v>0.1</v>
      </c>
      <c r="G656" s="660">
        <v>0</v>
      </c>
      <c r="H656" s="656"/>
    </row>
    <row r="657" spans="1:8" ht="18.75" customHeight="1">
      <c r="A657" s="656"/>
      <c r="B657" s="657" t="s">
        <v>3928</v>
      </c>
      <c r="C657" s="657" t="s">
        <v>4303</v>
      </c>
      <c r="D657" s="657" t="s">
        <v>5237</v>
      </c>
      <c r="E657" s="657" t="s">
        <v>5238</v>
      </c>
      <c r="F657" s="658">
        <v>0.1</v>
      </c>
      <c r="G657" s="658">
        <v>0</v>
      </c>
      <c r="H657" s="656"/>
    </row>
    <row r="658" spans="1:8" ht="18.75" customHeight="1">
      <c r="A658" s="656"/>
      <c r="B658" s="659" t="s">
        <v>3928</v>
      </c>
      <c r="C658" s="659" t="s">
        <v>4303</v>
      </c>
      <c r="D658" s="659" t="s">
        <v>5239</v>
      </c>
      <c r="E658" s="659" t="s">
        <v>5240</v>
      </c>
      <c r="F658" s="660">
        <v>0.1</v>
      </c>
      <c r="G658" s="660">
        <v>0</v>
      </c>
      <c r="H658" s="656"/>
    </row>
    <row r="659" spans="1:8" ht="18.75" customHeight="1">
      <c r="A659" s="656"/>
      <c r="B659" s="657" t="s">
        <v>3928</v>
      </c>
      <c r="C659" s="657" t="s">
        <v>4303</v>
      </c>
      <c r="D659" s="657" t="s">
        <v>5241</v>
      </c>
      <c r="E659" s="657" t="s">
        <v>5242</v>
      </c>
      <c r="F659" s="658">
        <v>0.1</v>
      </c>
      <c r="G659" s="658">
        <v>0</v>
      </c>
      <c r="H659" s="656"/>
    </row>
    <row r="660" spans="1:8" ht="18.75" customHeight="1">
      <c r="A660" s="656"/>
      <c r="B660" s="659" t="s">
        <v>3928</v>
      </c>
      <c r="C660" s="659" t="s">
        <v>4303</v>
      </c>
      <c r="D660" s="659" t="s">
        <v>5243</v>
      </c>
      <c r="E660" s="659" t="s">
        <v>5244</v>
      </c>
      <c r="F660" s="660">
        <v>0.1</v>
      </c>
      <c r="G660" s="660">
        <v>0</v>
      </c>
      <c r="H660" s="656"/>
    </row>
    <row r="661" spans="1:8" ht="18.75" customHeight="1">
      <c r="A661" s="656"/>
      <c r="B661" s="657" t="s">
        <v>3928</v>
      </c>
      <c r="C661" s="657" t="s">
        <v>4303</v>
      </c>
      <c r="D661" s="657" t="s">
        <v>5245</v>
      </c>
      <c r="E661" s="657" t="s">
        <v>5246</v>
      </c>
      <c r="F661" s="658">
        <v>0.1</v>
      </c>
      <c r="G661" s="658">
        <v>0</v>
      </c>
      <c r="H661" s="656"/>
    </row>
    <row r="662" spans="1:8" ht="18.75" customHeight="1">
      <c r="A662" s="656"/>
      <c r="B662" s="659" t="s">
        <v>3928</v>
      </c>
      <c r="C662" s="659" t="s">
        <v>4303</v>
      </c>
      <c r="D662" s="659" t="s">
        <v>5247</v>
      </c>
      <c r="E662" s="659" t="s">
        <v>5248</v>
      </c>
      <c r="F662" s="660">
        <v>0.1</v>
      </c>
      <c r="G662" s="660">
        <v>0</v>
      </c>
      <c r="H662" s="656"/>
    </row>
    <row r="663" spans="1:8" ht="18.75" customHeight="1">
      <c r="A663" s="656"/>
      <c r="B663" s="657" t="s">
        <v>3928</v>
      </c>
      <c r="C663" s="657" t="s">
        <v>5054</v>
      </c>
      <c r="D663" s="657" t="s">
        <v>5249</v>
      </c>
      <c r="E663" s="657" t="s">
        <v>5250</v>
      </c>
      <c r="F663" s="658">
        <v>0.1</v>
      </c>
      <c r="G663" s="658">
        <v>0</v>
      </c>
      <c r="H663" s="656"/>
    </row>
    <row r="664" spans="1:8" ht="18.75" customHeight="1">
      <c r="A664" s="656"/>
      <c r="B664" s="659" t="s">
        <v>3928</v>
      </c>
      <c r="C664" s="659" t="s">
        <v>4303</v>
      </c>
      <c r="D664" s="659" t="s">
        <v>5251</v>
      </c>
      <c r="E664" s="659" t="s">
        <v>5252</v>
      </c>
      <c r="F664" s="660">
        <v>0.1</v>
      </c>
      <c r="G664" s="660">
        <v>0</v>
      </c>
      <c r="H664" s="656"/>
    </row>
    <row r="665" spans="1:8" ht="18.75" customHeight="1">
      <c r="A665" s="656"/>
      <c r="B665" s="657" t="s">
        <v>3928</v>
      </c>
      <c r="C665" s="657" t="s">
        <v>4303</v>
      </c>
      <c r="D665" s="657" t="s">
        <v>5253</v>
      </c>
      <c r="E665" s="657" t="s">
        <v>5204</v>
      </c>
      <c r="F665" s="658">
        <v>0.1</v>
      </c>
      <c r="G665" s="658">
        <v>0</v>
      </c>
      <c r="H665" s="656"/>
    </row>
    <row r="666" spans="1:8" ht="18.75" customHeight="1">
      <c r="A666" s="656"/>
      <c r="B666" s="659" t="s">
        <v>3928</v>
      </c>
      <c r="C666" s="659" t="s">
        <v>4303</v>
      </c>
      <c r="D666" s="659" t="s">
        <v>5254</v>
      </c>
      <c r="E666" s="659" t="s">
        <v>5255</v>
      </c>
      <c r="F666" s="660">
        <v>0.1</v>
      </c>
      <c r="G666" s="660">
        <v>0</v>
      </c>
      <c r="H666" s="656"/>
    </row>
    <row r="667" spans="1:8" ht="18.75" customHeight="1">
      <c r="A667" s="656"/>
      <c r="B667" s="657" t="s">
        <v>3928</v>
      </c>
      <c r="C667" s="657" t="s">
        <v>4303</v>
      </c>
      <c r="D667" s="657" t="s">
        <v>5256</v>
      </c>
      <c r="E667" s="657" t="s">
        <v>5257</v>
      </c>
      <c r="F667" s="658">
        <v>0.1</v>
      </c>
      <c r="G667" s="658">
        <v>0</v>
      </c>
      <c r="H667" s="656"/>
    </row>
    <row r="668" spans="1:8" ht="18.75" customHeight="1">
      <c r="A668" s="656"/>
      <c r="B668" s="659" t="s">
        <v>3928</v>
      </c>
      <c r="C668" s="659" t="s">
        <v>4303</v>
      </c>
      <c r="D668" s="659" t="s">
        <v>5258</v>
      </c>
      <c r="E668" s="659" t="s">
        <v>5259</v>
      </c>
      <c r="F668" s="660">
        <v>0.1</v>
      </c>
      <c r="G668" s="660">
        <v>0</v>
      </c>
      <c r="H668" s="656"/>
    </row>
    <row r="669" spans="1:8" ht="18.75" customHeight="1">
      <c r="A669" s="656"/>
      <c r="B669" s="657" t="s">
        <v>3928</v>
      </c>
      <c r="C669" s="657" t="s">
        <v>4303</v>
      </c>
      <c r="D669" s="657" t="s">
        <v>5260</v>
      </c>
      <c r="E669" s="657" t="s">
        <v>5261</v>
      </c>
      <c r="F669" s="658">
        <v>0.1</v>
      </c>
      <c r="G669" s="658">
        <v>0</v>
      </c>
      <c r="H669" s="656"/>
    </row>
    <row r="670" spans="1:8" ht="18.75" customHeight="1">
      <c r="A670" s="656"/>
      <c r="B670" s="659" t="s">
        <v>3928</v>
      </c>
      <c r="C670" s="659" t="s">
        <v>4303</v>
      </c>
      <c r="D670" s="659" t="s">
        <v>5262</v>
      </c>
      <c r="E670" s="659" t="s">
        <v>5263</v>
      </c>
      <c r="F670" s="660">
        <v>0.1</v>
      </c>
      <c r="G670" s="660">
        <v>0</v>
      </c>
      <c r="H670" s="656"/>
    </row>
    <row r="671" spans="1:8" ht="18.75" customHeight="1">
      <c r="A671" s="656"/>
      <c r="B671" s="657" t="s">
        <v>3928</v>
      </c>
      <c r="C671" s="657" t="s">
        <v>4303</v>
      </c>
      <c r="D671" s="657" t="s">
        <v>5264</v>
      </c>
      <c r="E671" s="657" t="s">
        <v>5265</v>
      </c>
      <c r="F671" s="658">
        <v>0.1</v>
      </c>
      <c r="G671" s="658">
        <v>0</v>
      </c>
      <c r="H671" s="656"/>
    </row>
    <row r="672" spans="1:8" ht="18.75" customHeight="1">
      <c r="A672" s="656"/>
      <c r="B672" s="659" t="s">
        <v>3928</v>
      </c>
      <c r="C672" s="659" t="s">
        <v>4303</v>
      </c>
      <c r="D672" s="659" t="s">
        <v>5266</v>
      </c>
      <c r="E672" s="659" t="s">
        <v>5267</v>
      </c>
      <c r="F672" s="660">
        <v>0.1</v>
      </c>
      <c r="G672" s="660">
        <v>0</v>
      </c>
      <c r="H672" s="656"/>
    </row>
    <row r="673" spans="1:8" ht="18.75" customHeight="1">
      <c r="A673" s="656"/>
      <c r="B673" s="657" t="s">
        <v>3928</v>
      </c>
      <c r="C673" s="657" t="s">
        <v>4303</v>
      </c>
      <c r="D673" s="657" t="s">
        <v>5268</v>
      </c>
      <c r="E673" s="657" t="s">
        <v>5269</v>
      </c>
      <c r="F673" s="658">
        <v>0.1</v>
      </c>
      <c r="G673" s="658">
        <v>0</v>
      </c>
      <c r="H673" s="656"/>
    </row>
    <row r="674" spans="1:8" ht="18.75" customHeight="1">
      <c r="A674" s="656"/>
      <c r="B674" s="659" t="s">
        <v>3928</v>
      </c>
      <c r="C674" s="659" t="s">
        <v>4303</v>
      </c>
      <c r="D674" s="659" t="s">
        <v>5270</v>
      </c>
      <c r="E674" s="659" t="s">
        <v>5271</v>
      </c>
      <c r="F674" s="660">
        <v>0.1</v>
      </c>
      <c r="G674" s="660">
        <v>0</v>
      </c>
      <c r="H674" s="656"/>
    </row>
    <row r="675" spans="1:8" ht="18.75" customHeight="1">
      <c r="A675" s="656"/>
      <c r="B675" s="657" t="s">
        <v>3928</v>
      </c>
      <c r="C675" s="657" t="s">
        <v>4303</v>
      </c>
      <c r="D675" s="657" t="s">
        <v>5272</v>
      </c>
      <c r="E675" s="657" t="s">
        <v>5273</v>
      </c>
      <c r="F675" s="658">
        <v>0.1</v>
      </c>
      <c r="G675" s="658">
        <v>0</v>
      </c>
      <c r="H675" s="656"/>
    </row>
    <row r="676" spans="1:8" ht="18.75" customHeight="1">
      <c r="A676" s="656"/>
      <c r="B676" s="659" t="s">
        <v>3928</v>
      </c>
      <c r="C676" s="659" t="s">
        <v>4303</v>
      </c>
      <c r="D676" s="659" t="s">
        <v>5274</v>
      </c>
      <c r="E676" s="659" t="s">
        <v>5275</v>
      </c>
      <c r="F676" s="660">
        <v>0.1</v>
      </c>
      <c r="G676" s="660">
        <v>0</v>
      </c>
      <c r="H676" s="656"/>
    </row>
    <row r="677" spans="1:8" ht="18.75" customHeight="1">
      <c r="A677" s="656"/>
      <c r="B677" s="657" t="s">
        <v>3928</v>
      </c>
      <c r="C677" s="657" t="s">
        <v>4303</v>
      </c>
      <c r="D677" s="657" t="s">
        <v>5276</v>
      </c>
      <c r="E677" s="657" t="s">
        <v>5277</v>
      </c>
      <c r="F677" s="658">
        <v>0.1</v>
      </c>
      <c r="G677" s="658">
        <v>0</v>
      </c>
      <c r="H677" s="656"/>
    </row>
    <row r="678" spans="1:8" ht="18.75" customHeight="1">
      <c r="A678" s="656"/>
      <c r="B678" s="659" t="s">
        <v>3928</v>
      </c>
      <c r="C678" s="659" t="s">
        <v>4303</v>
      </c>
      <c r="D678" s="659" t="s">
        <v>5278</v>
      </c>
      <c r="E678" s="659" t="s">
        <v>5279</v>
      </c>
      <c r="F678" s="660">
        <v>0.1</v>
      </c>
      <c r="G678" s="660">
        <v>0</v>
      </c>
      <c r="H678" s="656"/>
    </row>
    <row r="679" spans="1:8" ht="18.75" customHeight="1">
      <c r="A679" s="656"/>
      <c r="B679" s="657" t="s">
        <v>3928</v>
      </c>
      <c r="C679" s="657" t="s">
        <v>4303</v>
      </c>
      <c r="D679" s="657" t="s">
        <v>5280</v>
      </c>
      <c r="E679" s="657" t="s">
        <v>5281</v>
      </c>
      <c r="F679" s="658">
        <v>0.1</v>
      </c>
      <c r="G679" s="658">
        <v>0</v>
      </c>
      <c r="H679" s="656"/>
    </row>
    <row r="680" spans="1:8" ht="18.75" customHeight="1">
      <c r="A680" s="656"/>
      <c r="B680" s="659" t="s">
        <v>3928</v>
      </c>
      <c r="C680" s="659" t="s">
        <v>4303</v>
      </c>
      <c r="D680" s="659" t="s">
        <v>5282</v>
      </c>
      <c r="E680" s="659" t="s">
        <v>5283</v>
      </c>
      <c r="F680" s="660">
        <v>0.1</v>
      </c>
      <c r="G680" s="660">
        <v>0</v>
      </c>
      <c r="H680" s="656"/>
    </row>
    <row r="681" spans="1:8" ht="18.75" customHeight="1">
      <c r="A681" s="656"/>
      <c r="B681" s="657" t="s">
        <v>3928</v>
      </c>
      <c r="C681" s="657" t="s">
        <v>4303</v>
      </c>
      <c r="D681" s="657" t="s">
        <v>5284</v>
      </c>
      <c r="E681" s="657" t="s">
        <v>5285</v>
      </c>
      <c r="F681" s="658">
        <v>0.1</v>
      </c>
      <c r="G681" s="658">
        <v>0</v>
      </c>
      <c r="H681" s="656"/>
    </row>
    <row r="682" spans="1:8" ht="18.75" customHeight="1">
      <c r="A682" s="656"/>
      <c r="B682" s="659" t="s">
        <v>3928</v>
      </c>
      <c r="C682" s="659" t="s">
        <v>4303</v>
      </c>
      <c r="D682" s="659" t="s">
        <v>5286</v>
      </c>
      <c r="E682" s="659" t="s">
        <v>5287</v>
      </c>
      <c r="F682" s="660">
        <v>0.1</v>
      </c>
      <c r="G682" s="660">
        <v>0</v>
      </c>
      <c r="H682" s="656"/>
    </row>
    <row r="683" spans="1:8" ht="18.75" customHeight="1">
      <c r="A683" s="656"/>
      <c r="B683" s="657" t="s">
        <v>3928</v>
      </c>
      <c r="C683" s="657" t="s">
        <v>4303</v>
      </c>
      <c r="D683" s="657" t="s">
        <v>5288</v>
      </c>
      <c r="E683" s="657" t="s">
        <v>5289</v>
      </c>
      <c r="F683" s="658">
        <v>0.1</v>
      </c>
      <c r="G683" s="658">
        <v>0</v>
      </c>
      <c r="H683" s="656"/>
    </row>
    <row r="684" spans="1:8" ht="18.75" customHeight="1">
      <c r="A684" s="656"/>
      <c r="B684" s="659" t="s">
        <v>3928</v>
      </c>
      <c r="C684" s="659" t="s">
        <v>4303</v>
      </c>
      <c r="D684" s="659" t="s">
        <v>5290</v>
      </c>
      <c r="E684" s="659" t="s">
        <v>5291</v>
      </c>
      <c r="F684" s="660">
        <v>0.1</v>
      </c>
      <c r="G684" s="660">
        <v>0</v>
      </c>
      <c r="H684" s="656"/>
    </row>
    <row r="685" spans="1:8" ht="18.75" customHeight="1">
      <c r="A685" s="656"/>
      <c r="B685" s="657" t="s">
        <v>3928</v>
      </c>
      <c r="C685" s="657" t="s">
        <v>4303</v>
      </c>
      <c r="D685" s="657" t="s">
        <v>5292</v>
      </c>
      <c r="E685" s="657" t="s">
        <v>5293</v>
      </c>
      <c r="F685" s="658">
        <v>0.1</v>
      </c>
      <c r="G685" s="658">
        <v>0</v>
      </c>
      <c r="H685" s="656"/>
    </row>
    <row r="686" spans="1:8" ht="18.75" customHeight="1">
      <c r="A686" s="656"/>
      <c r="B686" s="659" t="s">
        <v>3928</v>
      </c>
      <c r="C686" s="659" t="s">
        <v>4303</v>
      </c>
      <c r="D686" s="659" t="s">
        <v>5294</v>
      </c>
      <c r="E686" s="659" t="s">
        <v>5295</v>
      </c>
      <c r="F686" s="660">
        <v>0.1</v>
      </c>
      <c r="G686" s="660">
        <v>0</v>
      </c>
      <c r="H686" s="656"/>
    </row>
    <row r="687" spans="1:8" ht="18.75" customHeight="1">
      <c r="A687" s="656"/>
      <c r="B687" s="657" t="s">
        <v>3928</v>
      </c>
      <c r="C687" s="657" t="s">
        <v>4303</v>
      </c>
      <c r="D687" s="657" t="s">
        <v>5296</v>
      </c>
      <c r="E687" s="657" t="s">
        <v>5297</v>
      </c>
      <c r="F687" s="658">
        <v>0.1</v>
      </c>
      <c r="G687" s="658">
        <v>0</v>
      </c>
      <c r="H687" s="656"/>
    </row>
    <row r="688" spans="1:8" ht="18.75" customHeight="1">
      <c r="A688" s="656"/>
      <c r="B688" s="659" t="s">
        <v>3928</v>
      </c>
      <c r="C688" s="659" t="s">
        <v>4303</v>
      </c>
      <c r="D688" s="659" t="s">
        <v>5298</v>
      </c>
      <c r="E688" s="659" t="s">
        <v>5299</v>
      </c>
      <c r="F688" s="660">
        <v>0.1</v>
      </c>
      <c r="G688" s="660">
        <v>0</v>
      </c>
      <c r="H688" s="656"/>
    </row>
    <row r="689" spans="1:8" ht="18.75" customHeight="1">
      <c r="A689" s="656"/>
      <c r="B689" s="657" t="s">
        <v>3928</v>
      </c>
      <c r="C689" s="657" t="s">
        <v>4303</v>
      </c>
      <c r="D689" s="657" t="s">
        <v>5300</v>
      </c>
      <c r="E689" s="657" t="s">
        <v>5301</v>
      </c>
      <c r="F689" s="658">
        <v>0.1</v>
      </c>
      <c r="G689" s="658">
        <v>0</v>
      </c>
      <c r="H689" s="656"/>
    </row>
    <row r="690" spans="1:8" ht="18.75" customHeight="1">
      <c r="A690" s="656"/>
      <c r="B690" s="659" t="s">
        <v>3928</v>
      </c>
      <c r="C690" s="659" t="s">
        <v>4303</v>
      </c>
      <c r="D690" s="659" t="s">
        <v>5302</v>
      </c>
      <c r="E690" s="659" t="s">
        <v>5303</v>
      </c>
      <c r="F690" s="660">
        <v>0.1</v>
      </c>
      <c r="G690" s="660">
        <v>0</v>
      </c>
      <c r="H690" s="656"/>
    </row>
    <row r="691" spans="1:8" ht="18.75" customHeight="1">
      <c r="A691" s="656"/>
      <c r="B691" s="657" t="s">
        <v>3928</v>
      </c>
      <c r="C691" s="657" t="s">
        <v>4303</v>
      </c>
      <c r="D691" s="657" t="s">
        <v>5304</v>
      </c>
      <c r="E691" s="657" t="s">
        <v>5305</v>
      </c>
      <c r="F691" s="658">
        <v>0.1</v>
      </c>
      <c r="G691" s="658">
        <v>0</v>
      </c>
      <c r="H691" s="656"/>
    </row>
    <row r="692" spans="1:8" ht="18.75" customHeight="1">
      <c r="A692" s="656"/>
      <c r="B692" s="659" t="s">
        <v>3928</v>
      </c>
      <c r="C692" s="659" t="s">
        <v>4303</v>
      </c>
      <c r="D692" s="659" t="s">
        <v>5306</v>
      </c>
      <c r="E692" s="659" t="s">
        <v>5307</v>
      </c>
      <c r="F692" s="660">
        <v>0.1</v>
      </c>
      <c r="G692" s="660">
        <v>0</v>
      </c>
      <c r="H692" s="656"/>
    </row>
    <row r="693" spans="1:8" ht="18.75" customHeight="1">
      <c r="A693" s="656"/>
      <c r="B693" s="657" t="s">
        <v>3928</v>
      </c>
      <c r="C693" s="657" t="s">
        <v>4303</v>
      </c>
      <c r="D693" s="657" t="s">
        <v>5308</v>
      </c>
      <c r="E693" s="657" t="s">
        <v>5309</v>
      </c>
      <c r="F693" s="658">
        <v>0.1</v>
      </c>
      <c r="G693" s="658">
        <v>0</v>
      </c>
      <c r="H693" s="656"/>
    </row>
    <row r="694" spans="1:8" ht="18.75" customHeight="1">
      <c r="A694" s="656"/>
      <c r="B694" s="659" t="s">
        <v>3928</v>
      </c>
      <c r="C694" s="659" t="s">
        <v>4303</v>
      </c>
      <c r="D694" s="659" t="s">
        <v>5310</v>
      </c>
      <c r="E694" s="659" t="s">
        <v>5311</v>
      </c>
      <c r="F694" s="660">
        <v>0.1</v>
      </c>
      <c r="G694" s="660">
        <v>0</v>
      </c>
      <c r="H694" s="656"/>
    </row>
    <row r="695" spans="1:8" ht="18.75" customHeight="1">
      <c r="A695" s="656"/>
      <c r="B695" s="657" t="s">
        <v>3928</v>
      </c>
      <c r="C695" s="657" t="s">
        <v>4303</v>
      </c>
      <c r="D695" s="657" t="s">
        <v>5312</v>
      </c>
      <c r="E695" s="657" t="s">
        <v>5313</v>
      </c>
      <c r="F695" s="658">
        <v>0.1</v>
      </c>
      <c r="G695" s="658">
        <v>0</v>
      </c>
      <c r="H695" s="656"/>
    </row>
    <row r="696" spans="1:8" ht="18.75" customHeight="1">
      <c r="A696" s="656"/>
      <c r="B696" s="659" t="s">
        <v>3928</v>
      </c>
      <c r="C696" s="659" t="s">
        <v>4303</v>
      </c>
      <c r="D696" s="659" t="s">
        <v>5314</v>
      </c>
      <c r="E696" s="659" t="s">
        <v>5315</v>
      </c>
      <c r="F696" s="660">
        <v>0.1</v>
      </c>
      <c r="G696" s="660">
        <v>0</v>
      </c>
      <c r="H696" s="656"/>
    </row>
    <row r="697" spans="1:8" ht="18.75" customHeight="1">
      <c r="A697" s="656"/>
      <c r="B697" s="657" t="s">
        <v>3928</v>
      </c>
      <c r="C697" s="657" t="s">
        <v>4303</v>
      </c>
      <c r="D697" s="657" t="s">
        <v>5316</v>
      </c>
      <c r="E697" s="657" t="s">
        <v>5315</v>
      </c>
      <c r="F697" s="658">
        <v>0.1</v>
      </c>
      <c r="G697" s="658">
        <v>0</v>
      </c>
      <c r="H697" s="656"/>
    </row>
    <row r="698" spans="1:8" ht="18.75" customHeight="1">
      <c r="A698" s="656"/>
      <c r="B698" s="659" t="s">
        <v>3928</v>
      </c>
      <c r="C698" s="659" t="s">
        <v>4303</v>
      </c>
      <c r="D698" s="659" t="s">
        <v>5317</v>
      </c>
      <c r="E698" s="659" t="s">
        <v>5318</v>
      </c>
      <c r="F698" s="660">
        <v>0.1</v>
      </c>
      <c r="G698" s="660">
        <v>0</v>
      </c>
      <c r="H698" s="656"/>
    </row>
    <row r="699" spans="1:8" ht="18.75" customHeight="1">
      <c r="A699" s="656"/>
      <c r="B699" s="657" t="s">
        <v>3928</v>
      </c>
      <c r="C699" s="657" t="s">
        <v>4303</v>
      </c>
      <c r="D699" s="657" t="s">
        <v>5319</v>
      </c>
      <c r="E699" s="657" t="s">
        <v>5320</v>
      </c>
      <c r="F699" s="658">
        <v>0.1</v>
      </c>
      <c r="G699" s="658">
        <v>0</v>
      </c>
      <c r="H699" s="656"/>
    </row>
    <row r="700" spans="1:8" ht="18.75" customHeight="1">
      <c r="A700" s="656"/>
      <c r="B700" s="659" t="s">
        <v>3928</v>
      </c>
      <c r="C700" s="659" t="s">
        <v>4303</v>
      </c>
      <c r="D700" s="659" t="s">
        <v>5321</v>
      </c>
      <c r="E700" s="659" t="s">
        <v>5322</v>
      </c>
      <c r="F700" s="660">
        <v>0.1</v>
      </c>
      <c r="G700" s="660">
        <v>0</v>
      </c>
      <c r="H700" s="656"/>
    </row>
    <row r="701" spans="1:8" ht="18.75" customHeight="1">
      <c r="A701" s="656"/>
      <c r="B701" s="657" t="s">
        <v>3928</v>
      </c>
      <c r="C701" s="657" t="s">
        <v>4303</v>
      </c>
      <c r="D701" s="657" t="s">
        <v>5323</v>
      </c>
      <c r="E701" s="657" t="s">
        <v>5324</v>
      </c>
      <c r="F701" s="658">
        <v>0.1</v>
      </c>
      <c r="G701" s="658">
        <v>0</v>
      </c>
      <c r="H701" s="656"/>
    </row>
    <row r="702" spans="1:8" ht="18.75" customHeight="1">
      <c r="A702" s="656"/>
      <c r="B702" s="659" t="s">
        <v>3928</v>
      </c>
      <c r="C702" s="659" t="s">
        <v>4303</v>
      </c>
      <c r="D702" s="659" t="s">
        <v>5325</v>
      </c>
      <c r="E702" s="659" t="s">
        <v>5326</v>
      </c>
      <c r="F702" s="660">
        <v>0.1</v>
      </c>
      <c r="G702" s="660">
        <v>0</v>
      </c>
      <c r="H702" s="656"/>
    </row>
    <row r="703" spans="1:8" ht="18.75" customHeight="1">
      <c r="A703" s="656"/>
      <c r="B703" s="657" t="s">
        <v>3928</v>
      </c>
      <c r="C703" s="657" t="s">
        <v>4303</v>
      </c>
      <c r="D703" s="657" t="s">
        <v>5327</v>
      </c>
      <c r="E703" s="657" t="s">
        <v>5328</v>
      </c>
      <c r="F703" s="658">
        <v>0.1</v>
      </c>
      <c r="G703" s="658">
        <v>0</v>
      </c>
      <c r="H703" s="656"/>
    </row>
    <row r="704" spans="1:8" ht="18.75" customHeight="1">
      <c r="A704" s="656"/>
      <c r="B704" s="659" t="s">
        <v>3928</v>
      </c>
      <c r="C704" s="659" t="s">
        <v>4799</v>
      </c>
      <c r="D704" s="659" t="s">
        <v>5329</v>
      </c>
      <c r="E704" s="659" t="s">
        <v>5330</v>
      </c>
      <c r="F704" s="660">
        <v>0.1</v>
      </c>
      <c r="G704" s="660">
        <v>0</v>
      </c>
      <c r="H704" s="656"/>
    </row>
    <row r="705" spans="1:8" ht="18.75" customHeight="1">
      <c r="A705" s="656"/>
      <c r="B705" s="657" t="s">
        <v>3928</v>
      </c>
      <c r="C705" s="657" t="s">
        <v>4303</v>
      </c>
      <c r="D705" s="657" t="s">
        <v>5331</v>
      </c>
      <c r="E705" s="657" t="s">
        <v>5332</v>
      </c>
      <c r="F705" s="658">
        <v>0.1</v>
      </c>
      <c r="G705" s="658">
        <v>0</v>
      </c>
      <c r="H705" s="656"/>
    </row>
    <row r="706" spans="1:8" ht="18.75" customHeight="1">
      <c r="A706" s="656"/>
      <c r="B706" s="659" t="s">
        <v>3928</v>
      </c>
      <c r="C706" s="659" t="s">
        <v>4303</v>
      </c>
      <c r="D706" s="659" t="s">
        <v>5333</v>
      </c>
      <c r="E706" s="659" t="s">
        <v>5334</v>
      </c>
      <c r="F706" s="660">
        <v>0.1</v>
      </c>
      <c r="G706" s="660">
        <v>0</v>
      </c>
      <c r="H706" s="656"/>
    </row>
    <row r="707" spans="1:8" ht="18.75" customHeight="1">
      <c r="A707" s="656"/>
      <c r="B707" s="657" t="s">
        <v>3928</v>
      </c>
      <c r="C707" s="657" t="s">
        <v>4303</v>
      </c>
      <c r="D707" s="657" t="s">
        <v>5335</v>
      </c>
      <c r="E707" s="657" t="s">
        <v>5336</v>
      </c>
      <c r="F707" s="658">
        <v>0.1</v>
      </c>
      <c r="G707" s="658">
        <v>0</v>
      </c>
      <c r="H707" s="656"/>
    </row>
    <row r="708" spans="1:8" ht="18.75" customHeight="1">
      <c r="A708" s="656"/>
      <c r="B708" s="659" t="s">
        <v>3928</v>
      </c>
      <c r="C708" s="659" t="s">
        <v>4303</v>
      </c>
      <c r="D708" s="659" t="s">
        <v>5337</v>
      </c>
      <c r="E708" s="659" t="s">
        <v>5338</v>
      </c>
      <c r="F708" s="660">
        <v>0.1</v>
      </c>
      <c r="G708" s="660">
        <v>0</v>
      </c>
      <c r="H708" s="656"/>
    </row>
    <row r="709" spans="1:8" ht="18.75" customHeight="1">
      <c r="A709" s="656"/>
      <c r="B709" s="657" t="s">
        <v>3928</v>
      </c>
      <c r="C709" s="657" t="s">
        <v>4799</v>
      </c>
      <c r="D709" s="657" t="s">
        <v>5339</v>
      </c>
      <c r="E709" s="657" t="s">
        <v>5340</v>
      </c>
      <c r="F709" s="658">
        <v>0.1</v>
      </c>
      <c r="G709" s="658">
        <v>0</v>
      </c>
      <c r="H709" s="656"/>
    </row>
    <row r="710" spans="1:8" ht="18.75" customHeight="1">
      <c r="A710" s="656"/>
      <c r="B710" s="659" t="s">
        <v>3928</v>
      </c>
      <c r="C710" s="659" t="s">
        <v>4303</v>
      </c>
      <c r="D710" s="659" t="s">
        <v>5341</v>
      </c>
      <c r="E710" s="659" t="s">
        <v>5342</v>
      </c>
      <c r="F710" s="660">
        <v>0.1</v>
      </c>
      <c r="G710" s="660">
        <v>0</v>
      </c>
      <c r="H710" s="656"/>
    </row>
    <row r="711" spans="1:8" ht="18.75" customHeight="1">
      <c r="A711" s="656"/>
      <c r="B711" s="657" t="s">
        <v>3928</v>
      </c>
      <c r="C711" s="657" t="s">
        <v>4303</v>
      </c>
      <c r="D711" s="657" t="s">
        <v>5343</v>
      </c>
      <c r="E711" s="657" t="s">
        <v>5344</v>
      </c>
      <c r="F711" s="658">
        <v>0.1</v>
      </c>
      <c r="G711" s="658">
        <v>0</v>
      </c>
      <c r="H711" s="656"/>
    </row>
    <row r="712" spans="1:8" ht="18.75" customHeight="1">
      <c r="A712" s="656"/>
      <c r="B712" s="659" t="s">
        <v>3928</v>
      </c>
      <c r="C712" s="659" t="s">
        <v>4303</v>
      </c>
      <c r="D712" s="659" t="s">
        <v>5345</v>
      </c>
      <c r="E712" s="659" t="s">
        <v>5346</v>
      </c>
      <c r="F712" s="660">
        <v>0.1</v>
      </c>
      <c r="G712" s="660">
        <v>0</v>
      </c>
      <c r="H712" s="656"/>
    </row>
    <row r="713" spans="1:8" ht="18.75" customHeight="1">
      <c r="A713" s="656"/>
      <c r="B713" s="657" t="s">
        <v>3928</v>
      </c>
      <c r="C713" s="657" t="s">
        <v>4303</v>
      </c>
      <c r="D713" s="657" t="s">
        <v>5347</v>
      </c>
      <c r="E713" s="657" t="s">
        <v>5348</v>
      </c>
      <c r="F713" s="658">
        <v>0.1</v>
      </c>
      <c r="G713" s="658">
        <v>0</v>
      </c>
      <c r="H713" s="656"/>
    </row>
    <row r="714" spans="1:8" ht="18.75" customHeight="1">
      <c r="A714" s="656"/>
      <c r="B714" s="659" t="s">
        <v>3928</v>
      </c>
      <c r="C714" s="659" t="s">
        <v>4303</v>
      </c>
      <c r="D714" s="659" t="s">
        <v>5349</v>
      </c>
      <c r="E714" s="659" t="s">
        <v>5350</v>
      </c>
      <c r="F714" s="660">
        <v>0.1</v>
      </c>
      <c r="G714" s="660">
        <v>0</v>
      </c>
      <c r="H714" s="656"/>
    </row>
    <row r="715" spans="1:8" ht="18.75" customHeight="1">
      <c r="A715" s="656"/>
      <c r="B715" s="657" t="s">
        <v>3928</v>
      </c>
      <c r="C715" s="657" t="s">
        <v>4303</v>
      </c>
      <c r="D715" s="657" t="s">
        <v>5351</v>
      </c>
      <c r="E715" s="657" t="s">
        <v>5352</v>
      </c>
      <c r="F715" s="658">
        <v>0.1</v>
      </c>
      <c r="G715" s="658">
        <v>0</v>
      </c>
      <c r="H715" s="656"/>
    </row>
    <row r="716" spans="1:8" ht="18.75" customHeight="1">
      <c r="A716" s="656"/>
      <c r="B716" s="659" t="s">
        <v>3928</v>
      </c>
      <c r="C716" s="659" t="s">
        <v>4303</v>
      </c>
      <c r="D716" s="659" t="s">
        <v>5353</v>
      </c>
      <c r="E716" s="659" t="s">
        <v>5354</v>
      </c>
      <c r="F716" s="660">
        <v>0.1</v>
      </c>
      <c r="G716" s="660">
        <v>0</v>
      </c>
      <c r="H716" s="656"/>
    </row>
    <row r="717" spans="1:8" ht="18.75" customHeight="1">
      <c r="A717" s="656"/>
      <c r="B717" s="657" t="s">
        <v>3928</v>
      </c>
      <c r="C717" s="657" t="s">
        <v>4303</v>
      </c>
      <c r="D717" s="657" t="s">
        <v>5355</v>
      </c>
      <c r="E717" s="657" t="s">
        <v>5356</v>
      </c>
      <c r="F717" s="658">
        <v>0.1</v>
      </c>
      <c r="G717" s="658">
        <v>0</v>
      </c>
      <c r="H717" s="656"/>
    </row>
    <row r="718" spans="1:8" ht="18.75" customHeight="1">
      <c r="A718" s="656"/>
      <c r="B718" s="659" t="s">
        <v>3928</v>
      </c>
      <c r="C718" s="659" t="s">
        <v>4303</v>
      </c>
      <c r="D718" s="659" t="s">
        <v>5357</v>
      </c>
      <c r="E718" s="659" t="s">
        <v>5358</v>
      </c>
      <c r="F718" s="660">
        <v>0.1</v>
      </c>
      <c r="G718" s="660">
        <v>0</v>
      </c>
      <c r="H718" s="656"/>
    </row>
    <row r="719" spans="1:8" ht="18.75" customHeight="1">
      <c r="A719" s="656"/>
      <c r="B719" s="657" t="s">
        <v>3928</v>
      </c>
      <c r="C719" s="657" t="s">
        <v>4303</v>
      </c>
      <c r="D719" s="657" t="s">
        <v>5359</v>
      </c>
      <c r="E719" s="657" t="s">
        <v>5360</v>
      </c>
      <c r="F719" s="658">
        <v>0.1</v>
      </c>
      <c r="G719" s="658">
        <v>0</v>
      </c>
      <c r="H719" s="656"/>
    </row>
    <row r="720" spans="1:8" ht="18.75" customHeight="1">
      <c r="A720" s="656"/>
      <c r="B720" s="659" t="s">
        <v>3928</v>
      </c>
      <c r="C720" s="659" t="s">
        <v>4303</v>
      </c>
      <c r="D720" s="659" t="s">
        <v>5361</v>
      </c>
      <c r="E720" s="659" t="s">
        <v>5362</v>
      </c>
      <c r="F720" s="660">
        <v>0.1</v>
      </c>
      <c r="G720" s="660">
        <v>0</v>
      </c>
      <c r="H720" s="656"/>
    </row>
    <row r="721" spans="1:8" ht="18.75" customHeight="1">
      <c r="A721" s="656"/>
      <c r="B721" s="657" t="s">
        <v>3928</v>
      </c>
      <c r="C721" s="657" t="s">
        <v>4303</v>
      </c>
      <c r="D721" s="657" t="s">
        <v>5363</v>
      </c>
      <c r="E721" s="657" t="s">
        <v>5364</v>
      </c>
      <c r="F721" s="658">
        <v>0.1</v>
      </c>
      <c r="G721" s="658">
        <v>0</v>
      </c>
      <c r="H721" s="656"/>
    </row>
    <row r="722" spans="1:8" ht="18.75" customHeight="1">
      <c r="A722" s="656"/>
      <c r="B722" s="659" t="s">
        <v>3928</v>
      </c>
      <c r="C722" s="659" t="s">
        <v>4303</v>
      </c>
      <c r="D722" s="659" t="s">
        <v>5365</v>
      </c>
      <c r="E722" s="659" t="s">
        <v>5366</v>
      </c>
      <c r="F722" s="660">
        <v>0.1</v>
      </c>
      <c r="G722" s="660">
        <v>0</v>
      </c>
      <c r="H722" s="656"/>
    </row>
    <row r="723" spans="1:8" ht="18.75" customHeight="1">
      <c r="A723" s="656"/>
      <c r="B723" s="657" t="s">
        <v>3928</v>
      </c>
      <c r="C723" s="657" t="s">
        <v>4303</v>
      </c>
      <c r="D723" s="657" t="s">
        <v>5367</v>
      </c>
      <c r="E723" s="657" t="s">
        <v>5368</v>
      </c>
      <c r="F723" s="658">
        <v>0.1</v>
      </c>
      <c r="G723" s="658">
        <v>0</v>
      </c>
      <c r="H723" s="656"/>
    </row>
    <row r="724" spans="1:8" ht="18.75" customHeight="1">
      <c r="A724" s="656"/>
      <c r="B724" s="659" t="s">
        <v>3928</v>
      </c>
      <c r="C724" s="659" t="s">
        <v>4303</v>
      </c>
      <c r="D724" s="659" t="s">
        <v>5369</v>
      </c>
      <c r="E724" s="659" t="s">
        <v>5370</v>
      </c>
      <c r="F724" s="660">
        <v>0.1</v>
      </c>
      <c r="G724" s="660">
        <v>0</v>
      </c>
      <c r="H724" s="656"/>
    </row>
    <row r="725" spans="1:8" ht="18.75" customHeight="1">
      <c r="A725" s="656"/>
      <c r="B725" s="657" t="s">
        <v>3928</v>
      </c>
      <c r="C725" s="657" t="s">
        <v>4303</v>
      </c>
      <c r="D725" s="657" t="s">
        <v>5371</v>
      </c>
      <c r="E725" s="657" t="s">
        <v>5372</v>
      </c>
      <c r="F725" s="658">
        <v>0.1</v>
      </c>
      <c r="G725" s="658">
        <v>0</v>
      </c>
      <c r="H725" s="656"/>
    </row>
    <row r="726" spans="1:8" ht="18.75" customHeight="1">
      <c r="A726" s="656"/>
      <c r="B726" s="659" t="s">
        <v>3928</v>
      </c>
      <c r="C726" s="659" t="s">
        <v>4303</v>
      </c>
      <c r="D726" s="659" t="s">
        <v>5373</v>
      </c>
      <c r="E726" s="659" t="s">
        <v>5374</v>
      </c>
      <c r="F726" s="660">
        <v>0.1</v>
      </c>
      <c r="G726" s="660">
        <v>0</v>
      </c>
      <c r="H726" s="656"/>
    </row>
    <row r="727" spans="1:8" ht="18.75" customHeight="1">
      <c r="A727" s="656"/>
      <c r="B727" s="657" t="s">
        <v>3928</v>
      </c>
      <c r="C727" s="657" t="s">
        <v>4303</v>
      </c>
      <c r="D727" s="657" t="s">
        <v>5375</v>
      </c>
      <c r="E727" s="657" t="s">
        <v>5376</v>
      </c>
      <c r="F727" s="658">
        <v>0.1</v>
      </c>
      <c r="G727" s="658">
        <v>0</v>
      </c>
      <c r="H727" s="656"/>
    </row>
    <row r="728" spans="1:8" ht="18.75" customHeight="1">
      <c r="A728" s="656"/>
      <c r="B728" s="659" t="s">
        <v>3928</v>
      </c>
      <c r="C728" s="659" t="s">
        <v>4303</v>
      </c>
      <c r="D728" s="659" t="s">
        <v>5377</v>
      </c>
      <c r="E728" s="659" t="s">
        <v>5378</v>
      </c>
      <c r="F728" s="660">
        <v>0.1</v>
      </c>
      <c r="G728" s="660">
        <v>0</v>
      </c>
      <c r="H728" s="656"/>
    </row>
    <row r="729" spans="1:8" ht="18.75" customHeight="1">
      <c r="A729" s="656"/>
      <c r="B729" s="657" t="s">
        <v>3928</v>
      </c>
      <c r="C729" s="657" t="s">
        <v>4303</v>
      </c>
      <c r="D729" s="657" t="s">
        <v>5379</v>
      </c>
      <c r="E729" s="657" t="s">
        <v>5380</v>
      </c>
      <c r="F729" s="658">
        <v>0.1</v>
      </c>
      <c r="G729" s="658">
        <v>0</v>
      </c>
      <c r="H729" s="656"/>
    </row>
    <row r="730" spans="1:8" ht="18.75" customHeight="1">
      <c r="A730" s="656"/>
      <c r="B730" s="659" t="s">
        <v>3928</v>
      </c>
      <c r="C730" s="659" t="s">
        <v>4303</v>
      </c>
      <c r="D730" s="659" t="s">
        <v>5381</v>
      </c>
      <c r="E730" s="659" t="s">
        <v>5382</v>
      </c>
      <c r="F730" s="660">
        <v>0.1</v>
      </c>
      <c r="G730" s="660">
        <v>0</v>
      </c>
      <c r="H730" s="656"/>
    </row>
    <row r="731" spans="1:8" ht="18.75" customHeight="1">
      <c r="A731" s="656"/>
      <c r="B731" s="657" t="s">
        <v>3928</v>
      </c>
      <c r="C731" s="657" t="s">
        <v>4303</v>
      </c>
      <c r="D731" s="657" t="s">
        <v>5383</v>
      </c>
      <c r="E731" s="657" t="s">
        <v>5384</v>
      </c>
      <c r="F731" s="658">
        <v>0.1</v>
      </c>
      <c r="G731" s="658">
        <v>0</v>
      </c>
      <c r="H731" s="656"/>
    </row>
    <row r="732" spans="1:8" ht="18.75" customHeight="1">
      <c r="A732" s="656"/>
      <c r="B732" s="659" t="s">
        <v>3928</v>
      </c>
      <c r="C732" s="659" t="s">
        <v>4303</v>
      </c>
      <c r="D732" s="659" t="s">
        <v>5385</v>
      </c>
      <c r="E732" s="659" t="s">
        <v>5386</v>
      </c>
      <c r="F732" s="660">
        <v>0.1</v>
      </c>
      <c r="G732" s="660">
        <v>0</v>
      </c>
      <c r="H732" s="656"/>
    </row>
    <row r="733" spans="1:8" ht="18.75" customHeight="1">
      <c r="A733" s="656"/>
      <c r="B733" s="657" t="s">
        <v>3928</v>
      </c>
      <c r="C733" s="657" t="s">
        <v>4303</v>
      </c>
      <c r="D733" s="657" t="s">
        <v>5387</v>
      </c>
      <c r="E733" s="657" t="s">
        <v>5388</v>
      </c>
      <c r="F733" s="658">
        <v>0.1</v>
      </c>
      <c r="G733" s="658">
        <v>0</v>
      </c>
      <c r="H733" s="656"/>
    </row>
    <row r="734" spans="1:8" ht="18.75" customHeight="1">
      <c r="A734" s="656"/>
      <c r="B734" s="659" t="s">
        <v>3928</v>
      </c>
      <c r="C734" s="659" t="s">
        <v>4303</v>
      </c>
      <c r="D734" s="659" t="s">
        <v>5389</v>
      </c>
      <c r="E734" s="659" t="s">
        <v>5390</v>
      </c>
      <c r="F734" s="660">
        <v>0.1</v>
      </c>
      <c r="G734" s="660">
        <v>0</v>
      </c>
      <c r="H734" s="656"/>
    </row>
    <row r="735" spans="1:8" ht="18.75" customHeight="1">
      <c r="A735" s="656"/>
      <c r="B735" s="657" t="s">
        <v>3928</v>
      </c>
      <c r="C735" s="657" t="s">
        <v>4303</v>
      </c>
      <c r="D735" s="657" t="s">
        <v>5391</v>
      </c>
      <c r="E735" s="657" t="s">
        <v>5392</v>
      </c>
      <c r="F735" s="658">
        <v>0.1</v>
      </c>
      <c r="G735" s="658">
        <v>0</v>
      </c>
      <c r="H735" s="656"/>
    </row>
    <row r="736" spans="1:8" ht="18.75" customHeight="1">
      <c r="A736" s="656"/>
      <c r="B736" s="659" t="s">
        <v>3928</v>
      </c>
      <c r="C736" s="659" t="s">
        <v>4303</v>
      </c>
      <c r="D736" s="659" t="s">
        <v>5393</v>
      </c>
      <c r="E736" s="659" t="s">
        <v>5394</v>
      </c>
      <c r="F736" s="660">
        <v>0.1</v>
      </c>
      <c r="G736" s="660">
        <v>0</v>
      </c>
      <c r="H736" s="656"/>
    </row>
    <row r="737" spans="1:8" ht="18.75" customHeight="1">
      <c r="A737" s="656"/>
      <c r="B737" s="657" t="s">
        <v>3928</v>
      </c>
      <c r="C737" s="657" t="s">
        <v>4303</v>
      </c>
      <c r="D737" s="657" t="s">
        <v>5395</v>
      </c>
      <c r="E737" s="657" t="s">
        <v>5396</v>
      </c>
      <c r="F737" s="658">
        <v>0.1</v>
      </c>
      <c r="G737" s="658">
        <v>0</v>
      </c>
      <c r="H737" s="656"/>
    </row>
    <row r="738" spans="1:8" ht="18.75" customHeight="1">
      <c r="A738" s="656"/>
      <c r="B738" s="659" t="s">
        <v>3928</v>
      </c>
      <c r="C738" s="659" t="s">
        <v>5054</v>
      </c>
      <c r="D738" s="659" t="s">
        <v>5397</v>
      </c>
      <c r="E738" s="659" t="s">
        <v>5398</v>
      </c>
      <c r="F738" s="660">
        <v>0.1</v>
      </c>
      <c r="G738" s="660">
        <v>0</v>
      </c>
      <c r="H738" s="656"/>
    </row>
    <row r="739" spans="1:8" ht="18.75" customHeight="1">
      <c r="A739" s="656"/>
      <c r="B739" s="657" t="s">
        <v>3928</v>
      </c>
      <c r="C739" s="657" t="s">
        <v>4303</v>
      </c>
      <c r="D739" s="657" t="s">
        <v>5399</v>
      </c>
      <c r="E739" s="657" t="s">
        <v>5400</v>
      </c>
      <c r="F739" s="658">
        <v>0.1</v>
      </c>
      <c r="G739" s="658">
        <v>0</v>
      </c>
      <c r="H739" s="656"/>
    </row>
    <row r="740" spans="1:8" ht="18.75" customHeight="1">
      <c r="A740" s="656"/>
      <c r="B740" s="659" t="s">
        <v>3928</v>
      </c>
      <c r="C740" s="659" t="s">
        <v>4303</v>
      </c>
      <c r="D740" s="659" t="s">
        <v>5401</v>
      </c>
      <c r="E740" s="659" t="s">
        <v>5402</v>
      </c>
      <c r="F740" s="660">
        <v>0.1</v>
      </c>
      <c r="G740" s="660">
        <v>0</v>
      </c>
      <c r="H740" s="656"/>
    </row>
    <row r="741" spans="1:8" ht="18.75" customHeight="1">
      <c r="A741" s="656"/>
      <c r="B741" s="657" t="s">
        <v>3928</v>
      </c>
      <c r="C741" s="657" t="s">
        <v>4303</v>
      </c>
      <c r="D741" s="657" t="s">
        <v>5403</v>
      </c>
      <c r="E741" s="657" t="s">
        <v>5404</v>
      </c>
      <c r="F741" s="658">
        <v>0.1</v>
      </c>
      <c r="G741" s="658">
        <v>0</v>
      </c>
      <c r="H741" s="656"/>
    </row>
    <row r="742" spans="1:8" ht="18.75" customHeight="1">
      <c r="A742" s="656"/>
      <c r="B742" s="659" t="s">
        <v>3928</v>
      </c>
      <c r="C742" s="659" t="s">
        <v>4303</v>
      </c>
      <c r="D742" s="659" t="s">
        <v>5405</v>
      </c>
      <c r="E742" s="659" t="s">
        <v>5406</v>
      </c>
      <c r="F742" s="660">
        <v>0.1</v>
      </c>
      <c r="G742" s="660">
        <v>0</v>
      </c>
      <c r="H742" s="656"/>
    </row>
    <row r="743" spans="1:8" ht="18.75" customHeight="1">
      <c r="A743" s="656"/>
      <c r="B743" s="657" t="s">
        <v>3928</v>
      </c>
      <c r="C743" s="657" t="s">
        <v>4303</v>
      </c>
      <c r="D743" s="657" t="s">
        <v>5407</v>
      </c>
      <c r="E743" s="657" t="s">
        <v>5408</v>
      </c>
      <c r="F743" s="658">
        <v>0.1</v>
      </c>
      <c r="G743" s="658">
        <v>0</v>
      </c>
      <c r="H743" s="656"/>
    </row>
    <row r="744" spans="1:8" ht="18.75" customHeight="1">
      <c r="A744" s="656"/>
      <c r="B744" s="659" t="s">
        <v>3928</v>
      </c>
      <c r="C744" s="659" t="s">
        <v>4303</v>
      </c>
      <c r="D744" s="659" t="s">
        <v>5409</v>
      </c>
      <c r="E744" s="659" t="s">
        <v>5410</v>
      </c>
      <c r="F744" s="660">
        <v>0.1</v>
      </c>
      <c r="G744" s="660">
        <v>0</v>
      </c>
      <c r="H744" s="656"/>
    </row>
    <row r="745" spans="1:8" ht="18.75" customHeight="1">
      <c r="A745" s="656"/>
      <c r="B745" s="657" t="s">
        <v>3928</v>
      </c>
      <c r="C745" s="657" t="s">
        <v>4303</v>
      </c>
      <c r="D745" s="657" t="s">
        <v>5411</v>
      </c>
      <c r="E745" s="657" t="s">
        <v>5412</v>
      </c>
      <c r="F745" s="658">
        <v>0.1</v>
      </c>
      <c r="G745" s="658">
        <v>0</v>
      </c>
      <c r="H745" s="656"/>
    </row>
    <row r="746" spans="1:8" ht="18.75" customHeight="1">
      <c r="A746" s="656"/>
      <c r="B746" s="659" t="s">
        <v>3928</v>
      </c>
      <c r="C746" s="659" t="s">
        <v>5054</v>
      </c>
      <c r="D746" s="659" t="s">
        <v>5413</v>
      </c>
      <c r="E746" s="659" t="s">
        <v>5414</v>
      </c>
      <c r="F746" s="660">
        <v>0.1</v>
      </c>
      <c r="G746" s="660">
        <v>0</v>
      </c>
      <c r="H746" s="656"/>
    </row>
    <row r="747" spans="1:8" ht="18.75" customHeight="1">
      <c r="A747" s="656"/>
      <c r="B747" s="657" t="s">
        <v>3928</v>
      </c>
      <c r="C747" s="657" t="s">
        <v>4303</v>
      </c>
      <c r="D747" s="657" t="s">
        <v>5415</v>
      </c>
      <c r="E747" s="657" t="s">
        <v>5416</v>
      </c>
      <c r="F747" s="658">
        <v>0.1</v>
      </c>
      <c r="G747" s="658">
        <v>0</v>
      </c>
      <c r="H747" s="656"/>
    </row>
    <row r="748" spans="1:8" ht="18.75" customHeight="1">
      <c r="A748" s="656"/>
      <c r="B748" s="659" t="s">
        <v>3928</v>
      </c>
      <c r="C748" s="659" t="s">
        <v>4303</v>
      </c>
      <c r="D748" s="659" t="s">
        <v>5417</v>
      </c>
      <c r="E748" s="659" t="s">
        <v>5418</v>
      </c>
      <c r="F748" s="660">
        <v>0.1</v>
      </c>
      <c r="G748" s="660">
        <v>0</v>
      </c>
      <c r="H748" s="656"/>
    </row>
    <row r="749" spans="1:8" ht="18.75" customHeight="1">
      <c r="A749" s="656"/>
      <c r="B749" s="657" t="s">
        <v>3928</v>
      </c>
      <c r="C749" s="657" t="s">
        <v>4303</v>
      </c>
      <c r="D749" s="657" t="s">
        <v>5419</v>
      </c>
      <c r="E749" s="657" t="s">
        <v>5420</v>
      </c>
      <c r="F749" s="658">
        <v>0.1</v>
      </c>
      <c r="G749" s="658">
        <v>0</v>
      </c>
      <c r="H749" s="656"/>
    </row>
    <row r="750" spans="1:8" ht="18.75" customHeight="1">
      <c r="A750" s="656"/>
      <c r="B750" s="659" t="s">
        <v>3928</v>
      </c>
      <c r="C750" s="659" t="s">
        <v>4303</v>
      </c>
      <c r="D750" s="659" t="s">
        <v>5421</v>
      </c>
      <c r="E750" s="659" t="s">
        <v>5422</v>
      </c>
      <c r="F750" s="660">
        <v>0.1</v>
      </c>
      <c r="G750" s="660">
        <v>0</v>
      </c>
      <c r="H750" s="656"/>
    </row>
    <row r="751" spans="1:8" ht="18.75" customHeight="1">
      <c r="A751" s="656"/>
      <c r="B751" s="657" t="s">
        <v>3928</v>
      </c>
      <c r="C751" s="657" t="s">
        <v>4303</v>
      </c>
      <c r="D751" s="657" t="s">
        <v>5423</v>
      </c>
      <c r="E751" s="657" t="s">
        <v>5424</v>
      </c>
      <c r="F751" s="658">
        <v>0.1</v>
      </c>
      <c r="G751" s="658">
        <v>0</v>
      </c>
      <c r="H751" s="656"/>
    </row>
    <row r="752" spans="1:8" ht="18.75" customHeight="1">
      <c r="A752" s="656"/>
      <c r="B752" s="659" t="s">
        <v>3928</v>
      </c>
      <c r="C752" s="659" t="s">
        <v>4303</v>
      </c>
      <c r="D752" s="659" t="s">
        <v>5425</v>
      </c>
      <c r="E752" s="659" t="s">
        <v>5426</v>
      </c>
      <c r="F752" s="660">
        <v>0.1</v>
      </c>
      <c r="G752" s="660">
        <v>0</v>
      </c>
      <c r="H752" s="656"/>
    </row>
    <row r="753" spans="1:8" ht="18.75" customHeight="1">
      <c r="A753" s="656"/>
      <c r="B753" s="657" t="s">
        <v>3928</v>
      </c>
      <c r="C753" s="657" t="s">
        <v>4303</v>
      </c>
      <c r="D753" s="657" t="s">
        <v>5427</v>
      </c>
      <c r="E753" s="657" t="s">
        <v>5428</v>
      </c>
      <c r="F753" s="658">
        <v>0.1</v>
      </c>
      <c r="G753" s="658">
        <v>0</v>
      </c>
      <c r="H753" s="656"/>
    </row>
    <row r="754" spans="1:8" ht="18.75" customHeight="1">
      <c r="A754" s="656"/>
      <c r="B754" s="659" t="s">
        <v>3928</v>
      </c>
      <c r="C754" s="659" t="s">
        <v>4799</v>
      </c>
      <c r="D754" s="659" t="s">
        <v>5429</v>
      </c>
      <c r="E754" s="659" t="s">
        <v>5430</v>
      </c>
      <c r="F754" s="660">
        <v>0.1</v>
      </c>
      <c r="G754" s="660">
        <v>0</v>
      </c>
      <c r="H754" s="656"/>
    </row>
    <row r="755" spans="1:8" ht="18.75" customHeight="1">
      <c r="A755" s="656"/>
      <c r="B755" s="657" t="s">
        <v>3928</v>
      </c>
      <c r="C755" s="657" t="s">
        <v>4303</v>
      </c>
      <c r="D755" s="657" t="s">
        <v>5431</v>
      </c>
      <c r="E755" s="657" t="s">
        <v>5432</v>
      </c>
      <c r="F755" s="658">
        <v>0.1</v>
      </c>
      <c r="G755" s="658">
        <v>0</v>
      </c>
      <c r="H755" s="656"/>
    </row>
    <row r="756" spans="1:8" ht="18.75" customHeight="1">
      <c r="A756" s="656"/>
      <c r="B756" s="659" t="s">
        <v>3928</v>
      </c>
      <c r="C756" s="659" t="s">
        <v>4303</v>
      </c>
      <c r="D756" s="659" t="s">
        <v>5433</v>
      </c>
      <c r="E756" s="659" t="s">
        <v>5434</v>
      </c>
      <c r="F756" s="660">
        <v>0.1</v>
      </c>
      <c r="G756" s="660">
        <v>0</v>
      </c>
      <c r="H756" s="656"/>
    </row>
    <row r="757" spans="1:8" ht="18.75" customHeight="1">
      <c r="A757" s="656"/>
      <c r="B757" s="657" t="s">
        <v>3928</v>
      </c>
      <c r="C757" s="657" t="s">
        <v>4303</v>
      </c>
      <c r="D757" s="657" t="s">
        <v>5435</v>
      </c>
      <c r="E757" s="657" t="s">
        <v>5436</v>
      </c>
      <c r="F757" s="658">
        <v>0.1</v>
      </c>
      <c r="G757" s="658">
        <v>0</v>
      </c>
      <c r="H757" s="656"/>
    </row>
    <row r="758" spans="1:8" ht="18.75" customHeight="1">
      <c r="A758" s="656"/>
      <c r="B758" s="659" t="s">
        <v>3928</v>
      </c>
      <c r="C758" s="659" t="s">
        <v>4303</v>
      </c>
      <c r="D758" s="659" t="s">
        <v>5437</v>
      </c>
      <c r="E758" s="659" t="s">
        <v>5438</v>
      </c>
      <c r="F758" s="660">
        <v>0.1</v>
      </c>
      <c r="G758" s="660">
        <v>0</v>
      </c>
      <c r="H758" s="656"/>
    </row>
    <row r="759" spans="1:8" ht="18.75" customHeight="1">
      <c r="A759" s="656"/>
      <c r="B759" s="657" t="s">
        <v>3928</v>
      </c>
      <c r="C759" s="657" t="s">
        <v>4303</v>
      </c>
      <c r="D759" s="657" t="s">
        <v>5439</v>
      </c>
      <c r="E759" s="657" t="s">
        <v>5440</v>
      </c>
      <c r="F759" s="658">
        <v>0.1</v>
      </c>
      <c r="G759" s="658">
        <v>0</v>
      </c>
      <c r="H759" s="656"/>
    </row>
    <row r="760" spans="1:8" ht="18.75" customHeight="1">
      <c r="A760" s="656"/>
      <c r="B760" s="659" t="s">
        <v>3928</v>
      </c>
      <c r="C760" s="659" t="s">
        <v>4303</v>
      </c>
      <c r="D760" s="659" t="s">
        <v>5441</v>
      </c>
      <c r="E760" s="659" t="s">
        <v>5442</v>
      </c>
      <c r="F760" s="660">
        <v>0.1</v>
      </c>
      <c r="G760" s="660">
        <v>0</v>
      </c>
      <c r="H760" s="656"/>
    </row>
    <row r="761" spans="1:8" ht="18.75" customHeight="1">
      <c r="A761" s="656"/>
      <c r="B761" s="657" t="s">
        <v>3928</v>
      </c>
      <c r="C761" s="657" t="s">
        <v>4303</v>
      </c>
      <c r="D761" s="657" t="s">
        <v>5443</v>
      </c>
      <c r="E761" s="657" t="s">
        <v>5444</v>
      </c>
      <c r="F761" s="658">
        <v>0.1</v>
      </c>
      <c r="G761" s="658">
        <v>0</v>
      </c>
      <c r="H761" s="656"/>
    </row>
    <row r="762" spans="1:8" ht="18.75" customHeight="1">
      <c r="A762" s="656"/>
      <c r="B762" s="659" t="s">
        <v>3928</v>
      </c>
      <c r="C762" s="659" t="s">
        <v>4303</v>
      </c>
      <c r="D762" s="659" t="s">
        <v>5445</v>
      </c>
      <c r="E762" s="659" t="s">
        <v>5446</v>
      </c>
      <c r="F762" s="660">
        <v>0.1</v>
      </c>
      <c r="G762" s="660">
        <v>0</v>
      </c>
      <c r="H762" s="656"/>
    </row>
    <row r="763" spans="1:8" ht="18.75" customHeight="1">
      <c r="A763" s="656"/>
      <c r="B763" s="657" t="s">
        <v>3928</v>
      </c>
      <c r="C763" s="657" t="s">
        <v>4303</v>
      </c>
      <c r="D763" s="657" t="s">
        <v>5447</v>
      </c>
      <c r="E763" s="657" t="s">
        <v>5448</v>
      </c>
      <c r="F763" s="658">
        <v>0.1</v>
      </c>
      <c r="G763" s="658">
        <v>0</v>
      </c>
      <c r="H763" s="656"/>
    </row>
    <row r="764" spans="1:8" ht="18.75" customHeight="1">
      <c r="A764" s="656"/>
      <c r="B764" s="659" t="s">
        <v>3928</v>
      </c>
      <c r="C764" s="659" t="s">
        <v>4303</v>
      </c>
      <c r="D764" s="659" t="s">
        <v>5449</v>
      </c>
      <c r="E764" s="659" t="s">
        <v>5450</v>
      </c>
      <c r="F764" s="660">
        <v>0.1</v>
      </c>
      <c r="G764" s="660">
        <v>0</v>
      </c>
      <c r="H764" s="656"/>
    </row>
    <row r="765" spans="1:8" ht="18.75" customHeight="1">
      <c r="A765" s="656"/>
      <c r="B765" s="657" t="s">
        <v>3928</v>
      </c>
      <c r="C765" s="657" t="s">
        <v>4303</v>
      </c>
      <c r="D765" s="657" t="s">
        <v>5451</v>
      </c>
      <c r="E765" s="657" t="s">
        <v>5452</v>
      </c>
      <c r="F765" s="658">
        <v>0.1</v>
      </c>
      <c r="G765" s="658">
        <v>0</v>
      </c>
      <c r="H765" s="656"/>
    </row>
    <row r="766" spans="1:8" ht="18.75" customHeight="1">
      <c r="A766" s="656"/>
      <c r="B766" s="659" t="s">
        <v>3928</v>
      </c>
      <c r="C766" s="659" t="s">
        <v>4303</v>
      </c>
      <c r="D766" s="659" t="s">
        <v>5453</v>
      </c>
      <c r="E766" s="659" t="s">
        <v>5454</v>
      </c>
      <c r="F766" s="660">
        <v>0.1</v>
      </c>
      <c r="G766" s="660">
        <v>0</v>
      </c>
      <c r="H766" s="656"/>
    </row>
    <row r="767" spans="1:8" ht="18.75" customHeight="1">
      <c r="A767" s="656"/>
      <c r="B767" s="657" t="s">
        <v>3928</v>
      </c>
      <c r="C767" s="657" t="s">
        <v>4303</v>
      </c>
      <c r="D767" s="657" t="s">
        <v>5455</v>
      </c>
      <c r="E767" s="657" t="s">
        <v>5456</v>
      </c>
      <c r="F767" s="658">
        <v>0.1</v>
      </c>
      <c r="G767" s="658">
        <v>0</v>
      </c>
      <c r="H767" s="656"/>
    </row>
    <row r="768" spans="1:8" ht="18.75" customHeight="1">
      <c r="A768" s="656"/>
      <c r="B768" s="659" t="s">
        <v>3928</v>
      </c>
      <c r="C768" s="659" t="s">
        <v>4303</v>
      </c>
      <c r="D768" s="659" t="s">
        <v>5457</v>
      </c>
      <c r="E768" s="659" t="s">
        <v>5458</v>
      </c>
      <c r="F768" s="660">
        <v>0.1</v>
      </c>
      <c r="G768" s="660">
        <v>0</v>
      </c>
      <c r="H768" s="656"/>
    </row>
    <row r="769" spans="1:8" ht="18.75" customHeight="1">
      <c r="A769" s="656"/>
      <c r="B769" s="657" t="s">
        <v>3928</v>
      </c>
      <c r="C769" s="657" t="s">
        <v>4799</v>
      </c>
      <c r="D769" s="657" t="s">
        <v>5459</v>
      </c>
      <c r="E769" s="657" t="s">
        <v>5460</v>
      </c>
      <c r="F769" s="658">
        <v>0.1</v>
      </c>
      <c r="G769" s="658">
        <v>0</v>
      </c>
      <c r="H769" s="656"/>
    </row>
    <row r="770" spans="1:8" ht="18.75" customHeight="1">
      <c r="A770" s="656"/>
      <c r="B770" s="659" t="s">
        <v>3928</v>
      </c>
      <c r="C770" s="659" t="s">
        <v>4303</v>
      </c>
      <c r="D770" s="659" t="s">
        <v>5461</v>
      </c>
      <c r="E770" s="659" t="s">
        <v>5462</v>
      </c>
      <c r="F770" s="660">
        <v>0.1</v>
      </c>
      <c r="G770" s="660">
        <v>0</v>
      </c>
      <c r="H770" s="656"/>
    </row>
    <row r="771" spans="1:8" ht="18.75" customHeight="1">
      <c r="A771" s="656"/>
      <c r="B771" s="657" t="s">
        <v>3928</v>
      </c>
      <c r="C771" s="657" t="s">
        <v>4303</v>
      </c>
      <c r="D771" s="657" t="s">
        <v>5463</v>
      </c>
      <c r="E771" s="657" t="s">
        <v>5464</v>
      </c>
      <c r="F771" s="658">
        <v>0.1</v>
      </c>
      <c r="G771" s="658">
        <v>0</v>
      </c>
      <c r="H771" s="656"/>
    </row>
    <row r="772" spans="1:8" ht="18.75" customHeight="1">
      <c r="A772" s="656"/>
      <c r="B772" s="659" t="s">
        <v>3928</v>
      </c>
      <c r="C772" s="659" t="s">
        <v>4303</v>
      </c>
      <c r="D772" s="659" t="s">
        <v>5465</v>
      </c>
      <c r="E772" s="659" t="s">
        <v>5466</v>
      </c>
      <c r="F772" s="660">
        <v>0.1</v>
      </c>
      <c r="G772" s="660">
        <v>0</v>
      </c>
      <c r="H772" s="656"/>
    </row>
    <row r="773" spans="1:8" ht="18.75" customHeight="1">
      <c r="A773" s="656"/>
      <c r="B773" s="657" t="s">
        <v>3928</v>
      </c>
      <c r="C773" s="657" t="s">
        <v>4303</v>
      </c>
      <c r="D773" s="657" t="s">
        <v>5467</v>
      </c>
      <c r="E773" s="657" t="s">
        <v>5468</v>
      </c>
      <c r="F773" s="658">
        <v>0.1</v>
      </c>
      <c r="G773" s="658">
        <v>0</v>
      </c>
      <c r="H773" s="656"/>
    </row>
    <row r="774" spans="1:8" ht="18.75" customHeight="1">
      <c r="A774" s="656"/>
      <c r="B774" s="659" t="s">
        <v>3928</v>
      </c>
      <c r="C774" s="659" t="s">
        <v>4303</v>
      </c>
      <c r="D774" s="659" t="s">
        <v>5469</v>
      </c>
      <c r="E774" s="659" t="s">
        <v>5470</v>
      </c>
      <c r="F774" s="660">
        <v>0.1</v>
      </c>
      <c r="G774" s="660">
        <v>0</v>
      </c>
      <c r="H774" s="656"/>
    </row>
    <row r="775" spans="1:8" ht="18.75" customHeight="1">
      <c r="A775" s="656"/>
      <c r="B775" s="657" t="s">
        <v>3928</v>
      </c>
      <c r="C775" s="657" t="s">
        <v>4303</v>
      </c>
      <c r="D775" s="657" t="s">
        <v>5471</v>
      </c>
      <c r="E775" s="657" t="s">
        <v>5472</v>
      </c>
      <c r="F775" s="658">
        <v>0.1</v>
      </c>
      <c r="G775" s="658">
        <v>0</v>
      </c>
      <c r="H775" s="656"/>
    </row>
    <row r="776" spans="1:8" ht="18.75" customHeight="1">
      <c r="A776" s="656"/>
      <c r="B776" s="659" t="s">
        <v>3928</v>
      </c>
      <c r="C776" s="659" t="s">
        <v>4799</v>
      </c>
      <c r="D776" s="659" t="s">
        <v>5473</v>
      </c>
      <c r="E776" s="659" t="s">
        <v>5474</v>
      </c>
      <c r="F776" s="660">
        <v>0.1</v>
      </c>
      <c r="G776" s="660">
        <v>0</v>
      </c>
      <c r="H776" s="656"/>
    </row>
    <row r="777" spans="1:8" ht="18.75" customHeight="1">
      <c r="A777" s="656"/>
      <c r="B777" s="657" t="s">
        <v>3928</v>
      </c>
      <c r="C777" s="657" t="s">
        <v>4799</v>
      </c>
      <c r="D777" s="657" t="s">
        <v>5475</v>
      </c>
      <c r="E777" s="657" t="s">
        <v>5476</v>
      </c>
      <c r="F777" s="658">
        <v>0.1</v>
      </c>
      <c r="G777" s="658">
        <v>0</v>
      </c>
      <c r="H777" s="656"/>
    </row>
    <row r="778" spans="1:8" ht="18.75" customHeight="1">
      <c r="A778" s="656"/>
      <c r="B778" s="659" t="s">
        <v>3928</v>
      </c>
      <c r="C778" s="659" t="s">
        <v>4303</v>
      </c>
      <c r="D778" s="659" t="s">
        <v>5477</v>
      </c>
      <c r="E778" s="659" t="s">
        <v>5478</v>
      </c>
      <c r="F778" s="660">
        <v>0.1</v>
      </c>
      <c r="G778" s="660">
        <v>0</v>
      </c>
      <c r="H778" s="656"/>
    </row>
    <row r="779" spans="1:8" ht="18.75" customHeight="1">
      <c r="A779" s="656"/>
      <c r="B779" s="657" t="s">
        <v>3928</v>
      </c>
      <c r="C779" s="657" t="s">
        <v>4303</v>
      </c>
      <c r="D779" s="657" t="s">
        <v>5479</v>
      </c>
      <c r="E779" s="657" t="s">
        <v>5480</v>
      </c>
      <c r="F779" s="658">
        <v>0.1</v>
      </c>
      <c r="G779" s="658">
        <v>0</v>
      </c>
      <c r="H779" s="656"/>
    </row>
    <row r="780" spans="1:8" ht="18.75" customHeight="1">
      <c r="A780" s="656"/>
      <c r="B780" s="659" t="s">
        <v>3928</v>
      </c>
      <c r="C780" s="659" t="s">
        <v>4303</v>
      </c>
      <c r="D780" s="659" t="s">
        <v>5481</v>
      </c>
      <c r="E780" s="659" t="s">
        <v>5482</v>
      </c>
      <c r="F780" s="660">
        <v>0.1</v>
      </c>
      <c r="G780" s="660">
        <v>0</v>
      </c>
      <c r="H780" s="656"/>
    </row>
    <row r="781" spans="1:8" ht="18.75" customHeight="1">
      <c r="A781" s="656"/>
      <c r="B781" s="657" t="s">
        <v>3928</v>
      </c>
      <c r="C781" s="657" t="s">
        <v>4303</v>
      </c>
      <c r="D781" s="657" t="s">
        <v>5483</v>
      </c>
      <c r="E781" s="657" t="s">
        <v>5484</v>
      </c>
      <c r="F781" s="658">
        <v>0.1</v>
      </c>
      <c r="G781" s="658">
        <v>0</v>
      </c>
      <c r="H781" s="656"/>
    </row>
    <row r="782" spans="1:8" ht="18.75" customHeight="1">
      <c r="A782" s="656"/>
      <c r="B782" s="659" t="s">
        <v>3928</v>
      </c>
      <c r="C782" s="659" t="s">
        <v>4303</v>
      </c>
      <c r="D782" s="659" t="s">
        <v>5485</v>
      </c>
      <c r="E782" s="659" t="s">
        <v>5486</v>
      </c>
      <c r="F782" s="660">
        <v>0.1</v>
      </c>
      <c r="G782" s="660">
        <v>0</v>
      </c>
      <c r="H782" s="656"/>
    </row>
    <row r="783" spans="1:8" ht="18.75" customHeight="1">
      <c r="A783" s="656"/>
      <c r="B783" s="657" t="s">
        <v>3928</v>
      </c>
      <c r="C783" s="657" t="s">
        <v>4303</v>
      </c>
      <c r="D783" s="657" t="s">
        <v>5487</v>
      </c>
      <c r="E783" s="657" t="s">
        <v>5488</v>
      </c>
      <c r="F783" s="658">
        <v>0.1</v>
      </c>
      <c r="G783" s="658">
        <v>0</v>
      </c>
      <c r="H783" s="656"/>
    </row>
    <row r="784" spans="1:8" ht="18.75" customHeight="1">
      <c r="A784" s="656"/>
      <c r="B784" s="659" t="s">
        <v>3928</v>
      </c>
      <c r="C784" s="659" t="s">
        <v>4799</v>
      </c>
      <c r="D784" s="659" t="s">
        <v>5489</v>
      </c>
      <c r="E784" s="659" t="s">
        <v>5490</v>
      </c>
      <c r="F784" s="660">
        <v>0.1</v>
      </c>
      <c r="G784" s="660">
        <v>0</v>
      </c>
      <c r="H784" s="656"/>
    </row>
    <row r="785" spans="1:8" ht="18.75" customHeight="1">
      <c r="A785" s="656"/>
      <c r="B785" s="657" t="s">
        <v>3928</v>
      </c>
      <c r="C785" s="657" t="s">
        <v>4303</v>
      </c>
      <c r="D785" s="657" t="s">
        <v>5491</v>
      </c>
      <c r="E785" s="657" t="s">
        <v>5492</v>
      </c>
      <c r="F785" s="658">
        <v>0.1</v>
      </c>
      <c r="G785" s="658">
        <v>0</v>
      </c>
      <c r="H785" s="656"/>
    </row>
    <row r="786" spans="1:8" ht="18.75" customHeight="1">
      <c r="A786" s="656"/>
      <c r="B786" s="659" t="s">
        <v>3928</v>
      </c>
      <c r="C786" s="659" t="s">
        <v>4303</v>
      </c>
      <c r="D786" s="659" t="s">
        <v>5493</v>
      </c>
      <c r="E786" s="659" t="s">
        <v>5494</v>
      </c>
      <c r="F786" s="660">
        <v>0.1</v>
      </c>
      <c r="G786" s="660">
        <v>0</v>
      </c>
      <c r="H786" s="656"/>
    </row>
    <row r="787" spans="1:8" ht="18.75" customHeight="1">
      <c r="A787" s="656"/>
      <c r="B787" s="657" t="s">
        <v>3928</v>
      </c>
      <c r="C787" s="657" t="s">
        <v>4303</v>
      </c>
      <c r="D787" s="657" t="s">
        <v>5495</v>
      </c>
      <c r="E787" s="657" t="s">
        <v>5496</v>
      </c>
      <c r="F787" s="658">
        <v>0.1</v>
      </c>
      <c r="G787" s="658">
        <v>0</v>
      </c>
      <c r="H787" s="656"/>
    </row>
    <row r="788" spans="1:8" ht="18.75" customHeight="1">
      <c r="A788" s="656"/>
      <c r="B788" s="659" t="s">
        <v>3928</v>
      </c>
      <c r="C788" s="659" t="s">
        <v>5054</v>
      </c>
      <c r="D788" s="659" t="s">
        <v>5497</v>
      </c>
      <c r="E788" s="659" t="s">
        <v>5498</v>
      </c>
      <c r="F788" s="660">
        <v>0.1</v>
      </c>
      <c r="G788" s="660">
        <v>0</v>
      </c>
      <c r="H788" s="656"/>
    </row>
    <row r="789" spans="1:8" ht="18.75" customHeight="1">
      <c r="A789" s="656"/>
      <c r="B789" s="657" t="s">
        <v>3928</v>
      </c>
      <c r="C789" s="657" t="s">
        <v>4303</v>
      </c>
      <c r="D789" s="657" t="s">
        <v>5499</v>
      </c>
      <c r="E789" s="657" t="s">
        <v>5500</v>
      </c>
      <c r="F789" s="658">
        <v>0.1</v>
      </c>
      <c r="G789" s="658">
        <v>0</v>
      </c>
      <c r="H789" s="656"/>
    </row>
    <row r="790" spans="1:8" ht="18.75" customHeight="1">
      <c r="A790" s="656"/>
      <c r="B790" s="659" t="s">
        <v>3928</v>
      </c>
      <c r="C790" s="659" t="s">
        <v>4303</v>
      </c>
      <c r="D790" s="659" t="s">
        <v>5501</v>
      </c>
      <c r="E790" s="659" t="s">
        <v>5502</v>
      </c>
      <c r="F790" s="660">
        <v>0.1</v>
      </c>
      <c r="G790" s="660">
        <v>0</v>
      </c>
      <c r="H790" s="656"/>
    </row>
    <row r="791" spans="1:8" ht="18.75" customHeight="1">
      <c r="A791" s="656"/>
      <c r="B791" s="657" t="s">
        <v>3928</v>
      </c>
      <c r="C791" s="657" t="s">
        <v>4303</v>
      </c>
      <c r="D791" s="657" t="s">
        <v>5503</v>
      </c>
      <c r="E791" s="657" t="s">
        <v>5504</v>
      </c>
      <c r="F791" s="658">
        <v>0.1</v>
      </c>
      <c r="G791" s="658">
        <v>0</v>
      </c>
      <c r="H791" s="656"/>
    </row>
    <row r="792" spans="1:8" ht="18.75" customHeight="1">
      <c r="A792" s="656"/>
      <c r="B792" s="659" t="s">
        <v>3928</v>
      </c>
      <c r="C792" s="659" t="s">
        <v>5054</v>
      </c>
      <c r="D792" s="659" t="s">
        <v>5505</v>
      </c>
      <c r="E792" s="659" t="s">
        <v>5506</v>
      </c>
      <c r="F792" s="660">
        <v>0.1</v>
      </c>
      <c r="G792" s="660">
        <v>0</v>
      </c>
      <c r="H792" s="656"/>
    </row>
    <row r="793" spans="1:8" ht="18.75" customHeight="1">
      <c r="A793" s="656"/>
      <c r="B793" s="657" t="s">
        <v>3928</v>
      </c>
      <c r="C793" s="657" t="s">
        <v>4303</v>
      </c>
      <c r="D793" s="657" t="s">
        <v>5507</v>
      </c>
      <c r="E793" s="657" t="s">
        <v>5508</v>
      </c>
      <c r="F793" s="658">
        <v>0.1</v>
      </c>
      <c r="G793" s="658">
        <v>0</v>
      </c>
      <c r="H793" s="656"/>
    </row>
    <row r="794" spans="1:8" ht="18.75" customHeight="1">
      <c r="A794" s="656"/>
      <c r="B794" s="659" t="s">
        <v>3928</v>
      </c>
      <c r="C794" s="659" t="s">
        <v>4303</v>
      </c>
      <c r="D794" s="659" t="s">
        <v>5509</v>
      </c>
      <c r="E794" s="659" t="s">
        <v>5510</v>
      </c>
      <c r="F794" s="660">
        <v>0.1</v>
      </c>
      <c r="G794" s="660">
        <v>0</v>
      </c>
      <c r="H794" s="656"/>
    </row>
    <row r="795" spans="1:8" ht="18.75" customHeight="1">
      <c r="A795" s="656"/>
      <c r="B795" s="657" t="s">
        <v>3928</v>
      </c>
      <c r="C795" s="657" t="s">
        <v>4303</v>
      </c>
      <c r="D795" s="657" t="s">
        <v>5511</v>
      </c>
      <c r="E795" s="657" t="s">
        <v>5512</v>
      </c>
      <c r="F795" s="658">
        <v>0.1</v>
      </c>
      <c r="G795" s="658">
        <v>0</v>
      </c>
      <c r="H795" s="656"/>
    </row>
    <row r="796" spans="1:8" ht="18.75" customHeight="1">
      <c r="A796" s="656"/>
      <c r="B796" s="659" t="s">
        <v>3928</v>
      </c>
      <c r="C796" s="659" t="s">
        <v>4303</v>
      </c>
      <c r="D796" s="659" t="s">
        <v>5513</v>
      </c>
      <c r="E796" s="659" t="s">
        <v>5514</v>
      </c>
      <c r="F796" s="660">
        <v>0.1</v>
      </c>
      <c r="G796" s="660">
        <v>0</v>
      </c>
      <c r="H796" s="656"/>
    </row>
    <row r="797" spans="1:8" ht="18.75" customHeight="1">
      <c r="A797" s="656"/>
      <c r="B797" s="657" t="s">
        <v>3928</v>
      </c>
      <c r="C797" s="657" t="s">
        <v>4303</v>
      </c>
      <c r="D797" s="657" t="s">
        <v>5515</v>
      </c>
      <c r="E797" s="657" t="s">
        <v>5516</v>
      </c>
      <c r="F797" s="658">
        <v>0.1</v>
      </c>
      <c r="G797" s="658">
        <v>0</v>
      </c>
      <c r="H797" s="656"/>
    </row>
    <row r="798" spans="1:8" ht="18.75" customHeight="1">
      <c r="A798" s="656"/>
      <c r="B798" s="659" t="s">
        <v>3928</v>
      </c>
      <c r="C798" s="659" t="s">
        <v>4303</v>
      </c>
      <c r="D798" s="659" t="s">
        <v>5517</v>
      </c>
      <c r="E798" s="659" t="s">
        <v>5518</v>
      </c>
      <c r="F798" s="660">
        <v>0.1</v>
      </c>
      <c r="G798" s="660">
        <v>0</v>
      </c>
      <c r="H798" s="656"/>
    </row>
    <row r="799" spans="1:8" ht="18.75" customHeight="1">
      <c r="A799" s="656"/>
      <c r="B799" s="657" t="s">
        <v>3928</v>
      </c>
      <c r="C799" s="657" t="s">
        <v>4303</v>
      </c>
      <c r="D799" s="657" t="s">
        <v>5519</v>
      </c>
      <c r="E799" s="657" t="s">
        <v>5520</v>
      </c>
      <c r="F799" s="658">
        <v>0.1</v>
      </c>
      <c r="G799" s="658">
        <v>0</v>
      </c>
      <c r="H799" s="656"/>
    </row>
    <row r="800" spans="1:8" ht="18.75" customHeight="1">
      <c r="A800" s="656"/>
      <c r="B800" s="659" t="s">
        <v>3928</v>
      </c>
      <c r="C800" s="659" t="s">
        <v>4303</v>
      </c>
      <c r="D800" s="659" t="s">
        <v>5521</v>
      </c>
      <c r="E800" s="659" t="s">
        <v>5522</v>
      </c>
      <c r="F800" s="660">
        <v>0.1</v>
      </c>
      <c r="G800" s="660">
        <v>0</v>
      </c>
      <c r="H800" s="656"/>
    </row>
    <row r="801" spans="1:8" ht="18.75" customHeight="1">
      <c r="A801" s="656"/>
      <c r="B801" s="657" t="s">
        <v>3928</v>
      </c>
      <c r="C801" s="657" t="s">
        <v>4303</v>
      </c>
      <c r="D801" s="657" t="s">
        <v>5523</v>
      </c>
      <c r="E801" s="657" t="s">
        <v>5524</v>
      </c>
      <c r="F801" s="658">
        <v>0.1</v>
      </c>
      <c r="G801" s="658">
        <v>0</v>
      </c>
      <c r="H801" s="656"/>
    </row>
    <row r="802" spans="1:8" ht="18.75" customHeight="1">
      <c r="A802" s="656"/>
      <c r="B802" s="659" t="s">
        <v>3928</v>
      </c>
      <c r="C802" s="659" t="s">
        <v>4303</v>
      </c>
      <c r="D802" s="659" t="s">
        <v>5525</v>
      </c>
      <c r="E802" s="659" t="s">
        <v>5526</v>
      </c>
      <c r="F802" s="660">
        <v>0.1</v>
      </c>
      <c r="G802" s="660">
        <v>0</v>
      </c>
      <c r="H802" s="656"/>
    </row>
    <row r="803" spans="1:8" ht="18.75" customHeight="1">
      <c r="A803" s="656"/>
      <c r="B803" s="657" t="s">
        <v>3928</v>
      </c>
      <c r="C803" s="657" t="s">
        <v>4303</v>
      </c>
      <c r="D803" s="657" t="s">
        <v>5527</v>
      </c>
      <c r="E803" s="657" t="s">
        <v>5528</v>
      </c>
      <c r="F803" s="658">
        <v>0.1</v>
      </c>
      <c r="G803" s="658">
        <v>0</v>
      </c>
      <c r="H803" s="656"/>
    </row>
    <row r="804" spans="1:8" ht="18.75" customHeight="1">
      <c r="A804" s="656"/>
      <c r="B804" s="659" t="s">
        <v>3928</v>
      </c>
      <c r="C804" s="659" t="s">
        <v>4303</v>
      </c>
      <c r="D804" s="659" t="s">
        <v>5529</v>
      </c>
      <c r="E804" s="659" t="s">
        <v>5530</v>
      </c>
      <c r="F804" s="660">
        <v>0.1</v>
      </c>
      <c r="G804" s="660">
        <v>0</v>
      </c>
      <c r="H804" s="656"/>
    </row>
    <row r="805" spans="1:8" ht="18.75" customHeight="1">
      <c r="A805" s="656"/>
      <c r="B805" s="657" t="s">
        <v>3928</v>
      </c>
      <c r="C805" s="657" t="s">
        <v>4303</v>
      </c>
      <c r="D805" s="657" t="s">
        <v>5531</v>
      </c>
      <c r="E805" s="657" t="s">
        <v>5532</v>
      </c>
      <c r="F805" s="658">
        <v>0.1</v>
      </c>
      <c r="G805" s="658">
        <v>0</v>
      </c>
      <c r="H805" s="656"/>
    </row>
    <row r="806" spans="1:8" ht="18.75" customHeight="1">
      <c r="A806" s="656"/>
      <c r="B806" s="659" t="s">
        <v>3928</v>
      </c>
      <c r="C806" s="659" t="s">
        <v>4303</v>
      </c>
      <c r="D806" s="659" t="s">
        <v>5533</v>
      </c>
      <c r="E806" s="659" t="s">
        <v>5534</v>
      </c>
      <c r="F806" s="660">
        <v>0.1</v>
      </c>
      <c r="G806" s="660">
        <v>0</v>
      </c>
      <c r="H806" s="656"/>
    </row>
    <row r="807" spans="1:8" ht="18.75" customHeight="1">
      <c r="A807" s="656"/>
      <c r="B807" s="657" t="s">
        <v>3928</v>
      </c>
      <c r="C807" s="657" t="s">
        <v>4303</v>
      </c>
      <c r="D807" s="657" t="s">
        <v>5535</v>
      </c>
      <c r="E807" s="657" t="s">
        <v>5536</v>
      </c>
      <c r="F807" s="658">
        <v>0.1</v>
      </c>
      <c r="G807" s="658">
        <v>0</v>
      </c>
      <c r="H807" s="656"/>
    </row>
    <row r="808" spans="1:8" ht="18.75" customHeight="1">
      <c r="A808" s="656"/>
      <c r="B808" s="659" t="s">
        <v>3928</v>
      </c>
      <c r="C808" s="659" t="s">
        <v>4303</v>
      </c>
      <c r="D808" s="659" t="s">
        <v>5537</v>
      </c>
      <c r="E808" s="659" t="s">
        <v>5538</v>
      </c>
      <c r="F808" s="660">
        <v>0.1</v>
      </c>
      <c r="G808" s="660">
        <v>0</v>
      </c>
      <c r="H808" s="656"/>
    </row>
    <row r="809" spans="1:8" ht="18.75" customHeight="1">
      <c r="A809" s="656"/>
      <c r="B809" s="657" t="s">
        <v>3928</v>
      </c>
      <c r="C809" s="657" t="s">
        <v>4303</v>
      </c>
      <c r="D809" s="657" t="s">
        <v>5539</v>
      </c>
      <c r="E809" s="657" t="s">
        <v>5540</v>
      </c>
      <c r="F809" s="658">
        <v>0.1</v>
      </c>
      <c r="G809" s="658">
        <v>0</v>
      </c>
      <c r="H809" s="656"/>
    </row>
    <row r="810" spans="1:8" ht="18.75" customHeight="1">
      <c r="A810" s="656"/>
      <c r="B810" s="659" t="s">
        <v>3928</v>
      </c>
      <c r="C810" s="659" t="s">
        <v>4303</v>
      </c>
      <c r="D810" s="659" t="s">
        <v>5541</v>
      </c>
      <c r="E810" s="659" t="s">
        <v>5542</v>
      </c>
      <c r="F810" s="660">
        <v>0.1</v>
      </c>
      <c r="G810" s="660">
        <v>0</v>
      </c>
      <c r="H810" s="656"/>
    </row>
    <row r="811" spans="1:8" ht="18.75" customHeight="1">
      <c r="A811" s="656"/>
      <c r="B811" s="657" t="s">
        <v>3928</v>
      </c>
      <c r="C811" s="657" t="s">
        <v>4303</v>
      </c>
      <c r="D811" s="657" t="s">
        <v>5543</v>
      </c>
      <c r="E811" s="657" t="s">
        <v>5544</v>
      </c>
      <c r="F811" s="658">
        <v>0.1</v>
      </c>
      <c r="G811" s="658">
        <v>0</v>
      </c>
      <c r="H811" s="656"/>
    </row>
    <row r="812" spans="1:8" ht="18.75" customHeight="1">
      <c r="A812" s="656"/>
      <c r="B812" s="659" t="s">
        <v>3928</v>
      </c>
      <c r="C812" s="659" t="s">
        <v>4303</v>
      </c>
      <c r="D812" s="659" t="s">
        <v>5545</v>
      </c>
      <c r="E812" s="659" t="s">
        <v>5546</v>
      </c>
      <c r="F812" s="660">
        <v>0.1</v>
      </c>
      <c r="G812" s="660">
        <v>0</v>
      </c>
      <c r="H812" s="656"/>
    </row>
    <row r="813" spans="1:8" ht="18.75" customHeight="1">
      <c r="A813" s="656"/>
      <c r="B813" s="657" t="s">
        <v>3928</v>
      </c>
      <c r="C813" s="657" t="s">
        <v>4303</v>
      </c>
      <c r="D813" s="657" t="s">
        <v>5547</v>
      </c>
      <c r="E813" s="657" t="s">
        <v>5548</v>
      </c>
      <c r="F813" s="658">
        <v>0.1</v>
      </c>
      <c r="G813" s="658">
        <v>0</v>
      </c>
      <c r="H813" s="656"/>
    </row>
    <row r="814" spans="1:8" ht="18.75" customHeight="1">
      <c r="A814" s="656"/>
      <c r="B814" s="659" t="s">
        <v>3928</v>
      </c>
      <c r="C814" s="659" t="s">
        <v>4303</v>
      </c>
      <c r="D814" s="659" t="s">
        <v>5549</v>
      </c>
      <c r="E814" s="659" t="s">
        <v>5550</v>
      </c>
      <c r="F814" s="660">
        <v>0.1</v>
      </c>
      <c r="G814" s="660">
        <v>0</v>
      </c>
      <c r="H814" s="656"/>
    </row>
    <row r="815" spans="1:8" ht="18.75" customHeight="1">
      <c r="A815" s="656"/>
      <c r="B815" s="657" t="s">
        <v>3928</v>
      </c>
      <c r="C815" s="657" t="s">
        <v>4303</v>
      </c>
      <c r="D815" s="657" t="s">
        <v>5551</v>
      </c>
      <c r="E815" s="657" t="s">
        <v>5552</v>
      </c>
      <c r="F815" s="658">
        <v>0.1</v>
      </c>
      <c r="G815" s="658">
        <v>0</v>
      </c>
      <c r="H815" s="656"/>
    </row>
    <row r="816" spans="1:8" ht="18.75" customHeight="1">
      <c r="A816" s="656"/>
      <c r="B816" s="659" t="s">
        <v>3928</v>
      </c>
      <c r="C816" s="659" t="s">
        <v>4799</v>
      </c>
      <c r="D816" s="659" t="s">
        <v>5553</v>
      </c>
      <c r="E816" s="659" t="s">
        <v>5554</v>
      </c>
      <c r="F816" s="660">
        <v>0.1</v>
      </c>
      <c r="G816" s="660">
        <v>0</v>
      </c>
      <c r="H816" s="656"/>
    </row>
    <row r="817" spans="1:8" ht="18.75" customHeight="1">
      <c r="A817" s="656"/>
      <c r="B817" s="657" t="s">
        <v>3928</v>
      </c>
      <c r="C817" s="657" t="s">
        <v>4303</v>
      </c>
      <c r="D817" s="657" t="s">
        <v>5555</v>
      </c>
      <c r="E817" s="657" t="s">
        <v>5556</v>
      </c>
      <c r="F817" s="658">
        <v>0.1</v>
      </c>
      <c r="G817" s="658">
        <v>0</v>
      </c>
      <c r="H817" s="656"/>
    </row>
    <row r="818" spans="1:8" ht="18.75" customHeight="1">
      <c r="A818" s="656"/>
      <c r="B818" s="659" t="s">
        <v>3928</v>
      </c>
      <c r="C818" s="659" t="s">
        <v>4303</v>
      </c>
      <c r="D818" s="659" t="s">
        <v>5557</v>
      </c>
      <c r="E818" s="659" t="s">
        <v>5558</v>
      </c>
      <c r="F818" s="660">
        <v>0.1</v>
      </c>
      <c r="G818" s="660">
        <v>0</v>
      </c>
      <c r="H818" s="656"/>
    </row>
    <row r="819" spans="1:8" ht="18.75" customHeight="1">
      <c r="A819" s="656"/>
      <c r="B819" s="657" t="s">
        <v>3928</v>
      </c>
      <c r="C819" s="657" t="s">
        <v>4799</v>
      </c>
      <c r="D819" s="657" t="s">
        <v>5559</v>
      </c>
      <c r="E819" s="657" t="s">
        <v>5560</v>
      </c>
      <c r="F819" s="658">
        <v>0.1</v>
      </c>
      <c r="G819" s="658">
        <v>0</v>
      </c>
      <c r="H819" s="656"/>
    </row>
    <row r="820" spans="1:8" ht="18.75" customHeight="1">
      <c r="A820" s="656"/>
      <c r="B820" s="659" t="s">
        <v>3928</v>
      </c>
      <c r="C820" s="659" t="s">
        <v>4799</v>
      </c>
      <c r="D820" s="659" t="s">
        <v>5561</v>
      </c>
      <c r="E820" s="659" t="s">
        <v>5562</v>
      </c>
      <c r="F820" s="660">
        <v>0.1</v>
      </c>
      <c r="G820" s="660">
        <v>0</v>
      </c>
      <c r="H820" s="656"/>
    </row>
    <row r="821" spans="1:8" ht="18.75" customHeight="1">
      <c r="A821" s="656"/>
      <c r="B821" s="657" t="s">
        <v>3928</v>
      </c>
      <c r="C821" s="657" t="s">
        <v>4303</v>
      </c>
      <c r="D821" s="657" t="s">
        <v>5563</v>
      </c>
      <c r="E821" s="657" t="s">
        <v>5564</v>
      </c>
      <c r="F821" s="658">
        <v>0.1</v>
      </c>
      <c r="G821" s="658">
        <v>0</v>
      </c>
      <c r="H821" s="656"/>
    </row>
    <row r="822" spans="1:8" ht="18.75" customHeight="1">
      <c r="A822" s="656"/>
      <c r="B822" s="659" t="s">
        <v>3928</v>
      </c>
      <c r="C822" s="659" t="s">
        <v>4303</v>
      </c>
      <c r="D822" s="659" t="s">
        <v>5565</v>
      </c>
      <c r="E822" s="659" t="s">
        <v>5566</v>
      </c>
      <c r="F822" s="660">
        <v>0.1</v>
      </c>
      <c r="G822" s="660">
        <v>0</v>
      </c>
      <c r="H822" s="656"/>
    </row>
    <row r="823" spans="1:8" ht="18.75" customHeight="1">
      <c r="A823" s="656"/>
      <c r="B823" s="657" t="s">
        <v>3928</v>
      </c>
      <c r="C823" s="657" t="s">
        <v>4303</v>
      </c>
      <c r="D823" s="657" t="s">
        <v>5567</v>
      </c>
      <c r="E823" s="657" t="s">
        <v>5568</v>
      </c>
      <c r="F823" s="658">
        <v>0.1</v>
      </c>
      <c r="G823" s="658">
        <v>0</v>
      </c>
      <c r="H823" s="656"/>
    </row>
    <row r="824" spans="1:8" ht="18.75" customHeight="1">
      <c r="A824" s="656"/>
      <c r="B824" s="659" t="s">
        <v>3928</v>
      </c>
      <c r="C824" s="659" t="s">
        <v>4303</v>
      </c>
      <c r="D824" s="659" t="s">
        <v>5569</v>
      </c>
      <c r="E824" s="659" t="s">
        <v>5570</v>
      </c>
      <c r="F824" s="660">
        <v>0.1</v>
      </c>
      <c r="G824" s="660">
        <v>0</v>
      </c>
      <c r="H824" s="656"/>
    </row>
    <row r="825" spans="1:8" ht="18.75" customHeight="1">
      <c r="A825" s="656"/>
      <c r="B825" s="657" t="s">
        <v>3928</v>
      </c>
      <c r="C825" s="657" t="s">
        <v>4303</v>
      </c>
      <c r="D825" s="657" t="s">
        <v>5571</v>
      </c>
      <c r="E825" s="657" t="s">
        <v>5572</v>
      </c>
      <c r="F825" s="658">
        <v>0.1</v>
      </c>
      <c r="G825" s="658">
        <v>0</v>
      </c>
      <c r="H825" s="656"/>
    </row>
    <row r="826" spans="1:8" ht="18.75" customHeight="1">
      <c r="A826" s="656"/>
      <c r="B826" s="659" t="s">
        <v>3928</v>
      </c>
      <c r="C826" s="659" t="s">
        <v>4303</v>
      </c>
      <c r="D826" s="659" t="s">
        <v>5573</v>
      </c>
      <c r="E826" s="659" t="s">
        <v>5574</v>
      </c>
      <c r="F826" s="660">
        <v>0.1</v>
      </c>
      <c r="G826" s="660">
        <v>0</v>
      </c>
      <c r="H826" s="656"/>
    </row>
    <row r="827" spans="1:8" ht="18.75" customHeight="1">
      <c r="A827" s="656"/>
      <c r="B827" s="657" t="s">
        <v>3928</v>
      </c>
      <c r="C827" s="657" t="s">
        <v>4303</v>
      </c>
      <c r="D827" s="657" t="s">
        <v>5575</v>
      </c>
      <c r="E827" s="657" t="s">
        <v>5576</v>
      </c>
      <c r="F827" s="658">
        <v>0.1</v>
      </c>
      <c r="G827" s="658">
        <v>0</v>
      </c>
      <c r="H827" s="656"/>
    </row>
    <row r="828" spans="1:8" ht="18.75" customHeight="1">
      <c r="A828" s="656"/>
      <c r="B828" s="659" t="s">
        <v>3928</v>
      </c>
      <c r="C828" s="659" t="s">
        <v>4303</v>
      </c>
      <c r="D828" s="659" t="s">
        <v>5577</v>
      </c>
      <c r="E828" s="659" t="s">
        <v>5578</v>
      </c>
      <c r="F828" s="660">
        <v>0.1</v>
      </c>
      <c r="G828" s="660">
        <v>0</v>
      </c>
      <c r="H828" s="656"/>
    </row>
    <row r="829" spans="1:8" ht="18.75" customHeight="1">
      <c r="A829" s="656"/>
      <c r="B829" s="657" t="s">
        <v>3928</v>
      </c>
      <c r="C829" s="657" t="s">
        <v>4303</v>
      </c>
      <c r="D829" s="657" t="s">
        <v>5579</v>
      </c>
      <c r="E829" s="657" t="s">
        <v>5580</v>
      </c>
      <c r="F829" s="658">
        <v>0.1</v>
      </c>
      <c r="G829" s="658">
        <v>0</v>
      </c>
      <c r="H829" s="656"/>
    </row>
    <row r="830" spans="1:8" ht="18.75" customHeight="1">
      <c r="A830" s="656"/>
      <c r="B830" s="659" t="s">
        <v>3928</v>
      </c>
      <c r="C830" s="659" t="s">
        <v>4303</v>
      </c>
      <c r="D830" s="659" t="s">
        <v>5581</v>
      </c>
      <c r="E830" s="659" t="s">
        <v>5582</v>
      </c>
      <c r="F830" s="660">
        <v>0.1</v>
      </c>
      <c r="G830" s="660">
        <v>0</v>
      </c>
      <c r="H830" s="656"/>
    </row>
    <row r="831" spans="1:8" ht="18.75" customHeight="1">
      <c r="A831" s="656"/>
      <c r="B831" s="657" t="s">
        <v>3928</v>
      </c>
      <c r="C831" s="657" t="s">
        <v>4303</v>
      </c>
      <c r="D831" s="657" t="s">
        <v>5583</v>
      </c>
      <c r="E831" s="657" t="s">
        <v>5584</v>
      </c>
      <c r="F831" s="658">
        <v>0.1</v>
      </c>
      <c r="G831" s="658">
        <v>0</v>
      </c>
      <c r="H831" s="656"/>
    </row>
    <row r="832" spans="1:8" ht="18.75" customHeight="1">
      <c r="A832" s="656"/>
      <c r="B832" s="659" t="s">
        <v>3928</v>
      </c>
      <c r="C832" s="659" t="s">
        <v>4303</v>
      </c>
      <c r="D832" s="659" t="s">
        <v>5585</v>
      </c>
      <c r="E832" s="659" t="s">
        <v>5586</v>
      </c>
      <c r="F832" s="660">
        <v>0.1</v>
      </c>
      <c r="G832" s="660">
        <v>0</v>
      </c>
      <c r="H832" s="656"/>
    </row>
    <row r="833" spans="1:8" ht="18.75" customHeight="1">
      <c r="A833" s="656"/>
      <c r="B833" s="657" t="s">
        <v>3928</v>
      </c>
      <c r="C833" s="657" t="s">
        <v>4303</v>
      </c>
      <c r="D833" s="657" t="s">
        <v>5587</v>
      </c>
      <c r="E833" s="657" t="s">
        <v>5588</v>
      </c>
      <c r="F833" s="658">
        <v>0.1</v>
      </c>
      <c r="G833" s="658">
        <v>0</v>
      </c>
      <c r="H833" s="656"/>
    </row>
    <row r="834" spans="1:8" ht="18.75" customHeight="1">
      <c r="A834" s="656"/>
      <c r="B834" s="659" t="s">
        <v>3928</v>
      </c>
      <c r="C834" s="659" t="s">
        <v>4303</v>
      </c>
      <c r="D834" s="659" t="s">
        <v>5589</v>
      </c>
      <c r="E834" s="659" t="s">
        <v>5590</v>
      </c>
      <c r="F834" s="660">
        <v>0.1</v>
      </c>
      <c r="G834" s="660">
        <v>0</v>
      </c>
      <c r="H834" s="656"/>
    </row>
    <row r="835" spans="1:8" ht="18.75" customHeight="1">
      <c r="A835" s="656"/>
      <c r="B835" s="657" t="s">
        <v>3928</v>
      </c>
      <c r="C835" s="657" t="s">
        <v>4303</v>
      </c>
      <c r="D835" s="657" t="s">
        <v>5591</v>
      </c>
      <c r="E835" s="657" t="s">
        <v>5592</v>
      </c>
      <c r="F835" s="658">
        <v>0.1</v>
      </c>
      <c r="G835" s="658">
        <v>0</v>
      </c>
      <c r="H835" s="656"/>
    </row>
    <row r="836" spans="1:8" ht="18.75" customHeight="1">
      <c r="A836" s="656"/>
      <c r="B836" s="659" t="s">
        <v>3928</v>
      </c>
      <c r="C836" s="659" t="s">
        <v>4303</v>
      </c>
      <c r="D836" s="659" t="s">
        <v>5593</v>
      </c>
      <c r="E836" s="659" t="s">
        <v>5594</v>
      </c>
      <c r="F836" s="660">
        <v>0.1</v>
      </c>
      <c r="G836" s="660">
        <v>0</v>
      </c>
      <c r="H836" s="656"/>
    </row>
    <row r="837" spans="1:8" ht="18.75" customHeight="1">
      <c r="A837" s="656"/>
      <c r="B837" s="657" t="s">
        <v>3928</v>
      </c>
      <c r="C837" s="657" t="s">
        <v>4303</v>
      </c>
      <c r="D837" s="657" t="s">
        <v>5595</v>
      </c>
      <c r="E837" s="657" t="s">
        <v>5596</v>
      </c>
      <c r="F837" s="658">
        <v>0.1</v>
      </c>
      <c r="G837" s="658">
        <v>0</v>
      </c>
      <c r="H837" s="656"/>
    </row>
    <row r="838" spans="1:8" ht="18.75" customHeight="1">
      <c r="A838" s="656"/>
      <c r="B838" s="659" t="s">
        <v>3928</v>
      </c>
      <c r="C838" s="659" t="s">
        <v>4303</v>
      </c>
      <c r="D838" s="659" t="s">
        <v>5597</v>
      </c>
      <c r="E838" s="659" t="s">
        <v>5598</v>
      </c>
      <c r="F838" s="660">
        <v>0.1</v>
      </c>
      <c r="G838" s="660">
        <v>0</v>
      </c>
      <c r="H838" s="656"/>
    </row>
    <row r="839" spans="1:8" ht="18.75" customHeight="1">
      <c r="A839" s="656"/>
      <c r="B839" s="657" t="s">
        <v>3928</v>
      </c>
      <c r="C839" s="657" t="s">
        <v>4303</v>
      </c>
      <c r="D839" s="657" t="s">
        <v>5599</v>
      </c>
      <c r="E839" s="657" t="s">
        <v>5600</v>
      </c>
      <c r="F839" s="658">
        <v>0.1</v>
      </c>
      <c r="G839" s="658">
        <v>0</v>
      </c>
      <c r="H839" s="656"/>
    </row>
    <row r="840" spans="1:8" ht="18.75" customHeight="1">
      <c r="A840" s="656"/>
      <c r="B840" s="659" t="s">
        <v>3928</v>
      </c>
      <c r="C840" s="659" t="s">
        <v>4303</v>
      </c>
      <c r="D840" s="659" t="s">
        <v>5601</v>
      </c>
      <c r="E840" s="659" t="s">
        <v>5602</v>
      </c>
      <c r="F840" s="660">
        <v>0.1</v>
      </c>
      <c r="G840" s="660">
        <v>0</v>
      </c>
      <c r="H840" s="656"/>
    </row>
    <row r="841" spans="1:8" ht="18.75" customHeight="1">
      <c r="A841" s="656"/>
      <c r="B841" s="657" t="s">
        <v>3928</v>
      </c>
      <c r="C841" s="657" t="s">
        <v>4303</v>
      </c>
      <c r="D841" s="657" t="s">
        <v>5603</v>
      </c>
      <c r="E841" s="657" t="s">
        <v>5604</v>
      </c>
      <c r="F841" s="658">
        <v>0.1</v>
      </c>
      <c r="G841" s="658">
        <v>0</v>
      </c>
      <c r="H841" s="656"/>
    </row>
    <row r="842" spans="1:8" ht="18.75" customHeight="1">
      <c r="A842" s="656"/>
      <c r="B842" s="659" t="s">
        <v>3928</v>
      </c>
      <c r="C842" s="659" t="s">
        <v>4303</v>
      </c>
      <c r="D842" s="659" t="s">
        <v>5605</v>
      </c>
      <c r="E842" s="659" t="s">
        <v>5606</v>
      </c>
      <c r="F842" s="660">
        <v>0.1</v>
      </c>
      <c r="G842" s="660">
        <v>0</v>
      </c>
      <c r="H842" s="656"/>
    </row>
    <row r="843" spans="1:8" ht="18.75" customHeight="1">
      <c r="A843" s="656"/>
      <c r="B843" s="657" t="s">
        <v>3928</v>
      </c>
      <c r="C843" s="657" t="s">
        <v>4303</v>
      </c>
      <c r="D843" s="657" t="s">
        <v>5607</v>
      </c>
      <c r="E843" s="657" t="s">
        <v>5606</v>
      </c>
      <c r="F843" s="658">
        <v>0.1</v>
      </c>
      <c r="G843" s="658">
        <v>0</v>
      </c>
      <c r="H843" s="656"/>
    </row>
    <row r="844" spans="1:8" ht="18.75" customHeight="1">
      <c r="A844" s="656"/>
      <c r="B844" s="659" t="s">
        <v>3928</v>
      </c>
      <c r="C844" s="659" t="s">
        <v>4303</v>
      </c>
      <c r="D844" s="659" t="s">
        <v>5608</v>
      </c>
      <c r="E844" s="659" t="s">
        <v>5609</v>
      </c>
      <c r="F844" s="660">
        <v>0.1</v>
      </c>
      <c r="G844" s="660">
        <v>0</v>
      </c>
      <c r="H844" s="656"/>
    </row>
    <row r="845" spans="1:8" ht="18.75" customHeight="1">
      <c r="A845" s="656"/>
      <c r="B845" s="657" t="s">
        <v>3928</v>
      </c>
      <c r="C845" s="657" t="s">
        <v>4303</v>
      </c>
      <c r="D845" s="657" t="s">
        <v>5610</v>
      </c>
      <c r="E845" s="657" t="s">
        <v>5611</v>
      </c>
      <c r="F845" s="658">
        <v>0.1</v>
      </c>
      <c r="G845" s="658">
        <v>0</v>
      </c>
      <c r="H845" s="656"/>
    </row>
    <row r="846" spans="1:8" ht="18.75" customHeight="1">
      <c r="A846" s="656"/>
      <c r="B846" s="659" t="s">
        <v>3928</v>
      </c>
      <c r="C846" s="659" t="s">
        <v>4303</v>
      </c>
      <c r="D846" s="659" t="s">
        <v>5612</v>
      </c>
      <c r="E846" s="659" t="s">
        <v>5613</v>
      </c>
      <c r="F846" s="660">
        <v>0.1</v>
      </c>
      <c r="G846" s="660">
        <v>0</v>
      </c>
      <c r="H846" s="656"/>
    </row>
    <row r="847" spans="1:8" ht="18.75" customHeight="1">
      <c r="A847" s="656"/>
      <c r="B847" s="657" t="s">
        <v>3928</v>
      </c>
      <c r="C847" s="657" t="s">
        <v>4303</v>
      </c>
      <c r="D847" s="657" t="s">
        <v>5614</v>
      </c>
      <c r="E847" s="657" t="s">
        <v>5615</v>
      </c>
      <c r="F847" s="658">
        <v>0.1</v>
      </c>
      <c r="G847" s="658">
        <v>0</v>
      </c>
      <c r="H847" s="656"/>
    </row>
    <row r="848" spans="1:8" ht="18.75" customHeight="1">
      <c r="A848" s="656"/>
      <c r="B848" s="659" t="s">
        <v>3928</v>
      </c>
      <c r="C848" s="659" t="s">
        <v>4303</v>
      </c>
      <c r="D848" s="659" t="s">
        <v>5616</v>
      </c>
      <c r="E848" s="659" t="s">
        <v>5617</v>
      </c>
      <c r="F848" s="660">
        <v>0.1</v>
      </c>
      <c r="G848" s="660">
        <v>0</v>
      </c>
      <c r="H848" s="656"/>
    </row>
    <row r="849" spans="1:8" ht="18.75" customHeight="1">
      <c r="A849" s="656"/>
      <c r="B849" s="657" t="s">
        <v>3928</v>
      </c>
      <c r="C849" s="657" t="s">
        <v>4303</v>
      </c>
      <c r="D849" s="657" t="s">
        <v>520</v>
      </c>
      <c r="E849" s="657" t="s">
        <v>521</v>
      </c>
      <c r="F849" s="658">
        <v>0.1</v>
      </c>
      <c r="G849" s="658">
        <v>0</v>
      </c>
      <c r="H849" s="656"/>
    </row>
    <row r="850" spans="1:8" ht="18.75" customHeight="1">
      <c r="A850" s="656"/>
      <c r="B850" s="659" t="s">
        <v>3928</v>
      </c>
      <c r="C850" s="659" t="s">
        <v>4303</v>
      </c>
      <c r="D850" s="659" t="s">
        <v>526</v>
      </c>
      <c r="E850" s="659" t="s">
        <v>527</v>
      </c>
      <c r="F850" s="660">
        <v>0.1</v>
      </c>
      <c r="G850" s="660">
        <v>0</v>
      </c>
      <c r="H850" s="656"/>
    </row>
    <row r="851" spans="1:8" ht="18.75" customHeight="1">
      <c r="A851" s="656"/>
      <c r="B851" s="657" t="s">
        <v>3928</v>
      </c>
      <c r="C851" s="657" t="s">
        <v>4303</v>
      </c>
      <c r="D851" s="657" t="s">
        <v>530</v>
      </c>
      <c r="E851" s="657" t="s">
        <v>531</v>
      </c>
      <c r="F851" s="658">
        <v>0.1</v>
      </c>
      <c r="G851" s="658">
        <v>0</v>
      </c>
      <c r="H851" s="656"/>
    </row>
    <row r="852" spans="1:8" ht="18.75" customHeight="1">
      <c r="A852" s="656"/>
      <c r="B852" s="659" t="s">
        <v>3928</v>
      </c>
      <c r="C852" s="659" t="s">
        <v>4303</v>
      </c>
      <c r="D852" s="659" t="s">
        <v>534</v>
      </c>
      <c r="E852" s="659" t="s">
        <v>535</v>
      </c>
      <c r="F852" s="660">
        <v>0.1</v>
      </c>
      <c r="G852" s="660">
        <v>0</v>
      </c>
      <c r="H852" s="656"/>
    </row>
    <row r="853" spans="1:8" ht="18.75" customHeight="1">
      <c r="A853" s="656"/>
      <c r="B853" s="657" t="s">
        <v>3928</v>
      </c>
      <c r="C853" s="657" t="s">
        <v>4303</v>
      </c>
      <c r="D853" s="657" t="s">
        <v>538</v>
      </c>
      <c r="E853" s="657" t="s">
        <v>539</v>
      </c>
      <c r="F853" s="658">
        <v>0.1</v>
      </c>
      <c r="G853" s="658">
        <v>0</v>
      </c>
      <c r="H853" s="656"/>
    </row>
    <row r="854" spans="1:8" ht="18.75" customHeight="1">
      <c r="A854" s="656"/>
      <c r="B854" s="659" t="s">
        <v>3928</v>
      </c>
      <c r="C854" s="659" t="s">
        <v>4303</v>
      </c>
      <c r="D854" s="659" t="s">
        <v>542</v>
      </c>
      <c r="E854" s="659" t="s">
        <v>543</v>
      </c>
      <c r="F854" s="660">
        <v>0.1</v>
      </c>
      <c r="G854" s="660">
        <v>0</v>
      </c>
      <c r="H854" s="656"/>
    </row>
    <row r="855" spans="1:8" ht="18.75" customHeight="1">
      <c r="A855" s="656"/>
      <c r="B855" s="657" t="s">
        <v>3928</v>
      </c>
      <c r="C855" s="657" t="s">
        <v>4303</v>
      </c>
      <c r="D855" s="657" t="s">
        <v>546</v>
      </c>
      <c r="E855" s="657" t="s">
        <v>547</v>
      </c>
      <c r="F855" s="658">
        <v>0.1</v>
      </c>
      <c r="G855" s="658">
        <v>0</v>
      </c>
      <c r="H855" s="656"/>
    </row>
    <row r="856" spans="1:8" ht="18.75" customHeight="1">
      <c r="A856" s="656"/>
      <c r="B856" s="659" t="s">
        <v>3928</v>
      </c>
      <c r="C856" s="659" t="s">
        <v>4303</v>
      </c>
      <c r="D856" s="659" t="s">
        <v>550</v>
      </c>
      <c r="E856" s="659" t="s">
        <v>551</v>
      </c>
      <c r="F856" s="660">
        <v>0.1</v>
      </c>
      <c r="G856" s="660">
        <v>0</v>
      </c>
      <c r="H856" s="656"/>
    </row>
    <row r="857" spans="1:8" ht="18.75" customHeight="1">
      <c r="A857" s="656"/>
      <c r="B857" s="657" t="s">
        <v>3928</v>
      </c>
      <c r="C857" s="657" t="s">
        <v>4303</v>
      </c>
      <c r="D857" s="657" t="s">
        <v>554</v>
      </c>
      <c r="E857" s="657" t="s">
        <v>555</v>
      </c>
      <c r="F857" s="658">
        <v>0.1</v>
      </c>
      <c r="G857" s="658">
        <v>0</v>
      </c>
      <c r="H857" s="656"/>
    </row>
    <row r="858" spans="1:8" ht="18.75" customHeight="1">
      <c r="A858" s="656"/>
      <c r="B858" s="659" t="s">
        <v>3928</v>
      </c>
      <c r="C858" s="659" t="s">
        <v>4303</v>
      </c>
      <c r="D858" s="659" t="s">
        <v>558</v>
      </c>
      <c r="E858" s="659" t="s">
        <v>559</v>
      </c>
      <c r="F858" s="660">
        <v>0.1</v>
      </c>
      <c r="G858" s="660">
        <v>0</v>
      </c>
      <c r="H858" s="656"/>
    </row>
    <row r="859" spans="1:8" ht="18.75" customHeight="1">
      <c r="A859" s="656"/>
      <c r="B859" s="657" t="s">
        <v>3928</v>
      </c>
      <c r="C859" s="657" t="s">
        <v>4303</v>
      </c>
      <c r="D859" s="657" t="s">
        <v>560</v>
      </c>
      <c r="E859" s="657" t="s">
        <v>561</v>
      </c>
      <c r="F859" s="658">
        <v>0.1</v>
      </c>
      <c r="G859" s="658">
        <v>0</v>
      </c>
      <c r="H859" s="656"/>
    </row>
    <row r="860" spans="1:8" ht="18.75" customHeight="1">
      <c r="A860" s="656"/>
      <c r="B860" s="659" t="s">
        <v>3928</v>
      </c>
      <c r="C860" s="659" t="s">
        <v>4303</v>
      </c>
      <c r="D860" s="659" t="s">
        <v>566</v>
      </c>
      <c r="E860" s="659" t="s">
        <v>567</v>
      </c>
      <c r="F860" s="660">
        <v>0.1</v>
      </c>
      <c r="G860" s="660">
        <v>0</v>
      </c>
      <c r="H860" s="656"/>
    </row>
    <row r="861" spans="1:8" ht="18.75" customHeight="1">
      <c r="A861" s="656"/>
      <c r="B861" s="657" t="s">
        <v>3928</v>
      </c>
      <c r="C861" s="657" t="s">
        <v>4303</v>
      </c>
      <c r="D861" s="657" t="s">
        <v>570</v>
      </c>
      <c r="E861" s="657" t="s">
        <v>571</v>
      </c>
      <c r="F861" s="658">
        <v>0.1</v>
      </c>
      <c r="G861" s="658">
        <v>0</v>
      </c>
      <c r="H861" s="656"/>
    </row>
    <row r="862" spans="1:8" ht="18.75" customHeight="1">
      <c r="A862" s="656"/>
      <c r="B862" s="659" t="s">
        <v>3928</v>
      </c>
      <c r="C862" s="659" t="s">
        <v>5618</v>
      </c>
      <c r="D862" s="659" t="s">
        <v>5619</v>
      </c>
      <c r="E862" s="659" t="s">
        <v>5620</v>
      </c>
      <c r="F862" s="660">
        <v>0.1</v>
      </c>
      <c r="G862" s="660">
        <v>0</v>
      </c>
      <c r="H862" s="656"/>
    </row>
    <row r="863" spans="1:8" ht="18.75" customHeight="1">
      <c r="A863" s="656"/>
      <c r="B863" s="657" t="s">
        <v>3928</v>
      </c>
      <c r="C863" s="657" t="s">
        <v>5618</v>
      </c>
      <c r="D863" s="657" t="s">
        <v>5621</v>
      </c>
      <c r="E863" s="657" t="s">
        <v>5622</v>
      </c>
      <c r="F863" s="658">
        <v>0.1</v>
      </c>
      <c r="G863" s="658">
        <v>0</v>
      </c>
      <c r="H863" s="656"/>
    </row>
    <row r="864" spans="1:8" ht="18.75" customHeight="1">
      <c r="A864" s="656"/>
      <c r="B864" s="659" t="s">
        <v>3928</v>
      </c>
      <c r="C864" s="659" t="s">
        <v>5618</v>
      </c>
      <c r="D864" s="659" t="s">
        <v>5623</v>
      </c>
      <c r="E864" s="659" t="s">
        <v>5624</v>
      </c>
      <c r="F864" s="660">
        <v>0.1</v>
      </c>
      <c r="G864" s="660">
        <v>0</v>
      </c>
      <c r="H864" s="656"/>
    </row>
    <row r="865" spans="1:8" ht="18.75" customHeight="1">
      <c r="A865" s="656"/>
      <c r="B865" s="657" t="s">
        <v>3928</v>
      </c>
      <c r="C865" s="657" t="s">
        <v>5618</v>
      </c>
      <c r="D865" s="657" t="s">
        <v>5625</v>
      </c>
      <c r="E865" s="657" t="s">
        <v>5626</v>
      </c>
      <c r="F865" s="658">
        <v>0.1</v>
      </c>
      <c r="G865" s="658">
        <v>0</v>
      </c>
      <c r="H865" s="656"/>
    </row>
    <row r="866" spans="1:8" ht="18.75" customHeight="1">
      <c r="A866" s="656"/>
      <c r="B866" s="659" t="s">
        <v>3928</v>
      </c>
      <c r="C866" s="659" t="s">
        <v>5618</v>
      </c>
      <c r="D866" s="659" t="s">
        <v>5627</v>
      </c>
      <c r="E866" s="659" t="s">
        <v>5628</v>
      </c>
      <c r="F866" s="660">
        <v>0.1</v>
      </c>
      <c r="G866" s="660">
        <v>0</v>
      </c>
      <c r="H866" s="656"/>
    </row>
    <row r="867" spans="1:8" ht="18.75" customHeight="1">
      <c r="A867" s="656"/>
      <c r="B867" s="657" t="s">
        <v>3928</v>
      </c>
      <c r="C867" s="657" t="s">
        <v>5618</v>
      </c>
      <c r="D867" s="657" t="s">
        <v>5629</v>
      </c>
      <c r="E867" s="657" t="s">
        <v>5630</v>
      </c>
      <c r="F867" s="658">
        <v>0.1</v>
      </c>
      <c r="G867" s="658">
        <v>0</v>
      </c>
      <c r="H867" s="656"/>
    </row>
    <row r="868" spans="1:8" ht="18.75" customHeight="1">
      <c r="A868" s="656"/>
      <c r="B868" s="659" t="s">
        <v>3928</v>
      </c>
      <c r="C868" s="659" t="s">
        <v>5618</v>
      </c>
      <c r="D868" s="659" t="s">
        <v>5631</v>
      </c>
      <c r="E868" s="659" t="s">
        <v>5632</v>
      </c>
      <c r="F868" s="660">
        <v>0.1</v>
      </c>
      <c r="G868" s="660">
        <v>0</v>
      </c>
      <c r="H868" s="656"/>
    </row>
    <row r="869" spans="1:8" ht="18.75" customHeight="1">
      <c r="A869" s="656"/>
      <c r="B869" s="657" t="s">
        <v>3928</v>
      </c>
      <c r="C869" s="657" t="s">
        <v>5618</v>
      </c>
      <c r="D869" s="657" t="s">
        <v>5633</v>
      </c>
      <c r="E869" s="657" t="s">
        <v>5634</v>
      </c>
      <c r="F869" s="658">
        <v>0.1</v>
      </c>
      <c r="G869" s="658">
        <v>0</v>
      </c>
      <c r="H869" s="656"/>
    </row>
    <row r="870" spans="1:8" ht="18.75" customHeight="1">
      <c r="A870" s="656"/>
      <c r="B870" s="659" t="s">
        <v>3928</v>
      </c>
      <c r="C870" s="659" t="s">
        <v>5618</v>
      </c>
      <c r="D870" s="659" t="s">
        <v>5635</v>
      </c>
      <c r="E870" s="659" t="s">
        <v>5636</v>
      </c>
      <c r="F870" s="660">
        <v>0.1</v>
      </c>
      <c r="G870" s="660">
        <v>0</v>
      </c>
      <c r="H870" s="656"/>
    </row>
    <row r="871" spans="1:8" ht="18.75" customHeight="1">
      <c r="A871" s="656"/>
      <c r="B871" s="657" t="s">
        <v>3928</v>
      </c>
      <c r="C871" s="657" t="s">
        <v>5618</v>
      </c>
      <c r="D871" s="657" t="s">
        <v>5637</v>
      </c>
      <c r="E871" s="657" t="s">
        <v>5638</v>
      </c>
      <c r="F871" s="658">
        <v>0.1</v>
      </c>
      <c r="G871" s="658">
        <v>0</v>
      </c>
      <c r="H871" s="656"/>
    </row>
    <row r="872" spans="1:8" ht="18.75" customHeight="1">
      <c r="A872" s="656"/>
      <c r="B872" s="659" t="s">
        <v>3928</v>
      </c>
      <c r="C872" s="659" t="s">
        <v>5618</v>
      </c>
      <c r="D872" s="659" t="s">
        <v>5639</v>
      </c>
      <c r="E872" s="659" t="s">
        <v>5640</v>
      </c>
      <c r="F872" s="660">
        <v>0.1</v>
      </c>
      <c r="G872" s="660">
        <v>0</v>
      </c>
      <c r="H872" s="656"/>
    </row>
    <row r="873" spans="1:8" ht="18.75" customHeight="1">
      <c r="A873" s="656"/>
      <c r="B873" s="657" t="s">
        <v>3928</v>
      </c>
      <c r="C873" s="657" t="s">
        <v>5618</v>
      </c>
      <c r="D873" s="657" t="s">
        <v>5641</v>
      </c>
      <c r="E873" s="657" t="s">
        <v>5642</v>
      </c>
      <c r="F873" s="658">
        <v>0.1</v>
      </c>
      <c r="G873" s="658">
        <v>0</v>
      </c>
      <c r="H873" s="656"/>
    </row>
    <row r="874" spans="1:8" ht="18.75" customHeight="1">
      <c r="A874" s="656"/>
      <c r="B874" s="659" t="s">
        <v>3928</v>
      </c>
      <c r="C874" s="659" t="s">
        <v>5618</v>
      </c>
      <c r="D874" s="659" t="s">
        <v>5643</v>
      </c>
      <c r="E874" s="659" t="s">
        <v>5644</v>
      </c>
      <c r="F874" s="660">
        <v>0.1</v>
      </c>
      <c r="G874" s="660">
        <v>0</v>
      </c>
      <c r="H874" s="656"/>
    </row>
    <row r="875" spans="1:8" ht="18.75" customHeight="1">
      <c r="A875" s="656"/>
      <c r="B875" s="657" t="s">
        <v>3928</v>
      </c>
      <c r="C875" s="657" t="s">
        <v>5618</v>
      </c>
      <c r="D875" s="657" t="s">
        <v>5645</v>
      </c>
      <c r="E875" s="657" t="s">
        <v>5646</v>
      </c>
      <c r="F875" s="658">
        <v>0.1</v>
      </c>
      <c r="G875" s="658">
        <v>0</v>
      </c>
      <c r="H875" s="656"/>
    </row>
    <row r="876" spans="1:8" ht="18.75" customHeight="1">
      <c r="A876" s="656"/>
      <c r="B876" s="659" t="s">
        <v>3928</v>
      </c>
      <c r="C876" s="659" t="s">
        <v>5618</v>
      </c>
      <c r="D876" s="659" t="s">
        <v>5647</v>
      </c>
      <c r="E876" s="659" t="s">
        <v>5648</v>
      </c>
      <c r="F876" s="660">
        <v>0.1</v>
      </c>
      <c r="G876" s="660">
        <v>0</v>
      </c>
      <c r="H876" s="656"/>
    </row>
    <row r="877" spans="1:8" ht="18.75" customHeight="1">
      <c r="A877" s="656"/>
      <c r="B877" s="657" t="s">
        <v>3928</v>
      </c>
      <c r="C877" s="657" t="s">
        <v>5618</v>
      </c>
      <c r="D877" s="657" t="s">
        <v>5649</v>
      </c>
      <c r="E877" s="657" t="s">
        <v>5650</v>
      </c>
      <c r="F877" s="658">
        <v>0.1</v>
      </c>
      <c r="G877" s="658">
        <v>0</v>
      </c>
      <c r="H877" s="656"/>
    </row>
    <row r="878" spans="1:8" ht="18.75" customHeight="1">
      <c r="A878" s="656"/>
      <c r="B878" s="659" t="s">
        <v>3928</v>
      </c>
      <c r="C878" s="659" t="s">
        <v>5618</v>
      </c>
      <c r="D878" s="659" t="s">
        <v>5651</v>
      </c>
      <c r="E878" s="659" t="s">
        <v>5652</v>
      </c>
      <c r="F878" s="660">
        <v>0.1</v>
      </c>
      <c r="G878" s="660">
        <v>0</v>
      </c>
      <c r="H878" s="656"/>
    </row>
    <row r="879" spans="1:8" ht="18.75" customHeight="1">
      <c r="A879" s="656"/>
      <c r="B879" s="657" t="s">
        <v>3928</v>
      </c>
      <c r="C879" s="657" t="s">
        <v>5618</v>
      </c>
      <c r="D879" s="657" t="s">
        <v>5653</v>
      </c>
      <c r="E879" s="657" t="s">
        <v>5654</v>
      </c>
      <c r="F879" s="658">
        <v>0.1</v>
      </c>
      <c r="G879" s="658">
        <v>0</v>
      </c>
      <c r="H879" s="656"/>
    </row>
    <row r="880" spans="1:8" ht="18.75" customHeight="1">
      <c r="A880" s="656"/>
      <c r="B880" s="659" t="s">
        <v>3928</v>
      </c>
      <c r="C880" s="659" t="s">
        <v>5618</v>
      </c>
      <c r="D880" s="659" t="s">
        <v>5655</v>
      </c>
      <c r="E880" s="659" t="s">
        <v>5656</v>
      </c>
      <c r="F880" s="660">
        <v>0.1</v>
      </c>
      <c r="G880" s="660">
        <v>0</v>
      </c>
      <c r="H880" s="656"/>
    </row>
    <row r="881" spans="1:8" ht="18.75" customHeight="1">
      <c r="A881" s="656"/>
      <c r="B881" s="657" t="s">
        <v>3928</v>
      </c>
      <c r="C881" s="657" t="s">
        <v>5618</v>
      </c>
      <c r="D881" s="657" t="s">
        <v>5657</v>
      </c>
      <c r="E881" s="657" t="s">
        <v>5658</v>
      </c>
      <c r="F881" s="658">
        <v>0.1</v>
      </c>
      <c r="G881" s="658">
        <v>0</v>
      </c>
      <c r="H881" s="656"/>
    </row>
    <row r="882" spans="1:8" ht="18.75" customHeight="1">
      <c r="A882" s="656"/>
      <c r="B882" s="659" t="s">
        <v>3928</v>
      </c>
      <c r="C882" s="659" t="s">
        <v>5618</v>
      </c>
      <c r="D882" s="659" t="s">
        <v>5659</v>
      </c>
      <c r="E882" s="659" t="s">
        <v>5660</v>
      </c>
      <c r="F882" s="660">
        <v>0.1</v>
      </c>
      <c r="G882" s="660">
        <v>0</v>
      </c>
      <c r="H882" s="656"/>
    </row>
    <row r="883" spans="1:8" ht="18.75" customHeight="1">
      <c r="A883" s="656"/>
      <c r="B883" s="657" t="s">
        <v>3928</v>
      </c>
      <c r="C883" s="657" t="s">
        <v>5618</v>
      </c>
      <c r="D883" s="657" t="s">
        <v>5661</v>
      </c>
      <c r="E883" s="657" t="s">
        <v>5662</v>
      </c>
      <c r="F883" s="658">
        <v>0.1</v>
      </c>
      <c r="G883" s="658">
        <v>0</v>
      </c>
      <c r="H883" s="656"/>
    </row>
    <row r="884" spans="1:8" ht="18.75" customHeight="1">
      <c r="A884" s="656"/>
      <c r="B884" s="659" t="s">
        <v>3928</v>
      </c>
      <c r="C884" s="659" t="s">
        <v>5618</v>
      </c>
      <c r="D884" s="659" t="s">
        <v>5663</v>
      </c>
      <c r="E884" s="659" t="s">
        <v>5664</v>
      </c>
      <c r="F884" s="660">
        <v>0.1</v>
      </c>
      <c r="G884" s="660">
        <v>0</v>
      </c>
      <c r="H884" s="656"/>
    </row>
    <row r="885" spans="1:8" ht="18.75" customHeight="1">
      <c r="A885" s="656"/>
      <c r="B885" s="657" t="s">
        <v>3928</v>
      </c>
      <c r="C885" s="657" t="s">
        <v>5618</v>
      </c>
      <c r="D885" s="657" t="s">
        <v>5665</v>
      </c>
      <c r="E885" s="657" t="s">
        <v>5666</v>
      </c>
      <c r="F885" s="658">
        <v>0.1</v>
      </c>
      <c r="G885" s="658">
        <v>0</v>
      </c>
      <c r="H885" s="656"/>
    </row>
    <row r="886" spans="1:8" ht="18.75" customHeight="1">
      <c r="A886" s="656"/>
      <c r="B886" s="659" t="s">
        <v>3928</v>
      </c>
      <c r="C886" s="659" t="s">
        <v>5618</v>
      </c>
      <c r="D886" s="659" t="s">
        <v>5667</v>
      </c>
      <c r="E886" s="659" t="s">
        <v>5668</v>
      </c>
      <c r="F886" s="660">
        <v>0.1</v>
      </c>
      <c r="G886" s="660">
        <v>0</v>
      </c>
      <c r="H886" s="656"/>
    </row>
    <row r="887" spans="1:8" ht="18.75" customHeight="1">
      <c r="A887" s="656"/>
      <c r="B887" s="657" t="s">
        <v>3928</v>
      </c>
      <c r="C887" s="657" t="s">
        <v>5618</v>
      </c>
      <c r="D887" s="657" t="s">
        <v>5669</v>
      </c>
      <c r="E887" s="657" t="s">
        <v>5670</v>
      </c>
      <c r="F887" s="658">
        <v>0.1</v>
      </c>
      <c r="G887" s="658">
        <v>0</v>
      </c>
      <c r="H887" s="656"/>
    </row>
    <row r="888" spans="1:8" ht="18.75" customHeight="1">
      <c r="A888" s="656"/>
      <c r="B888" s="659" t="s">
        <v>3928</v>
      </c>
      <c r="C888" s="659" t="s">
        <v>5618</v>
      </c>
      <c r="D888" s="659" t="s">
        <v>5671</v>
      </c>
      <c r="E888" s="659" t="s">
        <v>5672</v>
      </c>
      <c r="F888" s="660">
        <v>0.1</v>
      </c>
      <c r="G888" s="660">
        <v>0</v>
      </c>
      <c r="H888" s="656"/>
    </row>
    <row r="889" spans="1:8" ht="18.75" customHeight="1">
      <c r="A889" s="656"/>
      <c r="B889" s="657" t="s">
        <v>3928</v>
      </c>
      <c r="C889" s="657" t="s">
        <v>5618</v>
      </c>
      <c r="D889" s="657" t="s">
        <v>5673</v>
      </c>
      <c r="E889" s="657" t="s">
        <v>5674</v>
      </c>
      <c r="F889" s="658">
        <v>0.1</v>
      </c>
      <c r="G889" s="658">
        <v>0</v>
      </c>
      <c r="H889" s="656"/>
    </row>
    <row r="890" spans="1:8" ht="18.75" customHeight="1">
      <c r="A890" s="656"/>
      <c r="B890" s="659" t="s">
        <v>3928</v>
      </c>
      <c r="C890" s="659" t="s">
        <v>5618</v>
      </c>
      <c r="D890" s="659" t="s">
        <v>5675</v>
      </c>
      <c r="E890" s="659" t="s">
        <v>5676</v>
      </c>
      <c r="F890" s="660">
        <v>0.1</v>
      </c>
      <c r="G890" s="660">
        <v>0</v>
      </c>
      <c r="H890" s="656"/>
    </row>
    <row r="891" spans="1:8" ht="18.75" customHeight="1">
      <c r="A891" s="656"/>
      <c r="B891" s="657" t="s">
        <v>3928</v>
      </c>
      <c r="C891" s="657" t="s">
        <v>5618</v>
      </c>
      <c r="D891" s="657" t="s">
        <v>5677</v>
      </c>
      <c r="E891" s="657" t="s">
        <v>5678</v>
      </c>
      <c r="F891" s="658">
        <v>0.1</v>
      </c>
      <c r="G891" s="658">
        <v>0</v>
      </c>
      <c r="H891" s="656"/>
    </row>
    <row r="892" spans="1:8" ht="18.75" customHeight="1">
      <c r="A892" s="656"/>
      <c r="B892" s="659" t="s">
        <v>3928</v>
      </c>
      <c r="C892" s="659" t="s">
        <v>5618</v>
      </c>
      <c r="D892" s="659" t="s">
        <v>5679</v>
      </c>
      <c r="E892" s="659" t="s">
        <v>5680</v>
      </c>
      <c r="F892" s="660">
        <v>0.1</v>
      </c>
      <c r="G892" s="660">
        <v>0</v>
      </c>
      <c r="H892" s="656"/>
    </row>
    <row r="893" spans="1:8" ht="18.75" customHeight="1">
      <c r="A893" s="656"/>
      <c r="B893" s="657" t="s">
        <v>3928</v>
      </c>
      <c r="C893" s="657" t="s">
        <v>5618</v>
      </c>
      <c r="D893" s="657" t="s">
        <v>5681</v>
      </c>
      <c r="E893" s="657" t="s">
        <v>5682</v>
      </c>
      <c r="F893" s="658">
        <v>0.1</v>
      </c>
      <c r="G893" s="658">
        <v>0</v>
      </c>
      <c r="H893" s="656"/>
    </row>
    <row r="894" spans="1:8" ht="18.75" customHeight="1">
      <c r="A894" s="656"/>
      <c r="B894" s="659" t="s">
        <v>3928</v>
      </c>
      <c r="C894" s="659" t="s">
        <v>5618</v>
      </c>
      <c r="D894" s="659" t="s">
        <v>5683</v>
      </c>
      <c r="E894" s="659" t="s">
        <v>5684</v>
      </c>
      <c r="F894" s="660">
        <v>0.1</v>
      </c>
      <c r="G894" s="660">
        <v>0</v>
      </c>
      <c r="H894" s="656"/>
    </row>
    <row r="895" spans="1:8" ht="18.75" customHeight="1">
      <c r="A895" s="656"/>
      <c r="B895" s="657" t="s">
        <v>3928</v>
      </c>
      <c r="C895" s="657" t="s">
        <v>5618</v>
      </c>
      <c r="D895" s="657" t="s">
        <v>5685</v>
      </c>
      <c r="E895" s="657" t="s">
        <v>5686</v>
      </c>
      <c r="F895" s="658">
        <v>0.1</v>
      </c>
      <c r="G895" s="658">
        <v>0</v>
      </c>
      <c r="H895" s="656"/>
    </row>
    <row r="896" spans="1:8" ht="18.75" customHeight="1">
      <c r="A896" s="656"/>
      <c r="B896" s="659" t="s">
        <v>3928</v>
      </c>
      <c r="C896" s="659" t="s">
        <v>5618</v>
      </c>
      <c r="D896" s="659" t="s">
        <v>5687</v>
      </c>
      <c r="E896" s="659" t="s">
        <v>5688</v>
      </c>
      <c r="F896" s="660">
        <v>0.1</v>
      </c>
      <c r="G896" s="660">
        <v>0</v>
      </c>
      <c r="H896" s="656"/>
    </row>
    <row r="897" spans="1:8" ht="18.75" customHeight="1">
      <c r="A897" s="656"/>
      <c r="B897" s="657" t="s">
        <v>3928</v>
      </c>
      <c r="C897" s="657" t="s">
        <v>5618</v>
      </c>
      <c r="D897" s="657" t="s">
        <v>5689</v>
      </c>
      <c r="E897" s="657" t="s">
        <v>5690</v>
      </c>
      <c r="F897" s="658">
        <v>0.1</v>
      </c>
      <c r="G897" s="658">
        <v>0</v>
      </c>
      <c r="H897" s="656"/>
    </row>
    <row r="898" spans="1:8" ht="18.75" customHeight="1">
      <c r="A898" s="656"/>
      <c r="B898" s="659" t="s">
        <v>3928</v>
      </c>
      <c r="C898" s="659" t="s">
        <v>5618</v>
      </c>
      <c r="D898" s="659" t="s">
        <v>5691</v>
      </c>
      <c r="E898" s="659" t="s">
        <v>5692</v>
      </c>
      <c r="F898" s="660">
        <v>0.1</v>
      </c>
      <c r="G898" s="660">
        <v>0</v>
      </c>
      <c r="H898" s="656"/>
    </row>
    <row r="899" spans="1:8" ht="18.75" customHeight="1">
      <c r="A899" s="656"/>
      <c r="B899" s="657" t="s">
        <v>3928</v>
      </c>
      <c r="C899" s="657" t="s">
        <v>5618</v>
      </c>
      <c r="D899" s="657" t="s">
        <v>5693</v>
      </c>
      <c r="E899" s="657" t="s">
        <v>5694</v>
      </c>
      <c r="F899" s="658">
        <v>0.1</v>
      </c>
      <c r="G899" s="658">
        <v>0</v>
      </c>
      <c r="H899" s="656"/>
    </row>
    <row r="900" spans="1:8" ht="18.75" customHeight="1">
      <c r="A900" s="656"/>
      <c r="B900" s="659" t="s">
        <v>3928</v>
      </c>
      <c r="C900" s="659" t="s">
        <v>5618</v>
      </c>
      <c r="D900" s="659" t="s">
        <v>5695</v>
      </c>
      <c r="E900" s="659" t="s">
        <v>5696</v>
      </c>
      <c r="F900" s="660">
        <v>0.1</v>
      </c>
      <c r="G900" s="660">
        <v>0</v>
      </c>
      <c r="H900" s="656"/>
    </row>
    <row r="901" spans="1:8" ht="18.75" customHeight="1">
      <c r="A901" s="656"/>
      <c r="B901" s="657" t="s">
        <v>3928</v>
      </c>
      <c r="C901" s="657" t="s">
        <v>5618</v>
      </c>
      <c r="D901" s="657" t="s">
        <v>5697</v>
      </c>
      <c r="E901" s="657" t="s">
        <v>5698</v>
      </c>
      <c r="F901" s="658">
        <v>0.1</v>
      </c>
      <c r="G901" s="658">
        <v>0</v>
      </c>
      <c r="H901" s="656"/>
    </row>
    <row r="902" spans="1:8" ht="18.75" customHeight="1">
      <c r="A902" s="656"/>
      <c r="B902" s="659" t="s">
        <v>3928</v>
      </c>
      <c r="C902" s="659" t="s">
        <v>5618</v>
      </c>
      <c r="D902" s="659" t="s">
        <v>5699</v>
      </c>
      <c r="E902" s="659" t="s">
        <v>5700</v>
      </c>
      <c r="F902" s="660">
        <v>0.1</v>
      </c>
      <c r="G902" s="660">
        <v>0</v>
      </c>
      <c r="H902" s="656"/>
    </row>
    <row r="903" spans="1:8" ht="18.75" customHeight="1">
      <c r="A903" s="656"/>
      <c r="B903" s="657" t="s">
        <v>3928</v>
      </c>
      <c r="C903" s="657" t="s">
        <v>5618</v>
      </c>
      <c r="D903" s="657" t="s">
        <v>5701</v>
      </c>
      <c r="E903" s="657" t="s">
        <v>5702</v>
      </c>
      <c r="F903" s="658">
        <v>0.1</v>
      </c>
      <c r="G903" s="658">
        <v>0</v>
      </c>
      <c r="H903" s="656"/>
    </row>
    <row r="904" spans="1:8" ht="18.75" customHeight="1">
      <c r="A904" s="656"/>
      <c r="B904" s="659" t="s">
        <v>3928</v>
      </c>
      <c r="C904" s="659" t="s">
        <v>5618</v>
      </c>
      <c r="D904" s="659" t="s">
        <v>5703</v>
      </c>
      <c r="E904" s="659" t="s">
        <v>5704</v>
      </c>
      <c r="F904" s="660">
        <v>0.1</v>
      </c>
      <c r="G904" s="660">
        <v>0</v>
      </c>
      <c r="H904" s="656"/>
    </row>
    <row r="905" spans="1:8" ht="18.75" customHeight="1">
      <c r="A905" s="656"/>
      <c r="B905" s="657" t="s">
        <v>3928</v>
      </c>
      <c r="C905" s="657" t="s">
        <v>5618</v>
      </c>
      <c r="D905" s="657" t="s">
        <v>5705</v>
      </c>
      <c r="E905" s="657" t="s">
        <v>5706</v>
      </c>
      <c r="F905" s="658">
        <v>0.1</v>
      </c>
      <c r="G905" s="658">
        <v>0</v>
      </c>
      <c r="H905" s="656"/>
    </row>
    <row r="906" spans="1:8" ht="18.75" customHeight="1">
      <c r="A906" s="656"/>
      <c r="B906" s="659" t="s">
        <v>3928</v>
      </c>
      <c r="C906" s="659" t="s">
        <v>5618</v>
      </c>
      <c r="D906" s="659" t="s">
        <v>5707</v>
      </c>
      <c r="E906" s="659" t="s">
        <v>5708</v>
      </c>
      <c r="F906" s="660">
        <v>0.1</v>
      </c>
      <c r="G906" s="660">
        <v>0</v>
      </c>
      <c r="H906" s="656"/>
    </row>
    <row r="907" spans="1:8" ht="18.75" customHeight="1">
      <c r="A907" s="656"/>
      <c r="B907" s="657" t="s">
        <v>3928</v>
      </c>
      <c r="C907" s="657" t="s">
        <v>5618</v>
      </c>
      <c r="D907" s="657" t="s">
        <v>5709</v>
      </c>
      <c r="E907" s="657" t="s">
        <v>5710</v>
      </c>
      <c r="F907" s="658">
        <v>0.1</v>
      </c>
      <c r="G907" s="658">
        <v>0</v>
      </c>
      <c r="H907" s="656"/>
    </row>
    <row r="908" spans="1:8" ht="18.75" customHeight="1">
      <c r="A908" s="656"/>
      <c r="B908" s="659" t="s">
        <v>3928</v>
      </c>
      <c r="C908" s="659" t="s">
        <v>5618</v>
      </c>
      <c r="D908" s="659" t="s">
        <v>5711</v>
      </c>
      <c r="E908" s="659" t="s">
        <v>5712</v>
      </c>
      <c r="F908" s="660">
        <v>0.1</v>
      </c>
      <c r="G908" s="660">
        <v>0</v>
      </c>
      <c r="H908" s="656"/>
    </row>
    <row r="909" spans="1:8" ht="18.75" customHeight="1">
      <c r="A909" s="656"/>
      <c r="B909" s="657" t="s">
        <v>3928</v>
      </c>
      <c r="C909" s="657" t="s">
        <v>5618</v>
      </c>
      <c r="D909" s="657" t="s">
        <v>5713</v>
      </c>
      <c r="E909" s="657" t="s">
        <v>5714</v>
      </c>
      <c r="F909" s="658">
        <v>0.1</v>
      </c>
      <c r="G909" s="658">
        <v>0</v>
      </c>
      <c r="H909" s="656"/>
    </row>
    <row r="910" spans="1:8" ht="18.75" customHeight="1">
      <c r="A910" s="656"/>
      <c r="B910" s="659" t="s">
        <v>3928</v>
      </c>
      <c r="C910" s="659" t="s">
        <v>5618</v>
      </c>
      <c r="D910" s="659" t="s">
        <v>5715</v>
      </c>
      <c r="E910" s="659" t="s">
        <v>5716</v>
      </c>
      <c r="F910" s="660">
        <v>0.1</v>
      </c>
      <c r="G910" s="660">
        <v>0</v>
      </c>
      <c r="H910" s="656"/>
    </row>
    <row r="911" spans="1:8" ht="18.75" customHeight="1">
      <c r="A911" s="656"/>
      <c r="B911" s="657" t="s">
        <v>3928</v>
      </c>
      <c r="C911" s="657" t="s">
        <v>5618</v>
      </c>
      <c r="D911" s="657" t="s">
        <v>5717</v>
      </c>
      <c r="E911" s="657" t="s">
        <v>5718</v>
      </c>
      <c r="F911" s="658">
        <v>0.1</v>
      </c>
      <c r="G911" s="658">
        <v>0</v>
      </c>
      <c r="H911" s="656"/>
    </row>
    <row r="912" spans="1:8" ht="18.75" customHeight="1">
      <c r="A912" s="656"/>
      <c r="B912" s="659" t="s">
        <v>3928</v>
      </c>
      <c r="C912" s="659" t="s">
        <v>5618</v>
      </c>
      <c r="D912" s="659" t="s">
        <v>5719</v>
      </c>
      <c r="E912" s="659" t="s">
        <v>5720</v>
      </c>
      <c r="F912" s="660">
        <v>0.1</v>
      </c>
      <c r="G912" s="660">
        <v>0</v>
      </c>
      <c r="H912" s="656"/>
    </row>
    <row r="913" spans="1:8" ht="18.75" customHeight="1">
      <c r="A913" s="656"/>
      <c r="B913" s="657" t="s">
        <v>3928</v>
      </c>
      <c r="C913" s="657" t="s">
        <v>5618</v>
      </c>
      <c r="D913" s="657" t="s">
        <v>5721</v>
      </c>
      <c r="E913" s="657" t="s">
        <v>5722</v>
      </c>
      <c r="F913" s="658">
        <v>0.1</v>
      </c>
      <c r="G913" s="658">
        <v>0</v>
      </c>
      <c r="H913" s="656"/>
    </row>
    <row r="914" spans="1:8" ht="18.75" customHeight="1">
      <c r="A914" s="656"/>
      <c r="B914" s="659" t="s">
        <v>3928</v>
      </c>
      <c r="C914" s="659" t="s">
        <v>5618</v>
      </c>
      <c r="D914" s="659" t="s">
        <v>5723</v>
      </c>
      <c r="E914" s="659" t="s">
        <v>5724</v>
      </c>
      <c r="F914" s="660">
        <v>0.1</v>
      </c>
      <c r="G914" s="660">
        <v>0</v>
      </c>
      <c r="H914" s="656"/>
    </row>
    <row r="915" spans="1:8" ht="18.75" customHeight="1">
      <c r="A915" s="656"/>
      <c r="B915" s="657" t="s">
        <v>3928</v>
      </c>
      <c r="C915" s="657" t="s">
        <v>5618</v>
      </c>
      <c r="D915" s="657" t="s">
        <v>5725</v>
      </c>
      <c r="E915" s="657" t="s">
        <v>5726</v>
      </c>
      <c r="F915" s="658">
        <v>0.1</v>
      </c>
      <c r="G915" s="658">
        <v>0</v>
      </c>
      <c r="H915" s="656"/>
    </row>
    <row r="916" spans="1:8" ht="18.75" customHeight="1">
      <c r="A916" s="656"/>
      <c r="B916" s="659" t="s">
        <v>3928</v>
      </c>
      <c r="C916" s="659" t="s">
        <v>5618</v>
      </c>
      <c r="D916" s="659" t="s">
        <v>5727</v>
      </c>
      <c r="E916" s="659" t="s">
        <v>5728</v>
      </c>
      <c r="F916" s="660">
        <v>0.1</v>
      </c>
      <c r="G916" s="660">
        <v>0</v>
      </c>
      <c r="H916" s="656"/>
    </row>
    <row r="917" spans="1:8" ht="18.75" customHeight="1">
      <c r="A917" s="656"/>
      <c r="B917" s="657" t="s">
        <v>3928</v>
      </c>
      <c r="C917" s="657" t="s">
        <v>5618</v>
      </c>
      <c r="D917" s="657" t="s">
        <v>5729</v>
      </c>
      <c r="E917" s="657" t="s">
        <v>5730</v>
      </c>
      <c r="F917" s="658">
        <v>0.1</v>
      </c>
      <c r="G917" s="658">
        <v>0</v>
      </c>
      <c r="H917" s="656"/>
    </row>
    <row r="918" spans="1:8" ht="18.75" customHeight="1">
      <c r="A918" s="656"/>
      <c r="B918" s="659" t="s">
        <v>3928</v>
      </c>
      <c r="C918" s="659" t="s">
        <v>5618</v>
      </c>
      <c r="D918" s="659" t="s">
        <v>5731</v>
      </c>
      <c r="E918" s="659" t="s">
        <v>5732</v>
      </c>
      <c r="F918" s="660">
        <v>0.1</v>
      </c>
      <c r="G918" s="660">
        <v>0</v>
      </c>
      <c r="H918" s="656"/>
    </row>
    <row r="919" spans="1:8" ht="18.75" customHeight="1">
      <c r="A919" s="656"/>
      <c r="B919" s="657" t="s">
        <v>3928</v>
      </c>
      <c r="C919" s="657" t="s">
        <v>5618</v>
      </c>
      <c r="D919" s="657" t="s">
        <v>5733</v>
      </c>
      <c r="E919" s="657" t="s">
        <v>5734</v>
      </c>
      <c r="F919" s="658">
        <v>0.1</v>
      </c>
      <c r="G919" s="658">
        <v>0</v>
      </c>
      <c r="H919" s="656"/>
    </row>
    <row r="920" spans="1:8" ht="18.75" customHeight="1">
      <c r="A920" s="656"/>
      <c r="B920" s="659" t="s">
        <v>3928</v>
      </c>
      <c r="C920" s="659" t="s">
        <v>5618</v>
      </c>
      <c r="D920" s="659" t="s">
        <v>5735</v>
      </c>
      <c r="E920" s="659" t="s">
        <v>5736</v>
      </c>
      <c r="F920" s="660">
        <v>0.1</v>
      </c>
      <c r="G920" s="660">
        <v>0</v>
      </c>
      <c r="H920" s="656"/>
    </row>
    <row r="921" spans="1:8" ht="18.75" customHeight="1">
      <c r="A921" s="656"/>
      <c r="B921" s="657" t="s">
        <v>3928</v>
      </c>
      <c r="C921" s="657" t="s">
        <v>5618</v>
      </c>
      <c r="D921" s="657" t="s">
        <v>5737</v>
      </c>
      <c r="E921" s="657" t="s">
        <v>5738</v>
      </c>
      <c r="F921" s="658">
        <v>0.1</v>
      </c>
      <c r="G921" s="658">
        <v>0</v>
      </c>
      <c r="H921" s="656"/>
    </row>
    <row r="922" spans="1:8" ht="18.75" customHeight="1">
      <c r="A922" s="656"/>
      <c r="B922" s="659" t="s">
        <v>3928</v>
      </c>
      <c r="C922" s="659" t="s">
        <v>5618</v>
      </c>
      <c r="D922" s="659" t="s">
        <v>5739</v>
      </c>
      <c r="E922" s="659" t="s">
        <v>5740</v>
      </c>
      <c r="F922" s="660">
        <v>0.1</v>
      </c>
      <c r="G922" s="660">
        <v>0</v>
      </c>
      <c r="H922" s="656"/>
    </row>
    <row r="923" spans="1:8" ht="18.75" customHeight="1">
      <c r="A923" s="656"/>
      <c r="B923" s="657" t="s">
        <v>3928</v>
      </c>
      <c r="C923" s="657" t="s">
        <v>5618</v>
      </c>
      <c r="D923" s="657" t="s">
        <v>5741</v>
      </c>
      <c r="E923" s="657" t="s">
        <v>5742</v>
      </c>
      <c r="F923" s="658">
        <v>0.1</v>
      </c>
      <c r="G923" s="658">
        <v>0</v>
      </c>
      <c r="H923" s="656"/>
    </row>
    <row r="924" spans="1:8" ht="18.75" customHeight="1">
      <c r="A924" s="656"/>
      <c r="B924" s="659" t="s">
        <v>3928</v>
      </c>
      <c r="C924" s="659" t="s">
        <v>5618</v>
      </c>
      <c r="D924" s="659" t="s">
        <v>5743</v>
      </c>
      <c r="E924" s="659" t="s">
        <v>5744</v>
      </c>
      <c r="F924" s="660">
        <v>0.1</v>
      </c>
      <c r="G924" s="660">
        <v>0</v>
      </c>
      <c r="H924" s="656"/>
    </row>
    <row r="925" spans="1:8" ht="18.75" customHeight="1">
      <c r="A925" s="656"/>
      <c r="B925" s="657" t="s">
        <v>3928</v>
      </c>
      <c r="C925" s="657" t="s">
        <v>5618</v>
      </c>
      <c r="D925" s="657" t="s">
        <v>5745</v>
      </c>
      <c r="E925" s="657" t="s">
        <v>5746</v>
      </c>
      <c r="F925" s="658">
        <v>0.1</v>
      </c>
      <c r="G925" s="658">
        <v>0</v>
      </c>
      <c r="H925" s="656"/>
    </row>
    <row r="926" spans="1:8" ht="18.75" customHeight="1">
      <c r="A926" s="656"/>
      <c r="B926" s="659" t="s">
        <v>3928</v>
      </c>
      <c r="C926" s="659" t="s">
        <v>5618</v>
      </c>
      <c r="D926" s="659" t="s">
        <v>5747</v>
      </c>
      <c r="E926" s="659" t="s">
        <v>5748</v>
      </c>
      <c r="F926" s="660">
        <v>0.1</v>
      </c>
      <c r="G926" s="660">
        <v>0</v>
      </c>
      <c r="H926" s="656"/>
    </row>
    <row r="927" spans="1:8" ht="18.75" customHeight="1">
      <c r="A927" s="656"/>
      <c r="B927" s="657" t="s">
        <v>3928</v>
      </c>
      <c r="C927" s="657" t="s">
        <v>5618</v>
      </c>
      <c r="D927" s="657" t="s">
        <v>5749</v>
      </c>
      <c r="E927" s="657" t="s">
        <v>5750</v>
      </c>
      <c r="F927" s="658">
        <v>0.1</v>
      </c>
      <c r="G927" s="658">
        <v>0</v>
      </c>
      <c r="H927" s="656"/>
    </row>
    <row r="928" spans="1:8" ht="18.75" customHeight="1">
      <c r="A928" s="656"/>
      <c r="B928" s="659" t="s">
        <v>3928</v>
      </c>
      <c r="C928" s="659" t="s">
        <v>5618</v>
      </c>
      <c r="D928" s="659" t="s">
        <v>5751</v>
      </c>
      <c r="E928" s="659" t="s">
        <v>5752</v>
      </c>
      <c r="F928" s="660">
        <v>0.1</v>
      </c>
      <c r="G928" s="660">
        <v>0</v>
      </c>
      <c r="H928" s="656"/>
    </row>
    <row r="929" spans="1:8" ht="18.75" customHeight="1">
      <c r="A929" s="656"/>
      <c r="B929" s="657" t="s">
        <v>3928</v>
      </c>
      <c r="C929" s="657" t="s">
        <v>5618</v>
      </c>
      <c r="D929" s="657" t="s">
        <v>5753</v>
      </c>
      <c r="E929" s="657" t="s">
        <v>5754</v>
      </c>
      <c r="F929" s="658">
        <v>0.1</v>
      </c>
      <c r="G929" s="658">
        <v>0</v>
      </c>
      <c r="H929" s="656"/>
    </row>
    <row r="930" spans="1:8" ht="18.75" customHeight="1">
      <c r="A930" s="656"/>
      <c r="B930" s="659" t="s">
        <v>3928</v>
      </c>
      <c r="C930" s="659" t="s">
        <v>5618</v>
      </c>
      <c r="D930" s="659" t="s">
        <v>5755</v>
      </c>
      <c r="E930" s="659" t="s">
        <v>5756</v>
      </c>
      <c r="F930" s="660">
        <v>0.1</v>
      </c>
      <c r="G930" s="660">
        <v>0</v>
      </c>
      <c r="H930" s="656"/>
    </row>
    <row r="931" spans="1:8" ht="18.75" customHeight="1">
      <c r="A931" s="656"/>
      <c r="B931" s="657" t="s">
        <v>3928</v>
      </c>
      <c r="C931" s="657" t="s">
        <v>5618</v>
      </c>
      <c r="D931" s="657" t="s">
        <v>5757</v>
      </c>
      <c r="E931" s="657" t="s">
        <v>5758</v>
      </c>
      <c r="F931" s="658">
        <v>0.1</v>
      </c>
      <c r="G931" s="658">
        <v>0</v>
      </c>
      <c r="H931" s="656"/>
    </row>
    <row r="932" spans="1:8" ht="18.75" customHeight="1">
      <c r="A932" s="656"/>
      <c r="B932" s="659" t="s">
        <v>3928</v>
      </c>
      <c r="C932" s="659" t="s">
        <v>5618</v>
      </c>
      <c r="D932" s="659" t="s">
        <v>5759</v>
      </c>
      <c r="E932" s="659" t="s">
        <v>5760</v>
      </c>
      <c r="F932" s="660">
        <v>0.1</v>
      </c>
      <c r="G932" s="660">
        <v>0</v>
      </c>
      <c r="H932" s="656"/>
    </row>
    <row r="933" spans="1:8" ht="18.75" customHeight="1">
      <c r="A933" s="656"/>
      <c r="B933" s="657" t="s">
        <v>3928</v>
      </c>
      <c r="C933" s="657" t="s">
        <v>5618</v>
      </c>
      <c r="D933" s="657" t="s">
        <v>5761</v>
      </c>
      <c r="E933" s="657" t="s">
        <v>5762</v>
      </c>
      <c r="F933" s="658">
        <v>0.1</v>
      </c>
      <c r="G933" s="658">
        <v>0</v>
      </c>
      <c r="H933" s="656"/>
    </row>
    <row r="934" spans="1:8" ht="18.75" customHeight="1">
      <c r="A934" s="656"/>
      <c r="B934" s="659" t="s">
        <v>3928</v>
      </c>
      <c r="C934" s="659" t="s">
        <v>5618</v>
      </c>
      <c r="D934" s="659" t="s">
        <v>5763</v>
      </c>
      <c r="E934" s="659" t="s">
        <v>5764</v>
      </c>
      <c r="F934" s="660">
        <v>0.1</v>
      </c>
      <c r="G934" s="660">
        <v>0</v>
      </c>
      <c r="H934" s="656"/>
    </row>
    <row r="935" spans="1:8" ht="18.75" customHeight="1">
      <c r="A935" s="656"/>
      <c r="B935" s="657" t="s">
        <v>3928</v>
      </c>
      <c r="C935" s="657" t="s">
        <v>5618</v>
      </c>
      <c r="D935" s="657" t="s">
        <v>5765</v>
      </c>
      <c r="E935" s="657" t="s">
        <v>5766</v>
      </c>
      <c r="F935" s="658">
        <v>0.1</v>
      </c>
      <c r="G935" s="658">
        <v>0</v>
      </c>
      <c r="H935" s="656"/>
    </row>
    <row r="936" spans="1:8" ht="18.75" customHeight="1">
      <c r="A936" s="656"/>
      <c r="B936" s="659" t="s">
        <v>3928</v>
      </c>
      <c r="C936" s="659" t="s">
        <v>5618</v>
      </c>
      <c r="D936" s="659" t="s">
        <v>5767</v>
      </c>
      <c r="E936" s="659" t="s">
        <v>5768</v>
      </c>
      <c r="F936" s="660">
        <v>0.1</v>
      </c>
      <c r="G936" s="660">
        <v>0</v>
      </c>
      <c r="H936" s="656"/>
    </row>
    <row r="937" spans="1:8" ht="18.75" customHeight="1">
      <c r="A937" s="656"/>
      <c r="B937" s="657" t="s">
        <v>3928</v>
      </c>
      <c r="C937" s="657" t="s">
        <v>5618</v>
      </c>
      <c r="D937" s="657" t="s">
        <v>5769</v>
      </c>
      <c r="E937" s="657" t="s">
        <v>5770</v>
      </c>
      <c r="F937" s="658">
        <v>0.1</v>
      </c>
      <c r="G937" s="658">
        <v>0</v>
      </c>
      <c r="H937" s="656"/>
    </row>
    <row r="938" spans="1:8" ht="18.75" customHeight="1">
      <c r="A938" s="656"/>
      <c r="B938" s="659" t="s">
        <v>3928</v>
      </c>
      <c r="C938" s="659" t="s">
        <v>5618</v>
      </c>
      <c r="D938" s="659" t="s">
        <v>5771</v>
      </c>
      <c r="E938" s="659" t="s">
        <v>5772</v>
      </c>
      <c r="F938" s="660">
        <v>0.1</v>
      </c>
      <c r="G938" s="660">
        <v>0</v>
      </c>
      <c r="H938" s="656"/>
    </row>
    <row r="939" spans="1:8" ht="18.75" customHeight="1">
      <c r="A939" s="656"/>
      <c r="B939" s="657" t="s">
        <v>3928</v>
      </c>
      <c r="C939" s="657" t="s">
        <v>5618</v>
      </c>
      <c r="D939" s="657" t="s">
        <v>5773</v>
      </c>
      <c r="E939" s="657" t="s">
        <v>5774</v>
      </c>
      <c r="F939" s="658">
        <v>0.1</v>
      </c>
      <c r="G939" s="658">
        <v>0</v>
      </c>
      <c r="H939" s="656"/>
    </row>
    <row r="940" spans="1:8" ht="18.75" customHeight="1">
      <c r="A940" s="656"/>
      <c r="B940" s="659" t="s">
        <v>3928</v>
      </c>
      <c r="C940" s="659" t="s">
        <v>5618</v>
      </c>
      <c r="D940" s="659" t="s">
        <v>5775</v>
      </c>
      <c r="E940" s="659" t="s">
        <v>5776</v>
      </c>
      <c r="F940" s="660">
        <v>0.1</v>
      </c>
      <c r="G940" s="660">
        <v>0</v>
      </c>
      <c r="H940" s="656"/>
    </row>
    <row r="941" spans="1:8" ht="18.75" customHeight="1">
      <c r="A941" s="656"/>
      <c r="B941" s="657" t="s">
        <v>3928</v>
      </c>
      <c r="C941" s="657" t="s">
        <v>5618</v>
      </c>
      <c r="D941" s="657" t="s">
        <v>5777</v>
      </c>
      <c r="E941" s="657" t="s">
        <v>5778</v>
      </c>
      <c r="F941" s="658">
        <v>0.1</v>
      </c>
      <c r="G941" s="658">
        <v>0</v>
      </c>
      <c r="H941" s="656"/>
    </row>
    <row r="942" spans="1:8" ht="18.75" customHeight="1">
      <c r="A942" s="656"/>
      <c r="B942" s="659" t="s">
        <v>3928</v>
      </c>
      <c r="C942" s="659" t="s">
        <v>5618</v>
      </c>
      <c r="D942" s="659" t="s">
        <v>5779</v>
      </c>
      <c r="E942" s="659" t="s">
        <v>5780</v>
      </c>
      <c r="F942" s="660">
        <v>0.1</v>
      </c>
      <c r="G942" s="660">
        <v>0</v>
      </c>
      <c r="H942" s="656"/>
    </row>
    <row r="943" spans="1:8" ht="18.75" customHeight="1">
      <c r="A943" s="656"/>
      <c r="B943" s="657" t="s">
        <v>3928</v>
      </c>
      <c r="C943" s="657" t="s">
        <v>5618</v>
      </c>
      <c r="D943" s="657" t="s">
        <v>5781</v>
      </c>
      <c r="E943" s="657" t="s">
        <v>5782</v>
      </c>
      <c r="F943" s="658">
        <v>0.1</v>
      </c>
      <c r="G943" s="658">
        <v>0</v>
      </c>
      <c r="H943" s="656"/>
    </row>
    <row r="944" spans="1:8" ht="18.75" customHeight="1">
      <c r="A944" s="656"/>
      <c r="B944" s="659" t="s">
        <v>3928</v>
      </c>
      <c r="C944" s="659" t="s">
        <v>5618</v>
      </c>
      <c r="D944" s="659" t="s">
        <v>5783</v>
      </c>
      <c r="E944" s="659" t="s">
        <v>5784</v>
      </c>
      <c r="F944" s="660">
        <v>0.1</v>
      </c>
      <c r="G944" s="660">
        <v>0</v>
      </c>
      <c r="H944" s="656"/>
    </row>
    <row r="945" spans="1:8" ht="18.75" customHeight="1">
      <c r="A945" s="656"/>
      <c r="B945" s="657" t="s">
        <v>3928</v>
      </c>
      <c r="C945" s="657" t="s">
        <v>5618</v>
      </c>
      <c r="D945" s="657" t="s">
        <v>5785</v>
      </c>
      <c r="E945" s="657" t="s">
        <v>5786</v>
      </c>
      <c r="F945" s="658">
        <v>0.1</v>
      </c>
      <c r="G945" s="658">
        <v>0</v>
      </c>
      <c r="H945" s="656"/>
    </row>
    <row r="946" spans="1:8" ht="18.75" customHeight="1">
      <c r="A946" s="656"/>
      <c r="B946" s="659" t="s">
        <v>3928</v>
      </c>
      <c r="C946" s="659" t="s">
        <v>5618</v>
      </c>
      <c r="D946" s="659" t="s">
        <v>5787</v>
      </c>
      <c r="E946" s="659" t="s">
        <v>5788</v>
      </c>
      <c r="F946" s="660">
        <v>0.1</v>
      </c>
      <c r="G946" s="660">
        <v>0</v>
      </c>
      <c r="H946" s="656"/>
    </row>
    <row r="947" spans="1:8" ht="18.75" customHeight="1">
      <c r="A947" s="656"/>
      <c r="B947" s="657" t="s">
        <v>3928</v>
      </c>
      <c r="C947" s="657" t="s">
        <v>5618</v>
      </c>
      <c r="D947" s="657" t="s">
        <v>5789</v>
      </c>
      <c r="E947" s="657" t="s">
        <v>5790</v>
      </c>
      <c r="F947" s="658">
        <v>0.1</v>
      </c>
      <c r="G947" s="658">
        <v>0</v>
      </c>
      <c r="H947" s="656"/>
    </row>
    <row r="948" spans="1:8" ht="18.75" customHeight="1">
      <c r="A948" s="656"/>
      <c r="B948" s="659" t="s">
        <v>3928</v>
      </c>
      <c r="C948" s="659" t="s">
        <v>5618</v>
      </c>
      <c r="D948" s="659" t="s">
        <v>5791</v>
      </c>
      <c r="E948" s="659" t="s">
        <v>5792</v>
      </c>
      <c r="F948" s="660">
        <v>0.1</v>
      </c>
      <c r="G948" s="660">
        <v>0</v>
      </c>
      <c r="H948" s="656"/>
    </row>
    <row r="949" spans="1:8" ht="18.75" customHeight="1">
      <c r="A949" s="656"/>
      <c r="B949" s="657" t="s">
        <v>3928</v>
      </c>
      <c r="C949" s="657" t="s">
        <v>5618</v>
      </c>
      <c r="D949" s="657" t="s">
        <v>5793</v>
      </c>
      <c r="E949" s="657" t="s">
        <v>5794</v>
      </c>
      <c r="F949" s="658">
        <v>0.1</v>
      </c>
      <c r="G949" s="658">
        <v>0</v>
      </c>
      <c r="H949" s="656"/>
    </row>
    <row r="950" spans="1:8" ht="18.75" customHeight="1">
      <c r="A950" s="656"/>
      <c r="B950" s="659" t="s">
        <v>5795</v>
      </c>
      <c r="C950" s="659" t="s">
        <v>3934</v>
      </c>
      <c r="D950" s="659" t="s">
        <v>5796</v>
      </c>
      <c r="E950" s="659" t="s">
        <v>5797</v>
      </c>
      <c r="F950" s="660">
        <v>0.1</v>
      </c>
      <c r="G950" s="660">
        <v>0</v>
      </c>
      <c r="H950" s="656"/>
    </row>
    <row r="951" spans="1:8" ht="18.75" customHeight="1">
      <c r="A951" s="656"/>
      <c r="B951" s="657" t="s">
        <v>5795</v>
      </c>
      <c r="C951" s="657" t="s">
        <v>3934</v>
      </c>
      <c r="D951" s="657" t="s">
        <v>523</v>
      </c>
      <c r="E951" s="657" t="s">
        <v>524</v>
      </c>
      <c r="F951" s="658">
        <v>0.1</v>
      </c>
      <c r="G951" s="658">
        <v>0</v>
      </c>
      <c r="H951" s="656"/>
    </row>
    <row r="952" spans="1:8" ht="18.75" customHeight="1">
      <c r="A952" s="656"/>
      <c r="B952" s="659" t="s">
        <v>5795</v>
      </c>
      <c r="C952" s="659" t="s">
        <v>3934</v>
      </c>
      <c r="D952" s="659" t="s">
        <v>528</v>
      </c>
      <c r="E952" s="659" t="s">
        <v>529</v>
      </c>
      <c r="F952" s="660">
        <v>0.1</v>
      </c>
      <c r="G952" s="660">
        <v>0</v>
      </c>
      <c r="H952" s="656"/>
    </row>
    <row r="953" spans="1:8" ht="18.75" customHeight="1">
      <c r="A953" s="656"/>
      <c r="B953" s="657" t="s">
        <v>5795</v>
      </c>
      <c r="C953" s="657" t="s">
        <v>3934</v>
      </c>
      <c r="D953" s="657" t="s">
        <v>5798</v>
      </c>
      <c r="E953" s="657" t="s">
        <v>5799</v>
      </c>
      <c r="F953" s="658">
        <v>0.1</v>
      </c>
      <c r="G953" s="658">
        <v>0</v>
      </c>
      <c r="H953" s="656"/>
    </row>
    <row r="954" spans="1:8" ht="18.75" customHeight="1">
      <c r="A954" s="656"/>
      <c r="B954" s="659" t="s">
        <v>5795</v>
      </c>
      <c r="C954" s="659" t="s">
        <v>3934</v>
      </c>
      <c r="D954" s="659" t="s">
        <v>5800</v>
      </c>
      <c r="E954" s="659" t="s">
        <v>5801</v>
      </c>
      <c r="F954" s="660">
        <v>0.1</v>
      </c>
      <c r="G954" s="660">
        <v>0</v>
      </c>
      <c r="H954" s="656"/>
    </row>
    <row r="955" spans="1:8" ht="18.75" customHeight="1">
      <c r="A955" s="656"/>
      <c r="B955" s="657" t="s">
        <v>5795</v>
      </c>
      <c r="C955" s="657" t="s">
        <v>3934</v>
      </c>
      <c r="D955" s="657" t="s">
        <v>532</v>
      </c>
      <c r="E955" s="657" t="s">
        <v>533</v>
      </c>
      <c r="F955" s="658">
        <v>0.1</v>
      </c>
      <c r="G955" s="658">
        <v>0</v>
      </c>
      <c r="H955" s="656"/>
    </row>
    <row r="956" spans="1:8" ht="18.75" customHeight="1">
      <c r="A956" s="656"/>
      <c r="B956" s="659" t="s">
        <v>5795</v>
      </c>
      <c r="C956" s="659" t="s">
        <v>3934</v>
      </c>
      <c r="D956" s="659" t="s">
        <v>5802</v>
      </c>
      <c r="E956" s="659" t="s">
        <v>5803</v>
      </c>
      <c r="F956" s="660">
        <v>0.1</v>
      </c>
      <c r="G956" s="660">
        <v>0</v>
      </c>
      <c r="H956" s="656"/>
    </row>
    <row r="957" spans="1:8" ht="18.75" customHeight="1">
      <c r="A957" s="656"/>
      <c r="B957" s="657" t="s">
        <v>5795</v>
      </c>
      <c r="C957" s="657" t="s">
        <v>3934</v>
      </c>
      <c r="D957" s="657" t="s">
        <v>5804</v>
      </c>
      <c r="E957" s="657" t="s">
        <v>5805</v>
      </c>
      <c r="F957" s="658">
        <v>0.1</v>
      </c>
      <c r="G957" s="658">
        <v>0</v>
      </c>
      <c r="H957" s="656"/>
    </row>
    <row r="958" spans="1:8" ht="18.75" customHeight="1">
      <c r="A958" s="656"/>
      <c r="B958" s="659" t="s">
        <v>5795</v>
      </c>
      <c r="C958" s="659" t="s">
        <v>3934</v>
      </c>
      <c r="D958" s="659" t="s">
        <v>536</v>
      </c>
      <c r="E958" s="659" t="s">
        <v>537</v>
      </c>
      <c r="F958" s="660">
        <v>0.1</v>
      </c>
      <c r="G958" s="660">
        <v>0</v>
      </c>
      <c r="H958" s="656"/>
    </row>
    <row r="959" spans="1:8" ht="18.75" customHeight="1">
      <c r="A959" s="656"/>
      <c r="B959" s="657" t="s">
        <v>5795</v>
      </c>
      <c r="C959" s="657" t="s">
        <v>3934</v>
      </c>
      <c r="D959" s="657" t="s">
        <v>5806</v>
      </c>
      <c r="E959" s="657" t="s">
        <v>5807</v>
      </c>
      <c r="F959" s="658">
        <v>0.1</v>
      </c>
      <c r="G959" s="658">
        <v>0</v>
      </c>
      <c r="H959" s="656"/>
    </row>
    <row r="960" spans="1:8" ht="18.75" customHeight="1">
      <c r="A960" s="656"/>
      <c r="B960" s="659" t="s">
        <v>5795</v>
      </c>
      <c r="C960" s="659" t="s">
        <v>3934</v>
      </c>
      <c r="D960" s="659" t="s">
        <v>5808</v>
      </c>
      <c r="E960" s="659" t="s">
        <v>5809</v>
      </c>
      <c r="F960" s="660">
        <v>0.1</v>
      </c>
      <c r="G960" s="660">
        <v>0</v>
      </c>
      <c r="H960" s="656"/>
    </row>
    <row r="961" spans="1:8" ht="18.75" customHeight="1">
      <c r="A961" s="656"/>
      <c r="B961" s="657" t="s">
        <v>5795</v>
      </c>
      <c r="C961" s="657" t="s">
        <v>3934</v>
      </c>
      <c r="D961" s="657" t="s">
        <v>540</v>
      </c>
      <c r="E961" s="657" t="s">
        <v>541</v>
      </c>
      <c r="F961" s="658">
        <v>0.1</v>
      </c>
      <c r="G961" s="658">
        <v>0</v>
      </c>
      <c r="H961" s="656"/>
    </row>
    <row r="962" spans="1:8" ht="18.75" customHeight="1">
      <c r="A962" s="656"/>
      <c r="B962" s="659" t="s">
        <v>5795</v>
      </c>
      <c r="C962" s="659" t="s">
        <v>3934</v>
      </c>
      <c r="D962" s="659" t="s">
        <v>5810</v>
      </c>
      <c r="E962" s="659" t="s">
        <v>5811</v>
      </c>
      <c r="F962" s="660">
        <v>0.1</v>
      </c>
      <c r="G962" s="660">
        <v>0</v>
      </c>
      <c r="H962" s="656"/>
    </row>
    <row r="963" spans="1:8" ht="18.75" customHeight="1">
      <c r="A963" s="656"/>
      <c r="B963" s="657" t="s">
        <v>5795</v>
      </c>
      <c r="C963" s="657" t="s">
        <v>3934</v>
      </c>
      <c r="D963" s="657" t="s">
        <v>5812</v>
      </c>
      <c r="E963" s="657" t="s">
        <v>5813</v>
      </c>
      <c r="F963" s="658">
        <v>0.1</v>
      </c>
      <c r="G963" s="658">
        <v>0</v>
      </c>
      <c r="H963" s="656"/>
    </row>
    <row r="964" spans="1:8" ht="18.75" customHeight="1">
      <c r="A964" s="656"/>
      <c r="B964" s="659" t="s">
        <v>5795</v>
      </c>
      <c r="C964" s="659" t="s">
        <v>3934</v>
      </c>
      <c r="D964" s="659" t="s">
        <v>544</v>
      </c>
      <c r="E964" s="659" t="s">
        <v>545</v>
      </c>
      <c r="F964" s="660">
        <v>0.1</v>
      </c>
      <c r="G964" s="660">
        <v>0</v>
      </c>
      <c r="H964" s="656"/>
    </row>
    <row r="965" spans="1:8" ht="18.75" customHeight="1">
      <c r="A965" s="656"/>
      <c r="B965" s="657" t="s">
        <v>5795</v>
      </c>
      <c r="C965" s="657" t="s">
        <v>3934</v>
      </c>
      <c r="D965" s="657" t="s">
        <v>5814</v>
      </c>
      <c r="E965" s="657" t="s">
        <v>5815</v>
      </c>
      <c r="F965" s="658">
        <v>0.1</v>
      </c>
      <c r="G965" s="658">
        <v>0</v>
      </c>
      <c r="H965" s="656"/>
    </row>
    <row r="966" spans="1:8" ht="18.75" customHeight="1">
      <c r="A966" s="656"/>
      <c r="B966" s="659" t="s">
        <v>5795</v>
      </c>
      <c r="C966" s="659" t="s">
        <v>3934</v>
      </c>
      <c r="D966" s="659" t="s">
        <v>5816</v>
      </c>
      <c r="E966" s="659" t="s">
        <v>5817</v>
      </c>
      <c r="F966" s="660">
        <v>0.1</v>
      </c>
      <c r="G966" s="660">
        <v>0</v>
      </c>
      <c r="H966" s="656"/>
    </row>
    <row r="967" spans="1:8" ht="18.75" customHeight="1">
      <c r="A967" s="656"/>
      <c r="B967" s="657" t="s">
        <v>5795</v>
      </c>
      <c r="C967" s="657" t="s">
        <v>3934</v>
      </c>
      <c r="D967" s="657" t="s">
        <v>5818</v>
      </c>
      <c r="E967" s="657" t="s">
        <v>5819</v>
      </c>
      <c r="F967" s="658">
        <v>0.1</v>
      </c>
      <c r="G967" s="658">
        <v>0</v>
      </c>
      <c r="H967" s="656"/>
    </row>
    <row r="968" spans="1:8" ht="18.75" customHeight="1">
      <c r="A968" s="656"/>
      <c r="B968" s="659" t="s">
        <v>5795</v>
      </c>
      <c r="C968" s="659" t="s">
        <v>3934</v>
      </c>
      <c r="D968" s="659" t="s">
        <v>5820</v>
      </c>
      <c r="E968" s="659" t="s">
        <v>5821</v>
      </c>
      <c r="F968" s="660">
        <v>0.1</v>
      </c>
      <c r="G968" s="660">
        <v>0</v>
      </c>
      <c r="H968" s="656"/>
    </row>
    <row r="969" spans="1:8" ht="18.75" customHeight="1">
      <c r="A969" s="656"/>
      <c r="B969" s="657" t="s">
        <v>5795</v>
      </c>
      <c r="C969" s="657" t="s">
        <v>3934</v>
      </c>
      <c r="D969" s="657" t="s">
        <v>5822</v>
      </c>
      <c r="E969" s="657" t="s">
        <v>5823</v>
      </c>
      <c r="F969" s="658">
        <v>0.1</v>
      </c>
      <c r="G969" s="658">
        <v>0</v>
      </c>
      <c r="H969" s="656"/>
    </row>
    <row r="970" spans="1:8" ht="18.75" customHeight="1">
      <c r="A970" s="656"/>
      <c r="B970" s="659" t="s">
        <v>5795</v>
      </c>
      <c r="C970" s="659" t="s">
        <v>3934</v>
      </c>
      <c r="D970" s="659" t="s">
        <v>5824</v>
      </c>
      <c r="E970" s="659" t="s">
        <v>5825</v>
      </c>
      <c r="F970" s="660">
        <v>0.1</v>
      </c>
      <c r="G970" s="660">
        <v>0</v>
      </c>
      <c r="H970" s="656"/>
    </row>
    <row r="971" spans="1:8" ht="18.75" customHeight="1">
      <c r="A971" s="656"/>
      <c r="B971" s="657" t="s">
        <v>5795</v>
      </c>
      <c r="C971" s="657" t="s">
        <v>3934</v>
      </c>
      <c r="D971" s="657" t="s">
        <v>5826</v>
      </c>
      <c r="E971" s="657" t="s">
        <v>5827</v>
      </c>
      <c r="F971" s="658">
        <v>0.1</v>
      </c>
      <c r="G971" s="658">
        <v>0</v>
      </c>
      <c r="H971" s="656"/>
    </row>
    <row r="972" spans="1:8" ht="18.75" customHeight="1">
      <c r="A972" s="656"/>
      <c r="B972" s="659" t="s">
        <v>5795</v>
      </c>
      <c r="C972" s="659" t="s">
        <v>3934</v>
      </c>
      <c r="D972" s="659" t="s">
        <v>5828</v>
      </c>
      <c r="E972" s="659" t="s">
        <v>5829</v>
      </c>
      <c r="F972" s="660">
        <v>0.1</v>
      </c>
      <c r="G972" s="660">
        <v>0</v>
      </c>
      <c r="H972" s="656"/>
    </row>
    <row r="973" spans="1:8" ht="18.75" customHeight="1">
      <c r="A973" s="656"/>
      <c r="B973" s="657" t="s">
        <v>5795</v>
      </c>
      <c r="C973" s="657" t="s">
        <v>3934</v>
      </c>
      <c r="D973" s="657" t="s">
        <v>5830</v>
      </c>
      <c r="E973" s="657" t="s">
        <v>5831</v>
      </c>
      <c r="F973" s="658">
        <v>0.1</v>
      </c>
      <c r="G973" s="658">
        <v>0</v>
      </c>
      <c r="H973" s="656"/>
    </row>
    <row r="974" spans="1:8" ht="18.75" customHeight="1">
      <c r="A974" s="656"/>
      <c r="B974" s="659" t="s">
        <v>5795</v>
      </c>
      <c r="C974" s="659" t="s">
        <v>3934</v>
      </c>
      <c r="D974" s="659" t="s">
        <v>5832</v>
      </c>
      <c r="E974" s="659" t="s">
        <v>5833</v>
      </c>
      <c r="F974" s="660">
        <v>0.1</v>
      </c>
      <c r="G974" s="660">
        <v>0</v>
      </c>
      <c r="H974" s="656"/>
    </row>
    <row r="975" spans="1:8" ht="18.75" customHeight="1">
      <c r="A975" s="656"/>
      <c r="B975" s="657" t="s">
        <v>5795</v>
      </c>
      <c r="C975" s="657" t="s">
        <v>3934</v>
      </c>
      <c r="D975" s="657" t="s">
        <v>5834</v>
      </c>
      <c r="E975" s="657" t="s">
        <v>5835</v>
      </c>
      <c r="F975" s="658">
        <v>0.1</v>
      </c>
      <c r="G975" s="658">
        <v>0</v>
      </c>
      <c r="H975" s="656"/>
    </row>
    <row r="976" spans="1:8" ht="18.75" customHeight="1">
      <c r="A976" s="656"/>
      <c r="B976" s="659" t="s">
        <v>5795</v>
      </c>
      <c r="C976" s="659" t="s">
        <v>3934</v>
      </c>
      <c r="D976" s="659" t="s">
        <v>5836</v>
      </c>
      <c r="E976" s="659" t="s">
        <v>5837</v>
      </c>
      <c r="F976" s="660">
        <v>0.1</v>
      </c>
      <c r="G976" s="660">
        <v>0</v>
      </c>
      <c r="H976" s="656"/>
    </row>
    <row r="977" spans="1:8" ht="18.75" customHeight="1">
      <c r="A977" s="656"/>
      <c r="B977" s="657" t="s">
        <v>5795</v>
      </c>
      <c r="C977" s="657" t="s">
        <v>3934</v>
      </c>
      <c r="D977" s="657" t="s">
        <v>548</v>
      </c>
      <c r="E977" s="657" t="s">
        <v>549</v>
      </c>
      <c r="F977" s="658">
        <v>0.1</v>
      </c>
      <c r="G977" s="658">
        <v>0</v>
      </c>
      <c r="H977" s="656"/>
    </row>
    <row r="978" spans="1:8" ht="18.75" customHeight="1">
      <c r="A978" s="656"/>
      <c r="B978" s="659" t="s">
        <v>5795</v>
      </c>
      <c r="C978" s="659" t="s">
        <v>3934</v>
      </c>
      <c r="D978" s="659" t="s">
        <v>5838</v>
      </c>
      <c r="E978" s="659" t="s">
        <v>5839</v>
      </c>
      <c r="F978" s="660">
        <v>0.1</v>
      </c>
      <c r="G978" s="660">
        <v>0</v>
      </c>
      <c r="H978" s="656"/>
    </row>
    <row r="979" spans="1:8" ht="18.75" customHeight="1">
      <c r="A979" s="656"/>
      <c r="B979" s="657" t="s">
        <v>5795</v>
      </c>
      <c r="C979" s="657" t="s">
        <v>3934</v>
      </c>
      <c r="D979" s="657" t="s">
        <v>552</v>
      </c>
      <c r="E979" s="657" t="s">
        <v>553</v>
      </c>
      <c r="F979" s="658">
        <v>0.1</v>
      </c>
      <c r="G979" s="658">
        <v>0</v>
      </c>
      <c r="H979" s="656"/>
    </row>
    <row r="980" spans="1:8" ht="18.75" customHeight="1">
      <c r="A980" s="656"/>
      <c r="B980" s="659" t="s">
        <v>5795</v>
      </c>
      <c r="C980" s="659" t="s">
        <v>3934</v>
      </c>
      <c r="D980" s="659" t="s">
        <v>5840</v>
      </c>
      <c r="E980" s="659" t="s">
        <v>5841</v>
      </c>
      <c r="F980" s="660">
        <v>0.1</v>
      </c>
      <c r="G980" s="660">
        <v>0</v>
      </c>
      <c r="H980" s="656"/>
    </row>
    <row r="981" spans="1:8" ht="18.75" customHeight="1">
      <c r="A981" s="656"/>
      <c r="B981" s="657" t="s">
        <v>5795</v>
      </c>
      <c r="C981" s="657" t="s">
        <v>3934</v>
      </c>
      <c r="D981" s="657" t="s">
        <v>556</v>
      </c>
      <c r="E981" s="657" t="s">
        <v>557</v>
      </c>
      <c r="F981" s="658">
        <v>0.1</v>
      </c>
      <c r="G981" s="658">
        <v>0</v>
      </c>
      <c r="H981" s="656"/>
    </row>
    <row r="982" spans="1:8" ht="18.75" customHeight="1">
      <c r="A982" s="656"/>
      <c r="B982" s="659" t="s">
        <v>5795</v>
      </c>
      <c r="C982" s="659" t="s">
        <v>3934</v>
      </c>
      <c r="D982" s="659" t="s">
        <v>5842</v>
      </c>
      <c r="E982" s="659" t="s">
        <v>5843</v>
      </c>
      <c r="F982" s="660">
        <v>0.1</v>
      </c>
      <c r="G982" s="660">
        <v>0</v>
      </c>
      <c r="H982" s="656"/>
    </row>
    <row r="983" spans="1:8" ht="18.75" customHeight="1">
      <c r="A983" s="656"/>
      <c r="B983" s="657" t="s">
        <v>5795</v>
      </c>
      <c r="C983" s="657" t="s">
        <v>3934</v>
      </c>
      <c r="D983" s="657" t="s">
        <v>574</v>
      </c>
      <c r="E983" s="657" t="s">
        <v>575</v>
      </c>
      <c r="F983" s="658">
        <v>0.1</v>
      </c>
      <c r="G983" s="658">
        <v>0</v>
      </c>
      <c r="H983" s="656"/>
    </row>
    <row r="984" spans="1:8" ht="18.75" customHeight="1">
      <c r="A984" s="656"/>
      <c r="B984" s="659" t="s">
        <v>5795</v>
      </c>
      <c r="C984" s="659" t="s">
        <v>4303</v>
      </c>
      <c r="D984" s="659" t="s">
        <v>5844</v>
      </c>
      <c r="E984" s="659" t="s">
        <v>5845</v>
      </c>
      <c r="F984" s="660">
        <v>0.1</v>
      </c>
      <c r="G984" s="660">
        <v>0</v>
      </c>
      <c r="H984" s="656"/>
    </row>
    <row r="985" spans="1:8" ht="18.75" customHeight="1">
      <c r="A985" s="656"/>
      <c r="B985" s="657" t="s">
        <v>5795</v>
      </c>
      <c r="C985" s="657" t="s">
        <v>4303</v>
      </c>
      <c r="D985" s="657" t="s">
        <v>5846</v>
      </c>
      <c r="E985" s="657" t="s">
        <v>5847</v>
      </c>
      <c r="F985" s="658">
        <v>0.1</v>
      </c>
      <c r="G985" s="658">
        <v>0</v>
      </c>
      <c r="H985" s="656"/>
    </row>
    <row r="986" spans="1:8" ht="18.75" customHeight="1">
      <c r="A986" s="656"/>
      <c r="B986" s="659" t="s">
        <v>5795</v>
      </c>
      <c r="C986" s="659" t="s">
        <v>4303</v>
      </c>
      <c r="D986" s="659" t="s">
        <v>5848</v>
      </c>
      <c r="E986" s="659" t="s">
        <v>5849</v>
      </c>
      <c r="F986" s="660">
        <v>0.1</v>
      </c>
      <c r="G986" s="660">
        <v>0</v>
      </c>
      <c r="H986" s="656"/>
    </row>
    <row r="987" spans="1:8" ht="18.75" customHeight="1">
      <c r="A987" s="656"/>
      <c r="B987" s="657" t="s">
        <v>5795</v>
      </c>
      <c r="C987" s="657" t="s">
        <v>4303</v>
      </c>
      <c r="D987" s="657" t="s">
        <v>5850</v>
      </c>
      <c r="E987" s="657" t="s">
        <v>5851</v>
      </c>
      <c r="F987" s="658">
        <v>0.1</v>
      </c>
      <c r="G987" s="658">
        <v>0</v>
      </c>
      <c r="H987" s="656"/>
    </row>
    <row r="988" spans="1:8" ht="18.75" customHeight="1">
      <c r="A988" s="656"/>
      <c r="B988" s="659" t="s">
        <v>5795</v>
      </c>
      <c r="C988" s="659" t="s">
        <v>4303</v>
      </c>
      <c r="D988" s="659" t="s">
        <v>5852</v>
      </c>
      <c r="E988" s="659" t="s">
        <v>5853</v>
      </c>
      <c r="F988" s="660">
        <v>0.1</v>
      </c>
      <c r="G988" s="660">
        <v>0</v>
      </c>
      <c r="H988" s="656"/>
    </row>
    <row r="989" spans="1:8" ht="18.75" customHeight="1">
      <c r="A989" s="656"/>
      <c r="B989" s="657" t="s">
        <v>5795</v>
      </c>
      <c r="C989" s="657" t="s">
        <v>4303</v>
      </c>
      <c r="D989" s="657" t="s">
        <v>5854</v>
      </c>
      <c r="E989" s="657" t="s">
        <v>5855</v>
      </c>
      <c r="F989" s="658">
        <v>0.1</v>
      </c>
      <c r="G989" s="658">
        <v>0</v>
      </c>
      <c r="H989" s="656"/>
    </row>
    <row r="990" spans="1:8" ht="18.75" customHeight="1">
      <c r="A990" s="656"/>
      <c r="B990" s="659" t="s">
        <v>5795</v>
      </c>
      <c r="C990" s="659" t="s">
        <v>4303</v>
      </c>
      <c r="D990" s="659" t="s">
        <v>5856</v>
      </c>
      <c r="E990" s="659" t="s">
        <v>5857</v>
      </c>
      <c r="F990" s="660">
        <v>0.1</v>
      </c>
      <c r="G990" s="660">
        <v>0</v>
      </c>
      <c r="H990" s="656"/>
    </row>
    <row r="991" spans="1:8" ht="18.75" customHeight="1">
      <c r="A991" s="656"/>
      <c r="B991" s="657" t="s">
        <v>5795</v>
      </c>
      <c r="C991" s="657" t="s">
        <v>4303</v>
      </c>
      <c r="D991" s="657" t="s">
        <v>5858</v>
      </c>
      <c r="E991" s="657" t="s">
        <v>5859</v>
      </c>
      <c r="F991" s="658">
        <v>0.1</v>
      </c>
      <c r="G991" s="658">
        <v>0</v>
      </c>
      <c r="H991" s="656"/>
    </row>
    <row r="992" spans="1:8" ht="18.75" customHeight="1">
      <c r="A992" s="656"/>
      <c r="B992" s="659" t="s">
        <v>5795</v>
      </c>
      <c r="C992" s="659" t="s">
        <v>4303</v>
      </c>
      <c r="D992" s="659" t="s">
        <v>5860</v>
      </c>
      <c r="E992" s="659" t="s">
        <v>5861</v>
      </c>
      <c r="F992" s="660">
        <v>0.1</v>
      </c>
      <c r="G992" s="660">
        <v>0</v>
      </c>
      <c r="H992" s="656"/>
    </row>
    <row r="993" spans="1:8" ht="18.75" customHeight="1">
      <c r="A993" s="656"/>
      <c r="B993" s="657" t="s">
        <v>5795</v>
      </c>
      <c r="C993" s="657" t="s">
        <v>4303</v>
      </c>
      <c r="D993" s="657" t="s">
        <v>5862</v>
      </c>
      <c r="E993" s="657" t="s">
        <v>5863</v>
      </c>
      <c r="F993" s="658">
        <v>0.1</v>
      </c>
      <c r="G993" s="658">
        <v>0</v>
      </c>
      <c r="H993" s="656"/>
    </row>
    <row r="994" spans="1:8" ht="18.75" customHeight="1">
      <c r="A994" s="656"/>
      <c r="B994" s="659" t="s">
        <v>5795</v>
      </c>
      <c r="C994" s="659" t="s">
        <v>4303</v>
      </c>
      <c r="D994" s="659" t="s">
        <v>5864</v>
      </c>
      <c r="E994" s="659" t="s">
        <v>5865</v>
      </c>
      <c r="F994" s="660">
        <v>0.1</v>
      </c>
      <c r="G994" s="660">
        <v>0</v>
      </c>
      <c r="H994" s="656"/>
    </row>
    <row r="995" spans="1:8" ht="18.75" customHeight="1">
      <c r="A995" s="656"/>
      <c r="B995" s="657" t="s">
        <v>5795</v>
      </c>
      <c r="C995" s="657" t="s">
        <v>4303</v>
      </c>
      <c r="D995" s="657" t="s">
        <v>5866</v>
      </c>
      <c r="E995" s="657" t="s">
        <v>5867</v>
      </c>
      <c r="F995" s="658">
        <v>0.1</v>
      </c>
      <c r="G995" s="658">
        <v>0</v>
      </c>
      <c r="H995" s="656"/>
    </row>
    <row r="996" spans="1:8" ht="18.75" customHeight="1">
      <c r="A996" s="656"/>
      <c r="B996" s="659" t="s">
        <v>5795</v>
      </c>
      <c r="C996" s="659" t="s">
        <v>4303</v>
      </c>
      <c r="D996" s="659" t="s">
        <v>5868</v>
      </c>
      <c r="E996" s="659" t="s">
        <v>5869</v>
      </c>
      <c r="F996" s="660">
        <v>0.1</v>
      </c>
      <c r="G996" s="660">
        <v>0</v>
      </c>
      <c r="H996" s="656"/>
    </row>
    <row r="997" spans="1:8" ht="18.75" customHeight="1">
      <c r="A997" s="656"/>
      <c r="B997" s="657" t="s">
        <v>5795</v>
      </c>
      <c r="C997" s="657" t="s">
        <v>4303</v>
      </c>
      <c r="D997" s="657" t="s">
        <v>5870</v>
      </c>
      <c r="E997" s="657" t="s">
        <v>5871</v>
      </c>
      <c r="F997" s="658">
        <v>0.1</v>
      </c>
      <c r="G997" s="658">
        <v>0</v>
      </c>
      <c r="H997" s="656"/>
    </row>
    <row r="998" spans="1:8" ht="18.75" customHeight="1">
      <c r="A998" s="656"/>
      <c r="B998" s="659" t="s">
        <v>5795</v>
      </c>
      <c r="C998" s="659" t="s">
        <v>4303</v>
      </c>
      <c r="D998" s="659" t="s">
        <v>5872</v>
      </c>
      <c r="E998" s="659" t="s">
        <v>5873</v>
      </c>
      <c r="F998" s="660">
        <v>0.1</v>
      </c>
      <c r="G998" s="660">
        <v>0</v>
      </c>
      <c r="H998" s="656"/>
    </row>
    <row r="999" spans="1:8" ht="18.75" customHeight="1">
      <c r="A999" s="656"/>
      <c r="B999" s="657" t="s">
        <v>5795</v>
      </c>
      <c r="C999" s="657" t="s">
        <v>4303</v>
      </c>
      <c r="D999" s="657" t="s">
        <v>5874</v>
      </c>
      <c r="E999" s="657" t="s">
        <v>5875</v>
      </c>
      <c r="F999" s="658">
        <v>0.1</v>
      </c>
      <c r="G999" s="658">
        <v>0</v>
      </c>
      <c r="H999" s="656"/>
    </row>
    <row r="1000" spans="1:8" ht="18.75" customHeight="1">
      <c r="A1000" s="656"/>
      <c r="B1000" s="659" t="s">
        <v>5795</v>
      </c>
      <c r="C1000" s="659" t="s">
        <v>4303</v>
      </c>
      <c r="D1000" s="659" t="s">
        <v>5876</v>
      </c>
      <c r="E1000" s="659" t="s">
        <v>5877</v>
      </c>
      <c r="F1000" s="660">
        <v>0.1</v>
      </c>
      <c r="G1000" s="660">
        <v>0</v>
      </c>
      <c r="H1000" s="656"/>
    </row>
    <row r="1001" spans="1:8" ht="18.75" customHeight="1">
      <c r="A1001" s="656"/>
      <c r="B1001" s="657" t="s">
        <v>5795</v>
      </c>
      <c r="C1001" s="657" t="s">
        <v>4303</v>
      </c>
      <c r="D1001" s="657" t="s">
        <v>5878</v>
      </c>
      <c r="E1001" s="657" t="s">
        <v>5879</v>
      </c>
      <c r="F1001" s="658">
        <v>0.1</v>
      </c>
      <c r="G1001" s="658">
        <v>0</v>
      </c>
      <c r="H1001" s="656"/>
    </row>
    <row r="1002" spans="1:8" ht="18.75" customHeight="1">
      <c r="A1002" s="656"/>
      <c r="B1002" s="659" t="s">
        <v>5795</v>
      </c>
      <c r="C1002" s="659" t="s">
        <v>4303</v>
      </c>
      <c r="D1002" s="659" t="s">
        <v>5880</v>
      </c>
      <c r="E1002" s="659" t="s">
        <v>5881</v>
      </c>
      <c r="F1002" s="660">
        <v>0.1</v>
      </c>
      <c r="G1002" s="660">
        <v>0</v>
      </c>
      <c r="H1002" s="656"/>
    </row>
    <row r="1003" spans="1:8" ht="18.75" customHeight="1">
      <c r="A1003" s="656"/>
      <c r="B1003" s="657" t="s">
        <v>5795</v>
      </c>
      <c r="C1003" s="657" t="s">
        <v>4303</v>
      </c>
      <c r="D1003" s="657" t="s">
        <v>5882</v>
      </c>
      <c r="E1003" s="657" t="s">
        <v>5883</v>
      </c>
      <c r="F1003" s="658">
        <v>0.1</v>
      </c>
      <c r="G1003" s="658">
        <v>0</v>
      </c>
      <c r="H1003" s="656"/>
    </row>
    <row r="1004" spans="1:8" ht="18.75" customHeight="1">
      <c r="A1004" s="656"/>
      <c r="B1004" s="659" t="s">
        <v>5795</v>
      </c>
      <c r="C1004" s="659" t="s">
        <v>4303</v>
      </c>
      <c r="D1004" s="659" t="s">
        <v>5884</v>
      </c>
      <c r="E1004" s="659" t="s">
        <v>5885</v>
      </c>
      <c r="F1004" s="660">
        <v>0.1</v>
      </c>
      <c r="G1004" s="660">
        <v>0</v>
      </c>
      <c r="H1004" s="656"/>
    </row>
    <row r="1005" spans="1:8" ht="18.75" customHeight="1">
      <c r="A1005" s="656"/>
      <c r="B1005" s="657" t="s">
        <v>5795</v>
      </c>
      <c r="C1005" s="657" t="s">
        <v>4303</v>
      </c>
      <c r="D1005" s="657" t="s">
        <v>5886</v>
      </c>
      <c r="E1005" s="657" t="s">
        <v>5887</v>
      </c>
      <c r="F1005" s="658">
        <v>0.1</v>
      </c>
      <c r="G1005" s="658">
        <v>0</v>
      </c>
      <c r="H1005" s="656"/>
    </row>
    <row r="1006" spans="1:8" ht="18.75" customHeight="1">
      <c r="A1006" s="656"/>
      <c r="B1006" s="659" t="s">
        <v>5795</v>
      </c>
      <c r="C1006" s="659" t="s">
        <v>4303</v>
      </c>
      <c r="D1006" s="659" t="s">
        <v>5888</v>
      </c>
      <c r="E1006" s="659" t="s">
        <v>5889</v>
      </c>
      <c r="F1006" s="660">
        <v>0.1</v>
      </c>
      <c r="G1006" s="660">
        <v>0</v>
      </c>
      <c r="H1006" s="656"/>
    </row>
    <row r="1007" spans="1:8" ht="18.75" customHeight="1">
      <c r="A1007" s="656"/>
      <c r="B1007" s="657" t="s">
        <v>5795</v>
      </c>
      <c r="C1007" s="657" t="s">
        <v>4303</v>
      </c>
      <c r="D1007" s="657" t="s">
        <v>5890</v>
      </c>
      <c r="E1007" s="657" t="s">
        <v>5891</v>
      </c>
      <c r="F1007" s="658">
        <v>0.1</v>
      </c>
      <c r="G1007" s="658">
        <v>0</v>
      </c>
      <c r="H1007" s="656"/>
    </row>
    <row r="1008" spans="1:8" ht="18.75" customHeight="1">
      <c r="A1008" s="656"/>
      <c r="B1008" s="659" t="s">
        <v>5795</v>
      </c>
      <c r="C1008" s="659" t="s">
        <v>4303</v>
      </c>
      <c r="D1008" s="659" t="s">
        <v>5892</v>
      </c>
      <c r="E1008" s="659" t="s">
        <v>5893</v>
      </c>
      <c r="F1008" s="660">
        <v>0.1</v>
      </c>
      <c r="G1008" s="660">
        <v>0</v>
      </c>
      <c r="H1008" s="656"/>
    </row>
    <row r="1009" spans="1:8" ht="18.75" customHeight="1">
      <c r="A1009" s="656"/>
      <c r="B1009" s="657" t="s">
        <v>5795</v>
      </c>
      <c r="C1009" s="657" t="s">
        <v>4303</v>
      </c>
      <c r="D1009" s="657" t="s">
        <v>5894</v>
      </c>
      <c r="E1009" s="657" t="s">
        <v>5895</v>
      </c>
      <c r="F1009" s="658">
        <v>0.1</v>
      </c>
      <c r="G1009" s="658">
        <v>0</v>
      </c>
      <c r="H1009" s="656"/>
    </row>
    <row r="1010" spans="1:8" ht="18.75" customHeight="1">
      <c r="A1010" s="656"/>
      <c r="B1010" s="659" t="s">
        <v>5795</v>
      </c>
      <c r="C1010" s="659" t="s">
        <v>4303</v>
      </c>
      <c r="D1010" s="659" t="s">
        <v>5896</v>
      </c>
      <c r="E1010" s="659" t="s">
        <v>5897</v>
      </c>
      <c r="F1010" s="660">
        <v>0.1</v>
      </c>
      <c r="G1010" s="660">
        <v>0</v>
      </c>
      <c r="H1010" s="656"/>
    </row>
    <row r="1011" spans="1:8" ht="18.75" customHeight="1">
      <c r="A1011" s="656"/>
      <c r="B1011" s="657" t="s">
        <v>5795</v>
      </c>
      <c r="C1011" s="657" t="s">
        <v>4303</v>
      </c>
      <c r="D1011" s="657" t="s">
        <v>5898</v>
      </c>
      <c r="E1011" s="657" t="s">
        <v>5899</v>
      </c>
      <c r="F1011" s="658">
        <v>0.1</v>
      </c>
      <c r="G1011" s="658">
        <v>0</v>
      </c>
      <c r="H1011" s="656"/>
    </row>
    <row r="1012" spans="1:8" ht="18.75" customHeight="1">
      <c r="A1012" s="656"/>
      <c r="B1012" s="659" t="s">
        <v>5795</v>
      </c>
      <c r="C1012" s="659" t="s">
        <v>4303</v>
      </c>
      <c r="D1012" s="659" t="s">
        <v>5900</v>
      </c>
      <c r="E1012" s="659" t="s">
        <v>5901</v>
      </c>
      <c r="F1012" s="660">
        <v>0.1</v>
      </c>
      <c r="G1012" s="660">
        <v>0</v>
      </c>
      <c r="H1012" s="656"/>
    </row>
    <row r="1013" spans="1:8" ht="18.75" customHeight="1">
      <c r="A1013" s="656"/>
      <c r="B1013" s="657" t="s">
        <v>5795</v>
      </c>
      <c r="C1013" s="657" t="s">
        <v>4303</v>
      </c>
      <c r="D1013" s="657" t="s">
        <v>5902</v>
      </c>
      <c r="E1013" s="657" t="s">
        <v>5903</v>
      </c>
      <c r="F1013" s="658">
        <v>0.1</v>
      </c>
      <c r="G1013" s="658">
        <v>0</v>
      </c>
      <c r="H1013" s="656"/>
    </row>
    <row r="1014" spans="1:8" ht="18.75" customHeight="1">
      <c r="A1014" s="656"/>
      <c r="B1014" s="659" t="s">
        <v>5795</v>
      </c>
      <c r="C1014" s="659" t="s">
        <v>4303</v>
      </c>
      <c r="D1014" s="659" t="s">
        <v>5904</v>
      </c>
      <c r="E1014" s="659" t="s">
        <v>5905</v>
      </c>
      <c r="F1014" s="660">
        <v>0.1</v>
      </c>
      <c r="G1014" s="660">
        <v>0</v>
      </c>
      <c r="H1014" s="656"/>
    </row>
    <row r="1015" spans="1:8" ht="18.75" customHeight="1">
      <c r="A1015" s="656"/>
      <c r="B1015" s="657" t="s">
        <v>5795</v>
      </c>
      <c r="C1015" s="657" t="s">
        <v>4303</v>
      </c>
      <c r="D1015" s="657" t="s">
        <v>5906</v>
      </c>
      <c r="E1015" s="657" t="s">
        <v>5907</v>
      </c>
      <c r="F1015" s="658">
        <v>0.1</v>
      </c>
      <c r="G1015" s="658">
        <v>0</v>
      </c>
      <c r="H1015" s="656"/>
    </row>
    <row r="1016" spans="1:8" ht="18.75" customHeight="1">
      <c r="A1016" s="656"/>
      <c r="B1016" s="659" t="s">
        <v>5795</v>
      </c>
      <c r="C1016" s="659" t="s">
        <v>4303</v>
      </c>
      <c r="D1016" s="659" t="s">
        <v>5908</v>
      </c>
      <c r="E1016" s="659" t="s">
        <v>5909</v>
      </c>
      <c r="F1016" s="660">
        <v>0.1</v>
      </c>
      <c r="G1016" s="660">
        <v>0</v>
      </c>
      <c r="H1016" s="656"/>
    </row>
    <row r="1017" spans="1:8" ht="18.75" customHeight="1">
      <c r="A1017" s="656"/>
      <c r="B1017" s="657" t="s">
        <v>5795</v>
      </c>
      <c r="C1017" s="657" t="s">
        <v>4303</v>
      </c>
      <c r="D1017" s="657" t="s">
        <v>5910</v>
      </c>
      <c r="E1017" s="657" t="s">
        <v>5911</v>
      </c>
      <c r="F1017" s="658">
        <v>0.1</v>
      </c>
      <c r="G1017" s="658">
        <v>0</v>
      </c>
      <c r="H1017" s="656"/>
    </row>
    <row r="1018" spans="1:8" ht="18.75" customHeight="1">
      <c r="A1018" s="656"/>
      <c r="B1018" s="659" t="s">
        <v>5795</v>
      </c>
      <c r="C1018" s="659" t="s">
        <v>4303</v>
      </c>
      <c r="D1018" s="659" t="s">
        <v>5912</v>
      </c>
      <c r="E1018" s="659" t="s">
        <v>5913</v>
      </c>
      <c r="F1018" s="660">
        <v>0.1</v>
      </c>
      <c r="G1018" s="660">
        <v>0</v>
      </c>
      <c r="H1018" s="656"/>
    </row>
    <row r="1019" spans="1:8" ht="18.75" customHeight="1">
      <c r="A1019" s="656"/>
      <c r="B1019" s="657" t="s">
        <v>5795</v>
      </c>
      <c r="C1019" s="657" t="s">
        <v>4303</v>
      </c>
      <c r="D1019" s="657" t="s">
        <v>5914</v>
      </c>
      <c r="E1019" s="657" t="s">
        <v>5915</v>
      </c>
      <c r="F1019" s="658">
        <v>0.1</v>
      </c>
      <c r="G1019" s="658">
        <v>0</v>
      </c>
      <c r="H1019" s="656"/>
    </row>
    <row r="1020" spans="1:8" ht="18.75" customHeight="1">
      <c r="A1020" s="656"/>
      <c r="B1020" s="659" t="s">
        <v>5795</v>
      </c>
      <c r="C1020" s="659" t="s">
        <v>4303</v>
      </c>
      <c r="D1020" s="659" t="s">
        <v>5916</v>
      </c>
      <c r="E1020" s="659" t="s">
        <v>5917</v>
      </c>
      <c r="F1020" s="660">
        <v>0.1</v>
      </c>
      <c r="G1020" s="660">
        <v>0</v>
      </c>
      <c r="H1020" s="656"/>
    </row>
    <row r="1021" spans="1:8" ht="18.75" customHeight="1">
      <c r="A1021" s="656"/>
      <c r="B1021" s="657" t="s">
        <v>5795</v>
      </c>
      <c r="C1021" s="657" t="s">
        <v>4303</v>
      </c>
      <c r="D1021" s="657" t="s">
        <v>5918</v>
      </c>
      <c r="E1021" s="657" t="s">
        <v>5919</v>
      </c>
      <c r="F1021" s="658">
        <v>0.1</v>
      </c>
      <c r="G1021" s="658">
        <v>0</v>
      </c>
      <c r="H1021" s="656"/>
    </row>
    <row r="1022" spans="1:8" ht="18.75" customHeight="1">
      <c r="A1022" s="656"/>
      <c r="B1022" s="659" t="s">
        <v>5795</v>
      </c>
      <c r="C1022" s="659" t="s">
        <v>4303</v>
      </c>
      <c r="D1022" s="659" t="s">
        <v>5920</v>
      </c>
      <c r="E1022" s="659" t="s">
        <v>5921</v>
      </c>
      <c r="F1022" s="660">
        <v>0.1</v>
      </c>
      <c r="G1022" s="660">
        <v>0</v>
      </c>
      <c r="H1022" s="656"/>
    </row>
    <row r="1023" spans="1:8" ht="18.75" customHeight="1">
      <c r="A1023" s="656"/>
      <c r="B1023" s="657" t="s">
        <v>5795</v>
      </c>
      <c r="C1023" s="657" t="s">
        <v>4303</v>
      </c>
      <c r="D1023" s="657" t="s">
        <v>5922</v>
      </c>
      <c r="E1023" s="657" t="s">
        <v>5923</v>
      </c>
      <c r="F1023" s="658">
        <v>0.1</v>
      </c>
      <c r="G1023" s="658">
        <v>0</v>
      </c>
      <c r="H1023" s="656"/>
    </row>
    <row r="1024" spans="1:8" ht="18.75" customHeight="1">
      <c r="A1024" s="656"/>
      <c r="B1024" s="659" t="s">
        <v>5795</v>
      </c>
      <c r="C1024" s="659" t="s">
        <v>4303</v>
      </c>
      <c r="D1024" s="659" t="s">
        <v>5924</v>
      </c>
      <c r="E1024" s="659" t="s">
        <v>5925</v>
      </c>
      <c r="F1024" s="660">
        <v>0.1</v>
      </c>
      <c r="G1024" s="660">
        <v>0</v>
      </c>
      <c r="H1024" s="656"/>
    </row>
    <row r="1025" spans="1:8" ht="18.75" customHeight="1">
      <c r="A1025" s="656"/>
      <c r="B1025" s="657" t="s">
        <v>459</v>
      </c>
      <c r="C1025" s="657" t="s">
        <v>5926</v>
      </c>
      <c r="D1025" s="657" t="s">
        <v>5927</v>
      </c>
      <c r="E1025" s="657" t="s">
        <v>5928</v>
      </c>
      <c r="F1025" s="658">
        <v>0.1</v>
      </c>
      <c r="G1025" s="658">
        <v>0</v>
      </c>
      <c r="H1025" s="656"/>
    </row>
    <row r="1026" spans="1:8" ht="18.75" customHeight="1">
      <c r="A1026" s="656"/>
      <c r="B1026" s="659" t="s">
        <v>459</v>
      </c>
      <c r="C1026" s="659" t="s">
        <v>5926</v>
      </c>
      <c r="D1026" s="659" t="s">
        <v>5929</v>
      </c>
      <c r="E1026" s="659" t="s">
        <v>5930</v>
      </c>
      <c r="F1026" s="660">
        <v>0.1</v>
      </c>
      <c r="G1026" s="660">
        <v>0</v>
      </c>
      <c r="H1026" s="656"/>
    </row>
    <row r="1027" spans="1:8" ht="18.75" customHeight="1">
      <c r="A1027" s="656"/>
      <c r="B1027" s="657" t="s">
        <v>459</v>
      </c>
      <c r="C1027" s="657" t="s">
        <v>5926</v>
      </c>
      <c r="D1027" s="657" t="s">
        <v>5931</v>
      </c>
      <c r="E1027" s="657" t="s">
        <v>5932</v>
      </c>
      <c r="F1027" s="658">
        <v>0.1</v>
      </c>
      <c r="G1027" s="658">
        <v>0</v>
      </c>
      <c r="H1027" s="656"/>
    </row>
    <row r="1028" spans="1:8" ht="18.75" customHeight="1">
      <c r="A1028" s="656"/>
      <c r="B1028" s="659" t="s">
        <v>459</v>
      </c>
      <c r="C1028" s="659" t="s">
        <v>5926</v>
      </c>
      <c r="D1028" s="659" t="s">
        <v>5933</v>
      </c>
      <c r="E1028" s="659" t="s">
        <v>5934</v>
      </c>
      <c r="F1028" s="660">
        <v>0.1</v>
      </c>
      <c r="G1028" s="660">
        <v>0</v>
      </c>
      <c r="H1028" s="656"/>
    </row>
    <row r="1029" spans="1:8" ht="18.75" customHeight="1">
      <c r="A1029" s="656"/>
      <c r="B1029" s="657" t="s">
        <v>459</v>
      </c>
      <c r="C1029" s="657" t="s">
        <v>5926</v>
      </c>
      <c r="D1029" s="657" t="s">
        <v>5935</v>
      </c>
      <c r="E1029" s="657" t="s">
        <v>5936</v>
      </c>
      <c r="F1029" s="658">
        <v>0.1</v>
      </c>
      <c r="G1029" s="658">
        <v>0</v>
      </c>
      <c r="H1029" s="656"/>
    </row>
    <row r="1030" spans="1:8" ht="18.75" customHeight="1">
      <c r="A1030" s="656"/>
      <c r="B1030" s="659" t="s">
        <v>459</v>
      </c>
      <c r="C1030" s="659" t="s">
        <v>5926</v>
      </c>
      <c r="D1030" s="659" t="s">
        <v>5937</v>
      </c>
      <c r="E1030" s="659" t="s">
        <v>5938</v>
      </c>
      <c r="F1030" s="660">
        <v>0.1</v>
      </c>
      <c r="G1030" s="660">
        <v>0</v>
      </c>
      <c r="H1030" s="656"/>
    </row>
    <row r="1031" spans="1:8" ht="18.75" customHeight="1">
      <c r="A1031" s="656"/>
      <c r="B1031" s="657" t="s">
        <v>459</v>
      </c>
      <c r="C1031" s="657" t="s">
        <v>5939</v>
      </c>
      <c r="D1031" s="657" t="s">
        <v>5940</v>
      </c>
      <c r="E1031" s="657" t="s">
        <v>5941</v>
      </c>
      <c r="F1031" s="658">
        <v>0.1</v>
      </c>
      <c r="G1031" s="658">
        <v>0</v>
      </c>
      <c r="H1031" s="656"/>
    </row>
    <row r="1032" spans="1:8" ht="18.75" customHeight="1">
      <c r="A1032" s="656"/>
      <c r="B1032" s="659" t="s">
        <v>459</v>
      </c>
      <c r="C1032" s="659" t="s">
        <v>5926</v>
      </c>
      <c r="D1032" s="659" t="s">
        <v>5942</v>
      </c>
      <c r="E1032" s="659" t="s">
        <v>5943</v>
      </c>
      <c r="F1032" s="660">
        <v>0.1</v>
      </c>
      <c r="G1032" s="660">
        <v>0</v>
      </c>
      <c r="H1032" s="656"/>
    </row>
    <row r="1033" spans="1:8" ht="18.75" customHeight="1">
      <c r="A1033" s="656"/>
      <c r="B1033" s="657" t="s">
        <v>459</v>
      </c>
      <c r="C1033" s="657" t="s">
        <v>5926</v>
      </c>
      <c r="D1033" s="657" t="s">
        <v>5944</v>
      </c>
      <c r="E1033" s="657" t="s">
        <v>5945</v>
      </c>
      <c r="F1033" s="658">
        <v>0.1</v>
      </c>
      <c r="G1033" s="658">
        <v>0</v>
      </c>
      <c r="H1033" s="656"/>
    </row>
    <row r="1034" spans="1:8" ht="18.75" customHeight="1">
      <c r="A1034" s="656"/>
      <c r="B1034" s="659" t="s">
        <v>459</v>
      </c>
      <c r="C1034" s="659" t="s">
        <v>5926</v>
      </c>
      <c r="D1034" s="659" t="s">
        <v>5946</v>
      </c>
      <c r="E1034" s="659" t="s">
        <v>5947</v>
      </c>
      <c r="F1034" s="660">
        <v>0.1</v>
      </c>
      <c r="G1034" s="660">
        <v>0</v>
      </c>
      <c r="H1034" s="656"/>
    </row>
    <row r="1035" spans="1:8" ht="18.75" customHeight="1">
      <c r="A1035" s="656"/>
      <c r="B1035" s="657" t="s">
        <v>459</v>
      </c>
      <c r="C1035" s="657" t="s">
        <v>5926</v>
      </c>
      <c r="D1035" s="657" t="s">
        <v>5948</v>
      </c>
      <c r="E1035" s="657" t="s">
        <v>5949</v>
      </c>
      <c r="F1035" s="658">
        <v>0.1</v>
      </c>
      <c r="G1035" s="658">
        <v>0</v>
      </c>
      <c r="H1035" s="656"/>
    </row>
    <row r="1036" spans="1:8" ht="18.75" customHeight="1">
      <c r="A1036" s="656"/>
      <c r="B1036" s="659" t="s">
        <v>459</v>
      </c>
      <c r="C1036" s="659" t="s">
        <v>5926</v>
      </c>
      <c r="D1036" s="659" t="s">
        <v>5950</v>
      </c>
      <c r="E1036" s="659" t="s">
        <v>5951</v>
      </c>
      <c r="F1036" s="660">
        <v>0.1</v>
      </c>
      <c r="G1036" s="660">
        <v>0</v>
      </c>
      <c r="H1036" s="656"/>
    </row>
    <row r="1037" spans="1:8" ht="18.75" customHeight="1">
      <c r="A1037" s="656"/>
      <c r="B1037" s="657" t="s">
        <v>459</v>
      </c>
      <c r="C1037" s="657" t="s">
        <v>5939</v>
      </c>
      <c r="D1037" s="657" t="s">
        <v>5952</v>
      </c>
      <c r="E1037" s="657" t="s">
        <v>5953</v>
      </c>
      <c r="F1037" s="658">
        <v>0.1</v>
      </c>
      <c r="G1037" s="658">
        <v>0</v>
      </c>
      <c r="H1037" s="656"/>
    </row>
    <row r="1038" spans="1:8" ht="18.75" customHeight="1">
      <c r="A1038" s="656"/>
      <c r="B1038" s="659" t="s">
        <v>459</v>
      </c>
      <c r="C1038" s="659" t="s">
        <v>5926</v>
      </c>
      <c r="D1038" s="659" t="s">
        <v>5954</v>
      </c>
      <c r="E1038" s="659" t="s">
        <v>5955</v>
      </c>
      <c r="F1038" s="660">
        <v>0.1</v>
      </c>
      <c r="G1038" s="660">
        <v>0</v>
      </c>
      <c r="H1038" s="656"/>
    </row>
    <row r="1039" spans="1:8" ht="18.75" customHeight="1">
      <c r="A1039" s="656"/>
      <c r="B1039" s="657" t="s">
        <v>459</v>
      </c>
      <c r="C1039" s="657" t="s">
        <v>5926</v>
      </c>
      <c r="D1039" s="657" t="s">
        <v>5956</v>
      </c>
      <c r="E1039" s="657" t="s">
        <v>5957</v>
      </c>
      <c r="F1039" s="658">
        <v>0.1</v>
      </c>
      <c r="G1039" s="658">
        <v>0</v>
      </c>
      <c r="H1039" s="656"/>
    </row>
    <row r="1040" spans="1:8" ht="18.75" customHeight="1">
      <c r="A1040" s="656"/>
      <c r="B1040" s="659" t="s">
        <v>459</v>
      </c>
      <c r="C1040" s="659" t="s">
        <v>5926</v>
      </c>
      <c r="D1040" s="659" t="s">
        <v>5958</v>
      </c>
      <c r="E1040" s="659" t="s">
        <v>5959</v>
      </c>
      <c r="F1040" s="660">
        <v>0.1</v>
      </c>
      <c r="G1040" s="660">
        <v>0</v>
      </c>
      <c r="H1040" s="656"/>
    </row>
    <row r="1041" spans="1:8" ht="18.75" customHeight="1">
      <c r="A1041" s="656"/>
      <c r="B1041" s="657" t="s">
        <v>459</v>
      </c>
      <c r="C1041" s="657" t="s">
        <v>5926</v>
      </c>
      <c r="D1041" s="657" t="s">
        <v>5960</v>
      </c>
      <c r="E1041" s="657" t="s">
        <v>5961</v>
      </c>
      <c r="F1041" s="658">
        <v>0.1</v>
      </c>
      <c r="G1041" s="658">
        <v>0</v>
      </c>
      <c r="H1041" s="656"/>
    </row>
    <row r="1042" spans="1:8" ht="18.75" customHeight="1">
      <c r="A1042" s="656"/>
      <c r="B1042" s="659" t="s">
        <v>459</v>
      </c>
      <c r="C1042" s="659" t="s">
        <v>5939</v>
      </c>
      <c r="D1042" s="659" t="s">
        <v>5962</v>
      </c>
      <c r="E1042" s="659" t="s">
        <v>5963</v>
      </c>
      <c r="F1042" s="660">
        <v>0.1</v>
      </c>
      <c r="G1042" s="660">
        <v>0</v>
      </c>
      <c r="H1042" s="656"/>
    </row>
    <row r="1043" spans="1:8" ht="18.75" customHeight="1">
      <c r="A1043" s="656"/>
      <c r="B1043" s="657" t="s">
        <v>459</v>
      </c>
      <c r="C1043" s="657" t="s">
        <v>5926</v>
      </c>
      <c r="D1043" s="657" t="s">
        <v>5964</v>
      </c>
      <c r="E1043" s="657" t="s">
        <v>5965</v>
      </c>
      <c r="F1043" s="658">
        <v>0.1</v>
      </c>
      <c r="G1043" s="658">
        <v>0</v>
      </c>
      <c r="H1043" s="656"/>
    </row>
    <row r="1044" spans="1:8" ht="18.75" customHeight="1">
      <c r="A1044" s="656"/>
      <c r="B1044" s="659" t="s">
        <v>459</v>
      </c>
      <c r="C1044" s="659" t="s">
        <v>5926</v>
      </c>
      <c r="D1044" s="659" t="s">
        <v>5966</v>
      </c>
      <c r="E1044" s="659" t="s">
        <v>5967</v>
      </c>
      <c r="F1044" s="660">
        <v>0.1</v>
      </c>
      <c r="G1044" s="660">
        <v>0</v>
      </c>
      <c r="H1044" s="656"/>
    </row>
    <row r="1045" spans="1:8" ht="18.75" customHeight="1">
      <c r="A1045" s="656"/>
      <c r="B1045" s="657" t="s">
        <v>459</v>
      </c>
      <c r="C1045" s="657" t="s">
        <v>5926</v>
      </c>
      <c r="D1045" s="657" t="s">
        <v>5968</v>
      </c>
      <c r="E1045" s="657" t="s">
        <v>5969</v>
      </c>
      <c r="F1045" s="658">
        <v>0.1</v>
      </c>
      <c r="G1045" s="658">
        <v>0</v>
      </c>
      <c r="H1045" s="656"/>
    </row>
    <row r="1046" spans="1:8" ht="18.75" customHeight="1">
      <c r="A1046" s="656"/>
      <c r="B1046" s="659" t="s">
        <v>459</v>
      </c>
      <c r="C1046" s="659" t="s">
        <v>5926</v>
      </c>
      <c r="D1046" s="659" t="s">
        <v>5970</v>
      </c>
      <c r="E1046" s="659" t="s">
        <v>5971</v>
      </c>
      <c r="F1046" s="660">
        <v>0.1</v>
      </c>
      <c r="G1046" s="660">
        <v>0</v>
      </c>
      <c r="H1046" s="656"/>
    </row>
    <row r="1047" spans="1:8" ht="18.75" customHeight="1">
      <c r="A1047" s="656"/>
      <c r="B1047" s="657" t="s">
        <v>459</v>
      </c>
      <c r="C1047" s="657" t="s">
        <v>5926</v>
      </c>
      <c r="D1047" s="657" t="s">
        <v>5972</v>
      </c>
      <c r="E1047" s="657" t="s">
        <v>5973</v>
      </c>
      <c r="F1047" s="658">
        <v>0.1</v>
      </c>
      <c r="G1047" s="658">
        <v>0</v>
      </c>
      <c r="H1047" s="656"/>
    </row>
    <row r="1048" spans="1:8" ht="18.75" customHeight="1">
      <c r="A1048" s="656"/>
      <c r="B1048" s="659" t="s">
        <v>459</v>
      </c>
      <c r="C1048" s="659" t="s">
        <v>5939</v>
      </c>
      <c r="D1048" s="659" t="s">
        <v>5974</v>
      </c>
      <c r="E1048" s="659" t="s">
        <v>5975</v>
      </c>
      <c r="F1048" s="660">
        <v>0.1</v>
      </c>
      <c r="G1048" s="660">
        <v>0</v>
      </c>
      <c r="H1048" s="656"/>
    </row>
    <row r="1049" spans="1:8" ht="18.75" customHeight="1">
      <c r="A1049" s="656"/>
      <c r="B1049" s="657" t="s">
        <v>459</v>
      </c>
      <c r="C1049" s="657" t="s">
        <v>5926</v>
      </c>
      <c r="D1049" s="657" t="s">
        <v>5976</v>
      </c>
      <c r="E1049" s="657" t="s">
        <v>5977</v>
      </c>
      <c r="F1049" s="658">
        <v>0.1</v>
      </c>
      <c r="G1049" s="658">
        <v>0</v>
      </c>
      <c r="H1049" s="656"/>
    </row>
    <row r="1050" spans="1:8" ht="18.75" customHeight="1">
      <c r="A1050" s="656"/>
      <c r="B1050" s="659" t="s">
        <v>459</v>
      </c>
      <c r="C1050" s="659" t="s">
        <v>5926</v>
      </c>
      <c r="D1050" s="659" t="s">
        <v>5978</v>
      </c>
      <c r="E1050" s="659" t="s">
        <v>5979</v>
      </c>
      <c r="F1050" s="660">
        <v>0.1</v>
      </c>
      <c r="G1050" s="660">
        <v>0</v>
      </c>
      <c r="H1050" s="656"/>
    </row>
    <row r="1051" spans="1:8" ht="18.75" customHeight="1">
      <c r="A1051" s="656"/>
      <c r="B1051" s="657" t="s">
        <v>459</v>
      </c>
      <c r="C1051" s="657" t="s">
        <v>5926</v>
      </c>
      <c r="D1051" s="657" t="s">
        <v>5980</v>
      </c>
      <c r="E1051" s="657" t="s">
        <v>5981</v>
      </c>
      <c r="F1051" s="658">
        <v>0.1</v>
      </c>
      <c r="G1051" s="658">
        <v>0</v>
      </c>
      <c r="H1051" s="656"/>
    </row>
    <row r="1052" spans="1:8" ht="18.75" customHeight="1">
      <c r="A1052" s="656"/>
      <c r="B1052" s="659" t="s">
        <v>459</v>
      </c>
      <c r="C1052" s="659" t="s">
        <v>5926</v>
      </c>
      <c r="D1052" s="659" t="s">
        <v>5982</v>
      </c>
      <c r="E1052" s="659" t="s">
        <v>5983</v>
      </c>
      <c r="F1052" s="660">
        <v>0.1</v>
      </c>
      <c r="G1052" s="660">
        <v>0</v>
      </c>
      <c r="H1052" s="656"/>
    </row>
    <row r="1053" spans="1:8" ht="18.75" customHeight="1">
      <c r="A1053" s="656"/>
      <c r="B1053" s="657" t="s">
        <v>459</v>
      </c>
      <c r="C1053" s="657" t="s">
        <v>5939</v>
      </c>
      <c r="D1053" s="657" t="s">
        <v>5984</v>
      </c>
      <c r="E1053" s="657" t="s">
        <v>5985</v>
      </c>
      <c r="F1053" s="658">
        <v>0.1</v>
      </c>
      <c r="G1053" s="658">
        <v>0</v>
      </c>
      <c r="H1053" s="656"/>
    </row>
    <row r="1054" spans="1:8" ht="18.75" customHeight="1">
      <c r="A1054" s="656"/>
      <c r="B1054" s="659" t="s">
        <v>459</v>
      </c>
      <c r="C1054" s="659" t="s">
        <v>5926</v>
      </c>
      <c r="D1054" s="659" t="s">
        <v>5986</v>
      </c>
      <c r="E1054" s="659" t="s">
        <v>5987</v>
      </c>
      <c r="F1054" s="660">
        <v>0.1</v>
      </c>
      <c r="G1054" s="660">
        <v>0</v>
      </c>
      <c r="H1054" s="656"/>
    </row>
    <row r="1055" spans="1:8" ht="18.75" customHeight="1">
      <c r="A1055" s="656"/>
      <c r="B1055" s="657" t="s">
        <v>459</v>
      </c>
      <c r="C1055" s="657" t="s">
        <v>5926</v>
      </c>
      <c r="D1055" s="657" t="s">
        <v>5988</v>
      </c>
      <c r="E1055" s="657" t="s">
        <v>5989</v>
      </c>
      <c r="F1055" s="658">
        <v>0.1</v>
      </c>
      <c r="G1055" s="658">
        <v>0</v>
      </c>
      <c r="H1055" s="656"/>
    </row>
    <row r="1056" spans="1:8" ht="18.75" customHeight="1">
      <c r="A1056" s="656"/>
      <c r="B1056" s="659" t="s">
        <v>459</v>
      </c>
      <c r="C1056" s="659" t="s">
        <v>5926</v>
      </c>
      <c r="D1056" s="659" t="s">
        <v>5990</v>
      </c>
      <c r="E1056" s="659" t="s">
        <v>5991</v>
      </c>
      <c r="F1056" s="660">
        <v>0.1</v>
      </c>
      <c r="G1056" s="660">
        <v>0</v>
      </c>
      <c r="H1056" s="656"/>
    </row>
    <row r="1057" spans="1:8" ht="18.75" customHeight="1">
      <c r="A1057" s="656"/>
      <c r="B1057" s="657" t="s">
        <v>459</v>
      </c>
      <c r="C1057" s="657" t="s">
        <v>5926</v>
      </c>
      <c r="D1057" s="657" t="s">
        <v>5992</v>
      </c>
      <c r="E1057" s="657" t="s">
        <v>5993</v>
      </c>
      <c r="F1057" s="658">
        <v>0.1</v>
      </c>
      <c r="G1057" s="658">
        <v>0</v>
      </c>
      <c r="H1057" s="656"/>
    </row>
    <row r="1058" spans="1:8" ht="18.75" customHeight="1">
      <c r="A1058" s="656"/>
      <c r="B1058" s="659" t="s">
        <v>459</v>
      </c>
      <c r="C1058" s="659" t="s">
        <v>5926</v>
      </c>
      <c r="D1058" s="659" t="s">
        <v>5994</v>
      </c>
      <c r="E1058" s="659" t="s">
        <v>5995</v>
      </c>
      <c r="F1058" s="660">
        <v>0.1</v>
      </c>
      <c r="G1058" s="660">
        <v>0</v>
      </c>
      <c r="H1058" s="656"/>
    </row>
    <row r="1059" spans="1:8" ht="18.75" customHeight="1">
      <c r="A1059" s="656"/>
      <c r="B1059" s="657" t="s">
        <v>459</v>
      </c>
      <c r="C1059" s="657" t="s">
        <v>5939</v>
      </c>
      <c r="D1059" s="657" t="s">
        <v>5996</v>
      </c>
      <c r="E1059" s="657" t="s">
        <v>5997</v>
      </c>
      <c r="F1059" s="658">
        <v>0.1</v>
      </c>
      <c r="G1059" s="658">
        <v>0</v>
      </c>
      <c r="H1059" s="656"/>
    </row>
    <row r="1060" spans="1:8" ht="18.75" customHeight="1">
      <c r="A1060" s="656"/>
      <c r="B1060" s="659" t="s">
        <v>459</v>
      </c>
      <c r="C1060" s="659" t="s">
        <v>5926</v>
      </c>
      <c r="D1060" s="659" t="s">
        <v>5998</v>
      </c>
      <c r="E1060" s="659" t="s">
        <v>5999</v>
      </c>
      <c r="F1060" s="660">
        <v>0.1</v>
      </c>
      <c r="G1060" s="660">
        <v>0</v>
      </c>
      <c r="H1060" s="656"/>
    </row>
    <row r="1061" spans="1:8" ht="18.75" customHeight="1">
      <c r="A1061" s="656"/>
      <c r="B1061" s="657" t="s">
        <v>459</v>
      </c>
      <c r="C1061" s="657" t="s">
        <v>5926</v>
      </c>
      <c r="D1061" s="657" t="s">
        <v>6000</v>
      </c>
      <c r="E1061" s="657" t="s">
        <v>6001</v>
      </c>
      <c r="F1061" s="658">
        <v>0.1</v>
      </c>
      <c r="G1061" s="658">
        <v>0</v>
      </c>
      <c r="H1061" s="656"/>
    </row>
    <row r="1062" spans="1:8" ht="18.75" customHeight="1">
      <c r="A1062" s="656"/>
      <c r="B1062" s="659" t="s">
        <v>459</v>
      </c>
      <c r="C1062" s="659" t="s">
        <v>5939</v>
      </c>
      <c r="D1062" s="659" t="s">
        <v>6002</v>
      </c>
      <c r="E1062" s="659" t="s">
        <v>6003</v>
      </c>
      <c r="F1062" s="660">
        <v>0.1</v>
      </c>
      <c r="G1062" s="660">
        <v>0</v>
      </c>
      <c r="H1062" s="656"/>
    </row>
    <row r="1063" spans="1:8" ht="18.75" customHeight="1">
      <c r="A1063" s="656"/>
      <c r="B1063" s="657" t="s">
        <v>459</v>
      </c>
      <c r="C1063" s="657" t="s">
        <v>5926</v>
      </c>
      <c r="D1063" s="657" t="s">
        <v>6004</v>
      </c>
      <c r="E1063" s="657" t="s">
        <v>6005</v>
      </c>
      <c r="F1063" s="658">
        <v>0.1</v>
      </c>
      <c r="G1063" s="658">
        <v>0</v>
      </c>
      <c r="H1063" s="656"/>
    </row>
    <row r="1064" spans="1:8" ht="18.75" customHeight="1">
      <c r="A1064" s="656"/>
      <c r="B1064" s="659" t="s">
        <v>459</v>
      </c>
      <c r="C1064" s="659" t="s">
        <v>5926</v>
      </c>
      <c r="D1064" s="659" t="s">
        <v>6006</v>
      </c>
      <c r="E1064" s="659" t="s">
        <v>6007</v>
      </c>
      <c r="F1064" s="660">
        <v>0.1</v>
      </c>
      <c r="G1064" s="660">
        <v>0</v>
      </c>
      <c r="H1064" s="656"/>
    </row>
    <row r="1065" spans="1:8" ht="18.75" customHeight="1">
      <c r="A1065" s="656"/>
      <c r="B1065" s="657" t="s">
        <v>459</v>
      </c>
      <c r="C1065" s="657" t="s">
        <v>5939</v>
      </c>
      <c r="D1065" s="657" t="s">
        <v>6008</v>
      </c>
      <c r="E1065" s="657" t="s">
        <v>6009</v>
      </c>
      <c r="F1065" s="658">
        <v>0.1</v>
      </c>
      <c r="G1065" s="658">
        <v>0</v>
      </c>
      <c r="H1065" s="656"/>
    </row>
    <row r="1066" spans="1:8" ht="18.75" customHeight="1">
      <c r="A1066" s="656"/>
      <c r="B1066" s="659" t="s">
        <v>459</v>
      </c>
      <c r="C1066" s="659" t="s">
        <v>5926</v>
      </c>
      <c r="D1066" s="659" t="s">
        <v>6010</v>
      </c>
      <c r="E1066" s="659" t="s">
        <v>6011</v>
      </c>
      <c r="F1066" s="660">
        <v>0.1</v>
      </c>
      <c r="G1066" s="660">
        <v>0</v>
      </c>
      <c r="H1066" s="656"/>
    </row>
    <row r="1067" spans="1:8" ht="18.75" customHeight="1">
      <c r="A1067" s="656"/>
      <c r="B1067" s="657" t="s">
        <v>459</v>
      </c>
      <c r="C1067" s="657" t="s">
        <v>5939</v>
      </c>
      <c r="D1067" s="657" t="s">
        <v>6012</v>
      </c>
      <c r="E1067" s="657" t="s">
        <v>6013</v>
      </c>
      <c r="F1067" s="658">
        <v>0.1</v>
      </c>
      <c r="G1067" s="658">
        <v>0</v>
      </c>
      <c r="H1067" s="656"/>
    </row>
    <row r="1068" spans="1:8" ht="18.75" customHeight="1">
      <c r="A1068" s="656"/>
      <c r="B1068" s="659" t="s">
        <v>459</v>
      </c>
      <c r="C1068" s="659" t="s">
        <v>5926</v>
      </c>
      <c r="D1068" s="659" t="s">
        <v>6014</v>
      </c>
      <c r="E1068" s="659" t="s">
        <v>6015</v>
      </c>
      <c r="F1068" s="660">
        <v>0.1</v>
      </c>
      <c r="G1068" s="660">
        <v>0</v>
      </c>
      <c r="H1068" s="656"/>
    </row>
    <row r="1069" spans="1:8" ht="18.75" customHeight="1">
      <c r="A1069" s="656"/>
      <c r="B1069" s="657" t="s">
        <v>459</v>
      </c>
      <c r="C1069" s="657" t="s">
        <v>5926</v>
      </c>
      <c r="D1069" s="657" t="s">
        <v>6016</v>
      </c>
      <c r="E1069" s="657" t="s">
        <v>6017</v>
      </c>
      <c r="F1069" s="658">
        <v>0.1</v>
      </c>
      <c r="G1069" s="658">
        <v>0</v>
      </c>
      <c r="H1069" s="656"/>
    </row>
    <row r="1070" spans="1:8" ht="18.75" customHeight="1">
      <c r="A1070" s="656"/>
      <c r="B1070" s="659" t="s">
        <v>459</v>
      </c>
      <c r="C1070" s="659" t="s">
        <v>5926</v>
      </c>
      <c r="D1070" s="659" t="s">
        <v>6018</v>
      </c>
      <c r="E1070" s="659" t="s">
        <v>6019</v>
      </c>
      <c r="F1070" s="660">
        <v>0.1</v>
      </c>
      <c r="G1070" s="660">
        <v>0</v>
      </c>
      <c r="H1070" s="656"/>
    </row>
    <row r="1071" spans="1:8" ht="18.75" customHeight="1">
      <c r="A1071" s="656"/>
      <c r="B1071" s="657" t="s">
        <v>459</v>
      </c>
      <c r="C1071" s="657" t="s">
        <v>5926</v>
      </c>
      <c r="D1071" s="657" t="s">
        <v>6020</v>
      </c>
      <c r="E1071" s="657" t="s">
        <v>6021</v>
      </c>
      <c r="F1071" s="658">
        <v>0.1</v>
      </c>
      <c r="G1071" s="658">
        <v>0</v>
      </c>
      <c r="H1071" s="656"/>
    </row>
    <row r="1072" spans="1:8" ht="18.75" customHeight="1">
      <c r="A1072" s="656"/>
      <c r="B1072" s="659" t="s">
        <v>459</v>
      </c>
      <c r="C1072" s="659" t="s">
        <v>5926</v>
      </c>
      <c r="D1072" s="659" t="s">
        <v>6022</v>
      </c>
      <c r="E1072" s="659" t="s">
        <v>6023</v>
      </c>
      <c r="F1072" s="660">
        <v>0.1</v>
      </c>
      <c r="G1072" s="660">
        <v>0</v>
      </c>
      <c r="H1072" s="656"/>
    </row>
    <row r="1073" spans="1:8" ht="18.75" customHeight="1">
      <c r="A1073" s="656"/>
      <c r="B1073" s="657" t="s">
        <v>459</v>
      </c>
      <c r="C1073" s="657" t="s">
        <v>5926</v>
      </c>
      <c r="D1073" s="657" t="s">
        <v>6024</v>
      </c>
      <c r="E1073" s="657" t="s">
        <v>6025</v>
      </c>
      <c r="F1073" s="658">
        <v>0.1</v>
      </c>
      <c r="G1073" s="658">
        <v>0</v>
      </c>
      <c r="H1073" s="656"/>
    </row>
    <row r="1074" spans="1:8" ht="18.75" customHeight="1">
      <c r="A1074" s="656"/>
      <c r="B1074" s="659" t="s">
        <v>459</v>
      </c>
      <c r="C1074" s="659" t="s">
        <v>5926</v>
      </c>
      <c r="D1074" s="659" t="s">
        <v>6026</v>
      </c>
      <c r="E1074" s="659" t="s">
        <v>6027</v>
      </c>
      <c r="F1074" s="660">
        <v>0.1</v>
      </c>
      <c r="G1074" s="660">
        <v>0</v>
      </c>
      <c r="H1074" s="656"/>
    </row>
    <row r="1075" spans="1:8" ht="18.75" customHeight="1">
      <c r="A1075" s="656"/>
      <c r="B1075" s="657" t="s">
        <v>459</v>
      </c>
      <c r="C1075" s="657" t="s">
        <v>5926</v>
      </c>
      <c r="D1075" s="657" t="s">
        <v>6028</v>
      </c>
      <c r="E1075" s="657" t="s">
        <v>6029</v>
      </c>
      <c r="F1075" s="658">
        <v>0.1</v>
      </c>
      <c r="G1075" s="658">
        <v>0</v>
      </c>
      <c r="H1075" s="656"/>
    </row>
    <row r="1076" spans="1:8" ht="18.75" customHeight="1">
      <c r="A1076" s="656"/>
      <c r="B1076" s="659" t="s">
        <v>459</v>
      </c>
      <c r="C1076" s="659" t="s">
        <v>5926</v>
      </c>
      <c r="D1076" s="659" t="s">
        <v>6030</v>
      </c>
      <c r="E1076" s="659" t="s">
        <v>6031</v>
      </c>
      <c r="F1076" s="660">
        <v>0.1</v>
      </c>
      <c r="G1076" s="660">
        <v>0</v>
      </c>
      <c r="H1076" s="656"/>
    </row>
    <row r="1077" spans="1:8" ht="18.75" customHeight="1">
      <c r="A1077" s="656"/>
      <c r="B1077" s="657" t="s">
        <v>459</v>
      </c>
      <c r="C1077" s="657" t="s">
        <v>5926</v>
      </c>
      <c r="D1077" s="657" t="s">
        <v>6032</v>
      </c>
      <c r="E1077" s="657" t="s">
        <v>6033</v>
      </c>
      <c r="F1077" s="658">
        <v>0.1</v>
      </c>
      <c r="G1077" s="658">
        <v>0</v>
      </c>
      <c r="H1077" s="656"/>
    </row>
    <row r="1078" spans="1:8" ht="18.75" customHeight="1">
      <c r="A1078" s="656"/>
      <c r="B1078" s="659" t="s">
        <v>459</v>
      </c>
      <c r="C1078" s="659" t="s">
        <v>5926</v>
      </c>
      <c r="D1078" s="659" t="s">
        <v>6034</v>
      </c>
      <c r="E1078" s="659" t="s">
        <v>6035</v>
      </c>
      <c r="F1078" s="660">
        <v>0.1</v>
      </c>
      <c r="G1078" s="660">
        <v>0</v>
      </c>
      <c r="H1078" s="656"/>
    </row>
    <row r="1079" spans="1:8" ht="18.75" customHeight="1">
      <c r="A1079" s="656"/>
      <c r="B1079" s="657" t="s">
        <v>459</v>
      </c>
      <c r="C1079" s="657" t="s">
        <v>5926</v>
      </c>
      <c r="D1079" s="657" t="s">
        <v>6036</v>
      </c>
      <c r="E1079" s="657" t="s">
        <v>6037</v>
      </c>
      <c r="F1079" s="658">
        <v>0.1</v>
      </c>
      <c r="G1079" s="658">
        <v>0</v>
      </c>
      <c r="H1079" s="656"/>
    </row>
    <row r="1080" spans="1:8" ht="18.75" customHeight="1">
      <c r="A1080" s="656"/>
      <c r="B1080" s="659" t="s">
        <v>459</v>
      </c>
      <c r="C1080" s="659" t="s">
        <v>5939</v>
      </c>
      <c r="D1080" s="659" t="s">
        <v>6038</v>
      </c>
      <c r="E1080" s="659" t="s">
        <v>6039</v>
      </c>
      <c r="F1080" s="660">
        <v>0.1</v>
      </c>
      <c r="G1080" s="660">
        <v>0</v>
      </c>
      <c r="H1080" s="656"/>
    </row>
    <row r="1081" spans="1:8" ht="18.75" customHeight="1">
      <c r="A1081" s="656"/>
      <c r="B1081" s="657" t="s">
        <v>459</v>
      </c>
      <c r="C1081" s="657" t="s">
        <v>5926</v>
      </c>
      <c r="D1081" s="657" t="s">
        <v>6040</v>
      </c>
      <c r="E1081" s="657" t="s">
        <v>6041</v>
      </c>
      <c r="F1081" s="658">
        <v>0.1</v>
      </c>
      <c r="G1081" s="658">
        <v>0</v>
      </c>
      <c r="H1081" s="656"/>
    </row>
    <row r="1082" spans="1:8" ht="18.75" customHeight="1">
      <c r="A1082" s="656"/>
      <c r="B1082" s="659" t="s">
        <v>459</v>
      </c>
      <c r="C1082" s="659" t="s">
        <v>5926</v>
      </c>
      <c r="D1082" s="659" t="s">
        <v>6042</v>
      </c>
      <c r="E1082" s="659" t="s">
        <v>6043</v>
      </c>
      <c r="F1082" s="660">
        <v>0.1</v>
      </c>
      <c r="G1082" s="660">
        <v>0</v>
      </c>
      <c r="H1082" s="656"/>
    </row>
    <row r="1083" spans="1:8" ht="18.75" customHeight="1">
      <c r="A1083" s="656"/>
      <c r="B1083" s="657" t="s">
        <v>459</v>
      </c>
      <c r="C1083" s="657" t="s">
        <v>5926</v>
      </c>
      <c r="D1083" s="657" t="s">
        <v>6044</v>
      </c>
      <c r="E1083" s="657" t="s">
        <v>6045</v>
      </c>
      <c r="F1083" s="658">
        <v>0.1</v>
      </c>
      <c r="G1083" s="658">
        <v>0</v>
      </c>
      <c r="H1083" s="656"/>
    </row>
    <row r="1084" spans="1:8" ht="18.75" customHeight="1">
      <c r="A1084" s="656"/>
      <c r="B1084" s="659" t="s">
        <v>459</v>
      </c>
      <c r="C1084" s="659" t="s">
        <v>5926</v>
      </c>
      <c r="D1084" s="659" t="s">
        <v>6046</v>
      </c>
      <c r="E1084" s="659" t="s">
        <v>6047</v>
      </c>
      <c r="F1084" s="660">
        <v>0.1</v>
      </c>
      <c r="G1084" s="660">
        <v>0</v>
      </c>
      <c r="H1084" s="656"/>
    </row>
    <row r="1085" spans="1:8" ht="18.75" customHeight="1">
      <c r="A1085" s="656"/>
      <c r="B1085" s="657" t="s">
        <v>459</v>
      </c>
      <c r="C1085" s="657" t="s">
        <v>5926</v>
      </c>
      <c r="D1085" s="657" t="s">
        <v>6048</v>
      </c>
      <c r="E1085" s="657" t="s">
        <v>6049</v>
      </c>
      <c r="F1085" s="658">
        <v>0.1</v>
      </c>
      <c r="G1085" s="658">
        <v>0</v>
      </c>
      <c r="H1085" s="656"/>
    </row>
    <row r="1086" spans="1:8" ht="18.75" customHeight="1">
      <c r="A1086" s="656"/>
      <c r="B1086" s="659" t="s">
        <v>459</v>
      </c>
      <c r="C1086" s="659" t="s">
        <v>5939</v>
      </c>
      <c r="D1086" s="659" t="s">
        <v>6050</v>
      </c>
      <c r="E1086" s="659" t="s">
        <v>6051</v>
      </c>
      <c r="F1086" s="660">
        <v>0.1</v>
      </c>
      <c r="G1086" s="660">
        <v>0</v>
      </c>
      <c r="H1086" s="656"/>
    </row>
    <row r="1087" spans="1:8" ht="18.75" customHeight="1">
      <c r="A1087" s="656"/>
      <c r="B1087" s="657" t="s">
        <v>459</v>
      </c>
      <c r="C1087" s="657" t="s">
        <v>5926</v>
      </c>
      <c r="D1087" s="657" t="s">
        <v>6052</v>
      </c>
      <c r="E1087" s="657" t="s">
        <v>6053</v>
      </c>
      <c r="F1087" s="658">
        <v>0.1</v>
      </c>
      <c r="G1087" s="658">
        <v>0</v>
      </c>
      <c r="H1087" s="656"/>
    </row>
    <row r="1088" spans="1:8" ht="18.75" customHeight="1">
      <c r="A1088" s="656"/>
      <c r="B1088" s="659" t="s">
        <v>459</v>
      </c>
      <c r="C1088" s="659" t="s">
        <v>5926</v>
      </c>
      <c r="D1088" s="659" t="s">
        <v>6054</v>
      </c>
      <c r="E1088" s="659" t="s">
        <v>6055</v>
      </c>
      <c r="F1088" s="660">
        <v>0.1</v>
      </c>
      <c r="G1088" s="660">
        <v>0</v>
      </c>
      <c r="H1088" s="656"/>
    </row>
    <row r="1089" spans="1:8" ht="18.75" customHeight="1">
      <c r="A1089" s="656"/>
      <c r="B1089" s="657" t="s">
        <v>459</v>
      </c>
      <c r="C1089" s="657" t="s">
        <v>5926</v>
      </c>
      <c r="D1089" s="657" t="s">
        <v>6056</v>
      </c>
      <c r="E1089" s="657" t="s">
        <v>6057</v>
      </c>
      <c r="F1089" s="658">
        <v>0.1</v>
      </c>
      <c r="G1089" s="658">
        <v>0</v>
      </c>
      <c r="H1089" s="656"/>
    </row>
    <row r="1090" spans="1:8" ht="18.75" customHeight="1">
      <c r="A1090" s="656"/>
      <c r="B1090" s="659" t="s">
        <v>459</v>
      </c>
      <c r="C1090" s="659" t="s">
        <v>5939</v>
      </c>
      <c r="D1090" s="659" t="s">
        <v>6058</v>
      </c>
      <c r="E1090" s="659" t="s">
        <v>6059</v>
      </c>
      <c r="F1090" s="660">
        <v>0.1</v>
      </c>
      <c r="G1090" s="660">
        <v>0</v>
      </c>
      <c r="H1090" s="656"/>
    </row>
    <row r="1091" spans="1:8" ht="18.75" customHeight="1">
      <c r="A1091" s="656"/>
      <c r="B1091" s="657" t="s">
        <v>459</v>
      </c>
      <c r="C1091" s="657" t="s">
        <v>5926</v>
      </c>
      <c r="D1091" s="657" t="s">
        <v>6060</v>
      </c>
      <c r="E1091" s="657" t="s">
        <v>6061</v>
      </c>
      <c r="F1091" s="658">
        <v>0.1</v>
      </c>
      <c r="G1091" s="658">
        <v>0</v>
      </c>
      <c r="H1091" s="656"/>
    </row>
    <row r="1092" spans="1:8" ht="18.75" customHeight="1">
      <c r="A1092" s="656"/>
      <c r="B1092" s="659" t="s">
        <v>459</v>
      </c>
      <c r="C1092" s="659" t="s">
        <v>5926</v>
      </c>
      <c r="D1092" s="659" t="s">
        <v>6062</v>
      </c>
      <c r="E1092" s="659" t="s">
        <v>6063</v>
      </c>
      <c r="F1092" s="660">
        <v>0.1</v>
      </c>
      <c r="G1092" s="660">
        <v>0</v>
      </c>
      <c r="H1092" s="656"/>
    </row>
    <row r="1093" spans="1:8" ht="18.75" customHeight="1">
      <c r="A1093" s="656"/>
      <c r="B1093" s="657" t="s">
        <v>459</v>
      </c>
      <c r="C1093" s="657" t="s">
        <v>5926</v>
      </c>
      <c r="D1093" s="657" t="s">
        <v>6064</v>
      </c>
      <c r="E1093" s="657" t="s">
        <v>6065</v>
      </c>
      <c r="F1093" s="658">
        <v>0.1</v>
      </c>
      <c r="G1093" s="658">
        <v>0</v>
      </c>
      <c r="H1093" s="656"/>
    </row>
    <row r="1094" spans="1:8" ht="18.75" customHeight="1">
      <c r="A1094" s="656"/>
      <c r="B1094" s="659" t="s">
        <v>459</v>
      </c>
      <c r="C1094" s="659" t="s">
        <v>5926</v>
      </c>
      <c r="D1094" s="659" t="s">
        <v>6066</v>
      </c>
      <c r="E1094" s="659" t="s">
        <v>6065</v>
      </c>
      <c r="F1094" s="660">
        <v>0.1</v>
      </c>
      <c r="G1094" s="660">
        <v>0</v>
      </c>
      <c r="H1094" s="656"/>
    </row>
    <row r="1095" spans="1:8" ht="18.75" customHeight="1">
      <c r="A1095" s="656"/>
      <c r="B1095" s="657" t="s">
        <v>459</v>
      </c>
      <c r="C1095" s="657" t="s">
        <v>5926</v>
      </c>
      <c r="D1095" s="657" t="s">
        <v>6067</v>
      </c>
      <c r="E1095" s="657" t="s">
        <v>6068</v>
      </c>
      <c r="F1095" s="658">
        <v>0.1</v>
      </c>
      <c r="G1095" s="658">
        <v>0</v>
      </c>
      <c r="H1095" s="656"/>
    </row>
    <row r="1096" spans="1:8" ht="18.75" customHeight="1">
      <c r="A1096" s="656"/>
      <c r="B1096" s="659" t="s">
        <v>459</v>
      </c>
      <c r="C1096" s="659" t="s">
        <v>5926</v>
      </c>
      <c r="D1096" s="659" t="s">
        <v>6069</v>
      </c>
      <c r="E1096" s="659" t="s">
        <v>6070</v>
      </c>
      <c r="F1096" s="660">
        <v>0.1</v>
      </c>
      <c r="G1096" s="660">
        <v>0</v>
      </c>
      <c r="H1096" s="656"/>
    </row>
    <row r="1097" spans="1:8" ht="18.75" customHeight="1">
      <c r="A1097" s="656"/>
      <c r="B1097" s="657" t="s">
        <v>459</v>
      </c>
      <c r="C1097" s="657" t="s">
        <v>5939</v>
      </c>
      <c r="D1097" s="657" t="s">
        <v>6071</v>
      </c>
      <c r="E1097" s="657" t="s">
        <v>6072</v>
      </c>
      <c r="F1097" s="658">
        <v>0.1</v>
      </c>
      <c r="G1097" s="658">
        <v>0</v>
      </c>
      <c r="H1097" s="656"/>
    </row>
    <row r="1098" spans="1:8" ht="18.75" customHeight="1">
      <c r="A1098" s="656"/>
      <c r="B1098" s="659" t="s">
        <v>459</v>
      </c>
      <c r="C1098" s="659" t="s">
        <v>5926</v>
      </c>
      <c r="D1098" s="659" t="s">
        <v>6073</v>
      </c>
      <c r="E1098" s="659" t="s">
        <v>6074</v>
      </c>
      <c r="F1098" s="660">
        <v>0.1</v>
      </c>
      <c r="G1098" s="660">
        <v>0</v>
      </c>
      <c r="H1098" s="656"/>
    </row>
    <row r="1099" spans="1:8" ht="18.75" customHeight="1">
      <c r="A1099" s="656"/>
      <c r="B1099" s="657" t="s">
        <v>459</v>
      </c>
      <c r="C1099" s="657" t="s">
        <v>5926</v>
      </c>
      <c r="D1099" s="657" t="s">
        <v>6075</v>
      </c>
      <c r="E1099" s="657" t="s">
        <v>6076</v>
      </c>
      <c r="F1099" s="658">
        <v>0.1</v>
      </c>
      <c r="G1099" s="658">
        <v>0</v>
      </c>
      <c r="H1099" s="656"/>
    </row>
    <row r="1100" spans="1:8" ht="18.75" customHeight="1">
      <c r="A1100" s="656"/>
      <c r="B1100" s="659" t="s">
        <v>459</v>
      </c>
      <c r="C1100" s="659" t="s">
        <v>5926</v>
      </c>
      <c r="D1100" s="659" t="s">
        <v>6077</v>
      </c>
      <c r="E1100" s="659" t="s">
        <v>6078</v>
      </c>
      <c r="F1100" s="660">
        <v>0.1</v>
      </c>
      <c r="G1100" s="660">
        <v>0</v>
      </c>
      <c r="H1100" s="656"/>
    </row>
    <row r="1101" spans="1:8" ht="18.75" customHeight="1">
      <c r="A1101" s="656"/>
      <c r="B1101" s="657" t="s">
        <v>459</v>
      </c>
      <c r="C1101" s="657" t="s">
        <v>5926</v>
      </c>
      <c r="D1101" s="657" t="s">
        <v>6079</v>
      </c>
      <c r="E1101" s="657" t="s">
        <v>6080</v>
      </c>
      <c r="F1101" s="658">
        <v>0.1</v>
      </c>
      <c r="G1101" s="658">
        <v>0</v>
      </c>
      <c r="H1101" s="656"/>
    </row>
    <row r="1102" spans="1:8" ht="18.75" customHeight="1">
      <c r="A1102" s="656"/>
      <c r="B1102" s="659" t="s">
        <v>459</v>
      </c>
      <c r="C1102" s="659" t="s">
        <v>5926</v>
      </c>
      <c r="D1102" s="659" t="s">
        <v>6081</v>
      </c>
      <c r="E1102" s="659" t="s">
        <v>6082</v>
      </c>
      <c r="F1102" s="660">
        <v>0.1</v>
      </c>
      <c r="G1102" s="660">
        <v>0</v>
      </c>
      <c r="H1102" s="656"/>
    </row>
    <row r="1103" spans="1:8" ht="18.75" customHeight="1">
      <c r="A1103" s="656"/>
      <c r="B1103" s="657" t="s">
        <v>459</v>
      </c>
      <c r="C1103" s="657" t="s">
        <v>5926</v>
      </c>
      <c r="D1103" s="657" t="s">
        <v>6083</v>
      </c>
      <c r="E1103" s="657" t="s">
        <v>6084</v>
      </c>
      <c r="F1103" s="658">
        <v>0.1</v>
      </c>
      <c r="G1103" s="658">
        <v>0</v>
      </c>
      <c r="H1103" s="656"/>
    </row>
    <row r="1104" spans="1:8" ht="18.75" customHeight="1">
      <c r="A1104" s="656"/>
      <c r="B1104" s="659" t="s">
        <v>459</v>
      </c>
      <c r="C1104" s="659" t="s">
        <v>5926</v>
      </c>
      <c r="D1104" s="659" t="s">
        <v>6085</v>
      </c>
      <c r="E1104" s="659" t="s">
        <v>6086</v>
      </c>
      <c r="F1104" s="660">
        <v>0.1</v>
      </c>
      <c r="G1104" s="660">
        <v>0</v>
      </c>
      <c r="H1104" s="656"/>
    </row>
    <row r="1105" spans="1:8" ht="18.75" customHeight="1">
      <c r="A1105" s="656"/>
      <c r="B1105" s="657" t="s">
        <v>459</v>
      </c>
      <c r="C1105" s="657" t="s">
        <v>5926</v>
      </c>
      <c r="D1105" s="657" t="s">
        <v>6087</v>
      </c>
      <c r="E1105" s="657" t="s">
        <v>6088</v>
      </c>
      <c r="F1105" s="658">
        <v>0.1</v>
      </c>
      <c r="G1105" s="658">
        <v>0</v>
      </c>
      <c r="H1105" s="656"/>
    </row>
    <row r="1106" spans="1:8" ht="18.75" customHeight="1">
      <c r="A1106" s="656"/>
      <c r="B1106" s="659" t="s">
        <v>459</v>
      </c>
      <c r="C1106" s="659" t="s">
        <v>5939</v>
      </c>
      <c r="D1106" s="659" t="s">
        <v>6089</v>
      </c>
      <c r="E1106" s="659" t="s">
        <v>6090</v>
      </c>
      <c r="F1106" s="660">
        <v>0.1</v>
      </c>
      <c r="G1106" s="660">
        <v>0</v>
      </c>
      <c r="H1106" s="656"/>
    </row>
    <row r="1107" spans="1:8" ht="18.75" customHeight="1">
      <c r="A1107" s="656"/>
      <c r="B1107" s="657" t="s">
        <v>459</v>
      </c>
      <c r="C1107" s="657" t="s">
        <v>5926</v>
      </c>
      <c r="D1107" s="657" t="s">
        <v>6091</v>
      </c>
      <c r="E1107" s="657" t="s">
        <v>6092</v>
      </c>
      <c r="F1107" s="658">
        <v>0.1</v>
      </c>
      <c r="G1107" s="658">
        <v>0</v>
      </c>
      <c r="H1107" s="656"/>
    </row>
    <row r="1108" spans="1:8" ht="18.75" customHeight="1">
      <c r="A1108" s="656"/>
      <c r="B1108" s="659" t="s">
        <v>459</v>
      </c>
      <c r="C1108" s="659" t="s">
        <v>5926</v>
      </c>
      <c r="D1108" s="659" t="s">
        <v>6093</v>
      </c>
      <c r="E1108" s="659" t="s">
        <v>6094</v>
      </c>
      <c r="F1108" s="660">
        <v>0.1</v>
      </c>
      <c r="G1108" s="660">
        <v>0</v>
      </c>
      <c r="H1108" s="656"/>
    </row>
    <row r="1109" spans="1:8" ht="18.75" customHeight="1">
      <c r="A1109" s="656"/>
      <c r="B1109" s="657" t="s">
        <v>459</v>
      </c>
      <c r="C1109" s="657" t="s">
        <v>5939</v>
      </c>
      <c r="D1109" s="657" t="s">
        <v>6095</v>
      </c>
      <c r="E1109" s="657" t="s">
        <v>6096</v>
      </c>
      <c r="F1109" s="658">
        <v>0.1</v>
      </c>
      <c r="G1109" s="658">
        <v>0</v>
      </c>
      <c r="H1109" s="656"/>
    </row>
    <row r="1110" spans="1:8" ht="18.75" customHeight="1">
      <c r="A1110" s="656"/>
      <c r="B1110" s="659" t="s">
        <v>459</v>
      </c>
      <c r="C1110" s="659" t="s">
        <v>5926</v>
      </c>
      <c r="D1110" s="659" t="s">
        <v>6097</v>
      </c>
      <c r="E1110" s="659" t="s">
        <v>6098</v>
      </c>
      <c r="F1110" s="660">
        <v>0.1</v>
      </c>
      <c r="G1110" s="660">
        <v>0</v>
      </c>
      <c r="H1110" s="656"/>
    </row>
    <row r="1111" spans="1:8" ht="18.75" customHeight="1">
      <c r="A1111" s="656"/>
      <c r="B1111" s="657" t="s">
        <v>459</v>
      </c>
      <c r="C1111" s="657" t="s">
        <v>5926</v>
      </c>
      <c r="D1111" s="657" t="s">
        <v>6099</v>
      </c>
      <c r="E1111" s="657" t="s">
        <v>6100</v>
      </c>
      <c r="F1111" s="658">
        <v>0.1</v>
      </c>
      <c r="G1111" s="658">
        <v>0</v>
      </c>
      <c r="H1111" s="656"/>
    </row>
    <row r="1112" spans="1:8" ht="18.75" customHeight="1">
      <c r="A1112" s="656"/>
      <c r="B1112" s="659" t="s">
        <v>459</v>
      </c>
      <c r="C1112" s="659" t="s">
        <v>5926</v>
      </c>
      <c r="D1112" s="659" t="s">
        <v>6101</v>
      </c>
      <c r="E1112" s="659" t="s">
        <v>6102</v>
      </c>
      <c r="F1112" s="660">
        <v>0.1</v>
      </c>
      <c r="G1112" s="660">
        <v>0</v>
      </c>
      <c r="H1112" s="656"/>
    </row>
    <row r="1113" spans="1:8" ht="18.75" customHeight="1">
      <c r="A1113" s="656"/>
      <c r="B1113" s="657" t="s">
        <v>459</v>
      </c>
      <c r="C1113" s="657" t="s">
        <v>6103</v>
      </c>
      <c r="D1113" s="657" t="s">
        <v>6104</v>
      </c>
      <c r="E1113" s="657" t="s">
        <v>6105</v>
      </c>
      <c r="F1113" s="658">
        <v>0.1</v>
      </c>
      <c r="G1113" s="658">
        <v>0</v>
      </c>
      <c r="H1113" s="656"/>
    </row>
    <row r="1114" spans="1:8" ht="18.75" customHeight="1">
      <c r="A1114" s="656"/>
      <c r="B1114" s="659" t="s">
        <v>459</v>
      </c>
      <c r="C1114" s="659" t="s">
        <v>6103</v>
      </c>
      <c r="D1114" s="659" t="s">
        <v>6106</v>
      </c>
      <c r="E1114" s="659" t="s">
        <v>6107</v>
      </c>
      <c r="F1114" s="660">
        <v>0.1</v>
      </c>
      <c r="G1114" s="660">
        <v>0</v>
      </c>
      <c r="H1114" s="656"/>
    </row>
    <row r="1115" spans="1:8" ht="18.75" customHeight="1">
      <c r="A1115" s="656"/>
      <c r="B1115" s="657" t="s">
        <v>459</v>
      </c>
      <c r="C1115" s="657" t="s">
        <v>6103</v>
      </c>
      <c r="D1115" s="657" t="s">
        <v>6108</v>
      </c>
      <c r="E1115" s="657" t="s">
        <v>6109</v>
      </c>
      <c r="F1115" s="658">
        <v>0.1</v>
      </c>
      <c r="G1115" s="658">
        <v>0</v>
      </c>
      <c r="H1115" s="656"/>
    </row>
    <row r="1116" spans="1:8" ht="18.75" customHeight="1">
      <c r="A1116" s="656"/>
      <c r="B1116" s="659" t="s">
        <v>459</v>
      </c>
      <c r="C1116" s="659" t="s">
        <v>6103</v>
      </c>
      <c r="D1116" s="659" t="s">
        <v>6110</v>
      </c>
      <c r="E1116" s="659" t="s">
        <v>6111</v>
      </c>
      <c r="F1116" s="660">
        <v>0.1</v>
      </c>
      <c r="G1116" s="660">
        <v>0</v>
      </c>
      <c r="H1116" s="656"/>
    </row>
    <row r="1117" spans="1:8" ht="18.75" customHeight="1">
      <c r="A1117" s="656"/>
      <c r="B1117" s="657" t="s">
        <v>459</v>
      </c>
      <c r="C1117" s="657" t="s">
        <v>6103</v>
      </c>
      <c r="D1117" s="657" t="s">
        <v>6112</v>
      </c>
      <c r="E1117" s="657" t="s">
        <v>6113</v>
      </c>
      <c r="F1117" s="658">
        <v>0.1</v>
      </c>
      <c r="G1117" s="658">
        <v>0</v>
      </c>
      <c r="H1117" s="656"/>
    </row>
    <row r="1118" spans="1:8" ht="18.75" customHeight="1">
      <c r="A1118" s="656"/>
      <c r="B1118" s="659" t="s">
        <v>459</v>
      </c>
      <c r="C1118" s="659" t="s">
        <v>6103</v>
      </c>
      <c r="D1118" s="659" t="s">
        <v>6114</v>
      </c>
      <c r="E1118" s="659" t="s">
        <v>6115</v>
      </c>
      <c r="F1118" s="660">
        <v>0.1</v>
      </c>
      <c r="G1118" s="660">
        <v>0</v>
      </c>
      <c r="H1118" s="656"/>
    </row>
    <row r="1119" spans="1:8" ht="18.75" customHeight="1">
      <c r="A1119" s="656"/>
      <c r="B1119" s="657" t="s">
        <v>459</v>
      </c>
      <c r="C1119" s="657" t="s">
        <v>6103</v>
      </c>
      <c r="D1119" s="657" t="s">
        <v>6116</v>
      </c>
      <c r="E1119" s="657" t="s">
        <v>6117</v>
      </c>
      <c r="F1119" s="658">
        <v>0.1</v>
      </c>
      <c r="G1119" s="658">
        <v>0</v>
      </c>
      <c r="H1119" s="656"/>
    </row>
    <row r="1120" spans="1:8" ht="18.75" customHeight="1">
      <c r="A1120" s="656"/>
      <c r="B1120" s="659" t="s">
        <v>459</v>
      </c>
      <c r="C1120" s="659" t="s">
        <v>6103</v>
      </c>
      <c r="D1120" s="659" t="s">
        <v>6118</v>
      </c>
      <c r="E1120" s="659" t="s">
        <v>6119</v>
      </c>
      <c r="F1120" s="660">
        <v>0.1</v>
      </c>
      <c r="G1120" s="660">
        <v>0</v>
      </c>
      <c r="H1120" s="656"/>
    </row>
    <row r="1121" spans="1:8" ht="18.75" customHeight="1">
      <c r="A1121" s="656"/>
      <c r="B1121" s="657" t="s">
        <v>459</v>
      </c>
      <c r="C1121" s="657" t="s">
        <v>6103</v>
      </c>
      <c r="D1121" s="657" t="s">
        <v>6120</v>
      </c>
      <c r="E1121" s="657" t="s">
        <v>6121</v>
      </c>
      <c r="F1121" s="658">
        <v>0.1</v>
      </c>
      <c r="G1121" s="658">
        <v>0</v>
      </c>
      <c r="H1121" s="656"/>
    </row>
    <row r="1122" spans="1:8" ht="18.75" customHeight="1">
      <c r="A1122" s="656"/>
      <c r="B1122" s="659" t="s">
        <v>459</v>
      </c>
      <c r="C1122" s="659" t="s">
        <v>6103</v>
      </c>
      <c r="D1122" s="659" t="s">
        <v>6122</v>
      </c>
      <c r="E1122" s="659" t="s">
        <v>6123</v>
      </c>
      <c r="F1122" s="660">
        <v>0.1</v>
      </c>
      <c r="G1122" s="660">
        <v>0</v>
      </c>
      <c r="H1122" s="656"/>
    </row>
    <row r="1123" spans="1:8" ht="18.75" customHeight="1">
      <c r="A1123" s="656"/>
      <c r="B1123" s="657" t="s">
        <v>459</v>
      </c>
      <c r="C1123" s="657" t="s">
        <v>6103</v>
      </c>
      <c r="D1123" s="657" t="s">
        <v>6124</v>
      </c>
      <c r="E1123" s="657" t="s">
        <v>6125</v>
      </c>
      <c r="F1123" s="658">
        <v>0.1</v>
      </c>
      <c r="G1123" s="658">
        <v>0</v>
      </c>
      <c r="H1123" s="656"/>
    </row>
    <row r="1124" spans="1:8" ht="18.75" customHeight="1">
      <c r="A1124" s="656"/>
      <c r="B1124" s="659" t="s">
        <v>459</v>
      </c>
      <c r="C1124" s="659" t="s">
        <v>6103</v>
      </c>
      <c r="D1124" s="659" t="s">
        <v>6126</v>
      </c>
      <c r="E1124" s="659" t="s">
        <v>6127</v>
      </c>
      <c r="F1124" s="660">
        <v>0.1</v>
      </c>
      <c r="G1124" s="660">
        <v>0</v>
      </c>
      <c r="H1124" s="656"/>
    </row>
    <row r="1125" spans="1:8" ht="18.75" customHeight="1">
      <c r="A1125" s="656"/>
      <c r="B1125" s="657" t="s">
        <v>459</v>
      </c>
      <c r="C1125" s="657" t="s">
        <v>6103</v>
      </c>
      <c r="D1125" s="657" t="s">
        <v>6128</v>
      </c>
      <c r="E1125" s="657" t="s">
        <v>6129</v>
      </c>
      <c r="F1125" s="658">
        <v>0.1</v>
      </c>
      <c r="G1125" s="658">
        <v>0</v>
      </c>
      <c r="H1125" s="656"/>
    </row>
    <row r="1126" spans="1:8" ht="18.75" customHeight="1">
      <c r="A1126" s="656"/>
      <c r="B1126" s="659" t="s">
        <v>459</v>
      </c>
      <c r="C1126" s="659" t="s">
        <v>6130</v>
      </c>
      <c r="D1126" s="659" t="s">
        <v>6131</v>
      </c>
      <c r="E1126" s="659" t="s">
        <v>6132</v>
      </c>
      <c r="F1126" s="660">
        <v>0.1</v>
      </c>
      <c r="G1126" s="660">
        <v>0</v>
      </c>
      <c r="H1126" s="656"/>
    </row>
    <row r="1127" spans="1:8" ht="18.75" customHeight="1">
      <c r="A1127" s="656"/>
      <c r="B1127" s="657" t="s">
        <v>459</v>
      </c>
      <c r="C1127" s="657" t="s">
        <v>6103</v>
      </c>
      <c r="D1127" s="657" t="s">
        <v>6133</v>
      </c>
      <c r="E1127" s="657" t="s">
        <v>6134</v>
      </c>
      <c r="F1127" s="658">
        <v>0.1</v>
      </c>
      <c r="G1127" s="658">
        <v>0</v>
      </c>
      <c r="H1127" s="656"/>
    </row>
    <row r="1128" spans="1:8" ht="18.75" customHeight="1">
      <c r="A1128" s="656"/>
      <c r="B1128" s="659" t="s">
        <v>459</v>
      </c>
      <c r="C1128" s="659" t="s">
        <v>6135</v>
      </c>
      <c r="D1128" s="659" t="s">
        <v>6136</v>
      </c>
      <c r="E1128" s="659" t="s">
        <v>6137</v>
      </c>
      <c r="F1128" s="660">
        <v>0.1</v>
      </c>
      <c r="G1128" s="660">
        <v>0</v>
      </c>
      <c r="H1128" s="656"/>
    </row>
    <row r="1129" spans="1:8" ht="18.75" customHeight="1">
      <c r="A1129" s="656"/>
      <c r="B1129" s="657" t="s">
        <v>459</v>
      </c>
      <c r="C1129" s="657" t="s">
        <v>6103</v>
      </c>
      <c r="D1129" s="657" t="s">
        <v>6138</v>
      </c>
      <c r="E1129" s="657" t="s">
        <v>6139</v>
      </c>
      <c r="F1129" s="658">
        <v>0.1</v>
      </c>
      <c r="G1129" s="658">
        <v>0</v>
      </c>
      <c r="H1129" s="656"/>
    </row>
    <row r="1130" spans="1:8" ht="18.75" customHeight="1">
      <c r="A1130" s="656"/>
      <c r="B1130" s="659" t="s">
        <v>459</v>
      </c>
      <c r="C1130" s="659" t="s">
        <v>6103</v>
      </c>
      <c r="D1130" s="659" t="s">
        <v>6140</v>
      </c>
      <c r="E1130" s="659" t="s">
        <v>6141</v>
      </c>
      <c r="F1130" s="660">
        <v>0.1</v>
      </c>
      <c r="G1130" s="660">
        <v>0</v>
      </c>
      <c r="H1130" s="656"/>
    </row>
    <row r="1131" spans="1:8" ht="18.75" customHeight="1">
      <c r="A1131" s="656"/>
      <c r="B1131" s="657" t="s">
        <v>459</v>
      </c>
      <c r="C1131" s="657" t="s">
        <v>6103</v>
      </c>
      <c r="D1131" s="657" t="s">
        <v>6142</v>
      </c>
      <c r="E1131" s="657" t="s">
        <v>6143</v>
      </c>
      <c r="F1131" s="658">
        <v>0.1</v>
      </c>
      <c r="G1131" s="658">
        <v>0</v>
      </c>
      <c r="H1131" s="656"/>
    </row>
    <row r="1132" spans="1:8" ht="18.75" customHeight="1">
      <c r="A1132" s="656"/>
      <c r="B1132" s="659" t="s">
        <v>459</v>
      </c>
      <c r="C1132" s="659" t="s">
        <v>6103</v>
      </c>
      <c r="D1132" s="659" t="s">
        <v>6144</v>
      </c>
      <c r="E1132" s="659" t="s">
        <v>6145</v>
      </c>
      <c r="F1132" s="660">
        <v>0.1</v>
      </c>
      <c r="G1132" s="660">
        <v>0</v>
      </c>
      <c r="H1132" s="656"/>
    </row>
    <row r="1133" spans="1:8" ht="18.75" customHeight="1">
      <c r="A1133" s="656"/>
      <c r="B1133" s="657" t="s">
        <v>459</v>
      </c>
      <c r="C1133" s="657" t="s">
        <v>6103</v>
      </c>
      <c r="D1133" s="657" t="s">
        <v>6146</v>
      </c>
      <c r="E1133" s="657" t="s">
        <v>6147</v>
      </c>
      <c r="F1133" s="658">
        <v>0.1</v>
      </c>
      <c r="G1133" s="658">
        <v>0</v>
      </c>
      <c r="H1133" s="656"/>
    </row>
    <row r="1134" spans="1:8" ht="18.75" customHeight="1">
      <c r="A1134" s="656"/>
      <c r="B1134" s="659" t="s">
        <v>459</v>
      </c>
      <c r="C1134" s="659" t="s">
        <v>6148</v>
      </c>
      <c r="D1134" s="659" t="s">
        <v>6149</v>
      </c>
      <c r="E1134" s="659" t="s">
        <v>6150</v>
      </c>
      <c r="F1134" s="660">
        <v>0.1</v>
      </c>
      <c r="G1134" s="660">
        <v>0</v>
      </c>
      <c r="H1134" s="656"/>
    </row>
    <row r="1135" spans="1:8" ht="18.75" customHeight="1">
      <c r="A1135" s="656"/>
      <c r="B1135" s="657" t="s">
        <v>459</v>
      </c>
      <c r="C1135" s="657" t="s">
        <v>6103</v>
      </c>
      <c r="D1135" s="657" t="s">
        <v>6151</v>
      </c>
      <c r="E1135" s="657" t="s">
        <v>6152</v>
      </c>
      <c r="F1135" s="658">
        <v>0.1</v>
      </c>
      <c r="G1135" s="658">
        <v>0</v>
      </c>
      <c r="H1135" s="656"/>
    </row>
    <row r="1136" spans="1:8" ht="18.75" customHeight="1">
      <c r="A1136" s="656"/>
      <c r="B1136" s="659" t="s">
        <v>459</v>
      </c>
      <c r="C1136" s="659" t="s">
        <v>6103</v>
      </c>
      <c r="D1136" s="659" t="s">
        <v>6153</v>
      </c>
      <c r="E1136" s="659" t="s">
        <v>6154</v>
      </c>
      <c r="F1136" s="660">
        <v>0.1</v>
      </c>
      <c r="G1136" s="660">
        <v>0</v>
      </c>
      <c r="H1136" s="656"/>
    </row>
    <row r="1137" spans="1:8" ht="18.75" customHeight="1">
      <c r="A1137" s="656"/>
      <c r="B1137" s="657" t="s">
        <v>459</v>
      </c>
      <c r="C1137" s="657" t="s">
        <v>6103</v>
      </c>
      <c r="D1137" s="657" t="s">
        <v>6155</v>
      </c>
      <c r="E1137" s="657" t="s">
        <v>6156</v>
      </c>
      <c r="F1137" s="658">
        <v>0.1</v>
      </c>
      <c r="G1137" s="658">
        <v>0</v>
      </c>
      <c r="H1137" s="656"/>
    </row>
    <row r="1138" spans="1:8" ht="18.75" customHeight="1">
      <c r="A1138" s="656"/>
      <c r="B1138" s="659" t="s">
        <v>459</v>
      </c>
      <c r="C1138" s="659" t="s">
        <v>6157</v>
      </c>
      <c r="D1138" s="659" t="s">
        <v>6158</v>
      </c>
      <c r="E1138" s="659" t="s">
        <v>6159</v>
      </c>
      <c r="F1138" s="660">
        <v>0.1</v>
      </c>
      <c r="G1138" s="660">
        <v>0</v>
      </c>
      <c r="H1138" s="656"/>
    </row>
    <row r="1139" spans="1:8" ht="18.75" customHeight="1">
      <c r="A1139" s="656"/>
      <c r="B1139" s="657" t="s">
        <v>459</v>
      </c>
      <c r="C1139" s="657" t="s">
        <v>6103</v>
      </c>
      <c r="D1139" s="657" t="s">
        <v>6160</v>
      </c>
      <c r="E1139" s="657" t="s">
        <v>6161</v>
      </c>
      <c r="F1139" s="658">
        <v>0.1</v>
      </c>
      <c r="G1139" s="658">
        <v>0</v>
      </c>
      <c r="H1139" s="656"/>
    </row>
    <row r="1140" spans="1:8" ht="18.75" customHeight="1">
      <c r="A1140" s="656"/>
      <c r="B1140" s="659" t="s">
        <v>459</v>
      </c>
      <c r="C1140" s="659" t="s">
        <v>6103</v>
      </c>
      <c r="D1140" s="659"/>
      <c r="E1140" s="659" t="s">
        <v>6159</v>
      </c>
      <c r="F1140" s="660">
        <v>0.1</v>
      </c>
      <c r="G1140" s="660">
        <v>0</v>
      </c>
      <c r="H1140" s="656"/>
    </row>
    <row r="1141" spans="1:8" ht="18.75" customHeight="1">
      <c r="A1141" s="656"/>
      <c r="B1141" s="657" t="s">
        <v>459</v>
      </c>
      <c r="C1141" s="657" t="s">
        <v>6103</v>
      </c>
      <c r="D1141" s="657" t="s">
        <v>6162</v>
      </c>
      <c r="E1141" s="657" t="s">
        <v>6163</v>
      </c>
      <c r="F1141" s="658">
        <v>0.1</v>
      </c>
      <c r="G1141" s="658">
        <v>0</v>
      </c>
      <c r="H1141" s="656"/>
    </row>
    <row r="1142" spans="1:8" ht="18.75" customHeight="1">
      <c r="A1142" s="656"/>
      <c r="B1142" s="659" t="s">
        <v>459</v>
      </c>
      <c r="C1142" s="659" t="s">
        <v>6103</v>
      </c>
      <c r="D1142" s="659" t="s">
        <v>6164</v>
      </c>
      <c r="E1142" s="659" t="s">
        <v>6165</v>
      </c>
      <c r="F1142" s="660">
        <v>0.1</v>
      </c>
      <c r="G1142" s="660">
        <v>0</v>
      </c>
      <c r="H1142" s="656"/>
    </row>
    <row r="1143" spans="1:8" ht="18.75" customHeight="1">
      <c r="A1143" s="656"/>
      <c r="B1143" s="657" t="s">
        <v>459</v>
      </c>
      <c r="C1143" s="657" t="s">
        <v>6135</v>
      </c>
      <c r="D1143" s="657" t="s">
        <v>6166</v>
      </c>
      <c r="E1143" s="657" t="s">
        <v>6167</v>
      </c>
      <c r="F1143" s="658">
        <v>0.1</v>
      </c>
      <c r="G1143" s="658">
        <v>0</v>
      </c>
      <c r="H1143" s="656"/>
    </row>
    <row r="1144" spans="1:8" ht="18.75" customHeight="1">
      <c r="A1144" s="656"/>
      <c r="B1144" s="659" t="s">
        <v>459</v>
      </c>
      <c r="C1144" s="659" t="s">
        <v>6135</v>
      </c>
      <c r="D1144" s="659" t="s">
        <v>6168</v>
      </c>
      <c r="E1144" s="659" t="s">
        <v>6169</v>
      </c>
      <c r="F1144" s="660">
        <v>0.1</v>
      </c>
      <c r="G1144" s="660">
        <v>0</v>
      </c>
      <c r="H1144" s="656"/>
    </row>
    <row r="1145" spans="1:8" ht="18.75" customHeight="1">
      <c r="A1145" s="656"/>
      <c r="B1145" s="657" t="s">
        <v>459</v>
      </c>
      <c r="C1145" s="657" t="s">
        <v>6103</v>
      </c>
      <c r="D1145" s="657" t="s">
        <v>6170</v>
      </c>
      <c r="E1145" s="657" t="s">
        <v>6171</v>
      </c>
      <c r="F1145" s="658">
        <v>0.1</v>
      </c>
      <c r="G1145" s="658">
        <v>0</v>
      </c>
      <c r="H1145" s="656"/>
    </row>
    <row r="1146" spans="1:8" ht="18.75" customHeight="1">
      <c r="A1146" s="656"/>
      <c r="B1146" s="659" t="s">
        <v>459</v>
      </c>
      <c r="C1146" s="659" t="s">
        <v>6103</v>
      </c>
      <c r="D1146" s="659" t="s">
        <v>6172</v>
      </c>
      <c r="E1146" s="659" t="s">
        <v>6173</v>
      </c>
      <c r="F1146" s="660">
        <v>0.1</v>
      </c>
      <c r="G1146" s="660">
        <v>0</v>
      </c>
      <c r="H1146" s="656"/>
    </row>
    <row r="1147" spans="1:8" ht="18.75" customHeight="1">
      <c r="A1147" s="656"/>
      <c r="B1147" s="657" t="s">
        <v>459</v>
      </c>
      <c r="C1147" s="657" t="s">
        <v>6130</v>
      </c>
      <c r="D1147" s="657" t="s">
        <v>6174</v>
      </c>
      <c r="E1147" s="657" t="s">
        <v>6175</v>
      </c>
      <c r="F1147" s="658">
        <v>0.1</v>
      </c>
      <c r="G1147" s="658">
        <v>0</v>
      </c>
      <c r="H1147" s="656"/>
    </row>
    <row r="1148" spans="1:8" ht="18.75" customHeight="1">
      <c r="A1148" s="656"/>
      <c r="B1148" s="659" t="s">
        <v>459</v>
      </c>
      <c r="C1148" s="659" t="s">
        <v>6135</v>
      </c>
      <c r="D1148" s="659" t="s">
        <v>6176</v>
      </c>
      <c r="E1148" s="659" t="s">
        <v>6177</v>
      </c>
      <c r="F1148" s="660">
        <v>0.1</v>
      </c>
      <c r="G1148" s="660">
        <v>0</v>
      </c>
      <c r="H1148" s="656"/>
    </row>
    <row r="1149" spans="1:8" ht="18.75" customHeight="1">
      <c r="A1149" s="656"/>
      <c r="B1149" s="657" t="s">
        <v>459</v>
      </c>
      <c r="C1149" s="657" t="s">
        <v>6103</v>
      </c>
      <c r="D1149" s="657" t="s">
        <v>6178</v>
      </c>
      <c r="E1149" s="657" t="s">
        <v>6179</v>
      </c>
      <c r="F1149" s="658">
        <v>0.1</v>
      </c>
      <c r="G1149" s="658">
        <v>0</v>
      </c>
      <c r="H1149" s="656"/>
    </row>
    <row r="1150" spans="1:8" ht="18.75" customHeight="1">
      <c r="A1150" s="656"/>
      <c r="B1150" s="659" t="s">
        <v>459</v>
      </c>
      <c r="C1150" s="659" t="s">
        <v>6103</v>
      </c>
      <c r="D1150" s="659" t="s">
        <v>6180</v>
      </c>
      <c r="E1150" s="659" t="s">
        <v>6181</v>
      </c>
      <c r="F1150" s="660">
        <v>0.1</v>
      </c>
      <c r="G1150" s="660">
        <v>0</v>
      </c>
      <c r="H1150" s="656"/>
    </row>
    <row r="1151" spans="1:8" ht="18.75" customHeight="1">
      <c r="A1151" s="656"/>
      <c r="B1151" s="657" t="s">
        <v>459</v>
      </c>
      <c r="C1151" s="657" t="s">
        <v>6103</v>
      </c>
      <c r="D1151" s="657" t="s">
        <v>6182</v>
      </c>
      <c r="E1151" s="657" t="s">
        <v>6183</v>
      </c>
      <c r="F1151" s="658">
        <v>0.1</v>
      </c>
      <c r="G1151" s="658">
        <v>0</v>
      </c>
      <c r="H1151" s="656"/>
    </row>
    <row r="1152" spans="1:8" ht="18.75" customHeight="1">
      <c r="A1152" s="656"/>
      <c r="B1152" s="659" t="s">
        <v>459</v>
      </c>
      <c r="C1152" s="659" t="s">
        <v>6103</v>
      </c>
      <c r="D1152" s="659" t="s">
        <v>6184</v>
      </c>
      <c r="E1152" s="659" t="s">
        <v>6185</v>
      </c>
      <c r="F1152" s="660">
        <v>0.1</v>
      </c>
      <c r="G1152" s="660">
        <v>0</v>
      </c>
      <c r="H1152" s="656"/>
    </row>
    <row r="1153" spans="1:8" ht="18.75" customHeight="1">
      <c r="A1153" s="656"/>
      <c r="B1153" s="657" t="s">
        <v>459</v>
      </c>
      <c r="C1153" s="657" t="s">
        <v>6148</v>
      </c>
      <c r="D1153" s="657" t="s">
        <v>6186</v>
      </c>
      <c r="E1153" s="657" t="s">
        <v>6187</v>
      </c>
      <c r="F1153" s="658">
        <v>0.1</v>
      </c>
      <c r="G1153" s="658">
        <v>0</v>
      </c>
      <c r="H1153" s="656"/>
    </row>
    <row r="1154" spans="1:8" ht="18.75" customHeight="1">
      <c r="A1154" s="656"/>
      <c r="B1154" s="659" t="s">
        <v>459</v>
      </c>
      <c r="C1154" s="659" t="s">
        <v>6103</v>
      </c>
      <c r="D1154" s="659" t="s">
        <v>6188</v>
      </c>
      <c r="E1154" s="659" t="s">
        <v>6189</v>
      </c>
      <c r="F1154" s="660">
        <v>0.1</v>
      </c>
      <c r="G1154" s="660">
        <v>0</v>
      </c>
      <c r="H1154" s="656"/>
    </row>
    <row r="1155" spans="1:8" ht="18.75" customHeight="1">
      <c r="A1155" s="656"/>
      <c r="B1155" s="657" t="s">
        <v>459</v>
      </c>
      <c r="C1155" s="657" t="s">
        <v>6103</v>
      </c>
      <c r="D1155" s="657" t="s">
        <v>6190</v>
      </c>
      <c r="E1155" s="657" t="s">
        <v>6191</v>
      </c>
      <c r="F1155" s="658">
        <v>0.1</v>
      </c>
      <c r="G1155" s="658">
        <v>0</v>
      </c>
      <c r="H1155" s="656"/>
    </row>
    <row r="1156" spans="1:8" ht="18.75" customHeight="1">
      <c r="A1156" s="656"/>
      <c r="B1156" s="659" t="s">
        <v>459</v>
      </c>
      <c r="C1156" s="659" t="s">
        <v>6103</v>
      </c>
      <c r="D1156" s="659" t="s">
        <v>6192</v>
      </c>
      <c r="E1156" s="659" t="s">
        <v>6193</v>
      </c>
      <c r="F1156" s="660">
        <v>0.1</v>
      </c>
      <c r="G1156" s="660">
        <v>0</v>
      </c>
      <c r="H1156" s="656"/>
    </row>
    <row r="1157" spans="1:8" ht="18.75" customHeight="1">
      <c r="A1157" s="656"/>
      <c r="B1157" s="657" t="s">
        <v>459</v>
      </c>
      <c r="C1157" s="657" t="s">
        <v>6148</v>
      </c>
      <c r="D1157" s="657" t="s">
        <v>6194</v>
      </c>
      <c r="E1157" s="657" t="s">
        <v>6195</v>
      </c>
      <c r="F1157" s="658">
        <v>0.1</v>
      </c>
      <c r="G1157" s="658">
        <v>0</v>
      </c>
      <c r="H1157" s="656"/>
    </row>
    <row r="1158" spans="1:8" ht="18.75" customHeight="1">
      <c r="A1158" s="656"/>
      <c r="B1158" s="659" t="s">
        <v>459</v>
      </c>
      <c r="C1158" s="659" t="s">
        <v>6103</v>
      </c>
      <c r="D1158" s="659" t="s">
        <v>6196</v>
      </c>
      <c r="E1158" s="659" t="s">
        <v>6197</v>
      </c>
      <c r="F1158" s="660">
        <v>0.1</v>
      </c>
      <c r="G1158" s="660">
        <v>0</v>
      </c>
      <c r="H1158" s="656"/>
    </row>
    <row r="1159" spans="1:8" ht="18.75" customHeight="1">
      <c r="A1159" s="656"/>
      <c r="B1159" s="657" t="s">
        <v>459</v>
      </c>
      <c r="C1159" s="657" t="s">
        <v>6103</v>
      </c>
      <c r="D1159" s="657" t="s">
        <v>6198</v>
      </c>
      <c r="E1159" s="657" t="s">
        <v>6199</v>
      </c>
      <c r="F1159" s="658">
        <v>0.1</v>
      </c>
      <c r="G1159" s="658">
        <v>0</v>
      </c>
      <c r="H1159" s="656"/>
    </row>
    <row r="1160" spans="1:8" ht="18.75" customHeight="1">
      <c r="A1160" s="656"/>
      <c r="B1160" s="659" t="s">
        <v>459</v>
      </c>
      <c r="C1160" s="659" t="s">
        <v>6103</v>
      </c>
      <c r="D1160" s="659" t="s">
        <v>6200</v>
      </c>
      <c r="E1160" s="659" t="s">
        <v>6201</v>
      </c>
      <c r="F1160" s="660">
        <v>0.1</v>
      </c>
      <c r="G1160" s="660">
        <v>0</v>
      </c>
      <c r="H1160" s="656"/>
    </row>
    <row r="1161" spans="1:8" ht="18.75" customHeight="1">
      <c r="A1161" s="656"/>
      <c r="B1161" s="657" t="s">
        <v>459</v>
      </c>
      <c r="C1161" s="657" t="s">
        <v>6103</v>
      </c>
      <c r="D1161" s="657" t="s">
        <v>6202</v>
      </c>
      <c r="E1161" s="657" t="s">
        <v>6203</v>
      </c>
      <c r="F1161" s="658">
        <v>0.1</v>
      </c>
      <c r="G1161" s="658">
        <v>0</v>
      </c>
      <c r="H1161" s="656"/>
    </row>
    <row r="1162" spans="1:8" ht="18.75" customHeight="1">
      <c r="A1162" s="656"/>
      <c r="B1162" s="659" t="s">
        <v>459</v>
      </c>
      <c r="C1162" s="659" t="s">
        <v>6103</v>
      </c>
      <c r="D1162" s="659" t="s">
        <v>6204</v>
      </c>
      <c r="E1162" s="659" t="s">
        <v>6205</v>
      </c>
      <c r="F1162" s="660">
        <v>0.1</v>
      </c>
      <c r="G1162" s="660">
        <v>0</v>
      </c>
      <c r="H1162" s="656"/>
    </row>
    <row r="1163" spans="1:8" ht="18.75" customHeight="1">
      <c r="A1163" s="656"/>
      <c r="B1163" s="657" t="s">
        <v>459</v>
      </c>
      <c r="C1163" s="657" t="s">
        <v>6103</v>
      </c>
      <c r="D1163" s="657" t="s">
        <v>6206</v>
      </c>
      <c r="E1163" s="657" t="s">
        <v>6207</v>
      </c>
      <c r="F1163" s="658">
        <v>0.1</v>
      </c>
      <c r="G1163" s="658">
        <v>0</v>
      </c>
      <c r="H1163" s="656"/>
    </row>
    <row r="1164" spans="1:8" ht="18.75" customHeight="1">
      <c r="A1164" s="656"/>
      <c r="B1164" s="659" t="s">
        <v>459</v>
      </c>
      <c r="C1164" s="659" t="s">
        <v>6103</v>
      </c>
      <c r="D1164" s="659" t="s">
        <v>6208</v>
      </c>
      <c r="E1164" s="659" t="s">
        <v>6209</v>
      </c>
      <c r="F1164" s="660">
        <v>0.1</v>
      </c>
      <c r="G1164" s="660">
        <v>0</v>
      </c>
      <c r="H1164" s="656"/>
    </row>
    <row r="1165" spans="1:8" ht="18.75" customHeight="1">
      <c r="A1165" s="656"/>
      <c r="B1165" s="657" t="s">
        <v>459</v>
      </c>
      <c r="C1165" s="657" t="s">
        <v>6103</v>
      </c>
      <c r="D1165" s="657" t="s">
        <v>6210</v>
      </c>
      <c r="E1165" s="657" t="s">
        <v>6211</v>
      </c>
      <c r="F1165" s="658">
        <v>0.1</v>
      </c>
      <c r="G1165" s="658">
        <v>0</v>
      </c>
      <c r="H1165" s="656"/>
    </row>
    <row r="1166" spans="1:8" ht="18.75" customHeight="1">
      <c r="A1166" s="656"/>
      <c r="B1166" s="659" t="s">
        <v>459</v>
      </c>
      <c r="C1166" s="659" t="s">
        <v>6135</v>
      </c>
      <c r="D1166" s="659" t="s">
        <v>6212</v>
      </c>
      <c r="E1166" s="659" t="s">
        <v>6213</v>
      </c>
      <c r="F1166" s="660">
        <v>0.1</v>
      </c>
      <c r="G1166" s="660">
        <v>0</v>
      </c>
      <c r="H1166" s="656"/>
    </row>
    <row r="1167" spans="1:8" ht="18.75" customHeight="1">
      <c r="A1167" s="656"/>
      <c r="B1167" s="657" t="s">
        <v>459</v>
      </c>
      <c r="C1167" s="657" t="s">
        <v>6135</v>
      </c>
      <c r="D1167" s="657" t="s">
        <v>6214</v>
      </c>
      <c r="E1167" s="657" t="s">
        <v>6215</v>
      </c>
      <c r="F1167" s="658">
        <v>0.1</v>
      </c>
      <c r="G1167" s="658">
        <v>0</v>
      </c>
      <c r="H1167" s="656"/>
    </row>
    <row r="1168" spans="1:8" ht="18.75" customHeight="1">
      <c r="A1168" s="656"/>
      <c r="B1168" s="659" t="s">
        <v>459</v>
      </c>
      <c r="C1168" s="659" t="s">
        <v>6103</v>
      </c>
      <c r="D1168" s="659" t="s">
        <v>6216</v>
      </c>
      <c r="E1168" s="659" t="s">
        <v>6217</v>
      </c>
      <c r="F1168" s="660">
        <v>0.1</v>
      </c>
      <c r="G1168" s="660">
        <v>0</v>
      </c>
      <c r="H1168" s="656"/>
    </row>
    <row r="1169" spans="1:8" ht="18.75" customHeight="1">
      <c r="A1169" s="656"/>
      <c r="B1169" s="657" t="s">
        <v>459</v>
      </c>
      <c r="C1169" s="657" t="s">
        <v>6103</v>
      </c>
      <c r="D1169" s="657" t="s">
        <v>6218</v>
      </c>
      <c r="E1169" s="657" t="s">
        <v>6219</v>
      </c>
      <c r="F1169" s="658">
        <v>0.1</v>
      </c>
      <c r="G1169" s="658">
        <v>0</v>
      </c>
      <c r="H1169" s="656"/>
    </row>
    <row r="1170" spans="1:8" ht="18.75" customHeight="1">
      <c r="A1170" s="656"/>
      <c r="B1170" s="659" t="s">
        <v>459</v>
      </c>
      <c r="C1170" s="659" t="s">
        <v>6103</v>
      </c>
      <c r="D1170" s="659" t="s">
        <v>6220</v>
      </c>
      <c r="E1170" s="659" t="s">
        <v>6221</v>
      </c>
      <c r="F1170" s="660">
        <v>0.1</v>
      </c>
      <c r="G1170" s="660">
        <v>0</v>
      </c>
      <c r="H1170" s="656"/>
    </row>
    <row r="1171" spans="1:8" ht="18.75" customHeight="1">
      <c r="A1171" s="656"/>
      <c r="B1171" s="657" t="s">
        <v>459</v>
      </c>
      <c r="C1171" s="657" t="s">
        <v>6103</v>
      </c>
      <c r="D1171" s="657" t="s">
        <v>6222</v>
      </c>
      <c r="E1171" s="657" t="s">
        <v>6223</v>
      </c>
      <c r="F1171" s="658">
        <v>0.1</v>
      </c>
      <c r="G1171" s="658">
        <v>0</v>
      </c>
      <c r="H1171" s="656"/>
    </row>
    <row r="1172" spans="1:8" ht="18.75" customHeight="1">
      <c r="A1172" s="656"/>
      <c r="B1172" s="659" t="s">
        <v>459</v>
      </c>
      <c r="C1172" s="659" t="s">
        <v>6103</v>
      </c>
      <c r="D1172" s="659" t="s">
        <v>6224</v>
      </c>
      <c r="E1172" s="659" t="s">
        <v>6225</v>
      </c>
      <c r="F1172" s="660">
        <v>0.1</v>
      </c>
      <c r="G1172" s="660">
        <v>0</v>
      </c>
      <c r="H1172" s="656"/>
    </row>
    <row r="1173" spans="1:8" ht="18.75" customHeight="1">
      <c r="A1173" s="656"/>
      <c r="B1173" s="657" t="s">
        <v>459</v>
      </c>
      <c r="C1173" s="657" t="s">
        <v>6103</v>
      </c>
      <c r="D1173" s="657" t="s">
        <v>6226</v>
      </c>
      <c r="E1173" s="657" t="s">
        <v>6227</v>
      </c>
      <c r="F1173" s="658">
        <v>0.1</v>
      </c>
      <c r="G1173" s="658">
        <v>0</v>
      </c>
      <c r="H1173" s="656"/>
    </row>
    <row r="1174" spans="1:8" ht="18.75" customHeight="1">
      <c r="A1174" s="656"/>
      <c r="B1174" s="659" t="s">
        <v>459</v>
      </c>
      <c r="C1174" s="659" t="s">
        <v>6103</v>
      </c>
      <c r="D1174" s="659" t="s">
        <v>6228</v>
      </c>
      <c r="E1174" s="659" t="s">
        <v>6229</v>
      </c>
      <c r="F1174" s="660">
        <v>0.1</v>
      </c>
      <c r="G1174" s="660">
        <v>0</v>
      </c>
      <c r="H1174" s="656"/>
    </row>
    <row r="1175" spans="1:8" ht="18.75" customHeight="1">
      <c r="A1175" s="656"/>
      <c r="B1175" s="657" t="s">
        <v>459</v>
      </c>
      <c r="C1175" s="657" t="s">
        <v>6103</v>
      </c>
      <c r="D1175" s="657" t="s">
        <v>6230</v>
      </c>
      <c r="E1175" s="657" t="s">
        <v>6231</v>
      </c>
      <c r="F1175" s="658">
        <v>0.1</v>
      </c>
      <c r="G1175" s="658">
        <v>0</v>
      </c>
      <c r="H1175" s="656"/>
    </row>
    <row r="1176" spans="1:8" ht="18.75" customHeight="1">
      <c r="A1176" s="656"/>
      <c r="B1176" s="659" t="s">
        <v>459</v>
      </c>
      <c r="C1176" s="659" t="s">
        <v>6157</v>
      </c>
      <c r="D1176" s="659" t="s">
        <v>6232</v>
      </c>
      <c r="E1176" s="659" t="s">
        <v>6233</v>
      </c>
      <c r="F1176" s="660">
        <v>0.1</v>
      </c>
      <c r="G1176" s="660">
        <v>0</v>
      </c>
      <c r="H1176" s="656"/>
    </row>
    <row r="1177" spans="1:8" ht="18.75" customHeight="1">
      <c r="A1177" s="656"/>
      <c r="B1177" s="657" t="s">
        <v>459</v>
      </c>
      <c r="C1177" s="657" t="s">
        <v>6103</v>
      </c>
      <c r="D1177" s="657" t="s">
        <v>6234</v>
      </c>
      <c r="E1177" s="657" t="s">
        <v>6235</v>
      </c>
      <c r="F1177" s="658">
        <v>0.1</v>
      </c>
      <c r="G1177" s="658">
        <v>0</v>
      </c>
      <c r="H1177" s="656"/>
    </row>
    <row r="1178" spans="1:8" ht="18.75" customHeight="1">
      <c r="A1178" s="656"/>
      <c r="B1178" s="659" t="s">
        <v>459</v>
      </c>
      <c r="C1178" s="659" t="s">
        <v>6103</v>
      </c>
      <c r="D1178" s="659" t="s">
        <v>6236</v>
      </c>
      <c r="E1178" s="659" t="s">
        <v>6237</v>
      </c>
      <c r="F1178" s="660">
        <v>0.1</v>
      </c>
      <c r="G1178" s="660">
        <v>0</v>
      </c>
      <c r="H1178" s="656"/>
    </row>
    <row r="1179" spans="1:8" ht="18.75" customHeight="1">
      <c r="A1179" s="656"/>
      <c r="B1179" s="657" t="s">
        <v>459</v>
      </c>
      <c r="C1179" s="657" t="s">
        <v>6148</v>
      </c>
      <c r="D1179" s="657" t="s">
        <v>6238</v>
      </c>
      <c r="E1179" s="657" t="s">
        <v>6239</v>
      </c>
      <c r="F1179" s="658">
        <v>0.1</v>
      </c>
      <c r="G1179" s="658">
        <v>0</v>
      </c>
      <c r="H1179" s="656"/>
    </row>
    <row r="1180" spans="1:8" ht="18.75" customHeight="1">
      <c r="A1180" s="656"/>
      <c r="B1180" s="659" t="s">
        <v>459</v>
      </c>
      <c r="C1180" s="659" t="s">
        <v>6103</v>
      </c>
      <c r="D1180" s="659" t="s">
        <v>6240</v>
      </c>
      <c r="E1180" s="659" t="s">
        <v>6241</v>
      </c>
      <c r="F1180" s="660">
        <v>0.1</v>
      </c>
      <c r="G1180" s="660">
        <v>0</v>
      </c>
      <c r="H1180" s="656"/>
    </row>
    <row r="1181" spans="1:8" ht="18.75" customHeight="1">
      <c r="A1181" s="656"/>
      <c r="B1181" s="657" t="s">
        <v>459</v>
      </c>
      <c r="C1181" s="657" t="s">
        <v>6103</v>
      </c>
      <c r="D1181" s="657" t="s">
        <v>6242</v>
      </c>
      <c r="E1181" s="657" t="s">
        <v>6243</v>
      </c>
      <c r="F1181" s="658">
        <v>0.1</v>
      </c>
      <c r="G1181" s="658">
        <v>0</v>
      </c>
      <c r="H1181" s="656"/>
    </row>
    <row r="1182" spans="1:8" ht="18.75" customHeight="1">
      <c r="A1182" s="656"/>
      <c r="B1182" s="659" t="s">
        <v>459</v>
      </c>
      <c r="C1182" s="659" t="s">
        <v>6103</v>
      </c>
      <c r="D1182" s="659" t="s">
        <v>6244</v>
      </c>
      <c r="E1182" s="659" t="s">
        <v>6245</v>
      </c>
      <c r="F1182" s="660">
        <v>0.1</v>
      </c>
      <c r="G1182" s="660">
        <v>0</v>
      </c>
      <c r="H1182" s="656"/>
    </row>
    <row r="1183" spans="1:8" ht="18.75" customHeight="1">
      <c r="A1183" s="656"/>
      <c r="B1183" s="657" t="s">
        <v>459</v>
      </c>
      <c r="C1183" s="657" t="s">
        <v>6103</v>
      </c>
      <c r="D1183" s="657" t="s">
        <v>6246</v>
      </c>
      <c r="E1183" s="657" t="s">
        <v>6247</v>
      </c>
      <c r="F1183" s="658">
        <v>0.1</v>
      </c>
      <c r="G1183" s="658">
        <v>0</v>
      </c>
      <c r="H1183" s="656"/>
    </row>
    <row r="1184" spans="1:8" ht="18.75" customHeight="1">
      <c r="A1184" s="656"/>
      <c r="B1184" s="659" t="s">
        <v>459</v>
      </c>
      <c r="C1184" s="659" t="s">
        <v>6103</v>
      </c>
      <c r="D1184" s="659" t="s">
        <v>6248</v>
      </c>
      <c r="E1184" s="659" t="s">
        <v>6249</v>
      </c>
      <c r="F1184" s="660">
        <v>0.1</v>
      </c>
      <c r="G1184" s="660">
        <v>0</v>
      </c>
      <c r="H1184" s="656"/>
    </row>
    <row r="1185" spans="1:8" ht="18.75" customHeight="1">
      <c r="A1185" s="656"/>
      <c r="B1185" s="657" t="s">
        <v>459</v>
      </c>
      <c r="C1185" s="657" t="s">
        <v>6103</v>
      </c>
      <c r="D1185" s="657" t="s">
        <v>6250</v>
      </c>
      <c r="E1185" s="657" t="s">
        <v>6251</v>
      </c>
      <c r="F1185" s="658">
        <v>0.1</v>
      </c>
      <c r="G1185" s="658">
        <v>0</v>
      </c>
      <c r="H1185" s="656"/>
    </row>
    <row r="1186" spans="1:8" ht="18.75" customHeight="1">
      <c r="A1186" s="656"/>
      <c r="B1186" s="659" t="s">
        <v>459</v>
      </c>
      <c r="C1186" s="659" t="s">
        <v>6135</v>
      </c>
      <c r="D1186" s="659" t="s">
        <v>6252</v>
      </c>
      <c r="E1186" s="659" t="s">
        <v>6253</v>
      </c>
      <c r="F1186" s="660">
        <v>0.1</v>
      </c>
      <c r="G1186" s="660">
        <v>0</v>
      </c>
      <c r="H1186" s="656"/>
    </row>
    <row r="1187" spans="1:8" ht="18.75" customHeight="1">
      <c r="A1187" s="656"/>
      <c r="B1187" s="657" t="s">
        <v>459</v>
      </c>
      <c r="C1187" s="657" t="s">
        <v>6103</v>
      </c>
      <c r="D1187" s="657" t="s">
        <v>6254</v>
      </c>
      <c r="E1187" s="657" t="s">
        <v>6255</v>
      </c>
      <c r="F1187" s="658">
        <v>0.1</v>
      </c>
      <c r="G1187" s="658">
        <v>0</v>
      </c>
      <c r="H1187" s="656"/>
    </row>
    <row r="1188" spans="1:8" ht="18.75" customHeight="1">
      <c r="A1188" s="656"/>
      <c r="B1188" s="659" t="s">
        <v>459</v>
      </c>
      <c r="C1188" s="659" t="s">
        <v>6103</v>
      </c>
      <c r="D1188" s="659" t="s">
        <v>6256</v>
      </c>
      <c r="E1188" s="659" t="s">
        <v>6257</v>
      </c>
      <c r="F1188" s="660">
        <v>0.1</v>
      </c>
      <c r="G1188" s="660">
        <v>0</v>
      </c>
      <c r="H1188" s="656"/>
    </row>
    <row r="1189" spans="1:8" ht="18.75" customHeight="1">
      <c r="A1189" s="656"/>
      <c r="B1189" s="657" t="s">
        <v>459</v>
      </c>
      <c r="C1189" s="657" t="s">
        <v>6103</v>
      </c>
      <c r="D1189" s="657" t="s">
        <v>6258</v>
      </c>
      <c r="E1189" s="657" t="s">
        <v>6259</v>
      </c>
      <c r="F1189" s="658">
        <v>0.1</v>
      </c>
      <c r="G1189" s="658">
        <v>0</v>
      </c>
      <c r="H1189" s="656"/>
    </row>
    <row r="1190" spans="1:8" ht="18.75" customHeight="1">
      <c r="A1190" s="656"/>
      <c r="B1190" s="659" t="s">
        <v>459</v>
      </c>
      <c r="C1190" s="659" t="s">
        <v>6103</v>
      </c>
      <c r="D1190" s="659" t="s">
        <v>6260</v>
      </c>
      <c r="E1190" s="659" t="s">
        <v>6261</v>
      </c>
      <c r="F1190" s="660">
        <v>0.1</v>
      </c>
      <c r="G1190" s="660">
        <v>0</v>
      </c>
      <c r="H1190" s="656"/>
    </row>
    <row r="1191" spans="1:8" ht="18.75" customHeight="1">
      <c r="A1191" s="656"/>
      <c r="B1191" s="657" t="s">
        <v>459</v>
      </c>
      <c r="C1191" s="657" t="s">
        <v>6103</v>
      </c>
      <c r="D1191" s="657" t="s">
        <v>6262</v>
      </c>
      <c r="E1191" s="657" t="s">
        <v>6263</v>
      </c>
      <c r="F1191" s="658">
        <v>0.1</v>
      </c>
      <c r="G1191" s="658">
        <v>0</v>
      </c>
      <c r="H1191" s="656"/>
    </row>
    <row r="1192" spans="1:8" ht="18.75" customHeight="1">
      <c r="A1192" s="656"/>
      <c r="B1192" s="659" t="s">
        <v>459</v>
      </c>
      <c r="C1192" s="659" t="s">
        <v>6103</v>
      </c>
      <c r="D1192" s="659" t="s">
        <v>6264</v>
      </c>
      <c r="E1192" s="659" t="s">
        <v>6265</v>
      </c>
      <c r="F1192" s="660">
        <v>0.1</v>
      </c>
      <c r="G1192" s="660">
        <v>0</v>
      </c>
      <c r="H1192" s="656"/>
    </row>
    <row r="1193" spans="1:8" ht="18.75" customHeight="1">
      <c r="A1193" s="656"/>
      <c r="B1193" s="657" t="s">
        <v>459</v>
      </c>
      <c r="C1193" s="657" t="s">
        <v>6103</v>
      </c>
      <c r="D1193" s="657" t="s">
        <v>6266</v>
      </c>
      <c r="E1193" s="657" t="s">
        <v>6267</v>
      </c>
      <c r="F1193" s="658">
        <v>0.1</v>
      </c>
      <c r="G1193" s="658">
        <v>0</v>
      </c>
      <c r="H1193" s="656"/>
    </row>
    <row r="1194" spans="1:8" ht="18.75" customHeight="1">
      <c r="A1194" s="656"/>
      <c r="B1194" s="659" t="s">
        <v>459</v>
      </c>
      <c r="C1194" s="659" t="s">
        <v>6103</v>
      </c>
      <c r="D1194" s="659" t="s">
        <v>6268</v>
      </c>
      <c r="E1194" s="659" t="s">
        <v>6269</v>
      </c>
      <c r="F1194" s="660">
        <v>0.1</v>
      </c>
      <c r="G1194" s="660">
        <v>0</v>
      </c>
      <c r="H1194" s="656"/>
    </row>
    <row r="1195" spans="1:8" ht="18.75" customHeight="1">
      <c r="A1195" s="656"/>
      <c r="B1195" s="657" t="s">
        <v>459</v>
      </c>
      <c r="C1195" s="657" t="s">
        <v>6130</v>
      </c>
      <c r="D1195" s="657" t="s">
        <v>6270</v>
      </c>
      <c r="E1195" s="657" t="s">
        <v>6271</v>
      </c>
      <c r="F1195" s="658">
        <v>0.1</v>
      </c>
      <c r="G1195" s="658">
        <v>0</v>
      </c>
      <c r="H1195" s="656"/>
    </row>
    <row r="1196" spans="1:8" ht="18.75" customHeight="1">
      <c r="A1196" s="656"/>
      <c r="B1196" s="659" t="s">
        <v>459</v>
      </c>
      <c r="C1196" s="659" t="s">
        <v>6103</v>
      </c>
      <c r="D1196" s="659" t="s">
        <v>6272</v>
      </c>
      <c r="E1196" s="659" t="s">
        <v>6273</v>
      </c>
      <c r="F1196" s="660">
        <v>0.1</v>
      </c>
      <c r="G1196" s="660">
        <v>0</v>
      </c>
      <c r="H1196" s="656"/>
    </row>
    <row r="1197" spans="1:8" ht="18.75" customHeight="1">
      <c r="A1197" s="656"/>
      <c r="B1197" s="657" t="s">
        <v>459</v>
      </c>
      <c r="C1197" s="657" t="s">
        <v>6148</v>
      </c>
      <c r="D1197" s="657" t="s">
        <v>6274</v>
      </c>
      <c r="E1197" s="657" t="s">
        <v>6275</v>
      </c>
      <c r="F1197" s="658">
        <v>0.1</v>
      </c>
      <c r="G1197" s="658">
        <v>0</v>
      </c>
      <c r="H1197" s="656"/>
    </row>
    <row r="1198" spans="1:8" ht="18.75" customHeight="1">
      <c r="A1198" s="656"/>
      <c r="B1198" s="659" t="s">
        <v>459</v>
      </c>
      <c r="C1198" s="659" t="s">
        <v>6103</v>
      </c>
      <c r="D1198" s="659" t="s">
        <v>6276</v>
      </c>
      <c r="E1198" s="659" t="s">
        <v>6277</v>
      </c>
      <c r="F1198" s="660">
        <v>0.1</v>
      </c>
      <c r="G1198" s="660">
        <v>0</v>
      </c>
      <c r="H1198" s="656"/>
    </row>
    <row r="1199" spans="1:8" ht="18.75" customHeight="1">
      <c r="A1199" s="656"/>
      <c r="B1199" s="657" t="s">
        <v>459</v>
      </c>
      <c r="C1199" s="657" t="s">
        <v>6103</v>
      </c>
      <c r="D1199" s="657" t="s">
        <v>6278</v>
      </c>
      <c r="E1199" s="657" t="s">
        <v>6279</v>
      </c>
      <c r="F1199" s="658">
        <v>0.1</v>
      </c>
      <c r="G1199" s="658">
        <v>0</v>
      </c>
      <c r="H1199" s="656"/>
    </row>
    <row r="1200" spans="1:8" ht="18.75" customHeight="1">
      <c r="A1200" s="656"/>
      <c r="B1200" s="659" t="s">
        <v>459</v>
      </c>
      <c r="C1200" s="659" t="s">
        <v>6103</v>
      </c>
      <c r="D1200" s="659" t="s">
        <v>6280</v>
      </c>
      <c r="E1200" s="659" t="s">
        <v>6281</v>
      </c>
      <c r="F1200" s="660">
        <v>0.1</v>
      </c>
      <c r="G1200" s="660">
        <v>0</v>
      </c>
      <c r="H1200" s="656"/>
    </row>
    <row r="1201" spans="1:8" ht="18.75" customHeight="1">
      <c r="A1201" s="656"/>
      <c r="B1201" s="657" t="s">
        <v>459</v>
      </c>
      <c r="C1201" s="657" t="s">
        <v>6157</v>
      </c>
      <c r="D1201" s="657" t="s">
        <v>6282</v>
      </c>
      <c r="E1201" s="657" t="s">
        <v>6283</v>
      </c>
      <c r="F1201" s="658">
        <v>0.1</v>
      </c>
      <c r="G1201" s="658">
        <v>0</v>
      </c>
      <c r="H1201" s="656"/>
    </row>
    <row r="1202" spans="1:8" ht="18.75" customHeight="1">
      <c r="A1202" s="656"/>
      <c r="B1202" s="659" t="s">
        <v>459</v>
      </c>
      <c r="C1202" s="659" t="s">
        <v>6103</v>
      </c>
      <c r="D1202" s="659" t="s">
        <v>6284</v>
      </c>
      <c r="E1202" s="659" t="s">
        <v>6285</v>
      </c>
      <c r="F1202" s="660">
        <v>0.1</v>
      </c>
      <c r="G1202" s="660">
        <v>0</v>
      </c>
      <c r="H1202" s="656"/>
    </row>
    <row r="1203" spans="1:8" ht="18.75" customHeight="1">
      <c r="A1203" s="656"/>
      <c r="B1203" s="657" t="s">
        <v>459</v>
      </c>
      <c r="C1203" s="657" t="s">
        <v>6103</v>
      </c>
      <c r="D1203" s="657" t="s">
        <v>6286</v>
      </c>
      <c r="E1203" s="657" t="s">
        <v>6287</v>
      </c>
      <c r="F1203" s="658">
        <v>0.1</v>
      </c>
      <c r="G1203" s="658">
        <v>0</v>
      </c>
      <c r="H1203" s="656"/>
    </row>
    <row r="1204" spans="1:8" ht="18.75" customHeight="1">
      <c r="A1204" s="656"/>
      <c r="B1204" s="659" t="s">
        <v>459</v>
      </c>
      <c r="C1204" s="659" t="s">
        <v>6103</v>
      </c>
      <c r="D1204" s="659" t="s">
        <v>6288</v>
      </c>
      <c r="E1204" s="659" t="s">
        <v>6289</v>
      </c>
      <c r="F1204" s="660">
        <v>0.1</v>
      </c>
      <c r="G1204" s="660">
        <v>0</v>
      </c>
      <c r="H1204" s="656"/>
    </row>
    <row r="1205" spans="1:8" ht="18.75" customHeight="1">
      <c r="A1205" s="656"/>
      <c r="B1205" s="657" t="s">
        <v>459</v>
      </c>
      <c r="C1205" s="657" t="s">
        <v>6103</v>
      </c>
      <c r="D1205" s="657" t="s">
        <v>6290</v>
      </c>
      <c r="E1205" s="657" t="s">
        <v>6291</v>
      </c>
      <c r="F1205" s="658">
        <v>0.1</v>
      </c>
      <c r="G1205" s="658">
        <v>0</v>
      </c>
      <c r="H1205" s="656"/>
    </row>
    <row r="1206" spans="1:8" ht="18.75" customHeight="1">
      <c r="A1206" s="656"/>
      <c r="B1206" s="659" t="s">
        <v>459</v>
      </c>
      <c r="C1206" s="659" t="s">
        <v>6103</v>
      </c>
      <c r="D1206" s="659" t="s">
        <v>6292</v>
      </c>
      <c r="E1206" s="659" t="s">
        <v>6293</v>
      </c>
      <c r="F1206" s="660">
        <v>0.1</v>
      </c>
      <c r="G1206" s="660">
        <v>0</v>
      </c>
      <c r="H1206" s="656"/>
    </row>
    <row r="1207" spans="1:8" ht="18.75" customHeight="1">
      <c r="A1207" s="656"/>
      <c r="B1207" s="657" t="s">
        <v>459</v>
      </c>
      <c r="C1207" s="657" t="s">
        <v>6103</v>
      </c>
      <c r="D1207" s="657" t="s">
        <v>6294</v>
      </c>
      <c r="E1207" s="657" t="s">
        <v>6295</v>
      </c>
      <c r="F1207" s="658">
        <v>0.1</v>
      </c>
      <c r="G1207" s="658">
        <v>0</v>
      </c>
      <c r="H1207" s="656"/>
    </row>
    <row r="1208" spans="1:8" ht="18.75" customHeight="1">
      <c r="A1208" s="656"/>
      <c r="B1208" s="659" t="s">
        <v>459</v>
      </c>
      <c r="C1208" s="659" t="s">
        <v>6135</v>
      </c>
      <c r="D1208" s="659" t="s">
        <v>6296</v>
      </c>
      <c r="E1208" s="659" t="s">
        <v>6297</v>
      </c>
      <c r="F1208" s="660">
        <v>0.1</v>
      </c>
      <c r="G1208" s="660">
        <v>0</v>
      </c>
      <c r="H1208" s="656"/>
    </row>
    <row r="1209" spans="1:8" ht="18.75" customHeight="1">
      <c r="A1209" s="656"/>
      <c r="B1209" s="657" t="s">
        <v>459</v>
      </c>
      <c r="C1209" s="657" t="s">
        <v>6135</v>
      </c>
      <c r="D1209" s="657" t="s">
        <v>6298</v>
      </c>
      <c r="E1209" s="657" t="s">
        <v>6299</v>
      </c>
      <c r="F1209" s="658">
        <v>0.1</v>
      </c>
      <c r="G1209" s="658">
        <v>0</v>
      </c>
      <c r="H1209" s="656"/>
    </row>
    <row r="1210" spans="1:8" ht="18.75" customHeight="1">
      <c r="A1210" s="656"/>
      <c r="B1210" s="659" t="s">
        <v>459</v>
      </c>
      <c r="C1210" s="659" t="s">
        <v>6103</v>
      </c>
      <c r="D1210" s="659" t="s">
        <v>6300</v>
      </c>
      <c r="E1210" s="659" t="s">
        <v>6301</v>
      </c>
      <c r="F1210" s="660">
        <v>0.1</v>
      </c>
      <c r="G1210" s="660">
        <v>0</v>
      </c>
      <c r="H1210" s="656"/>
    </row>
    <row r="1211" spans="1:8" ht="18.75" customHeight="1">
      <c r="A1211" s="656"/>
      <c r="B1211" s="657" t="s">
        <v>459</v>
      </c>
      <c r="C1211" s="657" t="s">
        <v>6103</v>
      </c>
      <c r="D1211" s="657" t="s">
        <v>6302</v>
      </c>
      <c r="E1211" s="657" t="s">
        <v>6303</v>
      </c>
      <c r="F1211" s="658">
        <v>0.1</v>
      </c>
      <c r="G1211" s="658">
        <v>0</v>
      </c>
      <c r="H1211" s="656"/>
    </row>
    <row r="1212" spans="1:8" ht="18.75" customHeight="1">
      <c r="A1212" s="656"/>
      <c r="B1212" s="659" t="s">
        <v>459</v>
      </c>
      <c r="C1212" s="659" t="s">
        <v>6157</v>
      </c>
      <c r="D1212" s="659" t="s">
        <v>6304</v>
      </c>
      <c r="E1212" s="659" t="s">
        <v>6305</v>
      </c>
      <c r="F1212" s="660">
        <v>0.1</v>
      </c>
      <c r="G1212" s="660">
        <v>0</v>
      </c>
      <c r="H1212" s="656"/>
    </row>
    <row r="1213" spans="1:8" ht="18.75" customHeight="1">
      <c r="A1213" s="656"/>
      <c r="B1213" s="657" t="s">
        <v>459</v>
      </c>
      <c r="C1213" s="657" t="s">
        <v>6157</v>
      </c>
      <c r="D1213" s="657" t="s">
        <v>6306</v>
      </c>
      <c r="E1213" s="657" t="s">
        <v>6307</v>
      </c>
      <c r="F1213" s="658">
        <v>0.1</v>
      </c>
      <c r="G1213" s="658">
        <v>0</v>
      </c>
      <c r="H1213" s="656"/>
    </row>
    <row r="1214" spans="1:8" ht="18.75" customHeight="1">
      <c r="A1214" s="656"/>
      <c r="B1214" s="659" t="s">
        <v>459</v>
      </c>
      <c r="C1214" s="659" t="s">
        <v>6103</v>
      </c>
      <c r="D1214" s="659" t="s">
        <v>6308</v>
      </c>
      <c r="E1214" s="659" t="s">
        <v>6309</v>
      </c>
      <c r="F1214" s="660">
        <v>0.1</v>
      </c>
      <c r="G1214" s="660">
        <v>0</v>
      </c>
      <c r="H1214" s="656"/>
    </row>
    <row r="1215" spans="1:8" ht="18.75" customHeight="1">
      <c r="A1215" s="656"/>
      <c r="B1215" s="657" t="s">
        <v>459</v>
      </c>
      <c r="C1215" s="657" t="s">
        <v>6103</v>
      </c>
      <c r="D1215" s="657" t="s">
        <v>6310</v>
      </c>
      <c r="E1215" s="657" t="s">
        <v>6311</v>
      </c>
      <c r="F1215" s="658">
        <v>0.1</v>
      </c>
      <c r="G1215" s="658">
        <v>0</v>
      </c>
      <c r="H1215" s="656"/>
    </row>
    <row r="1216" spans="1:8" ht="18.75" customHeight="1">
      <c r="A1216" s="656"/>
      <c r="B1216" s="659" t="s">
        <v>459</v>
      </c>
      <c r="C1216" s="659" t="s">
        <v>6103</v>
      </c>
      <c r="D1216" s="659" t="s">
        <v>6312</v>
      </c>
      <c r="E1216" s="659" t="s">
        <v>6313</v>
      </c>
      <c r="F1216" s="660">
        <v>0.1</v>
      </c>
      <c r="G1216" s="660">
        <v>0</v>
      </c>
      <c r="H1216" s="656"/>
    </row>
    <row r="1217" spans="1:8" ht="18.75" customHeight="1">
      <c r="A1217" s="656"/>
      <c r="B1217" s="657" t="s">
        <v>459</v>
      </c>
      <c r="C1217" s="657" t="s">
        <v>6103</v>
      </c>
      <c r="D1217" s="657" t="s">
        <v>6314</v>
      </c>
      <c r="E1217" s="657" t="s">
        <v>6315</v>
      </c>
      <c r="F1217" s="658">
        <v>0.1</v>
      </c>
      <c r="G1217" s="658">
        <v>0</v>
      </c>
      <c r="H1217" s="656"/>
    </row>
    <row r="1218" spans="1:8" ht="18.75" customHeight="1">
      <c r="A1218" s="656"/>
      <c r="B1218" s="659" t="s">
        <v>459</v>
      </c>
      <c r="C1218" s="659" t="s">
        <v>6103</v>
      </c>
      <c r="D1218" s="659" t="s">
        <v>6316</v>
      </c>
      <c r="E1218" s="659" t="s">
        <v>6317</v>
      </c>
      <c r="F1218" s="660">
        <v>0.1</v>
      </c>
      <c r="G1218" s="660">
        <v>0</v>
      </c>
      <c r="H1218" s="656"/>
    </row>
    <row r="1219" spans="1:8" ht="18.75" customHeight="1">
      <c r="A1219" s="656"/>
      <c r="B1219" s="657" t="s">
        <v>459</v>
      </c>
      <c r="C1219" s="657" t="s">
        <v>6148</v>
      </c>
      <c r="D1219" s="657" t="s">
        <v>6318</v>
      </c>
      <c r="E1219" s="657" t="s">
        <v>6319</v>
      </c>
      <c r="F1219" s="658">
        <v>0.1</v>
      </c>
      <c r="G1219" s="658">
        <v>0</v>
      </c>
      <c r="H1219" s="656"/>
    </row>
    <row r="1220" spans="1:8" ht="18.75" customHeight="1">
      <c r="A1220" s="656"/>
      <c r="B1220" s="659" t="s">
        <v>459</v>
      </c>
      <c r="C1220" s="659" t="s">
        <v>6103</v>
      </c>
      <c r="D1220" s="659" t="s">
        <v>6320</v>
      </c>
      <c r="E1220" s="659" t="s">
        <v>6321</v>
      </c>
      <c r="F1220" s="660">
        <v>0.1</v>
      </c>
      <c r="G1220" s="660">
        <v>0</v>
      </c>
      <c r="H1220" s="656"/>
    </row>
    <row r="1221" spans="1:8" ht="18.75" customHeight="1">
      <c r="A1221" s="656"/>
      <c r="B1221" s="657" t="s">
        <v>459</v>
      </c>
      <c r="C1221" s="657" t="s">
        <v>6103</v>
      </c>
      <c r="D1221" s="657" t="s">
        <v>6322</v>
      </c>
      <c r="E1221" s="657" t="s">
        <v>6323</v>
      </c>
      <c r="F1221" s="658">
        <v>0.1</v>
      </c>
      <c r="G1221" s="658">
        <v>0</v>
      </c>
      <c r="H1221" s="656"/>
    </row>
    <row r="1222" spans="1:8" ht="18.75" customHeight="1">
      <c r="A1222" s="656"/>
      <c r="B1222" s="659" t="s">
        <v>459</v>
      </c>
      <c r="C1222" s="659" t="s">
        <v>6103</v>
      </c>
      <c r="D1222" s="659" t="s">
        <v>6324</v>
      </c>
      <c r="E1222" s="659" t="s">
        <v>6325</v>
      </c>
      <c r="F1222" s="660">
        <v>0.1</v>
      </c>
      <c r="G1222" s="660">
        <v>0</v>
      </c>
      <c r="H1222" s="656"/>
    </row>
    <row r="1223" spans="1:8" ht="18.75" customHeight="1">
      <c r="A1223" s="656"/>
      <c r="B1223" s="657" t="s">
        <v>459</v>
      </c>
      <c r="C1223" s="657" t="s">
        <v>6157</v>
      </c>
      <c r="D1223" s="657" t="s">
        <v>6326</v>
      </c>
      <c r="E1223" s="657" t="s">
        <v>6327</v>
      </c>
      <c r="F1223" s="658">
        <v>0.1</v>
      </c>
      <c r="G1223" s="658">
        <v>0</v>
      </c>
      <c r="H1223" s="656"/>
    </row>
    <row r="1224" spans="1:8" ht="18.75" customHeight="1">
      <c r="A1224" s="656"/>
      <c r="B1224" s="659" t="s">
        <v>459</v>
      </c>
      <c r="C1224" s="659" t="s">
        <v>6103</v>
      </c>
      <c r="D1224" s="659" t="s">
        <v>6328</v>
      </c>
      <c r="E1224" s="659" t="s">
        <v>6329</v>
      </c>
      <c r="F1224" s="660">
        <v>0.1</v>
      </c>
      <c r="G1224" s="660">
        <v>0</v>
      </c>
      <c r="H1224" s="656"/>
    </row>
    <row r="1225" spans="1:8" ht="18.75" customHeight="1">
      <c r="A1225" s="656"/>
      <c r="B1225" s="657" t="s">
        <v>459</v>
      </c>
      <c r="C1225" s="657" t="s">
        <v>6103</v>
      </c>
      <c r="D1225" s="657" t="s">
        <v>6330</v>
      </c>
      <c r="E1225" s="657" t="s">
        <v>6331</v>
      </c>
      <c r="F1225" s="658">
        <v>0.1</v>
      </c>
      <c r="G1225" s="658">
        <v>0</v>
      </c>
      <c r="H1225" s="656"/>
    </row>
    <row r="1226" spans="1:8" ht="18.75" customHeight="1">
      <c r="A1226" s="656"/>
      <c r="B1226" s="659" t="s">
        <v>459</v>
      </c>
      <c r="C1226" s="659" t="s">
        <v>6103</v>
      </c>
      <c r="D1226" s="659" t="s">
        <v>6332</v>
      </c>
      <c r="E1226" s="659" t="s">
        <v>6333</v>
      </c>
      <c r="F1226" s="660">
        <v>0.1</v>
      </c>
      <c r="G1226" s="660">
        <v>0</v>
      </c>
      <c r="H1226" s="656"/>
    </row>
    <row r="1227" spans="1:8" ht="18.75" customHeight="1">
      <c r="A1227" s="656"/>
      <c r="B1227" s="657" t="s">
        <v>459</v>
      </c>
      <c r="C1227" s="657" t="s">
        <v>6103</v>
      </c>
      <c r="D1227" s="657" t="s">
        <v>6334</v>
      </c>
      <c r="E1227" s="657" t="s">
        <v>6335</v>
      </c>
      <c r="F1227" s="658">
        <v>0.1</v>
      </c>
      <c r="G1227" s="658">
        <v>0</v>
      </c>
      <c r="H1227" s="656"/>
    </row>
    <row r="1228" spans="1:8" ht="18.75" customHeight="1">
      <c r="A1228" s="656"/>
      <c r="B1228" s="659" t="s">
        <v>459</v>
      </c>
      <c r="C1228" s="659" t="s">
        <v>6103</v>
      </c>
      <c r="D1228" s="659" t="s">
        <v>6336</v>
      </c>
      <c r="E1228" s="659" t="s">
        <v>6337</v>
      </c>
      <c r="F1228" s="660">
        <v>0.1</v>
      </c>
      <c r="G1228" s="660">
        <v>0</v>
      </c>
      <c r="H1228" s="656"/>
    </row>
    <row r="1229" spans="1:8" ht="18.75" customHeight="1">
      <c r="A1229" s="656"/>
      <c r="B1229" s="657" t="s">
        <v>459</v>
      </c>
      <c r="C1229" s="657" t="s">
        <v>6103</v>
      </c>
      <c r="D1229" s="657" t="s">
        <v>6338</v>
      </c>
      <c r="E1229" s="657" t="s">
        <v>6339</v>
      </c>
      <c r="F1229" s="658">
        <v>0.1</v>
      </c>
      <c r="G1229" s="658">
        <v>0</v>
      </c>
      <c r="H1229" s="656"/>
    </row>
    <row r="1230" spans="1:8" ht="18.75" customHeight="1">
      <c r="A1230" s="656"/>
      <c r="B1230" s="659" t="s">
        <v>459</v>
      </c>
      <c r="C1230" s="659" t="s">
        <v>6103</v>
      </c>
      <c r="D1230" s="659" t="s">
        <v>6340</v>
      </c>
      <c r="E1230" s="659" t="s">
        <v>6341</v>
      </c>
      <c r="F1230" s="660">
        <v>0.1</v>
      </c>
      <c r="G1230" s="660">
        <v>0</v>
      </c>
      <c r="H1230" s="656"/>
    </row>
    <row r="1231" spans="1:8" ht="18.75" customHeight="1">
      <c r="A1231" s="656"/>
      <c r="B1231" s="657" t="s">
        <v>459</v>
      </c>
      <c r="C1231" s="657" t="s">
        <v>6103</v>
      </c>
      <c r="D1231" s="657" t="s">
        <v>6342</v>
      </c>
      <c r="E1231" s="657" t="s">
        <v>6343</v>
      </c>
      <c r="F1231" s="658">
        <v>0.1</v>
      </c>
      <c r="G1231" s="658">
        <v>0</v>
      </c>
      <c r="H1231" s="656"/>
    </row>
    <row r="1232" spans="1:8" ht="18.75" customHeight="1">
      <c r="A1232" s="656"/>
      <c r="B1232" s="659" t="s">
        <v>459</v>
      </c>
      <c r="C1232" s="659" t="s">
        <v>6103</v>
      </c>
      <c r="D1232" s="659" t="s">
        <v>6344</v>
      </c>
      <c r="E1232" s="659" t="s">
        <v>6345</v>
      </c>
      <c r="F1232" s="660">
        <v>0.1</v>
      </c>
      <c r="G1232" s="660">
        <v>0</v>
      </c>
      <c r="H1232" s="656"/>
    </row>
    <row r="1233" spans="1:8" ht="18.75" customHeight="1">
      <c r="A1233" s="656"/>
      <c r="B1233" s="657" t="s">
        <v>459</v>
      </c>
      <c r="C1233" s="657" t="s">
        <v>6103</v>
      </c>
      <c r="D1233" s="657" t="s">
        <v>6346</v>
      </c>
      <c r="E1233" s="657" t="s">
        <v>6347</v>
      </c>
      <c r="F1233" s="658">
        <v>0.1</v>
      </c>
      <c r="G1233" s="658">
        <v>0</v>
      </c>
      <c r="H1233" s="656"/>
    </row>
    <row r="1234" spans="1:8" ht="18.75" customHeight="1">
      <c r="A1234" s="656"/>
      <c r="B1234" s="659" t="s">
        <v>459</v>
      </c>
      <c r="C1234" s="659" t="s">
        <v>6103</v>
      </c>
      <c r="D1234" s="659" t="s">
        <v>6348</v>
      </c>
      <c r="E1234" s="659" t="s">
        <v>6349</v>
      </c>
      <c r="F1234" s="660">
        <v>0.1</v>
      </c>
      <c r="G1234" s="660">
        <v>0</v>
      </c>
      <c r="H1234" s="656"/>
    </row>
    <row r="1235" spans="1:8" ht="18.75" customHeight="1">
      <c r="A1235" s="656"/>
      <c r="B1235" s="657" t="s">
        <v>459</v>
      </c>
      <c r="C1235" s="657" t="s">
        <v>6103</v>
      </c>
      <c r="D1235" s="657" t="s">
        <v>6350</v>
      </c>
      <c r="E1235" s="657" t="s">
        <v>6351</v>
      </c>
      <c r="F1235" s="658">
        <v>0.1</v>
      </c>
      <c r="G1235" s="658">
        <v>0</v>
      </c>
      <c r="H1235" s="656"/>
    </row>
    <row r="1236" spans="1:8" ht="18.75" customHeight="1">
      <c r="A1236" s="656"/>
      <c r="B1236" s="659" t="s">
        <v>459</v>
      </c>
      <c r="C1236" s="659" t="s">
        <v>6103</v>
      </c>
      <c r="D1236" s="659" t="s">
        <v>6352</v>
      </c>
      <c r="E1236" s="659" t="s">
        <v>6353</v>
      </c>
      <c r="F1236" s="660">
        <v>0.1</v>
      </c>
      <c r="G1236" s="660">
        <v>0</v>
      </c>
      <c r="H1236" s="656"/>
    </row>
    <row r="1237" spans="1:8" ht="18.75" customHeight="1">
      <c r="A1237" s="656"/>
      <c r="B1237" s="657" t="s">
        <v>459</v>
      </c>
      <c r="C1237" s="657" t="s">
        <v>6103</v>
      </c>
      <c r="D1237" s="657" t="s">
        <v>576</v>
      </c>
      <c r="E1237" s="657" t="s">
        <v>577</v>
      </c>
      <c r="F1237" s="658">
        <v>0.1</v>
      </c>
      <c r="G1237" s="658">
        <v>0</v>
      </c>
      <c r="H1237" s="656"/>
    </row>
    <row r="1238" spans="1:8" ht="18.75" customHeight="1">
      <c r="A1238" s="656"/>
      <c r="B1238" s="659" t="s">
        <v>459</v>
      </c>
      <c r="C1238" s="659" t="s">
        <v>6157</v>
      </c>
      <c r="D1238" s="659" t="s">
        <v>578</v>
      </c>
      <c r="E1238" s="659" t="s">
        <v>579</v>
      </c>
      <c r="F1238" s="660">
        <v>0.1</v>
      </c>
      <c r="G1238" s="660">
        <v>0</v>
      </c>
      <c r="H1238" s="656"/>
    </row>
    <row r="1239" spans="1:8" ht="18.75" customHeight="1">
      <c r="A1239" s="656"/>
      <c r="B1239" s="657" t="s">
        <v>459</v>
      </c>
      <c r="C1239" s="657" t="s">
        <v>6103</v>
      </c>
      <c r="D1239" s="657" t="s">
        <v>580</v>
      </c>
      <c r="E1239" s="657" t="s">
        <v>581</v>
      </c>
      <c r="F1239" s="658">
        <v>0.1</v>
      </c>
      <c r="G1239" s="658">
        <v>0</v>
      </c>
      <c r="H1239" s="656"/>
    </row>
    <row r="1240" spans="1:8" ht="18.75" customHeight="1">
      <c r="A1240" s="656"/>
      <c r="B1240" s="659" t="s">
        <v>459</v>
      </c>
      <c r="C1240" s="659" t="s">
        <v>6103</v>
      </c>
      <c r="D1240" s="659" t="s">
        <v>582</v>
      </c>
      <c r="E1240" s="659" t="s">
        <v>583</v>
      </c>
      <c r="F1240" s="660">
        <v>0.1</v>
      </c>
      <c r="G1240" s="660">
        <v>0</v>
      </c>
      <c r="H1240" s="656"/>
    </row>
    <row r="1241" spans="1:8" ht="18.75" customHeight="1">
      <c r="A1241" s="656"/>
      <c r="B1241" s="657" t="s">
        <v>459</v>
      </c>
      <c r="C1241" s="657" t="s">
        <v>6103</v>
      </c>
      <c r="D1241" s="657" t="s">
        <v>584</v>
      </c>
      <c r="E1241" s="657" t="s">
        <v>585</v>
      </c>
      <c r="F1241" s="658">
        <v>0.1</v>
      </c>
      <c r="G1241" s="658">
        <v>0</v>
      </c>
      <c r="H1241" s="656"/>
    </row>
    <row r="1242" spans="1:8" ht="18.75" customHeight="1">
      <c r="A1242" s="656"/>
      <c r="B1242" s="659" t="s">
        <v>459</v>
      </c>
      <c r="C1242" s="659" t="s">
        <v>6103</v>
      </c>
      <c r="D1242" s="659" t="s">
        <v>586</v>
      </c>
      <c r="E1242" s="659" t="s">
        <v>587</v>
      </c>
      <c r="F1242" s="660">
        <v>0.1</v>
      </c>
      <c r="G1242" s="660">
        <v>0</v>
      </c>
      <c r="H1242" s="656"/>
    </row>
    <row r="1243" spans="1:8" ht="18.75" customHeight="1">
      <c r="A1243" s="656"/>
      <c r="B1243" s="657" t="s">
        <v>459</v>
      </c>
      <c r="C1243" s="657" t="s">
        <v>6103</v>
      </c>
      <c r="D1243" s="657" t="s">
        <v>588</v>
      </c>
      <c r="E1243" s="657" t="s">
        <v>589</v>
      </c>
      <c r="F1243" s="658">
        <v>0.1</v>
      </c>
      <c r="G1243" s="658">
        <v>0</v>
      </c>
      <c r="H1243" s="656"/>
    </row>
    <row r="1244" spans="1:8" ht="18.75" customHeight="1">
      <c r="A1244" s="656"/>
      <c r="B1244" s="659" t="s">
        <v>459</v>
      </c>
      <c r="C1244" s="659" t="s">
        <v>6103</v>
      </c>
      <c r="D1244" s="659" t="s">
        <v>590</v>
      </c>
      <c r="E1244" s="659" t="s">
        <v>591</v>
      </c>
      <c r="F1244" s="660">
        <v>0.1</v>
      </c>
      <c r="G1244" s="660">
        <v>0</v>
      </c>
      <c r="H1244" s="656"/>
    </row>
    <row r="1245" spans="1:8" ht="18.75" customHeight="1">
      <c r="A1245" s="656"/>
      <c r="B1245" s="657" t="s">
        <v>459</v>
      </c>
      <c r="C1245" s="657" t="s">
        <v>6103</v>
      </c>
      <c r="D1245" s="657" t="s">
        <v>592</v>
      </c>
      <c r="E1245" s="657" t="s">
        <v>593</v>
      </c>
      <c r="F1245" s="658">
        <v>0.1</v>
      </c>
      <c r="G1245" s="658">
        <v>0</v>
      </c>
      <c r="H1245" s="656"/>
    </row>
    <row r="1246" spans="1:8" ht="18.75" customHeight="1">
      <c r="A1246" s="656"/>
      <c r="B1246" s="659" t="s">
        <v>459</v>
      </c>
      <c r="C1246" s="659" t="s">
        <v>6103</v>
      </c>
      <c r="D1246" s="659" t="s">
        <v>594</v>
      </c>
      <c r="E1246" s="659" t="s">
        <v>595</v>
      </c>
      <c r="F1246" s="660">
        <v>0.1</v>
      </c>
      <c r="G1246" s="660">
        <v>0</v>
      </c>
      <c r="H1246" s="656"/>
    </row>
    <row r="1247" spans="1:8" ht="18.75" customHeight="1">
      <c r="A1247" s="656"/>
      <c r="B1247" s="657" t="s">
        <v>459</v>
      </c>
      <c r="C1247" s="657" t="s">
        <v>6103</v>
      </c>
      <c r="D1247" s="657" t="s">
        <v>596</v>
      </c>
      <c r="E1247" s="657" t="s">
        <v>597</v>
      </c>
      <c r="F1247" s="658">
        <v>0.1</v>
      </c>
      <c r="G1247" s="658">
        <v>0</v>
      </c>
      <c r="H1247" s="656"/>
    </row>
    <row r="1248" spans="1:8" ht="18.75" customHeight="1">
      <c r="A1248" s="656"/>
      <c r="B1248" s="659" t="s">
        <v>459</v>
      </c>
      <c r="C1248" s="659" t="s">
        <v>6103</v>
      </c>
      <c r="D1248" s="659" t="s">
        <v>598</v>
      </c>
      <c r="E1248" s="659" t="s">
        <v>6354</v>
      </c>
      <c r="F1248" s="660">
        <v>0.1</v>
      </c>
      <c r="G1248" s="660">
        <v>0</v>
      </c>
      <c r="H1248" s="656"/>
    </row>
    <row r="1249" spans="1:8" ht="18.75" customHeight="1">
      <c r="A1249" s="656"/>
      <c r="B1249" s="657" t="s">
        <v>459</v>
      </c>
      <c r="C1249" s="657" t="s">
        <v>6103</v>
      </c>
      <c r="D1249" s="657" t="s">
        <v>599</v>
      </c>
      <c r="E1249" s="657" t="s">
        <v>600</v>
      </c>
      <c r="F1249" s="658">
        <v>0.1</v>
      </c>
      <c r="G1249" s="658">
        <v>0</v>
      </c>
      <c r="H1249" s="656"/>
    </row>
    <row r="1250" spans="1:8" ht="18.75" customHeight="1">
      <c r="A1250" s="656"/>
      <c r="B1250" s="659" t="s">
        <v>459</v>
      </c>
      <c r="C1250" s="659" t="s">
        <v>6103</v>
      </c>
      <c r="D1250" s="659" t="s">
        <v>601</v>
      </c>
      <c r="E1250" s="659" t="s">
        <v>602</v>
      </c>
      <c r="F1250" s="660">
        <v>0.1</v>
      </c>
      <c r="G1250" s="660">
        <v>0</v>
      </c>
      <c r="H1250" s="656"/>
    </row>
    <row r="1251" spans="1:8" ht="18.75" customHeight="1">
      <c r="A1251" s="656"/>
      <c r="B1251" s="657" t="s">
        <v>459</v>
      </c>
      <c r="C1251" s="657" t="s">
        <v>6103</v>
      </c>
      <c r="D1251" s="657" t="s">
        <v>603</v>
      </c>
      <c r="E1251" s="657" t="s">
        <v>604</v>
      </c>
      <c r="F1251" s="658">
        <v>0.1</v>
      </c>
      <c r="G1251" s="658">
        <v>0</v>
      </c>
      <c r="H1251" s="656"/>
    </row>
    <row r="1252" spans="1:8" ht="18.75" customHeight="1">
      <c r="A1252" s="656"/>
      <c r="B1252" s="659" t="s">
        <v>459</v>
      </c>
      <c r="C1252" s="659" t="s">
        <v>6103</v>
      </c>
      <c r="D1252" s="659" t="s">
        <v>605</v>
      </c>
      <c r="E1252" s="659" t="s">
        <v>606</v>
      </c>
      <c r="F1252" s="660">
        <v>0.1</v>
      </c>
      <c r="G1252" s="660">
        <v>0</v>
      </c>
      <c r="H1252" s="656"/>
    </row>
    <row r="1253" spans="1:8" ht="18.75" customHeight="1">
      <c r="A1253" s="656"/>
      <c r="B1253" s="657" t="s">
        <v>459</v>
      </c>
      <c r="C1253" s="657" t="s">
        <v>6103</v>
      </c>
      <c r="D1253" s="657" t="s">
        <v>607</v>
      </c>
      <c r="E1253" s="657" t="s">
        <v>608</v>
      </c>
      <c r="F1253" s="658">
        <v>0.1</v>
      </c>
      <c r="G1253" s="658">
        <v>0</v>
      </c>
      <c r="H1253" s="656"/>
    </row>
    <row r="1254" spans="1:8" ht="18.75" customHeight="1">
      <c r="A1254" s="656"/>
      <c r="B1254" s="659" t="s">
        <v>459</v>
      </c>
      <c r="C1254" s="659" t="s">
        <v>6103</v>
      </c>
      <c r="D1254" s="659" t="s">
        <v>609</v>
      </c>
      <c r="E1254" s="659" t="s">
        <v>610</v>
      </c>
      <c r="F1254" s="660">
        <v>0.1</v>
      </c>
      <c r="G1254" s="660">
        <v>0</v>
      </c>
      <c r="H1254" s="656"/>
    </row>
    <row r="1255" spans="1:8" ht="18.75" customHeight="1">
      <c r="A1255" s="656"/>
      <c r="B1255" s="657" t="s">
        <v>459</v>
      </c>
      <c r="C1255" s="657" t="s">
        <v>6103</v>
      </c>
      <c r="D1255" s="657" t="s">
        <v>611</v>
      </c>
      <c r="E1255" s="657" t="s">
        <v>612</v>
      </c>
      <c r="F1255" s="658">
        <v>0.1</v>
      </c>
      <c r="G1255" s="658">
        <v>0</v>
      </c>
      <c r="H1255" s="656"/>
    </row>
    <row r="1256" spans="1:8" ht="18.75" customHeight="1">
      <c r="A1256" s="656"/>
      <c r="B1256" s="659" t="s">
        <v>459</v>
      </c>
      <c r="C1256" s="659" t="s">
        <v>6103</v>
      </c>
      <c r="D1256" s="659" t="s">
        <v>613</v>
      </c>
      <c r="E1256" s="659" t="s">
        <v>614</v>
      </c>
      <c r="F1256" s="660">
        <v>0.1</v>
      </c>
      <c r="G1256" s="660">
        <v>0</v>
      </c>
      <c r="H1256" s="656"/>
    </row>
    <row r="1257" spans="1:8" ht="18.75" customHeight="1">
      <c r="A1257" s="656"/>
      <c r="B1257" s="657" t="s">
        <v>459</v>
      </c>
      <c r="C1257" s="657" t="s">
        <v>6103</v>
      </c>
      <c r="D1257" s="657" t="s">
        <v>6355</v>
      </c>
      <c r="E1257" s="657" t="s">
        <v>6356</v>
      </c>
      <c r="F1257" s="658">
        <v>0.1</v>
      </c>
      <c r="G1257" s="658">
        <v>0</v>
      </c>
      <c r="H1257" s="656"/>
    </row>
    <row r="1258" spans="1:8" ht="18.75" customHeight="1">
      <c r="A1258" s="656"/>
      <c r="B1258" s="659" t="s">
        <v>459</v>
      </c>
      <c r="C1258" s="659" t="s">
        <v>6103</v>
      </c>
      <c r="D1258" s="659" t="s">
        <v>6357</v>
      </c>
      <c r="E1258" s="659" t="s">
        <v>6358</v>
      </c>
      <c r="F1258" s="660">
        <v>0.1</v>
      </c>
      <c r="G1258" s="660">
        <v>0</v>
      </c>
      <c r="H1258" s="656"/>
    </row>
    <row r="1259" spans="1:8" ht="18.75" customHeight="1">
      <c r="A1259" s="656"/>
      <c r="B1259" s="657" t="s">
        <v>459</v>
      </c>
      <c r="C1259" s="657" t="s">
        <v>6359</v>
      </c>
      <c r="D1259" s="657" t="s">
        <v>6360</v>
      </c>
      <c r="E1259" s="657" t="s">
        <v>6361</v>
      </c>
      <c r="F1259" s="658">
        <v>0.1</v>
      </c>
      <c r="G1259" s="658">
        <v>0</v>
      </c>
      <c r="H1259" s="656"/>
    </row>
    <row r="1260" spans="1:8" ht="18.75" customHeight="1">
      <c r="A1260" s="656"/>
      <c r="B1260" s="659" t="s">
        <v>459</v>
      </c>
      <c r="C1260" s="659" t="s">
        <v>6359</v>
      </c>
      <c r="D1260" s="659" t="s">
        <v>6362</v>
      </c>
      <c r="E1260" s="659" t="s">
        <v>6363</v>
      </c>
      <c r="F1260" s="660">
        <v>0.1</v>
      </c>
      <c r="G1260" s="660">
        <v>0</v>
      </c>
      <c r="H1260" s="656"/>
    </row>
    <row r="1261" spans="1:8" ht="18.75" customHeight="1">
      <c r="A1261" s="656"/>
      <c r="B1261" s="657" t="s">
        <v>459</v>
      </c>
      <c r="C1261" s="657" t="s">
        <v>6359</v>
      </c>
      <c r="D1261" s="657" t="s">
        <v>6364</v>
      </c>
      <c r="E1261" s="657" t="s">
        <v>6365</v>
      </c>
      <c r="F1261" s="658">
        <v>0.1</v>
      </c>
      <c r="G1261" s="658">
        <v>0</v>
      </c>
      <c r="H1261" s="656"/>
    </row>
    <row r="1262" spans="1:8" ht="18.75" customHeight="1">
      <c r="A1262" s="656"/>
      <c r="B1262" s="659" t="s">
        <v>459</v>
      </c>
      <c r="C1262" s="659" t="s">
        <v>6359</v>
      </c>
      <c r="D1262" s="659" t="s">
        <v>6366</v>
      </c>
      <c r="E1262" s="659" t="s">
        <v>6367</v>
      </c>
      <c r="F1262" s="660">
        <v>0.1</v>
      </c>
      <c r="G1262" s="660">
        <v>0</v>
      </c>
      <c r="H1262" s="656"/>
    </row>
    <row r="1263" spans="1:8" ht="18.75" customHeight="1">
      <c r="A1263" s="656"/>
      <c r="B1263" s="657" t="s">
        <v>459</v>
      </c>
      <c r="C1263" s="657" t="s">
        <v>6359</v>
      </c>
      <c r="D1263" s="657" t="s">
        <v>6368</v>
      </c>
      <c r="E1263" s="657" t="s">
        <v>6369</v>
      </c>
      <c r="F1263" s="658">
        <v>0.1</v>
      </c>
      <c r="G1263" s="658">
        <v>0</v>
      </c>
      <c r="H1263" s="656"/>
    </row>
    <row r="1264" spans="1:8" ht="18.75" customHeight="1">
      <c r="A1264" s="656"/>
      <c r="B1264" s="659" t="s">
        <v>459</v>
      </c>
      <c r="C1264" s="659" t="s">
        <v>6359</v>
      </c>
      <c r="D1264" s="659" t="s">
        <v>6370</v>
      </c>
      <c r="E1264" s="659" t="s">
        <v>6371</v>
      </c>
      <c r="F1264" s="660">
        <v>0.1</v>
      </c>
      <c r="G1264" s="660">
        <v>0</v>
      </c>
      <c r="H1264" s="656"/>
    </row>
    <row r="1265" spans="1:8" ht="18.75" customHeight="1">
      <c r="A1265" s="656"/>
      <c r="B1265" s="657" t="s">
        <v>459</v>
      </c>
      <c r="C1265" s="657" t="s">
        <v>6359</v>
      </c>
      <c r="D1265" s="657" t="s">
        <v>6372</v>
      </c>
      <c r="E1265" s="657" t="s">
        <v>6373</v>
      </c>
      <c r="F1265" s="658">
        <v>0.1</v>
      </c>
      <c r="G1265" s="658">
        <v>0</v>
      </c>
      <c r="H1265" s="656"/>
    </row>
    <row r="1266" spans="1:8" ht="18.75" customHeight="1">
      <c r="A1266" s="656"/>
      <c r="B1266" s="659" t="s">
        <v>6374</v>
      </c>
      <c r="C1266" s="659" t="s">
        <v>6375</v>
      </c>
      <c r="D1266" s="659" t="s">
        <v>6376</v>
      </c>
      <c r="E1266" s="659" t="s">
        <v>6377</v>
      </c>
      <c r="F1266" s="660">
        <v>0.1</v>
      </c>
      <c r="G1266" s="660">
        <v>0</v>
      </c>
      <c r="H1266" s="656"/>
    </row>
    <row r="1267" spans="1:8" ht="18.75" customHeight="1">
      <c r="A1267" s="656"/>
      <c r="B1267" s="657" t="s">
        <v>6374</v>
      </c>
      <c r="C1267" s="657" t="s">
        <v>6375</v>
      </c>
      <c r="D1267" s="657" t="s">
        <v>6378</v>
      </c>
      <c r="E1267" s="657" t="s">
        <v>6379</v>
      </c>
      <c r="F1267" s="658">
        <v>0.1</v>
      </c>
      <c r="G1267" s="658">
        <v>0</v>
      </c>
      <c r="H1267" s="656"/>
    </row>
    <row r="1268" spans="1:8" ht="18.75" customHeight="1">
      <c r="A1268" s="656"/>
      <c r="B1268" s="659" t="s">
        <v>6374</v>
      </c>
      <c r="C1268" s="659" t="s">
        <v>6380</v>
      </c>
      <c r="D1268" s="659" t="s">
        <v>6381</v>
      </c>
      <c r="E1268" s="659" t="s">
        <v>6382</v>
      </c>
      <c r="F1268" s="660">
        <v>0.1</v>
      </c>
      <c r="G1268" s="660">
        <v>0</v>
      </c>
      <c r="H1268" s="656"/>
    </row>
    <row r="1269" spans="1:8" ht="18.75" customHeight="1">
      <c r="A1269" s="656"/>
      <c r="B1269" s="657" t="s">
        <v>6374</v>
      </c>
      <c r="C1269" s="657" t="s">
        <v>6375</v>
      </c>
      <c r="D1269" s="657" t="s">
        <v>6383</v>
      </c>
      <c r="E1269" s="657" t="s">
        <v>6384</v>
      </c>
      <c r="F1269" s="658">
        <v>0.1</v>
      </c>
      <c r="G1269" s="658">
        <v>0</v>
      </c>
      <c r="H1269" s="656"/>
    </row>
    <row r="1270" spans="1:8" ht="18.75" customHeight="1">
      <c r="A1270" s="656"/>
      <c r="B1270" s="659" t="s">
        <v>6374</v>
      </c>
      <c r="C1270" s="659" t="s">
        <v>6375</v>
      </c>
      <c r="D1270" s="659" t="s">
        <v>6385</v>
      </c>
      <c r="E1270" s="659" t="s">
        <v>6386</v>
      </c>
      <c r="F1270" s="660">
        <v>0.1</v>
      </c>
      <c r="G1270" s="660">
        <v>0</v>
      </c>
      <c r="H1270" s="656"/>
    </row>
    <row r="1271" spans="1:8" ht="18.75" customHeight="1">
      <c r="A1271" s="656"/>
      <c r="B1271" s="657" t="s">
        <v>6374</v>
      </c>
      <c r="C1271" s="657" t="s">
        <v>6380</v>
      </c>
      <c r="D1271" s="657" t="s">
        <v>6387</v>
      </c>
      <c r="E1271" s="657" t="s">
        <v>6388</v>
      </c>
      <c r="F1271" s="658">
        <v>0.1</v>
      </c>
      <c r="G1271" s="658">
        <v>0</v>
      </c>
      <c r="H1271" s="656"/>
    </row>
    <row r="1272" spans="1:8" ht="18.75" customHeight="1">
      <c r="A1272" s="656"/>
      <c r="B1272" s="659" t="s">
        <v>6374</v>
      </c>
      <c r="C1272" s="659" t="s">
        <v>6375</v>
      </c>
      <c r="D1272" s="659" t="s">
        <v>6389</v>
      </c>
      <c r="E1272" s="659" t="s">
        <v>6390</v>
      </c>
      <c r="F1272" s="660">
        <v>0.1</v>
      </c>
      <c r="G1272" s="660">
        <v>0</v>
      </c>
      <c r="H1272" s="656"/>
    </row>
    <row r="1273" spans="1:8" ht="18.75" customHeight="1">
      <c r="A1273" s="656"/>
      <c r="B1273" s="657" t="s">
        <v>6374</v>
      </c>
      <c r="C1273" s="657" t="s">
        <v>6375</v>
      </c>
      <c r="D1273" s="657" t="s">
        <v>6391</v>
      </c>
      <c r="E1273" s="657" t="s">
        <v>6392</v>
      </c>
      <c r="F1273" s="658">
        <v>0.1</v>
      </c>
      <c r="G1273" s="658">
        <v>0</v>
      </c>
      <c r="H1273" s="656"/>
    </row>
    <row r="1274" spans="1:8" ht="18.75" customHeight="1">
      <c r="A1274" s="656"/>
      <c r="B1274" s="659" t="s">
        <v>6374</v>
      </c>
      <c r="C1274" s="659" t="s">
        <v>6380</v>
      </c>
      <c r="D1274" s="659" t="s">
        <v>6393</v>
      </c>
      <c r="E1274" s="659" t="s">
        <v>6394</v>
      </c>
      <c r="F1274" s="660">
        <v>0.1</v>
      </c>
      <c r="G1274" s="660">
        <v>0</v>
      </c>
      <c r="H1274" s="656"/>
    </row>
    <row r="1275" spans="1:8" ht="18.75" customHeight="1">
      <c r="A1275" s="656"/>
      <c r="B1275" s="657" t="s">
        <v>6374</v>
      </c>
      <c r="C1275" s="657" t="s">
        <v>6375</v>
      </c>
      <c r="D1275" s="657" t="s">
        <v>6395</v>
      </c>
      <c r="E1275" s="657" t="s">
        <v>6396</v>
      </c>
      <c r="F1275" s="658">
        <v>0.1</v>
      </c>
      <c r="G1275" s="658">
        <v>0</v>
      </c>
      <c r="H1275" s="656"/>
    </row>
    <row r="1276" spans="1:8" ht="18.75" customHeight="1">
      <c r="A1276" s="656"/>
      <c r="B1276" s="659" t="s">
        <v>6374</v>
      </c>
      <c r="C1276" s="659" t="s">
        <v>6380</v>
      </c>
      <c r="D1276" s="659" t="s">
        <v>6397</v>
      </c>
      <c r="E1276" s="659" t="s">
        <v>6398</v>
      </c>
      <c r="F1276" s="660">
        <v>0.1</v>
      </c>
      <c r="G1276" s="660">
        <v>0</v>
      </c>
      <c r="H1276" s="656"/>
    </row>
    <row r="1277" spans="1:8" ht="18.75" customHeight="1">
      <c r="A1277" s="656"/>
      <c r="B1277" s="657" t="s">
        <v>6374</v>
      </c>
      <c r="C1277" s="657" t="s">
        <v>6380</v>
      </c>
      <c r="D1277" s="657" t="s">
        <v>6399</v>
      </c>
      <c r="E1277" s="657" t="s">
        <v>6400</v>
      </c>
      <c r="F1277" s="658">
        <v>0.1</v>
      </c>
      <c r="G1277" s="658">
        <v>0</v>
      </c>
      <c r="H1277" s="656"/>
    </row>
    <row r="1278" spans="1:8" ht="18.75" customHeight="1">
      <c r="A1278" s="656"/>
      <c r="B1278" s="659" t="s">
        <v>6374</v>
      </c>
      <c r="C1278" s="659" t="s">
        <v>6375</v>
      </c>
      <c r="D1278" s="659" t="s">
        <v>6401</v>
      </c>
      <c r="E1278" s="659" t="s">
        <v>6402</v>
      </c>
      <c r="F1278" s="660">
        <v>0.1</v>
      </c>
      <c r="G1278" s="660">
        <v>0</v>
      </c>
      <c r="H1278" s="656"/>
    </row>
    <row r="1279" spans="1:8" ht="18.75" customHeight="1">
      <c r="A1279" s="656"/>
      <c r="B1279" s="657" t="s">
        <v>6374</v>
      </c>
      <c r="C1279" s="657" t="s">
        <v>6380</v>
      </c>
      <c r="D1279" s="657" t="s">
        <v>6403</v>
      </c>
      <c r="E1279" s="657" t="s">
        <v>6404</v>
      </c>
      <c r="F1279" s="658">
        <v>0.1</v>
      </c>
      <c r="G1279" s="658">
        <v>0</v>
      </c>
      <c r="H1279" s="656"/>
    </row>
    <row r="1280" spans="1:8" ht="18.75" customHeight="1">
      <c r="A1280" s="656"/>
      <c r="B1280" s="659" t="s">
        <v>6374</v>
      </c>
      <c r="C1280" s="659" t="s">
        <v>6380</v>
      </c>
      <c r="D1280" s="659" t="s">
        <v>6405</v>
      </c>
      <c r="E1280" s="659" t="s">
        <v>6406</v>
      </c>
      <c r="F1280" s="660">
        <v>0.1</v>
      </c>
      <c r="G1280" s="660">
        <v>0</v>
      </c>
      <c r="H1280" s="656"/>
    </row>
    <row r="1281" spans="1:8" ht="18.75" customHeight="1">
      <c r="A1281" s="656"/>
      <c r="B1281" s="657" t="s">
        <v>6407</v>
      </c>
      <c r="C1281" s="657" t="s">
        <v>6408</v>
      </c>
      <c r="D1281" s="657" t="s">
        <v>6409</v>
      </c>
      <c r="E1281" s="657" t="s">
        <v>6410</v>
      </c>
      <c r="F1281" s="658">
        <v>0.1</v>
      </c>
      <c r="G1281" s="658">
        <v>0</v>
      </c>
      <c r="H1281" s="656"/>
    </row>
    <row r="1282" spans="1:8" ht="18.75" customHeight="1">
      <c r="A1282" s="656"/>
      <c r="B1282" s="659" t="s">
        <v>6407</v>
      </c>
      <c r="C1282" s="659" t="s">
        <v>6408</v>
      </c>
      <c r="D1282" s="659" t="s">
        <v>6411</v>
      </c>
      <c r="E1282" s="659" t="s">
        <v>6412</v>
      </c>
      <c r="F1282" s="660">
        <v>0.1</v>
      </c>
      <c r="G1282" s="660">
        <v>0</v>
      </c>
      <c r="H1282" s="656"/>
    </row>
    <row r="1283" spans="1:8" ht="18.75" customHeight="1">
      <c r="A1283" s="656"/>
      <c r="B1283" s="657" t="s">
        <v>6407</v>
      </c>
      <c r="C1283" s="657" t="s">
        <v>6408</v>
      </c>
      <c r="D1283" s="657" t="s">
        <v>6413</v>
      </c>
      <c r="E1283" s="657" t="s">
        <v>6414</v>
      </c>
      <c r="F1283" s="658">
        <v>0.1</v>
      </c>
      <c r="G1283" s="658">
        <v>0</v>
      </c>
      <c r="H1283" s="656"/>
    </row>
    <row r="1284" spans="1:8" ht="18.75" customHeight="1">
      <c r="A1284" s="656"/>
      <c r="B1284" s="659" t="s">
        <v>6407</v>
      </c>
      <c r="C1284" s="659" t="s">
        <v>6408</v>
      </c>
      <c r="D1284" s="659" t="s">
        <v>6415</v>
      </c>
      <c r="E1284" s="659" t="s">
        <v>6416</v>
      </c>
      <c r="F1284" s="660">
        <v>0.1</v>
      </c>
      <c r="G1284" s="660">
        <v>0</v>
      </c>
      <c r="H1284" s="656"/>
    </row>
    <row r="1285" spans="1:8" ht="18.75" customHeight="1">
      <c r="A1285" s="656"/>
      <c r="B1285" s="657" t="s">
        <v>6407</v>
      </c>
      <c r="C1285" s="657" t="s">
        <v>6408</v>
      </c>
      <c r="D1285" s="657" t="s">
        <v>6417</v>
      </c>
      <c r="E1285" s="657" t="s">
        <v>6418</v>
      </c>
      <c r="F1285" s="658">
        <v>0.1</v>
      </c>
      <c r="G1285" s="658">
        <v>0</v>
      </c>
      <c r="H1285" s="656"/>
    </row>
    <row r="1286" spans="1:8" ht="18.75" customHeight="1">
      <c r="A1286" s="656"/>
      <c r="B1286" s="659" t="s">
        <v>6407</v>
      </c>
      <c r="C1286" s="659" t="s">
        <v>6408</v>
      </c>
      <c r="D1286" s="659" t="s">
        <v>6419</v>
      </c>
      <c r="E1286" s="659" t="s">
        <v>6420</v>
      </c>
      <c r="F1286" s="660">
        <v>0.1</v>
      </c>
      <c r="G1286" s="660">
        <v>0</v>
      </c>
      <c r="H1286" s="656"/>
    </row>
    <row r="1287" spans="1:8" ht="18.75" customHeight="1">
      <c r="A1287" s="656"/>
      <c r="B1287" s="657" t="s">
        <v>6407</v>
      </c>
      <c r="C1287" s="657" t="s">
        <v>6408</v>
      </c>
      <c r="D1287" s="657" t="s">
        <v>6421</v>
      </c>
      <c r="E1287" s="657" t="s">
        <v>6422</v>
      </c>
      <c r="F1287" s="658">
        <v>0.1</v>
      </c>
      <c r="G1287" s="658">
        <v>0</v>
      </c>
      <c r="H1287" s="656"/>
    </row>
    <row r="1288" spans="1:8" ht="18.75" customHeight="1">
      <c r="A1288" s="656"/>
      <c r="B1288" s="659" t="s">
        <v>6407</v>
      </c>
      <c r="C1288" s="659" t="s">
        <v>6408</v>
      </c>
      <c r="D1288" s="659" t="s">
        <v>6423</v>
      </c>
      <c r="E1288" s="659" t="s">
        <v>6424</v>
      </c>
      <c r="F1288" s="660">
        <v>0.1</v>
      </c>
      <c r="G1288" s="660">
        <v>0</v>
      </c>
      <c r="H1288" s="656"/>
    </row>
    <row r="1289" spans="1:8" ht="18.75" customHeight="1">
      <c r="A1289" s="656"/>
      <c r="B1289" s="657" t="s">
        <v>6407</v>
      </c>
      <c r="C1289" s="657" t="s">
        <v>6408</v>
      </c>
      <c r="D1289" s="657" t="s">
        <v>6425</v>
      </c>
      <c r="E1289" s="657" t="s">
        <v>6426</v>
      </c>
      <c r="F1289" s="658">
        <v>0.1</v>
      </c>
      <c r="G1289" s="658">
        <v>0</v>
      </c>
      <c r="H1289" s="656"/>
    </row>
    <row r="1290" spans="1:8" ht="18.75" customHeight="1">
      <c r="A1290" s="656"/>
      <c r="B1290" s="659" t="s">
        <v>6407</v>
      </c>
      <c r="C1290" s="659" t="s">
        <v>6408</v>
      </c>
      <c r="D1290" s="659" t="s">
        <v>6427</v>
      </c>
      <c r="E1290" s="659" t="s">
        <v>6428</v>
      </c>
      <c r="F1290" s="660">
        <v>0.1</v>
      </c>
      <c r="G1290" s="660">
        <v>0</v>
      </c>
      <c r="H1290" s="656"/>
    </row>
    <row r="1291" spans="1:8" ht="18.75" customHeight="1">
      <c r="A1291" s="656"/>
      <c r="B1291" s="657" t="s">
        <v>6407</v>
      </c>
      <c r="C1291" s="657" t="s">
        <v>6408</v>
      </c>
      <c r="D1291" s="657" t="s">
        <v>6429</v>
      </c>
      <c r="E1291" s="657" t="s">
        <v>6430</v>
      </c>
      <c r="F1291" s="658">
        <v>0.1</v>
      </c>
      <c r="G1291" s="658">
        <v>0</v>
      </c>
      <c r="H1291" s="656"/>
    </row>
    <row r="1292" spans="1:8" ht="18.75" customHeight="1">
      <c r="A1292" s="656"/>
      <c r="B1292" s="659" t="s">
        <v>6407</v>
      </c>
      <c r="C1292" s="659" t="s">
        <v>6408</v>
      </c>
      <c r="D1292" s="659" t="s">
        <v>6431</v>
      </c>
      <c r="E1292" s="659" t="s">
        <v>6432</v>
      </c>
      <c r="F1292" s="660">
        <v>0.1</v>
      </c>
      <c r="G1292" s="660">
        <v>0</v>
      </c>
      <c r="H1292" s="656"/>
    </row>
    <row r="1293" spans="1:8" ht="18.75" customHeight="1">
      <c r="A1293" s="656"/>
      <c r="B1293" s="657" t="s">
        <v>6407</v>
      </c>
      <c r="C1293" s="657" t="s">
        <v>6408</v>
      </c>
      <c r="D1293" s="657" t="s">
        <v>6433</v>
      </c>
      <c r="E1293" s="657" t="s">
        <v>6434</v>
      </c>
      <c r="F1293" s="658">
        <v>0.1</v>
      </c>
      <c r="G1293" s="658">
        <v>0</v>
      </c>
      <c r="H1293" s="656"/>
    </row>
    <row r="1294" spans="1:8" ht="18.75" customHeight="1">
      <c r="A1294" s="656"/>
      <c r="B1294" s="659" t="s">
        <v>6407</v>
      </c>
      <c r="C1294" s="659" t="s">
        <v>6408</v>
      </c>
      <c r="D1294" s="659" t="s">
        <v>6435</v>
      </c>
      <c r="E1294" s="659" t="s">
        <v>6436</v>
      </c>
      <c r="F1294" s="660">
        <v>0.1</v>
      </c>
      <c r="G1294" s="660">
        <v>0</v>
      </c>
      <c r="H1294" s="656"/>
    </row>
    <row r="1295" spans="1:8" ht="18.75" customHeight="1">
      <c r="A1295" s="656"/>
      <c r="B1295" s="657" t="s">
        <v>6407</v>
      </c>
      <c r="C1295" s="657" t="s">
        <v>6408</v>
      </c>
      <c r="D1295" s="657" t="s">
        <v>6437</v>
      </c>
      <c r="E1295" s="657" t="s">
        <v>6438</v>
      </c>
      <c r="F1295" s="658">
        <v>0.1</v>
      </c>
      <c r="G1295" s="658">
        <v>0</v>
      </c>
      <c r="H1295" s="656"/>
    </row>
    <row r="1296" spans="1:8" ht="18.75" customHeight="1">
      <c r="A1296" s="656"/>
      <c r="B1296" s="659" t="s">
        <v>6407</v>
      </c>
      <c r="C1296" s="659" t="s">
        <v>6408</v>
      </c>
      <c r="D1296" s="659" t="s">
        <v>6439</v>
      </c>
      <c r="E1296" s="659" t="s">
        <v>6440</v>
      </c>
      <c r="F1296" s="660">
        <v>0.1</v>
      </c>
      <c r="G1296" s="660">
        <v>0</v>
      </c>
      <c r="H1296" s="656"/>
    </row>
    <row r="1297" spans="1:8" ht="18.75" customHeight="1">
      <c r="A1297" s="656"/>
      <c r="B1297" s="657" t="s">
        <v>6407</v>
      </c>
      <c r="C1297" s="657" t="s">
        <v>6408</v>
      </c>
      <c r="D1297" s="657" t="s">
        <v>6441</v>
      </c>
      <c r="E1297" s="657" t="s">
        <v>6442</v>
      </c>
      <c r="F1297" s="658">
        <v>0.1</v>
      </c>
      <c r="G1297" s="658">
        <v>0</v>
      </c>
      <c r="H1297" s="656"/>
    </row>
    <row r="1298" spans="1:8" ht="18.75" customHeight="1">
      <c r="A1298" s="656"/>
      <c r="B1298" s="659" t="s">
        <v>6407</v>
      </c>
      <c r="C1298" s="659" t="s">
        <v>6408</v>
      </c>
      <c r="D1298" s="659" t="s">
        <v>6443</v>
      </c>
      <c r="E1298" s="659" t="s">
        <v>6444</v>
      </c>
      <c r="F1298" s="660">
        <v>0.1</v>
      </c>
      <c r="G1298" s="660">
        <v>0</v>
      </c>
      <c r="H1298" s="656"/>
    </row>
    <row r="1299" spans="1:8" ht="18.75" customHeight="1">
      <c r="A1299" s="656"/>
      <c r="B1299" s="657" t="s">
        <v>6407</v>
      </c>
      <c r="C1299" s="657" t="s">
        <v>6408</v>
      </c>
      <c r="D1299" s="657" t="s">
        <v>6445</v>
      </c>
      <c r="E1299" s="657" t="s">
        <v>6446</v>
      </c>
      <c r="F1299" s="658">
        <v>0.1</v>
      </c>
      <c r="G1299" s="658">
        <v>0</v>
      </c>
      <c r="H1299" s="656"/>
    </row>
    <row r="1300" spans="1:8" ht="18.75" customHeight="1">
      <c r="A1300" s="656"/>
      <c r="B1300" s="659" t="s">
        <v>6407</v>
      </c>
      <c r="C1300" s="659" t="s">
        <v>6408</v>
      </c>
      <c r="D1300" s="659" t="s">
        <v>6447</v>
      </c>
      <c r="E1300" s="659" t="s">
        <v>6448</v>
      </c>
      <c r="F1300" s="660">
        <v>0.1</v>
      </c>
      <c r="G1300" s="660">
        <v>0</v>
      </c>
      <c r="H1300" s="656"/>
    </row>
    <row r="1301" spans="1:8" ht="18.75" customHeight="1">
      <c r="A1301" s="656"/>
      <c r="B1301" s="657" t="s">
        <v>6407</v>
      </c>
      <c r="C1301" s="657" t="s">
        <v>6408</v>
      </c>
      <c r="D1301" s="657" t="s">
        <v>6449</v>
      </c>
      <c r="E1301" s="657" t="s">
        <v>6450</v>
      </c>
      <c r="F1301" s="658">
        <v>0.1</v>
      </c>
      <c r="G1301" s="658">
        <v>0</v>
      </c>
      <c r="H1301" s="656"/>
    </row>
    <row r="1302" spans="1:8" ht="18.75" customHeight="1">
      <c r="A1302" s="656"/>
      <c r="B1302" s="659" t="s">
        <v>6407</v>
      </c>
      <c r="C1302" s="659" t="s">
        <v>6408</v>
      </c>
      <c r="D1302" s="659" t="s">
        <v>6451</v>
      </c>
      <c r="E1302" s="659" t="s">
        <v>6452</v>
      </c>
      <c r="F1302" s="660">
        <v>0.1</v>
      </c>
      <c r="G1302" s="660">
        <v>0</v>
      </c>
      <c r="H1302" s="656"/>
    </row>
    <row r="1303" spans="1:8" ht="18.75" customHeight="1">
      <c r="A1303" s="656"/>
      <c r="B1303" s="657" t="s">
        <v>6407</v>
      </c>
      <c r="C1303" s="657" t="s">
        <v>6408</v>
      </c>
      <c r="D1303" s="657" t="s">
        <v>6453</v>
      </c>
      <c r="E1303" s="657" t="s">
        <v>6454</v>
      </c>
      <c r="F1303" s="658">
        <v>0.1</v>
      </c>
      <c r="G1303" s="658">
        <v>0</v>
      </c>
      <c r="H1303" s="656"/>
    </row>
    <row r="1304" spans="1:8" ht="18.75" customHeight="1">
      <c r="A1304" s="656"/>
      <c r="B1304" s="659" t="s">
        <v>6407</v>
      </c>
      <c r="C1304" s="659" t="s">
        <v>6455</v>
      </c>
      <c r="D1304" s="659" t="s">
        <v>6456</v>
      </c>
      <c r="E1304" s="659" t="s">
        <v>6457</v>
      </c>
      <c r="F1304" s="660">
        <v>0.1</v>
      </c>
      <c r="G1304" s="660">
        <v>0</v>
      </c>
      <c r="H1304" s="656"/>
    </row>
    <row r="1305" spans="1:8" ht="18.75" customHeight="1">
      <c r="A1305" s="656"/>
      <c r="B1305" s="657" t="s">
        <v>6407</v>
      </c>
      <c r="C1305" s="657" t="s">
        <v>6455</v>
      </c>
      <c r="D1305" s="657" t="s">
        <v>6458</v>
      </c>
      <c r="E1305" s="657" t="s">
        <v>6459</v>
      </c>
      <c r="F1305" s="658">
        <v>0.1</v>
      </c>
      <c r="G1305" s="658">
        <v>0</v>
      </c>
      <c r="H1305" s="656"/>
    </row>
    <row r="1306" spans="1:8" ht="18.75" customHeight="1">
      <c r="A1306" s="656"/>
      <c r="B1306" s="659" t="s">
        <v>6407</v>
      </c>
      <c r="C1306" s="659" t="s">
        <v>6460</v>
      </c>
      <c r="D1306" s="659" t="s">
        <v>6461</v>
      </c>
      <c r="E1306" s="659" t="s">
        <v>6462</v>
      </c>
      <c r="F1306" s="660">
        <v>0.1</v>
      </c>
      <c r="G1306" s="660">
        <v>0</v>
      </c>
      <c r="H1306" s="656"/>
    </row>
    <row r="1307" spans="1:8" ht="18.75" customHeight="1">
      <c r="A1307" s="656"/>
      <c r="B1307" s="657" t="s">
        <v>6407</v>
      </c>
      <c r="C1307" s="657" t="s">
        <v>6455</v>
      </c>
      <c r="D1307" s="657" t="s">
        <v>6463</v>
      </c>
      <c r="E1307" s="657" t="s">
        <v>6464</v>
      </c>
      <c r="F1307" s="658">
        <v>0.1</v>
      </c>
      <c r="G1307" s="658">
        <v>0</v>
      </c>
      <c r="H1307" s="656"/>
    </row>
    <row r="1308" spans="1:8" ht="18.75" customHeight="1">
      <c r="A1308" s="656"/>
      <c r="B1308" s="659" t="s">
        <v>6407</v>
      </c>
      <c r="C1308" s="659" t="s">
        <v>6455</v>
      </c>
      <c r="D1308" s="659" t="s">
        <v>6465</v>
      </c>
      <c r="E1308" s="659" t="s">
        <v>6466</v>
      </c>
      <c r="F1308" s="660">
        <v>0.1</v>
      </c>
      <c r="G1308" s="660">
        <v>0</v>
      </c>
      <c r="H1308" s="656"/>
    </row>
    <row r="1309" spans="1:8" ht="18.75" customHeight="1">
      <c r="A1309" s="656"/>
      <c r="B1309" s="657" t="s">
        <v>6407</v>
      </c>
      <c r="C1309" s="657" t="s">
        <v>6455</v>
      </c>
      <c r="D1309" s="657" t="s">
        <v>6467</v>
      </c>
      <c r="E1309" s="657" t="s">
        <v>6468</v>
      </c>
      <c r="F1309" s="658">
        <v>0.1</v>
      </c>
      <c r="G1309" s="658">
        <v>0</v>
      </c>
      <c r="H1309" s="656"/>
    </row>
    <row r="1310" spans="1:8" ht="18.75" customHeight="1">
      <c r="A1310" s="656"/>
      <c r="B1310" s="659" t="s">
        <v>6407</v>
      </c>
      <c r="C1310" s="659" t="s">
        <v>6469</v>
      </c>
      <c r="D1310" s="659" t="s">
        <v>6470</v>
      </c>
      <c r="E1310" s="659" t="s">
        <v>6471</v>
      </c>
      <c r="F1310" s="660">
        <v>0.1</v>
      </c>
      <c r="G1310" s="660">
        <v>0</v>
      </c>
      <c r="H1310" s="656"/>
    </row>
    <row r="1311" spans="1:8" ht="18.75" customHeight="1">
      <c r="A1311" s="656"/>
      <c r="B1311" s="657" t="s">
        <v>6407</v>
      </c>
      <c r="C1311" s="657" t="s">
        <v>6469</v>
      </c>
      <c r="D1311" s="657" t="s">
        <v>6472</v>
      </c>
      <c r="E1311" s="657" t="s">
        <v>6473</v>
      </c>
      <c r="F1311" s="658">
        <v>0.1</v>
      </c>
      <c r="G1311" s="658">
        <v>0</v>
      </c>
      <c r="H1311" s="656"/>
    </row>
    <row r="1312" spans="1:8" ht="18.75" customHeight="1">
      <c r="A1312" s="656"/>
      <c r="B1312" s="659" t="s">
        <v>6407</v>
      </c>
      <c r="C1312" s="659" t="s">
        <v>6469</v>
      </c>
      <c r="D1312" s="659" t="s">
        <v>6474</v>
      </c>
      <c r="E1312" s="659" t="s">
        <v>6475</v>
      </c>
      <c r="F1312" s="660">
        <v>0.1</v>
      </c>
      <c r="G1312" s="660">
        <v>0</v>
      </c>
      <c r="H1312" s="656"/>
    </row>
    <row r="1313" spans="1:8" ht="18.75" customHeight="1">
      <c r="A1313" s="656"/>
      <c r="B1313" s="657" t="s">
        <v>6407</v>
      </c>
      <c r="C1313" s="657" t="s">
        <v>6469</v>
      </c>
      <c r="D1313" s="657" t="s">
        <v>6476</v>
      </c>
      <c r="E1313" s="657" t="s">
        <v>6477</v>
      </c>
      <c r="F1313" s="658">
        <v>0.1</v>
      </c>
      <c r="G1313" s="658">
        <v>0</v>
      </c>
      <c r="H1313" s="656"/>
    </row>
    <row r="1314" spans="1:8" ht="18.75" customHeight="1">
      <c r="A1314" s="656"/>
      <c r="B1314" s="659" t="s">
        <v>6407</v>
      </c>
      <c r="C1314" s="659" t="s">
        <v>6469</v>
      </c>
      <c r="D1314" s="659" t="s">
        <v>6478</v>
      </c>
      <c r="E1314" s="659" t="s">
        <v>6479</v>
      </c>
      <c r="F1314" s="660">
        <v>0.1</v>
      </c>
      <c r="G1314" s="660">
        <v>0</v>
      </c>
      <c r="H1314" s="656"/>
    </row>
    <row r="1315" spans="1:8" ht="18.75" customHeight="1">
      <c r="A1315" s="656"/>
      <c r="B1315" s="657" t="s">
        <v>6407</v>
      </c>
      <c r="C1315" s="657" t="s">
        <v>6455</v>
      </c>
      <c r="D1315" s="657" t="s">
        <v>6480</v>
      </c>
      <c r="E1315" s="657" t="s">
        <v>6481</v>
      </c>
      <c r="F1315" s="658">
        <v>0.1</v>
      </c>
      <c r="G1315" s="658">
        <v>0</v>
      </c>
      <c r="H1315" s="656"/>
    </row>
    <row r="1316" spans="1:8" ht="18.75" customHeight="1">
      <c r="A1316" s="656"/>
      <c r="B1316" s="659" t="s">
        <v>6407</v>
      </c>
      <c r="C1316" s="659" t="s">
        <v>6469</v>
      </c>
      <c r="D1316" s="659" t="s">
        <v>6482</v>
      </c>
      <c r="E1316" s="659" t="s">
        <v>6483</v>
      </c>
      <c r="F1316" s="660">
        <v>0.1</v>
      </c>
      <c r="G1316" s="660">
        <v>0</v>
      </c>
      <c r="H1316" s="656"/>
    </row>
    <row r="1317" spans="1:8" ht="18.75" customHeight="1">
      <c r="A1317" s="656"/>
      <c r="B1317" s="657" t="s">
        <v>6407</v>
      </c>
      <c r="C1317" s="657" t="s">
        <v>6469</v>
      </c>
      <c r="D1317" s="657" t="s">
        <v>6484</v>
      </c>
      <c r="E1317" s="657" t="s">
        <v>6485</v>
      </c>
      <c r="F1317" s="658">
        <v>0.1</v>
      </c>
      <c r="G1317" s="658">
        <v>0</v>
      </c>
      <c r="H1317" s="656"/>
    </row>
    <row r="1318" spans="1:8" ht="18.75" customHeight="1">
      <c r="A1318" s="656"/>
      <c r="B1318" s="659" t="s">
        <v>6407</v>
      </c>
      <c r="C1318" s="659" t="s">
        <v>6469</v>
      </c>
      <c r="D1318" s="659" t="s">
        <v>6486</v>
      </c>
      <c r="E1318" s="659" t="s">
        <v>6487</v>
      </c>
      <c r="F1318" s="660">
        <v>0.1</v>
      </c>
      <c r="G1318" s="660">
        <v>0</v>
      </c>
      <c r="H1318" s="656"/>
    </row>
    <row r="1319" spans="1:8" ht="18.75" customHeight="1">
      <c r="A1319" s="656"/>
      <c r="B1319" s="657" t="s">
        <v>6407</v>
      </c>
      <c r="C1319" s="657" t="s">
        <v>6469</v>
      </c>
      <c r="D1319" s="657" t="s">
        <v>6488</v>
      </c>
      <c r="E1319" s="657" t="s">
        <v>6489</v>
      </c>
      <c r="F1319" s="658">
        <v>0.1</v>
      </c>
      <c r="G1319" s="658">
        <v>0</v>
      </c>
      <c r="H1319" s="656"/>
    </row>
    <row r="1320" spans="1:8" ht="18.75" customHeight="1">
      <c r="A1320" s="656"/>
      <c r="B1320" s="659" t="s">
        <v>6407</v>
      </c>
      <c r="C1320" s="659" t="s">
        <v>6469</v>
      </c>
      <c r="D1320" s="659" t="s">
        <v>6490</v>
      </c>
      <c r="E1320" s="659" t="s">
        <v>6491</v>
      </c>
      <c r="F1320" s="660">
        <v>0.1</v>
      </c>
      <c r="G1320" s="660">
        <v>0</v>
      </c>
      <c r="H1320" s="656"/>
    </row>
    <row r="1321" spans="1:8" ht="18.75" customHeight="1">
      <c r="A1321" s="656"/>
      <c r="B1321" s="657" t="s">
        <v>6407</v>
      </c>
      <c r="C1321" s="657" t="s">
        <v>6469</v>
      </c>
      <c r="D1321" s="657" t="s">
        <v>6492</v>
      </c>
      <c r="E1321" s="657" t="s">
        <v>6493</v>
      </c>
      <c r="F1321" s="658">
        <v>0.1</v>
      </c>
      <c r="G1321" s="658">
        <v>0</v>
      </c>
      <c r="H1321" s="656"/>
    </row>
    <row r="1322" spans="1:8" ht="18.75" customHeight="1">
      <c r="A1322" s="656"/>
      <c r="B1322" s="659" t="s">
        <v>6407</v>
      </c>
      <c r="C1322" s="659" t="s">
        <v>6469</v>
      </c>
      <c r="D1322" s="659" t="s">
        <v>6494</v>
      </c>
      <c r="E1322" s="659" t="s">
        <v>6495</v>
      </c>
      <c r="F1322" s="660">
        <v>0.1</v>
      </c>
      <c r="G1322" s="660">
        <v>0</v>
      </c>
      <c r="H1322" s="656"/>
    </row>
    <row r="1323" spans="1:8" ht="18.75" customHeight="1">
      <c r="A1323" s="656"/>
      <c r="B1323" s="657" t="s">
        <v>6407</v>
      </c>
      <c r="C1323" s="657" t="s">
        <v>6469</v>
      </c>
      <c r="D1323" s="657" t="s">
        <v>6496</v>
      </c>
      <c r="E1323" s="657" t="s">
        <v>6497</v>
      </c>
      <c r="F1323" s="658">
        <v>0.1</v>
      </c>
      <c r="G1323" s="658">
        <v>0</v>
      </c>
      <c r="H1323" s="656"/>
    </row>
    <row r="1324" spans="1:8" ht="18.75" customHeight="1">
      <c r="A1324" s="656"/>
      <c r="B1324" s="659" t="s">
        <v>6407</v>
      </c>
      <c r="C1324" s="659" t="s">
        <v>6469</v>
      </c>
      <c r="D1324" s="659" t="s">
        <v>6498</v>
      </c>
      <c r="E1324" s="659" t="s">
        <v>6499</v>
      </c>
      <c r="F1324" s="660">
        <v>0.1</v>
      </c>
      <c r="G1324" s="660">
        <v>0</v>
      </c>
      <c r="H1324" s="656"/>
    </row>
    <row r="1325" spans="1:8" ht="18.75" customHeight="1">
      <c r="A1325" s="656"/>
      <c r="B1325" s="657" t="s">
        <v>6407</v>
      </c>
      <c r="C1325" s="657" t="s">
        <v>6469</v>
      </c>
      <c r="D1325" s="657" t="s">
        <v>6500</v>
      </c>
      <c r="E1325" s="657" t="s">
        <v>6501</v>
      </c>
      <c r="F1325" s="658">
        <v>0.1</v>
      </c>
      <c r="G1325" s="658">
        <v>0</v>
      </c>
      <c r="H1325" s="656"/>
    </row>
    <row r="1326" spans="1:8" ht="18.75" customHeight="1">
      <c r="A1326" s="656"/>
      <c r="B1326" s="659" t="s">
        <v>6407</v>
      </c>
      <c r="C1326" s="659" t="s">
        <v>6469</v>
      </c>
      <c r="D1326" s="659" t="s">
        <v>6502</v>
      </c>
      <c r="E1326" s="659" t="s">
        <v>6503</v>
      </c>
      <c r="F1326" s="660">
        <v>0.1</v>
      </c>
      <c r="G1326" s="660">
        <v>0</v>
      </c>
      <c r="H1326" s="656"/>
    </row>
    <row r="1327" spans="1:8" ht="18.75" customHeight="1">
      <c r="A1327" s="656"/>
      <c r="B1327" s="657" t="s">
        <v>6407</v>
      </c>
      <c r="C1327" s="657" t="s">
        <v>6469</v>
      </c>
      <c r="D1327" s="657" t="s">
        <v>6504</v>
      </c>
      <c r="E1327" s="657" t="s">
        <v>6505</v>
      </c>
      <c r="F1327" s="658">
        <v>0.1</v>
      </c>
      <c r="G1327" s="658">
        <v>0</v>
      </c>
      <c r="H1327" s="656"/>
    </row>
    <row r="1328" spans="1:8" ht="18.75" customHeight="1">
      <c r="A1328" s="656"/>
      <c r="B1328" s="659" t="s">
        <v>6407</v>
      </c>
      <c r="C1328" s="659" t="s">
        <v>6469</v>
      </c>
      <c r="D1328" s="659" t="s">
        <v>6506</v>
      </c>
      <c r="E1328" s="659" t="s">
        <v>6507</v>
      </c>
      <c r="F1328" s="660">
        <v>0.1</v>
      </c>
      <c r="G1328" s="660">
        <v>0</v>
      </c>
      <c r="H1328" s="656"/>
    </row>
    <row r="1329" spans="1:8" ht="18.75" customHeight="1">
      <c r="A1329" s="656"/>
      <c r="B1329" s="657" t="s">
        <v>6407</v>
      </c>
      <c r="C1329" s="657" t="s">
        <v>6469</v>
      </c>
      <c r="D1329" s="657" t="s">
        <v>6508</v>
      </c>
      <c r="E1329" s="657" t="s">
        <v>6509</v>
      </c>
      <c r="F1329" s="658">
        <v>0.1</v>
      </c>
      <c r="G1329" s="658">
        <v>0</v>
      </c>
      <c r="H1329" s="656"/>
    </row>
    <row r="1330" spans="1:8" ht="18.75" customHeight="1">
      <c r="A1330" s="656"/>
      <c r="B1330" s="659" t="s">
        <v>6407</v>
      </c>
      <c r="C1330" s="659" t="s">
        <v>6469</v>
      </c>
      <c r="D1330" s="659" t="s">
        <v>6510</v>
      </c>
      <c r="E1330" s="659" t="s">
        <v>6511</v>
      </c>
      <c r="F1330" s="660">
        <v>0.1</v>
      </c>
      <c r="G1330" s="660">
        <v>0</v>
      </c>
      <c r="H1330" s="656"/>
    </row>
    <row r="1331" spans="1:8" ht="18.75" customHeight="1">
      <c r="A1331" s="656"/>
      <c r="B1331" s="657" t="s">
        <v>6407</v>
      </c>
      <c r="C1331" s="657" t="s">
        <v>6469</v>
      </c>
      <c r="D1331" s="657" t="s">
        <v>6512</v>
      </c>
      <c r="E1331" s="657" t="s">
        <v>6513</v>
      </c>
      <c r="F1331" s="658">
        <v>0.1</v>
      </c>
      <c r="G1331" s="658">
        <v>0</v>
      </c>
      <c r="H1331" s="656"/>
    </row>
    <row r="1332" spans="1:8" ht="18.75" customHeight="1">
      <c r="A1332" s="656"/>
      <c r="B1332" s="659" t="s">
        <v>6407</v>
      </c>
      <c r="C1332" s="659" t="s">
        <v>6469</v>
      </c>
      <c r="D1332" s="659" t="s">
        <v>6514</v>
      </c>
      <c r="E1332" s="659" t="s">
        <v>6515</v>
      </c>
      <c r="F1332" s="660">
        <v>0.1</v>
      </c>
      <c r="G1332" s="660">
        <v>0</v>
      </c>
      <c r="H1332" s="656"/>
    </row>
    <row r="1333" spans="1:8" ht="18.75" customHeight="1">
      <c r="A1333" s="656"/>
      <c r="B1333" s="657" t="s">
        <v>6407</v>
      </c>
      <c r="C1333" s="657" t="s">
        <v>6469</v>
      </c>
      <c r="D1333" s="657" t="s">
        <v>6516</v>
      </c>
      <c r="E1333" s="657" t="s">
        <v>6517</v>
      </c>
      <c r="F1333" s="658">
        <v>0.1</v>
      </c>
      <c r="G1333" s="658">
        <v>0</v>
      </c>
      <c r="H1333" s="656"/>
    </row>
    <row r="1334" spans="1:8" ht="18.75" customHeight="1">
      <c r="A1334" s="656"/>
      <c r="B1334" s="659" t="s">
        <v>6407</v>
      </c>
      <c r="C1334" s="659" t="s">
        <v>6469</v>
      </c>
      <c r="D1334" s="659" t="s">
        <v>6518</v>
      </c>
      <c r="E1334" s="659" t="s">
        <v>6519</v>
      </c>
      <c r="F1334" s="660">
        <v>0.1</v>
      </c>
      <c r="G1334" s="660">
        <v>0</v>
      </c>
      <c r="H1334" s="656"/>
    </row>
    <row r="1335" spans="1:8" ht="18.75" customHeight="1">
      <c r="A1335" s="656"/>
      <c r="B1335" s="657" t="s">
        <v>6407</v>
      </c>
      <c r="C1335" s="657" t="s">
        <v>6469</v>
      </c>
      <c r="D1335" s="657" t="s">
        <v>6520</v>
      </c>
      <c r="E1335" s="657" t="s">
        <v>6521</v>
      </c>
      <c r="F1335" s="658">
        <v>0.1</v>
      </c>
      <c r="G1335" s="658">
        <v>0</v>
      </c>
      <c r="H1335" s="656"/>
    </row>
    <row r="1336" spans="1:8" ht="18.75" customHeight="1">
      <c r="A1336" s="656"/>
      <c r="B1336" s="659" t="s">
        <v>6407</v>
      </c>
      <c r="C1336" s="659" t="s">
        <v>6469</v>
      </c>
      <c r="D1336" s="659" t="s">
        <v>6522</v>
      </c>
      <c r="E1336" s="659" t="s">
        <v>6523</v>
      </c>
      <c r="F1336" s="660">
        <v>0.1</v>
      </c>
      <c r="G1336" s="660">
        <v>0</v>
      </c>
      <c r="H1336" s="656"/>
    </row>
    <row r="1337" spans="1:8" ht="18.75" customHeight="1">
      <c r="A1337" s="656"/>
      <c r="B1337" s="657" t="s">
        <v>6407</v>
      </c>
      <c r="C1337" s="657" t="s">
        <v>6469</v>
      </c>
      <c r="D1337" s="657" t="s">
        <v>6524</v>
      </c>
      <c r="E1337" s="657" t="s">
        <v>6525</v>
      </c>
      <c r="F1337" s="658">
        <v>0.1</v>
      </c>
      <c r="G1337" s="658">
        <v>0</v>
      </c>
      <c r="H1337" s="656"/>
    </row>
    <row r="1338" spans="1:8" ht="18.75" customHeight="1">
      <c r="A1338" s="656"/>
      <c r="B1338" s="659" t="s">
        <v>6407</v>
      </c>
      <c r="C1338" s="659" t="s">
        <v>6469</v>
      </c>
      <c r="D1338" s="659" t="s">
        <v>6526</v>
      </c>
      <c r="E1338" s="659" t="s">
        <v>6527</v>
      </c>
      <c r="F1338" s="660">
        <v>0.1</v>
      </c>
      <c r="G1338" s="660">
        <v>0</v>
      </c>
      <c r="H1338" s="656"/>
    </row>
    <row r="1339" spans="1:8" ht="18.75" customHeight="1">
      <c r="A1339" s="656"/>
      <c r="B1339" s="657" t="s">
        <v>6407</v>
      </c>
      <c r="C1339" s="657" t="s">
        <v>6469</v>
      </c>
      <c r="D1339" s="657" t="s">
        <v>6528</v>
      </c>
      <c r="E1339" s="657" t="s">
        <v>6529</v>
      </c>
      <c r="F1339" s="658">
        <v>0.1</v>
      </c>
      <c r="G1339" s="658">
        <v>0</v>
      </c>
      <c r="H1339" s="656"/>
    </row>
    <row r="1340" spans="1:8" ht="18.75" customHeight="1">
      <c r="A1340" s="656"/>
      <c r="B1340" s="659" t="s">
        <v>6407</v>
      </c>
      <c r="C1340" s="659" t="s">
        <v>6469</v>
      </c>
      <c r="D1340" s="659" t="s">
        <v>6530</v>
      </c>
      <c r="E1340" s="659" t="s">
        <v>6531</v>
      </c>
      <c r="F1340" s="660">
        <v>0.1</v>
      </c>
      <c r="G1340" s="660">
        <v>0</v>
      </c>
      <c r="H1340" s="656"/>
    </row>
    <row r="1341" spans="1:8" ht="18.75" customHeight="1">
      <c r="A1341" s="656"/>
      <c r="B1341" s="657" t="s">
        <v>6407</v>
      </c>
      <c r="C1341" s="657" t="s">
        <v>6469</v>
      </c>
      <c r="D1341" s="657" t="s">
        <v>6532</v>
      </c>
      <c r="E1341" s="657" t="s">
        <v>6533</v>
      </c>
      <c r="F1341" s="658">
        <v>0.1</v>
      </c>
      <c r="G1341" s="658">
        <v>0</v>
      </c>
      <c r="H1341" s="656"/>
    </row>
    <row r="1342" spans="1:8" ht="18.75" customHeight="1">
      <c r="A1342" s="656"/>
      <c r="B1342" s="659" t="s">
        <v>6407</v>
      </c>
      <c r="C1342" s="659" t="s">
        <v>6469</v>
      </c>
      <c r="D1342" s="659" t="s">
        <v>6534</v>
      </c>
      <c r="E1342" s="659" t="s">
        <v>6535</v>
      </c>
      <c r="F1342" s="660">
        <v>0.1</v>
      </c>
      <c r="G1342" s="660">
        <v>0</v>
      </c>
      <c r="H1342" s="656"/>
    </row>
    <row r="1343" spans="1:8" ht="18.75" customHeight="1">
      <c r="A1343" s="656"/>
      <c r="B1343" s="657" t="s">
        <v>6407</v>
      </c>
      <c r="C1343" s="657" t="s">
        <v>6469</v>
      </c>
      <c r="D1343" s="657" t="s">
        <v>6536</v>
      </c>
      <c r="E1343" s="657" t="s">
        <v>6537</v>
      </c>
      <c r="F1343" s="658">
        <v>0.1</v>
      </c>
      <c r="G1343" s="658">
        <v>0</v>
      </c>
      <c r="H1343" s="656"/>
    </row>
    <row r="1344" spans="1:8" ht="18.75" customHeight="1">
      <c r="A1344" s="656"/>
      <c r="B1344" s="659" t="s">
        <v>6407</v>
      </c>
      <c r="C1344" s="659" t="s">
        <v>6469</v>
      </c>
      <c r="D1344" s="659" t="s">
        <v>6538</v>
      </c>
      <c r="E1344" s="659" t="s">
        <v>6539</v>
      </c>
      <c r="F1344" s="660">
        <v>0.1</v>
      </c>
      <c r="G1344" s="660">
        <v>0</v>
      </c>
      <c r="H1344" s="656"/>
    </row>
    <row r="1345" spans="1:8" ht="18.75" customHeight="1">
      <c r="A1345" s="656"/>
      <c r="B1345" s="657" t="s">
        <v>6407</v>
      </c>
      <c r="C1345" s="657" t="s">
        <v>6469</v>
      </c>
      <c r="D1345" s="657" t="s">
        <v>6540</v>
      </c>
      <c r="E1345" s="657" t="s">
        <v>6541</v>
      </c>
      <c r="F1345" s="658">
        <v>0.1</v>
      </c>
      <c r="G1345" s="658">
        <v>0</v>
      </c>
      <c r="H1345" s="656"/>
    </row>
    <row r="1346" spans="1:8" ht="18.75" customHeight="1">
      <c r="A1346" s="656"/>
      <c r="B1346" s="659" t="s">
        <v>6407</v>
      </c>
      <c r="C1346" s="659" t="s">
        <v>6469</v>
      </c>
      <c r="D1346" s="659" t="s">
        <v>6542</v>
      </c>
      <c r="E1346" s="659" t="s">
        <v>6543</v>
      </c>
      <c r="F1346" s="660">
        <v>0.1</v>
      </c>
      <c r="G1346" s="660">
        <v>0</v>
      </c>
      <c r="H1346" s="656"/>
    </row>
    <row r="1347" spans="1:8" ht="18.75" customHeight="1">
      <c r="A1347" s="656"/>
      <c r="B1347" s="657" t="s">
        <v>6407</v>
      </c>
      <c r="C1347" s="657" t="s">
        <v>6469</v>
      </c>
      <c r="D1347" s="657" t="s">
        <v>6544</v>
      </c>
      <c r="E1347" s="657" t="s">
        <v>6545</v>
      </c>
      <c r="F1347" s="658">
        <v>0.1</v>
      </c>
      <c r="G1347" s="658">
        <v>0</v>
      </c>
      <c r="H1347" s="656"/>
    </row>
    <row r="1348" spans="1:8" ht="18.75" customHeight="1">
      <c r="A1348" s="656"/>
      <c r="B1348" s="659" t="s">
        <v>6407</v>
      </c>
      <c r="C1348" s="659" t="s">
        <v>6469</v>
      </c>
      <c r="D1348" s="659" t="s">
        <v>6546</v>
      </c>
      <c r="E1348" s="659" t="s">
        <v>6547</v>
      </c>
      <c r="F1348" s="660">
        <v>0.1</v>
      </c>
      <c r="G1348" s="660">
        <v>0</v>
      </c>
      <c r="H1348" s="656"/>
    </row>
    <row r="1349" spans="1:8" ht="18.75" customHeight="1">
      <c r="A1349" s="656"/>
      <c r="B1349" s="657" t="s">
        <v>6407</v>
      </c>
      <c r="C1349" s="657" t="s">
        <v>6469</v>
      </c>
      <c r="D1349" s="657" t="s">
        <v>6548</v>
      </c>
      <c r="E1349" s="657" t="s">
        <v>6549</v>
      </c>
      <c r="F1349" s="658">
        <v>0.1</v>
      </c>
      <c r="G1349" s="658">
        <v>0</v>
      </c>
      <c r="H1349" s="656"/>
    </row>
    <row r="1350" spans="1:8" ht="18.75" customHeight="1">
      <c r="A1350" s="656"/>
      <c r="B1350" s="659" t="s">
        <v>6407</v>
      </c>
      <c r="C1350" s="659" t="s">
        <v>6469</v>
      </c>
      <c r="D1350" s="659" t="s">
        <v>6550</v>
      </c>
      <c r="E1350" s="659" t="s">
        <v>6551</v>
      </c>
      <c r="F1350" s="660">
        <v>0.1</v>
      </c>
      <c r="G1350" s="660">
        <v>0</v>
      </c>
      <c r="H1350" s="656"/>
    </row>
    <row r="1351" spans="1:8" ht="18.75" customHeight="1">
      <c r="A1351" s="656"/>
      <c r="B1351" s="657" t="s">
        <v>6407</v>
      </c>
      <c r="C1351" s="657" t="s">
        <v>6469</v>
      </c>
      <c r="D1351" s="657" t="s">
        <v>6552</v>
      </c>
      <c r="E1351" s="657" t="s">
        <v>6553</v>
      </c>
      <c r="F1351" s="658">
        <v>0.1</v>
      </c>
      <c r="G1351" s="658">
        <v>0</v>
      </c>
      <c r="H1351" s="656"/>
    </row>
    <row r="1352" spans="1:8" ht="18.75" customHeight="1">
      <c r="A1352" s="656"/>
      <c r="B1352" s="659" t="s">
        <v>6407</v>
      </c>
      <c r="C1352" s="659" t="s">
        <v>6469</v>
      </c>
      <c r="D1352" s="659" t="s">
        <v>6554</v>
      </c>
      <c r="E1352" s="659" t="s">
        <v>6555</v>
      </c>
      <c r="F1352" s="660">
        <v>0.1</v>
      </c>
      <c r="G1352" s="660">
        <v>0</v>
      </c>
      <c r="H1352" s="656"/>
    </row>
    <row r="1353" spans="1:8" ht="18.75" customHeight="1">
      <c r="A1353" s="656"/>
      <c r="B1353" s="657" t="s">
        <v>6407</v>
      </c>
      <c r="C1353" s="657" t="s">
        <v>6469</v>
      </c>
      <c r="D1353" s="657" t="s">
        <v>6556</v>
      </c>
      <c r="E1353" s="657" t="s">
        <v>6557</v>
      </c>
      <c r="F1353" s="658">
        <v>0.1</v>
      </c>
      <c r="G1353" s="658">
        <v>0</v>
      </c>
      <c r="H1353" s="656"/>
    </row>
    <row r="1354" spans="1:8" ht="18.75" customHeight="1">
      <c r="A1354" s="656"/>
      <c r="B1354" s="659" t="s">
        <v>6407</v>
      </c>
      <c r="C1354" s="659" t="s">
        <v>6469</v>
      </c>
      <c r="D1354" s="659" t="s">
        <v>6558</v>
      </c>
      <c r="E1354" s="659" t="s">
        <v>6559</v>
      </c>
      <c r="F1354" s="660">
        <v>0.1</v>
      </c>
      <c r="G1354" s="660">
        <v>0</v>
      </c>
      <c r="H1354" s="656"/>
    </row>
    <row r="1355" spans="1:8" ht="18.75" customHeight="1">
      <c r="A1355" s="656"/>
      <c r="B1355" s="657" t="s">
        <v>6407</v>
      </c>
      <c r="C1355" s="657" t="s">
        <v>6469</v>
      </c>
      <c r="D1355" s="657" t="s">
        <v>6560</v>
      </c>
      <c r="E1355" s="657" t="s">
        <v>6561</v>
      </c>
      <c r="F1355" s="658">
        <v>0.1</v>
      </c>
      <c r="G1355" s="658">
        <v>0</v>
      </c>
      <c r="H1355" s="656"/>
    </row>
    <row r="1356" spans="1:8" ht="18.75" customHeight="1">
      <c r="A1356" s="656"/>
      <c r="B1356" s="659" t="s">
        <v>6407</v>
      </c>
      <c r="C1356" s="659" t="s">
        <v>6469</v>
      </c>
      <c r="D1356" s="659" t="s">
        <v>6562</v>
      </c>
      <c r="E1356" s="659" t="s">
        <v>6563</v>
      </c>
      <c r="F1356" s="660">
        <v>0.1</v>
      </c>
      <c r="G1356" s="660">
        <v>0</v>
      </c>
      <c r="H1356" s="656"/>
    </row>
    <row r="1357" spans="1:8" ht="18.75" customHeight="1">
      <c r="A1357" s="656"/>
      <c r="B1357" s="657" t="s">
        <v>6407</v>
      </c>
      <c r="C1357" s="657" t="s">
        <v>6469</v>
      </c>
      <c r="D1357" s="657" t="s">
        <v>6564</v>
      </c>
      <c r="E1357" s="657" t="s">
        <v>6565</v>
      </c>
      <c r="F1357" s="658">
        <v>0.1</v>
      </c>
      <c r="G1357" s="658">
        <v>0</v>
      </c>
      <c r="H1357" s="656"/>
    </row>
    <row r="1358" spans="1:8" ht="18.75" customHeight="1">
      <c r="A1358" s="656"/>
      <c r="B1358" s="659" t="s">
        <v>6407</v>
      </c>
      <c r="C1358" s="659" t="s">
        <v>6469</v>
      </c>
      <c r="D1358" s="659" t="s">
        <v>6566</v>
      </c>
      <c r="E1358" s="659" t="s">
        <v>6567</v>
      </c>
      <c r="F1358" s="660">
        <v>0.1</v>
      </c>
      <c r="G1358" s="660">
        <v>0</v>
      </c>
      <c r="H1358" s="656"/>
    </row>
    <row r="1359" spans="1:8" ht="18.75" customHeight="1">
      <c r="A1359" s="656"/>
      <c r="B1359" s="657" t="s">
        <v>6407</v>
      </c>
      <c r="C1359" s="657" t="s">
        <v>6469</v>
      </c>
      <c r="D1359" s="657" t="s">
        <v>6568</v>
      </c>
      <c r="E1359" s="657" t="s">
        <v>6569</v>
      </c>
      <c r="F1359" s="658">
        <v>0.1</v>
      </c>
      <c r="G1359" s="658">
        <v>0</v>
      </c>
      <c r="H1359" s="656"/>
    </row>
    <row r="1360" spans="1:8" ht="18.75" customHeight="1">
      <c r="A1360" s="656"/>
      <c r="B1360" s="659" t="s">
        <v>6407</v>
      </c>
      <c r="C1360" s="659" t="s">
        <v>6469</v>
      </c>
      <c r="D1360" s="659" t="s">
        <v>6570</v>
      </c>
      <c r="E1360" s="659" t="s">
        <v>6571</v>
      </c>
      <c r="F1360" s="660">
        <v>0.1</v>
      </c>
      <c r="G1360" s="660">
        <v>0</v>
      </c>
      <c r="H1360" s="656"/>
    </row>
    <row r="1361" spans="1:8" ht="18.75" customHeight="1">
      <c r="A1361" s="656"/>
      <c r="B1361" s="657" t="s">
        <v>6407</v>
      </c>
      <c r="C1361" s="657" t="s">
        <v>6469</v>
      </c>
      <c r="D1361" s="657" t="s">
        <v>6572</v>
      </c>
      <c r="E1361" s="657" t="s">
        <v>6573</v>
      </c>
      <c r="F1361" s="658">
        <v>0.1</v>
      </c>
      <c r="G1361" s="658">
        <v>0</v>
      </c>
      <c r="H1361" s="656"/>
    </row>
    <row r="1362" spans="1:8" ht="18.75" customHeight="1">
      <c r="A1362" s="656"/>
      <c r="B1362" s="659" t="s">
        <v>6407</v>
      </c>
      <c r="C1362" s="659" t="s">
        <v>6469</v>
      </c>
      <c r="D1362" s="659" t="s">
        <v>6574</v>
      </c>
      <c r="E1362" s="659" t="s">
        <v>6575</v>
      </c>
      <c r="F1362" s="660">
        <v>0.1</v>
      </c>
      <c r="G1362" s="660">
        <v>0</v>
      </c>
      <c r="H1362" s="656"/>
    </row>
    <row r="1363" spans="1:8" ht="18.75" customHeight="1">
      <c r="A1363" s="656"/>
      <c r="B1363" s="657" t="s">
        <v>6407</v>
      </c>
      <c r="C1363" s="657" t="s">
        <v>6469</v>
      </c>
      <c r="D1363" s="657" t="s">
        <v>6576</v>
      </c>
      <c r="E1363" s="657" t="s">
        <v>6577</v>
      </c>
      <c r="F1363" s="658">
        <v>0.1</v>
      </c>
      <c r="G1363" s="658">
        <v>0</v>
      </c>
      <c r="H1363" s="656"/>
    </row>
    <row r="1364" spans="1:8" ht="18.75" customHeight="1">
      <c r="A1364" s="656"/>
      <c r="B1364" s="659" t="s">
        <v>6407</v>
      </c>
      <c r="C1364" s="659" t="s">
        <v>6469</v>
      </c>
      <c r="D1364" s="659" t="s">
        <v>6578</v>
      </c>
      <c r="E1364" s="659" t="s">
        <v>6579</v>
      </c>
      <c r="F1364" s="660">
        <v>0.1</v>
      </c>
      <c r="G1364" s="660">
        <v>0</v>
      </c>
      <c r="H1364" s="656"/>
    </row>
    <row r="1365" spans="1:8" ht="18.75" customHeight="1">
      <c r="A1365" s="656"/>
      <c r="B1365" s="657" t="s">
        <v>6407</v>
      </c>
      <c r="C1365" s="657" t="s">
        <v>6469</v>
      </c>
      <c r="D1365" s="657" t="s">
        <v>6580</v>
      </c>
      <c r="E1365" s="657" t="s">
        <v>6581</v>
      </c>
      <c r="F1365" s="658">
        <v>0.1</v>
      </c>
      <c r="G1365" s="658">
        <v>0</v>
      </c>
      <c r="H1365" s="656"/>
    </row>
    <row r="1366" spans="1:8" ht="18.75" customHeight="1">
      <c r="A1366" s="656"/>
      <c r="B1366" s="659" t="s">
        <v>6407</v>
      </c>
      <c r="C1366" s="659" t="s">
        <v>6469</v>
      </c>
      <c r="D1366" s="659" t="s">
        <v>6582</v>
      </c>
      <c r="E1366" s="659" t="s">
        <v>6583</v>
      </c>
      <c r="F1366" s="660">
        <v>0.1</v>
      </c>
      <c r="G1366" s="660">
        <v>0</v>
      </c>
      <c r="H1366" s="656"/>
    </row>
    <row r="1367" spans="1:8" ht="18.75" customHeight="1">
      <c r="A1367" s="656"/>
      <c r="B1367" s="657" t="s">
        <v>6407</v>
      </c>
      <c r="C1367" s="657" t="s">
        <v>6469</v>
      </c>
      <c r="D1367" s="657" t="s">
        <v>6584</v>
      </c>
      <c r="E1367" s="657" t="s">
        <v>6585</v>
      </c>
      <c r="F1367" s="658">
        <v>0.1</v>
      </c>
      <c r="G1367" s="658">
        <v>0</v>
      </c>
      <c r="H1367" s="656"/>
    </row>
    <row r="1368" spans="1:8" ht="18.75" customHeight="1">
      <c r="A1368" s="656"/>
      <c r="B1368" s="659" t="s">
        <v>6407</v>
      </c>
      <c r="C1368" s="659" t="s">
        <v>6469</v>
      </c>
      <c r="D1368" s="659" t="s">
        <v>6586</v>
      </c>
      <c r="E1368" s="659" t="s">
        <v>6587</v>
      </c>
      <c r="F1368" s="660">
        <v>0.1</v>
      </c>
      <c r="G1368" s="660">
        <v>0</v>
      </c>
      <c r="H1368" s="656"/>
    </row>
    <row r="1369" spans="1:8" ht="18.75" customHeight="1">
      <c r="A1369" s="656"/>
      <c r="B1369" s="657" t="s">
        <v>6407</v>
      </c>
      <c r="C1369" s="657" t="s">
        <v>6469</v>
      </c>
      <c r="D1369" s="657" t="s">
        <v>6588</v>
      </c>
      <c r="E1369" s="657" t="s">
        <v>6589</v>
      </c>
      <c r="F1369" s="658">
        <v>0.1</v>
      </c>
      <c r="G1369" s="658">
        <v>0</v>
      </c>
      <c r="H1369" s="656"/>
    </row>
    <row r="1370" spans="1:8" ht="18.75" customHeight="1">
      <c r="A1370" s="656"/>
      <c r="B1370" s="659" t="s">
        <v>6407</v>
      </c>
      <c r="C1370" s="659" t="s">
        <v>6469</v>
      </c>
      <c r="D1370" s="659" t="s">
        <v>6590</v>
      </c>
      <c r="E1370" s="659" t="s">
        <v>6591</v>
      </c>
      <c r="F1370" s="660">
        <v>0.1</v>
      </c>
      <c r="G1370" s="660">
        <v>0</v>
      </c>
      <c r="H1370" s="656"/>
    </row>
    <row r="1371" spans="1:8" ht="18.75" customHeight="1">
      <c r="A1371" s="656"/>
      <c r="B1371" s="657" t="s">
        <v>6407</v>
      </c>
      <c r="C1371" s="657" t="s">
        <v>6469</v>
      </c>
      <c r="D1371" s="657" t="s">
        <v>6592</v>
      </c>
      <c r="E1371" s="657" t="s">
        <v>6593</v>
      </c>
      <c r="F1371" s="658">
        <v>0.1</v>
      </c>
      <c r="G1371" s="658">
        <v>0</v>
      </c>
      <c r="H1371" s="656"/>
    </row>
    <row r="1372" spans="1:8" ht="18.75" customHeight="1">
      <c r="A1372" s="656"/>
      <c r="B1372" s="659" t="s">
        <v>6407</v>
      </c>
      <c r="C1372" s="659" t="s">
        <v>6469</v>
      </c>
      <c r="D1372" s="659" t="s">
        <v>6594</v>
      </c>
      <c r="E1372" s="659" t="s">
        <v>6595</v>
      </c>
      <c r="F1372" s="660">
        <v>0.1</v>
      </c>
      <c r="G1372" s="660">
        <v>0</v>
      </c>
      <c r="H1372" s="656"/>
    </row>
    <row r="1373" spans="1:8" ht="18.75" customHeight="1">
      <c r="A1373" s="656"/>
      <c r="B1373" s="657" t="s">
        <v>6407</v>
      </c>
      <c r="C1373" s="657" t="s">
        <v>6469</v>
      </c>
      <c r="D1373" s="657" t="s">
        <v>6596</v>
      </c>
      <c r="E1373" s="657" t="s">
        <v>6597</v>
      </c>
      <c r="F1373" s="658">
        <v>0.1</v>
      </c>
      <c r="G1373" s="658">
        <v>0</v>
      </c>
      <c r="H1373" s="656"/>
    </row>
    <row r="1374" spans="1:8" ht="18.75" customHeight="1">
      <c r="A1374" s="656"/>
      <c r="B1374" s="659" t="s">
        <v>6407</v>
      </c>
      <c r="C1374" s="659" t="s">
        <v>6469</v>
      </c>
      <c r="D1374" s="659" t="s">
        <v>6598</v>
      </c>
      <c r="E1374" s="659" t="s">
        <v>6599</v>
      </c>
      <c r="F1374" s="660">
        <v>0.1</v>
      </c>
      <c r="G1374" s="660">
        <v>0</v>
      </c>
      <c r="H1374" s="656"/>
    </row>
    <row r="1375" spans="1:8" ht="18.75" customHeight="1">
      <c r="A1375" s="656"/>
      <c r="B1375" s="657" t="s">
        <v>6407</v>
      </c>
      <c r="C1375" s="657" t="s">
        <v>6469</v>
      </c>
      <c r="D1375" s="657" t="s">
        <v>6600</v>
      </c>
      <c r="E1375" s="657" t="s">
        <v>6601</v>
      </c>
      <c r="F1375" s="658">
        <v>0.1</v>
      </c>
      <c r="G1375" s="658">
        <v>0</v>
      </c>
      <c r="H1375" s="656"/>
    </row>
    <row r="1376" spans="1:8" ht="18.75" customHeight="1">
      <c r="A1376" s="656"/>
      <c r="B1376" s="659" t="s">
        <v>6407</v>
      </c>
      <c r="C1376" s="659" t="s">
        <v>6469</v>
      </c>
      <c r="D1376" s="659" t="s">
        <v>6602</v>
      </c>
      <c r="E1376" s="659" t="s">
        <v>6603</v>
      </c>
      <c r="F1376" s="660">
        <v>0.1</v>
      </c>
      <c r="G1376" s="660">
        <v>0</v>
      </c>
      <c r="H1376" s="656"/>
    </row>
    <row r="1377" spans="1:8" ht="18.75" customHeight="1">
      <c r="A1377" s="656"/>
      <c r="B1377" s="657" t="s">
        <v>6407</v>
      </c>
      <c r="C1377" s="657" t="s">
        <v>6469</v>
      </c>
      <c r="D1377" s="657" t="s">
        <v>6604</v>
      </c>
      <c r="E1377" s="657" t="s">
        <v>6605</v>
      </c>
      <c r="F1377" s="658">
        <v>0.1</v>
      </c>
      <c r="G1377" s="658">
        <v>0</v>
      </c>
      <c r="H1377" s="656"/>
    </row>
    <row r="1378" spans="1:8" ht="18.75" customHeight="1">
      <c r="A1378" s="656"/>
      <c r="B1378" s="659" t="s">
        <v>6407</v>
      </c>
      <c r="C1378" s="659" t="s">
        <v>6469</v>
      </c>
      <c r="D1378" s="659" t="s">
        <v>6606</v>
      </c>
      <c r="E1378" s="659" t="s">
        <v>6607</v>
      </c>
      <c r="F1378" s="660">
        <v>0.1</v>
      </c>
      <c r="G1378" s="660">
        <v>0</v>
      </c>
      <c r="H1378" s="656"/>
    </row>
    <row r="1379" spans="1:8" ht="18.75" customHeight="1">
      <c r="A1379" s="656"/>
      <c r="B1379" s="657" t="s">
        <v>6407</v>
      </c>
      <c r="C1379" s="657" t="s">
        <v>6469</v>
      </c>
      <c r="D1379" s="657" t="s">
        <v>6608</v>
      </c>
      <c r="E1379" s="657" t="s">
        <v>6609</v>
      </c>
      <c r="F1379" s="658">
        <v>0.1</v>
      </c>
      <c r="G1379" s="658">
        <v>0</v>
      </c>
      <c r="H1379" s="656"/>
    </row>
    <row r="1380" spans="1:8" ht="18.75" customHeight="1">
      <c r="A1380" s="656"/>
      <c r="B1380" s="659" t="s">
        <v>6407</v>
      </c>
      <c r="C1380" s="659" t="s">
        <v>6469</v>
      </c>
      <c r="D1380" s="659" t="s">
        <v>6610</v>
      </c>
      <c r="E1380" s="659" t="s">
        <v>6611</v>
      </c>
      <c r="F1380" s="660">
        <v>0.1</v>
      </c>
      <c r="G1380" s="660">
        <v>0</v>
      </c>
      <c r="H1380" s="656"/>
    </row>
    <row r="1381" spans="1:8" ht="18.75" customHeight="1">
      <c r="A1381" s="656"/>
      <c r="B1381" s="657" t="s">
        <v>6407</v>
      </c>
      <c r="C1381" s="657" t="s">
        <v>6469</v>
      </c>
      <c r="D1381" s="657" t="s">
        <v>6612</v>
      </c>
      <c r="E1381" s="657" t="s">
        <v>6613</v>
      </c>
      <c r="F1381" s="658">
        <v>0.1</v>
      </c>
      <c r="G1381" s="658">
        <v>0</v>
      </c>
      <c r="H1381" s="656"/>
    </row>
    <row r="1382" spans="1:8" ht="18.75" customHeight="1">
      <c r="A1382" s="656"/>
      <c r="B1382" s="659" t="s">
        <v>6407</v>
      </c>
      <c r="C1382" s="659" t="s">
        <v>6469</v>
      </c>
      <c r="D1382" s="659" t="s">
        <v>6614</v>
      </c>
      <c r="E1382" s="659" t="s">
        <v>6615</v>
      </c>
      <c r="F1382" s="660">
        <v>0.1</v>
      </c>
      <c r="G1382" s="660">
        <v>0</v>
      </c>
      <c r="H1382" s="656"/>
    </row>
    <row r="1383" spans="1:8" ht="18.75" customHeight="1">
      <c r="A1383" s="656"/>
      <c r="B1383" s="657" t="s">
        <v>6407</v>
      </c>
      <c r="C1383" s="657" t="s">
        <v>6469</v>
      </c>
      <c r="D1383" s="657" t="s">
        <v>6616</v>
      </c>
      <c r="E1383" s="657" t="s">
        <v>6617</v>
      </c>
      <c r="F1383" s="658">
        <v>0.1</v>
      </c>
      <c r="G1383" s="658">
        <v>0</v>
      </c>
      <c r="H1383" s="656"/>
    </row>
    <row r="1384" spans="1:8" ht="18.75" customHeight="1">
      <c r="A1384" s="656"/>
      <c r="B1384" s="659" t="s">
        <v>6407</v>
      </c>
      <c r="C1384" s="659" t="s">
        <v>6469</v>
      </c>
      <c r="D1384" s="659" t="s">
        <v>6618</v>
      </c>
      <c r="E1384" s="659" t="s">
        <v>6619</v>
      </c>
      <c r="F1384" s="660">
        <v>0.1</v>
      </c>
      <c r="G1384" s="660">
        <v>0</v>
      </c>
      <c r="H1384" s="656"/>
    </row>
    <row r="1385" spans="1:8" ht="18.75" customHeight="1">
      <c r="A1385" s="656"/>
      <c r="B1385" s="657" t="s">
        <v>6407</v>
      </c>
      <c r="C1385" s="657" t="s">
        <v>6469</v>
      </c>
      <c r="D1385" s="657" t="s">
        <v>6620</v>
      </c>
      <c r="E1385" s="657" t="s">
        <v>6621</v>
      </c>
      <c r="F1385" s="658">
        <v>0.1</v>
      </c>
      <c r="G1385" s="658">
        <v>0</v>
      </c>
      <c r="H1385" s="656"/>
    </row>
    <row r="1386" spans="1:8" ht="18.75" customHeight="1">
      <c r="A1386" s="656"/>
      <c r="B1386" s="659" t="s">
        <v>6407</v>
      </c>
      <c r="C1386" s="659" t="s">
        <v>6469</v>
      </c>
      <c r="D1386" s="659" t="s">
        <v>6622</v>
      </c>
      <c r="E1386" s="659" t="s">
        <v>6623</v>
      </c>
      <c r="F1386" s="660">
        <v>0.1</v>
      </c>
      <c r="G1386" s="660">
        <v>0</v>
      </c>
      <c r="H1386" s="656"/>
    </row>
    <row r="1387" spans="1:8" ht="18.75" customHeight="1">
      <c r="A1387" s="656"/>
      <c r="B1387" s="657" t="s">
        <v>6407</v>
      </c>
      <c r="C1387" s="657" t="s">
        <v>6469</v>
      </c>
      <c r="D1387" s="657" t="s">
        <v>6624</v>
      </c>
      <c r="E1387" s="657" t="s">
        <v>6625</v>
      </c>
      <c r="F1387" s="658">
        <v>0.1</v>
      </c>
      <c r="G1387" s="658">
        <v>0</v>
      </c>
      <c r="H1387" s="656"/>
    </row>
    <row r="1388" spans="1:8" ht="18.75" customHeight="1">
      <c r="A1388" s="656"/>
      <c r="B1388" s="659" t="s">
        <v>6407</v>
      </c>
      <c r="C1388" s="659" t="s">
        <v>6469</v>
      </c>
      <c r="D1388" s="659" t="s">
        <v>6626</v>
      </c>
      <c r="E1388" s="659" t="s">
        <v>6627</v>
      </c>
      <c r="F1388" s="660">
        <v>0.1</v>
      </c>
      <c r="G1388" s="660">
        <v>0</v>
      </c>
      <c r="H1388" s="656"/>
    </row>
    <row r="1389" spans="1:8" ht="18.75" customHeight="1">
      <c r="A1389" s="656"/>
      <c r="B1389" s="657" t="s">
        <v>6407</v>
      </c>
      <c r="C1389" s="657" t="s">
        <v>6469</v>
      </c>
      <c r="D1389" s="657" t="s">
        <v>6628</v>
      </c>
      <c r="E1389" s="657" t="s">
        <v>6629</v>
      </c>
      <c r="F1389" s="658">
        <v>0.1</v>
      </c>
      <c r="G1389" s="658">
        <v>0</v>
      </c>
      <c r="H1389" s="656"/>
    </row>
    <row r="1390" spans="1:8" ht="18.75" customHeight="1">
      <c r="A1390" s="656"/>
      <c r="B1390" s="659" t="s">
        <v>6407</v>
      </c>
      <c r="C1390" s="659" t="s">
        <v>6469</v>
      </c>
      <c r="D1390" s="659" t="s">
        <v>6630</v>
      </c>
      <c r="E1390" s="659" t="s">
        <v>6631</v>
      </c>
      <c r="F1390" s="660">
        <v>0.1</v>
      </c>
      <c r="G1390" s="660">
        <v>0</v>
      </c>
      <c r="H1390" s="656"/>
    </row>
    <row r="1391" spans="1:8" ht="18.75" customHeight="1">
      <c r="A1391" s="656"/>
      <c r="B1391" s="657" t="s">
        <v>6407</v>
      </c>
      <c r="C1391" s="657" t="s">
        <v>6469</v>
      </c>
      <c r="D1391" s="657" t="s">
        <v>6632</v>
      </c>
      <c r="E1391" s="657" t="s">
        <v>6633</v>
      </c>
      <c r="F1391" s="658">
        <v>0.1</v>
      </c>
      <c r="G1391" s="658">
        <v>0</v>
      </c>
      <c r="H1391" s="656"/>
    </row>
    <row r="1392" spans="1:8" ht="18.75" customHeight="1">
      <c r="A1392" s="656"/>
      <c r="B1392" s="659" t="s">
        <v>6407</v>
      </c>
      <c r="C1392" s="659" t="s">
        <v>6469</v>
      </c>
      <c r="D1392" s="659" t="s">
        <v>6634</v>
      </c>
      <c r="E1392" s="659" t="s">
        <v>6635</v>
      </c>
      <c r="F1392" s="660">
        <v>0.1</v>
      </c>
      <c r="G1392" s="660">
        <v>0</v>
      </c>
      <c r="H1392" s="656"/>
    </row>
    <row r="1393" spans="1:8" ht="18.75" customHeight="1">
      <c r="A1393" s="656"/>
      <c r="B1393" s="657" t="s">
        <v>6407</v>
      </c>
      <c r="C1393" s="657" t="s">
        <v>6469</v>
      </c>
      <c r="D1393" s="657" t="s">
        <v>6636</v>
      </c>
      <c r="E1393" s="657" t="s">
        <v>6637</v>
      </c>
      <c r="F1393" s="658">
        <v>0.1</v>
      </c>
      <c r="G1393" s="658">
        <v>0</v>
      </c>
      <c r="H1393" s="656"/>
    </row>
    <row r="1394" spans="1:8" ht="18.75" customHeight="1">
      <c r="A1394" s="656"/>
      <c r="B1394" s="659" t="s">
        <v>6407</v>
      </c>
      <c r="C1394" s="659" t="s">
        <v>6469</v>
      </c>
      <c r="D1394" s="659" t="s">
        <v>6638</v>
      </c>
      <c r="E1394" s="659" t="s">
        <v>6639</v>
      </c>
      <c r="F1394" s="660">
        <v>0.1</v>
      </c>
      <c r="G1394" s="660">
        <v>0</v>
      </c>
      <c r="H1394" s="656"/>
    </row>
    <row r="1395" spans="1:8" ht="18.75" customHeight="1">
      <c r="A1395" s="656"/>
      <c r="B1395" s="657" t="s">
        <v>6407</v>
      </c>
      <c r="C1395" s="657" t="s">
        <v>6469</v>
      </c>
      <c r="D1395" s="657" t="s">
        <v>6640</v>
      </c>
      <c r="E1395" s="657" t="s">
        <v>6641</v>
      </c>
      <c r="F1395" s="658">
        <v>0.1</v>
      </c>
      <c r="G1395" s="658">
        <v>0</v>
      </c>
      <c r="H1395" s="656"/>
    </row>
    <row r="1396" spans="1:8" ht="18.75" customHeight="1">
      <c r="A1396" s="656"/>
      <c r="B1396" s="659" t="s">
        <v>6407</v>
      </c>
      <c r="C1396" s="659" t="s">
        <v>6469</v>
      </c>
      <c r="D1396" s="659" t="s">
        <v>6642</v>
      </c>
      <c r="E1396" s="659" t="s">
        <v>6643</v>
      </c>
      <c r="F1396" s="660">
        <v>0.1</v>
      </c>
      <c r="G1396" s="660">
        <v>0</v>
      </c>
      <c r="H1396" s="656"/>
    </row>
    <row r="1397" spans="1:8" ht="18.75" customHeight="1">
      <c r="A1397" s="656"/>
      <c r="B1397" s="657" t="s">
        <v>6407</v>
      </c>
      <c r="C1397" s="657" t="s">
        <v>6469</v>
      </c>
      <c r="D1397" s="657" t="s">
        <v>6644</v>
      </c>
      <c r="E1397" s="657" t="s">
        <v>6487</v>
      </c>
      <c r="F1397" s="658">
        <v>0.1</v>
      </c>
      <c r="G1397" s="658">
        <v>0</v>
      </c>
      <c r="H1397" s="656"/>
    </row>
    <row r="1398" spans="1:8" ht="18.75" customHeight="1">
      <c r="A1398" s="656"/>
      <c r="B1398" s="659" t="s">
        <v>6407</v>
      </c>
      <c r="C1398" s="659" t="s">
        <v>6469</v>
      </c>
      <c r="D1398" s="659" t="s">
        <v>6645</v>
      </c>
      <c r="E1398" s="659" t="s">
        <v>6646</v>
      </c>
      <c r="F1398" s="660">
        <v>0.1</v>
      </c>
      <c r="G1398" s="660">
        <v>0</v>
      </c>
      <c r="H1398" s="656"/>
    </row>
    <row r="1399" spans="1:8" ht="18.75" customHeight="1">
      <c r="A1399" s="656"/>
      <c r="B1399" s="657" t="s">
        <v>6407</v>
      </c>
      <c r="C1399" s="657" t="s">
        <v>6469</v>
      </c>
      <c r="D1399" s="657" t="s">
        <v>6647</v>
      </c>
      <c r="E1399" s="657" t="s">
        <v>6648</v>
      </c>
      <c r="F1399" s="658">
        <v>0.1</v>
      </c>
      <c r="G1399" s="658">
        <v>0</v>
      </c>
      <c r="H1399" s="656"/>
    </row>
    <row r="1400" spans="1:8" ht="18.75" customHeight="1">
      <c r="A1400" s="656"/>
      <c r="B1400" s="659" t="s">
        <v>6407</v>
      </c>
      <c r="C1400" s="659" t="s">
        <v>6469</v>
      </c>
      <c r="D1400" s="659" t="s">
        <v>6649</v>
      </c>
      <c r="E1400" s="659" t="s">
        <v>6650</v>
      </c>
      <c r="F1400" s="660">
        <v>0.1</v>
      </c>
      <c r="G1400" s="660">
        <v>0</v>
      </c>
      <c r="H1400" s="656"/>
    </row>
    <row r="1401" spans="1:8" ht="18.75" customHeight="1">
      <c r="A1401" s="656"/>
      <c r="B1401" s="657" t="s">
        <v>6407</v>
      </c>
      <c r="C1401" s="657" t="s">
        <v>6469</v>
      </c>
      <c r="D1401" s="657" t="s">
        <v>6651</v>
      </c>
      <c r="E1401" s="657" t="s">
        <v>6652</v>
      </c>
      <c r="F1401" s="658">
        <v>0.1</v>
      </c>
      <c r="G1401" s="658">
        <v>0</v>
      </c>
      <c r="H1401" s="656"/>
    </row>
    <row r="1402" spans="1:8" ht="18.75" customHeight="1">
      <c r="A1402" s="656"/>
      <c r="B1402" s="659" t="s">
        <v>6407</v>
      </c>
      <c r="C1402" s="659" t="s">
        <v>6469</v>
      </c>
      <c r="D1402" s="659" t="s">
        <v>6653</v>
      </c>
      <c r="E1402" s="659" t="s">
        <v>6654</v>
      </c>
      <c r="F1402" s="660">
        <v>0.1</v>
      </c>
      <c r="G1402" s="660">
        <v>0</v>
      </c>
      <c r="H1402" s="656"/>
    </row>
    <row r="1403" spans="1:8" ht="18.75" customHeight="1">
      <c r="A1403" s="656"/>
      <c r="B1403" s="657" t="s">
        <v>6407</v>
      </c>
      <c r="C1403" s="657" t="s">
        <v>6469</v>
      </c>
      <c r="D1403" s="657" t="s">
        <v>6655</v>
      </c>
      <c r="E1403" s="657" t="s">
        <v>6656</v>
      </c>
      <c r="F1403" s="658">
        <v>0.1</v>
      </c>
      <c r="G1403" s="658">
        <v>0</v>
      </c>
      <c r="H1403" s="656"/>
    </row>
    <row r="1404" spans="1:8" ht="18.75" customHeight="1">
      <c r="A1404" s="656"/>
      <c r="B1404" s="659" t="s">
        <v>6407</v>
      </c>
      <c r="C1404" s="659" t="s">
        <v>6469</v>
      </c>
      <c r="D1404" s="659" t="s">
        <v>6657</v>
      </c>
      <c r="E1404" s="659" t="s">
        <v>6658</v>
      </c>
      <c r="F1404" s="660">
        <v>0.1</v>
      </c>
      <c r="G1404" s="660">
        <v>0</v>
      </c>
      <c r="H1404" s="656"/>
    </row>
    <row r="1405" spans="1:8" ht="18.75" customHeight="1">
      <c r="A1405" s="656"/>
      <c r="B1405" s="657" t="s">
        <v>6407</v>
      </c>
      <c r="C1405" s="657" t="s">
        <v>6469</v>
      </c>
      <c r="D1405" s="657" t="s">
        <v>6659</v>
      </c>
      <c r="E1405" s="657" t="s">
        <v>6660</v>
      </c>
      <c r="F1405" s="658">
        <v>0.1</v>
      </c>
      <c r="G1405" s="658">
        <v>0</v>
      </c>
      <c r="H1405" s="656"/>
    </row>
    <row r="1406" spans="1:8" ht="18.75" customHeight="1">
      <c r="A1406" s="656"/>
      <c r="B1406" s="659" t="s">
        <v>6407</v>
      </c>
      <c r="C1406" s="659" t="s">
        <v>6469</v>
      </c>
      <c r="D1406" s="659" t="s">
        <v>6661</v>
      </c>
      <c r="E1406" s="659" t="s">
        <v>6662</v>
      </c>
      <c r="F1406" s="660">
        <v>0.1</v>
      </c>
      <c r="G1406" s="660">
        <v>0</v>
      </c>
      <c r="H1406" s="656"/>
    </row>
    <row r="1407" spans="1:8" ht="18.75" customHeight="1">
      <c r="A1407" s="656"/>
      <c r="B1407" s="657" t="s">
        <v>6407</v>
      </c>
      <c r="C1407" s="657" t="s">
        <v>6663</v>
      </c>
      <c r="D1407" s="657" t="s">
        <v>6664</v>
      </c>
      <c r="E1407" s="657" t="s">
        <v>6665</v>
      </c>
      <c r="F1407" s="658">
        <v>0.1</v>
      </c>
      <c r="G1407" s="658">
        <v>0</v>
      </c>
      <c r="H1407" s="656"/>
    </row>
    <row r="1408" spans="1:8" ht="18.75" customHeight="1">
      <c r="A1408" s="656"/>
      <c r="B1408" s="659" t="s">
        <v>6407</v>
      </c>
      <c r="C1408" s="659" t="s">
        <v>6663</v>
      </c>
      <c r="D1408" s="659" t="s">
        <v>6666</v>
      </c>
      <c r="E1408" s="659" t="s">
        <v>6667</v>
      </c>
      <c r="F1408" s="660">
        <v>0.1</v>
      </c>
      <c r="G1408" s="660">
        <v>0</v>
      </c>
      <c r="H1408" s="656"/>
    </row>
    <row r="1409" spans="1:8" ht="18.75" customHeight="1">
      <c r="A1409" s="656"/>
      <c r="B1409" s="657" t="s">
        <v>6407</v>
      </c>
      <c r="C1409" s="657" t="s">
        <v>6663</v>
      </c>
      <c r="D1409" s="657" t="s">
        <v>6668</v>
      </c>
      <c r="E1409" s="657" t="s">
        <v>6669</v>
      </c>
      <c r="F1409" s="658">
        <v>0.1</v>
      </c>
      <c r="G1409" s="658">
        <v>0</v>
      </c>
      <c r="H1409" s="656"/>
    </row>
    <row r="1410" spans="1:8" ht="18.75" customHeight="1">
      <c r="A1410" s="656"/>
      <c r="B1410" s="659" t="s">
        <v>6407</v>
      </c>
      <c r="C1410" s="659" t="s">
        <v>6663</v>
      </c>
      <c r="D1410" s="659" t="s">
        <v>6670</v>
      </c>
      <c r="E1410" s="659" t="s">
        <v>6671</v>
      </c>
      <c r="F1410" s="660">
        <v>0.1</v>
      </c>
      <c r="G1410" s="660">
        <v>0</v>
      </c>
      <c r="H1410" s="656"/>
    </row>
    <row r="1411" spans="1:8" ht="18.75" customHeight="1">
      <c r="A1411" s="656"/>
      <c r="B1411" s="657" t="s">
        <v>6407</v>
      </c>
      <c r="C1411" s="657" t="s">
        <v>6663</v>
      </c>
      <c r="D1411" s="657" t="s">
        <v>6672</v>
      </c>
      <c r="E1411" s="657" t="s">
        <v>6673</v>
      </c>
      <c r="F1411" s="658">
        <v>0.1</v>
      </c>
      <c r="G1411" s="658">
        <v>0</v>
      </c>
      <c r="H1411" s="656"/>
    </row>
    <row r="1412" spans="1:8" ht="18.75" customHeight="1">
      <c r="A1412" s="656"/>
      <c r="B1412" s="659" t="s">
        <v>6407</v>
      </c>
      <c r="C1412" s="659" t="s">
        <v>6663</v>
      </c>
      <c r="D1412" s="659" t="s">
        <v>6674</v>
      </c>
      <c r="E1412" s="659" t="s">
        <v>6675</v>
      </c>
      <c r="F1412" s="660">
        <v>0.1</v>
      </c>
      <c r="G1412" s="660">
        <v>0</v>
      </c>
      <c r="H1412" s="656"/>
    </row>
    <row r="1413" spans="1:8" ht="18.75" customHeight="1">
      <c r="A1413" s="656"/>
      <c r="B1413" s="657" t="s">
        <v>6407</v>
      </c>
      <c r="C1413" s="657" t="s">
        <v>6663</v>
      </c>
      <c r="D1413" s="657" t="s">
        <v>6676</v>
      </c>
      <c r="E1413" s="657" t="s">
        <v>6677</v>
      </c>
      <c r="F1413" s="658">
        <v>0.1</v>
      </c>
      <c r="G1413" s="658">
        <v>0</v>
      </c>
      <c r="H1413" s="656"/>
    </row>
    <row r="1414" spans="1:8" ht="18.75" customHeight="1">
      <c r="A1414" s="656"/>
      <c r="B1414" s="659" t="s">
        <v>6407</v>
      </c>
      <c r="C1414" s="659" t="s">
        <v>6663</v>
      </c>
      <c r="D1414" s="659" t="s">
        <v>6678</v>
      </c>
      <c r="E1414" s="659" t="s">
        <v>6679</v>
      </c>
      <c r="F1414" s="660">
        <v>0.1</v>
      </c>
      <c r="G1414" s="660">
        <v>0</v>
      </c>
      <c r="H1414" s="656"/>
    </row>
    <row r="1415" spans="1:8" ht="18.75" customHeight="1">
      <c r="A1415" s="656"/>
      <c r="B1415" s="657" t="s">
        <v>6407</v>
      </c>
      <c r="C1415" s="657" t="s">
        <v>6663</v>
      </c>
      <c r="D1415" s="657" t="s">
        <v>6680</v>
      </c>
      <c r="E1415" s="657" t="s">
        <v>6681</v>
      </c>
      <c r="F1415" s="658">
        <v>0.1</v>
      </c>
      <c r="G1415" s="658">
        <v>0</v>
      </c>
      <c r="H1415" s="656"/>
    </row>
    <row r="1416" spans="1:8" ht="18.75" customHeight="1">
      <c r="A1416" s="656"/>
      <c r="B1416" s="659" t="s">
        <v>6407</v>
      </c>
      <c r="C1416" s="659" t="s">
        <v>6663</v>
      </c>
      <c r="D1416" s="659" t="s">
        <v>6682</v>
      </c>
      <c r="E1416" s="659" t="s">
        <v>6683</v>
      </c>
      <c r="F1416" s="660">
        <v>0.1</v>
      </c>
      <c r="G1416" s="660">
        <v>0</v>
      </c>
      <c r="H1416" s="656"/>
    </row>
    <row r="1417" spans="1:8" ht="18.75" customHeight="1">
      <c r="A1417" s="656"/>
      <c r="B1417" s="657" t="s">
        <v>6407</v>
      </c>
      <c r="C1417" s="657" t="s">
        <v>6663</v>
      </c>
      <c r="D1417" s="657" t="s">
        <v>6684</v>
      </c>
      <c r="E1417" s="657" t="s">
        <v>6685</v>
      </c>
      <c r="F1417" s="658">
        <v>0.1</v>
      </c>
      <c r="G1417" s="658">
        <v>0</v>
      </c>
      <c r="H1417" s="656"/>
    </row>
    <row r="1418" spans="1:8" ht="18.75" customHeight="1">
      <c r="A1418" s="656"/>
      <c r="B1418" s="659" t="s">
        <v>6407</v>
      </c>
      <c r="C1418" s="659" t="s">
        <v>6663</v>
      </c>
      <c r="D1418" s="659" t="s">
        <v>6686</v>
      </c>
      <c r="E1418" s="659" t="s">
        <v>6687</v>
      </c>
      <c r="F1418" s="660">
        <v>0.1</v>
      </c>
      <c r="G1418" s="660">
        <v>0</v>
      </c>
      <c r="H1418" s="656"/>
    </row>
    <row r="1419" spans="1:8" ht="18.75" customHeight="1">
      <c r="A1419" s="656"/>
      <c r="B1419" s="657" t="s">
        <v>6407</v>
      </c>
      <c r="C1419" s="657" t="s">
        <v>6663</v>
      </c>
      <c r="D1419" s="657" t="s">
        <v>6688</v>
      </c>
      <c r="E1419" s="657" t="s">
        <v>6689</v>
      </c>
      <c r="F1419" s="658">
        <v>0.1</v>
      </c>
      <c r="G1419" s="658">
        <v>0</v>
      </c>
      <c r="H1419" s="656"/>
    </row>
    <row r="1420" spans="1:8" ht="18.75" customHeight="1">
      <c r="A1420" s="656"/>
      <c r="B1420" s="659" t="s">
        <v>6407</v>
      </c>
      <c r="C1420" s="659" t="s">
        <v>6663</v>
      </c>
      <c r="D1420" s="659" t="s">
        <v>6690</v>
      </c>
      <c r="E1420" s="659" t="s">
        <v>6691</v>
      </c>
      <c r="F1420" s="660">
        <v>0.1</v>
      </c>
      <c r="G1420" s="660">
        <v>0</v>
      </c>
      <c r="H1420" s="656"/>
    </row>
    <row r="1421" spans="1:8" ht="18.75" customHeight="1">
      <c r="A1421" s="656"/>
      <c r="B1421" s="657" t="s">
        <v>6407</v>
      </c>
      <c r="C1421" s="657" t="s">
        <v>6663</v>
      </c>
      <c r="D1421" s="657" t="s">
        <v>6692</v>
      </c>
      <c r="E1421" s="657" t="s">
        <v>6693</v>
      </c>
      <c r="F1421" s="658">
        <v>0.1</v>
      </c>
      <c r="G1421" s="658">
        <v>0</v>
      </c>
      <c r="H1421" s="656"/>
    </row>
    <row r="1422" spans="1:8" ht="18.75" customHeight="1">
      <c r="A1422" s="656"/>
      <c r="B1422" s="659" t="s">
        <v>6407</v>
      </c>
      <c r="C1422" s="659" t="s">
        <v>6663</v>
      </c>
      <c r="D1422" s="659" t="s">
        <v>6694</v>
      </c>
      <c r="E1422" s="659" t="s">
        <v>6695</v>
      </c>
      <c r="F1422" s="660">
        <v>0.1</v>
      </c>
      <c r="G1422" s="660">
        <v>0</v>
      </c>
      <c r="H1422" s="656"/>
    </row>
    <row r="1423" spans="1:8" ht="18.75" customHeight="1">
      <c r="A1423" s="656"/>
      <c r="B1423" s="657" t="s">
        <v>6407</v>
      </c>
      <c r="C1423" s="657" t="s">
        <v>6663</v>
      </c>
      <c r="D1423" s="657" t="s">
        <v>6696</v>
      </c>
      <c r="E1423" s="657" t="s">
        <v>6697</v>
      </c>
      <c r="F1423" s="658">
        <v>0.1</v>
      </c>
      <c r="G1423" s="658">
        <v>0</v>
      </c>
      <c r="H1423" s="656"/>
    </row>
    <row r="1424" spans="1:8" ht="18.75" customHeight="1">
      <c r="A1424" s="656"/>
      <c r="B1424" s="659" t="s">
        <v>6407</v>
      </c>
      <c r="C1424" s="659" t="s">
        <v>6663</v>
      </c>
      <c r="D1424" s="659" t="s">
        <v>6698</v>
      </c>
      <c r="E1424" s="659" t="s">
        <v>6699</v>
      </c>
      <c r="F1424" s="660">
        <v>0.1</v>
      </c>
      <c r="G1424" s="660">
        <v>0</v>
      </c>
      <c r="H1424" s="656"/>
    </row>
    <row r="1425" spans="1:8" ht="18.75" customHeight="1">
      <c r="A1425" s="656"/>
      <c r="B1425" s="657" t="s">
        <v>6407</v>
      </c>
      <c r="C1425" s="657" t="s">
        <v>6663</v>
      </c>
      <c r="D1425" s="657" t="s">
        <v>6700</v>
      </c>
      <c r="E1425" s="657" t="s">
        <v>6701</v>
      </c>
      <c r="F1425" s="658">
        <v>0.1</v>
      </c>
      <c r="G1425" s="658">
        <v>0</v>
      </c>
      <c r="H1425" s="656"/>
    </row>
    <row r="1426" spans="1:8" ht="18.75" customHeight="1">
      <c r="A1426" s="656"/>
      <c r="B1426" s="659" t="s">
        <v>6407</v>
      </c>
      <c r="C1426" s="659" t="s">
        <v>6663</v>
      </c>
      <c r="D1426" s="659" t="s">
        <v>6702</v>
      </c>
      <c r="E1426" s="659" t="s">
        <v>6703</v>
      </c>
      <c r="F1426" s="660">
        <v>0.1</v>
      </c>
      <c r="G1426" s="660">
        <v>0</v>
      </c>
      <c r="H1426" s="656"/>
    </row>
    <row r="1427" spans="1:8" ht="18.75" customHeight="1">
      <c r="A1427" s="656"/>
      <c r="B1427" s="657" t="s">
        <v>6407</v>
      </c>
      <c r="C1427" s="657" t="s">
        <v>6663</v>
      </c>
      <c r="D1427" s="657" t="s">
        <v>6704</v>
      </c>
      <c r="E1427" s="657" t="s">
        <v>6705</v>
      </c>
      <c r="F1427" s="658">
        <v>0.1</v>
      </c>
      <c r="G1427" s="658">
        <v>0</v>
      </c>
      <c r="H1427" s="656"/>
    </row>
    <row r="1428" spans="1:8" ht="18.75" customHeight="1">
      <c r="A1428" s="656"/>
      <c r="B1428" s="659" t="s">
        <v>6407</v>
      </c>
      <c r="C1428" s="659" t="s">
        <v>6663</v>
      </c>
      <c r="D1428" s="659" t="s">
        <v>6706</v>
      </c>
      <c r="E1428" s="659" t="s">
        <v>6707</v>
      </c>
      <c r="F1428" s="660">
        <v>0.1</v>
      </c>
      <c r="G1428" s="660">
        <v>0</v>
      </c>
      <c r="H1428" s="656"/>
    </row>
    <row r="1429" spans="1:8" ht="18.75" customHeight="1">
      <c r="A1429" s="656"/>
      <c r="B1429" s="657" t="s">
        <v>6407</v>
      </c>
      <c r="C1429" s="657" t="s">
        <v>6663</v>
      </c>
      <c r="D1429" s="657" t="s">
        <v>6708</v>
      </c>
      <c r="E1429" s="657" t="s">
        <v>6709</v>
      </c>
      <c r="F1429" s="658">
        <v>0.1</v>
      </c>
      <c r="G1429" s="658">
        <v>0</v>
      </c>
      <c r="H1429" s="656"/>
    </row>
    <row r="1430" spans="1:8" ht="18.75" customHeight="1">
      <c r="A1430" s="656"/>
      <c r="B1430" s="659" t="s">
        <v>6407</v>
      </c>
      <c r="C1430" s="659" t="s">
        <v>6663</v>
      </c>
      <c r="D1430" s="659" t="s">
        <v>6710</v>
      </c>
      <c r="E1430" s="659" t="s">
        <v>6711</v>
      </c>
      <c r="F1430" s="660">
        <v>0.1</v>
      </c>
      <c r="G1430" s="660">
        <v>0</v>
      </c>
      <c r="H1430" s="656"/>
    </row>
    <row r="1431" spans="1:8" ht="18.75" customHeight="1">
      <c r="A1431" s="656"/>
      <c r="B1431" s="657" t="s">
        <v>6407</v>
      </c>
      <c r="C1431" s="657" t="s">
        <v>6663</v>
      </c>
      <c r="D1431" s="657" t="s">
        <v>6712</v>
      </c>
      <c r="E1431" s="657" t="s">
        <v>6713</v>
      </c>
      <c r="F1431" s="658">
        <v>0.1</v>
      </c>
      <c r="G1431" s="658">
        <v>0</v>
      </c>
      <c r="H1431" s="656"/>
    </row>
    <row r="1432" spans="1:8" ht="18.75" customHeight="1">
      <c r="A1432" s="656"/>
      <c r="B1432" s="659" t="s">
        <v>6407</v>
      </c>
      <c r="C1432" s="659" t="s">
        <v>6663</v>
      </c>
      <c r="D1432" s="659" t="s">
        <v>6714</v>
      </c>
      <c r="E1432" s="659" t="s">
        <v>6715</v>
      </c>
      <c r="F1432" s="660">
        <v>0.1</v>
      </c>
      <c r="G1432" s="660">
        <v>0</v>
      </c>
      <c r="H1432" s="656"/>
    </row>
    <row r="1433" spans="1:8" ht="18.75" customHeight="1">
      <c r="A1433" s="656"/>
      <c r="B1433" s="657" t="s">
        <v>6407</v>
      </c>
      <c r="C1433" s="657" t="s">
        <v>6663</v>
      </c>
      <c r="D1433" s="657" t="s">
        <v>6716</v>
      </c>
      <c r="E1433" s="657" t="s">
        <v>6717</v>
      </c>
      <c r="F1433" s="658">
        <v>0.1</v>
      </c>
      <c r="G1433" s="658">
        <v>0</v>
      </c>
      <c r="H1433" s="656"/>
    </row>
    <row r="1434" spans="1:8" ht="18.75" customHeight="1">
      <c r="A1434" s="656"/>
      <c r="B1434" s="659" t="s">
        <v>6407</v>
      </c>
      <c r="C1434" s="659" t="s">
        <v>6663</v>
      </c>
      <c r="D1434" s="659" t="s">
        <v>6718</v>
      </c>
      <c r="E1434" s="659" t="s">
        <v>6719</v>
      </c>
      <c r="F1434" s="660">
        <v>0.1</v>
      </c>
      <c r="G1434" s="660">
        <v>0</v>
      </c>
      <c r="H1434" s="656"/>
    </row>
    <row r="1435" spans="1:8" ht="18.75" customHeight="1">
      <c r="A1435" s="656"/>
      <c r="B1435" s="657" t="s">
        <v>6407</v>
      </c>
      <c r="C1435" s="657" t="s">
        <v>6663</v>
      </c>
      <c r="D1435" s="657" t="s">
        <v>6720</v>
      </c>
      <c r="E1435" s="657" t="s">
        <v>6721</v>
      </c>
      <c r="F1435" s="658">
        <v>0.1</v>
      </c>
      <c r="G1435" s="658">
        <v>0</v>
      </c>
      <c r="H1435" s="656"/>
    </row>
    <row r="1436" spans="1:8" ht="18.75" customHeight="1">
      <c r="A1436" s="656"/>
      <c r="B1436" s="659" t="s">
        <v>6407</v>
      </c>
      <c r="C1436" s="659" t="s">
        <v>6663</v>
      </c>
      <c r="D1436" s="659" t="s">
        <v>6722</v>
      </c>
      <c r="E1436" s="659" t="s">
        <v>6723</v>
      </c>
      <c r="F1436" s="660">
        <v>0.1</v>
      </c>
      <c r="G1436" s="660">
        <v>0</v>
      </c>
      <c r="H1436" s="656"/>
    </row>
    <row r="1437" spans="1:8" ht="18.75" customHeight="1">
      <c r="A1437" s="656"/>
      <c r="B1437" s="657" t="s">
        <v>6407</v>
      </c>
      <c r="C1437" s="657" t="s">
        <v>6663</v>
      </c>
      <c r="D1437" s="657" t="s">
        <v>6724</v>
      </c>
      <c r="E1437" s="657" t="s">
        <v>6725</v>
      </c>
      <c r="F1437" s="658">
        <v>0.1</v>
      </c>
      <c r="G1437" s="658">
        <v>0</v>
      </c>
      <c r="H1437" s="656"/>
    </row>
    <row r="1438" spans="1:8" ht="18.75" customHeight="1">
      <c r="A1438" s="656"/>
      <c r="B1438" s="659" t="s">
        <v>6407</v>
      </c>
      <c r="C1438" s="659" t="s">
        <v>6663</v>
      </c>
      <c r="D1438" s="659" t="s">
        <v>6726</v>
      </c>
      <c r="E1438" s="659" t="s">
        <v>6727</v>
      </c>
      <c r="F1438" s="660">
        <v>0.1</v>
      </c>
      <c r="G1438" s="660">
        <v>0</v>
      </c>
      <c r="H1438" s="656"/>
    </row>
    <row r="1439" spans="1:8" ht="18.75" customHeight="1">
      <c r="A1439" s="656"/>
      <c r="B1439" s="657" t="s">
        <v>6407</v>
      </c>
      <c r="C1439" s="657" t="s">
        <v>6663</v>
      </c>
      <c r="D1439" s="657" t="s">
        <v>6728</v>
      </c>
      <c r="E1439" s="657" t="s">
        <v>6729</v>
      </c>
      <c r="F1439" s="658">
        <v>0.1</v>
      </c>
      <c r="G1439" s="658">
        <v>0</v>
      </c>
      <c r="H1439" s="656"/>
    </row>
    <row r="1440" spans="1:8" ht="18.75" customHeight="1">
      <c r="A1440" s="656"/>
      <c r="B1440" s="659" t="s">
        <v>6407</v>
      </c>
      <c r="C1440" s="659" t="s">
        <v>6663</v>
      </c>
      <c r="D1440" s="659" t="s">
        <v>6730</v>
      </c>
      <c r="E1440" s="659" t="s">
        <v>6731</v>
      </c>
      <c r="F1440" s="660">
        <v>0.1</v>
      </c>
      <c r="G1440" s="660">
        <v>0</v>
      </c>
      <c r="H1440" s="656"/>
    </row>
    <row r="1441" spans="1:8" ht="18.75" customHeight="1">
      <c r="A1441" s="656"/>
      <c r="B1441" s="657" t="s">
        <v>6407</v>
      </c>
      <c r="C1441" s="657" t="s">
        <v>6663</v>
      </c>
      <c r="D1441" s="657" t="s">
        <v>6732</v>
      </c>
      <c r="E1441" s="657" t="s">
        <v>6733</v>
      </c>
      <c r="F1441" s="658">
        <v>0.1</v>
      </c>
      <c r="G1441" s="658">
        <v>0</v>
      </c>
      <c r="H1441" s="656"/>
    </row>
    <row r="1442" spans="1:8" ht="18.75" customHeight="1">
      <c r="A1442" s="656"/>
      <c r="B1442" s="659" t="s">
        <v>6407</v>
      </c>
      <c r="C1442" s="659" t="s">
        <v>6663</v>
      </c>
      <c r="D1442" s="659" t="s">
        <v>6734</v>
      </c>
      <c r="E1442" s="659" t="s">
        <v>6735</v>
      </c>
      <c r="F1442" s="660">
        <v>0.1</v>
      </c>
      <c r="G1442" s="660">
        <v>0</v>
      </c>
      <c r="H1442" s="656"/>
    </row>
    <row r="1443" spans="1:8" ht="18.75" customHeight="1">
      <c r="A1443" s="656"/>
      <c r="B1443" s="657" t="s">
        <v>6736</v>
      </c>
      <c r="C1443" s="657" t="s">
        <v>6737</v>
      </c>
      <c r="D1443" s="657" t="s">
        <v>6738</v>
      </c>
      <c r="E1443" s="657" t="s">
        <v>6739</v>
      </c>
      <c r="F1443" s="658">
        <v>0.1</v>
      </c>
      <c r="G1443" s="658">
        <v>0</v>
      </c>
      <c r="H1443" s="656"/>
    </row>
    <row r="1444" spans="1:8" ht="18.75" customHeight="1">
      <c r="A1444" s="656"/>
      <c r="B1444" s="659" t="s">
        <v>6736</v>
      </c>
      <c r="C1444" s="659" t="s">
        <v>6737</v>
      </c>
      <c r="D1444" s="659" t="s">
        <v>6740</v>
      </c>
      <c r="E1444" s="659" t="s">
        <v>6741</v>
      </c>
      <c r="F1444" s="660">
        <v>0.1</v>
      </c>
      <c r="G1444" s="660">
        <v>0</v>
      </c>
      <c r="H1444" s="656"/>
    </row>
    <row r="1445" spans="1:8" ht="18.75" customHeight="1">
      <c r="A1445" s="656"/>
      <c r="B1445" s="657" t="s">
        <v>6736</v>
      </c>
      <c r="C1445" s="657" t="s">
        <v>6737</v>
      </c>
      <c r="D1445" s="657" t="s">
        <v>6742</v>
      </c>
      <c r="E1445" s="657" t="s">
        <v>6743</v>
      </c>
      <c r="F1445" s="658">
        <v>0.1</v>
      </c>
      <c r="G1445" s="658">
        <v>0</v>
      </c>
      <c r="H1445" s="656"/>
    </row>
    <row r="1446" spans="1:8" ht="18.75" customHeight="1">
      <c r="A1446" s="656"/>
      <c r="B1446" s="659" t="s">
        <v>6736</v>
      </c>
      <c r="C1446" s="659" t="s">
        <v>6737</v>
      </c>
      <c r="D1446" s="659" t="s">
        <v>6744</v>
      </c>
      <c r="E1446" s="659" t="s">
        <v>6745</v>
      </c>
      <c r="F1446" s="660">
        <v>0.1</v>
      </c>
      <c r="G1446" s="660">
        <v>0</v>
      </c>
      <c r="H1446" s="656"/>
    </row>
    <row r="1447" spans="1:8" ht="18.75" customHeight="1">
      <c r="A1447" s="656"/>
      <c r="B1447" s="657" t="s">
        <v>6736</v>
      </c>
      <c r="C1447" s="657" t="s">
        <v>6737</v>
      </c>
      <c r="D1447" s="657" t="s">
        <v>6746</v>
      </c>
      <c r="E1447" s="657" t="s">
        <v>6747</v>
      </c>
      <c r="F1447" s="658">
        <v>0.1</v>
      </c>
      <c r="G1447" s="658">
        <v>0</v>
      </c>
      <c r="H1447" s="656"/>
    </row>
    <row r="1448" spans="1:8" ht="18.75" customHeight="1">
      <c r="A1448" s="656"/>
      <c r="B1448" s="659" t="s">
        <v>6736</v>
      </c>
      <c r="C1448" s="659" t="s">
        <v>6737</v>
      </c>
      <c r="D1448" s="659" t="s">
        <v>6748</v>
      </c>
      <c r="E1448" s="659" t="s">
        <v>6749</v>
      </c>
      <c r="F1448" s="660">
        <v>0.1</v>
      </c>
      <c r="G1448" s="660">
        <v>0</v>
      </c>
      <c r="H1448" s="656"/>
    </row>
    <row r="1449" spans="1:8" ht="18.75" customHeight="1">
      <c r="A1449" s="656"/>
      <c r="B1449" s="657" t="s">
        <v>6736</v>
      </c>
      <c r="C1449" s="657" t="s">
        <v>6737</v>
      </c>
      <c r="D1449" s="657" t="s">
        <v>6750</v>
      </c>
      <c r="E1449" s="657" t="s">
        <v>6751</v>
      </c>
      <c r="F1449" s="658">
        <v>0.1</v>
      </c>
      <c r="G1449" s="658">
        <v>0</v>
      </c>
      <c r="H1449" s="656"/>
    </row>
    <row r="1450" spans="1:8" ht="18.75" customHeight="1">
      <c r="A1450" s="656"/>
      <c r="B1450" s="659" t="s">
        <v>6736</v>
      </c>
      <c r="C1450" s="659" t="s">
        <v>6737</v>
      </c>
      <c r="D1450" s="659" t="s">
        <v>6752</v>
      </c>
      <c r="E1450" s="659" t="s">
        <v>6753</v>
      </c>
      <c r="F1450" s="660">
        <v>0.1</v>
      </c>
      <c r="G1450" s="660">
        <v>0</v>
      </c>
      <c r="H1450" s="656"/>
    </row>
    <row r="1451" spans="1:8" ht="18.75" customHeight="1">
      <c r="A1451" s="656"/>
      <c r="B1451" s="657" t="s">
        <v>6736</v>
      </c>
      <c r="C1451" s="657" t="s">
        <v>6737</v>
      </c>
      <c r="D1451" s="657" t="s">
        <v>6754</v>
      </c>
      <c r="E1451" s="657" t="s">
        <v>6755</v>
      </c>
      <c r="F1451" s="658">
        <v>0.1</v>
      </c>
      <c r="G1451" s="658">
        <v>0</v>
      </c>
      <c r="H1451" s="656"/>
    </row>
    <row r="1452" spans="1:8" ht="18.75" customHeight="1">
      <c r="A1452" s="656"/>
      <c r="B1452" s="659" t="s">
        <v>6736</v>
      </c>
      <c r="C1452" s="659" t="s">
        <v>6737</v>
      </c>
      <c r="D1452" s="659" t="s">
        <v>6756</v>
      </c>
      <c r="E1452" s="659" t="s">
        <v>6757</v>
      </c>
      <c r="F1452" s="660">
        <v>0.1</v>
      </c>
      <c r="G1452" s="660">
        <v>0</v>
      </c>
      <c r="H1452" s="656"/>
    </row>
    <row r="1453" spans="1:8" ht="18.75" customHeight="1">
      <c r="A1453" s="656"/>
      <c r="B1453" s="657" t="s">
        <v>6736</v>
      </c>
      <c r="C1453" s="657" t="s">
        <v>6737</v>
      </c>
      <c r="D1453" s="657" t="s">
        <v>6758</v>
      </c>
      <c r="E1453" s="657" t="s">
        <v>6759</v>
      </c>
      <c r="F1453" s="658">
        <v>0.1</v>
      </c>
      <c r="G1453" s="658">
        <v>0</v>
      </c>
      <c r="H1453" s="656"/>
    </row>
    <row r="1454" spans="1:8" ht="18.75" customHeight="1">
      <c r="A1454" s="656"/>
      <c r="B1454" s="659" t="s">
        <v>6736</v>
      </c>
      <c r="C1454" s="659" t="s">
        <v>6737</v>
      </c>
      <c r="D1454" s="659" t="s">
        <v>6760</v>
      </c>
      <c r="E1454" s="659" t="s">
        <v>6761</v>
      </c>
      <c r="F1454" s="660">
        <v>0.1</v>
      </c>
      <c r="G1454" s="660">
        <v>0</v>
      </c>
      <c r="H1454" s="656"/>
    </row>
    <row r="1455" spans="1:8" ht="18.75" customHeight="1">
      <c r="A1455" s="656"/>
      <c r="B1455" s="657" t="s">
        <v>6736</v>
      </c>
      <c r="C1455" s="657" t="s">
        <v>6737</v>
      </c>
      <c r="D1455" s="657" t="s">
        <v>6762</v>
      </c>
      <c r="E1455" s="657" t="s">
        <v>6763</v>
      </c>
      <c r="F1455" s="658">
        <v>0.1</v>
      </c>
      <c r="G1455" s="658">
        <v>0</v>
      </c>
      <c r="H1455" s="656"/>
    </row>
    <row r="1456" spans="1:8" ht="18.75" customHeight="1">
      <c r="A1456" s="656"/>
      <c r="B1456" s="659" t="s">
        <v>6736</v>
      </c>
      <c r="C1456" s="659" t="s">
        <v>6737</v>
      </c>
      <c r="D1456" s="659" t="s">
        <v>6764</v>
      </c>
      <c r="E1456" s="659" t="s">
        <v>6765</v>
      </c>
      <c r="F1456" s="660">
        <v>0.1</v>
      </c>
      <c r="G1456" s="660">
        <v>0</v>
      </c>
      <c r="H1456" s="656"/>
    </row>
    <row r="1457" spans="1:8" ht="18.75" customHeight="1">
      <c r="A1457" s="656"/>
      <c r="B1457" s="657" t="s">
        <v>6736</v>
      </c>
      <c r="C1457" s="657" t="s">
        <v>6737</v>
      </c>
      <c r="D1457" s="657" t="s">
        <v>6766</v>
      </c>
      <c r="E1457" s="657" t="s">
        <v>6767</v>
      </c>
      <c r="F1457" s="658">
        <v>0.1</v>
      </c>
      <c r="G1457" s="658">
        <v>0</v>
      </c>
      <c r="H1457" s="656"/>
    </row>
    <row r="1458" spans="1:8" ht="18.75" customHeight="1">
      <c r="A1458" s="656"/>
      <c r="B1458" s="659" t="s">
        <v>6736</v>
      </c>
      <c r="C1458" s="659" t="s">
        <v>6737</v>
      </c>
      <c r="D1458" s="659" t="s">
        <v>6768</v>
      </c>
      <c r="E1458" s="659" t="s">
        <v>6769</v>
      </c>
      <c r="F1458" s="660">
        <v>0.1</v>
      </c>
      <c r="G1458" s="660">
        <v>0</v>
      </c>
      <c r="H1458" s="656"/>
    </row>
    <row r="1459" spans="1:8" ht="18.75" customHeight="1">
      <c r="A1459" s="656"/>
      <c r="B1459" s="657" t="s">
        <v>6736</v>
      </c>
      <c r="C1459" s="657" t="s">
        <v>6737</v>
      </c>
      <c r="D1459" s="657" t="s">
        <v>6770</v>
      </c>
      <c r="E1459" s="657" t="s">
        <v>6771</v>
      </c>
      <c r="F1459" s="658">
        <v>0.1</v>
      </c>
      <c r="G1459" s="658">
        <v>0</v>
      </c>
      <c r="H1459" s="656"/>
    </row>
    <row r="1460" spans="1:8" ht="18.75" customHeight="1">
      <c r="A1460" s="656"/>
      <c r="B1460" s="659" t="s">
        <v>6736</v>
      </c>
      <c r="C1460" s="659" t="s">
        <v>6737</v>
      </c>
      <c r="D1460" s="659" t="s">
        <v>6772</v>
      </c>
      <c r="E1460" s="659" t="s">
        <v>6773</v>
      </c>
      <c r="F1460" s="660">
        <v>0.1</v>
      </c>
      <c r="G1460" s="660">
        <v>0</v>
      </c>
      <c r="H1460" s="656"/>
    </row>
    <row r="1461" spans="1:8" ht="18.75" customHeight="1">
      <c r="A1461" s="656"/>
      <c r="B1461" s="657" t="s">
        <v>6736</v>
      </c>
      <c r="C1461" s="657" t="s">
        <v>6737</v>
      </c>
      <c r="D1461" s="657" t="s">
        <v>6774</v>
      </c>
      <c r="E1461" s="657" t="s">
        <v>6775</v>
      </c>
      <c r="F1461" s="658">
        <v>0.1</v>
      </c>
      <c r="G1461" s="658">
        <v>0</v>
      </c>
      <c r="H1461" s="656"/>
    </row>
    <row r="1462" spans="1:8" ht="18.75" customHeight="1">
      <c r="A1462" s="656"/>
      <c r="B1462" s="659" t="s">
        <v>6736</v>
      </c>
      <c r="C1462" s="659" t="s">
        <v>6737</v>
      </c>
      <c r="D1462" s="659" t="s">
        <v>6776</v>
      </c>
      <c r="E1462" s="659" t="s">
        <v>6777</v>
      </c>
      <c r="F1462" s="660">
        <v>0.1</v>
      </c>
      <c r="G1462" s="660">
        <v>0</v>
      </c>
      <c r="H1462" s="656"/>
    </row>
    <row r="1463" spans="1:8" ht="18.75" customHeight="1">
      <c r="A1463" s="656"/>
      <c r="B1463" s="657" t="s">
        <v>6736</v>
      </c>
      <c r="C1463" s="657" t="s">
        <v>6737</v>
      </c>
      <c r="D1463" s="657" t="s">
        <v>6778</v>
      </c>
      <c r="E1463" s="657" t="s">
        <v>6779</v>
      </c>
      <c r="F1463" s="658">
        <v>0.1</v>
      </c>
      <c r="G1463" s="658">
        <v>0</v>
      </c>
      <c r="H1463" s="656"/>
    </row>
    <row r="1464" spans="1:8" ht="18.75" customHeight="1">
      <c r="A1464" s="656"/>
      <c r="B1464" s="659" t="s">
        <v>6736</v>
      </c>
      <c r="C1464" s="659" t="s">
        <v>6737</v>
      </c>
      <c r="D1464" s="659" t="s">
        <v>568</v>
      </c>
      <c r="E1464" s="659" t="s">
        <v>6780</v>
      </c>
      <c r="F1464" s="660">
        <v>0.1</v>
      </c>
      <c r="G1464" s="660">
        <v>0</v>
      </c>
      <c r="H1464" s="656"/>
    </row>
    <row r="1465" spans="1:8" ht="18.75" customHeight="1">
      <c r="A1465" s="656"/>
      <c r="B1465" s="657" t="s">
        <v>6736</v>
      </c>
      <c r="C1465" s="657" t="s">
        <v>6737</v>
      </c>
      <c r="D1465" s="657" t="s">
        <v>6781</v>
      </c>
      <c r="E1465" s="657" t="s">
        <v>6782</v>
      </c>
      <c r="F1465" s="658">
        <v>0.1</v>
      </c>
      <c r="G1465" s="658">
        <v>0</v>
      </c>
      <c r="H1465" s="656"/>
    </row>
    <row r="1466" spans="1:8" ht="18.75" customHeight="1">
      <c r="A1466" s="656"/>
      <c r="B1466" s="659" t="s">
        <v>6736</v>
      </c>
      <c r="C1466" s="659" t="s">
        <v>6737</v>
      </c>
      <c r="D1466" s="659" t="s">
        <v>6783</v>
      </c>
      <c r="E1466" s="659" t="s">
        <v>6784</v>
      </c>
      <c r="F1466" s="660">
        <v>0.1</v>
      </c>
      <c r="G1466" s="660">
        <v>0</v>
      </c>
      <c r="H1466" s="656"/>
    </row>
    <row r="1467" spans="1:8" ht="18.75" customHeight="1">
      <c r="A1467" s="656"/>
      <c r="B1467" s="657" t="s">
        <v>6736</v>
      </c>
      <c r="C1467" s="657" t="s">
        <v>6737</v>
      </c>
      <c r="D1467" s="657" t="s">
        <v>6785</v>
      </c>
      <c r="E1467" s="657" t="s">
        <v>6786</v>
      </c>
      <c r="F1467" s="658">
        <v>0.1</v>
      </c>
      <c r="G1467" s="658">
        <v>0</v>
      </c>
      <c r="H1467" s="656"/>
    </row>
    <row r="1468" spans="1:8" ht="18.75" customHeight="1">
      <c r="A1468" s="656"/>
      <c r="B1468" s="659" t="s">
        <v>6736</v>
      </c>
      <c r="C1468" s="659" t="s">
        <v>6737</v>
      </c>
      <c r="D1468" s="659" t="s">
        <v>6787</v>
      </c>
      <c r="E1468" s="659" t="s">
        <v>6788</v>
      </c>
      <c r="F1468" s="660">
        <v>0.1</v>
      </c>
      <c r="G1468" s="660">
        <v>0</v>
      </c>
      <c r="H1468" s="656"/>
    </row>
    <row r="1469" spans="1:8" ht="18.75" customHeight="1">
      <c r="A1469" s="656"/>
      <c r="B1469" s="657" t="s">
        <v>6736</v>
      </c>
      <c r="C1469" s="657" t="s">
        <v>6737</v>
      </c>
      <c r="D1469" s="657" t="s">
        <v>572</v>
      </c>
      <c r="E1469" s="657" t="s">
        <v>6789</v>
      </c>
      <c r="F1469" s="658">
        <v>0.1</v>
      </c>
      <c r="G1469" s="658">
        <v>0</v>
      </c>
      <c r="H1469" s="656"/>
    </row>
    <row r="1470" spans="1:8" ht="18.75" customHeight="1">
      <c r="A1470" s="656"/>
      <c r="B1470" s="659" t="s">
        <v>6736</v>
      </c>
      <c r="C1470" s="659" t="s">
        <v>6737</v>
      </c>
      <c r="D1470" s="659" t="s">
        <v>6790</v>
      </c>
      <c r="E1470" s="659" t="s">
        <v>6791</v>
      </c>
      <c r="F1470" s="660">
        <v>0.1</v>
      </c>
      <c r="G1470" s="660">
        <v>0</v>
      </c>
      <c r="H1470" s="656"/>
    </row>
    <row r="1471" spans="1:8" ht="18.75" customHeight="1">
      <c r="A1471" s="656"/>
      <c r="B1471" s="657" t="s">
        <v>6736</v>
      </c>
      <c r="C1471" s="657" t="s">
        <v>6737</v>
      </c>
      <c r="D1471" s="657" t="s">
        <v>6792</v>
      </c>
      <c r="E1471" s="657" t="s">
        <v>6793</v>
      </c>
      <c r="F1471" s="658">
        <v>0.1</v>
      </c>
      <c r="G1471" s="658">
        <v>0</v>
      </c>
      <c r="H1471" s="656"/>
    </row>
    <row r="1472" spans="1:8" ht="18.75" customHeight="1">
      <c r="A1472" s="656"/>
      <c r="B1472" s="659" t="s">
        <v>6736</v>
      </c>
      <c r="C1472" s="659" t="s">
        <v>6737</v>
      </c>
      <c r="D1472" s="659" t="s">
        <v>6794</v>
      </c>
      <c r="E1472" s="659" t="s">
        <v>6795</v>
      </c>
      <c r="F1472" s="660">
        <v>0.1</v>
      </c>
      <c r="G1472" s="660">
        <v>0</v>
      </c>
      <c r="H1472" s="656"/>
    </row>
    <row r="1473" spans="1:8" ht="18.75" customHeight="1">
      <c r="A1473" s="656"/>
      <c r="B1473" s="657" t="s">
        <v>6736</v>
      </c>
      <c r="C1473" s="657" t="s">
        <v>6796</v>
      </c>
      <c r="D1473" s="657" t="s">
        <v>6797</v>
      </c>
      <c r="E1473" s="657" t="s">
        <v>6798</v>
      </c>
      <c r="F1473" s="658">
        <v>0.1</v>
      </c>
      <c r="G1473" s="658">
        <v>0</v>
      </c>
      <c r="H1473" s="656"/>
    </row>
    <row r="1474" spans="1:8" ht="18.75" customHeight="1">
      <c r="A1474" s="656"/>
      <c r="B1474" s="659" t="s">
        <v>6736</v>
      </c>
      <c r="C1474" s="659" t="s">
        <v>6796</v>
      </c>
      <c r="D1474" s="659" t="s">
        <v>6799</v>
      </c>
      <c r="E1474" s="659" t="s">
        <v>6800</v>
      </c>
      <c r="F1474" s="660">
        <v>0.1</v>
      </c>
      <c r="G1474" s="660">
        <v>0</v>
      </c>
      <c r="H1474" s="656"/>
    </row>
    <row r="1475" spans="1:8" ht="18.75" customHeight="1">
      <c r="A1475" s="656"/>
      <c r="B1475" s="657" t="s">
        <v>6736</v>
      </c>
      <c r="C1475" s="657" t="s">
        <v>6796</v>
      </c>
      <c r="D1475" s="657" t="s">
        <v>6801</v>
      </c>
      <c r="E1475" s="657" t="s">
        <v>6802</v>
      </c>
      <c r="F1475" s="658">
        <v>0.1</v>
      </c>
      <c r="G1475" s="658">
        <v>0</v>
      </c>
      <c r="H1475" s="656"/>
    </row>
    <row r="1476" spans="1:8" ht="18.75" customHeight="1">
      <c r="A1476" s="656"/>
      <c r="B1476" s="659" t="s">
        <v>6736</v>
      </c>
      <c r="C1476" s="659" t="s">
        <v>6796</v>
      </c>
      <c r="D1476" s="659" t="s">
        <v>6803</v>
      </c>
      <c r="E1476" s="659" t="s">
        <v>6804</v>
      </c>
      <c r="F1476" s="660">
        <v>0.1</v>
      </c>
      <c r="G1476" s="660">
        <v>0</v>
      </c>
      <c r="H1476" s="656"/>
    </row>
    <row r="1477" spans="1:8" ht="18.75" customHeight="1">
      <c r="A1477" s="656"/>
      <c r="B1477" s="657" t="s">
        <v>6736</v>
      </c>
      <c r="C1477" s="657" t="s">
        <v>6796</v>
      </c>
      <c r="D1477" s="657" t="s">
        <v>6805</v>
      </c>
      <c r="E1477" s="657" t="s">
        <v>6806</v>
      </c>
      <c r="F1477" s="658">
        <v>0.1</v>
      </c>
      <c r="G1477" s="658">
        <v>0</v>
      </c>
      <c r="H1477" s="656"/>
    </row>
    <row r="1478" spans="1:8" ht="18.75" customHeight="1">
      <c r="A1478" s="656"/>
      <c r="B1478" s="659" t="s">
        <v>6736</v>
      </c>
      <c r="C1478" s="659" t="s">
        <v>6796</v>
      </c>
      <c r="D1478" s="659" t="s">
        <v>6807</v>
      </c>
      <c r="E1478" s="659" t="s">
        <v>6808</v>
      </c>
      <c r="F1478" s="660">
        <v>0.1</v>
      </c>
      <c r="G1478" s="660">
        <v>0</v>
      </c>
      <c r="H1478" s="656"/>
    </row>
    <row r="1479" spans="1:8" ht="18.75" customHeight="1">
      <c r="A1479" s="656"/>
      <c r="B1479" s="657" t="s">
        <v>6736</v>
      </c>
      <c r="C1479" s="657" t="s">
        <v>6796</v>
      </c>
      <c r="D1479" s="657" t="s">
        <v>6809</v>
      </c>
      <c r="E1479" s="657" t="s">
        <v>6810</v>
      </c>
      <c r="F1479" s="658">
        <v>0.1</v>
      </c>
      <c r="G1479" s="658">
        <v>0</v>
      </c>
      <c r="H1479" s="656"/>
    </row>
    <row r="1480" spans="1:8" ht="18.75" customHeight="1">
      <c r="A1480" s="656"/>
      <c r="B1480" s="659" t="s">
        <v>6736</v>
      </c>
      <c r="C1480" s="659" t="s">
        <v>6796</v>
      </c>
      <c r="D1480" s="659" t="s">
        <v>6811</v>
      </c>
      <c r="E1480" s="659" t="s">
        <v>6812</v>
      </c>
      <c r="F1480" s="660">
        <v>0.1</v>
      </c>
      <c r="G1480" s="660">
        <v>0</v>
      </c>
      <c r="H1480" s="656"/>
    </row>
    <row r="1481" spans="1:8" ht="18.75" customHeight="1">
      <c r="A1481" s="656"/>
      <c r="B1481" s="657" t="s">
        <v>6736</v>
      </c>
      <c r="C1481" s="657" t="s">
        <v>6796</v>
      </c>
      <c r="D1481" s="657" t="s">
        <v>6813</v>
      </c>
      <c r="E1481" s="657" t="s">
        <v>6814</v>
      </c>
      <c r="F1481" s="658">
        <v>0.1</v>
      </c>
      <c r="G1481" s="658">
        <v>0</v>
      </c>
      <c r="H1481" s="656"/>
    </row>
    <row r="1482" spans="1:8" ht="18.75" customHeight="1">
      <c r="A1482" s="656"/>
      <c r="B1482" s="659" t="s">
        <v>6736</v>
      </c>
      <c r="C1482" s="659" t="s">
        <v>6796</v>
      </c>
      <c r="D1482" s="659" t="s">
        <v>6815</v>
      </c>
      <c r="E1482" s="659" t="s">
        <v>6816</v>
      </c>
      <c r="F1482" s="660">
        <v>0.1</v>
      </c>
      <c r="G1482" s="660">
        <v>0</v>
      </c>
      <c r="H1482" s="656"/>
    </row>
    <row r="1483" spans="1:8" ht="18.75" customHeight="1">
      <c r="A1483" s="656"/>
      <c r="B1483" s="657" t="s">
        <v>6736</v>
      </c>
      <c r="C1483" s="657" t="s">
        <v>6796</v>
      </c>
      <c r="D1483" s="657" t="s">
        <v>6817</v>
      </c>
      <c r="E1483" s="657" t="s">
        <v>6818</v>
      </c>
      <c r="F1483" s="658">
        <v>0.1</v>
      </c>
      <c r="G1483" s="658">
        <v>0</v>
      </c>
      <c r="H1483" s="656"/>
    </row>
    <row r="1484" spans="1:8" ht="18.75" customHeight="1">
      <c r="A1484" s="656"/>
      <c r="B1484" s="659" t="s">
        <v>6736</v>
      </c>
      <c r="C1484" s="659" t="s">
        <v>6796</v>
      </c>
      <c r="D1484" s="659" t="s">
        <v>6819</v>
      </c>
      <c r="E1484" s="659" t="s">
        <v>6820</v>
      </c>
      <c r="F1484" s="660">
        <v>0.1</v>
      </c>
      <c r="G1484" s="660">
        <v>0</v>
      </c>
      <c r="H1484" s="656"/>
    </row>
    <row r="1485" spans="1:8" ht="18.75" customHeight="1">
      <c r="A1485" s="656"/>
      <c r="B1485" s="657" t="s">
        <v>6736</v>
      </c>
      <c r="C1485" s="657" t="s">
        <v>6796</v>
      </c>
      <c r="D1485" s="657" t="s">
        <v>6821</v>
      </c>
      <c r="E1485" s="657" t="s">
        <v>6822</v>
      </c>
      <c r="F1485" s="658">
        <v>0.1</v>
      </c>
      <c r="G1485" s="658">
        <v>0</v>
      </c>
      <c r="H1485" s="656"/>
    </row>
    <row r="1486" spans="1:8" ht="18.75" customHeight="1">
      <c r="A1486" s="656"/>
      <c r="B1486" s="659" t="s">
        <v>6736</v>
      </c>
      <c r="C1486" s="659" t="s">
        <v>6796</v>
      </c>
      <c r="D1486" s="659" t="s">
        <v>6823</v>
      </c>
      <c r="E1486" s="659" t="s">
        <v>6824</v>
      </c>
      <c r="F1486" s="660">
        <v>0.1</v>
      </c>
      <c r="G1486" s="660">
        <v>0</v>
      </c>
      <c r="H1486" s="656"/>
    </row>
    <row r="1487" spans="1:8" ht="18.75" customHeight="1">
      <c r="A1487" s="656"/>
      <c r="B1487" s="657" t="s">
        <v>6736</v>
      </c>
      <c r="C1487" s="657" t="s">
        <v>6796</v>
      </c>
      <c r="D1487" s="657" t="s">
        <v>6825</v>
      </c>
      <c r="E1487" s="657" t="s">
        <v>6826</v>
      </c>
      <c r="F1487" s="658">
        <v>0.1</v>
      </c>
      <c r="G1487" s="658">
        <v>0</v>
      </c>
      <c r="H1487" s="656"/>
    </row>
    <row r="1488" spans="1:8" ht="18.75" customHeight="1">
      <c r="A1488" s="656"/>
      <c r="B1488" s="659" t="s">
        <v>6736</v>
      </c>
      <c r="C1488" s="659" t="s">
        <v>6796</v>
      </c>
      <c r="D1488" s="659" t="s">
        <v>6827</v>
      </c>
      <c r="E1488" s="659" t="s">
        <v>6828</v>
      </c>
      <c r="F1488" s="660">
        <v>0.1</v>
      </c>
      <c r="G1488" s="660">
        <v>0</v>
      </c>
      <c r="H1488" s="656"/>
    </row>
    <row r="1489" spans="1:8" ht="18.75" customHeight="1">
      <c r="A1489" s="656"/>
      <c r="B1489" s="657" t="s">
        <v>6736</v>
      </c>
      <c r="C1489" s="657" t="s">
        <v>6796</v>
      </c>
      <c r="D1489" s="657" t="s">
        <v>6829</v>
      </c>
      <c r="E1489" s="657" t="s">
        <v>6830</v>
      </c>
      <c r="F1489" s="658">
        <v>0.1</v>
      </c>
      <c r="G1489" s="658">
        <v>0</v>
      </c>
      <c r="H1489" s="656"/>
    </row>
    <row r="1490" spans="1:8" ht="18.75" customHeight="1">
      <c r="A1490" s="656"/>
      <c r="B1490" s="659" t="s">
        <v>6736</v>
      </c>
      <c r="C1490" s="659" t="s">
        <v>6796</v>
      </c>
      <c r="D1490" s="659" t="s">
        <v>6831</v>
      </c>
      <c r="E1490" s="659" t="s">
        <v>6832</v>
      </c>
      <c r="F1490" s="660">
        <v>0.1</v>
      </c>
      <c r="G1490" s="660">
        <v>0</v>
      </c>
      <c r="H1490" s="656"/>
    </row>
    <row r="1491" spans="1:8" ht="18.75" customHeight="1">
      <c r="A1491" s="656"/>
      <c r="B1491" s="657" t="s">
        <v>6736</v>
      </c>
      <c r="C1491" s="657" t="s">
        <v>6796</v>
      </c>
      <c r="D1491" s="657" t="s">
        <v>6833</v>
      </c>
      <c r="E1491" s="657" t="s">
        <v>6834</v>
      </c>
      <c r="F1491" s="658">
        <v>0.1</v>
      </c>
      <c r="G1491" s="658">
        <v>0</v>
      </c>
      <c r="H1491" s="656"/>
    </row>
    <row r="1492" spans="1:8" ht="18.75" customHeight="1">
      <c r="A1492" s="656"/>
      <c r="B1492" s="659" t="s">
        <v>6736</v>
      </c>
      <c r="C1492" s="659" t="s">
        <v>6796</v>
      </c>
      <c r="D1492" s="659" t="s">
        <v>6835</v>
      </c>
      <c r="E1492" s="659" t="s">
        <v>6836</v>
      </c>
      <c r="F1492" s="660">
        <v>0.1</v>
      </c>
      <c r="G1492" s="660">
        <v>0</v>
      </c>
      <c r="H1492" s="656"/>
    </row>
    <row r="1493" spans="1:8" ht="18.75" customHeight="1">
      <c r="A1493" s="656"/>
      <c r="B1493" s="657" t="s">
        <v>6736</v>
      </c>
      <c r="C1493" s="657" t="s">
        <v>6796</v>
      </c>
      <c r="D1493" s="657" t="s">
        <v>6837</v>
      </c>
      <c r="E1493" s="657" t="s">
        <v>6838</v>
      </c>
      <c r="F1493" s="658">
        <v>0.1</v>
      </c>
      <c r="G1493" s="658">
        <v>0</v>
      </c>
      <c r="H1493" s="656"/>
    </row>
    <row r="1494" spans="1:8" ht="18.75" customHeight="1">
      <c r="A1494" s="656"/>
      <c r="B1494" s="659" t="s">
        <v>6736</v>
      </c>
      <c r="C1494" s="659" t="s">
        <v>6796</v>
      </c>
      <c r="D1494" s="659" t="s">
        <v>6839</v>
      </c>
      <c r="E1494" s="659" t="s">
        <v>6840</v>
      </c>
      <c r="F1494" s="660">
        <v>0.1</v>
      </c>
      <c r="G1494" s="660">
        <v>0</v>
      </c>
      <c r="H1494" s="656"/>
    </row>
    <row r="1495" spans="1:8" ht="18.75" customHeight="1">
      <c r="A1495" s="656"/>
      <c r="B1495" s="657" t="s">
        <v>6736</v>
      </c>
      <c r="C1495" s="657" t="s">
        <v>6796</v>
      </c>
      <c r="D1495" s="657" t="s">
        <v>6841</v>
      </c>
      <c r="E1495" s="657" t="s">
        <v>6842</v>
      </c>
      <c r="F1495" s="658">
        <v>0.1</v>
      </c>
      <c r="G1495" s="658">
        <v>0</v>
      </c>
      <c r="H1495" s="656"/>
    </row>
    <row r="1496" spans="1:8" ht="18.75" customHeight="1">
      <c r="A1496" s="656"/>
      <c r="B1496" s="659" t="s">
        <v>6736</v>
      </c>
      <c r="C1496" s="659" t="s">
        <v>6796</v>
      </c>
      <c r="D1496" s="659" t="s">
        <v>6843</v>
      </c>
      <c r="E1496" s="659" t="s">
        <v>6844</v>
      </c>
      <c r="F1496" s="660">
        <v>0.1</v>
      </c>
      <c r="G1496" s="660">
        <v>0</v>
      </c>
      <c r="H1496" s="656"/>
    </row>
    <row r="1497" spans="1:8" ht="18.75" customHeight="1">
      <c r="A1497" s="656"/>
      <c r="B1497" s="657" t="s">
        <v>6736</v>
      </c>
      <c r="C1497" s="657" t="s">
        <v>6796</v>
      </c>
      <c r="D1497" s="657" t="s">
        <v>6845</v>
      </c>
      <c r="E1497" s="657" t="s">
        <v>6846</v>
      </c>
      <c r="F1497" s="658">
        <v>0.1</v>
      </c>
      <c r="G1497" s="658">
        <v>0</v>
      </c>
      <c r="H1497" s="656"/>
    </row>
    <row r="1498" spans="1:8" ht="18.75" customHeight="1">
      <c r="A1498" s="656"/>
      <c r="B1498" s="659" t="s">
        <v>6736</v>
      </c>
      <c r="C1498" s="659" t="s">
        <v>6796</v>
      </c>
      <c r="D1498" s="659" t="s">
        <v>6847</v>
      </c>
      <c r="E1498" s="659" t="s">
        <v>6848</v>
      </c>
      <c r="F1498" s="660">
        <v>0.1</v>
      </c>
      <c r="G1498" s="660">
        <v>0</v>
      </c>
      <c r="H1498" s="656"/>
    </row>
    <row r="1499" spans="1:8" ht="18.75" customHeight="1">
      <c r="A1499" s="656"/>
      <c r="B1499" s="657" t="s">
        <v>6736</v>
      </c>
      <c r="C1499" s="657" t="s">
        <v>6796</v>
      </c>
      <c r="D1499" s="657" t="s">
        <v>6849</v>
      </c>
      <c r="E1499" s="657" t="s">
        <v>6850</v>
      </c>
      <c r="F1499" s="658">
        <v>0.1</v>
      </c>
      <c r="G1499" s="658">
        <v>0</v>
      </c>
      <c r="H1499" s="656"/>
    </row>
    <row r="1500" spans="1:8" ht="18.75" customHeight="1">
      <c r="A1500" s="656"/>
      <c r="B1500" s="659" t="s">
        <v>6736</v>
      </c>
      <c r="C1500" s="659" t="s">
        <v>6796</v>
      </c>
      <c r="D1500" s="659" t="s">
        <v>6851</v>
      </c>
      <c r="E1500" s="659" t="s">
        <v>6852</v>
      </c>
      <c r="F1500" s="660">
        <v>0.1</v>
      </c>
      <c r="G1500" s="660">
        <v>0</v>
      </c>
      <c r="H1500" s="656"/>
    </row>
    <row r="1501" spans="1:8" ht="18.75" customHeight="1">
      <c r="A1501" s="656"/>
      <c r="B1501" s="657" t="s">
        <v>6736</v>
      </c>
      <c r="C1501" s="657" t="s">
        <v>6796</v>
      </c>
      <c r="D1501" s="657" t="s">
        <v>6853</v>
      </c>
      <c r="E1501" s="657" t="s">
        <v>6854</v>
      </c>
      <c r="F1501" s="658">
        <v>0.1</v>
      </c>
      <c r="G1501" s="658">
        <v>0</v>
      </c>
      <c r="H1501" s="656"/>
    </row>
    <row r="1502" spans="1:8" ht="18.75" customHeight="1">
      <c r="A1502" s="656"/>
      <c r="B1502" s="659" t="s">
        <v>6736</v>
      </c>
      <c r="C1502" s="659" t="s">
        <v>6796</v>
      </c>
      <c r="D1502" s="659" t="s">
        <v>6855</v>
      </c>
      <c r="E1502" s="659" t="s">
        <v>6856</v>
      </c>
      <c r="F1502" s="660">
        <v>0.1</v>
      </c>
      <c r="G1502" s="660">
        <v>0</v>
      </c>
      <c r="H1502" s="656"/>
    </row>
    <row r="1503" spans="1:8" ht="18.75" customHeight="1">
      <c r="A1503" s="656"/>
      <c r="B1503" s="657" t="s">
        <v>6736</v>
      </c>
      <c r="C1503" s="657" t="s">
        <v>6796</v>
      </c>
      <c r="D1503" s="657" t="s">
        <v>6857</v>
      </c>
      <c r="E1503" s="657" t="s">
        <v>6858</v>
      </c>
      <c r="F1503" s="658">
        <v>0.1</v>
      </c>
      <c r="G1503" s="658">
        <v>0</v>
      </c>
      <c r="H1503" s="656"/>
    </row>
    <row r="1504" spans="1:8" ht="18.75" customHeight="1">
      <c r="A1504" s="656"/>
      <c r="B1504" s="659" t="s">
        <v>6736</v>
      </c>
      <c r="C1504" s="659" t="s">
        <v>6796</v>
      </c>
      <c r="D1504" s="659" t="s">
        <v>6859</v>
      </c>
      <c r="E1504" s="659" t="s">
        <v>6860</v>
      </c>
      <c r="F1504" s="660">
        <v>0.1</v>
      </c>
      <c r="G1504" s="660">
        <v>0</v>
      </c>
      <c r="H1504" s="656"/>
    </row>
    <row r="1505" spans="1:8" ht="18.75" customHeight="1">
      <c r="A1505" s="656"/>
      <c r="B1505" s="657" t="s">
        <v>6736</v>
      </c>
      <c r="C1505" s="657" t="s">
        <v>6796</v>
      </c>
      <c r="D1505" s="657" t="s">
        <v>6861</v>
      </c>
      <c r="E1505" s="657" t="s">
        <v>6862</v>
      </c>
      <c r="F1505" s="658">
        <v>0.1</v>
      </c>
      <c r="G1505" s="658">
        <v>0</v>
      </c>
      <c r="H1505" s="656"/>
    </row>
    <row r="1506" spans="1:8" ht="18.75" customHeight="1">
      <c r="A1506" s="656"/>
      <c r="B1506" s="659" t="s">
        <v>6736</v>
      </c>
      <c r="C1506" s="659" t="s">
        <v>6796</v>
      </c>
      <c r="D1506" s="659" t="s">
        <v>6863</v>
      </c>
      <c r="E1506" s="659" t="s">
        <v>6864</v>
      </c>
      <c r="F1506" s="660">
        <v>0.1</v>
      </c>
      <c r="G1506" s="660">
        <v>0</v>
      </c>
      <c r="H1506" s="656"/>
    </row>
    <row r="1507" spans="1:8" ht="18.75" customHeight="1">
      <c r="A1507" s="656"/>
      <c r="B1507" s="657" t="s">
        <v>6736</v>
      </c>
      <c r="C1507" s="657" t="s">
        <v>6796</v>
      </c>
      <c r="D1507" s="657" t="s">
        <v>6865</v>
      </c>
      <c r="E1507" s="657" t="s">
        <v>6866</v>
      </c>
      <c r="F1507" s="658">
        <v>0.1</v>
      </c>
      <c r="G1507" s="658">
        <v>0</v>
      </c>
      <c r="H1507" s="656"/>
    </row>
    <row r="1508" spans="1:8" ht="18.75" customHeight="1">
      <c r="A1508" s="656"/>
      <c r="B1508" s="659" t="s">
        <v>6736</v>
      </c>
      <c r="C1508" s="659" t="s">
        <v>6796</v>
      </c>
      <c r="D1508" s="659" t="s">
        <v>6867</v>
      </c>
      <c r="E1508" s="659" t="s">
        <v>6868</v>
      </c>
      <c r="F1508" s="660">
        <v>0.1</v>
      </c>
      <c r="G1508" s="660">
        <v>0</v>
      </c>
      <c r="H1508" s="656"/>
    </row>
    <row r="1509" spans="1:8" ht="18.75" customHeight="1">
      <c r="A1509" s="656"/>
      <c r="B1509" s="657" t="s">
        <v>6736</v>
      </c>
      <c r="C1509" s="657" t="s">
        <v>6796</v>
      </c>
      <c r="D1509" s="657" t="s">
        <v>6869</v>
      </c>
      <c r="E1509" s="657" t="s">
        <v>6870</v>
      </c>
      <c r="F1509" s="658">
        <v>0.1</v>
      </c>
      <c r="G1509" s="658">
        <v>0</v>
      </c>
      <c r="H1509" s="656"/>
    </row>
    <row r="1510" spans="1:8" ht="18.75" customHeight="1">
      <c r="A1510" s="656"/>
      <c r="B1510" s="659" t="s">
        <v>6736</v>
      </c>
      <c r="C1510" s="659" t="s">
        <v>6796</v>
      </c>
      <c r="D1510" s="659" t="s">
        <v>6871</v>
      </c>
      <c r="E1510" s="659" t="s">
        <v>6872</v>
      </c>
      <c r="F1510" s="660">
        <v>0.1</v>
      </c>
      <c r="G1510" s="660">
        <v>0</v>
      </c>
      <c r="H1510" s="656"/>
    </row>
    <row r="1511" spans="1:8" ht="18.75" customHeight="1">
      <c r="A1511" s="656"/>
      <c r="B1511" s="657" t="s">
        <v>6736</v>
      </c>
      <c r="C1511" s="657" t="s">
        <v>6796</v>
      </c>
      <c r="D1511" s="657" t="s">
        <v>6873</v>
      </c>
      <c r="E1511" s="657" t="s">
        <v>6874</v>
      </c>
      <c r="F1511" s="658">
        <v>0.1</v>
      </c>
      <c r="G1511" s="658">
        <v>0</v>
      </c>
      <c r="H1511" s="656"/>
    </row>
    <row r="1512" spans="1:8" ht="18.75" customHeight="1">
      <c r="A1512" s="656"/>
      <c r="B1512" s="659" t="s">
        <v>6736</v>
      </c>
      <c r="C1512" s="659" t="s">
        <v>6796</v>
      </c>
      <c r="D1512" s="659" t="s">
        <v>6875</v>
      </c>
      <c r="E1512" s="659" t="s">
        <v>6876</v>
      </c>
      <c r="F1512" s="660">
        <v>0.1</v>
      </c>
      <c r="G1512" s="660">
        <v>0</v>
      </c>
      <c r="H1512" s="656"/>
    </row>
    <row r="1513" spans="1:8" ht="18.75" customHeight="1">
      <c r="A1513" s="656"/>
      <c r="B1513" s="657" t="s">
        <v>6736</v>
      </c>
      <c r="C1513" s="657" t="s">
        <v>6796</v>
      </c>
      <c r="D1513" s="657" t="s">
        <v>6877</v>
      </c>
      <c r="E1513" s="657" t="s">
        <v>6878</v>
      </c>
      <c r="F1513" s="658">
        <v>0.1</v>
      </c>
      <c r="G1513" s="658">
        <v>0</v>
      </c>
      <c r="H1513" s="656"/>
    </row>
    <row r="1514" spans="1:8" ht="18.75" customHeight="1">
      <c r="A1514" s="656"/>
      <c r="B1514" s="659" t="s">
        <v>6736</v>
      </c>
      <c r="C1514" s="659" t="s">
        <v>6796</v>
      </c>
      <c r="D1514" s="659" t="s">
        <v>6879</v>
      </c>
      <c r="E1514" s="659" t="s">
        <v>6880</v>
      </c>
      <c r="F1514" s="660">
        <v>0.1</v>
      </c>
      <c r="G1514" s="660">
        <v>0</v>
      </c>
      <c r="H1514" s="656"/>
    </row>
    <row r="1515" spans="1:8" ht="18.75" customHeight="1">
      <c r="A1515" s="656"/>
      <c r="B1515" s="657" t="s">
        <v>6736</v>
      </c>
      <c r="C1515" s="657" t="s">
        <v>6796</v>
      </c>
      <c r="D1515" s="657" t="s">
        <v>6881</v>
      </c>
      <c r="E1515" s="657" t="s">
        <v>6882</v>
      </c>
      <c r="F1515" s="658">
        <v>0.1</v>
      </c>
      <c r="G1515" s="658">
        <v>0</v>
      </c>
      <c r="H1515" s="656"/>
    </row>
    <row r="1516" spans="1:8" ht="18.75" customHeight="1">
      <c r="A1516" s="656"/>
      <c r="B1516" s="659" t="s">
        <v>6736</v>
      </c>
      <c r="C1516" s="659" t="s">
        <v>6796</v>
      </c>
      <c r="D1516" s="659" t="s">
        <v>6883</v>
      </c>
      <c r="E1516" s="659" t="s">
        <v>6884</v>
      </c>
      <c r="F1516" s="660">
        <v>0.1</v>
      </c>
      <c r="G1516" s="660">
        <v>0</v>
      </c>
      <c r="H1516" s="656"/>
    </row>
    <row r="1517" spans="1:8" ht="18.75" customHeight="1">
      <c r="A1517" s="656"/>
      <c r="B1517" s="657" t="s">
        <v>6736</v>
      </c>
      <c r="C1517" s="657" t="s">
        <v>6796</v>
      </c>
      <c r="D1517" s="657" t="s">
        <v>6885</v>
      </c>
      <c r="E1517" s="657" t="s">
        <v>6886</v>
      </c>
      <c r="F1517" s="658">
        <v>0.1</v>
      </c>
      <c r="G1517" s="658">
        <v>0</v>
      </c>
      <c r="H1517" s="656"/>
    </row>
    <row r="1518" spans="1:8" ht="18.75" customHeight="1">
      <c r="A1518" s="656"/>
      <c r="B1518" s="659" t="s">
        <v>6736</v>
      </c>
      <c r="C1518" s="659" t="s">
        <v>6796</v>
      </c>
      <c r="D1518" s="659" t="s">
        <v>6887</v>
      </c>
      <c r="E1518" s="659" t="s">
        <v>6888</v>
      </c>
      <c r="F1518" s="660">
        <v>0.1</v>
      </c>
      <c r="G1518" s="660">
        <v>0</v>
      </c>
      <c r="H1518" s="656"/>
    </row>
    <row r="1519" spans="1:8" ht="18.75" customHeight="1">
      <c r="A1519" s="656"/>
      <c r="B1519" s="657" t="s">
        <v>6736</v>
      </c>
      <c r="C1519" s="657" t="s">
        <v>6796</v>
      </c>
      <c r="D1519" s="657" t="s">
        <v>6889</v>
      </c>
      <c r="E1519" s="657" t="s">
        <v>6890</v>
      </c>
      <c r="F1519" s="658">
        <v>0.1</v>
      </c>
      <c r="G1519" s="658">
        <v>0</v>
      </c>
      <c r="H1519" s="656"/>
    </row>
    <row r="1520" spans="1:8" ht="18.75" customHeight="1">
      <c r="A1520" s="656"/>
      <c r="B1520" s="659" t="s">
        <v>6736</v>
      </c>
      <c r="C1520" s="659" t="s">
        <v>6796</v>
      </c>
      <c r="D1520" s="659" t="s">
        <v>6891</v>
      </c>
      <c r="E1520" s="659" t="s">
        <v>6892</v>
      </c>
      <c r="F1520" s="660">
        <v>0.1</v>
      </c>
      <c r="G1520" s="660">
        <v>0</v>
      </c>
      <c r="H1520" s="656"/>
    </row>
    <row r="1521" spans="1:8" ht="18.75" customHeight="1">
      <c r="A1521" s="656"/>
      <c r="B1521" s="657" t="s">
        <v>6736</v>
      </c>
      <c r="C1521" s="657" t="s">
        <v>6796</v>
      </c>
      <c r="D1521" s="657" t="s">
        <v>6893</v>
      </c>
      <c r="E1521" s="657" t="s">
        <v>6894</v>
      </c>
      <c r="F1521" s="658">
        <v>0.1</v>
      </c>
      <c r="G1521" s="658">
        <v>0</v>
      </c>
      <c r="H1521" s="656"/>
    </row>
    <row r="1522" spans="1:8" ht="18.75" customHeight="1">
      <c r="A1522" s="656"/>
      <c r="B1522" s="659" t="s">
        <v>6736</v>
      </c>
      <c r="C1522" s="659" t="s">
        <v>6796</v>
      </c>
      <c r="D1522" s="659" t="s">
        <v>6895</v>
      </c>
      <c r="E1522" s="659" t="s">
        <v>6896</v>
      </c>
      <c r="F1522" s="660">
        <v>0.1</v>
      </c>
      <c r="G1522" s="660">
        <v>0</v>
      </c>
      <c r="H1522" s="656"/>
    </row>
    <row r="1523" spans="1:8" ht="18.75" customHeight="1">
      <c r="A1523" s="656"/>
      <c r="B1523" s="657" t="s">
        <v>6736</v>
      </c>
      <c r="C1523" s="657" t="s">
        <v>6796</v>
      </c>
      <c r="D1523" s="657" t="s">
        <v>6897</v>
      </c>
      <c r="E1523" s="657" t="s">
        <v>6898</v>
      </c>
      <c r="F1523" s="658">
        <v>0.1</v>
      </c>
      <c r="G1523" s="658">
        <v>0</v>
      </c>
      <c r="H1523" s="656"/>
    </row>
    <row r="1524" spans="1:8" ht="18.75" customHeight="1">
      <c r="A1524" s="656"/>
      <c r="B1524" s="659" t="s">
        <v>6736</v>
      </c>
      <c r="C1524" s="659" t="s">
        <v>6796</v>
      </c>
      <c r="D1524" s="659" t="s">
        <v>6899</v>
      </c>
      <c r="E1524" s="659" t="s">
        <v>6900</v>
      </c>
      <c r="F1524" s="660">
        <v>0.1</v>
      </c>
      <c r="G1524" s="660">
        <v>0</v>
      </c>
      <c r="H1524" s="656"/>
    </row>
    <row r="1525" spans="1:8" ht="18.75" customHeight="1">
      <c r="A1525" s="656"/>
      <c r="B1525" s="657" t="s">
        <v>6736</v>
      </c>
      <c r="C1525" s="657" t="s">
        <v>6796</v>
      </c>
      <c r="D1525" s="657" t="s">
        <v>6901</v>
      </c>
      <c r="E1525" s="657" t="s">
        <v>6902</v>
      </c>
      <c r="F1525" s="658">
        <v>0.1</v>
      </c>
      <c r="G1525" s="658">
        <v>0</v>
      </c>
      <c r="H1525" s="656"/>
    </row>
    <row r="1526" spans="1:8" ht="18.75" customHeight="1">
      <c r="A1526" s="656"/>
      <c r="B1526" s="659" t="s">
        <v>6736</v>
      </c>
      <c r="C1526" s="659" t="s">
        <v>6796</v>
      </c>
      <c r="D1526" s="659" t="s">
        <v>6903</v>
      </c>
      <c r="E1526" s="659" t="s">
        <v>6904</v>
      </c>
      <c r="F1526" s="660">
        <v>0.1</v>
      </c>
      <c r="G1526" s="660">
        <v>0</v>
      </c>
      <c r="H1526" s="656"/>
    </row>
    <row r="1527" spans="1:8" ht="18.75" customHeight="1">
      <c r="A1527" s="656"/>
      <c r="B1527" s="657" t="s">
        <v>6736</v>
      </c>
      <c r="C1527" s="657" t="s">
        <v>6796</v>
      </c>
      <c r="D1527" s="657" t="s">
        <v>6905</v>
      </c>
      <c r="E1527" s="657" t="s">
        <v>6906</v>
      </c>
      <c r="F1527" s="658">
        <v>0.1</v>
      </c>
      <c r="G1527" s="658">
        <v>0</v>
      </c>
      <c r="H1527" s="656"/>
    </row>
    <row r="1528" spans="1:8" ht="18.75" customHeight="1">
      <c r="A1528" s="656"/>
      <c r="B1528" s="659" t="s">
        <v>6736</v>
      </c>
      <c r="C1528" s="659" t="s">
        <v>6796</v>
      </c>
      <c r="D1528" s="659" t="s">
        <v>6907</v>
      </c>
      <c r="E1528" s="659" t="s">
        <v>6908</v>
      </c>
      <c r="F1528" s="660">
        <v>0.1</v>
      </c>
      <c r="G1528" s="660">
        <v>0</v>
      </c>
      <c r="H1528" s="656"/>
    </row>
    <row r="1529" spans="1:8" ht="18.75" customHeight="1">
      <c r="A1529" s="656"/>
      <c r="B1529" s="657" t="s">
        <v>6736</v>
      </c>
      <c r="C1529" s="657" t="s">
        <v>6796</v>
      </c>
      <c r="D1529" s="657" t="s">
        <v>6909</v>
      </c>
      <c r="E1529" s="657" t="s">
        <v>6910</v>
      </c>
      <c r="F1529" s="658">
        <v>0.1</v>
      </c>
      <c r="G1529" s="658">
        <v>0</v>
      </c>
      <c r="H1529" s="656"/>
    </row>
    <row r="1530" spans="1:8" ht="18.75" customHeight="1">
      <c r="A1530" s="656"/>
      <c r="B1530" s="659" t="s">
        <v>6736</v>
      </c>
      <c r="C1530" s="659" t="s">
        <v>6796</v>
      </c>
      <c r="D1530" s="659" t="s">
        <v>6911</v>
      </c>
      <c r="E1530" s="659" t="s">
        <v>6912</v>
      </c>
      <c r="F1530" s="660">
        <v>0.1</v>
      </c>
      <c r="G1530" s="660">
        <v>0</v>
      </c>
      <c r="H1530" s="656"/>
    </row>
    <row r="1531" spans="1:8" ht="18.75" customHeight="1">
      <c r="A1531" s="656"/>
      <c r="B1531" s="657" t="s">
        <v>6736</v>
      </c>
      <c r="C1531" s="657" t="s">
        <v>6796</v>
      </c>
      <c r="D1531" s="657" t="s">
        <v>6913</v>
      </c>
      <c r="E1531" s="657" t="s">
        <v>6914</v>
      </c>
      <c r="F1531" s="658">
        <v>0.1</v>
      </c>
      <c r="G1531" s="658">
        <v>0</v>
      </c>
      <c r="H1531" s="656"/>
    </row>
    <row r="1532" spans="1:8" ht="18.75" customHeight="1">
      <c r="A1532" s="656"/>
      <c r="B1532" s="659" t="s">
        <v>6736</v>
      </c>
      <c r="C1532" s="659" t="s">
        <v>6796</v>
      </c>
      <c r="D1532" s="659" t="s">
        <v>6915</v>
      </c>
      <c r="E1532" s="659" t="s">
        <v>6916</v>
      </c>
      <c r="F1532" s="660">
        <v>0.1</v>
      </c>
      <c r="G1532" s="660">
        <v>0</v>
      </c>
      <c r="H1532" s="656"/>
    </row>
    <row r="1533" spans="1:8" ht="18.75" customHeight="1">
      <c r="A1533" s="656"/>
      <c r="B1533" s="657" t="s">
        <v>6736</v>
      </c>
      <c r="C1533" s="657" t="s">
        <v>6796</v>
      </c>
      <c r="D1533" s="657" t="s">
        <v>6917</v>
      </c>
      <c r="E1533" s="657" t="s">
        <v>6918</v>
      </c>
      <c r="F1533" s="658">
        <v>0.1</v>
      </c>
      <c r="G1533" s="658">
        <v>0</v>
      </c>
      <c r="H1533" s="656"/>
    </row>
    <row r="1534" spans="1:8" ht="18.75" customHeight="1">
      <c r="A1534" s="656"/>
      <c r="B1534" s="659" t="s">
        <v>6736</v>
      </c>
      <c r="C1534" s="659" t="s">
        <v>6796</v>
      </c>
      <c r="D1534" s="659" t="s">
        <v>6919</v>
      </c>
      <c r="E1534" s="659" t="s">
        <v>6920</v>
      </c>
      <c r="F1534" s="660">
        <v>0.1</v>
      </c>
      <c r="G1534" s="660">
        <v>0</v>
      </c>
      <c r="H1534" s="656"/>
    </row>
    <row r="1535" spans="1:8" ht="18.75" customHeight="1">
      <c r="A1535" s="656"/>
      <c r="B1535" s="657" t="s">
        <v>6736</v>
      </c>
      <c r="C1535" s="657" t="s">
        <v>6796</v>
      </c>
      <c r="D1535" s="657" t="s">
        <v>6921</v>
      </c>
      <c r="E1535" s="657" t="s">
        <v>6922</v>
      </c>
      <c r="F1535" s="658">
        <v>0.1</v>
      </c>
      <c r="G1535" s="658">
        <v>0</v>
      </c>
      <c r="H1535" s="656"/>
    </row>
    <row r="1536" spans="1:8" ht="18.75" customHeight="1">
      <c r="A1536" s="656"/>
      <c r="B1536" s="659" t="s">
        <v>6736</v>
      </c>
      <c r="C1536" s="659" t="s">
        <v>6796</v>
      </c>
      <c r="D1536" s="659" t="s">
        <v>6923</v>
      </c>
      <c r="E1536" s="659" t="s">
        <v>6924</v>
      </c>
      <c r="F1536" s="660">
        <v>0.1</v>
      </c>
      <c r="G1536" s="660">
        <v>0</v>
      </c>
      <c r="H1536" s="656"/>
    </row>
    <row r="1537" spans="1:8" ht="18.75" customHeight="1">
      <c r="A1537" s="656"/>
      <c r="B1537" s="657" t="s">
        <v>6736</v>
      </c>
      <c r="C1537" s="657" t="s">
        <v>6796</v>
      </c>
      <c r="D1537" s="657" t="s">
        <v>6925</v>
      </c>
      <c r="E1537" s="657" t="s">
        <v>6926</v>
      </c>
      <c r="F1537" s="658">
        <v>0.1</v>
      </c>
      <c r="G1537" s="658">
        <v>0</v>
      </c>
      <c r="H1537" s="656"/>
    </row>
    <row r="1538" spans="1:8" ht="18.75" customHeight="1">
      <c r="A1538" s="656"/>
      <c r="B1538" s="659" t="s">
        <v>6736</v>
      </c>
      <c r="C1538" s="659" t="s">
        <v>6796</v>
      </c>
      <c r="D1538" s="659" t="s">
        <v>6927</v>
      </c>
      <c r="E1538" s="659" t="s">
        <v>6928</v>
      </c>
      <c r="F1538" s="660">
        <v>0.1</v>
      </c>
      <c r="G1538" s="660">
        <v>0</v>
      </c>
      <c r="H1538" s="656"/>
    </row>
    <row r="1539" spans="1:8" ht="18.75" customHeight="1">
      <c r="A1539" s="656"/>
      <c r="B1539" s="657" t="s">
        <v>6736</v>
      </c>
      <c r="C1539" s="657" t="s">
        <v>6796</v>
      </c>
      <c r="D1539" s="657" t="s">
        <v>6929</v>
      </c>
      <c r="E1539" s="657" t="s">
        <v>6930</v>
      </c>
      <c r="F1539" s="658">
        <v>0.1</v>
      </c>
      <c r="G1539" s="658">
        <v>0</v>
      </c>
      <c r="H1539" s="656"/>
    </row>
    <row r="1540" spans="1:8" ht="18.75" customHeight="1">
      <c r="A1540" s="656"/>
      <c r="B1540" s="659" t="s">
        <v>6736</v>
      </c>
      <c r="C1540" s="659" t="s">
        <v>6796</v>
      </c>
      <c r="D1540" s="659" t="s">
        <v>6931</v>
      </c>
      <c r="E1540" s="659" t="s">
        <v>6932</v>
      </c>
      <c r="F1540" s="660">
        <v>0.1</v>
      </c>
      <c r="G1540" s="660">
        <v>0</v>
      </c>
      <c r="H1540" s="656"/>
    </row>
    <row r="1541" spans="1:8" ht="18.75" customHeight="1">
      <c r="A1541" s="656"/>
      <c r="B1541" s="657" t="s">
        <v>6736</v>
      </c>
      <c r="C1541" s="657" t="s">
        <v>6796</v>
      </c>
      <c r="D1541" s="657" t="s">
        <v>6933</v>
      </c>
      <c r="E1541" s="657" t="s">
        <v>6934</v>
      </c>
      <c r="F1541" s="658">
        <v>0.1</v>
      </c>
      <c r="G1541" s="658">
        <v>0</v>
      </c>
      <c r="H1541" s="656"/>
    </row>
    <row r="1542" spans="1:8" ht="18.75" customHeight="1">
      <c r="A1542" s="656"/>
      <c r="B1542" s="659" t="s">
        <v>6736</v>
      </c>
      <c r="C1542" s="659" t="s">
        <v>6796</v>
      </c>
      <c r="D1542" s="659" t="s">
        <v>6935</v>
      </c>
      <c r="E1542" s="659" t="s">
        <v>6936</v>
      </c>
      <c r="F1542" s="660">
        <v>0.1</v>
      </c>
      <c r="G1542" s="660">
        <v>0</v>
      </c>
      <c r="H1542" s="656"/>
    </row>
    <row r="1543" spans="1:8" ht="18.75" customHeight="1">
      <c r="A1543" s="656"/>
      <c r="B1543" s="657" t="s">
        <v>6736</v>
      </c>
      <c r="C1543" s="657" t="s">
        <v>6796</v>
      </c>
      <c r="D1543" s="657" t="s">
        <v>6937</v>
      </c>
      <c r="E1543" s="657" t="s">
        <v>6938</v>
      </c>
      <c r="F1543" s="658">
        <v>0.1</v>
      </c>
      <c r="G1543" s="658">
        <v>0</v>
      </c>
      <c r="H1543" s="656"/>
    </row>
    <row r="1544" spans="1:8" ht="18.75" customHeight="1">
      <c r="A1544" s="656"/>
      <c r="B1544" s="659" t="s">
        <v>6736</v>
      </c>
      <c r="C1544" s="659" t="s">
        <v>6796</v>
      </c>
      <c r="D1544" s="659" t="s">
        <v>6939</v>
      </c>
      <c r="E1544" s="659" t="s">
        <v>6940</v>
      </c>
      <c r="F1544" s="660">
        <v>0.1</v>
      </c>
      <c r="G1544" s="660">
        <v>0</v>
      </c>
      <c r="H1544" s="656"/>
    </row>
    <row r="1545" spans="1:8" ht="18.75" customHeight="1">
      <c r="A1545" s="656"/>
      <c r="B1545" s="657" t="s">
        <v>6736</v>
      </c>
      <c r="C1545" s="657" t="s">
        <v>6796</v>
      </c>
      <c r="D1545" s="657" t="s">
        <v>6941</v>
      </c>
      <c r="E1545" s="657" t="s">
        <v>6942</v>
      </c>
      <c r="F1545" s="658">
        <v>0.1</v>
      </c>
      <c r="G1545" s="658">
        <v>0</v>
      </c>
      <c r="H1545" s="656"/>
    </row>
    <row r="1546" spans="1:8" ht="18.75" customHeight="1">
      <c r="A1546" s="656"/>
      <c r="B1546" s="659" t="s">
        <v>6736</v>
      </c>
      <c r="C1546" s="659" t="s">
        <v>6796</v>
      </c>
      <c r="D1546" s="659" t="s">
        <v>6943</v>
      </c>
      <c r="E1546" s="659" t="s">
        <v>6944</v>
      </c>
      <c r="F1546" s="660">
        <v>0.1</v>
      </c>
      <c r="G1546" s="660">
        <v>0</v>
      </c>
      <c r="H1546" s="656"/>
    </row>
    <row r="1547" spans="1:8" ht="18.75" customHeight="1">
      <c r="A1547" s="656"/>
      <c r="B1547" s="657" t="s">
        <v>6736</v>
      </c>
      <c r="C1547" s="657" t="s">
        <v>6796</v>
      </c>
      <c r="D1547" s="657" t="s">
        <v>6945</v>
      </c>
      <c r="E1547" s="657" t="s">
        <v>6946</v>
      </c>
      <c r="F1547" s="658">
        <v>0.1</v>
      </c>
      <c r="G1547" s="658">
        <v>0</v>
      </c>
      <c r="H1547" s="656"/>
    </row>
    <row r="1548" spans="1:8" ht="18.75" customHeight="1">
      <c r="A1548" s="656"/>
      <c r="B1548" s="659" t="s">
        <v>6736</v>
      </c>
      <c r="C1548" s="659" t="s">
        <v>6796</v>
      </c>
      <c r="D1548" s="659" t="s">
        <v>6947</v>
      </c>
      <c r="E1548" s="659" t="s">
        <v>6948</v>
      </c>
      <c r="F1548" s="660">
        <v>0.1</v>
      </c>
      <c r="G1548" s="660">
        <v>0</v>
      </c>
      <c r="H1548" s="656"/>
    </row>
    <row r="1549" spans="1:8" ht="18.75" customHeight="1">
      <c r="A1549" s="656"/>
      <c r="B1549" s="657" t="s">
        <v>6736</v>
      </c>
      <c r="C1549" s="657" t="s">
        <v>6796</v>
      </c>
      <c r="D1549" s="657" t="s">
        <v>6949</v>
      </c>
      <c r="E1549" s="657" t="s">
        <v>6950</v>
      </c>
      <c r="F1549" s="658">
        <v>0.1</v>
      </c>
      <c r="G1549" s="658">
        <v>0</v>
      </c>
      <c r="H1549" s="656"/>
    </row>
    <row r="1550" spans="1:8" ht="18.75" customHeight="1">
      <c r="A1550" s="656"/>
      <c r="B1550" s="659" t="s">
        <v>6736</v>
      </c>
      <c r="C1550" s="659" t="s">
        <v>6796</v>
      </c>
      <c r="D1550" s="659" t="s">
        <v>6951</v>
      </c>
      <c r="E1550" s="659" t="s">
        <v>6952</v>
      </c>
      <c r="F1550" s="660">
        <v>0.1</v>
      </c>
      <c r="G1550" s="660">
        <v>0</v>
      </c>
      <c r="H1550" s="656"/>
    </row>
    <row r="1551" spans="1:8" ht="18.75" customHeight="1">
      <c r="A1551" s="656"/>
      <c r="B1551" s="657" t="s">
        <v>6736</v>
      </c>
      <c r="C1551" s="657" t="s">
        <v>6796</v>
      </c>
      <c r="D1551" s="657" t="s">
        <v>6953</v>
      </c>
      <c r="E1551" s="657" t="s">
        <v>6954</v>
      </c>
      <c r="F1551" s="658">
        <v>0.1</v>
      </c>
      <c r="G1551" s="658">
        <v>0</v>
      </c>
      <c r="H1551" s="656"/>
    </row>
    <row r="1552" spans="1:8" ht="18.75" customHeight="1">
      <c r="A1552" s="656"/>
      <c r="B1552" s="659" t="s">
        <v>6736</v>
      </c>
      <c r="C1552" s="659" t="s">
        <v>6796</v>
      </c>
      <c r="D1552" s="659" t="s">
        <v>6955</v>
      </c>
      <c r="E1552" s="659" t="s">
        <v>6956</v>
      </c>
      <c r="F1552" s="660">
        <v>0.1</v>
      </c>
      <c r="G1552" s="660">
        <v>0</v>
      </c>
      <c r="H1552" s="656"/>
    </row>
    <row r="1553" spans="1:8" ht="18.75" customHeight="1">
      <c r="A1553" s="656"/>
      <c r="B1553" s="657" t="s">
        <v>6736</v>
      </c>
      <c r="C1553" s="657" t="s">
        <v>6796</v>
      </c>
      <c r="D1553" s="657" t="s">
        <v>6957</v>
      </c>
      <c r="E1553" s="657" t="s">
        <v>6958</v>
      </c>
      <c r="F1553" s="658">
        <v>0.1</v>
      </c>
      <c r="G1553" s="658">
        <v>0</v>
      </c>
      <c r="H1553" s="656"/>
    </row>
    <row r="1554" spans="1:8" ht="18.75" customHeight="1">
      <c r="A1554" s="656"/>
      <c r="B1554" s="659" t="s">
        <v>6736</v>
      </c>
      <c r="C1554" s="659" t="s">
        <v>6796</v>
      </c>
      <c r="D1554" s="659" t="s">
        <v>6959</v>
      </c>
      <c r="E1554" s="659" t="s">
        <v>6960</v>
      </c>
      <c r="F1554" s="660">
        <v>0.1</v>
      </c>
      <c r="G1554" s="660">
        <v>0</v>
      </c>
      <c r="H1554" s="656"/>
    </row>
    <row r="1555" spans="1:8" ht="18.75" customHeight="1">
      <c r="A1555" s="656"/>
      <c r="B1555" s="657" t="s">
        <v>6736</v>
      </c>
      <c r="C1555" s="657" t="s">
        <v>6796</v>
      </c>
      <c r="D1555" s="657" t="s">
        <v>6961</v>
      </c>
      <c r="E1555" s="657" t="s">
        <v>6962</v>
      </c>
      <c r="F1555" s="658">
        <v>0.1</v>
      </c>
      <c r="G1555" s="658">
        <v>0</v>
      </c>
      <c r="H1555" s="656"/>
    </row>
    <row r="1556" spans="1:8" ht="18.75" customHeight="1">
      <c r="A1556" s="656"/>
      <c r="B1556" s="659" t="s">
        <v>6736</v>
      </c>
      <c r="C1556" s="659" t="s">
        <v>6796</v>
      </c>
      <c r="D1556" s="659" t="s">
        <v>6963</v>
      </c>
      <c r="E1556" s="659" t="s">
        <v>6964</v>
      </c>
      <c r="F1556" s="660">
        <v>0.1</v>
      </c>
      <c r="G1556" s="660">
        <v>0</v>
      </c>
      <c r="H1556" s="656"/>
    </row>
    <row r="1557" spans="1:8" ht="18.75" customHeight="1">
      <c r="A1557" s="656"/>
      <c r="B1557" s="657" t="s">
        <v>6736</v>
      </c>
      <c r="C1557" s="657" t="s">
        <v>6796</v>
      </c>
      <c r="D1557" s="657" t="s">
        <v>6965</v>
      </c>
      <c r="E1557" s="657" t="s">
        <v>6966</v>
      </c>
      <c r="F1557" s="658">
        <v>0.1</v>
      </c>
      <c r="G1557" s="658">
        <v>0</v>
      </c>
      <c r="H1557" s="656"/>
    </row>
    <row r="1558" spans="1:8" ht="18.75" customHeight="1">
      <c r="A1558" s="656"/>
      <c r="B1558" s="659" t="s">
        <v>6736</v>
      </c>
      <c r="C1558" s="659" t="s">
        <v>6796</v>
      </c>
      <c r="D1558" s="659" t="s">
        <v>6967</v>
      </c>
      <c r="E1558" s="659" t="s">
        <v>6968</v>
      </c>
      <c r="F1558" s="660">
        <v>0.1</v>
      </c>
      <c r="G1558" s="660">
        <v>0</v>
      </c>
      <c r="H1558" s="656"/>
    </row>
    <row r="1559" spans="1:8" ht="18.75" customHeight="1">
      <c r="A1559" s="656"/>
      <c r="B1559" s="657" t="s">
        <v>6736</v>
      </c>
      <c r="C1559" s="657" t="s">
        <v>6796</v>
      </c>
      <c r="D1559" s="657" t="s">
        <v>6969</v>
      </c>
      <c r="E1559" s="657" t="s">
        <v>6970</v>
      </c>
      <c r="F1559" s="658">
        <v>0.1</v>
      </c>
      <c r="G1559" s="658">
        <v>0</v>
      </c>
      <c r="H1559" s="656"/>
    </row>
    <row r="1560" spans="1:8" ht="18.75" customHeight="1">
      <c r="A1560" s="656"/>
      <c r="B1560" s="659" t="s">
        <v>6736</v>
      </c>
      <c r="C1560" s="659" t="s">
        <v>6796</v>
      </c>
      <c r="D1560" s="659" t="s">
        <v>6971</v>
      </c>
      <c r="E1560" s="659" t="s">
        <v>6972</v>
      </c>
      <c r="F1560" s="660">
        <v>0.1</v>
      </c>
      <c r="G1560" s="660">
        <v>0</v>
      </c>
      <c r="H1560" s="656"/>
    </row>
    <row r="1561" spans="1:8" ht="18.75" customHeight="1">
      <c r="A1561" s="656"/>
      <c r="B1561" s="657" t="s">
        <v>6736</v>
      </c>
      <c r="C1561" s="657" t="s">
        <v>6796</v>
      </c>
      <c r="D1561" s="657" t="s">
        <v>6973</v>
      </c>
      <c r="E1561" s="657" t="s">
        <v>6974</v>
      </c>
      <c r="F1561" s="658">
        <v>0.1</v>
      </c>
      <c r="G1561" s="658">
        <v>0</v>
      </c>
      <c r="H1561" s="656"/>
    </row>
    <row r="1562" spans="1:8" ht="18.75" customHeight="1">
      <c r="A1562" s="656"/>
      <c r="B1562" s="659" t="s">
        <v>6736</v>
      </c>
      <c r="C1562" s="659" t="s">
        <v>6975</v>
      </c>
      <c r="D1562" s="659" t="s">
        <v>6976</v>
      </c>
      <c r="E1562" s="659" t="s">
        <v>6977</v>
      </c>
      <c r="F1562" s="660">
        <v>0.1</v>
      </c>
      <c r="G1562" s="660">
        <v>0</v>
      </c>
      <c r="H1562" s="656"/>
    </row>
    <row r="1563" spans="1:8" ht="18.75" customHeight="1">
      <c r="A1563" s="656"/>
      <c r="B1563" s="657" t="s">
        <v>6736</v>
      </c>
      <c r="C1563" s="657" t="s">
        <v>6975</v>
      </c>
      <c r="D1563" s="657" t="s">
        <v>6978</v>
      </c>
      <c r="E1563" s="657" t="s">
        <v>6979</v>
      </c>
      <c r="F1563" s="658">
        <v>0.1</v>
      </c>
      <c r="G1563" s="658">
        <v>0</v>
      </c>
      <c r="H1563" s="656"/>
    </row>
    <row r="1564" spans="1:8" ht="18.75" customHeight="1">
      <c r="A1564" s="656"/>
      <c r="B1564" s="659" t="s">
        <v>6736</v>
      </c>
      <c r="C1564" s="659" t="s">
        <v>6975</v>
      </c>
      <c r="D1564" s="659" t="s">
        <v>6980</v>
      </c>
      <c r="E1564" s="659" t="s">
        <v>6981</v>
      </c>
      <c r="F1564" s="660">
        <v>0.1</v>
      </c>
      <c r="G1564" s="660">
        <v>0</v>
      </c>
      <c r="H1564" s="656"/>
    </row>
    <row r="1565" spans="1:8" ht="18.75" customHeight="1">
      <c r="A1565" s="656"/>
      <c r="B1565" s="657" t="s">
        <v>6736</v>
      </c>
      <c r="C1565" s="657" t="s">
        <v>6975</v>
      </c>
      <c r="D1565" s="657" t="s">
        <v>6982</v>
      </c>
      <c r="E1565" s="657" t="s">
        <v>6983</v>
      </c>
      <c r="F1565" s="658">
        <v>0.1</v>
      </c>
      <c r="G1565" s="658">
        <v>0</v>
      </c>
      <c r="H1565" s="656"/>
    </row>
    <row r="1566" spans="1:8" ht="18.75" customHeight="1">
      <c r="A1566" s="656"/>
      <c r="B1566" s="659" t="s">
        <v>6736</v>
      </c>
      <c r="C1566" s="659" t="s">
        <v>6975</v>
      </c>
      <c r="D1566" s="659" t="s">
        <v>6984</v>
      </c>
      <c r="E1566" s="659" t="s">
        <v>6985</v>
      </c>
      <c r="F1566" s="660">
        <v>0.1</v>
      </c>
      <c r="G1566" s="660">
        <v>0</v>
      </c>
      <c r="H1566" s="656"/>
    </row>
    <row r="1567" spans="1:8" ht="18.75" customHeight="1">
      <c r="A1567" s="656"/>
      <c r="B1567" s="657" t="s">
        <v>6736</v>
      </c>
      <c r="C1567" s="657" t="s">
        <v>6975</v>
      </c>
      <c r="D1567" s="657" t="s">
        <v>6986</v>
      </c>
      <c r="E1567" s="657" t="s">
        <v>6987</v>
      </c>
      <c r="F1567" s="658">
        <v>0.1</v>
      </c>
      <c r="G1567" s="658">
        <v>0</v>
      </c>
      <c r="H1567" s="656"/>
    </row>
    <row r="1568" spans="1:8" ht="18.75" customHeight="1">
      <c r="A1568" s="656"/>
      <c r="B1568" s="659" t="s">
        <v>6736</v>
      </c>
      <c r="C1568" s="659" t="s">
        <v>6975</v>
      </c>
      <c r="D1568" s="659" t="s">
        <v>6988</v>
      </c>
      <c r="E1568" s="659" t="s">
        <v>6989</v>
      </c>
      <c r="F1568" s="660">
        <v>0.1</v>
      </c>
      <c r="G1568" s="660">
        <v>0</v>
      </c>
      <c r="H1568" s="656"/>
    </row>
    <row r="1569" spans="1:8" ht="18.75" customHeight="1">
      <c r="A1569" s="656"/>
      <c r="B1569" s="657" t="s">
        <v>6736</v>
      </c>
      <c r="C1569" s="657" t="s">
        <v>6975</v>
      </c>
      <c r="D1569" s="657" t="s">
        <v>6990</v>
      </c>
      <c r="E1569" s="657" t="s">
        <v>6991</v>
      </c>
      <c r="F1569" s="658">
        <v>0.1</v>
      </c>
      <c r="G1569" s="658">
        <v>0</v>
      </c>
      <c r="H1569" s="656"/>
    </row>
    <row r="1570" spans="1:8" ht="18.75" customHeight="1">
      <c r="A1570" s="656"/>
      <c r="B1570" s="659" t="s">
        <v>6736</v>
      </c>
      <c r="C1570" s="659" t="s">
        <v>6975</v>
      </c>
      <c r="D1570" s="659" t="s">
        <v>6992</v>
      </c>
      <c r="E1570" s="659" t="s">
        <v>6993</v>
      </c>
      <c r="F1570" s="660">
        <v>0.1</v>
      </c>
      <c r="G1570" s="660">
        <v>0</v>
      </c>
      <c r="H1570" s="656"/>
    </row>
    <row r="1571" spans="1:8" ht="18.75" customHeight="1">
      <c r="A1571" s="656"/>
      <c r="B1571" s="657" t="s">
        <v>6736</v>
      </c>
      <c r="C1571" s="657" t="s">
        <v>6975</v>
      </c>
      <c r="D1571" s="657" t="s">
        <v>6994</v>
      </c>
      <c r="E1571" s="657" t="s">
        <v>6995</v>
      </c>
      <c r="F1571" s="658">
        <v>0.1</v>
      </c>
      <c r="G1571" s="658">
        <v>0</v>
      </c>
      <c r="H1571" s="656"/>
    </row>
    <row r="1572" spans="1:8" ht="18.75" customHeight="1">
      <c r="A1572" s="656"/>
      <c r="B1572" s="659" t="s">
        <v>6736</v>
      </c>
      <c r="C1572" s="659" t="s">
        <v>6975</v>
      </c>
      <c r="D1572" s="659" t="s">
        <v>6996</v>
      </c>
      <c r="E1572" s="659" t="s">
        <v>6997</v>
      </c>
      <c r="F1572" s="660">
        <v>0.1</v>
      </c>
      <c r="G1572" s="660">
        <v>0</v>
      </c>
      <c r="H1572" s="656"/>
    </row>
    <row r="1573" spans="1:8" ht="18.75" customHeight="1">
      <c r="A1573" s="656"/>
      <c r="B1573" s="657" t="s">
        <v>6736</v>
      </c>
      <c r="C1573" s="657" t="s">
        <v>6975</v>
      </c>
      <c r="D1573" s="657" t="s">
        <v>6998</v>
      </c>
      <c r="E1573" s="657" t="s">
        <v>6999</v>
      </c>
      <c r="F1573" s="658">
        <v>0.1</v>
      </c>
      <c r="G1573" s="658">
        <v>0</v>
      </c>
      <c r="H1573" s="656"/>
    </row>
    <row r="1574" spans="1:8" ht="18.75" customHeight="1">
      <c r="A1574" s="656"/>
      <c r="B1574" s="659" t="s">
        <v>6736</v>
      </c>
      <c r="C1574" s="659" t="s">
        <v>6975</v>
      </c>
      <c r="D1574" s="659" t="s">
        <v>7000</v>
      </c>
      <c r="E1574" s="659" t="s">
        <v>7001</v>
      </c>
      <c r="F1574" s="660">
        <v>0.1</v>
      </c>
      <c r="G1574" s="660">
        <v>0</v>
      </c>
      <c r="H1574" s="656"/>
    </row>
    <row r="1575" spans="1:8" ht="18.75" customHeight="1">
      <c r="A1575" s="656"/>
      <c r="B1575" s="657" t="s">
        <v>6736</v>
      </c>
      <c r="C1575" s="657" t="s">
        <v>6975</v>
      </c>
      <c r="D1575" s="657" t="s">
        <v>7002</v>
      </c>
      <c r="E1575" s="657" t="s">
        <v>7003</v>
      </c>
      <c r="F1575" s="658">
        <v>0.1</v>
      </c>
      <c r="G1575" s="658">
        <v>0</v>
      </c>
      <c r="H1575" s="656"/>
    </row>
    <row r="1576" spans="1:8" ht="18.75" customHeight="1">
      <c r="A1576" s="656"/>
      <c r="B1576" s="659" t="s">
        <v>6736</v>
      </c>
      <c r="C1576" s="659" t="s">
        <v>6975</v>
      </c>
      <c r="D1576" s="659" t="s">
        <v>7004</v>
      </c>
      <c r="E1576" s="659" t="s">
        <v>7005</v>
      </c>
      <c r="F1576" s="660">
        <v>0.1</v>
      </c>
      <c r="G1576" s="660">
        <v>0</v>
      </c>
      <c r="H1576" s="656"/>
    </row>
    <row r="1577" spans="1:8" ht="18.75" customHeight="1">
      <c r="A1577" s="656"/>
      <c r="B1577" s="657" t="s">
        <v>6736</v>
      </c>
      <c r="C1577" s="657" t="s">
        <v>6975</v>
      </c>
      <c r="D1577" s="657" t="s">
        <v>7006</v>
      </c>
      <c r="E1577" s="657" t="s">
        <v>7007</v>
      </c>
      <c r="F1577" s="658">
        <v>0.1</v>
      </c>
      <c r="G1577" s="658">
        <v>0</v>
      </c>
      <c r="H1577" s="656"/>
    </row>
    <row r="1578" spans="1:8" ht="18.75" customHeight="1">
      <c r="A1578" s="656"/>
      <c r="B1578" s="659" t="s">
        <v>6736</v>
      </c>
      <c r="C1578" s="659" t="s">
        <v>6975</v>
      </c>
      <c r="D1578" s="659" t="s">
        <v>7008</v>
      </c>
      <c r="E1578" s="659" t="s">
        <v>7009</v>
      </c>
      <c r="F1578" s="660">
        <v>0.1</v>
      </c>
      <c r="G1578" s="660">
        <v>0</v>
      </c>
      <c r="H1578" s="656"/>
    </row>
    <row r="1579" spans="1:8" ht="18.75" customHeight="1">
      <c r="A1579" s="656"/>
      <c r="B1579" s="657" t="s">
        <v>6736</v>
      </c>
      <c r="C1579" s="657" t="s">
        <v>6975</v>
      </c>
      <c r="D1579" s="657" t="s">
        <v>7010</v>
      </c>
      <c r="E1579" s="657" t="s">
        <v>7011</v>
      </c>
      <c r="F1579" s="658">
        <v>0.1</v>
      </c>
      <c r="G1579" s="658">
        <v>0</v>
      </c>
      <c r="H1579" s="656"/>
    </row>
    <row r="1580" spans="1:8" ht="18.75" customHeight="1">
      <c r="A1580" s="656"/>
      <c r="B1580" s="659" t="s">
        <v>6736</v>
      </c>
      <c r="C1580" s="659" t="s">
        <v>6975</v>
      </c>
      <c r="D1580" s="659" t="s">
        <v>7012</v>
      </c>
      <c r="E1580" s="659" t="s">
        <v>7013</v>
      </c>
      <c r="F1580" s="660">
        <v>0.1</v>
      </c>
      <c r="G1580" s="660">
        <v>0</v>
      </c>
      <c r="H1580" s="656"/>
    </row>
    <row r="1581" spans="1:8" ht="18.75" customHeight="1">
      <c r="A1581" s="656"/>
      <c r="B1581" s="657" t="s">
        <v>6736</v>
      </c>
      <c r="C1581" s="657" t="s">
        <v>6975</v>
      </c>
      <c r="D1581" s="657" t="s">
        <v>7014</v>
      </c>
      <c r="E1581" s="657" t="s">
        <v>7015</v>
      </c>
      <c r="F1581" s="658">
        <v>0.1</v>
      </c>
      <c r="G1581" s="658">
        <v>0</v>
      </c>
      <c r="H1581" s="656"/>
    </row>
    <row r="1582" spans="1:8" ht="18.75" customHeight="1">
      <c r="A1582" s="656"/>
      <c r="B1582" s="659" t="s">
        <v>6736</v>
      </c>
      <c r="C1582" s="659" t="s">
        <v>6975</v>
      </c>
      <c r="D1582" s="659" t="s">
        <v>7016</v>
      </c>
      <c r="E1582" s="659" t="s">
        <v>7017</v>
      </c>
      <c r="F1582" s="660">
        <v>0.1</v>
      </c>
      <c r="G1582" s="660">
        <v>0</v>
      </c>
      <c r="H1582" s="656"/>
    </row>
    <row r="1583" spans="1:8" ht="18.75" customHeight="1">
      <c r="A1583" s="656"/>
      <c r="B1583" s="657" t="s">
        <v>6736</v>
      </c>
      <c r="C1583" s="657" t="s">
        <v>6975</v>
      </c>
      <c r="D1583" s="657" t="s">
        <v>7018</v>
      </c>
      <c r="E1583" s="657" t="s">
        <v>7019</v>
      </c>
      <c r="F1583" s="658">
        <v>0.1</v>
      </c>
      <c r="G1583" s="658">
        <v>0</v>
      </c>
      <c r="H1583" s="656"/>
    </row>
    <row r="1584" spans="1:8" ht="18.75" customHeight="1">
      <c r="A1584" s="656"/>
      <c r="B1584" s="659" t="s">
        <v>6736</v>
      </c>
      <c r="C1584" s="659" t="s">
        <v>6975</v>
      </c>
      <c r="D1584" s="659" t="s">
        <v>7020</v>
      </c>
      <c r="E1584" s="659" t="s">
        <v>7021</v>
      </c>
      <c r="F1584" s="660">
        <v>0.1</v>
      </c>
      <c r="G1584" s="660">
        <v>0</v>
      </c>
      <c r="H1584" s="656"/>
    </row>
    <row r="1585" spans="1:8" ht="18.75" customHeight="1">
      <c r="A1585" s="656"/>
      <c r="B1585" s="657" t="s">
        <v>6736</v>
      </c>
      <c r="C1585" s="657" t="s">
        <v>6975</v>
      </c>
      <c r="D1585" s="657" t="s">
        <v>7022</v>
      </c>
      <c r="E1585" s="657" t="s">
        <v>7023</v>
      </c>
      <c r="F1585" s="658">
        <v>0.1</v>
      </c>
      <c r="G1585" s="658">
        <v>0</v>
      </c>
      <c r="H1585" s="656"/>
    </row>
    <row r="1586" spans="1:8" ht="18.75" customHeight="1">
      <c r="A1586" s="656"/>
      <c r="B1586" s="659" t="s">
        <v>6736</v>
      </c>
      <c r="C1586" s="659" t="s">
        <v>6975</v>
      </c>
      <c r="D1586" s="659" t="s">
        <v>7024</v>
      </c>
      <c r="E1586" s="659" t="s">
        <v>7025</v>
      </c>
      <c r="F1586" s="660">
        <v>0.1</v>
      </c>
      <c r="G1586" s="660">
        <v>0</v>
      </c>
      <c r="H1586" s="656"/>
    </row>
    <row r="1587" spans="1:8" ht="18.75" customHeight="1">
      <c r="A1587" s="656"/>
      <c r="B1587" s="657" t="s">
        <v>6736</v>
      </c>
      <c r="C1587" s="657" t="s">
        <v>6975</v>
      </c>
      <c r="D1587" s="657" t="s">
        <v>7026</v>
      </c>
      <c r="E1587" s="657" t="s">
        <v>7027</v>
      </c>
      <c r="F1587" s="658">
        <v>0.1</v>
      </c>
      <c r="G1587" s="658">
        <v>0</v>
      </c>
      <c r="H1587" s="656"/>
    </row>
    <row r="1588" spans="1:8" ht="18.75" customHeight="1">
      <c r="A1588" s="656"/>
      <c r="B1588" s="659" t="s">
        <v>6736</v>
      </c>
      <c r="C1588" s="659" t="s">
        <v>6975</v>
      </c>
      <c r="D1588" s="659" t="s">
        <v>7028</v>
      </c>
      <c r="E1588" s="659" t="s">
        <v>7029</v>
      </c>
      <c r="F1588" s="660">
        <v>0.1</v>
      </c>
      <c r="G1588" s="660">
        <v>0</v>
      </c>
      <c r="H1588" s="656"/>
    </row>
    <row r="1589" spans="1:8" ht="18.75" customHeight="1">
      <c r="A1589" s="656"/>
      <c r="B1589" s="657" t="s">
        <v>6736</v>
      </c>
      <c r="C1589" s="657" t="s">
        <v>6975</v>
      </c>
      <c r="D1589" s="657" t="s">
        <v>7030</v>
      </c>
      <c r="E1589" s="657" t="s">
        <v>7031</v>
      </c>
      <c r="F1589" s="658">
        <v>0.1</v>
      </c>
      <c r="G1589" s="658">
        <v>0</v>
      </c>
      <c r="H1589" s="656"/>
    </row>
    <row r="1590" spans="1:8" ht="18.75" customHeight="1">
      <c r="A1590" s="656"/>
      <c r="B1590" s="659" t="s">
        <v>6736</v>
      </c>
      <c r="C1590" s="659" t="s">
        <v>6975</v>
      </c>
      <c r="D1590" s="659" t="s">
        <v>7032</v>
      </c>
      <c r="E1590" s="659" t="s">
        <v>7033</v>
      </c>
      <c r="F1590" s="660">
        <v>0.1</v>
      </c>
      <c r="G1590" s="660">
        <v>0</v>
      </c>
      <c r="H1590" s="656"/>
    </row>
    <row r="1591" spans="1:8" ht="18.75" customHeight="1">
      <c r="A1591" s="656"/>
      <c r="B1591" s="657" t="s">
        <v>6736</v>
      </c>
      <c r="C1591" s="657" t="s">
        <v>6975</v>
      </c>
      <c r="D1591" s="657" t="s">
        <v>7034</v>
      </c>
      <c r="E1591" s="657" t="s">
        <v>7035</v>
      </c>
      <c r="F1591" s="658">
        <v>0.1</v>
      </c>
      <c r="G1591" s="658">
        <v>0</v>
      </c>
      <c r="H1591" s="656"/>
    </row>
    <row r="1592" spans="1:8" ht="18.75" customHeight="1">
      <c r="A1592" s="656"/>
      <c r="B1592" s="659" t="s">
        <v>6736</v>
      </c>
      <c r="C1592" s="659" t="s">
        <v>6975</v>
      </c>
      <c r="D1592" s="659" t="s">
        <v>7036</v>
      </c>
      <c r="E1592" s="659" t="s">
        <v>7037</v>
      </c>
      <c r="F1592" s="660">
        <v>0.1</v>
      </c>
      <c r="G1592" s="660">
        <v>0</v>
      </c>
      <c r="H1592" s="656"/>
    </row>
    <row r="1593" spans="1:8" ht="18.75" customHeight="1">
      <c r="A1593" s="656"/>
      <c r="B1593" s="657" t="s">
        <v>6736</v>
      </c>
      <c r="C1593" s="657" t="s">
        <v>6975</v>
      </c>
      <c r="D1593" s="657" t="s">
        <v>7038</v>
      </c>
      <c r="E1593" s="657" t="s">
        <v>7039</v>
      </c>
      <c r="F1593" s="658">
        <v>0.1</v>
      </c>
      <c r="G1593" s="658">
        <v>0</v>
      </c>
      <c r="H1593" s="656"/>
    </row>
    <row r="1594" spans="1:8" ht="18.75" customHeight="1">
      <c r="A1594" s="656"/>
      <c r="B1594" s="659" t="s">
        <v>6736</v>
      </c>
      <c r="C1594" s="659" t="s">
        <v>6975</v>
      </c>
      <c r="D1594" s="659" t="s">
        <v>7040</v>
      </c>
      <c r="E1594" s="659" t="s">
        <v>7041</v>
      </c>
      <c r="F1594" s="660">
        <v>0.1</v>
      </c>
      <c r="G1594" s="660">
        <v>0</v>
      </c>
      <c r="H1594" s="656"/>
    </row>
    <row r="1595" spans="1:8" ht="18.75" customHeight="1">
      <c r="A1595" s="656"/>
      <c r="B1595" s="657" t="s">
        <v>6736</v>
      </c>
      <c r="C1595" s="657" t="s">
        <v>6975</v>
      </c>
      <c r="D1595" s="657" t="s">
        <v>7042</v>
      </c>
      <c r="E1595" s="657" t="s">
        <v>7043</v>
      </c>
      <c r="F1595" s="658">
        <v>0.1</v>
      </c>
      <c r="G1595" s="658">
        <v>0</v>
      </c>
      <c r="H1595" s="656"/>
    </row>
    <row r="1596" spans="1:8" ht="18.75" customHeight="1">
      <c r="A1596" s="656"/>
      <c r="B1596" s="659" t="s">
        <v>6736</v>
      </c>
      <c r="C1596" s="659" t="s">
        <v>6975</v>
      </c>
      <c r="D1596" s="659" t="s">
        <v>7044</v>
      </c>
      <c r="E1596" s="659" t="s">
        <v>7045</v>
      </c>
      <c r="F1596" s="660">
        <v>0.1</v>
      </c>
      <c r="G1596" s="660">
        <v>0</v>
      </c>
      <c r="H1596" s="656"/>
    </row>
    <row r="1597" spans="1:8" ht="18.75" customHeight="1">
      <c r="A1597" s="656"/>
      <c r="B1597" s="657" t="s">
        <v>6736</v>
      </c>
      <c r="C1597" s="657" t="s">
        <v>6975</v>
      </c>
      <c r="D1597" s="657" t="s">
        <v>7046</v>
      </c>
      <c r="E1597" s="657" t="s">
        <v>7047</v>
      </c>
      <c r="F1597" s="658">
        <v>0.1</v>
      </c>
      <c r="G1597" s="658">
        <v>0</v>
      </c>
      <c r="H1597" s="656"/>
    </row>
    <row r="1598" spans="1:8" ht="18.75" customHeight="1">
      <c r="A1598" s="656"/>
      <c r="B1598" s="659" t="s">
        <v>6736</v>
      </c>
      <c r="C1598" s="659" t="s">
        <v>6975</v>
      </c>
      <c r="D1598" s="659" t="s">
        <v>7048</v>
      </c>
      <c r="E1598" s="659" t="s">
        <v>7049</v>
      </c>
      <c r="F1598" s="660">
        <v>0.1</v>
      </c>
      <c r="G1598" s="660">
        <v>0</v>
      </c>
      <c r="H1598" s="656"/>
    </row>
    <row r="1599" spans="1:8" ht="18.75" customHeight="1">
      <c r="A1599" s="656"/>
      <c r="B1599" s="657" t="s">
        <v>6736</v>
      </c>
      <c r="C1599" s="657" t="s">
        <v>6975</v>
      </c>
      <c r="D1599" s="657" t="s">
        <v>7050</v>
      </c>
      <c r="E1599" s="657" t="s">
        <v>7051</v>
      </c>
      <c r="F1599" s="658">
        <v>0.1</v>
      </c>
      <c r="G1599" s="658">
        <v>0</v>
      </c>
      <c r="H1599" s="656"/>
    </row>
    <row r="1600" spans="1:8" ht="18.75" customHeight="1">
      <c r="A1600" s="656"/>
      <c r="B1600" s="659" t="s">
        <v>6736</v>
      </c>
      <c r="C1600" s="659" t="s">
        <v>6975</v>
      </c>
      <c r="D1600" s="659" t="s">
        <v>7052</v>
      </c>
      <c r="E1600" s="659" t="s">
        <v>7053</v>
      </c>
      <c r="F1600" s="660">
        <v>0.1</v>
      </c>
      <c r="G1600" s="660">
        <v>0</v>
      </c>
      <c r="H1600" s="656"/>
    </row>
    <row r="1601" spans="1:8" ht="18.75" customHeight="1">
      <c r="A1601" s="656"/>
      <c r="B1601" s="657" t="s">
        <v>6736</v>
      </c>
      <c r="C1601" s="657" t="s">
        <v>6975</v>
      </c>
      <c r="D1601" s="657" t="s">
        <v>7054</v>
      </c>
      <c r="E1601" s="657" t="s">
        <v>7055</v>
      </c>
      <c r="F1601" s="658">
        <v>0.1</v>
      </c>
      <c r="G1601" s="658">
        <v>0</v>
      </c>
      <c r="H1601" s="656"/>
    </row>
    <row r="1602" spans="1:8" ht="18.75" customHeight="1">
      <c r="A1602" s="656"/>
      <c r="B1602" s="659" t="s">
        <v>6736</v>
      </c>
      <c r="C1602" s="659" t="s">
        <v>6975</v>
      </c>
      <c r="D1602" s="659" t="s">
        <v>7056</v>
      </c>
      <c r="E1602" s="659" t="s">
        <v>7057</v>
      </c>
      <c r="F1602" s="660">
        <v>0.1</v>
      </c>
      <c r="G1602" s="660">
        <v>0</v>
      </c>
      <c r="H1602" s="656"/>
    </row>
    <row r="1603" spans="1:8" ht="18.75" customHeight="1">
      <c r="A1603" s="656"/>
      <c r="B1603" s="657" t="s">
        <v>6736</v>
      </c>
      <c r="C1603" s="657" t="s">
        <v>6975</v>
      </c>
      <c r="D1603" s="657" t="s">
        <v>7058</v>
      </c>
      <c r="E1603" s="657" t="s">
        <v>7059</v>
      </c>
      <c r="F1603" s="658">
        <v>0.1</v>
      </c>
      <c r="G1603" s="658">
        <v>0</v>
      </c>
      <c r="H1603" s="656"/>
    </row>
    <row r="1604" spans="1:8" ht="18.75" customHeight="1">
      <c r="A1604" s="656"/>
      <c r="B1604" s="659" t="s">
        <v>6736</v>
      </c>
      <c r="C1604" s="659" t="s">
        <v>6975</v>
      </c>
      <c r="D1604" s="659" t="s">
        <v>7060</v>
      </c>
      <c r="E1604" s="659" t="s">
        <v>7061</v>
      </c>
      <c r="F1604" s="660">
        <v>0.1</v>
      </c>
      <c r="G1604" s="660">
        <v>0</v>
      </c>
      <c r="H1604" s="656"/>
    </row>
    <row r="1605" spans="1:8" ht="18.75" customHeight="1">
      <c r="A1605" s="656"/>
      <c r="B1605" s="657" t="s">
        <v>6736</v>
      </c>
      <c r="C1605" s="657" t="s">
        <v>6975</v>
      </c>
      <c r="D1605" s="657" t="s">
        <v>7062</v>
      </c>
      <c r="E1605" s="657" t="s">
        <v>7063</v>
      </c>
      <c r="F1605" s="658">
        <v>0.1</v>
      </c>
      <c r="G1605" s="658">
        <v>0</v>
      </c>
      <c r="H1605" s="656"/>
    </row>
    <row r="1606" spans="1:8" ht="18.75" customHeight="1">
      <c r="A1606" s="656"/>
      <c r="B1606" s="659" t="s">
        <v>6736</v>
      </c>
      <c r="C1606" s="659" t="s">
        <v>6975</v>
      </c>
      <c r="D1606" s="659" t="s">
        <v>7064</v>
      </c>
      <c r="E1606" s="659" t="s">
        <v>7065</v>
      </c>
      <c r="F1606" s="660">
        <v>0.1</v>
      </c>
      <c r="G1606" s="660">
        <v>0</v>
      </c>
      <c r="H1606" s="656"/>
    </row>
    <row r="1607" spans="1:8" ht="18.75" customHeight="1">
      <c r="A1607" s="656"/>
      <c r="B1607" s="657" t="s">
        <v>6736</v>
      </c>
      <c r="C1607" s="657" t="s">
        <v>6975</v>
      </c>
      <c r="D1607" s="657" t="s">
        <v>7066</v>
      </c>
      <c r="E1607" s="657" t="s">
        <v>7067</v>
      </c>
      <c r="F1607" s="658">
        <v>0.1</v>
      </c>
      <c r="G1607" s="658">
        <v>0</v>
      </c>
      <c r="H1607" s="656"/>
    </row>
    <row r="1608" spans="1:8" ht="18.75" customHeight="1">
      <c r="A1608" s="656"/>
      <c r="B1608" s="659" t="s">
        <v>6736</v>
      </c>
      <c r="C1608" s="659" t="s">
        <v>6975</v>
      </c>
      <c r="D1608" s="659" t="s">
        <v>7068</v>
      </c>
      <c r="E1608" s="659" t="s">
        <v>7069</v>
      </c>
      <c r="F1608" s="660">
        <v>0.1</v>
      </c>
      <c r="G1608" s="660">
        <v>0</v>
      </c>
      <c r="H1608" s="656"/>
    </row>
    <row r="1609" spans="1:8" ht="18.75" customHeight="1">
      <c r="A1609" s="656"/>
      <c r="B1609" s="657" t="s">
        <v>6736</v>
      </c>
      <c r="C1609" s="657" t="s">
        <v>6975</v>
      </c>
      <c r="D1609" s="657" t="s">
        <v>7070</v>
      </c>
      <c r="E1609" s="657" t="s">
        <v>7071</v>
      </c>
      <c r="F1609" s="658">
        <v>0.1</v>
      </c>
      <c r="G1609" s="658">
        <v>0</v>
      </c>
      <c r="H1609" s="656"/>
    </row>
    <row r="1610" spans="1:8" ht="18.75" customHeight="1">
      <c r="A1610" s="656"/>
      <c r="B1610" s="659" t="s">
        <v>6736</v>
      </c>
      <c r="C1610" s="659" t="s">
        <v>6975</v>
      </c>
      <c r="D1610" s="659" t="s">
        <v>7072</v>
      </c>
      <c r="E1610" s="659" t="s">
        <v>7073</v>
      </c>
      <c r="F1610" s="660">
        <v>0.1</v>
      </c>
      <c r="G1610" s="660">
        <v>0</v>
      </c>
      <c r="H1610" s="656"/>
    </row>
    <row r="1611" spans="1:8" ht="18.75" customHeight="1">
      <c r="A1611" s="656"/>
      <c r="B1611" s="657" t="s">
        <v>6736</v>
      </c>
      <c r="C1611" s="657" t="s">
        <v>6975</v>
      </c>
      <c r="D1611" s="657" t="s">
        <v>7074</v>
      </c>
      <c r="E1611" s="657" t="s">
        <v>7075</v>
      </c>
      <c r="F1611" s="658">
        <v>0.1</v>
      </c>
      <c r="G1611" s="658">
        <v>0</v>
      </c>
      <c r="H1611" s="656"/>
    </row>
    <row r="1612" spans="1:8" ht="18.75" customHeight="1">
      <c r="A1612" s="656"/>
      <c r="B1612" s="659" t="s">
        <v>6736</v>
      </c>
      <c r="C1612" s="659" t="s">
        <v>6975</v>
      </c>
      <c r="D1612" s="659" t="s">
        <v>7076</v>
      </c>
      <c r="E1612" s="659" t="s">
        <v>7077</v>
      </c>
      <c r="F1612" s="660">
        <v>0.1</v>
      </c>
      <c r="G1612" s="660">
        <v>0</v>
      </c>
      <c r="H1612" s="656"/>
    </row>
    <row r="1613" spans="1:8" ht="18.75" customHeight="1">
      <c r="A1613" s="656"/>
      <c r="B1613" s="657" t="s">
        <v>6736</v>
      </c>
      <c r="C1613" s="657" t="s">
        <v>6975</v>
      </c>
      <c r="D1613" s="657" t="s">
        <v>7078</v>
      </c>
      <c r="E1613" s="657" t="s">
        <v>7079</v>
      </c>
      <c r="F1613" s="658">
        <v>0.1</v>
      </c>
      <c r="G1613" s="658">
        <v>0</v>
      </c>
      <c r="H1613" s="656"/>
    </row>
  </sheetData>
  <mergeCells count="1">
    <mergeCell ref="A1:H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H24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28515625" customWidth="1"/>
    <col min="2" max="2" width="42.5703125" customWidth="1"/>
    <col min="3" max="3" width="18.140625" customWidth="1"/>
    <col min="4" max="4" width="28.85546875" customWidth="1"/>
    <col min="5" max="5" width="55.140625" customWidth="1"/>
    <col min="6" max="6" width="11.42578125" customWidth="1"/>
    <col min="7" max="7" width="12.5703125" customWidth="1"/>
    <col min="8" max="8" width="5" customWidth="1"/>
  </cols>
  <sheetData>
    <row r="1" spans="1:8" ht="12.75" customHeight="1">
      <c r="A1" s="882" t="s">
        <v>3924</v>
      </c>
      <c r="B1" s="704"/>
      <c r="C1" s="704"/>
      <c r="D1" s="704"/>
      <c r="E1" s="704"/>
      <c r="F1" s="704"/>
      <c r="G1" s="704"/>
      <c r="H1" s="705"/>
    </row>
    <row r="2" spans="1:8" ht="12.75" customHeight="1">
      <c r="A2" s="706"/>
      <c r="B2" s="707"/>
      <c r="C2" s="707"/>
      <c r="D2" s="707"/>
      <c r="E2" s="707"/>
      <c r="F2" s="707"/>
      <c r="G2" s="707"/>
      <c r="H2" s="708"/>
    </row>
    <row r="3" spans="1:8" ht="12.75" customHeight="1">
      <c r="A3" s="661"/>
      <c r="B3" s="661"/>
      <c r="C3" s="661"/>
      <c r="D3" s="661"/>
      <c r="E3" s="661"/>
      <c r="F3" s="661"/>
      <c r="G3" s="661"/>
      <c r="H3" s="661"/>
    </row>
    <row r="4" spans="1:8" ht="12.75" customHeight="1">
      <c r="A4" s="661"/>
      <c r="B4" s="655" t="s">
        <v>673</v>
      </c>
      <c r="C4" s="655" t="s">
        <v>3925</v>
      </c>
      <c r="D4" s="655" t="s">
        <v>674</v>
      </c>
      <c r="E4" s="655" t="s">
        <v>675</v>
      </c>
      <c r="F4" s="655" t="s">
        <v>3926</v>
      </c>
      <c r="G4" s="655" t="s">
        <v>3927</v>
      </c>
      <c r="H4" s="661"/>
    </row>
    <row r="5" spans="1:8" ht="18.75" customHeight="1">
      <c r="A5" s="661"/>
      <c r="B5" s="657" t="s">
        <v>7080</v>
      </c>
      <c r="C5" s="657" t="s">
        <v>7081</v>
      </c>
      <c r="D5" s="657" t="s">
        <v>472</v>
      </c>
      <c r="E5" s="657" t="s">
        <v>7082</v>
      </c>
      <c r="F5" s="658">
        <v>0.1</v>
      </c>
      <c r="G5" s="658">
        <v>0</v>
      </c>
      <c r="H5" s="661"/>
    </row>
    <row r="6" spans="1:8" ht="18.75" customHeight="1">
      <c r="A6" s="661"/>
      <c r="B6" s="657" t="s">
        <v>7080</v>
      </c>
      <c r="C6" s="657" t="s">
        <v>7081</v>
      </c>
      <c r="D6" s="657" t="s">
        <v>478</v>
      </c>
      <c r="E6" s="657" t="s">
        <v>7083</v>
      </c>
      <c r="F6" s="658">
        <v>0.1</v>
      </c>
      <c r="G6" s="658">
        <v>0</v>
      </c>
      <c r="H6" s="661"/>
    </row>
    <row r="7" spans="1:8" ht="18.75" customHeight="1">
      <c r="A7" s="661"/>
      <c r="B7" s="657" t="s">
        <v>7080</v>
      </c>
      <c r="C7" s="657" t="s">
        <v>7081</v>
      </c>
      <c r="D7" s="657" t="s">
        <v>481</v>
      </c>
      <c r="E7" s="657" t="s">
        <v>7084</v>
      </c>
      <c r="F7" s="658">
        <v>0.1</v>
      </c>
      <c r="G7" s="658">
        <v>0</v>
      </c>
      <c r="H7" s="661"/>
    </row>
    <row r="8" spans="1:8" ht="18.75" customHeight="1">
      <c r="A8" s="661"/>
      <c r="B8" s="657" t="s">
        <v>7080</v>
      </c>
      <c r="C8" s="657" t="s">
        <v>7081</v>
      </c>
      <c r="D8" s="657" t="s">
        <v>484</v>
      </c>
      <c r="E8" s="657" t="s">
        <v>7085</v>
      </c>
      <c r="F8" s="658">
        <v>0.1</v>
      </c>
      <c r="G8" s="658">
        <v>0</v>
      </c>
      <c r="H8" s="661"/>
    </row>
    <row r="9" spans="1:8" ht="18.75" customHeight="1">
      <c r="A9" s="661"/>
      <c r="B9" s="657" t="s">
        <v>7080</v>
      </c>
      <c r="C9" s="657" t="s">
        <v>7081</v>
      </c>
      <c r="D9" s="657" t="s">
        <v>487</v>
      </c>
      <c r="E9" s="657" t="s">
        <v>7086</v>
      </c>
      <c r="F9" s="658">
        <v>0.1</v>
      </c>
      <c r="G9" s="658">
        <v>0</v>
      </c>
      <c r="H9" s="661"/>
    </row>
    <row r="10" spans="1:8" ht="18.75" customHeight="1">
      <c r="A10" s="661"/>
      <c r="B10" s="657" t="s">
        <v>7080</v>
      </c>
      <c r="C10" s="657" t="s">
        <v>7081</v>
      </c>
      <c r="D10" s="657" t="s">
        <v>490</v>
      </c>
      <c r="E10" s="657" t="s">
        <v>7087</v>
      </c>
      <c r="F10" s="658">
        <v>0.1</v>
      </c>
      <c r="G10" s="658">
        <v>0</v>
      </c>
      <c r="H10" s="661"/>
    </row>
    <row r="11" spans="1:8" ht="18.75" customHeight="1">
      <c r="A11" s="661"/>
      <c r="B11" s="657" t="s">
        <v>7080</v>
      </c>
      <c r="C11" s="657" t="s">
        <v>7081</v>
      </c>
      <c r="D11" s="657" t="s">
        <v>493</v>
      </c>
      <c r="E11" s="657" t="s">
        <v>7088</v>
      </c>
      <c r="F11" s="658">
        <v>0.1</v>
      </c>
      <c r="G11" s="658">
        <v>0</v>
      </c>
      <c r="H11" s="661"/>
    </row>
    <row r="12" spans="1:8" ht="18.75" customHeight="1">
      <c r="A12" s="661"/>
      <c r="B12" s="657" t="s">
        <v>7080</v>
      </c>
      <c r="C12" s="657" t="s">
        <v>7081</v>
      </c>
      <c r="D12" s="657" t="s">
        <v>496</v>
      </c>
      <c r="E12" s="657" t="s">
        <v>7089</v>
      </c>
      <c r="F12" s="658">
        <v>0.1</v>
      </c>
      <c r="G12" s="658">
        <v>0</v>
      </c>
      <c r="H12" s="661"/>
    </row>
    <row r="13" spans="1:8" ht="18.75" customHeight="1">
      <c r="A13" s="661"/>
      <c r="B13" s="657" t="s">
        <v>7080</v>
      </c>
      <c r="C13" s="657" t="s">
        <v>7081</v>
      </c>
      <c r="D13" s="657" t="s">
        <v>499</v>
      </c>
      <c r="E13" s="657" t="s">
        <v>7090</v>
      </c>
      <c r="F13" s="658">
        <v>0.1</v>
      </c>
      <c r="G13" s="658">
        <v>0</v>
      </c>
      <c r="H13" s="661"/>
    </row>
    <row r="14" spans="1:8" ht="18.75" customHeight="1">
      <c r="A14" s="661"/>
      <c r="B14" s="657" t="s">
        <v>7080</v>
      </c>
      <c r="C14" s="657" t="s">
        <v>7081</v>
      </c>
      <c r="D14" s="657" t="s">
        <v>502</v>
      </c>
      <c r="E14" s="657" t="s">
        <v>7091</v>
      </c>
      <c r="F14" s="658">
        <v>0.1</v>
      </c>
      <c r="G14" s="658">
        <v>0</v>
      </c>
      <c r="H14" s="661"/>
    </row>
    <row r="15" spans="1:8" ht="18.75" customHeight="1">
      <c r="A15" s="661"/>
      <c r="B15" s="657" t="s">
        <v>7092</v>
      </c>
      <c r="C15" s="657" t="s">
        <v>7081</v>
      </c>
      <c r="D15" s="657" t="s">
        <v>473</v>
      </c>
      <c r="E15" s="657" t="s">
        <v>7093</v>
      </c>
      <c r="F15" s="658">
        <v>0.1</v>
      </c>
      <c r="G15" s="658">
        <v>0</v>
      </c>
      <c r="H15" s="661"/>
    </row>
    <row r="16" spans="1:8" ht="18.75" customHeight="1">
      <c r="A16" s="661"/>
      <c r="B16" s="657" t="s">
        <v>7092</v>
      </c>
      <c r="C16" s="657" t="s">
        <v>7081</v>
      </c>
      <c r="D16" s="657" t="s">
        <v>479</v>
      </c>
      <c r="E16" s="657" t="s">
        <v>7094</v>
      </c>
      <c r="F16" s="658">
        <v>0.1</v>
      </c>
      <c r="G16" s="658">
        <v>0</v>
      </c>
      <c r="H16" s="661"/>
    </row>
    <row r="17" spans="1:8" ht="18.75" customHeight="1">
      <c r="A17" s="661"/>
      <c r="B17" s="657" t="s">
        <v>7092</v>
      </c>
      <c r="C17" s="657" t="s">
        <v>7081</v>
      </c>
      <c r="D17" s="657" t="s">
        <v>482</v>
      </c>
      <c r="E17" s="657" t="s">
        <v>7095</v>
      </c>
      <c r="F17" s="658">
        <v>0.1</v>
      </c>
      <c r="G17" s="658">
        <v>0</v>
      </c>
      <c r="H17" s="661"/>
    </row>
    <row r="18" spans="1:8" ht="18.75" customHeight="1">
      <c r="A18" s="661"/>
      <c r="B18" s="657" t="s">
        <v>7092</v>
      </c>
      <c r="C18" s="657" t="s">
        <v>7081</v>
      </c>
      <c r="D18" s="657" t="s">
        <v>485</v>
      </c>
      <c r="E18" s="657" t="s">
        <v>7096</v>
      </c>
      <c r="F18" s="658">
        <v>0.1</v>
      </c>
      <c r="G18" s="658">
        <v>0</v>
      </c>
      <c r="H18" s="661"/>
    </row>
    <row r="19" spans="1:8" ht="18.75" customHeight="1">
      <c r="A19" s="661"/>
      <c r="B19" s="657" t="s">
        <v>7092</v>
      </c>
      <c r="C19" s="657" t="s">
        <v>7081</v>
      </c>
      <c r="D19" s="657" t="s">
        <v>488</v>
      </c>
      <c r="E19" s="657" t="s">
        <v>7097</v>
      </c>
      <c r="F19" s="658">
        <v>0.1</v>
      </c>
      <c r="G19" s="658">
        <v>0</v>
      </c>
      <c r="H19" s="661"/>
    </row>
    <row r="20" spans="1:8" ht="18.75" customHeight="1">
      <c r="A20" s="661"/>
      <c r="B20" s="657" t="s">
        <v>7092</v>
      </c>
      <c r="C20" s="657" t="s">
        <v>7081</v>
      </c>
      <c r="D20" s="657" t="s">
        <v>491</v>
      </c>
      <c r="E20" s="657" t="s">
        <v>7098</v>
      </c>
      <c r="F20" s="658">
        <v>0.1</v>
      </c>
      <c r="G20" s="658">
        <v>0</v>
      </c>
      <c r="H20" s="661"/>
    </row>
    <row r="21" spans="1:8" ht="18.75" customHeight="1">
      <c r="A21" s="661"/>
      <c r="B21" s="657" t="s">
        <v>7092</v>
      </c>
      <c r="C21" s="657" t="s">
        <v>7081</v>
      </c>
      <c r="D21" s="657" t="s">
        <v>494</v>
      </c>
      <c r="E21" s="657" t="s">
        <v>7099</v>
      </c>
      <c r="F21" s="658">
        <v>0.1</v>
      </c>
      <c r="G21" s="658">
        <v>0</v>
      </c>
      <c r="H21" s="661"/>
    </row>
    <row r="22" spans="1:8" ht="18.75" customHeight="1">
      <c r="A22" s="661"/>
      <c r="B22" s="657" t="s">
        <v>7092</v>
      </c>
      <c r="C22" s="657" t="s">
        <v>7081</v>
      </c>
      <c r="D22" s="657" t="s">
        <v>497</v>
      </c>
      <c r="E22" s="657" t="s">
        <v>7100</v>
      </c>
      <c r="F22" s="658">
        <v>0.1</v>
      </c>
      <c r="G22" s="658">
        <v>0</v>
      </c>
      <c r="H22" s="661"/>
    </row>
    <row r="23" spans="1:8" ht="18.75" customHeight="1">
      <c r="A23" s="661"/>
      <c r="B23" s="657" t="s">
        <v>7092</v>
      </c>
      <c r="C23" s="657" t="s">
        <v>7081</v>
      </c>
      <c r="D23" s="657" t="s">
        <v>500</v>
      </c>
      <c r="E23" s="657" t="s">
        <v>7101</v>
      </c>
      <c r="F23" s="658">
        <v>0.1</v>
      </c>
      <c r="G23" s="658">
        <v>0</v>
      </c>
      <c r="H23" s="661"/>
    </row>
    <row r="24" spans="1:8" ht="18.75" customHeight="1">
      <c r="A24" s="661"/>
      <c r="B24" s="657" t="s">
        <v>7092</v>
      </c>
      <c r="C24" s="657" t="s">
        <v>7081</v>
      </c>
      <c r="D24" s="657" t="s">
        <v>503</v>
      </c>
      <c r="E24" s="657" t="s">
        <v>7102</v>
      </c>
      <c r="F24" s="658">
        <v>0.1</v>
      </c>
      <c r="G24" s="658">
        <v>0</v>
      </c>
      <c r="H24" s="661"/>
    </row>
  </sheetData>
  <mergeCells count="1">
    <mergeCell ref="A1:H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K1692"/>
  <sheetViews>
    <sheetView showGridLines="0" topLeftCell="B1" workbookViewId="0">
      <pane ySplit="4" topLeftCell="A1678" activePane="bottomLeft" state="frozen"/>
      <selection pane="bottomLeft" activeCell="F1681" sqref="C1680:F1681"/>
    </sheetView>
  </sheetViews>
  <sheetFormatPr defaultColWidth="12.5703125" defaultRowHeight="15" customHeight="1"/>
  <cols>
    <col min="1" max="1" width="5.42578125" customWidth="1"/>
    <col min="2" max="2" width="21.42578125" customWidth="1"/>
    <col min="3" max="3" width="20" customWidth="1"/>
    <col min="4" max="4" width="23.42578125" customWidth="1"/>
    <col min="5" max="5" width="55.42578125" customWidth="1"/>
    <col min="6" max="6" width="16" customWidth="1"/>
    <col min="7" max="7" width="11.42578125" customWidth="1"/>
    <col min="8" max="9" width="16.28515625" customWidth="1"/>
    <col min="10" max="10" width="5.42578125" customWidth="1"/>
  </cols>
  <sheetData>
    <row r="1" spans="1:11" ht="12.75" customHeight="1">
      <c r="A1" s="882" t="s">
        <v>7103</v>
      </c>
      <c r="B1" s="704"/>
      <c r="C1" s="704"/>
      <c r="D1" s="704"/>
      <c r="E1" s="704"/>
      <c r="F1" s="704"/>
      <c r="G1" s="704"/>
      <c r="H1" s="704"/>
      <c r="I1" s="704"/>
      <c r="J1" s="705"/>
    </row>
    <row r="2" spans="1:11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8"/>
    </row>
    <row r="3" spans="1:11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</row>
    <row r="4" spans="1:11" ht="12.75" customHeight="1">
      <c r="A4" s="661"/>
      <c r="B4" s="662" t="s">
        <v>673</v>
      </c>
      <c r="C4" s="655" t="s">
        <v>3925</v>
      </c>
      <c r="D4" s="655" t="s">
        <v>674</v>
      </c>
      <c r="E4" s="662" t="s">
        <v>675</v>
      </c>
      <c r="F4" s="655" t="s">
        <v>3926</v>
      </c>
      <c r="G4" s="655" t="s">
        <v>3927</v>
      </c>
      <c r="H4" s="662" t="s">
        <v>80</v>
      </c>
      <c r="I4" s="662" t="s">
        <v>81</v>
      </c>
      <c r="J4" s="661"/>
      <c r="K4" s="886">
        <v>-0.15</v>
      </c>
    </row>
    <row r="5" spans="1:11" ht="18.75" customHeight="1">
      <c r="A5" s="661"/>
      <c r="B5" s="663" t="s">
        <v>7104</v>
      </c>
      <c r="C5" s="657" t="s">
        <v>7105</v>
      </c>
      <c r="D5" s="657" t="s">
        <v>7106</v>
      </c>
      <c r="E5" s="663" t="s">
        <v>7107</v>
      </c>
      <c r="F5" s="658">
        <v>0.1</v>
      </c>
      <c r="G5" s="658">
        <v>0</v>
      </c>
      <c r="H5" s="664"/>
      <c r="I5" s="664">
        <f t="shared" ref="I5:I259" si="0">IF(ISBLANK(H5),,ROUND(H5/(1+F5),-1))</f>
        <v>0</v>
      </c>
      <c r="J5" s="661"/>
      <c r="K5">
        <f>+I5*(1+$K$4)</f>
        <v>0</v>
      </c>
    </row>
    <row r="6" spans="1:11" ht="18.75" customHeight="1">
      <c r="A6" s="661"/>
      <c r="B6" s="663" t="s">
        <v>7104</v>
      </c>
      <c r="C6" s="657" t="s">
        <v>7105</v>
      </c>
      <c r="D6" s="657" t="s">
        <v>7108</v>
      </c>
      <c r="E6" s="663" t="s">
        <v>7109</v>
      </c>
      <c r="F6" s="658">
        <v>0.1</v>
      </c>
      <c r="G6" s="658">
        <v>0</v>
      </c>
      <c r="H6" s="664"/>
      <c r="I6" s="664">
        <f t="shared" si="0"/>
        <v>0</v>
      </c>
      <c r="J6" s="661"/>
      <c r="K6">
        <f t="shared" ref="K6:K69" si="1">+I6*(1+$K$4)</f>
        <v>0</v>
      </c>
    </row>
    <row r="7" spans="1:11" ht="18.75" customHeight="1">
      <c r="A7" s="661"/>
      <c r="B7" s="663" t="s">
        <v>7104</v>
      </c>
      <c r="C7" s="657" t="s">
        <v>7105</v>
      </c>
      <c r="D7" s="657" t="s">
        <v>7110</v>
      </c>
      <c r="E7" s="663" t="s">
        <v>7111</v>
      </c>
      <c r="F7" s="658">
        <v>0.1</v>
      </c>
      <c r="G7" s="658">
        <v>0</v>
      </c>
      <c r="H7" s="664"/>
      <c r="I7" s="664">
        <f t="shared" si="0"/>
        <v>0</v>
      </c>
      <c r="J7" s="661"/>
      <c r="K7">
        <f t="shared" si="1"/>
        <v>0</v>
      </c>
    </row>
    <row r="8" spans="1:11" ht="18.75" customHeight="1">
      <c r="A8" s="661"/>
      <c r="B8" s="663" t="s">
        <v>7104</v>
      </c>
      <c r="C8" s="657" t="s">
        <v>7105</v>
      </c>
      <c r="D8" s="657" t="s">
        <v>7112</v>
      </c>
      <c r="E8" s="663" t="s">
        <v>7113</v>
      </c>
      <c r="F8" s="658">
        <v>0.1</v>
      </c>
      <c r="G8" s="658">
        <v>0</v>
      </c>
      <c r="H8" s="664">
        <v>18800</v>
      </c>
      <c r="I8" s="664">
        <f t="shared" si="0"/>
        <v>17090</v>
      </c>
      <c r="J8" s="661"/>
      <c r="K8">
        <f t="shared" si="1"/>
        <v>14526.5</v>
      </c>
    </row>
    <row r="9" spans="1:11" ht="18.75" customHeight="1">
      <c r="A9" s="661"/>
      <c r="B9" s="663" t="s">
        <v>7104</v>
      </c>
      <c r="C9" s="657" t="s">
        <v>7105</v>
      </c>
      <c r="D9" s="657" t="s">
        <v>7114</v>
      </c>
      <c r="E9" s="663" t="s">
        <v>7115</v>
      </c>
      <c r="F9" s="658">
        <v>0.1</v>
      </c>
      <c r="G9" s="658">
        <v>0</v>
      </c>
      <c r="H9" s="664"/>
      <c r="I9" s="664">
        <f t="shared" si="0"/>
        <v>0</v>
      </c>
      <c r="J9" s="661"/>
      <c r="K9">
        <f t="shared" si="1"/>
        <v>0</v>
      </c>
    </row>
    <row r="10" spans="1:11" ht="18.75" customHeight="1">
      <c r="A10" s="661"/>
      <c r="B10" s="663" t="s">
        <v>7104</v>
      </c>
      <c r="C10" s="657" t="s">
        <v>7105</v>
      </c>
      <c r="D10" s="657" t="s">
        <v>7116</v>
      </c>
      <c r="E10" s="663" t="s">
        <v>7117</v>
      </c>
      <c r="F10" s="658">
        <v>0.1</v>
      </c>
      <c r="G10" s="658">
        <v>0</v>
      </c>
      <c r="H10" s="664"/>
      <c r="I10" s="664">
        <f t="shared" si="0"/>
        <v>0</v>
      </c>
      <c r="J10" s="661"/>
      <c r="K10">
        <f t="shared" si="1"/>
        <v>0</v>
      </c>
    </row>
    <row r="11" spans="1:11" ht="18.75" customHeight="1">
      <c r="A11" s="661"/>
      <c r="B11" s="663" t="s">
        <v>7104</v>
      </c>
      <c r="C11" s="657" t="s">
        <v>7105</v>
      </c>
      <c r="D11" s="657" t="s">
        <v>7118</v>
      </c>
      <c r="E11" s="663" t="s">
        <v>7119</v>
      </c>
      <c r="F11" s="658">
        <v>0.1</v>
      </c>
      <c r="G11" s="658">
        <v>0</v>
      </c>
      <c r="H11" s="664"/>
      <c r="I11" s="664">
        <f t="shared" si="0"/>
        <v>0</v>
      </c>
      <c r="J11" s="661"/>
      <c r="K11">
        <f t="shared" si="1"/>
        <v>0</v>
      </c>
    </row>
    <row r="12" spans="1:11" ht="18.75" customHeight="1">
      <c r="A12" s="661"/>
      <c r="B12" s="663" t="s">
        <v>7104</v>
      </c>
      <c r="C12" s="657" t="s">
        <v>7105</v>
      </c>
      <c r="D12" s="657" t="s">
        <v>7120</v>
      </c>
      <c r="E12" s="663" t="s">
        <v>7121</v>
      </c>
      <c r="F12" s="658">
        <v>0.1</v>
      </c>
      <c r="G12" s="658">
        <v>0</v>
      </c>
      <c r="H12" s="664"/>
      <c r="I12" s="664">
        <f t="shared" si="0"/>
        <v>0</v>
      </c>
      <c r="J12" s="661"/>
      <c r="K12">
        <f t="shared" si="1"/>
        <v>0</v>
      </c>
    </row>
    <row r="13" spans="1:11" ht="18.75" customHeight="1">
      <c r="A13" s="661"/>
      <c r="B13" s="663" t="s">
        <v>7104</v>
      </c>
      <c r="C13" s="657" t="s">
        <v>7105</v>
      </c>
      <c r="D13" s="657" t="s">
        <v>7122</v>
      </c>
      <c r="E13" s="663" t="s">
        <v>7123</v>
      </c>
      <c r="F13" s="658">
        <v>0.1</v>
      </c>
      <c r="G13" s="658">
        <v>0</v>
      </c>
      <c r="H13" s="664"/>
      <c r="I13" s="664">
        <f t="shared" si="0"/>
        <v>0</v>
      </c>
      <c r="J13" s="661"/>
      <c r="K13">
        <f t="shared" si="1"/>
        <v>0</v>
      </c>
    </row>
    <row r="14" spans="1:11" ht="18.75" customHeight="1">
      <c r="A14" s="661"/>
      <c r="B14" s="663" t="s">
        <v>7104</v>
      </c>
      <c r="C14" s="657" t="s">
        <v>7105</v>
      </c>
      <c r="D14" s="657" t="s">
        <v>7124</v>
      </c>
      <c r="E14" s="663" t="s">
        <v>7125</v>
      </c>
      <c r="F14" s="658">
        <v>0.1</v>
      </c>
      <c r="G14" s="658">
        <v>0</v>
      </c>
      <c r="H14" s="664"/>
      <c r="I14" s="664">
        <f t="shared" si="0"/>
        <v>0</v>
      </c>
      <c r="J14" s="661"/>
      <c r="K14">
        <f t="shared" si="1"/>
        <v>0</v>
      </c>
    </row>
    <row r="15" spans="1:11" ht="18.75" customHeight="1">
      <c r="A15" s="661"/>
      <c r="B15" s="663" t="s">
        <v>7104</v>
      </c>
      <c r="C15" s="657" t="s">
        <v>7105</v>
      </c>
      <c r="D15" s="657" t="s">
        <v>7126</v>
      </c>
      <c r="E15" s="663" t="s">
        <v>7127</v>
      </c>
      <c r="F15" s="658">
        <v>0.1</v>
      </c>
      <c r="G15" s="658">
        <v>0</v>
      </c>
      <c r="H15" s="664"/>
      <c r="I15" s="664">
        <f t="shared" si="0"/>
        <v>0</v>
      </c>
      <c r="J15" s="661"/>
      <c r="K15">
        <f t="shared" si="1"/>
        <v>0</v>
      </c>
    </row>
    <row r="16" spans="1:11" ht="18.75" customHeight="1">
      <c r="A16" s="661"/>
      <c r="B16" s="663" t="s">
        <v>7104</v>
      </c>
      <c r="C16" s="657" t="s">
        <v>7105</v>
      </c>
      <c r="D16" s="657" t="s">
        <v>7128</v>
      </c>
      <c r="E16" s="663" t="s">
        <v>7129</v>
      </c>
      <c r="F16" s="658">
        <v>0.1</v>
      </c>
      <c r="G16" s="658">
        <v>0</v>
      </c>
      <c r="H16" s="664">
        <v>8800</v>
      </c>
      <c r="I16" s="664">
        <f t="shared" si="0"/>
        <v>8000</v>
      </c>
      <c r="J16" s="661"/>
      <c r="K16">
        <f t="shared" si="1"/>
        <v>6800</v>
      </c>
    </row>
    <row r="17" spans="1:11" ht="18.75" customHeight="1">
      <c r="A17" s="661"/>
      <c r="B17" s="663" t="s">
        <v>7104</v>
      </c>
      <c r="C17" s="657" t="s">
        <v>7105</v>
      </c>
      <c r="D17" s="657" t="s">
        <v>7130</v>
      </c>
      <c r="E17" s="663" t="s">
        <v>7131</v>
      </c>
      <c r="F17" s="658">
        <v>0.1</v>
      </c>
      <c r="G17" s="658">
        <v>0</v>
      </c>
      <c r="H17" s="664">
        <v>8800</v>
      </c>
      <c r="I17" s="664">
        <f t="shared" si="0"/>
        <v>8000</v>
      </c>
      <c r="J17" s="661"/>
      <c r="K17">
        <f t="shared" si="1"/>
        <v>6800</v>
      </c>
    </row>
    <row r="18" spans="1:11" ht="18.75" customHeight="1">
      <c r="A18" s="661"/>
      <c r="B18" s="663" t="s">
        <v>7104</v>
      </c>
      <c r="C18" s="657" t="s">
        <v>7105</v>
      </c>
      <c r="D18" s="657" t="s">
        <v>7132</v>
      </c>
      <c r="E18" s="663" t="s">
        <v>7133</v>
      </c>
      <c r="F18" s="658">
        <v>0.1</v>
      </c>
      <c r="G18" s="658">
        <v>0</v>
      </c>
      <c r="H18" s="664">
        <v>9500</v>
      </c>
      <c r="I18" s="664">
        <f t="shared" si="0"/>
        <v>8640</v>
      </c>
      <c r="J18" s="661"/>
      <c r="K18">
        <f t="shared" si="1"/>
        <v>7344</v>
      </c>
    </row>
    <row r="19" spans="1:11" ht="18.75" customHeight="1">
      <c r="A19" s="661"/>
      <c r="B19" s="663" t="s">
        <v>7104</v>
      </c>
      <c r="C19" s="657" t="s">
        <v>7105</v>
      </c>
      <c r="D19" s="657" t="s">
        <v>7134</v>
      </c>
      <c r="E19" s="663" t="s">
        <v>7135</v>
      </c>
      <c r="F19" s="658">
        <v>0.1</v>
      </c>
      <c r="G19" s="658">
        <v>0</v>
      </c>
      <c r="H19" s="664">
        <v>9500</v>
      </c>
      <c r="I19" s="664">
        <f t="shared" si="0"/>
        <v>8640</v>
      </c>
      <c r="J19" s="661"/>
      <c r="K19">
        <f t="shared" si="1"/>
        <v>7344</v>
      </c>
    </row>
    <row r="20" spans="1:11" ht="18.75" customHeight="1">
      <c r="A20" s="661"/>
      <c r="B20" s="663" t="s">
        <v>7104</v>
      </c>
      <c r="C20" s="657" t="s">
        <v>7136</v>
      </c>
      <c r="D20" s="657" t="s">
        <v>7137</v>
      </c>
      <c r="E20" s="663" t="s">
        <v>7138</v>
      </c>
      <c r="F20" s="658">
        <v>0.1</v>
      </c>
      <c r="G20" s="658">
        <v>0</v>
      </c>
      <c r="H20" s="664">
        <v>11200</v>
      </c>
      <c r="I20" s="664">
        <f t="shared" si="0"/>
        <v>10180</v>
      </c>
      <c r="J20" s="661"/>
      <c r="K20">
        <f t="shared" si="1"/>
        <v>8653</v>
      </c>
    </row>
    <row r="21" spans="1:11" ht="18.75" customHeight="1">
      <c r="A21" s="661"/>
      <c r="B21" s="663" t="s">
        <v>7104</v>
      </c>
      <c r="C21" s="657" t="s">
        <v>7136</v>
      </c>
      <c r="D21" s="657" t="s">
        <v>7139</v>
      </c>
      <c r="E21" s="663" t="s">
        <v>7140</v>
      </c>
      <c r="F21" s="658">
        <v>0.1</v>
      </c>
      <c r="G21" s="658">
        <v>0</v>
      </c>
      <c r="H21" s="664">
        <v>11200</v>
      </c>
      <c r="I21" s="664">
        <f t="shared" si="0"/>
        <v>10180</v>
      </c>
      <c r="J21" s="661"/>
      <c r="K21">
        <f t="shared" si="1"/>
        <v>8653</v>
      </c>
    </row>
    <row r="22" spans="1:11" ht="18.75" customHeight="1">
      <c r="A22" s="661"/>
      <c r="B22" s="663" t="s">
        <v>7104</v>
      </c>
      <c r="C22" s="657" t="s">
        <v>7141</v>
      </c>
      <c r="D22" s="657" t="s">
        <v>7142</v>
      </c>
      <c r="E22" s="663" t="s">
        <v>7143</v>
      </c>
      <c r="F22" s="658">
        <v>0.1</v>
      </c>
      <c r="G22" s="658">
        <v>0</v>
      </c>
      <c r="H22" s="664">
        <v>11200</v>
      </c>
      <c r="I22" s="664">
        <f t="shared" si="0"/>
        <v>10180</v>
      </c>
      <c r="J22" s="661"/>
      <c r="K22">
        <f t="shared" si="1"/>
        <v>8653</v>
      </c>
    </row>
    <row r="23" spans="1:11" ht="18.75" customHeight="1">
      <c r="A23" s="661"/>
      <c r="B23" s="663" t="s">
        <v>7104</v>
      </c>
      <c r="C23" s="657" t="s">
        <v>7105</v>
      </c>
      <c r="D23" s="657" t="s">
        <v>7144</v>
      </c>
      <c r="E23" s="663" t="s">
        <v>7145</v>
      </c>
      <c r="F23" s="658">
        <v>0.1</v>
      </c>
      <c r="G23" s="658">
        <v>0</v>
      </c>
      <c r="H23" s="664">
        <v>12320</v>
      </c>
      <c r="I23" s="664">
        <f t="shared" si="0"/>
        <v>11200</v>
      </c>
      <c r="J23" s="661"/>
      <c r="K23">
        <f t="shared" si="1"/>
        <v>9520</v>
      </c>
    </row>
    <row r="24" spans="1:11" ht="18.75" customHeight="1">
      <c r="A24" s="661"/>
      <c r="B24" s="663" t="s">
        <v>7104</v>
      </c>
      <c r="C24" s="657" t="s">
        <v>7105</v>
      </c>
      <c r="D24" s="657" t="s">
        <v>7146</v>
      </c>
      <c r="E24" s="663" t="s">
        <v>7147</v>
      </c>
      <c r="F24" s="658">
        <v>0.1</v>
      </c>
      <c r="G24" s="658">
        <v>0</v>
      </c>
      <c r="H24" s="664">
        <v>12320</v>
      </c>
      <c r="I24" s="664">
        <f t="shared" si="0"/>
        <v>11200</v>
      </c>
      <c r="J24" s="661"/>
      <c r="K24">
        <f t="shared" si="1"/>
        <v>9520</v>
      </c>
    </row>
    <row r="25" spans="1:11" ht="18.75" customHeight="1">
      <c r="A25" s="661"/>
      <c r="B25" s="663" t="s">
        <v>7104</v>
      </c>
      <c r="C25" s="657" t="s">
        <v>7105</v>
      </c>
      <c r="D25" s="657" t="s">
        <v>7148</v>
      </c>
      <c r="E25" s="663" t="s">
        <v>7149</v>
      </c>
      <c r="F25" s="658">
        <v>0.1</v>
      </c>
      <c r="G25" s="658">
        <v>0</v>
      </c>
      <c r="H25" s="664">
        <v>12980</v>
      </c>
      <c r="I25" s="664">
        <f t="shared" si="0"/>
        <v>11800</v>
      </c>
      <c r="J25" s="661"/>
      <c r="K25">
        <f t="shared" si="1"/>
        <v>10030</v>
      </c>
    </row>
    <row r="26" spans="1:11" ht="18.75" customHeight="1">
      <c r="A26" s="661"/>
      <c r="B26" s="663" t="s">
        <v>7104</v>
      </c>
      <c r="C26" s="657" t="s">
        <v>7105</v>
      </c>
      <c r="D26" s="657" t="s">
        <v>7150</v>
      </c>
      <c r="E26" s="663" t="s">
        <v>7151</v>
      </c>
      <c r="F26" s="658">
        <v>0.1</v>
      </c>
      <c r="G26" s="658">
        <v>0</v>
      </c>
      <c r="H26" s="664">
        <v>12980</v>
      </c>
      <c r="I26" s="664">
        <f t="shared" si="0"/>
        <v>11800</v>
      </c>
      <c r="J26" s="661"/>
      <c r="K26">
        <f t="shared" si="1"/>
        <v>10030</v>
      </c>
    </row>
    <row r="27" spans="1:11" ht="18.75" customHeight="1">
      <c r="A27" s="661"/>
      <c r="B27" s="663" t="s">
        <v>7104</v>
      </c>
      <c r="C27" s="657" t="s">
        <v>7105</v>
      </c>
      <c r="D27" s="657" t="s">
        <v>7152</v>
      </c>
      <c r="E27" s="663" t="s">
        <v>7153</v>
      </c>
      <c r="F27" s="658">
        <v>0.1</v>
      </c>
      <c r="G27" s="658">
        <v>0</v>
      </c>
      <c r="H27" s="664">
        <v>14100</v>
      </c>
      <c r="I27" s="664">
        <f t="shared" si="0"/>
        <v>12820</v>
      </c>
      <c r="J27" s="661"/>
      <c r="K27">
        <f t="shared" si="1"/>
        <v>10897</v>
      </c>
    </row>
    <row r="28" spans="1:11" ht="18.75" customHeight="1">
      <c r="A28" s="661"/>
      <c r="B28" s="663" t="s">
        <v>7104</v>
      </c>
      <c r="C28" s="657" t="s">
        <v>7105</v>
      </c>
      <c r="D28" s="657" t="s">
        <v>7154</v>
      </c>
      <c r="E28" s="663" t="s">
        <v>7155</v>
      </c>
      <c r="F28" s="658">
        <v>0.1</v>
      </c>
      <c r="G28" s="658">
        <v>0</v>
      </c>
      <c r="H28" s="664">
        <v>14100</v>
      </c>
      <c r="I28" s="664">
        <f t="shared" si="0"/>
        <v>12820</v>
      </c>
      <c r="J28" s="661"/>
      <c r="K28">
        <f t="shared" si="1"/>
        <v>10897</v>
      </c>
    </row>
    <row r="29" spans="1:11" ht="18.75" customHeight="1">
      <c r="A29" s="661"/>
      <c r="B29" s="663" t="s">
        <v>7104</v>
      </c>
      <c r="C29" s="657" t="s">
        <v>7136</v>
      </c>
      <c r="D29" s="657" t="s">
        <v>7156</v>
      </c>
      <c r="E29" s="663" t="s">
        <v>7157</v>
      </c>
      <c r="F29" s="658">
        <v>0.1</v>
      </c>
      <c r="G29" s="658">
        <v>0</v>
      </c>
      <c r="H29" s="664">
        <v>14100</v>
      </c>
      <c r="I29" s="664">
        <f t="shared" si="0"/>
        <v>12820</v>
      </c>
      <c r="J29" s="661"/>
      <c r="K29">
        <f t="shared" si="1"/>
        <v>10897</v>
      </c>
    </row>
    <row r="30" spans="1:11" ht="18.75" customHeight="1">
      <c r="A30" s="661"/>
      <c r="B30" s="663" t="s">
        <v>7104</v>
      </c>
      <c r="C30" s="657" t="s">
        <v>7136</v>
      </c>
      <c r="D30" s="657" t="s">
        <v>7158</v>
      </c>
      <c r="E30" s="663" t="s">
        <v>7159</v>
      </c>
      <c r="F30" s="658">
        <v>0.1</v>
      </c>
      <c r="G30" s="658">
        <v>0</v>
      </c>
      <c r="H30" s="664">
        <v>17700</v>
      </c>
      <c r="I30" s="664">
        <f t="shared" si="0"/>
        <v>16090</v>
      </c>
      <c r="J30" s="661"/>
      <c r="K30">
        <f t="shared" si="1"/>
        <v>13676.5</v>
      </c>
    </row>
    <row r="31" spans="1:11" ht="18.75" customHeight="1">
      <c r="A31" s="661"/>
      <c r="B31" s="663" t="s">
        <v>7104</v>
      </c>
      <c r="C31" s="657" t="s">
        <v>7136</v>
      </c>
      <c r="D31" s="657" t="s">
        <v>7160</v>
      </c>
      <c r="E31" s="663" t="s">
        <v>7161</v>
      </c>
      <c r="F31" s="658">
        <v>0.1</v>
      </c>
      <c r="G31" s="658">
        <v>0</v>
      </c>
      <c r="H31" s="664">
        <v>17700</v>
      </c>
      <c r="I31" s="664">
        <f t="shared" si="0"/>
        <v>16090</v>
      </c>
      <c r="J31" s="661"/>
      <c r="K31">
        <f t="shared" si="1"/>
        <v>13676.5</v>
      </c>
    </row>
    <row r="32" spans="1:11" ht="18.75" customHeight="1">
      <c r="A32" s="661"/>
      <c r="B32" s="663" t="s">
        <v>7104</v>
      </c>
      <c r="C32" s="657" t="s">
        <v>7105</v>
      </c>
      <c r="D32" s="657" t="s">
        <v>7162</v>
      </c>
      <c r="E32" s="663" t="s">
        <v>7163</v>
      </c>
      <c r="F32" s="658">
        <v>0.1</v>
      </c>
      <c r="G32" s="658">
        <v>0</v>
      </c>
      <c r="H32" s="664">
        <v>18810</v>
      </c>
      <c r="I32" s="664">
        <f t="shared" si="0"/>
        <v>17100</v>
      </c>
      <c r="J32" s="661"/>
      <c r="K32">
        <f t="shared" si="1"/>
        <v>14535</v>
      </c>
    </row>
    <row r="33" spans="1:11" ht="18.75" customHeight="1">
      <c r="A33" s="661"/>
      <c r="B33" s="663" t="s">
        <v>7104</v>
      </c>
      <c r="C33" s="657" t="s">
        <v>7136</v>
      </c>
      <c r="D33" s="657" t="s">
        <v>7164</v>
      </c>
      <c r="E33" s="663" t="s">
        <v>7165</v>
      </c>
      <c r="F33" s="658">
        <v>0.1</v>
      </c>
      <c r="G33" s="658">
        <v>0</v>
      </c>
      <c r="H33" s="664">
        <v>20000</v>
      </c>
      <c r="I33" s="664">
        <f t="shared" si="0"/>
        <v>18180</v>
      </c>
      <c r="J33" s="661"/>
      <c r="K33">
        <f t="shared" si="1"/>
        <v>15453</v>
      </c>
    </row>
    <row r="34" spans="1:11" ht="18.75" customHeight="1">
      <c r="A34" s="661"/>
      <c r="B34" s="663" t="s">
        <v>7104</v>
      </c>
      <c r="C34" s="657" t="s">
        <v>7105</v>
      </c>
      <c r="D34" s="657" t="s">
        <v>7166</v>
      </c>
      <c r="E34" s="663" t="s">
        <v>7167</v>
      </c>
      <c r="F34" s="658">
        <v>0.1</v>
      </c>
      <c r="G34" s="658">
        <v>0</v>
      </c>
      <c r="H34" s="664">
        <v>22300</v>
      </c>
      <c r="I34" s="664">
        <f t="shared" si="0"/>
        <v>20270</v>
      </c>
      <c r="J34" s="661"/>
      <c r="K34">
        <f t="shared" si="1"/>
        <v>17229.5</v>
      </c>
    </row>
    <row r="35" spans="1:11" ht="18.75" customHeight="1">
      <c r="A35" s="661"/>
      <c r="B35" s="663" t="s">
        <v>7104</v>
      </c>
      <c r="C35" s="657" t="s">
        <v>7141</v>
      </c>
      <c r="D35" s="657" t="s">
        <v>7168</v>
      </c>
      <c r="E35" s="663" t="s">
        <v>7169</v>
      </c>
      <c r="F35" s="658">
        <v>0.1</v>
      </c>
      <c r="G35" s="658">
        <v>0</v>
      </c>
      <c r="H35" s="664">
        <v>23500</v>
      </c>
      <c r="I35" s="664">
        <f t="shared" si="0"/>
        <v>21360</v>
      </c>
      <c r="J35" s="661"/>
      <c r="K35">
        <f t="shared" si="1"/>
        <v>18156</v>
      </c>
    </row>
    <row r="36" spans="1:11" ht="18.75" customHeight="1">
      <c r="A36" s="661"/>
      <c r="B36" s="663" t="s">
        <v>7104</v>
      </c>
      <c r="C36" s="657" t="s">
        <v>7136</v>
      </c>
      <c r="D36" s="657" t="s">
        <v>7170</v>
      </c>
      <c r="E36" s="663" t="s">
        <v>7171</v>
      </c>
      <c r="F36" s="658">
        <v>0.1</v>
      </c>
      <c r="G36" s="658">
        <v>0</v>
      </c>
      <c r="H36" s="664">
        <v>27100</v>
      </c>
      <c r="I36" s="664">
        <f t="shared" si="0"/>
        <v>24640</v>
      </c>
      <c r="J36" s="661"/>
      <c r="K36">
        <f t="shared" si="1"/>
        <v>20944</v>
      </c>
    </row>
    <row r="37" spans="1:11" ht="18.75" customHeight="1">
      <c r="A37" s="661"/>
      <c r="B37" s="663" t="s">
        <v>7104</v>
      </c>
      <c r="C37" s="657" t="s">
        <v>7136</v>
      </c>
      <c r="D37" s="657" t="s">
        <v>7172</v>
      </c>
      <c r="E37" s="663" t="s">
        <v>7173</v>
      </c>
      <c r="F37" s="658">
        <v>0.1</v>
      </c>
      <c r="G37" s="658">
        <v>0</v>
      </c>
      <c r="H37" s="664">
        <v>30600</v>
      </c>
      <c r="I37" s="664">
        <f t="shared" si="0"/>
        <v>27820</v>
      </c>
      <c r="J37" s="661"/>
      <c r="K37">
        <f t="shared" si="1"/>
        <v>23647</v>
      </c>
    </row>
    <row r="38" spans="1:11" ht="18.75" customHeight="1">
      <c r="A38" s="661"/>
      <c r="B38" s="663" t="s">
        <v>7104</v>
      </c>
      <c r="C38" s="657" t="s">
        <v>7141</v>
      </c>
      <c r="D38" s="657" t="s">
        <v>7174</v>
      </c>
      <c r="E38" s="663" t="s">
        <v>7175</v>
      </c>
      <c r="F38" s="658">
        <v>0.1</v>
      </c>
      <c r="G38" s="658">
        <v>0</v>
      </c>
      <c r="H38" s="664">
        <v>33000</v>
      </c>
      <c r="I38" s="664">
        <f t="shared" si="0"/>
        <v>30000</v>
      </c>
      <c r="J38" s="661"/>
      <c r="K38">
        <f t="shared" si="1"/>
        <v>25500</v>
      </c>
    </row>
    <row r="39" spans="1:11" ht="18.75" customHeight="1">
      <c r="A39" s="661"/>
      <c r="B39" s="663" t="s">
        <v>7104</v>
      </c>
      <c r="C39" s="657" t="s">
        <v>7141</v>
      </c>
      <c r="D39" s="657" t="s">
        <v>7176</v>
      </c>
      <c r="E39" s="663" t="s">
        <v>7177</v>
      </c>
      <c r="F39" s="658">
        <v>0.1</v>
      </c>
      <c r="G39" s="658">
        <v>0</v>
      </c>
      <c r="H39" s="664">
        <v>35300</v>
      </c>
      <c r="I39" s="664">
        <f t="shared" si="0"/>
        <v>32090</v>
      </c>
      <c r="J39" s="661"/>
      <c r="K39">
        <f t="shared" si="1"/>
        <v>27276.5</v>
      </c>
    </row>
    <row r="40" spans="1:11" ht="18.75" customHeight="1">
      <c r="A40" s="661"/>
      <c r="B40" s="663" t="s">
        <v>7104</v>
      </c>
      <c r="C40" s="657" t="s">
        <v>7141</v>
      </c>
      <c r="D40" s="657" t="s">
        <v>7178</v>
      </c>
      <c r="E40" s="663" t="s">
        <v>7179</v>
      </c>
      <c r="F40" s="658">
        <v>0.1</v>
      </c>
      <c r="G40" s="658">
        <v>0</v>
      </c>
      <c r="H40" s="664">
        <v>35300</v>
      </c>
      <c r="I40" s="664">
        <f t="shared" si="0"/>
        <v>32090</v>
      </c>
      <c r="J40" s="661"/>
      <c r="K40">
        <f t="shared" si="1"/>
        <v>27276.5</v>
      </c>
    </row>
    <row r="41" spans="1:11" ht="18.75" customHeight="1">
      <c r="A41" s="661"/>
      <c r="B41" s="663" t="s">
        <v>7104</v>
      </c>
      <c r="C41" s="657" t="s">
        <v>7141</v>
      </c>
      <c r="D41" s="657" t="s">
        <v>7180</v>
      </c>
      <c r="E41" s="663" t="s">
        <v>7181</v>
      </c>
      <c r="F41" s="658">
        <v>0.1</v>
      </c>
      <c r="G41" s="658">
        <v>0</v>
      </c>
      <c r="H41" s="664"/>
      <c r="I41" s="664">
        <f t="shared" si="0"/>
        <v>0</v>
      </c>
      <c r="J41" s="661"/>
      <c r="K41">
        <f t="shared" si="1"/>
        <v>0</v>
      </c>
    </row>
    <row r="42" spans="1:11" ht="18.75" customHeight="1">
      <c r="A42" s="661"/>
      <c r="B42" s="663" t="s">
        <v>7104</v>
      </c>
      <c r="C42" s="657" t="s">
        <v>7136</v>
      </c>
      <c r="D42" s="657" t="s">
        <v>7182</v>
      </c>
      <c r="E42" s="663" t="s">
        <v>7183</v>
      </c>
      <c r="F42" s="658">
        <v>0.1</v>
      </c>
      <c r="G42" s="658">
        <v>0</v>
      </c>
      <c r="H42" s="664">
        <v>35200</v>
      </c>
      <c r="I42" s="664">
        <f t="shared" si="0"/>
        <v>32000</v>
      </c>
      <c r="J42" s="661"/>
      <c r="K42">
        <f t="shared" si="1"/>
        <v>27200</v>
      </c>
    </row>
    <row r="43" spans="1:11" ht="18.75" customHeight="1">
      <c r="A43" s="661"/>
      <c r="B43" s="663" t="s">
        <v>7104</v>
      </c>
      <c r="C43" s="657" t="s">
        <v>7136</v>
      </c>
      <c r="D43" s="657" t="s">
        <v>7184</v>
      </c>
      <c r="E43" s="663" t="s">
        <v>7185</v>
      </c>
      <c r="F43" s="658">
        <v>0.1</v>
      </c>
      <c r="G43" s="658">
        <v>0</v>
      </c>
      <c r="H43" s="664"/>
      <c r="I43" s="664">
        <f t="shared" si="0"/>
        <v>0</v>
      </c>
      <c r="J43" s="661"/>
      <c r="K43">
        <f t="shared" si="1"/>
        <v>0</v>
      </c>
    </row>
    <row r="44" spans="1:11" ht="18.75" customHeight="1">
      <c r="A44" s="661"/>
      <c r="B44" s="663" t="s">
        <v>7104</v>
      </c>
      <c r="C44" s="657" t="s">
        <v>7141</v>
      </c>
      <c r="D44" s="657" t="s">
        <v>7186</v>
      </c>
      <c r="E44" s="663" t="s">
        <v>7187</v>
      </c>
      <c r="F44" s="658">
        <v>0.1</v>
      </c>
      <c r="G44" s="658">
        <v>0</v>
      </c>
      <c r="H44" s="664">
        <v>45900</v>
      </c>
      <c r="I44" s="664">
        <f t="shared" si="0"/>
        <v>41730</v>
      </c>
      <c r="J44" s="661"/>
      <c r="K44">
        <f t="shared" si="1"/>
        <v>35470.5</v>
      </c>
    </row>
    <row r="45" spans="1:11" ht="18.75" customHeight="1">
      <c r="A45" s="661"/>
      <c r="B45" s="663" t="s">
        <v>7104</v>
      </c>
      <c r="C45" s="657" t="s">
        <v>7141</v>
      </c>
      <c r="D45" s="657" t="s">
        <v>7188</v>
      </c>
      <c r="E45" s="663" t="s">
        <v>7189</v>
      </c>
      <c r="F45" s="658">
        <v>0.1</v>
      </c>
      <c r="G45" s="658">
        <v>0</v>
      </c>
      <c r="H45" s="664">
        <v>45900</v>
      </c>
      <c r="I45" s="664">
        <f t="shared" si="0"/>
        <v>41730</v>
      </c>
      <c r="J45" s="661"/>
      <c r="K45">
        <f t="shared" si="1"/>
        <v>35470.5</v>
      </c>
    </row>
    <row r="46" spans="1:11" ht="18.75" customHeight="1">
      <c r="A46" s="661"/>
      <c r="B46" s="663" t="s">
        <v>7104</v>
      </c>
      <c r="C46" s="657" t="s">
        <v>7141</v>
      </c>
      <c r="D46" s="657" t="s">
        <v>7190</v>
      </c>
      <c r="E46" s="663" t="s">
        <v>7191</v>
      </c>
      <c r="F46" s="658">
        <v>0.1</v>
      </c>
      <c r="G46" s="658">
        <v>0</v>
      </c>
      <c r="H46" s="664">
        <v>49400</v>
      </c>
      <c r="I46" s="664">
        <f t="shared" si="0"/>
        <v>44910</v>
      </c>
      <c r="J46" s="661"/>
      <c r="K46">
        <f t="shared" si="1"/>
        <v>38173.5</v>
      </c>
    </row>
    <row r="47" spans="1:11" ht="18.75" customHeight="1">
      <c r="A47" s="661"/>
      <c r="B47" s="663" t="s">
        <v>7104</v>
      </c>
      <c r="C47" s="657" t="s">
        <v>7141</v>
      </c>
      <c r="D47" s="657" t="s">
        <v>7192</v>
      </c>
      <c r="E47" s="663" t="s">
        <v>7193</v>
      </c>
      <c r="F47" s="658">
        <v>0.1</v>
      </c>
      <c r="G47" s="658">
        <v>0</v>
      </c>
      <c r="H47" s="664">
        <v>51800</v>
      </c>
      <c r="I47" s="664">
        <f t="shared" si="0"/>
        <v>47090</v>
      </c>
      <c r="J47" s="661"/>
      <c r="K47">
        <f t="shared" si="1"/>
        <v>40026.5</v>
      </c>
    </row>
    <row r="48" spans="1:11" ht="18.75" customHeight="1">
      <c r="A48" s="661"/>
      <c r="B48" s="663" t="s">
        <v>7104</v>
      </c>
      <c r="C48" s="657" t="s">
        <v>7141</v>
      </c>
      <c r="D48" s="657" t="s">
        <v>7194</v>
      </c>
      <c r="E48" s="663" t="s">
        <v>7195</v>
      </c>
      <c r="F48" s="658">
        <v>0.1</v>
      </c>
      <c r="G48" s="658">
        <v>0</v>
      </c>
      <c r="H48" s="664">
        <v>54100</v>
      </c>
      <c r="I48" s="664">
        <f t="shared" si="0"/>
        <v>49180</v>
      </c>
      <c r="J48" s="661"/>
      <c r="K48">
        <f t="shared" si="1"/>
        <v>41803</v>
      </c>
    </row>
    <row r="49" spans="1:11" ht="18.75" customHeight="1">
      <c r="A49" s="661"/>
      <c r="B49" s="663" t="s">
        <v>7104</v>
      </c>
      <c r="C49" s="657" t="s">
        <v>7141</v>
      </c>
      <c r="D49" s="657" t="s">
        <v>7196</v>
      </c>
      <c r="E49" s="663" t="s">
        <v>7197</v>
      </c>
      <c r="F49" s="658">
        <v>0.1</v>
      </c>
      <c r="G49" s="658">
        <v>0</v>
      </c>
      <c r="H49" s="664">
        <v>120000</v>
      </c>
      <c r="I49" s="664">
        <f t="shared" si="0"/>
        <v>109090</v>
      </c>
      <c r="J49" s="661"/>
      <c r="K49">
        <f t="shared" si="1"/>
        <v>92726.5</v>
      </c>
    </row>
    <row r="50" spans="1:11" ht="18.75" customHeight="1">
      <c r="A50" s="661"/>
      <c r="B50" s="663" t="s">
        <v>7104</v>
      </c>
      <c r="C50" s="657" t="s">
        <v>7141</v>
      </c>
      <c r="D50" s="657" t="s">
        <v>7198</v>
      </c>
      <c r="E50" s="663" t="s">
        <v>7199</v>
      </c>
      <c r="F50" s="658">
        <v>0.1</v>
      </c>
      <c r="G50" s="658">
        <v>0</v>
      </c>
      <c r="H50" s="664">
        <v>127200</v>
      </c>
      <c r="I50" s="664">
        <f t="shared" si="0"/>
        <v>115640</v>
      </c>
      <c r="J50" s="661"/>
      <c r="K50">
        <f t="shared" si="1"/>
        <v>98294</v>
      </c>
    </row>
    <row r="51" spans="1:11" ht="18.75" customHeight="1">
      <c r="A51" s="661"/>
      <c r="B51" s="663" t="s">
        <v>7104</v>
      </c>
      <c r="C51" s="657" t="s">
        <v>7141</v>
      </c>
      <c r="D51" s="657" t="s">
        <v>7200</v>
      </c>
      <c r="E51" s="663" t="s">
        <v>7201</v>
      </c>
      <c r="F51" s="658">
        <v>0.1</v>
      </c>
      <c r="G51" s="658">
        <v>0</v>
      </c>
      <c r="H51" s="664">
        <v>129500</v>
      </c>
      <c r="I51" s="664">
        <f t="shared" si="0"/>
        <v>117730</v>
      </c>
      <c r="J51" s="661"/>
      <c r="K51">
        <f t="shared" si="1"/>
        <v>100070.5</v>
      </c>
    </row>
    <row r="52" spans="1:11" ht="18.75" customHeight="1">
      <c r="A52" s="661"/>
      <c r="B52" s="663" t="s">
        <v>7104</v>
      </c>
      <c r="C52" s="657" t="s">
        <v>7141</v>
      </c>
      <c r="D52" s="657" t="s">
        <v>7202</v>
      </c>
      <c r="E52" s="663" t="s">
        <v>7203</v>
      </c>
      <c r="F52" s="658">
        <v>0.1</v>
      </c>
      <c r="G52" s="658">
        <v>0</v>
      </c>
      <c r="H52" s="664">
        <v>136500</v>
      </c>
      <c r="I52" s="664">
        <f t="shared" si="0"/>
        <v>124090</v>
      </c>
      <c r="J52" s="661"/>
      <c r="K52">
        <f t="shared" si="1"/>
        <v>105476.5</v>
      </c>
    </row>
    <row r="53" spans="1:11" ht="18.75" customHeight="1">
      <c r="A53" s="661"/>
      <c r="B53" s="663" t="s">
        <v>7104</v>
      </c>
      <c r="C53" s="657" t="s">
        <v>7141</v>
      </c>
      <c r="D53" s="657" t="s">
        <v>7204</v>
      </c>
      <c r="E53" s="663" t="s">
        <v>7205</v>
      </c>
      <c r="F53" s="658">
        <v>0.1</v>
      </c>
      <c r="G53" s="658">
        <v>0</v>
      </c>
      <c r="H53" s="664">
        <v>150700</v>
      </c>
      <c r="I53" s="664">
        <f t="shared" si="0"/>
        <v>137000</v>
      </c>
      <c r="J53" s="661"/>
      <c r="K53">
        <f t="shared" si="1"/>
        <v>116450</v>
      </c>
    </row>
    <row r="54" spans="1:11" ht="18.75" customHeight="1">
      <c r="A54" s="661"/>
      <c r="B54" s="663" t="s">
        <v>7104</v>
      </c>
      <c r="C54" s="657" t="s">
        <v>7141</v>
      </c>
      <c r="D54" s="657" t="s">
        <v>7206</v>
      </c>
      <c r="E54" s="663" t="s">
        <v>7207</v>
      </c>
      <c r="F54" s="658">
        <v>0.1</v>
      </c>
      <c r="G54" s="658">
        <v>0</v>
      </c>
      <c r="H54" s="664">
        <v>150700</v>
      </c>
      <c r="I54" s="664">
        <f t="shared" si="0"/>
        <v>137000</v>
      </c>
      <c r="J54" s="661"/>
      <c r="K54">
        <f t="shared" si="1"/>
        <v>116450</v>
      </c>
    </row>
    <row r="55" spans="1:11" ht="18.75" customHeight="1">
      <c r="A55" s="661"/>
      <c r="B55" s="663" t="s">
        <v>7104</v>
      </c>
      <c r="C55" s="657" t="s">
        <v>7141</v>
      </c>
      <c r="D55" s="657" t="s">
        <v>7208</v>
      </c>
      <c r="E55" s="663" t="s">
        <v>7209</v>
      </c>
      <c r="F55" s="658">
        <v>0.1</v>
      </c>
      <c r="G55" s="658">
        <v>0</v>
      </c>
      <c r="H55" s="664">
        <v>154200</v>
      </c>
      <c r="I55" s="664">
        <f t="shared" si="0"/>
        <v>140180</v>
      </c>
      <c r="J55" s="661"/>
      <c r="K55">
        <f t="shared" si="1"/>
        <v>119153</v>
      </c>
    </row>
    <row r="56" spans="1:11" ht="18.75" customHeight="1">
      <c r="A56" s="661"/>
      <c r="B56" s="663" t="s">
        <v>7104</v>
      </c>
      <c r="C56" s="657" t="s">
        <v>7141</v>
      </c>
      <c r="D56" s="657" t="s">
        <v>7210</v>
      </c>
      <c r="E56" s="663" t="s">
        <v>7211</v>
      </c>
      <c r="F56" s="658">
        <v>0.1</v>
      </c>
      <c r="G56" s="658">
        <v>0</v>
      </c>
      <c r="H56" s="664">
        <v>157700</v>
      </c>
      <c r="I56" s="664">
        <f t="shared" si="0"/>
        <v>143360</v>
      </c>
      <c r="J56" s="661"/>
      <c r="K56">
        <f t="shared" si="1"/>
        <v>121856</v>
      </c>
    </row>
    <row r="57" spans="1:11" ht="18.75" customHeight="1">
      <c r="A57" s="661"/>
      <c r="B57" s="663" t="s">
        <v>7104</v>
      </c>
      <c r="C57" s="657" t="s">
        <v>7141</v>
      </c>
      <c r="D57" s="657" t="s">
        <v>7212</v>
      </c>
      <c r="E57" s="663" t="s">
        <v>7213</v>
      </c>
      <c r="F57" s="658">
        <v>0.1</v>
      </c>
      <c r="G57" s="658">
        <v>0</v>
      </c>
      <c r="H57" s="664">
        <v>164800</v>
      </c>
      <c r="I57" s="664">
        <f t="shared" si="0"/>
        <v>149820</v>
      </c>
      <c r="J57" s="661"/>
      <c r="K57">
        <f t="shared" si="1"/>
        <v>127347</v>
      </c>
    </row>
    <row r="58" spans="1:11" ht="18.75" customHeight="1">
      <c r="A58" s="661"/>
      <c r="B58" s="663" t="s">
        <v>7104</v>
      </c>
      <c r="C58" s="657" t="s">
        <v>7141</v>
      </c>
      <c r="D58" s="657" t="s">
        <v>7214</v>
      </c>
      <c r="E58" s="663" t="s">
        <v>7215</v>
      </c>
      <c r="F58" s="658">
        <v>0.1</v>
      </c>
      <c r="G58" s="658">
        <v>0</v>
      </c>
      <c r="H58" s="664"/>
      <c r="I58" s="664">
        <f t="shared" si="0"/>
        <v>0</v>
      </c>
      <c r="J58" s="661"/>
      <c r="K58">
        <f t="shared" si="1"/>
        <v>0</v>
      </c>
    </row>
    <row r="59" spans="1:11" ht="18.75" customHeight="1">
      <c r="A59" s="661"/>
      <c r="B59" s="663" t="s">
        <v>7104</v>
      </c>
      <c r="C59" s="657" t="s">
        <v>7141</v>
      </c>
      <c r="D59" s="657" t="s">
        <v>7216</v>
      </c>
      <c r="E59" s="663" t="s">
        <v>7217</v>
      </c>
      <c r="F59" s="658">
        <v>0.1</v>
      </c>
      <c r="G59" s="658">
        <v>0</v>
      </c>
      <c r="H59" s="664"/>
      <c r="I59" s="664">
        <f t="shared" si="0"/>
        <v>0</v>
      </c>
      <c r="J59" s="661"/>
      <c r="K59">
        <f t="shared" si="1"/>
        <v>0</v>
      </c>
    </row>
    <row r="60" spans="1:11" ht="18.75" customHeight="1">
      <c r="A60" s="661"/>
      <c r="B60" s="663" t="s">
        <v>7104</v>
      </c>
      <c r="C60" s="657" t="s">
        <v>7141</v>
      </c>
      <c r="D60" s="657" t="s">
        <v>7218</v>
      </c>
      <c r="E60" s="663" t="s">
        <v>7219</v>
      </c>
      <c r="F60" s="658">
        <v>0.1</v>
      </c>
      <c r="G60" s="658">
        <v>0</v>
      </c>
      <c r="H60" s="664"/>
      <c r="I60" s="664">
        <f t="shared" si="0"/>
        <v>0</v>
      </c>
      <c r="J60" s="661"/>
      <c r="K60">
        <f t="shared" si="1"/>
        <v>0</v>
      </c>
    </row>
    <row r="61" spans="1:11" ht="18.75" customHeight="1">
      <c r="A61" s="661"/>
      <c r="B61" s="663" t="s">
        <v>7104</v>
      </c>
      <c r="C61" s="657" t="s">
        <v>7105</v>
      </c>
      <c r="D61" s="657" t="s">
        <v>7220</v>
      </c>
      <c r="E61" s="663" t="s">
        <v>7221</v>
      </c>
      <c r="F61" s="658">
        <v>0.1</v>
      </c>
      <c r="G61" s="658">
        <v>0</v>
      </c>
      <c r="H61" s="664">
        <v>11200</v>
      </c>
      <c r="I61" s="664">
        <f t="shared" si="0"/>
        <v>10180</v>
      </c>
      <c r="J61" s="661"/>
      <c r="K61">
        <f t="shared" si="1"/>
        <v>8653</v>
      </c>
    </row>
    <row r="62" spans="1:11" ht="18.75" customHeight="1">
      <c r="A62" s="661"/>
      <c r="B62" s="663" t="s">
        <v>7104</v>
      </c>
      <c r="C62" s="657" t="s">
        <v>7105</v>
      </c>
      <c r="D62" s="657" t="s">
        <v>7222</v>
      </c>
      <c r="E62" s="663" t="s">
        <v>7223</v>
      </c>
      <c r="F62" s="658">
        <v>0.1</v>
      </c>
      <c r="G62" s="658">
        <v>0</v>
      </c>
      <c r="H62" s="664">
        <v>11200</v>
      </c>
      <c r="I62" s="664">
        <f t="shared" si="0"/>
        <v>10180</v>
      </c>
      <c r="J62" s="661"/>
      <c r="K62">
        <f t="shared" si="1"/>
        <v>8653</v>
      </c>
    </row>
    <row r="63" spans="1:11" ht="18.75" customHeight="1">
      <c r="A63" s="661"/>
      <c r="B63" s="663" t="s">
        <v>7104</v>
      </c>
      <c r="C63" s="657" t="s">
        <v>7105</v>
      </c>
      <c r="D63" s="657" t="s">
        <v>7224</v>
      </c>
      <c r="E63" s="663" t="s">
        <v>7225</v>
      </c>
      <c r="F63" s="658">
        <v>0.1</v>
      </c>
      <c r="G63" s="658">
        <v>0</v>
      </c>
      <c r="H63" s="664">
        <v>12300</v>
      </c>
      <c r="I63" s="664">
        <f t="shared" si="0"/>
        <v>11180</v>
      </c>
      <c r="J63" s="661"/>
      <c r="K63">
        <f t="shared" si="1"/>
        <v>9503</v>
      </c>
    </row>
    <row r="64" spans="1:11" ht="18.75" customHeight="1">
      <c r="A64" s="661"/>
      <c r="B64" s="663" t="s">
        <v>7104</v>
      </c>
      <c r="C64" s="657" t="s">
        <v>7105</v>
      </c>
      <c r="D64" s="657" t="s">
        <v>7226</v>
      </c>
      <c r="E64" s="663" t="s">
        <v>7227</v>
      </c>
      <c r="F64" s="658">
        <v>0.1</v>
      </c>
      <c r="G64" s="658">
        <v>0</v>
      </c>
      <c r="H64" s="664">
        <v>12300</v>
      </c>
      <c r="I64" s="664">
        <f t="shared" si="0"/>
        <v>11180</v>
      </c>
      <c r="J64" s="661"/>
      <c r="K64">
        <f t="shared" si="1"/>
        <v>9503</v>
      </c>
    </row>
    <row r="65" spans="1:11" ht="18.75" customHeight="1">
      <c r="A65" s="661"/>
      <c r="B65" s="663" t="s">
        <v>7104</v>
      </c>
      <c r="C65" s="657" t="s">
        <v>7105</v>
      </c>
      <c r="D65" s="657" t="s">
        <v>7228</v>
      </c>
      <c r="E65" s="663" t="s">
        <v>7229</v>
      </c>
      <c r="F65" s="658">
        <v>0.1</v>
      </c>
      <c r="G65" s="658">
        <v>0</v>
      </c>
      <c r="H65" s="664">
        <v>16500</v>
      </c>
      <c r="I65" s="664">
        <f t="shared" si="0"/>
        <v>15000</v>
      </c>
      <c r="J65" s="661"/>
      <c r="K65">
        <f t="shared" si="1"/>
        <v>12750</v>
      </c>
    </row>
    <row r="66" spans="1:11" ht="18.75" customHeight="1">
      <c r="A66" s="661"/>
      <c r="B66" s="663" t="s">
        <v>7104</v>
      </c>
      <c r="C66" s="657" t="s">
        <v>7105</v>
      </c>
      <c r="D66" s="657" t="s">
        <v>7230</v>
      </c>
      <c r="E66" s="663" t="s">
        <v>7231</v>
      </c>
      <c r="F66" s="658">
        <v>0.1</v>
      </c>
      <c r="G66" s="658">
        <v>0</v>
      </c>
      <c r="H66" s="664">
        <v>16500</v>
      </c>
      <c r="I66" s="664">
        <f t="shared" si="0"/>
        <v>15000</v>
      </c>
      <c r="J66" s="661"/>
      <c r="K66">
        <f t="shared" si="1"/>
        <v>12750</v>
      </c>
    </row>
    <row r="67" spans="1:11" ht="18.75" customHeight="1">
      <c r="A67" s="661"/>
      <c r="B67" s="663" t="s">
        <v>7104</v>
      </c>
      <c r="C67" s="657" t="s">
        <v>7105</v>
      </c>
      <c r="D67" s="657" t="s">
        <v>7232</v>
      </c>
      <c r="E67" s="663" t="s">
        <v>7233</v>
      </c>
      <c r="F67" s="658">
        <v>0.1</v>
      </c>
      <c r="G67" s="658">
        <v>0</v>
      </c>
      <c r="H67" s="664">
        <v>20000</v>
      </c>
      <c r="I67" s="664">
        <f t="shared" si="0"/>
        <v>18180</v>
      </c>
      <c r="J67" s="661"/>
      <c r="K67">
        <f t="shared" si="1"/>
        <v>15453</v>
      </c>
    </row>
    <row r="68" spans="1:11" ht="18.75" customHeight="1">
      <c r="A68" s="661"/>
      <c r="B68" s="663" t="s">
        <v>7104</v>
      </c>
      <c r="C68" s="657" t="s">
        <v>7105</v>
      </c>
      <c r="D68" s="657" t="s">
        <v>7234</v>
      </c>
      <c r="E68" s="663" t="s">
        <v>7235</v>
      </c>
      <c r="F68" s="658">
        <v>0.1</v>
      </c>
      <c r="G68" s="658">
        <v>0</v>
      </c>
      <c r="H68" s="664">
        <v>20000</v>
      </c>
      <c r="I68" s="664">
        <f t="shared" si="0"/>
        <v>18180</v>
      </c>
      <c r="J68" s="661"/>
      <c r="K68">
        <f t="shared" si="1"/>
        <v>15453</v>
      </c>
    </row>
    <row r="69" spans="1:11" ht="18.75" customHeight="1">
      <c r="A69" s="661"/>
      <c r="B69" s="663" t="s">
        <v>7104</v>
      </c>
      <c r="C69" s="657" t="s">
        <v>7105</v>
      </c>
      <c r="D69" s="657" t="s">
        <v>7236</v>
      </c>
      <c r="E69" s="663" t="s">
        <v>7237</v>
      </c>
      <c r="F69" s="658">
        <v>0.1</v>
      </c>
      <c r="G69" s="658">
        <v>0</v>
      </c>
      <c r="H69" s="664">
        <v>22300</v>
      </c>
      <c r="I69" s="664">
        <f t="shared" si="0"/>
        <v>20270</v>
      </c>
      <c r="J69" s="661"/>
      <c r="K69">
        <f t="shared" si="1"/>
        <v>17229.5</v>
      </c>
    </row>
    <row r="70" spans="1:11" ht="18.75" customHeight="1">
      <c r="A70" s="661"/>
      <c r="B70" s="663" t="s">
        <v>7104</v>
      </c>
      <c r="C70" s="657" t="s">
        <v>7105</v>
      </c>
      <c r="D70" s="657" t="s">
        <v>7238</v>
      </c>
      <c r="E70" s="663" t="s">
        <v>7239</v>
      </c>
      <c r="F70" s="658">
        <v>0.1</v>
      </c>
      <c r="G70" s="658">
        <v>0</v>
      </c>
      <c r="H70" s="664">
        <v>22300</v>
      </c>
      <c r="I70" s="664">
        <f t="shared" si="0"/>
        <v>20270</v>
      </c>
      <c r="J70" s="661"/>
      <c r="K70">
        <f t="shared" ref="K70:K133" si="2">+I70*(1+$K$4)</f>
        <v>17229.5</v>
      </c>
    </row>
    <row r="71" spans="1:11" ht="18.75" customHeight="1">
      <c r="A71" s="661"/>
      <c r="B71" s="663" t="s">
        <v>7104</v>
      </c>
      <c r="C71" s="657" t="s">
        <v>7136</v>
      </c>
      <c r="D71" s="657" t="s">
        <v>7240</v>
      </c>
      <c r="E71" s="663" t="s">
        <v>7241</v>
      </c>
      <c r="F71" s="658">
        <v>0.1</v>
      </c>
      <c r="G71" s="658">
        <v>0</v>
      </c>
      <c r="H71" s="664">
        <v>24800</v>
      </c>
      <c r="I71" s="664">
        <f t="shared" si="0"/>
        <v>22550</v>
      </c>
      <c r="J71" s="661"/>
      <c r="K71">
        <f t="shared" si="2"/>
        <v>19167.5</v>
      </c>
    </row>
    <row r="72" spans="1:11" ht="18.75" customHeight="1">
      <c r="A72" s="661"/>
      <c r="B72" s="663" t="s">
        <v>7104</v>
      </c>
      <c r="C72" s="657" t="s">
        <v>7136</v>
      </c>
      <c r="D72" s="657" t="s">
        <v>7242</v>
      </c>
      <c r="E72" s="663" t="s">
        <v>7243</v>
      </c>
      <c r="F72" s="658">
        <v>0.1</v>
      </c>
      <c r="G72" s="658">
        <v>0</v>
      </c>
      <c r="H72" s="664">
        <v>24800</v>
      </c>
      <c r="I72" s="664">
        <f t="shared" si="0"/>
        <v>22550</v>
      </c>
      <c r="J72" s="661"/>
      <c r="K72">
        <f t="shared" si="2"/>
        <v>19167.5</v>
      </c>
    </row>
    <row r="73" spans="1:11" ht="18.75" customHeight="1">
      <c r="A73" s="661"/>
      <c r="B73" s="663" t="s">
        <v>7104</v>
      </c>
      <c r="C73" s="657" t="s">
        <v>7136</v>
      </c>
      <c r="D73" s="657" t="s">
        <v>7244</v>
      </c>
      <c r="E73" s="663" t="s">
        <v>7245</v>
      </c>
      <c r="F73" s="658">
        <v>0.1</v>
      </c>
      <c r="G73" s="658">
        <v>0</v>
      </c>
      <c r="H73" s="664">
        <v>27100</v>
      </c>
      <c r="I73" s="664">
        <f t="shared" si="0"/>
        <v>24640</v>
      </c>
      <c r="J73" s="661"/>
      <c r="K73">
        <f t="shared" si="2"/>
        <v>20944</v>
      </c>
    </row>
    <row r="74" spans="1:11" ht="18.75" customHeight="1">
      <c r="A74" s="661"/>
      <c r="B74" s="663" t="s">
        <v>7104</v>
      </c>
      <c r="C74" s="657" t="s">
        <v>7136</v>
      </c>
      <c r="D74" s="657" t="s">
        <v>7246</v>
      </c>
      <c r="E74" s="663" t="s">
        <v>7247</v>
      </c>
      <c r="F74" s="658">
        <v>0.1</v>
      </c>
      <c r="G74" s="658">
        <v>0</v>
      </c>
      <c r="H74" s="664">
        <v>29500</v>
      </c>
      <c r="I74" s="664">
        <f t="shared" si="0"/>
        <v>26820</v>
      </c>
      <c r="J74" s="661"/>
      <c r="K74">
        <f t="shared" si="2"/>
        <v>22797</v>
      </c>
    </row>
    <row r="75" spans="1:11" ht="18.75" customHeight="1">
      <c r="A75" s="661"/>
      <c r="B75" s="663" t="s">
        <v>7104</v>
      </c>
      <c r="C75" s="657" t="s">
        <v>7141</v>
      </c>
      <c r="D75" s="657" t="s">
        <v>7248</v>
      </c>
      <c r="E75" s="663" t="s">
        <v>7249</v>
      </c>
      <c r="F75" s="658">
        <v>0.1</v>
      </c>
      <c r="G75" s="658">
        <v>0</v>
      </c>
      <c r="H75" s="664">
        <v>33000</v>
      </c>
      <c r="I75" s="664">
        <f t="shared" si="0"/>
        <v>30000</v>
      </c>
      <c r="J75" s="661"/>
      <c r="K75">
        <f t="shared" si="2"/>
        <v>25500</v>
      </c>
    </row>
    <row r="76" spans="1:11" ht="18.75" customHeight="1">
      <c r="A76" s="661"/>
      <c r="B76" s="663" t="s">
        <v>7104</v>
      </c>
      <c r="C76" s="657" t="s">
        <v>7136</v>
      </c>
      <c r="D76" s="657" t="s">
        <v>7250</v>
      </c>
      <c r="E76" s="663" t="s">
        <v>7251</v>
      </c>
      <c r="F76" s="658">
        <v>0.1</v>
      </c>
      <c r="G76" s="658">
        <v>0</v>
      </c>
      <c r="H76" s="664">
        <v>34100</v>
      </c>
      <c r="I76" s="664">
        <f t="shared" si="0"/>
        <v>31000</v>
      </c>
      <c r="J76" s="661"/>
      <c r="K76">
        <f t="shared" si="2"/>
        <v>26350</v>
      </c>
    </row>
    <row r="77" spans="1:11" ht="18.75" customHeight="1">
      <c r="A77" s="661"/>
      <c r="B77" s="663" t="s">
        <v>7104</v>
      </c>
      <c r="C77" s="657" t="s">
        <v>7141</v>
      </c>
      <c r="D77" s="657" t="s">
        <v>7252</v>
      </c>
      <c r="E77" s="663" t="s">
        <v>7253</v>
      </c>
      <c r="F77" s="658">
        <v>0.1</v>
      </c>
      <c r="G77" s="658">
        <v>0</v>
      </c>
      <c r="H77" s="664">
        <v>37600</v>
      </c>
      <c r="I77" s="664">
        <f t="shared" si="0"/>
        <v>34180</v>
      </c>
      <c r="J77" s="661"/>
      <c r="K77">
        <f t="shared" si="2"/>
        <v>29053</v>
      </c>
    </row>
    <row r="78" spans="1:11" ht="18.75" customHeight="1">
      <c r="A78" s="661"/>
      <c r="B78" s="663" t="s">
        <v>7104</v>
      </c>
      <c r="C78" s="657" t="s">
        <v>7141</v>
      </c>
      <c r="D78" s="657" t="s">
        <v>7254</v>
      </c>
      <c r="E78" s="663" t="s">
        <v>7255</v>
      </c>
      <c r="F78" s="658">
        <v>0.1</v>
      </c>
      <c r="G78" s="658">
        <v>0</v>
      </c>
      <c r="H78" s="664">
        <v>37600</v>
      </c>
      <c r="I78" s="664">
        <f t="shared" si="0"/>
        <v>34180</v>
      </c>
      <c r="J78" s="661"/>
      <c r="K78">
        <f t="shared" si="2"/>
        <v>29053</v>
      </c>
    </row>
    <row r="79" spans="1:11" ht="18.75" customHeight="1">
      <c r="A79" s="661"/>
      <c r="B79" s="663" t="s">
        <v>7104</v>
      </c>
      <c r="C79" s="657" t="s">
        <v>7136</v>
      </c>
      <c r="D79" s="657" t="s">
        <v>7256</v>
      </c>
      <c r="E79" s="663" t="s">
        <v>7257</v>
      </c>
      <c r="F79" s="658">
        <v>0.1</v>
      </c>
      <c r="G79" s="658">
        <v>0</v>
      </c>
      <c r="H79" s="664">
        <v>40000</v>
      </c>
      <c r="I79" s="664">
        <f t="shared" si="0"/>
        <v>36360</v>
      </c>
      <c r="J79" s="661"/>
      <c r="K79">
        <f t="shared" si="2"/>
        <v>30906</v>
      </c>
    </row>
    <row r="80" spans="1:11" ht="18.75" customHeight="1">
      <c r="A80" s="661"/>
      <c r="B80" s="663" t="s">
        <v>7104</v>
      </c>
      <c r="C80" s="657" t="s">
        <v>7136</v>
      </c>
      <c r="D80" s="657" t="s">
        <v>7258</v>
      </c>
      <c r="E80" s="663" t="s">
        <v>7259</v>
      </c>
      <c r="F80" s="658">
        <v>0.1</v>
      </c>
      <c r="G80" s="658">
        <v>0</v>
      </c>
      <c r="H80" s="664">
        <v>47100</v>
      </c>
      <c r="I80" s="664">
        <f t="shared" si="0"/>
        <v>42820</v>
      </c>
      <c r="J80" s="661"/>
      <c r="K80">
        <f t="shared" si="2"/>
        <v>36397</v>
      </c>
    </row>
    <row r="81" spans="1:11" ht="18.75" customHeight="1">
      <c r="A81" s="661"/>
      <c r="B81" s="663" t="s">
        <v>7104</v>
      </c>
      <c r="C81" s="657" t="s">
        <v>7141</v>
      </c>
      <c r="D81" s="657" t="s">
        <v>7260</v>
      </c>
      <c r="E81" s="663" t="s">
        <v>7261</v>
      </c>
      <c r="F81" s="658">
        <v>0.1</v>
      </c>
      <c r="G81" s="658">
        <v>0</v>
      </c>
      <c r="H81" s="664">
        <v>49400</v>
      </c>
      <c r="I81" s="664">
        <f t="shared" si="0"/>
        <v>44910</v>
      </c>
      <c r="J81" s="661"/>
      <c r="K81">
        <f t="shared" si="2"/>
        <v>38173.5</v>
      </c>
    </row>
    <row r="82" spans="1:11" ht="18.75" customHeight="1">
      <c r="A82" s="661"/>
      <c r="B82" s="663" t="s">
        <v>7104</v>
      </c>
      <c r="C82" s="657" t="s">
        <v>7141</v>
      </c>
      <c r="D82" s="657" t="s">
        <v>7262</v>
      </c>
      <c r="E82" s="663" t="s">
        <v>7263</v>
      </c>
      <c r="F82" s="658">
        <v>0.1</v>
      </c>
      <c r="G82" s="658">
        <v>0</v>
      </c>
      <c r="H82" s="664">
        <v>53000</v>
      </c>
      <c r="I82" s="664">
        <f t="shared" si="0"/>
        <v>48180</v>
      </c>
      <c r="J82" s="661"/>
      <c r="K82">
        <f t="shared" si="2"/>
        <v>40953</v>
      </c>
    </row>
    <row r="83" spans="1:11" ht="18.75" customHeight="1">
      <c r="A83" s="661"/>
      <c r="B83" s="663" t="s">
        <v>7104</v>
      </c>
      <c r="C83" s="657" t="s">
        <v>7141</v>
      </c>
      <c r="D83" s="657" t="s">
        <v>7264</v>
      </c>
      <c r="E83" s="663" t="s">
        <v>7265</v>
      </c>
      <c r="F83" s="658">
        <v>0.1</v>
      </c>
      <c r="G83" s="658">
        <v>0</v>
      </c>
      <c r="H83" s="664"/>
      <c r="I83" s="664">
        <f t="shared" si="0"/>
        <v>0</v>
      </c>
      <c r="J83" s="661"/>
      <c r="K83">
        <f t="shared" si="2"/>
        <v>0</v>
      </c>
    </row>
    <row r="84" spans="1:11" ht="18.75" customHeight="1">
      <c r="A84" s="661"/>
      <c r="B84" s="663" t="s">
        <v>7104</v>
      </c>
      <c r="C84" s="657" t="s">
        <v>7136</v>
      </c>
      <c r="D84" s="657" t="s">
        <v>7266</v>
      </c>
      <c r="E84" s="663" t="s">
        <v>7267</v>
      </c>
      <c r="F84" s="658">
        <v>0.1</v>
      </c>
      <c r="G84" s="658">
        <v>0</v>
      </c>
      <c r="H84" s="664">
        <v>58900</v>
      </c>
      <c r="I84" s="664">
        <f t="shared" si="0"/>
        <v>53550</v>
      </c>
      <c r="J84" s="661"/>
      <c r="K84">
        <f t="shared" si="2"/>
        <v>45517.5</v>
      </c>
    </row>
    <row r="85" spans="1:11" ht="18.75" customHeight="1">
      <c r="A85" s="661"/>
      <c r="B85" s="663" t="s">
        <v>7104</v>
      </c>
      <c r="C85" s="657" t="s">
        <v>7136</v>
      </c>
      <c r="D85" s="657" t="s">
        <v>7268</v>
      </c>
      <c r="E85" s="663" t="s">
        <v>7269</v>
      </c>
      <c r="F85" s="658">
        <v>0.1</v>
      </c>
      <c r="G85" s="658">
        <v>0</v>
      </c>
      <c r="H85" s="664"/>
      <c r="I85" s="664">
        <f t="shared" si="0"/>
        <v>0</v>
      </c>
      <c r="J85" s="661"/>
      <c r="K85">
        <f t="shared" si="2"/>
        <v>0</v>
      </c>
    </row>
    <row r="86" spans="1:11" ht="18.75" customHeight="1">
      <c r="A86" s="661"/>
      <c r="B86" s="663" t="s">
        <v>7104</v>
      </c>
      <c r="C86" s="657" t="s">
        <v>7141</v>
      </c>
      <c r="D86" s="657" t="s">
        <v>7270</v>
      </c>
      <c r="E86" s="663" t="s">
        <v>7271</v>
      </c>
      <c r="F86" s="658">
        <v>0.1</v>
      </c>
      <c r="G86" s="658">
        <v>0</v>
      </c>
      <c r="H86" s="664">
        <v>68300</v>
      </c>
      <c r="I86" s="664">
        <f t="shared" si="0"/>
        <v>62090</v>
      </c>
      <c r="J86" s="661"/>
      <c r="K86">
        <f t="shared" si="2"/>
        <v>52776.5</v>
      </c>
    </row>
    <row r="87" spans="1:11" ht="18.75" customHeight="1">
      <c r="A87" s="661"/>
      <c r="B87" s="663" t="s">
        <v>7104</v>
      </c>
      <c r="C87" s="657" t="s">
        <v>7141</v>
      </c>
      <c r="D87" s="657" t="s">
        <v>7272</v>
      </c>
      <c r="E87" s="663" t="s">
        <v>7273</v>
      </c>
      <c r="F87" s="658">
        <v>0.1</v>
      </c>
      <c r="G87" s="658">
        <v>0</v>
      </c>
      <c r="H87" s="664">
        <v>75400</v>
      </c>
      <c r="I87" s="664">
        <f t="shared" si="0"/>
        <v>68550</v>
      </c>
      <c r="J87" s="661"/>
      <c r="K87">
        <f t="shared" si="2"/>
        <v>58267.5</v>
      </c>
    </row>
    <row r="88" spans="1:11" ht="18.75" customHeight="1">
      <c r="A88" s="661"/>
      <c r="B88" s="663" t="s">
        <v>7104</v>
      </c>
      <c r="C88" s="657" t="s">
        <v>7141</v>
      </c>
      <c r="D88" s="657" t="s">
        <v>7274</v>
      </c>
      <c r="E88" s="663" t="s">
        <v>7275</v>
      </c>
      <c r="F88" s="658">
        <v>0.1</v>
      </c>
      <c r="G88" s="658">
        <v>0</v>
      </c>
      <c r="H88" s="664">
        <v>75400</v>
      </c>
      <c r="I88" s="664">
        <f t="shared" si="0"/>
        <v>68550</v>
      </c>
      <c r="J88" s="661"/>
      <c r="K88">
        <f t="shared" si="2"/>
        <v>58267.5</v>
      </c>
    </row>
    <row r="89" spans="1:11" ht="18.75" customHeight="1">
      <c r="A89" s="661"/>
      <c r="B89" s="663" t="s">
        <v>7104</v>
      </c>
      <c r="C89" s="657" t="s">
        <v>7136</v>
      </c>
      <c r="D89" s="657" t="s">
        <v>7276</v>
      </c>
      <c r="E89" s="663" t="s">
        <v>7277</v>
      </c>
      <c r="F89" s="658">
        <v>0.1</v>
      </c>
      <c r="G89" s="658">
        <v>0</v>
      </c>
      <c r="H89" s="664">
        <v>76600</v>
      </c>
      <c r="I89" s="664">
        <f t="shared" si="0"/>
        <v>69640</v>
      </c>
      <c r="J89" s="661"/>
      <c r="K89">
        <f t="shared" si="2"/>
        <v>59194</v>
      </c>
    </row>
    <row r="90" spans="1:11" ht="18.75" customHeight="1">
      <c r="A90" s="661"/>
      <c r="B90" s="663" t="s">
        <v>7104</v>
      </c>
      <c r="C90" s="657" t="s">
        <v>7136</v>
      </c>
      <c r="D90" s="657" t="s">
        <v>7278</v>
      </c>
      <c r="E90" s="663" t="s">
        <v>7279</v>
      </c>
      <c r="F90" s="658">
        <v>0.1</v>
      </c>
      <c r="G90" s="658">
        <v>0</v>
      </c>
      <c r="H90" s="664">
        <v>76600</v>
      </c>
      <c r="I90" s="664">
        <f t="shared" si="0"/>
        <v>69640</v>
      </c>
      <c r="J90" s="661"/>
      <c r="K90">
        <f t="shared" si="2"/>
        <v>59194</v>
      </c>
    </row>
    <row r="91" spans="1:11" ht="18.75" customHeight="1">
      <c r="A91" s="661"/>
      <c r="B91" s="663" t="s">
        <v>7104</v>
      </c>
      <c r="C91" s="657" t="s">
        <v>7141</v>
      </c>
      <c r="D91" s="657" t="s">
        <v>7280</v>
      </c>
      <c r="E91" s="663" t="s">
        <v>7281</v>
      </c>
      <c r="F91" s="658">
        <v>0.1</v>
      </c>
      <c r="G91" s="658">
        <v>0</v>
      </c>
      <c r="H91" s="664">
        <v>80100</v>
      </c>
      <c r="I91" s="664">
        <f t="shared" si="0"/>
        <v>72820</v>
      </c>
      <c r="J91" s="661"/>
      <c r="K91">
        <f t="shared" si="2"/>
        <v>61897</v>
      </c>
    </row>
    <row r="92" spans="1:11" ht="18.75" customHeight="1">
      <c r="A92" s="661"/>
      <c r="B92" s="663" t="s">
        <v>7104</v>
      </c>
      <c r="C92" s="657" t="s">
        <v>7141</v>
      </c>
      <c r="D92" s="657" t="s">
        <v>7282</v>
      </c>
      <c r="E92" s="663" t="s">
        <v>7283</v>
      </c>
      <c r="F92" s="658">
        <v>0.1</v>
      </c>
      <c r="G92" s="658">
        <v>0</v>
      </c>
      <c r="H92" s="664">
        <v>89400</v>
      </c>
      <c r="I92" s="664">
        <f t="shared" si="0"/>
        <v>81270</v>
      </c>
      <c r="J92" s="661"/>
      <c r="K92">
        <f t="shared" si="2"/>
        <v>69079.5</v>
      </c>
    </row>
    <row r="93" spans="1:11" ht="18.75" customHeight="1">
      <c r="A93" s="661"/>
      <c r="B93" s="663" t="s">
        <v>7104</v>
      </c>
      <c r="C93" s="657" t="s">
        <v>7141</v>
      </c>
      <c r="D93" s="657" t="s">
        <v>7284</v>
      </c>
      <c r="E93" s="663" t="s">
        <v>7285</v>
      </c>
      <c r="F93" s="658">
        <v>0.1</v>
      </c>
      <c r="G93" s="658">
        <v>0</v>
      </c>
      <c r="H93" s="664">
        <v>167100</v>
      </c>
      <c r="I93" s="664">
        <f t="shared" si="0"/>
        <v>151910</v>
      </c>
      <c r="J93" s="661"/>
      <c r="K93">
        <f t="shared" si="2"/>
        <v>129123.5</v>
      </c>
    </row>
    <row r="94" spans="1:11" ht="18.75" customHeight="1">
      <c r="A94" s="661"/>
      <c r="B94" s="663" t="s">
        <v>7104</v>
      </c>
      <c r="C94" s="657" t="s">
        <v>7141</v>
      </c>
      <c r="D94" s="657" t="s">
        <v>7286</v>
      </c>
      <c r="E94" s="663" t="s">
        <v>7287</v>
      </c>
      <c r="F94" s="658">
        <v>0.1</v>
      </c>
      <c r="G94" s="658">
        <v>0</v>
      </c>
      <c r="H94" s="664">
        <v>171800</v>
      </c>
      <c r="I94" s="664">
        <f t="shared" si="0"/>
        <v>156180</v>
      </c>
      <c r="J94" s="661"/>
      <c r="K94">
        <f t="shared" si="2"/>
        <v>132753</v>
      </c>
    </row>
    <row r="95" spans="1:11" ht="18.75" customHeight="1">
      <c r="A95" s="661"/>
      <c r="B95" s="663" t="s">
        <v>7104</v>
      </c>
      <c r="C95" s="657" t="s">
        <v>7141</v>
      </c>
      <c r="D95" s="657" t="s">
        <v>7288</v>
      </c>
      <c r="E95" s="663" t="s">
        <v>7289</v>
      </c>
      <c r="F95" s="658">
        <v>0.1</v>
      </c>
      <c r="G95" s="658">
        <v>0</v>
      </c>
      <c r="H95" s="664">
        <v>176600</v>
      </c>
      <c r="I95" s="664">
        <f t="shared" si="0"/>
        <v>160550</v>
      </c>
      <c r="J95" s="661"/>
      <c r="K95">
        <f t="shared" si="2"/>
        <v>136467.5</v>
      </c>
    </row>
    <row r="96" spans="1:11" ht="18.75" customHeight="1">
      <c r="A96" s="661"/>
      <c r="B96" s="663" t="s">
        <v>7104</v>
      </c>
      <c r="C96" s="657" t="s">
        <v>7136</v>
      </c>
      <c r="D96" s="657" t="s">
        <v>7290</v>
      </c>
      <c r="E96" s="663" t="s">
        <v>7291</v>
      </c>
      <c r="F96" s="658">
        <v>0.1</v>
      </c>
      <c r="G96" s="658">
        <v>0</v>
      </c>
      <c r="H96" s="664">
        <v>184800</v>
      </c>
      <c r="I96" s="664">
        <f t="shared" si="0"/>
        <v>168000</v>
      </c>
      <c r="J96" s="661"/>
      <c r="K96">
        <f t="shared" si="2"/>
        <v>142800</v>
      </c>
    </row>
    <row r="97" spans="1:11" ht="18.75" customHeight="1">
      <c r="A97" s="661"/>
      <c r="B97" s="663" t="s">
        <v>7104</v>
      </c>
      <c r="C97" s="657" t="s">
        <v>7141</v>
      </c>
      <c r="D97" s="657" t="s">
        <v>7292</v>
      </c>
      <c r="E97" s="663" t="s">
        <v>7293</v>
      </c>
      <c r="F97" s="658">
        <v>0.1</v>
      </c>
      <c r="G97" s="658">
        <v>0</v>
      </c>
      <c r="H97" s="664">
        <v>203600</v>
      </c>
      <c r="I97" s="664">
        <f t="shared" si="0"/>
        <v>185090</v>
      </c>
      <c r="J97" s="661"/>
      <c r="K97">
        <f t="shared" si="2"/>
        <v>157326.5</v>
      </c>
    </row>
    <row r="98" spans="1:11" ht="18.75" customHeight="1">
      <c r="A98" s="661"/>
      <c r="B98" s="663" t="s">
        <v>7104</v>
      </c>
      <c r="C98" s="657" t="s">
        <v>7141</v>
      </c>
      <c r="D98" s="657" t="s">
        <v>7294</v>
      </c>
      <c r="E98" s="663" t="s">
        <v>7295</v>
      </c>
      <c r="F98" s="658">
        <v>0.1</v>
      </c>
      <c r="G98" s="658">
        <v>0</v>
      </c>
      <c r="H98" s="664">
        <v>208300</v>
      </c>
      <c r="I98" s="664">
        <f t="shared" si="0"/>
        <v>189360</v>
      </c>
      <c r="J98" s="661"/>
      <c r="K98">
        <f t="shared" si="2"/>
        <v>160956</v>
      </c>
    </row>
    <row r="99" spans="1:11" ht="18.75" customHeight="1">
      <c r="A99" s="661"/>
      <c r="B99" s="663" t="s">
        <v>7104</v>
      </c>
      <c r="C99" s="657" t="s">
        <v>7141</v>
      </c>
      <c r="D99" s="657" t="s">
        <v>7296</v>
      </c>
      <c r="E99" s="663" t="s">
        <v>7297</v>
      </c>
      <c r="F99" s="658">
        <v>0.1</v>
      </c>
      <c r="G99" s="658">
        <v>0</v>
      </c>
      <c r="H99" s="664">
        <v>213100</v>
      </c>
      <c r="I99" s="664">
        <f t="shared" si="0"/>
        <v>193730</v>
      </c>
      <c r="J99" s="661"/>
      <c r="K99">
        <f t="shared" si="2"/>
        <v>164670.5</v>
      </c>
    </row>
    <row r="100" spans="1:11" ht="18.75" customHeight="1">
      <c r="A100" s="661"/>
      <c r="B100" s="663" t="s">
        <v>7104</v>
      </c>
      <c r="C100" s="657" t="s">
        <v>7141</v>
      </c>
      <c r="D100" s="657" t="s">
        <v>7298</v>
      </c>
      <c r="E100" s="663" t="s">
        <v>7299</v>
      </c>
      <c r="F100" s="658">
        <v>0.1</v>
      </c>
      <c r="G100" s="658">
        <v>0</v>
      </c>
      <c r="H100" s="664">
        <v>222400</v>
      </c>
      <c r="I100" s="664">
        <f t="shared" si="0"/>
        <v>202180</v>
      </c>
      <c r="J100" s="661"/>
      <c r="K100">
        <f t="shared" si="2"/>
        <v>171853</v>
      </c>
    </row>
    <row r="101" spans="1:11" ht="18.75" customHeight="1">
      <c r="A101" s="661"/>
      <c r="B101" s="663" t="s">
        <v>7104</v>
      </c>
      <c r="C101" s="657" t="s">
        <v>7141</v>
      </c>
      <c r="D101" s="657" t="s">
        <v>7300</v>
      </c>
      <c r="E101" s="663" t="s">
        <v>7301</v>
      </c>
      <c r="F101" s="658">
        <v>0.1</v>
      </c>
      <c r="G101" s="658">
        <v>0</v>
      </c>
      <c r="H101" s="664"/>
      <c r="I101" s="664">
        <f t="shared" si="0"/>
        <v>0</v>
      </c>
      <c r="J101" s="661"/>
      <c r="K101">
        <f t="shared" si="2"/>
        <v>0</v>
      </c>
    </row>
    <row r="102" spans="1:11" ht="18.75" customHeight="1">
      <c r="A102" s="661"/>
      <c r="B102" s="663" t="s">
        <v>7104</v>
      </c>
      <c r="C102" s="657" t="s">
        <v>7141</v>
      </c>
      <c r="D102" s="657" t="s">
        <v>7302</v>
      </c>
      <c r="E102" s="663" t="s">
        <v>7303</v>
      </c>
      <c r="F102" s="658">
        <v>0.1</v>
      </c>
      <c r="G102" s="658">
        <v>0</v>
      </c>
      <c r="H102" s="664"/>
      <c r="I102" s="664">
        <f t="shared" si="0"/>
        <v>0</v>
      </c>
      <c r="J102" s="661"/>
      <c r="K102">
        <f t="shared" si="2"/>
        <v>0</v>
      </c>
    </row>
    <row r="103" spans="1:11" ht="18.75" customHeight="1">
      <c r="A103" s="661"/>
      <c r="B103" s="663" t="s">
        <v>7104</v>
      </c>
      <c r="C103" s="657" t="s">
        <v>7141</v>
      </c>
      <c r="D103" s="657" t="s">
        <v>7304</v>
      </c>
      <c r="E103" s="663" t="s">
        <v>7305</v>
      </c>
      <c r="F103" s="658">
        <v>0.1</v>
      </c>
      <c r="G103" s="658">
        <v>0</v>
      </c>
      <c r="H103" s="664"/>
      <c r="I103" s="664">
        <f t="shared" si="0"/>
        <v>0</v>
      </c>
      <c r="J103" s="661"/>
      <c r="K103">
        <f t="shared" si="2"/>
        <v>0</v>
      </c>
    </row>
    <row r="104" spans="1:11" ht="18.75" customHeight="1">
      <c r="A104" s="661"/>
      <c r="B104" s="663" t="s">
        <v>7104</v>
      </c>
      <c r="C104" s="657" t="s">
        <v>7105</v>
      </c>
      <c r="D104" s="657" t="s">
        <v>7306</v>
      </c>
      <c r="E104" s="663" t="s">
        <v>7307</v>
      </c>
      <c r="F104" s="658">
        <v>0.1</v>
      </c>
      <c r="G104" s="658">
        <v>0</v>
      </c>
      <c r="H104" s="664">
        <v>21230</v>
      </c>
      <c r="I104" s="664">
        <f t="shared" si="0"/>
        <v>19300</v>
      </c>
      <c r="J104" s="661"/>
      <c r="K104">
        <f t="shared" si="2"/>
        <v>16405</v>
      </c>
    </row>
    <row r="105" spans="1:11" ht="18.75" customHeight="1">
      <c r="A105" s="661"/>
      <c r="B105" s="663" t="s">
        <v>7104</v>
      </c>
      <c r="C105" s="657" t="s">
        <v>7105</v>
      </c>
      <c r="D105" s="657" t="s">
        <v>7308</v>
      </c>
      <c r="E105" s="663" t="s">
        <v>7309</v>
      </c>
      <c r="F105" s="658">
        <v>0.1</v>
      </c>
      <c r="G105" s="658">
        <v>0</v>
      </c>
      <c r="H105" s="664">
        <v>24750</v>
      </c>
      <c r="I105" s="664">
        <f t="shared" si="0"/>
        <v>22500</v>
      </c>
      <c r="J105" s="661"/>
      <c r="K105">
        <f t="shared" si="2"/>
        <v>19125</v>
      </c>
    </row>
    <row r="106" spans="1:11" ht="18.75" customHeight="1">
      <c r="A106" s="661"/>
      <c r="B106" s="663" t="s">
        <v>7104</v>
      </c>
      <c r="C106" s="657" t="s">
        <v>7105</v>
      </c>
      <c r="D106" s="657" t="s">
        <v>7310</v>
      </c>
      <c r="E106" s="663" t="s">
        <v>7311</v>
      </c>
      <c r="F106" s="658">
        <v>0.1</v>
      </c>
      <c r="G106" s="658">
        <v>0</v>
      </c>
      <c r="H106" s="664">
        <v>29480</v>
      </c>
      <c r="I106" s="664">
        <f t="shared" si="0"/>
        <v>26800</v>
      </c>
      <c r="J106" s="661"/>
      <c r="K106">
        <f t="shared" si="2"/>
        <v>22780</v>
      </c>
    </row>
    <row r="107" spans="1:11" ht="18.75" customHeight="1">
      <c r="A107" s="661"/>
      <c r="B107" s="663" t="s">
        <v>7104</v>
      </c>
      <c r="C107" s="657" t="s">
        <v>7105</v>
      </c>
      <c r="D107" s="657" t="s">
        <v>7312</v>
      </c>
      <c r="E107" s="663" t="s">
        <v>7313</v>
      </c>
      <c r="F107" s="658">
        <v>0.1</v>
      </c>
      <c r="G107" s="658">
        <v>0</v>
      </c>
      <c r="H107" s="664">
        <v>33000</v>
      </c>
      <c r="I107" s="664">
        <f t="shared" si="0"/>
        <v>30000</v>
      </c>
      <c r="J107" s="661"/>
      <c r="K107">
        <f t="shared" si="2"/>
        <v>25500</v>
      </c>
    </row>
    <row r="108" spans="1:11" ht="18.75" customHeight="1">
      <c r="A108" s="661"/>
      <c r="B108" s="663" t="s">
        <v>7104</v>
      </c>
      <c r="C108" s="657" t="s">
        <v>7105</v>
      </c>
      <c r="D108" s="657" t="s">
        <v>7314</v>
      </c>
      <c r="E108" s="663" t="s">
        <v>7315</v>
      </c>
      <c r="F108" s="658">
        <v>0.1</v>
      </c>
      <c r="G108" s="658">
        <v>0</v>
      </c>
      <c r="H108" s="664">
        <v>35310</v>
      </c>
      <c r="I108" s="664">
        <f t="shared" si="0"/>
        <v>32100</v>
      </c>
      <c r="J108" s="661"/>
      <c r="K108">
        <f t="shared" si="2"/>
        <v>27285</v>
      </c>
    </row>
    <row r="109" spans="1:11" ht="18.75" customHeight="1">
      <c r="A109" s="661"/>
      <c r="B109" s="663" t="s">
        <v>7104</v>
      </c>
      <c r="C109" s="657" t="s">
        <v>7136</v>
      </c>
      <c r="D109" s="657" t="s">
        <v>7316</v>
      </c>
      <c r="E109" s="663" t="s">
        <v>7317</v>
      </c>
      <c r="F109" s="658">
        <v>0.1</v>
      </c>
      <c r="G109" s="658">
        <v>0</v>
      </c>
      <c r="H109" s="664">
        <v>38800</v>
      </c>
      <c r="I109" s="664">
        <f t="shared" si="0"/>
        <v>35270</v>
      </c>
      <c r="J109" s="661"/>
      <c r="K109">
        <f t="shared" si="2"/>
        <v>29979.5</v>
      </c>
    </row>
    <row r="110" spans="1:11" ht="18.75" customHeight="1">
      <c r="A110" s="661"/>
      <c r="B110" s="663" t="s">
        <v>7104</v>
      </c>
      <c r="C110" s="657" t="s">
        <v>7105</v>
      </c>
      <c r="D110" s="657" t="s">
        <v>7318</v>
      </c>
      <c r="E110" s="663" t="s">
        <v>7319</v>
      </c>
      <c r="F110" s="658">
        <v>0.1</v>
      </c>
      <c r="G110" s="658">
        <v>0</v>
      </c>
      <c r="H110" s="664">
        <v>38800</v>
      </c>
      <c r="I110" s="664">
        <f t="shared" si="0"/>
        <v>35270</v>
      </c>
      <c r="J110" s="661"/>
      <c r="K110">
        <f t="shared" si="2"/>
        <v>29979.5</v>
      </c>
    </row>
    <row r="111" spans="1:11" ht="18.75" customHeight="1">
      <c r="A111" s="661"/>
      <c r="B111" s="663" t="s">
        <v>7104</v>
      </c>
      <c r="C111" s="657" t="s">
        <v>7136</v>
      </c>
      <c r="D111" s="657" t="s">
        <v>7320</v>
      </c>
      <c r="E111" s="663" t="s">
        <v>7321</v>
      </c>
      <c r="F111" s="658">
        <v>0.1</v>
      </c>
      <c r="G111" s="658">
        <v>0</v>
      </c>
      <c r="H111" s="664">
        <v>44770</v>
      </c>
      <c r="I111" s="664">
        <f t="shared" si="0"/>
        <v>40700</v>
      </c>
      <c r="J111" s="661"/>
      <c r="K111">
        <f t="shared" si="2"/>
        <v>34595</v>
      </c>
    </row>
    <row r="112" spans="1:11" ht="18.75" customHeight="1">
      <c r="A112" s="661"/>
      <c r="B112" s="663" t="s">
        <v>7104</v>
      </c>
      <c r="C112" s="657" t="s">
        <v>7136</v>
      </c>
      <c r="D112" s="657" t="s">
        <v>7322</v>
      </c>
      <c r="E112" s="663" t="s">
        <v>7323</v>
      </c>
      <c r="F112" s="658">
        <v>0.1</v>
      </c>
      <c r="G112" s="658">
        <v>0</v>
      </c>
      <c r="H112" s="664">
        <v>44770</v>
      </c>
      <c r="I112" s="664">
        <f t="shared" si="0"/>
        <v>40700</v>
      </c>
      <c r="J112" s="661"/>
      <c r="K112">
        <f t="shared" si="2"/>
        <v>34595</v>
      </c>
    </row>
    <row r="113" spans="1:11" ht="18.75" customHeight="1">
      <c r="A113" s="661"/>
      <c r="B113" s="663" t="s">
        <v>7104</v>
      </c>
      <c r="C113" s="657" t="s">
        <v>7136</v>
      </c>
      <c r="D113" s="657" t="s">
        <v>7324</v>
      </c>
      <c r="E113" s="663" t="s">
        <v>7325</v>
      </c>
      <c r="F113" s="658">
        <v>0.1</v>
      </c>
      <c r="G113" s="658">
        <v>0</v>
      </c>
      <c r="H113" s="664">
        <v>48290</v>
      </c>
      <c r="I113" s="664">
        <f t="shared" si="0"/>
        <v>43900</v>
      </c>
      <c r="J113" s="661"/>
      <c r="K113">
        <f t="shared" si="2"/>
        <v>37315</v>
      </c>
    </row>
    <row r="114" spans="1:11" ht="18.75" customHeight="1">
      <c r="A114" s="661"/>
      <c r="B114" s="663" t="s">
        <v>7104</v>
      </c>
      <c r="C114" s="657" t="s">
        <v>7141</v>
      </c>
      <c r="D114" s="657" t="s">
        <v>7326</v>
      </c>
      <c r="E114" s="663" t="s">
        <v>7327</v>
      </c>
      <c r="F114" s="658">
        <v>0.1</v>
      </c>
      <c r="G114" s="658">
        <v>0</v>
      </c>
      <c r="H114" s="664">
        <v>48290</v>
      </c>
      <c r="I114" s="664">
        <f t="shared" si="0"/>
        <v>43900</v>
      </c>
      <c r="J114" s="661"/>
      <c r="K114">
        <f t="shared" si="2"/>
        <v>37315</v>
      </c>
    </row>
    <row r="115" spans="1:11" ht="18.75" customHeight="1">
      <c r="A115" s="661"/>
      <c r="B115" s="663" t="s">
        <v>7104</v>
      </c>
      <c r="C115" s="657" t="s">
        <v>7136</v>
      </c>
      <c r="D115" s="657" t="s">
        <v>7328</v>
      </c>
      <c r="E115" s="663" t="s">
        <v>7329</v>
      </c>
      <c r="F115" s="658">
        <v>0.1</v>
      </c>
      <c r="G115" s="658">
        <v>0</v>
      </c>
      <c r="H115" s="664">
        <v>51800</v>
      </c>
      <c r="I115" s="664">
        <f t="shared" si="0"/>
        <v>47090</v>
      </c>
      <c r="J115" s="661"/>
      <c r="K115">
        <f t="shared" si="2"/>
        <v>40026.5</v>
      </c>
    </row>
    <row r="116" spans="1:11" ht="18.75" customHeight="1">
      <c r="A116" s="661"/>
      <c r="B116" s="663" t="s">
        <v>7104</v>
      </c>
      <c r="C116" s="657" t="s">
        <v>7136</v>
      </c>
      <c r="D116" s="657" t="s">
        <v>7330</v>
      </c>
      <c r="E116" s="663" t="s">
        <v>7331</v>
      </c>
      <c r="F116" s="658">
        <v>0.1</v>
      </c>
      <c r="G116" s="658">
        <v>0</v>
      </c>
      <c r="H116" s="664">
        <v>56500</v>
      </c>
      <c r="I116" s="664">
        <f t="shared" si="0"/>
        <v>51360</v>
      </c>
      <c r="J116" s="661"/>
      <c r="K116">
        <f t="shared" si="2"/>
        <v>43656</v>
      </c>
    </row>
    <row r="117" spans="1:11" ht="18.75" customHeight="1">
      <c r="A117" s="661"/>
      <c r="B117" s="663" t="s">
        <v>7104</v>
      </c>
      <c r="C117" s="657" t="s">
        <v>7136</v>
      </c>
      <c r="D117" s="657" t="s">
        <v>7332</v>
      </c>
      <c r="E117" s="663" t="s">
        <v>7333</v>
      </c>
      <c r="F117" s="658">
        <v>0.1</v>
      </c>
      <c r="G117" s="658">
        <v>0</v>
      </c>
      <c r="H117" s="664">
        <v>61200</v>
      </c>
      <c r="I117" s="664">
        <f t="shared" si="0"/>
        <v>55640</v>
      </c>
      <c r="J117" s="661"/>
      <c r="K117">
        <f t="shared" si="2"/>
        <v>47294</v>
      </c>
    </row>
    <row r="118" spans="1:11" ht="18.75" customHeight="1">
      <c r="A118" s="661"/>
      <c r="B118" s="663" t="s">
        <v>7104</v>
      </c>
      <c r="C118" s="657" t="s">
        <v>7136</v>
      </c>
      <c r="D118" s="657" t="s">
        <v>7334</v>
      </c>
      <c r="E118" s="663" t="s">
        <v>7335</v>
      </c>
      <c r="F118" s="658">
        <v>0.1</v>
      </c>
      <c r="G118" s="658">
        <v>0</v>
      </c>
      <c r="H118" s="664">
        <v>63600</v>
      </c>
      <c r="I118" s="664">
        <f t="shared" si="0"/>
        <v>57820</v>
      </c>
      <c r="J118" s="661"/>
      <c r="K118">
        <f t="shared" si="2"/>
        <v>49147</v>
      </c>
    </row>
    <row r="119" spans="1:11" ht="18.75" customHeight="1">
      <c r="A119" s="661"/>
      <c r="B119" s="663" t="s">
        <v>7104</v>
      </c>
      <c r="C119" s="657" t="s">
        <v>7136</v>
      </c>
      <c r="D119" s="657" t="s">
        <v>7336</v>
      </c>
      <c r="E119" s="663" t="s">
        <v>7337</v>
      </c>
      <c r="F119" s="658">
        <v>0.1</v>
      </c>
      <c r="G119" s="658">
        <v>0</v>
      </c>
      <c r="H119" s="664">
        <v>70600</v>
      </c>
      <c r="I119" s="664">
        <f t="shared" si="0"/>
        <v>64180</v>
      </c>
      <c r="J119" s="661"/>
      <c r="K119">
        <f t="shared" si="2"/>
        <v>54553</v>
      </c>
    </row>
    <row r="120" spans="1:11" ht="18.75" customHeight="1">
      <c r="A120" s="661"/>
      <c r="B120" s="663" t="s">
        <v>7104</v>
      </c>
      <c r="C120" s="657" t="s">
        <v>7141</v>
      </c>
      <c r="D120" s="657" t="s">
        <v>7338</v>
      </c>
      <c r="E120" s="663" t="s">
        <v>7339</v>
      </c>
      <c r="F120" s="658">
        <v>0.1</v>
      </c>
      <c r="G120" s="658">
        <v>0</v>
      </c>
      <c r="H120" s="664">
        <v>72900</v>
      </c>
      <c r="I120" s="664">
        <f t="shared" si="0"/>
        <v>66270</v>
      </c>
      <c r="J120" s="661"/>
      <c r="K120">
        <f t="shared" si="2"/>
        <v>56329.5</v>
      </c>
    </row>
    <row r="121" spans="1:11" ht="18.75" customHeight="1">
      <c r="A121" s="661"/>
      <c r="B121" s="663" t="s">
        <v>7104</v>
      </c>
      <c r="C121" s="657" t="s">
        <v>7136</v>
      </c>
      <c r="D121" s="657" t="s">
        <v>7340</v>
      </c>
      <c r="E121" s="663" t="s">
        <v>7341</v>
      </c>
      <c r="F121" s="658">
        <v>0.1</v>
      </c>
      <c r="G121" s="658">
        <v>0</v>
      </c>
      <c r="H121" s="664">
        <v>75400</v>
      </c>
      <c r="I121" s="664">
        <f t="shared" si="0"/>
        <v>68550</v>
      </c>
      <c r="J121" s="661"/>
      <c r="K121">
        <f t="shared" si="2"/>
        <v>58267.5</v>
      </c>
    </row>
    <row r="122" spans="1:11" ht="18.75" customHeight="1">
      <c r="A122" s="661"/>
      <c r="B122" s="663" t="s">
        <v>7104</v>
      </c>
      <c r="C122" s="657" t="s">
        <v>7136</v>
      </c>
      <c r="D122" s="657" t="s">
        <v>7342</v>
      </c>
      <c r="E122" s="663" t="s">
        <v>7343</v>
      </c>
      <c r="F122" s="658">
        <v>0.1</v>
      </c>
      <c r="G122" s="658">
        <v>0</v>
      </c>
      <c r="H122" s="664"/>
      <c r="I122" s="664">
        <f t="shared" si="0"/>
        <v>0</v>
      </c>
      <c r="J122" s="661"/>
      <c r="K122">
        <f t="shared" si="2"/>
        <v>0</v>
      </c>
    </row>
    <row r="123" spans="1:11" ht="18.75" customHeight="1">
      <c r="A123" s="661"/>
      <c r="B123" s="663" t="s">
        <v>7104</v>
      </c>
      <c r="C123" s="657" t="s">
        <v>7136</v>
      </c>
      <c r="D123" s="657" t="s">
        <v>7344</v>
      </c>
      <c r="E123" s="663" t="s">
        <v>7345</v>
      </c>
      <c r="F123" s="658">
        <v>0.1</v>
      </c>
      <c r="G123" s="658">
        <v>0</v>
      </c>
      <c r="H123" s="664">
        <v>113000</v>
      </c>
      <c r="I123" s="664">
        <f t="shared" si="0"/>
        <v>102730</v>
      </c>
      <c r="J123" s="661"/>
      <c r="K123">
        <f t="shared" si="2"/>
        <v>87320.5</v>
      </c>
    </row>
    <row r="124" spans="1:11" ht="18.75" customHeight="1">
      <c r="A124" s="661"/>
      <c r="B124" s="663" t="s">
        <v>7104</v>
      </c>
      <c r="C124" s="657" t="s">
        <v>7141</v>
      </c>
      <c r="D124" s="657" t="s">
        <v>7346</v>
      </c>
      <c r="E124" s="663" t="s">
        <v>7347</v>
      </c>
      <c r="F124" s="658">
        <v>0.1</v>
      </c>
      <c r="G124" s="658">
        <v>0</v>
      </c>
      <c r="H124" s="664"/>
      <c r="I124" s="664">
        <f t="shared" si="0"/>
        <v>0</v>
      </c>
      <c r="J124" s="661"/>
      <c r="K124">
        <f t="shared" si="2"/>
        <v>0</v>
      </c>
    </row>
    <row r="125" spans="1:11" ht="18.75" customHeight="1">
      <c r="A125" s="661"/>
      <c r="B125" s="663" t="s">
        <v>7104</v>
      </c>
      <c r="C125" s="657" t="s">
        <v>7141</v>
      </c>
      <c r="D125" s="657" t="s">
        <v>7348</v>
      </c>
      <c r="E125" s="663" t="s">
        <v>7349</v>
      </c>
      <c r="F125" s="658">
        <v>0.1</v>
      </c>
      <c r="G125" s="658">
        <v>0</v>
      </c>
      <c r="H125" s="664">
        <v>120000</v>
      </c>
      <c r="I125" s="664">
        <f t="shared" si="0"/>
        <v>109090</v>
      </c>
      <c r="J125" s="661"/>
      <c r="K125">
        <f t="shared" si="2"/>
        <v>92726.5</v>
      </c>
    </row>
    <row r="126" spans="1:11" ht="18.75" customHeight="1">
      <c r="A126" s="661"/>
      <c r="B126" s="663" t="s">
        <v>7104</v>
      </c>
      <c r="C126" s="657" t="s">
        <v>7141</v>
      </c>
      <c r="D126" s="657" t="s">
        <v>7350</v>
      </c>
      <c r="E126" s="663" t="s">
        <v>7351</v>
      </c>
      <c r="F126" s="658">
        <v>0.1</v>
      </c>
      <c r="G126" s="658">
        <v>0</v>
      </c>
      <c r="H126" s="664">
        <v>123600</v>
      </c>
      <c r="I126" s="664">
        <f t="shared" si="0"/>
        <v>112360</v>
      </c>
      <c r="J126" s="661"/>
      <c r="K126">
        <f t="shared" si="2"/>
        <v>95506</v>
      </c>
    </row>
    <row r="127" spans="1:11" ht="18.75" customHeight="1">
      <c r="A127" s="661"/>
      <c r="B127" s="663" t="s">
        <v>7104</v>
      </c>
      <c r="C127" s="657" t="s">
        <v>7141</v>
      </c>
      <c r="D127" s="657" t="s">
        <v>7352</v>
      </c>
      <c r="E127" s="663" t="s">
        <v>7353</v>
      </c>
      <c r="F127" s="658">
        <v>0.1</v>
      </c>
      <c r="G127" s="658">
        <v>0</v>
      </c>
      <c r="H127" s="664">
        <v>129500</v>
      </c>
      <c r="I127" s="664">
        <f t="shared" si="0"/>
        <v>117730</v>
      </c>
      <c r="J127" s="661"/>
      <c r="K127">
        <f t="shared" si="2"/>
        <v>100070.5</v>
      </c>
    </row>
    <row r="128" spans="1:11" ht="18.75" customHeight="1">
      <c r="A128" s="661"/>
      <c r="B128" s="663" t="s">
        <v>7104</v>
      </c>
      <c r="C128" s="657" t="s">
        <v>7141</v>
      </c>
      <c r="D128" s="657" t="s">
        <v>7354</v>
      </c>
      <c r="E128" s="663" t="s">
        <v>7355</v>
      </c>
      <c r="F128" s="658">
        <v>0.1</v>
      </c>
      <c r="G128" s="658">
        <v>0</v>
      </c>
      <c r="H128" s="664">
        <v>147200</v>
      </c>
      <c r="I128" s="664">
        <f t="shared" si="0"/>
        <v>133820</v>
      </c>
      <c r="J128" s="661"/>
      <c r="K128">
        <f t="shared" si="2"/>
        <v>113747</v>
      </c>
    </row>
    <row r="129" spans="1:11" ht="18.75" customHeight="1">
      <c r="A129" s="661"/>
      <c r="B129" s="663" t="s">
        <v>7104</v>
      </c>
      <c r="C129" s="657" t="s">
        <v>7141</v>
      </c>
      <c r="D129" s="657" t="s">
        <v>7356</v>
      </c>
      <c r="E129" s="663" t="s">
        <v>7357</v>
      </c>
      <c r="F129" s="658">
        <v>0.1</v>
      </c>
      <c r="G129" s="658">
        <v>0</v>
      </c>
      <c r="H129" s="664">
        <v>159000</v>
      </c>
      <c r="I129" s="664">
        <f t="shared" si="0"/>
        <v>144550</v>
      </c>
      <c r="J129" s="661"/>
      <c r="K129">
        <f t="shared" si="2"/>
        <v>122867.5</v>
      </c>
    </row>
    <row r="130" spans="1:11" ht="18.75" customHeight="1">
      <c r="A130" s="661"/>
      <c r="B130" s="663" t="s">
        <v>7104</v>
      </c>
      <c r="C130" s="657" t="s">
        <v>7141</v>
      </c>
      <c r="D130" s="657" t="s">
        <v>7358</v>
      </c>
      <c r="E130" s="663" t="s">
        <v>7359</v>
      </c>
      <c r="F130" s="658">
        <v>0.1</v>
      </c>
      <c r="G130" s="658">
        <v>0</v>
      </c>
      <c r="H130" s="664">
        <v>261300</v>
      </c>
      <c r="I130" s="664">
        <f t="shared" si="0"/>
        <v>237550</v>
      </c>
      <c r="J130" s="661"/>
      <c r="K130">
        <f t="shared" si="2"/>
        <v>201917.5</v>
      </c>
    </row>
    <row r="131" spans="1:11" ht="18.75" customHeight="1">
      <c r="A131" s="661"/>
      <c r="B131" s="663" t="s">
        <v>7104</v>
      </c>
      <c r="C131" s="657" t="s">
        <v>7141</v>
      </c>
      <c r="D131" s="657" t="s">
        <v>7360</v>
      </c>
      <c r="E131" s="663" t="s">
        <v>7361</v>
      </c>
      <c r="F131" s="658">
        <v>0.1</v>
      </c>
      <c r="G131" s="658">
        <v>0</v>
      </c>
      <c r="H131" s="664">
        <v>268400</v>
      </c>
      <c r="I131" s="664">
        <f t="shared" si="0"/>
        <v>244000</v>
      </c>
      <c r="J131" s="661"/>
      <c r="K131">
        <f t="shared" si="2"/>
        <v>207400</v>
      </c>
    </row>
    <row r="132" spans="1:11" ht="18.75" customHeight="1">
      <c r="A132" s="661"/>
      <c r="B132" s="663" t="s">
        <v>7104</v>
      </c>
      <c r="C132" s="657" t="s">
        <v>7141</v>
      </c>
      <c r="D132" s="657" t="s">
        <v>7362</v>
      </c>
      <c r="E132" s="663" t="s">
        <v>7363</v>
      </c>
      <c r="F132" s="658">
        <v>0.1</v>
      </c>
      <c r="G132" s="658">
        <v>0</v>
      </c>
      <c r="H132" s="664">
        <v>275400</v>
      </c>
      <c r="I132" s="664">
        <f t="shared" si="0"/>
        <v>250360</v>
      </c>
      <c r="J132" s="661"/>
      <c r="K132">
        <f t="shared" si="2"/>
        <v>212806</v>
      </c>
    </row>
    <row r="133" spans="1:11" ht="18.75" customHeight="1">
      <c r="A133" s="661"/>
      <c r="B133" s="663" t="s">
        <v>7104</v>
      </c>
      <c r="C133" s="657" t="s">
        <v>7141</v>
      </c>
      <c r="D133" s="657" t="s">
        <v>7364</v>
      </c>
      <c r="E133" s="663" t="s">
        <v>7365</v>
      </c>
      <c r="F133" s="658">
        <v>0.1</v>
      </c>
      <c r="G133" s="658">
        <v>0</v>
      </c>
      <c r="H133" s="664">
        <v>295500</v>
      </c>
      <c r="I133" s="664">
        <f t="shared" si="0"/>
        <v>268640</v>
      </c>
      <c r="J133" s="661"/>
      <c r="K133">
        <f t="shared" si="2"/>
        <v>228344</v>
      </c>
    </row>
    <row r="134" spans="1:11" ht="18.75" customHeight="1">
      <c r="A134" s="661"/>
      <c r="B134" s="663" t="s">
        <v>7104</v>
      </c>
      <c r="C134" s="657" t="s">
        <v>7141</v>
      </c>
      <c r="D134" s="657" t="s">
        <v>7366</v>
      </c>
      <c r="E134" s="663" t="s">
        <v>7367</v>
      </c>
      <c r="F134" s="658">
        <v>0.1</v>
      </c>
      <c r="G134" s="658">
        <v>0</v>
      </c>
      <c r="H134" s="664">
        <v>316600</v>
      </c>
      <c r="I134" s="664">
        <f t="shared" si="0"/>
        <v>287820</v>
      </c>
      <c r="J134" s="661"/>
      <c r="K134">
        <f t="shared" ref="K134:K197" si="3">+I134*(1+$K$4)</f>
        <v>244647</v>
      </c>
    </row>
    <row r="135" spans="1:11" ht="18.75" customHeight="1">
      <c r="A135" s="661"/>
      <c r="B135" s="663" t="s">
        <v>7104</v>
      </c>
      <c r="C135" s="657" t="s">
        <v>7141</v>
      </c>
      <c r="D135" s="657" t="s">
        <v>7368</v>
      </c>
      <c r="E135" s="663" t="s">
        <v>7369</v>
      </c>
      <c r="F135" s="658">
        <v>0.1</v>
      </c>
      <c r="G135" s="658">
        <v>0</v>
      </c>
      <c r="H135" s="664">
        <v>322500</v>
      </c>
      <c r="I135" s="664">
        <f t="shared" si="0"/>
        <v>293180</v>
      </c>
      <c r="J135" s="661"/>
      <c r="K135">
        <f t="shared" si="3"/>
        <v>249203</v>
      </c>
    </row>
    <row r="136" spans="1:11" ht="18.75" customHeight="1">
      <c r="A136" s="661"/>
      <c r="B136" s="663" t="s">
        <v>7104</v>
      </c>
      <c r="C136" s="657" t="s">
        <v>7141</v>
      </c>
      <c r="D136" s="657" t="s">
        <v>7370</v>
      </c>
      <c r="E136" s="663" t="s">
        <v>7371</v>
      </c>
      <c r="F136" s="658">
        <v>0.1</v>
      </c>
      <c r="G136" s="658">
        <v>0</v>
      </c>
      <c r="H136" s="664">
        <v>322500</v>
      </c>
      <c r="I136" s="664">
        <f t="shared" si="0"/>
        <v>293180</v>
      </c>
      <c r="J136" s="661"/>
      <c r="K136">
        <f t="shared" si="3"/>
        <v>249203</v>
      </c>
    </row>
    <row r="137" spans="1:11" ht="18.75" customHeight="1">
      <c r="A137" s="661"/>
      <c r="B137" s="663" t="s">
        <v>7104</v>
      </c>
      <c r="C137" s="657" t="s">
        <v>7141</v>
      </c>
      <c r="D137" s="657" t="s">
        <v>7372</v>
      </c>
      <c r="E137" s="663" t="s">
        <v>7373</v>
      </c>
      <c r="F137" s="658">
        <v>0.1</v>
      </c>
      <c r="G137" s="658">
        <v>0</v>
      </c>
      <c r="H137" s="664">
        <v>343600</v>
      </c>
      <c r="I137" s="664">
        <f t="shared" si="0"/>
        <v>312360</v>
      </c>
      <c r="J137" s="661"/>
      <c r="K137">
        <f t="shared" si="3"/>
        <v>265506</v>
      </c>
    </row>
    <row r="138" spans="1:11" ht="18.75" customHeight="1">
      <c r="A138" s="661"/>
      <c r="B138" s="663" t="s">
        <v>7104</v>
      </c>
      <c r="C138" s="657" t="s">
        <v>7141</v>
      </c>
      <c r="D138" s="657" t="s">
        <v>7374</v>
      </c>
      <c r="E138" s="663" t="s">
        <v>7375</v>
      </c>
      <c r="F138" s="658">
        <v>0.1</v>
      </c>
      <c r="G138" s="658">
        <v>0</v>
      </c>
      <c r="H138" s="664">
        <v>370800</v>
      </c>
      <c r="I138" s="664">
        <f t="shared" si="0"/>
        <v>337090</v>
      </c>
      <c r="J138" s="661"/>
      <c r="K138">
        <f t="shared" si="3"/>
        <v>286526.5</v>
      </c>
    </row>
    <row r="139" spans="1:11" ht="18.75" customHeight="1">
      <c r="A139" s="661"/>
      <c r="B139" s="663" t="s">
        <v>7104</v>
      </c>
      <c r="C139" s="657" t="s">
        <v>7141</v>
      </c>
      <c r="D139" s="657" t="s">
        <v>7376</v>
      </c>
      <c r="E139" s="663" t="s">
        <v>7377</v>
      </c>
      <c r="F139" s="658">
        <v>0.1</v>
      </c>
      <c r="G139" s="658">
        <v>0</v>
      </c>
      <c r="H139" s="664"/>
      <c r="I139" s="664">
        <f t="shared" si="0"/>
        <v>0</v>
      </c>
      <c r="J139" s="661"/>
      <c r="K139">
        <f t="shared" si="3"/>
        <v>0</v>
      </c>
    </row>
    <row r="140" spans="1:11" ht="18.75" customHeight="1">
      <c r="A140" s="661"/>
      <c r="B140" s="663" t="s">
        <v>7104</v>
      </c>
      <c r="C140" s="657" t="s">
        <v>7141</v>
      </c>
      <c r="D140" s="657" t="s">
        <v>7378</v>
      </c>
      <c r="E140" s="663" t="s">
        <v>7379</v>
      </c>
      <c r="F140" s="658">
        <v>0.1</v>
      </c>
      <c r="G140" s="658">
        <v>0</v>
      </c>
      <c r="H140" s="664"/>
      <c r="I140" s="664">
        <f t="shared" si="0"/>
        <v>0</v>
      </c>
      <c r="J140" s="661"/>
      <c r="K140">
        <f t="shared" si="3"/>
        <v>0</v>
      </c>
    </row>
    <row r="141" spans="1:11" ht="18.75" customHeight="1">
      <c r="A141" s="661"/>
      <c r="B141" s="663" t="s">
        <v>7104</v>
      </c>
      <c r="C141" s="657" t="s">
        <v>7141</v>
      </c>
      <c r="D141" s="657" t="s">
        <v>7380</v>
      </c>
      <c r="E141" s="663" t="s">
        <v>7381</v>
      </c>
      <c r="F141" s="658">
        <v>0.1</v>
      </c>
      <c r="G141" s="658">
        <v>0</v>
      </c>
      <c r="H141" s="664">
        <v>35300</v>
      </c>
      <c r="I141" s="664">
        <f t="shared" si="0"/>
        <v>32090</v>
      </c>
      <c r="J141" s="661"/>
      <c r="K141">
        <f t="shared" si="3"/>
        <v>27276.5</v>
      </c>
    </row>
    <row r="142" spans="1:11" ht="18.75" customHeight="1">
      <c r="A142" s="661"/>
      <c r="B142" s="663" t="s">
        <v>7104</v>
      </c>
      <c r="C142" s="657" t="s">
        <v>7141</v>
      </c>
      <c r="D142" s="657" t="s">
        <v>7382</v>
      </c>
      <c r="E142" s="663" t="s">
        <v>7383</v>
      </c>
      <c r="F142" s="658">
        <v>0.1</v>
      </c>
      <c r="G142" s="658">
        <v>0</v>
      </c>
      <c r="H142" s="664">
        <v>35300</v>
      </c>
      <c r="I142" s="664">
        <f t="shared" si="0"/>
        <v>32090</v>
      </c>
      <c r="J142" s="661"/>
      <c r="K142">
        <f t="shared" si="3"/>
        <v>27276.5</v>
      </c>
    </row>
    <row r="143" spans="1:11" ht="18.75" customHeight="1">
      <c r="A143" s="661"/>
      <c r="B143" s="663" t="s">
        <v>7104</v>
      </c>
      <c r="C143" s="657" t="s">
        <v>7141</v>
      </c>
      <c r="D143" s="657" t="s">
        <v>7384</v>
      </c>
      <c r="E143" s="663" t="s">
        <v>7385</v>
      </c>
      <c r="F143" s="658">
        <v>0.1</v>
      </c>
      <c r="G143" s="658">
        <v>0</v>
      </c>
      <c r="H143" s="664">
        <v>37600</v>
      </c>
      <c r="I143" s="664">
        <f t="shared" si="0"/>
        <v>34180</v>
      </c>
      <c r="J143" s="661"/>
      <c r="K143">
        <f t="shared" si="3"/>
        <v>29053</v>
      </c>
    </row>
    <row r="144" spans="1:11" ht="18.75" customHeight="1">
      <c r="A144" s="661"/>
      <c r="B144" s="663" t="s">
        <v>7104</v>
      </c>
      <c r="C144" s="657" t="s">
        <v>7136</v>
      </c>
      <c r="D144" s="657" t="s">
        <v>7386</v>
      </c>
      <c r="E144" s="663" t="s">
        <v>7387</v>
      </c>
      <c r="F144" s="658">
        <v>0.1</v>
      </c>
      <c r="G144" s="658">
        <v>0</v>
      </c>
      <c r="H144" s="664">
        <v>44800</v>
      </c>
      <c r="I144" s="664">
        <f t="shared" si="0"/>
        <v>40730</v>
      </c>
      <c r="J144" s="661"/>
      <c r="K144">
        <f t="shared" si="3"/>
        <v>34620.5</v>
      </c>
    </row>
    <row r="145" spans="1:11" ht="18.75" customHeight="1">
      <c r="A145" s="661"/>
      <c r="B145" s="663" t="s">
        <v>7104</v>
      </c>
      <c r="C145" s="657" t="s">
        <v>7136</v>
      </c>
      <c r="D145" s="657" t="s">
        <v>7388</v>
      </c>
      <c r="E145" s="663" t="s">
        <v>7389</v>
      </c>
      <c r="F145" s="658">
        <v>0.1</v>
      </c>
      <c r="G145" s="658">
        <v>0</v>
      </c>
      <c r="H145" s="664">
        <v>44800</v>
      </c>
      <c r="I145" s="664">
        <f t="shared" si="0"/>
        <v>40730</v>
      </c>
      <c r="J145" s="661"/>
      <c r="K145">
        <f t="shared" si="3"/>
        <v>34620.5</v>
      </c>
    </row>
    <row r="146" spans="1:11" ht="18.75" customHeight="1">
      <c r="A146" s="661"/>
      <c r="B146" s="663" t="s">
        <v>7104</v>
      </c>
      <c r="C146" s="657" t="s">
        <v>7136</v>
      </c>
      <c r="D146" s="657" t="s">
        <v>7390</v>
      </c>
      <c r="E146" s="663" t="s">
        <v>7391</v>
      </c>
      <c r="F146" s="658">
        <v>0.1</v>
      </c>
      <c r="G146" s="658">
        <v>0</v>
      </c>
      <c r="H146" s="664">
        <v>54100</v>
      </c>
      <c r="I146" s="664">
        <f t="shared" si="0"/>
        <v>49180</v>
      </c>
      <c r="J146" s="661"/>
      <c r="K146">
        <f t="shared" si="3"/>
        <v>41803</v>
      </c>
    </row>
    <row r="147" spans="1:11" ht="18.75" customHeight="1">
      <c r="A147" s="661"/>
      <c r="B147" s="663" t="s">
        <v>7104</v>
      </c>
      <c r="C147" s="657" t="s">
        <v>7136</v>
      </c>
      <c r="D147" s="657" t="s">
        <v>7392</v>
      </c>
      <c r="E147" s="663" t="s">
        <v>7393</v>
      </c>
      <c r="F147" s="658">
        <v>0.1</v>
      </c>
      <c r="G147" s="658">
        <v>0</v>
      </c>
      <c r="H147" s="664">
        <v>54100</v>
      </c>
      <c r="I147" s="664">
        <f t="shared" si="0"/>
        <v>49180</v>
      </c>
      <c r="J147" s="661"/>
      <c r="K147">
        <f t="shared" si="3"/>
        <v>41803</v>
      </c>
    </row>
    <row r="148" spans="1:11" ht="18.75" customHeight="1">
      <c r="A148" s="661"/>
      <c r="B148" s="663" t="s">
        <v>7104</v>
      </c>
      <c r="C148" s="657" t="s">
        <v>7136</v>
      </c>
      <c r="D148" s="657" t="s">
        <v>7394</v>
      </c>
      <c r="E148" s="663" t="s">
        <v>7395</v>
      </c>
      <c r="F148" s="658">
        <v>0.1</v>
      </c>
      <c r="G148" s="658">
        <v>0</v>
      </c>
      <c r="H148" s="664">
        <v>58900</v>
      </c>
      <c r="I148" s="664">
        <f t="shared" si="0"/>
        <v>53550</v>
      </c>
      <c r="J148" s="661"/>
      <c r="K148">
        <f t="shared" si="3"/>
        <v>45517.5</v>
      </c>
    </row>
    <row r="149" spans="1:11" ht="18.75" customHeight="1">
      <c r="A149" s="661"/>
      <c r="B149" s="663" t="s">
        <v>7104</v>
      </c>
      <c r="C149" s="657" t="s">
        <v>7136</v>
      </c>
      <c r="D149" s="657" t="s">
        <v>7396</v>
      </c>
      <c r="E149" s="663" t="s">
        <v>7397</v>
      </c>
      <c r="F149" s="658">
        <v>0.1</v>
      </c>
      <c r="G149" s="658">
        <v>0</v>
      </c>
      <c r="H149" s="664">
        <v>64800</v>
      </c>
      <c r="I149" s="664">
        <f t="shared" si="0"/>
        <v>58910</v>
      </c>
      <c r="J149" s="661"/>
      <c r="K149">
        <f t="shared" si="3"/>
        <v>50073.5</v>
      </c>
    </row>
    <row r="150" spans="1:11" ht="18.75" customHeight="1">
      <c r="A150" s="661"/>
      <c r="B150" s="663" t="s">
        <v>7104</v>
      </c>
      <c r="C150" s="657" t="s">
        <v>7136</v>
      </c>
      <c r="D150" s="657" t="s">
        <v>7398</v>
      </c>
      <c r="E150" s="663" t="s">
        <v>7399</v>
      </c>
      <c r="F150" s="658">
        <v>0.1</v>
      </c>
      <c r="G150" s="658">
        <v>0</v>
      </c>
      <c r="H150" s="664">
        <v>68300</v>
      </c>
      <c r="I150" s="664">
        <f t="shared" si="0"/>
        <v>62090</v>
      </c>
      <c r="J150" s="661"/>
      <c r="K150">
        <f t="shared" si="3"/>
        <v>52776.5</v>
      </c>
    </row>
    <row r="151" spans="1:11" ht="18.75" customHeight="1">
      <c r="A151" s="661"/>
      <c r="B151" s="663" t="s">
        <v>7104</v>
      </c>
      <c r="C151" s="657" t="s">
        <v>7136</v>
      </c>
      <c r="D151" s="657" t="s">
        <v>7400</v>
      </c>
      <c r="E151" s="663" t="s">
        <v>7401</v>
      </c>
      <c r="F151" s="658">
        <v>0.1</v>
      </c>
      <c r="G151" s="658">
        <v>0</v>
      </c>
      <c r="H151" s="664">
        <v>68300</v>
      </c>
      <c r="I151" s="664">
        <f t="shared" si="0"/>
        <v>62090</v>
      </c>
      <c r="J151" s="661"/>
      <c r="K151">
        <f t="shared" si="3"/>
        <v>52776.5</v>
      </c>
    </row>
    <row r="152" spans="1:11" ht="18.75" customHeight="1">
      <c r="A152" s="661"/>
      <c r="B152" s="663" t="s">
        <v>7104</v>
      </c>
      <c r="C152" s="657" t="s">
        <v>7136</v>
      </c>
      <c r="D152" s="657" t="s">
        <v>7402</v>
      </c>
      <c r="E152" s="663" t="s">
        <v>7403</v>
      </c>
      <c r="F152" s="658">
        <v>0.1</v>
      </c>
      <c r="G152" s="658">
        <v>0</v>
      </c>
      <c r="H152" s="664">
        <v>70600</v>
      </c>
      <c r="I152" s="664">
        <f t="shared" si="0"/>
        <v>64180</v>
      </c>
      <c r="J152" s="661"/>
      <c r="K152">
        <f t="shared" si="3"/>
        <v>54553</v>
      </c>
    </row>
    <row r="153" spans="1:11" ht="18.75" customHeight="1">
      <c r="A153" s="661"/>
      <c r="B153" s="663" t="s">
        <v>7104</v>
      </c>
      <c r="C153" s="657" t="s">
        <v>7136</v>
      </c>
      <c r="D153" s="657" t="s">
        <v>7404</v>
      </c>
      <c r="E153" s="663" t="s">
        <v>7405</v>
      </c>
      <c r="F153" s="658">
        <v>0.1</v>
      </c>
      <c r="G153" s="658">
        <v>0</v>
      </c>
      <c r="H153" s="664">
        <v>80100</v>
      </c>
      <c r="I153" s="664">
        <f t="shared" si="0"/>
        <v>72820</v>
      </c>
      <c r="J153" s="661"/>
      <c r="K153">
        <f t="shared" si="3"/>
        <v>61897</v>
      </c>
    </row>
    <row r="154" spans="1:11" ht="18.75" customHeight="1">
      <c r="A154" s="661"/>
      <c r="B154" s="663" t="s">
        <v>7104</v>
      </c>
      <c r="C154" s="657" t="s">
        <v>7136</v>
      </c>
      <c r="D154" s="657" t="s">
        <v>7406</v>
      </c>
      <c r="E154" s="663" t="s">
        <v>7407</v>
      </c>
      <c r="F154" s="658">
        <v>0.1</v>
      </c>
      <c r="G154" s="658">
        <v>0</v>
      </c>
      <c r="H154" s="664">
        <v>80100</v>
      </c>
      <c r="I154" s="664">
        <f t="shared" si="0"/>
        <v>72820</v>
      </c>
      <c r="J154" s="661"/>
      <c r="K154">
        <f t="shared" si="3"/>
        <v>61897</v>
      </c>
    </row>
    <row r="155" spans="1:11" ht="18.75" customHeight="1">
      <c r="A155" s="661"/>
      <c r="B155" s="663" t="s">
        <v>7104</v>
      </c>
      <c r="C155" s="657" t="s">
        <v>7136</v>
      </c>
      <c r="D155" s="657" t="s">
        <v>7408</v>
      </c>
      <c r="E155" s="663" t="s">
        <v>7409</v>
      </c>
      <c r="F155" s="658">
        <v>0.1</v>
      </c>
      <c r="G155" s="658">
        <v>0</v>
      </c>
      <c r="H155" s="664">
        <v>83600</v>
      </c>
      <c r="I155" s="664">
        <f t="shared" si="0"/>
        <v>76000</v>
      </c>
      <c r="J155" s="661"/>
      <c r="K155">
        <f t="shared" si="3"/>
        <v>64600</v>
      </c>
    </row>
    <row r="156" spans="1:11" ht="18.75" customHeight="1">
      <c r="A156" s="661"/>
      <c r="B156" s="663" t="s">
        <v>7104</v>
      </c>
      <c r="C156" s="657" t="s">
        <v>7136</v>
      </c>
      <c r="D156" s="657" t="s">
        <v>7410</v>
      </c>
      <c r="E156" s="663" t="s">
        <v>7411</v>
      </c>
      <c r="F156" s="658">
        <v>0.1</v>
      </c>
      <c r="G156" s="658">
        <v>0</v>
      </c>
      <c r="H156" s="664">
        <v>89400</v>
      </c>
      <c r="I156" s="664">
        <f t="shared" si="0"/>
        <v>81270</v>
      </c>
      <c r="J156" s="661"/>
      <c r="K156">
        <f t="shared" si="3"/>
        <v>69079.5</v>
      </c>
    </row>
    <row r="157" spans="1:11" ht="18.75" customHeight="1">
      <c r="A157" s="661"/>
      <c r="B157" s="663" t="s">
        <v>7104</v>
      </c>
      <c r="C157" s="657" t="s">
        <v>7136</v>
      </c>
      <c r="D157" s="657" t="s">
        <v>7412</v>
      </c>
      <c r="E157" s="663" t="s">
        <v>7413</v>
      </c>
      <c r="F157" s="658">
        <v>0.1</v>
      </c>
      <c r="G157" s="658">
        <v>0</v>
      </c>
      <c r="H157" s="664">
        <v>93000</v>
      </c>
      <c r="I157" s="664">
        <f t="shared" si="0"/>
        <v>84550</v>
      </c>
      <c r="J157" s="661"/>
      <c r="K157">
        <f t="shared" si="3"/>
        <v>71867.5</v>
      </c>
    </row>
    <row r="158" spans="1:11" ht="18.75" customHeight="1">
      <c r="A158" s="661"/>
      <c r="B158" s="663" t="s">
        <v>7104</v>
      </c>
      <c r="C158" s="657" t="s">
        <v>7136</v>
      </c>
      <c r="D158" s="657" t="s">
        <v>7414</v>
      </c>
      <c r="E158" s="663" t="s">
        <v>7415</v>
      </c>
      <c r="F158" s="658">
        <v>0.1</v>
      </c>
      <c r="G158" s="658">
        <v>0</v>
      </c>
      <c r="H158" s="664">
        <v>105900</v>
      </c>
      <c r="I158" s="664">
        <f t="shared" si="0"/>
        <v>96270</v>
      </c>
      <c r="J158" s="661"/>
      <c r="K158">
        <f t="shared" si="3"/>
        <v>81829.5</v>
      </c>
    </row>
    <row r="159" spans="1:11" ht="18.75" customHeight="1">
      <c r="A159" s="661"/>
      <c r="B159" s="663" t="s">
        <v>7104</v>
      </c>
      <c r="C159" s="657" t="s">
        <v>7141</v>
      </c>
      <c r="D159" s="657" t="s">
        <v>7416</v>
      </c>
      <c r="E159" s="663" t="s">
        <v>7417</v>
      </c>
      <c r="F159" s="658">
        <v>0.1</v>
      </c>
      <c r="G159" s="658">
        <v>0</v>
      </c>
      <c r="H159" s="664">
        <v>117700</v>
      </c>
      <c r="I159" s="664">
        <f t="shared" si="0"/>
        <v>107000</v>
      </c>
      <c r="J159" s="661"/>
      <c r="K159">
        <f t="shared" si="3"/>
        <v>90950</v>
      </c>
    </row>
    <row r="160" spans="1:11" ht="18.75" customHeight="1">
      <c r="A160" s="661"/>
      <c r="B160" s="663" t="s">
        <v>7104</v>
      </c>
      <c r="C160" s="657" t="s">
        <v>7136</v>
      </c>
      <c r="D160" s="657" t="s">
        <v>7418</v>
      </c>
      <c r="E160" s="663" t="s">
        <v>7419</v>
      </c>
      <c r="F160" s="658">
        <v>0.1</v>
      </c>
      <c r="G160" s="658">
        <v>0</v>
      </c>
      <c r="H160" s="664">
        <v>126000</v>
      </c>
      <c r="I160" s="664">
        <f t="shared" si="0"/>
        <v>114550</v>
      </c>
      <c r="J160" s="661"/>
      <c r="K160">
        <f t="shared" si="3"/>
        <v>97367.5</v>
      </c>
    </row>
    <row r="161" spans="1:11" ht="18.75" customHeight="1">
      <c r="A161" s="661"/>
      <c r="B161" s="663" t="s">
        <v>7104</v>
      </c>
      <c r="C161" s="657" t="s">
        <v>7136</v>
      </c>
      <c r="D161" s="657" t="s">
        <v>7420</v>
      </c>
      <c r="E161" s="663" t="s">
        <v>7421</v>
      </c>
      <c r="F161" s="658">
        <v>0.1</v>
      </c>
      <c r="G161" s="658">
        <v>0</v>
      </c>
      <c r="H161" s="664"/>
      <c r="I161" s="664">
        <f t="shared" si="0"/>
        <v>0</v>
      </c>
      <c r="J161" s="661"/>
      <c r="K161">
        <f t="shared" si="3"/>
        <v>0</v>
      </c>
    </row>
    <row r="162" spans="1:11" ht="18.75" customHeight="1">
      <c r="A162" s="661"/>
      <c r="B162" s="663" t="s">
        <v>7104</v>
      </c>
      <c r="C162" s="657" t="s">
        <v>7141</v>
      </c>
      <c r="D162" s="657" t="s">
        <v>7422</v>
      </c>
      <c r="E162" s="663" t="s">
        <v>7423</v>
      </c>
      <c r="F162" s="658">
        <v>0.1</v>
      </c>
      <c r="G162" s="658">
        <v>0</v>
      </c>
      <c r="H162" s="664">
        <v>129500</v>
      </c>
      <c r="I162" s="664">
        <f t="shared" si="0"/>
        <v>117730</v>
      </c>
      <c r="J162" s="661"/>
      <c r="K162">
        <f t="shared" si="3"/>
        <v>100070.5</v>
      </c>
    </row>
    <row r="163" spans="1:11" ht="18.75" customHeight="1">
      <c r="A163" s="661"/>
      <c r="B163" s="663" t="s">
        <v>7104</v>
      </c>
      <c r="C163" s="657" t="s">
        <v>7141</v>
      </c>
      <c r="D163" s="657" t="s">
        <v>7424</v>
      </c>
      <c r="E163" s="663" t="s">
        <v>7425</v>
      </c>
      <c r="F163" s="658">
        <v>0.1</v>
      </c>
      <c r="G163" s="658">
        <v>0</v>
      </c>
      <c r="H163" s="664"/>
      <c r="I163" s="664">
        <f t="shared" si="0"/>
        <v>0</v>
      </c>
      <c r="J163" s="661"/>
      <c r="K163">
        <f t="shared" si="3"/>
        <v>0</v>
      </c>
    </row>
    <row r="164" spans="1:11" ht="18.75" customHeight="1">
      <c r="A164" s="661"/>
      <c r="B164" s="663" t="s">
        <v>7104</v>
      </c>
      <c r="C164" s="657" t="s">
        <v>7141</v>
      </c>
      <c r="D164" s="657" t="s">
        <v>7426</v>
      </c>
      <c r="E164" s="663" t="s">
        <v>7427</v>
      </c>
      <c r="F164" s="658">
        <v>0.1</v>
      </c>
      <c r="G164" s="658">
        <v>0</v>
      </c>
      <c r="H164" s="664">
        <v>140000</v>
      </c>
      <c r="I164" s="664">
        <f t="shared" si="0"/>
        <v>127270</v>
      </c>
      <c r="J164" s="661"/>
      <c r="K164">
        <f t="shared" si="3"/>
        <v>108179.5</v>
      </c>
    </row>
    <row r="165" spans="1:11" ht="18.75" customHeight="1">
      <c r="A165" s="661"/>
      <c r="B165" s="663" t="s">
        <v>7104</v>
      </c>
      <c r="C165" s="657" t="s">
        <v>7141</v>
      </c>
      <c r="D165" s="657" t="s">
        <v>7428</v>
      </c>
      <c r="E165" s="663" t="s">
        <v>7429</v>
      </c>
      <c r="F165" s="658">
        <v>0.1</v>
      </c>
      <c r="G165" s="658">
        <v>0</v>
      </c>
      <c r="H165" s="664">
        <v>155300</v>
      </c>
      <c r="I165" s="664">
        <f t="shared" si="0"/>
        <v>141180</v>
      </c>
      <c r="J165" s="661"/>
      <c r="K165">
        <f t="shared" si="3"/>
        <v>120003</v>
      </c>
    </row>
    <row r="166" spans="1:11" ht="18.75" customHeight="1">
      <c r="A166" s="661"/>
      <c r="B166" s="663" t="s">
        <v>7104</v>
      </c>
      <c r="C166" s="657" t="s">
        <v>7141</v>
      </c>
      <c r="D166" s="657" t="s">
        <v>7430</v>
      </c>
      <c r="E166" s="663" t="s">
        <v>7431</v>
      </c>
      <c r="F166" s="658">
        <v>0.1</v>
      </c>
      <c r="G166" s="658">
        <v>0</v>
      </c>
      <c r="H166" s="664">
        <v>157700</v>
      </c>
      <c r="I166" s="664">
        <f t="shared" si="0"/>
        <v>143360</v>
      </c>
      <c r="J166" s="661"/>
      <c r="K166">
        <f t="shared" si="3"/>
        <v>121856</v>
      </c>
    </row>
    <row r="167" spans="1:11" ht="18.75" customHeight="1">
      <c r="A167" s="661"/>
      <c r="B167" s="663" t="s">
        <v>7104</v>
      </c>
      <c r="C167" s="657" t="s">
        <v>7141</v>
      </c>
      <c r="D167" s="657" t="s">
        <v>7432</v>
      </c>
      <c r="E167" s="663" t="s">
        <v>7433</v>
      </c>
      <c r="F167" s="658">
        <v>0.1</v>
      </c>
      <c r="G167" s="658">
        <v>0</v>
      </c>
      <c r="H167" s="664">
        <v>183600</v>
      </c>
      <c r="I167" s="664">
        <f t="shared" si="0"/>
        <v>166910</v>
      </c>
      <c r="J167" s="661"/>
      <c r="K167">
        <f t="shared" si="3"/>
        <v>141873.5</v>
      </c>
    </row>
    <row r="168" spans="1:11" ht="18.75" customHeight="1">
      <c r="A168" s="661"/>
      <c r="B168" s="663" t="s">
        <v>7104</v>
      </c>
      <c r="C168" s="657" t="s">
        <v>7141</v>
      </c>
      <c r="D168" s="657" t="s">
        <v>7434</v>
      </c>
      <c r="E168" s="663" t="s">
        <v>7435</v>
      </c>
      <c r="F168" s="658">
        <v>0.1</v>
      </c>
      <c r="G168" s="658">
        <v>0</v>
      </c>
      <c r="H168" s="664">
        <v>188300</v>
      </c>
      <c r="I168" s="664">
        <f t="shared" si="0"/>
        <v>171180</v>
      </c>
      <c r="J168" s="661"/>
      <c r="K168">
        <f t="shared" si="3"/>
        <v>145503</v>
      </c>
    </row>
    <row r="169" spans="1:11" ht="18.75" customHeight="1">
      <c r="A169" s="661"/>
      <c r="B169" s="663" t="s">
        <v>7104</v>
      </c>
      <c r="C169" s="657" t="s">
        <v>7141</v>
      </c>
      <c r="D169" s="657" t="s">
        <v>7436</v>
      </c>
      <c r="E169" s="663" t="s">
        <v>7437</v>
      </c>
      <c r="F169" s="658">
        <v>0.1</v>
      </c>
      <c r="G169" s="658">
        <v>0</v>
      </c>
      <c r="H169" s="664">
        <v>362600</v>
      </c>
      <c r="I169" s="664">
        <f t="shared" si="0"/>
        <v>329640</v>
      </c>
      <c r="J169" s="661"/>
      <c r="K169">
        <f t="shared" si="3"/>
        <v>280194</v>
      </c>
    </row>
    <row r="170" spans="1:11" ht="18.75" customHeight="1">
      <c r="A170" s="661"/>
      <c r="B170" s="663" t="s">
        <v>7104</v>
      </c>
      <c r="C170" s="657" t="s">
        <v>7141</v>
      </c>
      <c r="D170" s="657" t="s">
        <v>7438</v>
      </c>
      <c r="E170" s="663" t="s">
        <v>7439</v>
      </c>
      <c r="F170" s="658">
        <v>0.1</v>
      </c>
      <c r="G170" s="658">
        <v>0</v>
      </c>
      <c r="H170" s="664">
        <v>371900</v>
      </c>
      <c r="I170" s="664">
        <f t="shared" si="0"/>
        <v>338090</v>
      </c>
      <c r="J170" s="661"/>
      <c r="K170">
        <f t="shared" si="3"/>
        <v>287376.5</v>
      </c>
    </row>
    <row r="171" spans="1:11" ht="18.75" customHeight="1">
      <c r="A171" s="661"/>
      <c r="B171" s="663" t="s">
        <v>7104</v>
      </c>
      <c r="C171" s="657" t="s">
        <v>7141</v>
      </c>
      <c r="D171" s="657" t="s">
        <v>7440</v>
      </c>
      <c r="E171" s="663" t="s">
        <v>7441</v>
      </c>
      <c r="F171" s="658">
        <v>0.1</v>
      </c>
      <c r="G171" s="658">
        <v>0</v>
      </c>
      <c r="H171" s="664">
        <v>381400</v>
      </c>
      <c r="I171" s="664">
        <f t="shared" si="0"/>
        <v>346730</v>
      </c>
      <c r="J171" s="661"/>
      <c r="K171">
        <f t="shared" si="3"/>
        <v>294720.5</v>
      </c>
    </row>
    <row r="172" spans="1:11" ht="18.75" customHeight="1">
      <c r="A172" s="661"/>
      <c r="B172" s="663" t="s">
        <v>7104</v>
      </c>
      <c r="C172" s="657" t="s">
        <v>7141</v>
      </c>
      <c r="D172" s="657" t="s">
        <v>7442</v>
      </c>
      <c r="E172" s="663" t="s">
        <v>7443</v>
      </c>
      <c r="F172" s="658">
        <v>0.1</v>
      </c>
      <c r="G172" s="658">
        <v>0</v>
      </c>
      <c r="H172" s="664">
        <v>399000</v>
      </c>
      <c r="I172" s="664">
        <f t="shared" si="0"/>
        <v>362730</v>
      </c>
      <c r="J172" s="661"/>
      <c r="K172">
        <f t="shared" si="3"/>
        <v>308320.5</v>
      </c>
    </row>
    <row r="173" spans="1:11" ht="18.75" customHeight="1">
      <c r="A173" s="661"/>
      <c r="B173" s="663" t="s">
        <v>7104</v>
      </c>
      <c r="C173" s="657" t="s">
        <v>7141</v>
      </c>
      <c r="D173" s="657" t="s">
        <v>7444</v>
      </c>
      <c r="E173" s="663" t="s">
        <v>7445</v>
      </c>
      <c r="F173" s="658">
        <v>0.1</v>
      </c>
      <c r="G173" s="658">
        <v>0</v>
      </c>
      <c r="H173" s="664">
        <v>434300</v>
      </c>
      <c r="I173" s="664">
        <f t="shared" si="0"/>
        <v>394820</v>
      </c>
      <c r="J173" s="661"/>
      <c r="K173">
        <f t="shared" si="3"/>
        <v>335597</v>
      </c>
    </row>
    <row r="174" spans="1:11" ht="18.75" customHeight="1">
      <c r="A174" s="661"/>
      <c r="B174" s="663" t="s">
        <v>7104</v>
      </c>
      <c r="C174" s="657" t="s">
        <v>7141</v>
      </c>
      <c r="D174" s="657" t="s">
        <v>7446</v>
      </c>
      <c r="E174" s="663" t="s">
        <v>7447</v>
      </c>
      <c r="F174" s="658">
        <v>0.1</v>
      </c>
      <c r="G174" s="658">
        <v>0</v>
      </c>
      <c r="H174" s="664">
        <v>443700</v>
      </c>
      <c r="I174" s="664">
        <f t="shared" si="0"/>
        <v>403360</v>
      </c>
      <c r="J174" s="661"/>
      <c r="K174">
        <f t="shared" si="3"/>
        <v>342856</v>
      </c>
    </row>
    <row r="175" spans="1:11" ht="18.75" customHeight="1">
      <c r="A175" s="661"/>
      <c r="B175" s="663" t="s">
        <v>7104</v>
      </c>
      <c r="C175" s="657" t="s">
        <v>7141</v>
      </c>
      <c r="D175" s="657" t="s">
        <v>7448</v>
      </c>
      <c r="E175" s="663" t="s">
        <v>7449</v>
      </c>
      <c r="F175" s="658">
        <v>0.1</v>
      </c>
      <c r="G175" s="658">
        <v>0</v>
      </c>
      <c r="H175" s="664">
        <v>453200</v>
      </c>
      <c r="I175" s="664">
        <f t="shared" si="0"/>
        <v>412000</v>
      </c>
      <c r="J175" s="661"/>
      <c r="K175">
        <f t="shared" si="3"/>
        <v>350200</v>
      </c>
    </row>
    <row r="176" spans="1:11" ht="18.75" customHeight="1">
      <c r="A176" s="661"/>
      <c r="B176" s="663" t="s">
        <v>7104</v>
      </c>
      <c r="C176" s="657" t="s">
        <v>7141</v>
      </c>
      <c r="D176" s="657" t="s">
        <v>7450</v>
      </c>
      <c r="E176" s="663" t="s">
        <v>7451</v>
      </c>
      <c r="F176" s="658">
        <v>0.1</v>
      </c>
      <c r="G176" s="658">
        <v>0</v>
      </c>
      <c r="H176" s="664">
        <v>470800</v>
      </c>
      <c r="I176" s="664">
        <f t="shared" si="0"/>
        <v>428000</v>
      </c>
      <c r="J176" s="661"/>
      <c r="K176">
        <f t="shared" si="3"/>
        <v>363800</v>
      </c>
    </row>
    <row r="177" spans="1:11" ht="18.75" customHeight="1">
      <c r="A177" s="661"/>
      <c r="B177" s="663" t="s">
        <v>7104</v>
      </c>
      <c r="C177" s="657" t="s">
        <v>7141</v>
      </c>
      <c r="D177" s="657" t="s">
        <v>7452</v>
      </c>
      <c r="E177" s="663" t="s">
        <v>7453</v>
      </c>
      <c r="F177" s="658">
        <v>0.1</v>
      </c>
      <c r="G177" s="658">
        <v>0</v>
      </c>
      <c r="H177" s="664"/>
      <c r="I177" s="664">
        <f t="shared" si="0"/>
        <v>0</v>
      </c>
      <c r="J177" s="661"/>
      <c r="K177">
        <f t="shared" si="3"/>
        <v>0</v>
      </c>
    </row>
    <row r="178" spans="1:11" ht="18.75" customHeight="1">
      <c r="A178" s="661"/>
      <c r="B178" s="663" t="s">
        <v>7104</v>
      </c>
      <c r="C178" s="657" t="s">
        <v>7141</v>
      </c>
      <c r="D178" s="657" t="s">
        <v>7454</v>
      </c>
      <c r="E178" s="663" t="s">
        <v>7455</v>
      </c>
      <c r="F178" s="658">
        <v>0.1</v>
      </c>
      <c r="G178" s="658">
        <v>0</v>
      </c>
      <c r="H178" s="664"/>
      <c r="I178" s="664">
        <f t="shared" si="0"/>
        <v>0</v>
      </c>
      <c r="J178" s="661"/>
      <c r="K178">
        <f t="shared" si="3"/>
        <v>0</v>
      </c>
    </row>
    <row r="179" spans="1:11" ht="18.75" customHeight="1">
      <c r="A179" s="661"/>
      <c r="B179" s="663" t="s">
        <v>7104</v>
      </c>
      <c r="C179" s="657" t="s">
        <v>7141</v>
      </c>
      <c r="D179" s="657" t="s">
        <v>7456</v>
      </c>
      <c r="E179" s="663" t="s">
        <v>7457</v>
      </c>
      <c r="F179" s="658">
        <v>0.1</v>
      </c>
      <c r="G179" s="658">
        <v>0</v>
      </c>
      <c r="H179" s="664"/>
      <c r="I179" s="664">
        <f t="shared" si="0"/>
        <v>0</v>
      </c>
      <c r="J179" s="661"/>
      <c r="K179">
        <f t="shared" si="3"/>
        <v>0</v>
      </c>
    </row>
    <row r="180" spans="1:11" ht="18.75" customHeight="1">
      <c r="A180" s="661"/>
      <c r="B180" s="663" t="s">
        <v>7104</v>
      </c>
      <c r="C180" s="657" t="s">
        <v>7141</v>
      </c>
      <c r="D180" s="657" t="s">
        <v>7458</v>
      </c>
      <c r="E180" s="663" t="s">
        <v>7459</v>
      </c>
      <c r="F180" s="658">
        <v>0.1</v>
      </c>
      <c r="G180" s="658">
        <v>0</v>
      </c>
      <c r="H180" s="664"/>
      <c r="I180" s="664">
        <f t="shared" si="0"/>
        <v>0</v>
      </c>
      <c r="J180" s="661"/>
      <c r="K180">
        <f t="shared" si="3"/>
        <v>0</v>
      </c>
    </row>
    <row r="181" spans="1:11" ht="18.75" customHeight="1">
      <c r="A181" s="661"/>
      <c r="B181" s="663" t="s">
        <v>7104</v>
      </c>
      <c r="C181" s="657" t="s">
        <v>7141</v>
      </c>
      <c r="D181" s="657" t="s">
        <v>7460</v>
      </c>
      <c r="E181" s="663" t="s">
        <v>7461</v>
      </c>
      <c r="F181" s="658">
        <v>0.1</v>
      </c>
      <c r="G181" s="658">
        <v>0</v>
      </c>
      <c r="H181" s="664"/>
      <c r="I181" s="664">
        <f t="shared" si="0"/>
        <v>0</v>
      </c>
      <c r="J181" s="661"/>
      <c r="K181">
        <f t="shared" si="3"/>
        <v>0</v>
      </c>
    </row>
    <row r="182" spans="1:11" ht="18.75" customHeight="1">
      <c r="A182" s="661"/>
      <c r="B182" s="663" t="s">
        <v>7104</v>
      </c>
      <c r="C182" s="657" t="s">
        <v>7141</v>
      </c>
      <c r="D182" s="657" t="s">
        <v>7462</v>
      </c>
      <c r="E182" s="663" t="s">
        <v>7463</v>
      </c>
      <c r="F182" s="658">
        <v>0.1</v>
      </c>
      <c r="G182" s="658">
        <v>0</v>
      </c>
      <c r="H182" s="664">
        <v>111900</v>
      </c>
      <c r="I182" s="664">
        <f t="shared" si="0"/>
        <v>101730</v>
      </c>
      <c r="J182" s="661"/>
      <c r="K182">
        <f t="shared" si="3"/>
        <v>86470.5</v>
      </c>
    </row>
    <row r="183" spans="1:11" ht="18.75" customHeight="1">
      <c r="A183" s="661"/>
      <c r="B183" s="663" t="s">
        <v>7104</v>
      </c>
      <c r="C183" s="657" t="s">
        <v>7141</v>
      </c>
      <c r="D183" s="657" t="s">
        <v>7464</v>
      </c>
      <c r="E183" s="663" t="s">
        <v>7465</v>
      </c>
      <c r="F183" s="658">
        <v>0.1</v>
      </c>
      <c r="G183" s="658">
        <v>0</v>
      </c>
      <c r="H183" s="664">
        <v>124700</v>
      </c>
      <c r="I183" s="664">
        <f t="shared" si="0"/>
        <v>113360</v>
      </c>
      <c r="J183" s="661"/>
      <c r="K183">
        <f t="shared" si="3"/>
        <v>96356</v>
      </c>
    </row>
    <row r="184" spans="1:11" ht="18.75" customHeight="1">
      <c r="A184" s="661"/>
      <c r="B184" s="663" t="s">
        <v>7104</v>
      </c>
      <c r="C184" s="657" t="s">
        <v>7141</v>
      </c>
      <c r="D184" s="657" t="s">
        <v>7466</v>
      </c>
      <c r="E184" s="663" t="s">
        <v>7467</v>
      </c>
      <c r="F184" s="658">
        <v>0.1</v>
      </c>
      <c r="G184" s="658">
        <v>0</v>
      </c>
      <c r="H184" s="664">
        <v>137700</v>
      </c>
      <c r="I184" s="664">
        <f t="shared" si="0"/>
        <v>125180</v>
      </c>
      <c r="J184" s="661"/>
      <c r="K184">
        <f t="shared" si="3"/>
        <v>106403</v>
      </c>
    </row>
    <row r="185" spans="1:11" ht="18.75" customHeight="1">
      <c r="A185" s="661"/>
      <c r="B185" s="663" t="s">
        <v>7104</v>
      </c>
      <c r="C185" s="657" t="s">
        <v>7141</v>
      </c>
      <c r="D185" s="657" t="s">
        <v>7468</v>
      </c>
      <c r="E185" s="663" t="s">
        <v>7469</v>
      </c>
      <c r="F185" s="658">
        <v>0.1</v>
      </c>
      <c r="G185" s="658">
        <v>0</v>
      </c>
      <c r="H185" s="664">
        <v>137700</v>
      </c>
      <c r="I185" s="664">
        <f t="shared" si="0"/>
        <v>125180</v>
      </c>
      <c r="J185" s="661"/>
      <c r="K185">
        <f t="shared" si="3"/>
        <v>106403</v>
      </c>
    </row>
    <row r="186" spans="1:11" ht="18.75" customHeight="1">
      <c r="A186" s="661"/>
      <c r="B186" s="663" t="s">
        <v>7104</v>
      </c>
      <c r="C186" s="657" t="s">
        <v>7141</v>
      </c>
      <c r="D186" s="657" t="s">
        <v>7470</v>
      </c>
      <c r="E186" s="663" t="s">
        <v>7471</v>
      </c>
      <c r="F186" s="658">
        <v>0.1</v>
      </c>
      <c r="G186" s="658">
        <v>0</v>
      </c>
      <c r="H186" s="664">
        <v>143600</v>
      </c>
      <c r="I186" s="664">
        <f t="shared" si="0"/>
        <v>130550</v>
      </c>
      <c r="J186" s="661"/>
      <c r="K186">
        <f t="shared" si="3"/>
        <v>110967.5</v>
      </c>
    </row>
    <row r="187" spans="1:11" ht="18.75" customHeight="1">
      <c r="A187" s="661"/>
      <c r="B187" s="663" t="s">
        <v>7104</v>
      </c>
      <c r="C187" s="657" t="s">
        <v>7141</v>
      </c>
      <c r="D187" s="657" t="s">
        <v>7472</v>
      </c>
      <c r="E187" s="663" t="s">
        <v>7473</v>
      </c>
      <c r="F187" s="658">
        <v>0.1</v>
      </c>
      <c r="G187" s="658">
        <v>0</v>
      </c>
      <c r="H187" s="664">
        <v>143600</v>
      </c>
      <c r="I187" s="664">
        <f t="shared" si="0"/>
        <v>130550</v>
      </c>
      <c r="J187" s="661"/>
      <c r="K187">
        <f t="shared" si="3"/>
        <v>110967.5</v>
      </c>
    </row>
    <row r="188" spans="1:11" ht="18.75" customHeight="1">
      <c r="A188" s="661"/>
      <c r="B188" s="663" t="s">
        <v>7104</v>
      </c>
      <c r="C188" s="657" t="s">
        <v>7141</v>
      </c>
      <c r="D188" s="657" t="s">
        <v>7474</v>
      </c>
      <c r="E188" s="663" t="s">
        <v>7475</v>
      </c>
      <c r="F188" s="658">
        <v>0.1</v>
      </c>
      <c r="G188" s="658">
        <v>0</v>
      </c>
      <c r="H188" s="664">
        <v>149500</v>
      </c>
      <c r="I188" s="664">
        <f t="shared" si="0"/>
        <v>135910</v>
      </c>
      <c r="J188" s="661"/>
      <c r="K188">
        <f t="shared" si="3"/>
        <v>115523.5</v>
      </c>
    </row>
    <row r="189" spans="1:11" ht="18.75" customHeight="1">
      <c r="A189" s="661"/>
      <c r="B189" s="663" t="s">
        <v>7104</v>
      </c>
      <c r="C189" s="657" t="s">
        <v>7141</v>
      </c>
      <c r="D189" s="657" t="s">
        <v>7476</v>
      </c>
      <c r="E189" s="663" t="s">
        <v>7477</v>
      </c>
      <c r="F189" s="658">
        <v>0.1</v>
      </c>
      <c r="G189" s="658">
        <v>0</v>
      </c>
      <c r="H189" s="664">
        <v>167100</v>
      </c>
      <c r="I189" s="664">
        <f t="shared" si="0"/>
        <v>151910</v>
      </c>
      <c r="J189" s="661"/>
      <c r="K189">
        <f t="shared" si="3"/>
        <v>129123.5</v>
      </c>
    </row>
    <row r="190" spans="1:11" ht="18.75" customHeight="1">
      <c r="A190" s="661"/>
      <c r="B190" s="663" t="s">
        <v>7104</v>
      </c>
      <c r="C190" s="657" t="s">
        <v>7141</v>
      </c>
      <c r="D190" s="657" t="s">
        <v>7478</v>
      </c>
      <c r="E190" s="663" t="s">
        <v>7479</v>
      </c>
      <c r="F190" s="658">
        <v>0.1</v>
      </c>
      <c r="G190" s="658">
        <v>0</v>
      </c>
      <c r="H190" s="664">
        <v>175300</v>
      </c>
      <c r="I190" s="664">
        <f t="shared" si="0"/>
        <v>159360</v>
      </c>
      <c r="J190" s="661"/>
      <c r="K190">
        <f t="shared" si="3"/>
        <v>135456</v>
      </c>
    </row>
    <row r="191" spans="1:11" ht="18.75" customHeight="1">
      <c r="A191" s="661"/>
      <c r="B191" s="663" t="s">
        <v>7104</v>
      </c>
      <c r="C191" s="657" t="s">
        <v>7141</v>
      </c>
      <c r="D191" s="657" t="s">
        <v>7480</v>
      </c>
      <c r="E191" s="663" t="s">
        <v>7481</v>
      </c>
      <c r="F191" s="658">
        <v>0.1</v>
      </c>
      <c r="G191" s="658">
        <v>0</v>
      </c>
      <c r="H191" s="664">
        <v>187100</v>
      </c>
      <c r="I191" s="664">
        <f t="shared" si="0"/>
        <v>170090</v>
      </c>
      <c r="J191" s="661"/>
      <c r="K191">
        <f t="shared" si="3"/>
        <v>144576.5</v>
      </c>
    </row>
    <row r="192" spans="1:11" ht="18.75" customHeight="1">
      <c r="A192" s="661"/>
      <c r="B192" s="663" t="s">
        <v>7104</v>
      </c>
      <c r="C192" s="657" t="s">
        <v>7141</v>
      </c>
      <c r="D192" s="657" t="s">
        <v>7482</v>
      </c>
      <c r="E192" s="663" t="s">
        <v>7483</v>
      </c>
      <c r="F192" s="658">
        <v>0.1</v>
      </c>
      <c r="G192" s="658">
        <v>0</v>
      </c>
      <c r="H192" s="664">
        <v>198900</v>
      </c>
      <c r="I192" s="664">
        <f t="shared" si="0"/>
        <v>180820</v>
      </c>
      <c r="J192" s="661"/>
      <c r="K192">
        <f t="shared" si="3"/>
        <v>153697</v>
      </c>
    </row>
    <row r="193" spans="1:11" ht="18.75" customHeight="1">
      <c r="A193" s="661"/>
      <c r="B193" s="663" t="s">
        <v>7104</v>
      </c>
      <c r="C193" s="657" t="s">
        <v>7141</v>
      </c>
      <c r="D193" s="657" t="s">
        <v>7484</v>
      </c>
      <c r="E193" s="663" t="s">
        <v>7485</v>
      </c>
      <c r="F193" s="658">
        <v>0.1</v>
      </c>
      <c r="G193" s="658">
        <v>0</v>
      </c>
      <c r="H193" s="664">
        <v>225900</v>
      </c>
      <c r="I193" s="664">
        <f t="shared" si="0"/>
        <v>205360</v>
      </c>
      <c r="J193" s="661"/>
      <c r="K193">
        <f t="shared" si="3"/>
        <v>174556</v>
      </c>
    </row>
    <row r="194" spans="1:11" ht="18.75" customHeight="1">
      <c r="A194" s="661"/>
      <c r="B194" s="663" t="s">
        <v>7104</v>
      </c>
      <c r="C194" s="657" t="s">
        <v>7141</v>
      </c>
      <c r="D194" s="657" t="s">
        <v>7486</v>
      </c>
      <c r="E194" s="663" t="s">
        <v>7487</v>
      </c>
      <c r="F194" s="658">
        <v>0.1</v>
      </c>
      <c r="G194" s="658">
        <v>0</v>
      </c>
      <c r="H194" s="664">
        <v>253100</v>
      </c>
      <c r="I194" s="664">
        <f t="shared" si="0"/>
        <v>230090</v>
      </c>
      <c r="J194" s="661"/>
      <c r="K194">
        <f t="shared" si="3"/>
        <v>195576.5</v>
      </c>
    </row>
    <row r="195" spans="1:11" ht="18.75" customHeight="1">
      <c r="A195" s="661"/>
      <c r="B195" s="663" t="s">
        <v>7104</v>
      </c>
      <c r="C195" s="657" t="s">
        <v>7141</v>
      </c>
      <c r="D195" s="657" t="s">
        <v>7488</v>
      </c>
      <c r="E195" s="663" t="s">
        <v>7489</v>
      </c>
      <c r="F195" s="658">
        <v>0.1</v>
      </c>
      <c r="G195" s="658">
        <v>0</v>
      </c>
      <c r="H195" s="664">
        <v>268400</v>
      </c>
      <c r="I195" s="664">
        <f t="shared" si="0"/>
        <v>244000</v>
      </c>
      <c r="J195" s="661"/>
      <c r="K195">
        <f t="shared" si="3"/>
        <v>207400</v>
      </c>
    </row>
    <row r="196" spans="1:11" ht="18.75" customHeight="1">
      <c r="A196" s="661"/>
      <c r="B196" s="663" t="s">
        <v>7104</v>
      </c>
      <c r="C196" s="657" t="s">
        <v>7141</v>
      </c>
      <c r="D196" s="657" t="s">
        <v>7490</v>
      </c>
      <c r="E196" s="663" t="s">
        <v>7491</v>
      </c>
      <c r="F196" s="658">
        <v>0.1</v>
      </c>
      <c r="G196" s="658">
        <v>0</v>
      </c>
      <c r="H196" s="664"/>
      <c r="I196" s="664">
        <f t="shared" si="0"/>
        <v>0</v>
      </c>
      <c r="J196" s="661"/>
      <c r="K196">
        <f t="shared" si="3"/>
        <v>0</v>
      </c>
    </row>
    <row r="197" spans="1:11" ht="18.75" customHeight="1">
      <c r="A197" s="661"/>
      <c r="B197" s="663" t="s">
        <v>7104</v>
      </c>
      <c r="C197" s="657" t="s">
        <v>7136</v>
      </c>
      <c r="D197" s="657" t="s">
        <v>7492</v>
      </c>
      <c r="E197" s="663" t="s">
        <v>7493</v>
      </c>
      <c r="F197" s="658">
        <v>0.1</v>
      </c>
      <c r="G197" s="658">
        <v>0</v>
      </c>
      <c r="H197" s="664">
        <v>275400</v>
      </c>
      <c r="I197" s="664">
        <f t="shared" si="0"/>
        <v>250360</v>
      </c>
      <c r="J197" s="661"/>
      <c r="K197">
        <f t="shared" si="3"/>
        <v>212806</v>
      </c>
    </row>
    <row r="198" spans="1:11" ht="18.75" customHeight="1">
      <c r="A198" s="661"/>
      <c r="B198" s="663" t="s">
        <v>7104</v>
      </c>
      <c r="C198" s="657" t="s">
        <v>7141</v>
      </c>
      <c r="D198" s="657" t="s">
        <v>7494</v>
      </c>
      <c r="E198" s="663" t="s">
        <v>7495</v>
      </c>
      <c r="F198" s="658">
        <v>0.1</v>
      </c>
      <c r="G198" s="658">
        <v>0</v>
      </c>
      <c r="H198" s="664"/>
      <c r="I198" s="664">
        <f t="shared" si="0"/>
        <v>0</v>
      </c>
      <c r="J198" s="661"/>
      <c r="K198">
        <f t="shared" ref="K198:K261" si="4">+I198*(1+$K$4)</f>
        <v>0</v>
      </c>
    </row>
    <row r="199" spans="1:11" ht="18.75" customHeight="1">
      <c r="A199" s="661"/>
      <c r="B199" s="663" t="s">
        <v>7104</v>
      </c>
      <c r="C199" s="657" t="s">
        <v>7141</v>
      </c>
      <c r="D199" s="657" t="s">
        <v>7496</v>
      </c>
      <c r="E199" s="663" t="s">
        <v>7497</v>
      </c>
      <c r="F199" s="658">
        <v>0.1</v>
      </c>
      <c r="G199" s="658">
        <v>0</v>
      </c>
      <c r="H199" s="664">
        <v>296600</v>
      </c>
      <c r="I199" s="664">
        <f t="shared" si="0"/>
        <v>269640</v>
      </c>
      <c r="J199" s="661"/>
      <c r="K199">
        <f t="shared" si="4"/>
        <v>229194</v>
      </c>
    </row>
    <row r="200" spans="1:11" ht="18.75" customHeight="1">
      <c r="A200" s="661"/>
      <c r="B200" s="663" t="s">
        <v>7104</v>
      </c>
      <c r="C200" s="657" t="s">
        <v>7141</v>
      </c>
      <c r="D200" s="657" t="s">
        <v>7498</v>
      </c>
      <c r="E200" s="663" t="s">
        <v>7499</v>
      </c>
      <c r="F200" s="658">
        <v>0.1</v>
      </c>
      <c r="G200" s="658">
        <v>0</v>
      </c>
      <c r="H200" s="664">
        <v>331900</v>
      </c>
      <c r="I200" s="664">
        <f t="shared" si="0"/>
        <v>301730</v>
      </c>
      <c r="J200" s="661"/>
      <c r="K200">
        <f t="shared" si="4"/>
        <v>256470.5</v>
      </c>
    </row>
    <row r="201" spans="1:11" ht="18.75" customHeight="1">
      <c r="A201" s="661"/>
      <c r="B201" s="663" t="s">
        <v>7104</v>
      </c>
      <c r="C201" s="657" t="s">
        <v>7141</v>
      </c>
      <c r="D201" s="657" t="s">
        <v>7500</v>
      </c>
      <c r="E201" s="663" t="s">
        <v>7501</v>
      </c>
      <c r="F201" s="658">
        <v>0.1</v>
      </c>
      <c r="G201" s="658">
        <v>0</v>
      </c>
      <c r="H201" s="664">
        <v>341300</v>
      </c>
      <c r="I201" s="664">
        <f t="shared" si="0"/>
        <v>310270</v>
      </c>
      <c r="J201" s="661"/>
      <c r="K201">
        <f t="shared" si="4"/>
        <v>263729.5</v>
      </c>
    </row>
    <row r="202" spans="1:11" ht="18.75" customHeight="1">
      <c r="A202" s="661"/>
      <c r="B202" s="663" t="s">
        <v>7104</v>
      </c>
      <c r="C202" s="657" t="s">
        <v>7141</v>
      </c>
      <c r="D202" s="657" t="s">
        <v>7502</v>
      </c>
      <c r="E202" s="663" t="s">
        <v>7503</v>
      </c>
      <c r="F202" s="658">
        <v>0.1</v>
      </c>
      <c r="G202" s="658">
        <v>0</v>
      </c>
      <c r="H202" s="664">
        <v>351900</v>
      </c>
      <c r="I202" s="664">
        <f t="shared" si="0"/>
        <v>319910</v>
      </c>
      <c r="J202" s="661"/>
      <c r="K202">
        <f t="shared" si="4"/>
        <v>271923.5</v>
      </c>
    </row>
    <row r="203" spans="1:11" ht="18.75" customHeight="1">
      <c r="A203" s="661"/>
      <c r="B203" s="663" t="s">
        <v>7104</v>
      </c>
      <c r="C203" s="657" t="s">
        <v>7141</v>
      </c>
      <c r="D203" s="657" t="s">
        <v>7504</v>
      </c>
      <c r="E203" s="663" t="s">
        <v>7505</v>
      </c>
      <c r="F203" s="658">
        <v>0.1</v>
      </c>
      <c r="G203" s="658">
        <v>0</v>
      </c>
      <c r="H203" s="664">
        <v>399000</v>
      </c>
      <c r="I203" s="664">
        <f t="shared" si="0"/>
        <v>362730</v>
      </c>
      <c r="J203" s="661"/>
      <c r="K203">
        <f t="shared" si="4"/>
        <v>308320.5</v>
      </c>
    </row>
    <row r="204" spans="1:11" ht="18.75" customHeight="1">
      <c r="A204" s="661"/>
      <c r="B204" s="663" t="s">
        <v>7104</v>
      </c>
      <c r="C204" s="657" t="s">
        <v>7141</v>
      </c>
      <c r="D204" s="657" t="s">
        <v>7506</v>
      </c>
      <c r="E204" s="663" t="s">
        <v>7507</v>
      </c>
      <c r="F204" s="658">
        <v>0.1</v>
      </c>
      <c r="G204" s="658">
        <v>0</v>
      </c>
      <c r="H204" s="664"/>
      <c r="I204" s="664">
        <f t="shared" si="0"/>
        <v>0</v>
      </c>
      <c r="J204" s="661"/>
      <c r="K204">
        <f t="shared" si="4"/>
        <v>0</v>
      </c>
    </row>
    <row r="205" spans="1:11" ht="18.75" customHeight="1">
      <c r="A205" s="661"/>
      <c r="B205" s="663" t="s">
        <v>7104</v>
      </c>
      <c r="C205" s="657" t="s">
        <v>7141</v>
      </c>
      <c r="D205" s="657" t="s">
        <v>7508</v>
      </c>
      <c r="E205" s="663" t="s">
        <v>7509</v>
      </c>
      <c r="F205" s="658">
        <v>0.1</v>
      </c>
      <c r="G205" s="658">
        <v>0</v>
      </c>
      <c r="H205" s="664"/>
      <c r="I205" s="664">
        <f t="shared" si="0"/>
        <v>0</v>
      </c>
      <c r="J205" s="661"/>
      <c r="K205">
        <f t="shared" si="4"/>
        <v>0</v>
      </c>
    </row>
    <row r="206" spans="1:11" ht="18.75" customHeight="1">
      <c r="A206" s="661"/>
      <c r="B206" s="663" t="s">
        <v>7104</v>
      </c>
      <c r="C206" s="657" t="s">
        <v>7141</v>
      </c>
      <c r="D206" s="657" t="s">
        <v>7510</v>
      </c>
      <c r="E206" s="663" t="s">
        <v>7511</v>
      </c>
      <c r="F206" s="658">
        <v>0.1</v>
      </c>
      <c r="G206" s="658">
        <v>0</v>
      </c>
      <c r="H206" s="664"/>
      <c r="I206" s="664">
        <f t="shared" si="0"/>
        <v>0</v>
      </c>
      <c r="J206" s="661"/>
      <c r="K206">
        <f t="shared" si="4"/>
        <v>0</v>
      </c>
    </row>
    <row r="207" spans="1:11" ht="18.75" customHeight="1">
      <c r="A207" s="661"/>
      <c r="B207" s="663" t="s">
        <v>7104</v>
      </c>
      <c r="C207" s="657" t="s">
        <v>7141</v>
      </c>
      <c r="D207" s="657" t="s">
        <v>7512</v>
      </c>
      <c r="E207" s="663" t="s">
        <v>7513</v>
      </c>
      <c r="F207" s="658">
        <v>0.1</v>
      </c>
      <c r="G207" s="658">
        <v>0</v>
      </c>
      <c r="H207" s="664">
        <v>550900</v>
      </c>
      <c r="I207" s="664">
        <f t="shared" si="0"/>
        <v>500820</v>
      </c>
      <c r="J207" s="661"/>
      <c r="K207">
        <f t="shared" si="4"/>
        <v>425697</v>
      </c>
    </row>
    <row r="208" spans="1:11" ht="18.75" customHeight="1">
      <c r="A208" s="661"/>
      <c r="B208" s="663" t="s">
        <v>7104</v>
      </c>
      <c r="C208" s="657" t="s">
        <v>7141</v>
      </c>
      <c r="D208" s="657" t="s">
        <v>7514</v>
      </c>
      <c r="E208" s="663" t="s">
        <v>7515</v>
      </c>
      <c r="F208" s="658">
        <v>0.1</v>
      </c>
      <c r="G208" s="658">
        <v>0</v>
      </c>
      <c r="H208" s="664"/>
      <c r="I208" s="664">
        <f t="shared" si="0"/>
        <v>0</v>
      </c>
      <c r="J208" s="661"/>
      <c r="K208">
        <f t="shared" si="4"/>
        <v>0</v>
      </c>
    </row>
    <row r="209" spans="1:11" ht="18.75" customHeight="1">
      <c r="A209" s="661"/>
      <c r="B209" s="663" t="s">
        <v>7104</v>
      </c>
      <c r="C209" s="657" t="s">
        <v>7141</v>
      </c>
      <c r="D209" s="657" t="s">
        <v>7516</v>
      </c>
      <c r="E209" s="663" t="s">
        <v>7517</v>
      </c>
      <c r="F209" s="658">
        <v>0.1</v>
      </c>
      <c r="G209" s="658">
        <v>0</v>
      </c>
      <c r="H209" s="664"/>
      <c r="I209" s="664">
        <f t="shared" si="0"/>
        <v>0</v>
      </c>
      <c r="J209" s="661"/>
      <c r="K209">
        <f t="shared" si="4"/>
        <v>0</v>
      </c>
    </row>
    <row r="210" spans="1:11" ht="18.75" customHeight="1">
      <c r="A210" s="661"/>
      <c r="B210" s="663" t="s">
        <v>7104</v>
      </c>
      <c r="C210" s="657" t="s">
        <v>7141</v>
      </c>
      <c r="D210" s="657" t="s">
        <v>7518</v>
      </c>
      <c r="E210" s="663" t="s">
        <v>7519</v>
      </c>
      <c r="F210" s="658">
        <v>0.1</v>
      </c>
      <c r="G210" s="658">
        <v>0</v>
      </c>
      <c r="H210" s="664"/>
      <c r="I210" s="664">
        <f t="shared" si="0"/>
        <v>0</v>
      </c>
      <c r="J210" s="661"/>
      <c r="K210">
        <f t="shared" si="4"/>
        <v>0</v>
      </c>
    </row>
    <row r="211" spans="1:11" ht="18.75" customHeight="1">
      <c r="A211" s="661"/>
      <c r="B211" s="663" t="s">
        <v>7104</v>
      </c>
      <c r="C211" s="657" t="s">
        <v>7141</v>
      </c>
      <c r="D211" s="657" t="s">
        <v>7520</v>
      </c>
      <c r="E211" s="663" t="s">
        <v>7521</v>
      </c>
      <c r="F211" s="658">
        <v>0.1</v>
      </c>
      <c r="G211" s="658">
        <v>0</v>
      </c>
      <c r="H211" s="664"/>
      <c r="I211" s="664">
        <f t="shared" si="0"/>
        <v>0</v>
      </c>
      <c r="J211" s="661"/>
      <c r="K211">
        <f t="shared" si="4"/>
        <v>0</v>
      </c>
    </row>
    <row r="212" spans="1:11" ht="18.75" customHeight="1">
      <c r="A212" s="661"/>
      <c r="B212" s="663" t="s">
        <v>7104</v>
      </c>
      <c r="C212" s="657" t="s">
        <v>7141</v>
      </c>
      <c r="D212" s="657" t="s">
        <v>7522</v>
      </c>
      <c r="E212" s="663" t="s">
        <v>7523</v>
      </c>
      <c r="F212" s="658">
        <v>0.1</v>
      </c>
      <c r="G212" s="658">
        <v>0</v>
      </c>
      <c r="H212" s="664"/>
      <c r="I212" s="664">
        <f t="shared" si="0"/>
        <v>0</v>
      </c>
      <c r="J212" s="661"/>
      <c r="K212">
        <f t="shared" si="4"/>
        <v>0</v>
      </c>
    </row>
    <row r="213" spans="1:11" ht="18.75" customHeight="1">
      <c r="A213" s="661"/>
      <c r="B213" s="663" t="s">
        <v>7104</v>
      </c>
      <c r="C213" s="657" t="s">
        <v>7141</v>
      </c>
      <c r="D213" s="657" t="s">
        <v>7524</v>
      </c>
      <c r="E213" s="663" t="s">
        <v>7525</v>
      </c>
      <c r="F213" s="658">
        <v>0.1</v>
      </c>
      <c r="G213" s="658">
        <v>0</v>
      </c>
      <c r="H213" s="664"/>
      <c r="I213" s="664">
        <f t="shared" si="0"/>
        <v>0</v>
      </c>
      <c r="J213" s="661"/>
      <c r="K213">
        <f t="shared" si="4"/>
        <v>0</v>
      </c>
    </row>
    <row r="214" spans="1:11" ht="18.75" customHeight="1">
      <c r="A214" s="661"/>
      <c r="B214" s="663" t="s">
        <v>7104</v>
      </c>
      <c r="C214" s="657" t="s">
        <v>7141</v>
      </c>
      <c r="D214" s="657" t="s">
        <v>7526</v>
      </c>
      <c r="E214" s="663" t="s">
        <v>7527</v>
      </c>
      <c r="F214" s="658">
        <v>0.1</v>
      </c>
      <c r="G214" s="658">
        <v>0</v>
      </c>
      <c r="H214" s="664"/>
      <c r="I214" s="664">
        <f t="shared" si="0"/>
        <v>0</v>
      </c>
      <c r="J214" s="661"/>
      <c r="K214">
        <f t="shared" si="4"/>
        <v>0</v>
      </c>
    </row>
    <row r="215" spans="1:11" ht="18.75" customHeight="1">
      <c r="A215" s="661"/>
      <c r="B215" s="663" t="s">
        <v>7104</v>
      </c>
      <c r="C215" s="657" t="s">
        <v>7141</v>
      </c>
      <c r="D215" s="657" t="s">
        <v>7528</v>
      </c>
      <c r="E215" s="663" t="s">
        <v>7529</v>
      </c>
      <c r="F215" s="658">
        <v>0.1</v>
      </c>
      <c r="G215" s="658">
        <v>0</v>
      </c>
      <c r="H215" s="664"/>
      <c r="I215" s="664">
        <f t="shared" si="0"/>
        <v>0</v>
      </c>
      <c r="J215" s="661"/>
      <c r="K215">
        <f t="shared" si="4"/>
        <v>0</v>
      </c>
    </row>
    <row r="216" spans="1:11" ht="18.75" customHeight="1">
      <c r="A216" s="661"/>
      <c r="B216" s="663" t="s">
        <v>7104</v>
      </c>
      <c r="C216" s="657" t="s">
        <v>7141</v>
      </c>
      <c r="D216" s="657" t="s">
        <v>7530</v>
      </c>
      <c r="E216" s="663" t="s">
        <v>7531</v>
      </c>
      <c r="F216" s="658">
        <v>0.1</v>
      </c>
      <c r="G216" s="658">
        <v>0</v>
      </c>
      <c r="H216" s="664"/>
      <c r="I216" s="664">
        <f t="shared" si="0"/>
        <v>0</v>
      </c>
      <c r="J216" s="661"/>
      <c r="K216">
        <f t="shared" si="4"/>
        <v>0</v>
      </c>
    </row>
    <row r="217" spans="1:11" ht="18.75" customHeight="1">
      <c r="A217" s="661"/>
      <c r="B217" s="663" t="s">
        <v>7104</v>
      </c>
      <c r="C217" s="657" t="s">
        <v>7141</v>
      </c>
      <c r="D217" s="657" t="s">
        <v>7532</v>
      </c>
      <c r="E217" s="663" t="s">
        <v>7533</v>
      </c>
      <c r="F217" s="658">
        <v>0.1</v>
      </c>
      <c r="G217" s="658">
        <v>0</v>
      </c>
      <c r="H217" s="664">
        <v>151800</v>
      </c>
      <c r="I217" s="664">
        <f t="shared" si="0"/>
        <v>138000</v>
      </c>
      <c r="J217" s="661"/>
      <c r="K217">
        <f t="shared" si="4"/>
        <v>117300</v>
      </c>
    </row>
    <row r="218" spans="1:11" ht="18.75" customHeight="1">
      <c r="A218" s="661"/>
      <c r="B218" s="663" t="s">
        <v>7104</v>
      </c>
      <c r="C218" s="657" t="s">
        <v>7141</v>
      </c>
      <c r="D218" s="657" t="s">
        <v>7534</v>
      </c>
      <c r="E218" s="663" t="s">
        <v>7535</v>
      </c>
      <c r="F218" s="658">
        <v>0.1</v>
      </c>
      <c r="G218" s="658">
        <v>0</v>
      </c>
      <c r="H218" s="664">
        <v>171800</v>
      </c>
      <c r="I218" s="664">
        <f t="shared" si="0"/>
        <v>156180</v>
      </c>
      <c r="J218" s="661"/>
      <c r="K218">
        <f t="shared" si="4"/>
        <v>132753</v>
      </c>
    </row>
    <row r="219" spans="1:11" ht="18.75" customHeight="1">
      <c r="A219" s="661"/>
      <c r="B219" s="663" t="s">
        <v>7104</v>
      </c>
      <c r="C219" s="657" t="s">
        <v>7141</v>
      </c>
      <c r="D219" s="657" t="s">
        <v>7536</v>
      </c>
      <c r="E219" s="663" t="s">
        <v>7537</v>
      </c>
      <c r="F219" s="658">
        <v>0.1</v>
      </c>
      <c r="G219" s="658">
        <v>0</v>
      </c>
      <c r="H219" s="664">
        <v>189500</v>
      </c>
      <c r="I219" s="664">
        <f t="shared" si="0"/>
        <v>172270</v>
      </c>
      <c r="J219" s="661"/>
      <c r="K219">
        <f t="shared" si="4"/>
        <v>146429.5</v>
      </c>
    </row>
    <row r="220" spans="1:11" ht="18.75" customHeight="1">
      <c r="A220" s="661"/>
      <c r="B220" s="663" t="s">
        <v>7104</v>
      </c>
      <c r="C220" s="657" t="s">
        <v>7141</v>
      </c>
      <c r="D220" s="657" t="s">
        <v>7538</v>
      </c>
      <c r="E220" s="663" t="s">
        <v>7539</v>
      </c>
      <c r="F220" s="658">
        <v>0.1</v>
      </c>
      <c r="G220" s="658">
        <v>0</v>
      </c>
      <c r="H220" s="664">
        <v>197800</v>
      </c>
      <c r="I220" s="664">
        <f t="shared" si="0"/>
        <v>179820</v>
      </c>
      <c r="J220" s="661"/>
      <c r="K220">
        <f t="shared" si="4"/>
        <v>152847</v>
      </c>
    </row>
    <row r="221" spans="1:11" ht="18.75" customHeight="1">
      <c r="A221" s="661"/>
      <c r="B221" s="663" t="s">
        <v>7104</v>
      </c>
      <c r="C221" s="657" t="s">
        <v>7105</v>
      </c>
      <c r="D221" s="657" t="s">
        <v>7540</v>
      </c>
      <c r="E221" s="663" t="s">
        <v>7541</v>
      </c>
      <c r="F221" s="658">
        <v>0.1</v>
      </c>
      <c r="G221" s="658">
        <v>0</v>
      </c>
      <c r="H221" s="664">
        <v>204800</v>
      </c>
      <c r="I221" s="664">
        <f t="shared" si="0"/>
        <v>186180</v>
      </c>
      <c r="J221" s="661"/>
      <c r="K221">
        <f t="shared" si="4"/>
        <v>158253</v>
      </c>
    </row>
    <row r="222" spans="1:11" ht="18.75" customHeight="1">
      <c r="A222" s="661"/>
      <c r="B222" s="663" t="s">
        <v>7104</v>
      </c>
      <c r="C222" s="657" t="s">
        <v>7141</v>
      </c>
      <c r="D222" s="657" t="s">
        <v>7542</v>
      </c>
      <c r="E222" s="663" t="s">
        <v>7543</v>
      </c>
      <c r="F222" s="658">
        <v>0.1</v>
      </c>
      <c r="G222" s="658">
        <v>0</v>
      </c>
      <c r="H222" s="664">
        <v>229600</v>
      </c>
      <c r="I222" s="664">
        <f t="shared" si="0"/>
        <v>208730</v>
      </c>
      <c r="J222" s="661"/>
      <c r="K222">
        <f t="shared" si="4"/>
        <v>177420.5</v>
      </c>
    </row>
    <row r="223" spans="1:11" ht="18.75" customHeight="1">
      <c r="A223" s="661"/>
      <c r="B223" s="663" t="s">
        <v>7104</v>
      </c>
      <c r="C223" s="657" t="s">
        <v>7141</v>
      </c>
      <c r="D223" s="657" t="s">
        <v>7544</v>
      </c>
      <c r="E223" s="663" t="s">
        <v>7545</v>
      </c>
      <c r="F223" s="658">
        <v>0.1</v>
      </c>
      <c r="G223" s="658">
        <v>0</v>
      </c>
      <c r="H223" s="664">
        <v>240100</v>
      </c>
      <c r="I223" s="664">
        <f t="shared" si="0"/>
        <v>218270</v>
      </c>
      <c r="J223" s="661"/>
      <c r="K223">
        <f t="shared" si="4"/>
        <v>185529.5</v>
      </c>
    </row>
    <row r="224" spans="1:11" ht="18.75" customHeight="1">
      <c r="A224" s="661"/>
      <c r="B224" s="663" t="s">
        <v>7104</v>
      </c>
      <c r="C224" s="657" t="s">
        <v>7141</v>
      </c>
      <c r="D224" s="657" t="s">
        <v>7546</v>
      </c>
      <c r="E224" s="663" t="s">
        <v>7547</v>
      </c>
      <c r="F224" s="658">
        <v>0.1</v>
      </c>
      <c r="G224" s="658">
        <v>0</v>
      </c>
      <c r="H224" s="664">
        <v>256600</v>
      </c>
      <c r="I224" s="664">
        <f t="shared" si="0"/>
        <v>233270</v>
      </c>
      <c r="J224" s="661"/>
      <c r="K224">
        <f t="shared" si="4"/>
        <v>198279.5</v>
      </c>
    </row>
    <row r="225" spans="1:11" ht="18.75" customHeight="1">
      <c r="A225" s="661"/>
      <c r="B225" s="663" t="s">
        <v>7104</v>
      </c>
      <c r="C225" s="657" t="s">
        <v>7141</v>
      </c>
      <c r="D225" s="657" t="s">
        <v>7548</v>
      </c>
      <c r="E225" s="663" t="s">
        <v>7549</v>
      </c>
      <c r="F225" s="658">
        <v>0.1</v>
      </c>
      <c r="G225" s="658">
        <v>0</v>
      </c>
      <c r="H225" s="664">
        <v>271900</v>
      </c>
      <c r="I225" s="664">
        <f t="shared" si="0"/>
        <v>247180</v>
      </c>
      <c r="J225" s="661"/>
      <c r="K225">
        <f t="shared" si="4"/>
        <v>210103</v>
      </c>
    </row>
    <row r="226" spans="1:11" ht="18.75" customHeight="1">
      <c r="A226" s="661"/>
      <c r="B226" s="663" t="s">
        <v>7104</v>
      </c>
      <c r="C226" s="657" t="s">
        <v>7141</v>
      </c>
      <c r="D226" s="657" t="s">
        <v>7550</v>
      </c>
      <c r="E226" s="663" t="s">
        <v>7551</v>
      </c>
      <c r="F226" s="658">
        <v>0.1</v>
      </c>
      <c r="G226" s="658">
        <v>0</v>
      </c>
      <c r="H226" s="664">
        <v>309500</v>
      </c>
      <c r="I226" s="664">
        <f t="shared" si="0"/>
        <v>281360</v>
      </c>
      <c r="J226" s="661"/>
      <c r="K226">
        <f t="shared" si="4"/>
        <v>239156</v>
      </c>
    </row>
    <row r="227" spans="1:11" ht="18.75" customHeight="1">
      <c r="A227" s="661"/>
      <c r="B227" s="663" t="s">
        <v>7104</v>
      </c>
      <c r="C227" s="657" t="s">
        <v>7141</v>
      </c>
      <c r="D227" s="657" t="s">
        <v>7552</v>
      </c>
      <c r="E227" s="663" t="s">
        <v>7553</v>
      </c>
      <c r="F227" s="658">
        <v>0.1</v>
      </c>
      <c r="G227" s="658">
        <v>0</v>
      </c>
      <c r="H227" s="664">
        <v>347300</v>
      </c>
      <c r="I227" s="664">
        <f t="shared" si="0"/>
        <v>315730</v>
      </c>
      <c r="J227" s="661"/>
      <c r="K227">
        <f t="shared" si="4"/>
        <v>268370.5</v>
      </c>
    </row>
    <row r="228" spans="1:11" ht="18.75" customHeight="1">
      <c r="A228" s="661"/>
      <c r="B228" s="663" t="s">
        <v>7104</v>
      </c>
      <c r="C228" s="657" t="s">
        <v>7141</v>
      </c>
      <c r="D228" s="657" t="s">
        <v>7554</v>
      </c>
      <c r="E228" s="663" t="s">
        <v>7555</v>
      </c>
      <c r="F228" s="658">
        <v>0.1</v>
      </c>
      <c r="G228" s="658">
        <v>0</v>
      </c>
      <c r="H228" s="664">
        <v>370800</v>
      </c>
      <c r="I228" s="664">
        <f t="shared" si="0"/>
        <v>337090</v>
      </c>
      <c r="J228" s="661"/>
      <c r="K228">
        <f t="shared" si="4"/>
        <v>286526.5</v>
      </c>
    </row>
    <row r="229" spans="1:11" ht="18.75" customHeight="1">
      <c r="A229" s="661"/>
      <c r="B229" s="663" t="s">
        <v>7104</v>
      </c>
      <c r="C229" s="657" t="s">
        <v>7141</v>
      </c>
      <c r="D229" s="657" t="s">
        <v>7556</v>
      </c>
      <c r="E229" s="663" t="s">
        <v>7557</v>
      </c>
      <c r="F229" s="658">
        <v>0.1</v>
      </c>
      <c r="G229" s="658">
        <v>0</v>
      </c>
      <c r="H229" s="664"/>
      <c r="I229" s="664">
        <f t="shared" si="0"/>
        <v>0</v>
      </c>
      <c r="J229" s="661"/>
      <c r="K229">
        <f t="shared" si="4"/>
        <v>0</v>
      </c>
    </row>
    <row r="230" spans="1:11" ht="18.75" customHeight="1">
      <c r="A230" s="661"/>
      <c r="B230" s="663" t="s">
        <v>7104</v>
      </c>
      <c r="C230" s="657" t="s">
        <v>7141</v>
      </c>
      <c r="D230" s="657" t="s">
        <v>7558</v>
      </c>
      <c r="E230" s="663" t="s">
        <v>7559</v>
      </c>
      <c r="F230" s="658">
        <v>0.1</v>
      </c>
      <c r="G230" s="658">
        <v>0</v>
      </c>
      <c r="H230" s="664">
        <v>445000</v>
      </c>
      <c r="I230" s="664">
        <f t="shared" si="0"/>
        <v>404550</v>
      </c>
      <c r="J230" s="661"/>
      <c r="K230">
        <f t="shared" si="4"/>
        <v>343867.5</v>
      </c>
    </row>
    <row r="231" spans="1:11" ht="18.75" customHeight="1">
      <c r="A231" s="661"/>
      <c r="B231" s="663" t="s">
        <v>7104</v>
      </c>
      <c r="C231" s="657" t="s">
        <v>7141</v>
      </c>
      <c r="D231" s="657" t="s">
        <v>7560</v>
      </c>
      <c r="E231" s="663" t="s">
        <v>7561</v>
      </c>
      <c r="F231" s="658">
        <v>0.1</v>
      </c>
      <c r="G231" s="658">
        <v>0</v>
      </c>
      <c r="H231" s="664"/>
      <c r="I231" s="664">
        <f t="shared" si="0"/>
        <v>0</v>
      </c>
      <c r="J231" s="661"/>
      <c r="K231">
        <f t="shared" si="4"/>
        <v>0</v>
      </c>
    </row>
    <row r="232" spans="1:11" ht="18.75" customHeight="1">
      <c r="A232" s="661"/>
      <c r="B232" s="663" t="s">
        <v>7104</v>
      </c>
      <c r="C232" s="657" t="s">
        <v>7141</v>
      </c>
      <c r="D232" s="657" t="s">
        <v>7562</v>
      </c>
      <c r="E232" s="663" t="s">
        <v>7563</v>
      </c>
      <c r="F232" s="658">
        <v>0.1</v>
      </c>
      <c r="G232" s="658">
        <v>0</v>
      </c>
      <c r="H232" s="664">
        <v>503800</v>
      </c>
      <c r="I232" s="664">
        <f t="shared" si="0"/>
        <v>458000</v>
      </c>
      <c r="J232" s="661"/>
      <c r="K232">
        <f t="shared" si="4"/>
        <v>389300</v>
      </c>
    </row>
    <row r="233" spans="1:11" ht="18.75" customHeight="1">
      <c r="A233" s="661"/>
      <c r="B233" s="663" t="s">
        <v>7104</v>
      </c>
      <c r="C233" s="657" t="s">
        <v>7141</v>
      </c>
      <c r="D233" s="657" t="s">
        <v>7564</v>
      </c>
      <c r="E233" s="663" t="s">
        <v>7565</v>
      </c>
      <c r="F233" s="658">
        <v>0.1</v>
      </c>
      <c r="G233" s="658">
        <v>0</v>
      </c>
      <c r="H233" s="664">
        <v>527300</v>
      </c>
      <c r="I233" s="664">
        <f t="shared" si="0"/>
        <v>479360</v>
      </c>
      <c r="J233" s="661"/>
      <c r="K233">
        <f t="shared" si="4"/>
        <v>407456</v>
      </c>
    </row>
    <row r="234" spans="1:11" ht="18.75" customHeight="1">
      <c r="A234" s="661"/>
      <c r="B234" s="663" t="s">
        <v>7104</v>
      </c>
      <c r="C234" s="657" t="s">
        <v>7141</v>
      </c>
      <c r="D234" s="657" t="s">
        <v>7566</v>
      </c>
      <c r="E234" s="663" t="s">
        <v>7567</v>
      </c>
      <c r="F234" s="658">
        <v>0.1</v>
      </c>
      <c r="G234" s="658">
        <v>0</v>
      </c>
      <c r="H234" s="664">
        <v>550900</v>
      </c>
      <c r="I234" s="664">
        <f t="shared" si="0"/>
        <v>500820</v>
      </c>
      <c r="J234" s="661"/>
      <c r="K234">
        <f t="shared" si="4"/>
        <v>425697</v>
      </c>
    </row>
    <row r="235" spans="1:11" ht="18.75" customHeight="1">
      <c r="A235" s="661"/>
      <c r="B235" s="663" t="s">
        <v>7104</v>
      </c>
      <c r="C235" s="657" t="s">
        <v>7141</v>
      </c>
      <c r="D235" s="657" t="s">
        <v>7568</v>
      </c>
      <c r="E235" s="663" t="s">
        <v>7569</v>
      </c>
      <c r="F235" s="658">
        <v>0.1</v>
      </c>
      <c r="G235" s="658">
        <v>0</v>
      </c>
      <c r="H235" s="664">
        <v>562700</v>
      </c>
      <c r="I235" s="664">
        <f t="shared" si="0"/>
        <v>511550</v>
      </c>
      <c r="J235" s="661"/>
      <c r="K235">
        <f t="shared" si="4"/>
        <v>434817.5</v>
      </c>
    </row>
    <row r="236" spans="1:11" ht="18.75" customHeight="1">
      <c r="A236" s="661"/>
      <c r="B236" s="663" t="s">
        <v>7104</v>
      </c>
      <c r="C236" s="657" t="s">
        <v>7141</v>
      </c>
      <c r="D236" s="657" t="s">
        <v>7570</v>
      </c>
      <c r="E236" s="663" t="s">
        <v>7571</v>
      </c>
      <c r="F236" s="658">
        <v>0.1</v>
      </c>
      <c r="G236" s="658">
        <v>0</v>
      </c>
      <c r="H236" s="664">
        <v>645000</v>
      </c>
      <c r="I236" s="664">
        <f t="shared" si="0"/>
        <v>586360</v>
      </c>
      <c r="J236" s="661"/>
      <c r="K236">
        <f t="shared" si="4"/>
        <v>498406</v>
      </c>
    </row>
    <row r="237" spans="1:11" ht="18.75" customHeight="1">
      <c r="A237" s="661"/>
      <c r="B237" s="663" t="s">
        <v>7104</v>
      </c>
      <c r="C237" s="657" t="s">
        <v>7141</v>
      </c>
      <c r="D237" s="657" t="s">
        <v>7572</v>
      </c>
      <c r="E237" s="663" t="s">
        <v>7573</v>
      </c>
      <c r="F237" s="658">
        <v>0.1</v>
      </c>
      <c r="G237" s="658">
        <v>0</v>
      </c>
      <c r="H237" s="664"/>
      <c r="I237" s="664">
        <f t="shared" si="0"/>
        <v>0</v>
      </c>
      <c r="J237" s="661"/>
      <c r="K237">
        <f t="shared" si="4"/>
        <v>0</v>
      </c>
    </row>
    <row r="238" spans="1:11" ht="18.75" customHeight="1">
      <c r="A238" s="661"/>
      <c r="B238" s="663" t="s">
        <v>7104</v>
      </c>
      <c r="C238" s="657" t="s">
        <v>7141</v>
      </c>
      <c r="D238" s="657" t="s">
        <v>7574</v>
      </c>
      <c r="E238" s="663" t="s">
        <v>7575</v>
      </c>
      <c r="F238" s="658">
        <v>0.1</v>
      </c>
      <c r="G238" s="658">
        <v>0</v>
      </c>
      <c r="H238" s="664"/>
      <c r="I238" s="664">
        <f t="shared" si="0"/>
        <v>0</v>
      </c>
      <c r="J238" s="661"/>
      <c r="K238">
        <f t="shared" si="4"/>
        <v>0</v>
      </c>
    </row>
    <row r="239" spans="1:11" ht="18.75" customHeight="1">
      <c r="A239" s="661"/>
      <c r="B239" s="663" t="s">
        <v>7104</v>
      </c>
      <c r="C239" s="657" t="s">
        <v>7141</v>
      </c>
      <c r="D239" s="657" t="s">
        <v>7576</v>
      </c>
      <c r="E239" s="663" t="s">
        <v>7577</v>
      </c>
      <c r="F239" s="658">
        <v>0.1</v>
      </c>
      <c r="G239" s="658">
        <v>0</v>
      </c>
      <c r="H239" s="664"/>
      <c r="I239" s="664">
        <f t="shared" si="0"/>
        <v>0</v>
      </c>
      <c r="J239" s="661"/>
      <c r="K239">
        <f t="shared" si="4"/>
        <v>0</v>
      </c>
    </row>
    <row r="240" spans="1:11" ht="18.75" customHeight="1">
      <c r="A240" s="661"/>
      <c r="B240" s="663" t="s">
        <v>7104</v>
      </c>
      <c r="C240" s="657" t="s">
        <v>7141</v>
      </c>
      <c r="D240" s="657" t="s">
        <v>7578</v>
      </c>
      <c r="E240" s="663" t="s">
        <v>7579</v>
      </c>
      <c r="F240" s="658">
        <v>0.1</v>
      </c>
      <c r="G240" s="658">
        <v>0</v>
      </c>
      <c r="H240" s="664">
        <v>663900</v>
      </c>
      <c r="I240" s="664">
        <f t="shared" si="0"/>
        <v>603550</v>
      </c>
      <c r="J240" s="661"/>
      <c r="K240">
        <f t="shared" si="4"/>
        <v>513017.5</v>
      </c>
    </row>
    <row r="241" spans="1:11" ht="18.75" customHeight="1">
      <c r="A241" s="661"/>
      <c r="B241" s="663" t="s">
        <v>7104</v>
      </c>
      <c r="C241" s="657" t="s">
        <v>7141</v>
      </c>
      <c r="D241" s="657" t="s">
        <v>7580</v>
      </c>
      <c r="E241" s="663" t="s">
        <v>7581</v>
      </c>
      <c r="F241" s="658">
        <v>0.1</v>
      </c>
      <c r="G241" s="658">
        <v>0</v>
      </c>
      <c r="H241" s="664"/>
      <c r="I241" s="664">
        <f t="shared" si="0"/>
        <v>0</v>
      </c>
      <c r="J241" s="661"/>
      <c r="K241">
        <f t="shared" si="4"/>
        <v>0</v>
      </c>
    </row>
    <row r="242" spans="1:11" ht="18.75" customHeight="1">
      <c r="A242" s="661"/>
      <c r="B242" s="663" t="s">
        <v>7104</v>
      </c>
      <c r="C242" s="657" t="s">
        <v>7141</v>
      </c>
      <c r="D242" s="657" t="s">
        <v>7582</v>
      </c>
      <c r="E242" s="663" t="s">
        <v>7583</v>
      </c>
      <c r="F242" s="658">
        <v>0.1</v>
      </c>
      <c r="G242" s="658">
        <v>0</v>
      </c>
      <c r="H242" s="664"/>
      <c r="I242" s="664">
        <f t="shared" si="0"/>
        <v>0</v>
      </c>
      <c r="J242" s="661"/>
      <c r="K242">
        <f t="shared" si="4"/>
        <v>0</v>
      </c>
    </row>
    <row r="243" spans="1:11" ht="18.75" customHeight="1">
      <c r="A243" s="661"/>
      <c r="B243" s="663" t="s">
        <v>7104</v>
      </c>
      <c r="C243" s="657" t="s">
        <v>7141</v>
      </c>
      <c r="D243" s="657" t="s">
        <v>7584</v>
      </c>
      <c r="E243" s="663" t="s">
        <v>7585</v>
      </c>
      <c r="F243" s="658">
        <v>0.1</v>
      </c>
      <c r="G243" s="658">
        <v>0</v>
      </c>
      <c r="H243" s="664"/>
      <c r="I243" s="664">
        <f t="shared" si="0"/>
        <v>0</v>
      </c>
      <c r="J243" s="661"/>
      <c r="K243">
        <f t="shared" si="4"/>
        <v>0</v>
      </c>
    </row>
    <row r="244" spans="1:11" ht="18.75" customHeight="1">
      <c r="A244" s="661"/>
      <c r="B244" s="663" t="s">
        <v>7104</v>
      </c>
      <c r="C244" s="657" t="s">
        <v>7141</v>
      </c>
      <c r="D244" s="657" t="s">
        <v>7586</v>
      </c>
      <c r="E244" s="663" t="s">
        <v>7587</v>
      </c>
      <c r="F244" s="658">
        <v>0.1</v>
      </c>
      <c r="G244" s="658">
        <v>0</v>
      </c>
      <c r="H244" s="664"/>
      <c r="I244" s="664">
        <f t="shared" si="0"/>
        <v>0</v>
      </c>
      <c r="J244" s="661"/>
      <c r="K244">
        <f t="shared" si="4"/>
        <v>0</v>
      </c>
    </row>
    <row r="245" spans="1:11" ht="18.75" customHeight="1">
      <c r="A245" s="661"/>
      <c r="B245" s="663" t="s">
        <v>7104</v>
      </c>
      <c r="C245" s="657" t="s">
        <v>7141</v>
      </c>
      <c r="D245" s="657" t="s">
        <v>7588</v>
      </c>
      <c r="E245" s="663" t="s">
        <v>7589</v>
      </c>
      <c r="F245" s="658">
        <v>0.1</v>
      </c>
      <c r="G245" s="658">
        <v>0</v>
      </c>
      <c r="H245" s="664"/>
      <c r="I245" s="664">
        <f t="shared" si="0"/>
        <v>0</v>
      </c>
      <c r="J245" s="661"/>
      <c r="K245">
        <f t="shared" si="4"/>
        <v>0</v>
      </c>
    </row>
    <row r="246" spans="1:11" ht="18.75" customHeight="1">
      <c r="A246" s="661"/>
      <c r="B246" s="663" t="s">
        <v>7104</v>
      </c>
      <c r="C246" s="657" t="s">
        <v>7141</v>
      </c>
      <c r="D246" s="657" t="s">
        <v>7590</v>
      </c>
      <c r="E246" s="663" t="s">
        <v>7591</v>
      </c>
      <c r="F246" s="658">
        <v>0.1</v>
      </c>
      <c r="G246" s="658">
        <v>0</v>
      </c>
      <c r="H246" s="664"/>
      <c r="I246" s="664">
        <f t="shared" si="0"/>
        <v>0</v>
      </c>
      <c r="J246" s="661"/>
      <c r="K246">
        <f t="shared" si="4"/>
        <v>0</v>
      </c>
    </row>
    <row r="247" spans="1:11" ht="18.75" customHeight="1">
      <c r="A247" s="661"/>
      <c r="B247" s="663" t="s">
        <v>7104</v>
      </c>
      <c r="C247" s="657" t="s">
        <v>7141</v>
      </c>
      <c r="D247" s="657" t="s">
        <v>7592</v>
      </c>
      <c r="E247" s="663" t="s">
        <v>7593</v>
      </c>
      <c r="F247" s="658">
        <v>0.1</v>
      </c>
      <c r="G247" s="658">
        <v>0</v>
      </c>
      <c r="H247" s="664">
        <v>434300</v>
      </c>
      <c r="I247" s="664">
        <f t="shared" si="0"/>
        <v>394820</v>
      </c>
      <c r="J247" s="661"/>
      <c r="K247">
        <f t="shared" si="4"/>
        <v>335597</v>
      </c>
    </row>
    <row r="248" spans="1:11" ht="18.75" customHeight="1">
      <c r="A248" s="661"/>
      <c r="B248" s="663" t="s">
        <v>7104</v>
      </c>
      <c r="C248" s="657" t="s">
        <v>7141</v>
      </c>
      <c r="D248" s="657" t="s">
        <v>7594</v>
      </c>
      <c r="E248" s="663" t="s">
        <v>7595</v>
      </c>
      <c r="F248" s="658">
        <v>0.1</v>
      </c>
      <c r="G248" s="658">
        <v>0</v>
      </c>
      <c r="H248" s="664">
        <v>437800</v>
      </c>
      <c r="I248" s="664">
        <f t="shared" si="0"/>
        <v>398000</v>
      </c>
      <c r="J248" s="661"/>
      <c r="K248">
        <f t="shared" si="4"/>
        <v>338300</v>
      </c>
    </row>
    <row r="249" spans="1:11" ht="18.75" customHeight="1">
      <c r="A249" s="661"/>
      <c r="B249" s="663" t="s">
        <v>7104</v>
      </c>
      <c r="C249" s="657" t="s">
        <v>7141</v>
      </c>
      <c r="D249" s="657" t="s">
        <v>7596</v>
      </c>
      <c r="E249" s="663" t="s">
        <v>7597</v>
      </c>
      <c r="F249" s="658">
        <v>0.1</v>
      </c>
      <c r="G249" s="658">
        <v>0</v>
      </c>
      <c r="H249" s="664">
        <v>480300</v>
      </c>
      <c r="I249" s="664">
        <f t="shared" si="0"/>
        <v>436640</v>
      </c>
      <c r="J249" s="661"/>
      <c r="K249">
        <f t="shared" si="4"/>
        <v>371144</v>
      </c>
    </row>
    <row r="250" spans="1:11" ht="18.75" customHeight="1">
      <c r="A250" s="661"/>
      <c r="B250" s="663" t="s">
        <v>7104</v>
      </c>
      <c r="C250" s="657" t="s">
        <v>7141</v>
      </c>
      <c r="D250" s="657" t="s">
        <v>7598</v>
      </c>
      <c r="E250" s="663" t="s">
        <v>7599</v>
      </c>
      <c r="F250" s="658">
        <v>0.1</v>
      </c>
      <c r="G250" s="658">
        <v>0</v>
      </c>
      <c r="H250" s="664">
        <v>503800</v>
      </c>
      <c r="I250" s="664">
        <f t="shared" si="0"/>
        <v>458000</v>
      </c>
      <c r="J250" s="661"/>
      <c r="K250">
        <f t="shared" si="4"/>
        <v>389300</v>
      </c>
    </row>
    <row r="251" spans="1:11" ht="18.75" customHeight="1">
      <c r="A251" s="661"/>
      <c r="B251" s="663" t="s">
        <v>7104</v>
      </c>
      <c r="C251" s="657" t="s">
        <v>7141</v>
      </c>
      <c r="D251" s="657" t="s">
        <v>7600</v>
      </c>
      <c r="E251" s="663" t="s">
        <v>7601</v>
      </c>
      <c r="F251" s="658">
        <v>0.1</v>
      </c>
      <c r="G251" s="658">
        <v>0</v>
      </c>
      <c r="H251" s="664">
        <v>527300</v>
      </c>
      <c r="I251" s="664">
        <f t="shared" si="0"/>
        <v>479360</v>
      </c>
      <c r="J251" s="661"/>
      <c r="K251">
        <f t="shared" si="4"/>
        <v>407456</v>
      </c>
    </row>
    <row r="252" spans="1:11" ht="18.75" customHeight="1">
      <c r="A252" s="661"/>
      <c r="B252" s="663" t="s">
        <v>7104</v>
      </c>
      <c r="C252" s="657" t="s">
        <v>7141</v>
      </c>
      <c r="D252" s="657" t="s">
        <v>7602</v>
      </c>
      <c r="E252" s="663" t="s">
        <v>7603</v>
      </c>
      <c r="F252" s="658">
        <v>0.1</v>
      </c>
      <c r="G252" s="658">
        <v>0</v>
      </c>
      <c r="H252" s="664">
        <v>550900</v>
      </c>
      <c r="I252" s="664">
        <f t="shared" si="0"/>
        <v>500820</v>
      </c>
      <c r="J252" s="661"/>
      <c r="K252">
        <f t="shared" si="4"/>
        <v>425697</v>
      </c>
    </row>
    <row r="253" spans="1:11" ht="18.75" customHeight="1">
      <c r="A253" s="661"/>
      <c r="B253" s="663" t="s">
        <v>7104</v>
      </c>
      <c r="C253" s="657" t="s">
        <v>7141</v>
      </c>
      <c r="D253" s="657" t="s">
        <v>7604</v>
      </c>
      <c r="E253" s="663" t="s">
        <v>7605</v>
      </c>
      <c r="F253" s="658">
        <v>0.1</v>
      </c>
      <c r="G253" s="658">
        <v>0</v>
      </c>
      <c r="H253" s="664">
        <v>574400</v>
      </c>
      <c r="I253" s="664">
        <f t="shared" si="0"/>
        <v>522180</v>
      </c>
      <c r="J253" s="661"/>
      <c r="K253">
        <f t="shared" si="4"/>
        <v>443853</v>
      </c>
    </row>
    <row r="254" spans="1:11" ht="18.75" customHeight="1">
      <c r="A254" s="661"/>
      <c r="B254" s="663" t="s">
        <v>7104</v>
      </c>
      <c r="C254" s="657" t="s">
        <v>7141</v>
      </c>
      <c r="D254" s="657" t="s">
        <v>7606</v>
      </c>
      <c r="E254" s="663" t="s">
        <v>7607</v>
      </c>
      <c r="F254" s="658">
        <v>0.1</v>
      </c>
      <c r="G254" s="658">
        <v>0</v>
      </c>
      <c r="H254" s="664">
        <v>586200</v>
      </c>
      <c r="I254" s="664">
        <f t="shared" si="0"/>
        <v>532910</v>
      </c>
      <c r="J254" s="661"/>
      <c r="K254">
        <f t="shared" si="4"/>
        <v>452973.5</v>
      </c>
    </row>
    <row r="255" spans="1:11" ht="18.75" customHeight="1">
      <c r="A255" s="661"/>
      <c r="B255" s="663" t="s">
        <v>7104</v>
      </c>
      <c r="C255" s="657" t="s">
        <v>7141</v>
      </c>
      <c r="D255" s="657" t="s">
        <v>7608</v>
      </c>
      <c r="E255" s="663" t="s">
        <v>7609</v>
      </c>
      <c r="F255" s="658">
        <v>0.1</v>
      </c>
      <c r="G255" s="658">
        <v>0</v>
      </c>
      <c r="H255" s="664">
        <v>621500</v>
      </c>
      <c r="I255" s="664">
        <f t="shared" si="0"/>
        <v>565000</v>
      </c>
      <c r="J255" s="661"/>
      <c r="K255">
        <f t="shared" si="4"/>
        <v>480250</v>
      </c>
    </row>
    <row r="256" spans="1:11" ht="18.75" customHeight="1">
      <c r="A256" s="661"/>
      <c r="B256" s="663" t="s">
        <v>7104</v>
      </c>
      <c r="C256" s="657" t="s">
        <v>7141</v>
      </c>
      <c r="D256" s="657" t="s">
        <v>7610</v>
      </c>
      <c r="E256" s="663" t="s">
        <v>7611</v>
      </c>
      <c r="F256" s="658">
        <v>0.1</v>
      </c>
      <c r="G256" s="658">
        <v>0</v>
      </c>
      <c r="H256" s="664">
        <v>645000</v>
      </c>
      <c r="I256" s="664">
        <f t="shared" si="0"/>
        <v>586360</v>
      </c>
      <c r="J256" s="661"/>
      <c r="K256">
        <f t="shared" si="4"/>
        <v>498406</v>
      </c>
    </row>
    <row r="257" spans="1:11" ht="18.75" customHeight="1">
      <c r="A257" s="661"/>
      <c r="B257" s="663" t="s">
        <v>7104</v>
      </c>
      <c r="C257" s="657" t="s">
        <v>7141</v>
      </c>
      <c r="D257" s="657" t="s">
        <v>7612</v>
      </c>
      <c r="E257" s="663" t="s">
        <v>7613</v>
      </c>
      <c r="F257" s="658">
        <v>0.1</v>
      </c>
      <c r="G257" s="658">
        <v>0</v>
      </c>
      <c r="H257" s="664">
        <v>668600</v>
      </c>
      <c r="I257" s="664">
        <f t="shared" si="0"/>
        <v>607820</v>
      </c>
      <c r="J257" s="661"/>
      <c r="K257">
        <f t="shared" si="4"/>
        <v>516647</v>
      </c>
    </row>
    <row r="258" spans="1:11" ht="18.75" customHeight="1">
      <c r="A258" s="661"/>
      <c r="B258" s="663" t="s">
        <v>7104</v>
      </c>
      <c r="C258" s="657" t="s">
        <v>7141</v>
      </c>
      <c r="D258" s="657" t="s">
        <v>7614</v>
      </c>
      <c r="E258" s="663" t="s">
        <v>7615</v>
      </c>
      <c r="F258" s="658">
        <v>0.1</v>
      </c>
      <c r="G258" s="658">
        <v>0</v>
      </c>
      <c r="H258" s="664">
        <v>692100</v>
      </c>
      <c r="I258" s="664">
        <f t="shared" si="0"/>
        <v>629180</v>
      </c>
      <c r="J258" s="661"/>
      <c r="K258">
        <f t="shared" si="4"/>
        <v>534803</v>
      </c>
    </row>
    <row r="259" spans="1:11" ht="18.75" customHeight="1">
      <c r="A259" s="661"/>
      <c r="B259" s="663" t="s">
        <v>7104</v>
      </c>
      <c r="C259" s="657" t="s">
        <v>7141</v>
      </c>
      <c r="D259" s="657" t="s">
        <v>7616</v>
      </c>
      <c r="E259" s="663" t="s">
        <v>7617</v>
      </c>
      <c r="F259" s="658">
        <v>0.1</v>
      </c>
      <c r="G259" s="658">
        <v>0</v>
      </c>
      <c r="H259" s="664"/>
      <c r="I259" s="664">
        <f t="shared" si="0"/>
        <v>0</v>
      </c>
      <c r="J259" s="661"/>
      <c r="K259">
        <f t="shared" si="4"/>
        <v>0</v>
      </c>
    </row>
    <row r="260" spans="1:11" ht="18.75" customHeight="1">
      <c r="A260" s="661"/>
      <c r="B260" s="663" t="s">
        <v>7104</v>
      </c>
      <c r="C260" s="657" t="s">
        <v>7141</v>
      </c>
      <c r="D260" s="657" t="s">
        <v>7618</v>
      </c>
      <c r="E260" s="663" t="s">
        <v>7619</v>
      </c>
      <c r="F260" s="658">
        <v>0.1</v>
      </c>
      <c r="G260" s="658">
        <v>0</v>
      </c>
      <c r="H260" s="664">
        <v>727400</v>
      </c>
      <c r="I260" s="664">
        <f t="shared" ref="I260:I514" si="5">IF(ISBLANK(H260),,ROUND(H260/(1+F260),-1))</f>
        <v>661270</v>
      </c>
      <c r="J260" s="661"/>
      <c r="K260">
        <f t="shared" si="4"/>
        <v>562079.5</v>
      </c>
    </row>
    <row r="261" spans="1:11" ht="18.75" customHeight="1">
      <c r="A261" s="661"/>
      <c r="B261" s="663" t="s">
        <v>7104</v>
      </c>
      <c r="C261" s="657" t="s">
        <v>7141</v>
      </c>
      <c r="D261" s="657" t="s">
        <v>7620</v>
      </c>
      <c r="E261" s="663" t="s">
        <v>7621</v>
      </c>
      <c r="F261" s="658">
        <v>0.1</v>
      </c>
      <c r="G261" s="658">
        <v>0</v>
      </c>
      <c r="H261" s="664"/>
      <c r="I261" s="664">
        <f t="shared" si="5"/>
        <v>0</v>
      </c>
      <c r="J261" s="661"/>
      <c r="K261">
        <f t="shared" si="4"/>
        <v>0</v>
      </c>
    </row>
    <row r="262" spans="1:11" ht="18.75" customHeight="1">
      <c r="A262" s="661"/>
      <c r="B262" s="663" t="s">
        <v>7104</v>
      </c>
      <c r="C262" s="657" t="s">
        <v>7141</v>
      </c>
      <c r="D262" s="657" t="s">
        <v>7622</v>
      </c>
      <c r="E262" s="663" t="s">
        <v>7623</v>
      </c>
      <c r="F262" s="658">
        <v>0.1</v>
      </c>
      <c r="G262" s="658">
        <v>0</v>
      </c>
      <c r="H262" s="664">
        <v>762700</v>
      </c>
      <c r="I262" s="664">
        <f t="shared" si="5"/>
        <v>693360</v>
      </c>
      <c r="J262" s="661"/>
      <c r="K262">
        <f t="shared" ref="K262:K325" si="6">+I262*(1+$K$4)</f>
        <v>589356</v>
      </c>
    </row>
    <row r="263" spans="1:11" ht="18.75" customHeight="1">
      <c r="A263" s="661"/>
      <c r="B263" s="663" t="s">
        <v>7104</v>
      </c>
      <c r="C263" s="657" t="s">
        <v>7141</v>
      </c>
      <c r="D263" s="657" t="s">
        <v>7624</v>
      </c>
      <c r="E263" s="663" t="s">
        <v>7625</v>
      </c>
      <c r="F263" s="658">
        <v>0.1</v>
      </c>
      <c r="G263" s="658">
        <v>0</v>
      </c>
      <c r="H263" s="664"/>
      <c r="I263" s="664">
        <f t="shared" si="5"/>
        <v>0</v>
      </c>
      <c r="J263" s="661"/>
      <c r="K263">
        <f t="shared" si="6"/>
        <v>0</v>
      </c>
    </row>
    <row r="264" spans="1:11" ht="18.75" customHeight="1">
      <c r="A264" s="661"/>
      <c r="B264" s="663" t="s">
        <v>7104</v>
      </c>
      <c r="C264" s="657" t="s">
        <v>7141</v>
      </c>
      <c r="D264" s="657" t="s">
        <v>7626</v>
      </c>
      <c r="E264" s="663" t="s">
        <v>7627</v>
      </c>
      <c r="F264" s="658">
        <v>0.1</v>
      </c>
      <c r="G264" s="658">
        <v>0</v>
      </c>
      <c r="H264" s="664"/>
      <c r="I264" s="664">
        <f t="shared" si="5"/>
        <v>0</v>
      </c>
      <c r="J264" s="661"/>
      <c r="K264">
        <f t="shared" si="6"/>
        <v>0</v>
      </c>
    </row>
    <row r="265" spans="1:11" ht="18.75" customHeight="1">
      <c r="A265" s="661"/>
      <c r="B265" s="663" t="s">
        <v>7104</v>
      </c>
      <c r="C265" s="657" t="s">
        <v>7141</v>
      </c>
      <c r="D265" s="657" t="s">
        <v>7628</v>
      </c>
      <c r="E265" s="663" t="s">
        <v>7629</v>
      </c>
      <c r="F265" s="658">
        <v>0.1</v>
      </c>
      <c r="G265" s="658">
        <v>0</v>
      </c>
      <c r="H265" s="664"/>
      <c r="I265" s="664">
        <f t="shared" si="5"/>
        <v>0</v>
      </c>
      <c r="J265" s="661"/>
      <c r="K265">
        <f t="shared" si="6"/>
        <v>0</v>
      </c>
    </row>
    <row r="266" spans="1:11" ht="18.75" customHeight="1">
      <c r="A266" s="661"/>
      <c r="B266" s="663" t="s">
        <v>7104</v>
      </c>
      <c r="C266" s="657" t="s">
        <v>7141</v>
      </c>
      <c r="D266" s="657" t="s">
        <v>7630</v>
      </c>
      <c r="E266" s="663" t="s">
        <v>7631</v>
      </c>
      <c r="F266" s="658">
        <v>0.1</v>
      </c>
      <c r="G266" s="658">
        <v>0</v>
      </c>
      <c r="H266" s="664"/>
      <c r="I266" s="664">
        <f t="shared" si="5"/>
        <v>0</v>
      </c>
      <c r="J266" s="661"/>
      <c r="K266">
        <f t="shared" si="6"/>
        <v>0</v>
      </c>
    </row>
    <row r="267" spans="1:11" ht="18.75" customHeight="1">
      <c r="A267" s="661"/>
      <c r="B267" s="663" t="s">
        <v>7104</v>
      </c>
      <c r="C267" s="657" t="s">
        <v>7141</v>
      </c>
      <c r="D267" s="657" t="s">
        <v>7632</v>
      </c>
      <c r="E267" s="663" t="s">
        <v>7633</v>
      </c>
      <c r="F267" s="658">
        <v>0.1</v>
      </c>
      <c r="G267" s="658">
        <v>0</v>
      </c>
      <c r="H267" s="664"/>
      <c r="I267" s="664">
        <f t="shared" si="5"/>
        <v>0</v>
      </c>
      <c r="J267" s="661"/>
      <c r="K267">
        <f t="shared" si="6"/>
        <v>0</v>
      </c>
    </row>
    <row r="268" spans="1:11" ht="18.75" customHeight="1">
      <c r="A268" s="661"/>
      <c r="B268" s="663" t="s">
        <v>7104</v>
      </c>
      <c r="C268" s="657" t="s">
        <v>7141</v>
      </c>
      <c r="D268" s="657" t="s">
        <v>7634</v>
      </c>
      <c r="E268" s="663" t="s">
        <v>7635</v>
      </c>
      <c r="F268" s="658">
        <v>0.1</v>
      </c>
      <c r="G268" s="658">
        <v>0</v>
      </c>
      <c r="H268" s="664"/>
      <c r="I268" s="664">
        <f t="shared" si="5"/>
        <v>0</v>
      </c>
      <c r="J268" s="661"/>
      <c r="K268">
        <f t="shared" si="6"/>
        <v>0</v>
      </c>
    </row>
    <row r="269" spans="1:11" ht="18.75" customHeight="1">
      <c r="A269" s="661"/>
      <c r="B269" s="663" t="s">
        <v>7104</v>
      </c>
      <c r="C269" s="657" t="s">
        <v>7141</v>
      </c>
      <c r="D269" s="657" t="s">
        <v>7636</v>
      </c>
      <c r="E269" s="663" t="s">
        <v>7637</v>
      </c>
      <c r="F269" s="658">
        <v>0.1</v>
      </c>
      <c r="G269" s="658">
        <v>0</v>
      </c>
      <c r="H269" s="664"/>
      <c r="I269" s="664">
        <f t="shared" si="5"/>
        <v>0</v>
      </c>
      <c r="J269" s="661"/>
      <c r="K269">
        <f t="shared" si="6"/>
        <v>0</v>
      </c>
    </row>
    <row r="270" spans="1:11" ht="18.75" customHeight="1">
      <c r="A270" s="661"/>
      <c r="B270" s="663" t="s">
        <v>7104</v>
      </c>
      <c r="C270" s="657" t="s">
        <v>7141</v>
      </c>
      <c r="D270" s="657" t="s">
        <v>7638</v>
      </c>
      <c r="E270" s="663" t="s">
        <v>7639</v>
      </c>
      <c r="F270" s="658">
        <v>0.1</v>
      </c>
      <c r="G270" s="658">
        <v>0</v>
      </c>
      <c r="H270" s="664"/>
      <c r="I270" s="664">
        <f t="shared" si="5"/>
        <v>0</v>
      </c>
      <c r="J270" s="661"/>
      <c r="K270">
        <f t="shared" si="6"/>
        <v>0</v>
      </c>
    </row>
    <row r="271" spans="1:11" ht="18.75" customHeight="1">
      <c r="A271" s="661"/>
      <c r="B271" s="663" t="s">
        <v>7104</v>
      </c>
      <c r="C271" s="657" t="s">
        <v>7141</v>
      </c>
      <c r="D271" s="657" t="s">
        <v>7640</v>
      </c>
      <c r="E271" s="663" t="s">
        <v>7641</v>
      </c>
      <c r="F271" s="658">
        <v>0.1</v>
      </c>
      <c r="G271" s="658">
        <v>0</v>
      </c>
      <c r="H271" s="664"/>
      <c r="I271" s="664">
        <f t="shared" si="5"/>
        <v>0</v>
      </c>
      <c r="J271" s="661"/>
      <c r="K271">
        <f t="shared" si="6"/>
        <v>0</v>
      </c>
    </row>
    <row r="272" spans="1:11" ht="18.75" customHeight="1">
      <c r="A272" s="661"/>
      <c r="B272" s="663" t="s">
        <v>7642</v>
      </c>
      <c r="C272" s="657" t="s">
        <v>7105</v>
      </c>
      <c r="D272" s="657" t="s">
        <v>7643</v>
      </c>
      <c r="E272" s="663" t="s">
        <v>7107</v>
      </c>
      <c r="F272" s="658">
        <v>0.1</v>
      </c>
      <c r="G272" s="658">
        <v>0</v>
      </c>
      <c r="H272" s="664"/>
      <c r="I272" s="664">
        <f t="shared" si="5"/>
        <v>0</v>
      </c>
      <c r="J272" s="661"/>
      <c r="K272">
        <f t="shared" si="6"/>
        <v>0</v>
      </c>
    </row>
    <row r="273" spans="1:11" ht="18.75" customHeight="1">
      <c r="A273" s="661"/>
      <c r="B273" s="663" t="s">
        <v>7642</v>
      </c>
      <c r="C273" s="657" t="s">
        <v>7105</v>
      </c>
      <c r="D273" s="657" t="s">
        <v>7644</v>
      </c>
      <c r="E273" s="663" t="s">
        <v>7109</v>
      </c>
      <c r="F273" s="658">
        <v>0.1</v>
      </c>
      <c r="G273" s="658">
        <v>0</v>
      </c>
      <c r="H273" s="664"/>
      <c r="I273" s="664">
        <f t="shared" si="5"/>
        <v>0</v>
      </c>
      <c r="J273" s="661"/>
      <c r="K273">
        <f t="shared" si="6"/>
        <v>0</v>
      </c>
    </row>
    <row r="274" spans="1:11" ht="18.75" customHeight="1">
      <c r="A274" s="661"/>
      <c r="B274" s="663" t="s">
        <v>7642</v>
      </c>
      <c r="C274" s="657" t="s">
        <v>7105</v>
      </c>
      <c r="D274" s="657" t="s">
        <v>7645</v>
      </c>
      <c r="E274" s="663" t="s">
        <v>7111</v>
      </c>
      <c r="F274" s="658">
        <v>0.1</v>
      </c>
      <c r="G274" s="658">
        <v>0</v>
      </c>
      <c r="H274" s="664"/>
      <c r="I274" s="664">
        <f t="shared" si="5"/>
        <v>0</v>
      </c>
      <c r="J274" s="661"/>
      <c r="K274">
        <f t="shared" si="6"/>
        <v>0</v>
      </c>
    </row>
    <row r="275" spans="1:11" ht="18.75" customHeight="1">
      <c r="A275" s="661"/>
      <c r="B275" s="663" t="s">
        <v>7642</v>
      </c>
      <c r="C275" s="657" t="s">
        <v>7105</v>
      </c>
      <c r="D275" s="657" t="s">
        <v>7646</v>
      </c>
      <c r="E275" s="663" t="s">
        <v>7113</v>
      </c>
      <c r="F275" s="658">
        <v>0.1</v>
      </c>
      <c r="G275" s="658">
        <v>0</v>
      </c>
      <c r="H275" s="664">
        <v>18800</v>
      </c>
      <c r="I275" s="664">
        <f t="shared" si="5"/>
        <v>17090</v>
      </c>
      <c r="J275" s="661"/>
      <c r="K275">
        <f t="shared" si="6"/>
        <v>14526.5</v>
      </c>
    </row>
    <row r="276" spans="1:11" ht="18.75" customHeight="1">
      <c r="A276" s="661"/>
      <c r="B276" s="663" t="s">
        <v>7642</v>
      </c>
      <c r="C276" s="657" t="s">
        <v>7105</v>
      </c>
      <c r="D276" s="657" t="s">
        <v>7647</v>
      </c>
      <c r="E276" s="663" t="s">
        <v>7115</v>
      </c>
      <c r="F276" s="658">
        <v>0.1</v>
      </c>
      <c r="G276" s="658">
        <v>0</v>
      </c>
      <c r="H276" s="664"/>
      <c r="I276" s="664">
        <f t="shared" si="5"/>
        <v>0</v>
      </c>
      <c r="J276" s="661"/>
      <c r="K276">
        <f t="shared" si="6"/>
        <v>0</v>
      </c>
    </row>
    <row r="277" spans="1:11" ht="18.75" customHeight="1">
      <c r="A277" s="661"/>
      <c r="B277" s="663" t="s">
        <v>7642</v>
      </c>
      <c r="C277" s="657" t="s">
        <v>7105</v>
      </c>
      <c r="D277" s="657" t="s">
        <v>7648</v>
      </c>
      <c r="E277" s="663" t="s">
        <v>7117</v>
      </c>
      <c r="F277" s="658">
        <v>0.1</v>
      </c>
      <c r="G277" s="658">
        <v>0</v>
      </c>
      <c r="H277" s="664"/>
      <c r="I277" s="664">
        <f t="shared" si="5"/>
        <v>0</v>
      </c>
      <c r="J277" s="661"/>
      <c r="K277">
        <f t="shared" si="6"/>
        <v>0</v>
      </c>
    </row>
    <row r="278" spans="1:11" ht="18.75" customHeight="1">
      <c r="A278" s="661"/>
      <c r="B278" s="663" t="s">
        <v>7642</v>
      </c>
      <c r="C278" s="657" t="s">
        <v>7105</v>
      </c>
      <c r="D278" s="657" t="s">
        <v>7649</v>
      </c>
      <c r="E278" s="663" t="s">
        <v>7119</v>
      </c>
      <c r="F278" s="658">
        <v>0.1</v>
      </c>
      <c r="G278" s="658">
        <v>0</v>
      </c>
      <c r="H278" s="664"/>
      <c r="I278" s="664">
        <f t="shared" si="5"/>
        <v>0</v>
      </c>
      <c r="J278" s="661"/>
      <c r="K278">
        <f t="shared" si="6"/>
        <v>0</v>
      </c>
    </row>
    <row r="279" spans="1:11" ht="18.75" customHeight="1">
      <c r="A279" s="661"/>
      <c r="B279" s="663" t="s">
        <v>7642</v>
      </c>
      <c r="C279" s="657" t="s">
        <v>7105</v>
      </c>
      <c r="D279" s="657" t="s">
        <v>7650</v>
      </c>
      <c r="E279" s="663" t="s">
        <v>7121</v>
      </c>
      <c r="F279" s="658">
        <v>0.1</v>
      </c>
      <c r="G279" s="658">
        <v>0</v>
      </c>
      <c r="H279" s="664"/>
      <c r="I279" s="664">
        <f t="shared" si="5"/>
        <v>0</v>
      </c>
      <c r="J279" s="661"/>
      <c r="K279">
        <f t="shared" si="6"/>
        <v>0</v>
      </c>
    </row>
    <row r="280" spans="1:11" ht="18.75" customHeight="1">
      <c r="A280" s="661"/>
      <c r="B280" s="663" t="s">
        <v>7642</v>
      </c>
      <c r="C280" s="657" t="s">
        <v>7105</v>
      </c>
      <c r="D280" s="657" t="s">
        <v>7651</v>
      </c>
      <c r="E280" s="663" t="s">
        <v>7123</v>
      </c>
      <c r="F280" s="658">
        <v>0.1</v>
      </c>
      <c r="G280" s="658">
        <v>0</v>
      </c>
      <c r="H280" s="664"/>
      <c r="I280" s="664">
        <f t="shared" si="5"/>
        <v>0</v>
      </c>
      <c r="J280" s="661"/>
      <c r="K280">
        <f t="shared" si="6"/>
        <v>0</v>
      </c>
    </row>
    <row r="281" spans="1:11" ht="18.75" customHeight="1">
      <c r="A281" s="661"/>
      <c r="B281" s="663" t="s">
        <v>7642</v>
      </c>
      <c r="C281" s="657" t="s">
        <v>7105</v>
      </c>
      <c r="D281" s="657" t="s">
        <v>7652</v>
      </c>
      <c r="E281" s="663" t="s">
        <v>7125</v>
      </c>
      <c r="F281" s="658">
        <v>0.1</v>
      </c>
      <c r="G281" s="658">
        <v>0</v>
      </c>
      <c r="H281" s="664"/>
      <c r="I281" s="664">
        <f t="shared" si="5"/>
        <v>0</v>
      </c>
      <c r="J281" s="661"/>
      <c r="K281">
        <f t="shared" si="6"/>
        <v>0</v>
      </c>
    </row>
    <row r="282" spans="1:11" ht="18.75" customHeight="1">
      <c r="A282" s="661"/>
      <c r="B282" s="663" t="s">
        <v>7642</v>
      </c>
      <c r="C282" s="657" t="s">
        <v>7105</v>
      </c>
      <c r="D282" s="657" t="s">
        <v>7653</v>
      </c>
      <c r="E282" s="663" t="s">
        <v>7127</v>
      </c>
      <c r="F282" s="658">
        <v>0.1</v>
      </c>
      <c r="G282" s="658">
        <v>0</v>
      </c>
      <c r="H282" s="664"/>
      <c r="I282" s="664">
        <f t="shared" si="5"/>
        <v>0</v>
      </c>
      <c r="J282" s="661"/>
      <c r="K282">
        <f t="shared" si="6"/>
        <v>0</v>
      </c>
    </row>
    <row r="283" spans="1:11" ht="18.75" customHeight="1">
      <c r="A283" s="661"/>
      <c r="B283" s="663" t="s">
        <v>7642</v>
      </c>
      <c r="C283" s="657" t="s">
        <v>7105</v>
      </c>
      <c r="D283" s="657" t="s">
        <v>7654</v>
      </c>
      <c r="E283" s="663" t="s">
        <v>7129</v>
      </c>
      <c r="F283" s="658">
        <v>0.1</v>
      </c>
      <c r="G283" s="658">
        <v>0</v>
      </c>
      <c r="H283" s="664">
        <v>8800</v>
      </c>
      <c r="I283" s="664">
        <f t="shared" si="5"/>
        <v>8000</v>
      </c>
      <c r="J283" s="661"/>
      <c r="K283">
        <f t="shared" si="6"/>
        <v>6800</v>
      </c>
    </row>
    <row r="284" spans="1:11" ht="18.75" customHeight="1">
      <c r="A284" s="661"/>
      <c r="B284" s="663" t="s">
        <v>7642</v>
      </c>
      <c r="C284" s="657" t="s">
        <v>7105</v>
      </c>
      <c r="D284" s="657" t="s">
        <v>7655</v>
      </c>
      <c r="E284" s="663" t="s">
        <v>7131</v>
      </c>
      <c r="F284" s="658">
        <v>0.1</v>
      </c>
      <c r="G284" s="658">
        <v>0</v>
      </c>
      <c r="H284" s="664">
        <v>8800</v>
      </c>
      <c r="I284" s="664">
        <f t="shared" si="5"/>
        <v>8000</v>
      </c>
      <c r="J284" s="661"/>
      <c r="K284">
        <f t="shared" si="6"/>
        <v>6800</v>
      </c>
    </row>
    <row r="285" spans="1:11" ht="18.75" customHeight="1">
      <c r="A285" s="661"/>
      <c r="B285" s="663" t="s">
        <v>7642</v>
      </c>
      <c r="C285" s="657" t="s">
        <v>7105</v>
      </c>
      <c r="D285" s="657" t="s">
        <v>7656</v>
      </c>
      <c r="E285" s="663" t="s">
        <v>7133</v>
      </c>
      <c r="F285" s="658">
        <v>0.1</v>
      </c>
      <c r="G285" s="658">
        <v>0</v>
      </c>
      <c r="H285" s="664">
        <v>9500</v>
      </c>
      <c r="I285" s="664">
        <f t="shared" si="5"/>
        <v>8640</v>
      </c>
      <c r="J285" s="661"/>
      <c r="K285">
        <f t="shared" si="6"/>
        <v>7344</v>
      </c>
    </row>
    <row r="286" spans="1:11" ht="18.75" customHeight="1">
      <c r="A286" s="661"/>
      <c r="B286" s="663" t="s">
        <v>7642</v>
      </c>
      <c r="C286" s="657" t="s">
        <v>7105</v>
      </c>
      <c r="D286" s="657" t="s">
        <v>7657</v>
      </c>
      <c r="E286" s="663" t="s">
        <v>7135</v>
      </c>
      <c r="F286" s="658">
        <v>0.1</v>
      </c>
      <c r="G286" s="658">
        <v>0</v>
      </c>
      <c r="H286" s="664">
        <v>9500</v>
      </c>
      <c r="I286" s="664">
        <f t="shared" si="5"/>
        <v>8640</v>
      </c>
      <c r="J286" s="661"/>
      <c r="K286">
        <f t="shared" si="6"/>
        <v>7344</v>
      </c>
    </row>
    <row r="287" spans="1:11" ht="18.75" customHeight="1">
      <c r="A287" s="661"/>
      <c r="B287" s="663" t="s">
        <v>7642</v>
      </c>
      <c r="C287" s="657" t="s">
        <v>7136</v>
      </c>
      <c r="D287" s="657" t="s">
        <v>7658</v>
      </c>
      <c r="E287" s="663" t="s">
        <v>7138</v>
      </c>
      <c r="F287" s="658">
        <v>0.1</v>
      </c>
      <c r="G287" s="658">
        <v>0</v>
      </c>
      <c r="H287" s="664">
        <v>11200</v>
      </c>
      <c r="I287" s="664">
        <f t="shared" si="5"/>
        <v>10180</v>
      </c>
      <c r="J287" s="661"/>
      <c r="K287">
        <f t="shared" si="6"/>
        <v>8653</v>
      </c>
    </row>
    <row r="288" spans="1:11" ht="18.75" customHeight="1">
      <c r="A288" s="661"/>
      <c r="B288" s="663" t="s">
        <v>7642</v>
      </c>
      <c r="C288" s="657" t="s">
        <v>7136</v>
      </c>
      <c r="D288" s="657" t="s">
        <v>7659</v>
      </c>
      <c r="E288" s="663" t="s">
        <v>7140</v>
      </c>
      <c r="F288" s="658">
        <v>0.1</v>
      </c>
      <c r="G288" s="658">
        <v>0</v>
      </c>
      <c r="H288" s="664">
        <v>11200</v>
      </c>
      <c r="I288" s="664">
        <f t="shared" si="5"/>
        <v>10180</v>
      </c>
      <c r="J288" s="661"/>
      <c r="K288">
        <f t="shared" si="6"/>
        <v>8653</v>
      </c>
    </row>
    <row r="289" spans="1:11" ht="18.75" customHeight="1">
      <c r="A289" s="661"/>
      <c r="B289" s="663" t="s">
        <v>7642</v>
      </c>
      <c r="C289" s="657" t="s">
        <v>7141</v>
      </c>
      <c r="D289" s="657" t="s">
        <v>7660</v>
      </c>
      <c r="E289" s="663" t="s">
        <v>7143</v>
      </c>
      <c r="F289" s="658">
        <v>0.1</v>
      </c>
      <c r="G289" s="658">
        <v>0</v>
      </c>
      <c r="H289" s="664">
        <v>11200</v>
      </c>
      <c r="I289" s="664">
        <f t="shared" si="5"/>
        <v>10180</v>
      </c>
      <c r="J289" s="661"/>
      <c r="K289">
        <f t="shared" si="6"/>
        <v>8653</v>
      </c>
    </row>
    <row r="290" spans="1:11" ht="18.75" customHeight="1">
      <c r="A290" s="661"/>
      <c r="B290" s="663" t="s">
        <v>7642</v>
      </c>
      <c r="C290" s="657" t="s">
        <v>7105</v>
      </c>
      <c r="D290" s="657" t="s">
        <v>7661</v>
      </c>
      <c r="E290" s="663" t="s">
        <v>7145</v>
      </c>
      <c r="F290" s="658">
        <v>0.1</v>
      </c>
      <c r="G290" s="658">
        <v>0</v>
      </c>
      <c r="H290" s="664">
        <v>12320</v>
      </c>
      <c r="I290" s="664">
        <f t="shared" si="5"/>
        <v>11200</v>
      </c>
      <c r="J290" s="661"/>
      <c r="K290">
        <f t="shared" si="6"/>
        <v>9520</v>
      </c>
    </row>
    <row r="291" spans="1:11" ht="18.75" customHeight="1">
      <c r="A291" s="661"/>
      <c r="B291" s="663" t="s">
        <v>7642</v>
      </c>
      <c r="C291" s="657" t="s">
        <v>7105</v>
      </c>
      <c r="D291" s="657" t="s">
        <v>7662</v>
      </c>
      <c r="E291" s="663" t="s">
        <v>7147</v>
      </c>
      <c r="F291" s="658">
        <v>0.1</v>
      </c>
      <c r="G291" s="658">
        <v>0</v>
      </c>
      <c r="H291" s="664">
        <v>12320</v>
      </c>
      <c r="I291" s="664">
        <f t="shared" si="5"/>
        <v>11200</v>
      </c>
      <c r="J291" s="661"/>
      <c r="K291">
        <f t="shared" si="6"/>
        <v>9520</v>
      </c>
    </row>
    <row r="292" spans="1:11" ht="18.75" customHeight="1">
      <c r="A292" s="661"/>
      <c r="B292" s="663" t="s">
        <v>7642</v>
      </c>
      <c r="C292" s="657" t="s">
        <v>7105</v>
      </c>
      <c r="D292" s="657" t="s">
        <v>7663</v>
      </c>
      <c r="E292" s="663" t="s">
        <v>7149</v>
      </c>
      <c r="F292" s="658">
        <v>0.1</v>
      </c>
      <c r="G292" s="658">
        <v>0</v>
      </c>
      <c r="H292" s="664">
        <v>12980</v>
      </c>
      <c r="I292" s="664">
        <f t="shared" si="5"/>
        <v>11800</v>
      </c>
      <c r="J292" s="661"/>
      <c r="K292">
        <f t="shared" si="6"/>
        <v>10030</v>
      </c>
    </row>
    <row r="293" spans="1:11" ht="18.75" customHeight="1">
      <c r="A293" s="661"/>
      <c r="B293" s="663" t="s">
        <v>7642</v>
      </c>
      <c r="C293" s="657" t="s">
        <v>7105</v>
      </c>
      <c r="D293" s="657" t="s">
        <v>7664</v>
      </c>
      <c r="E293" s="663" t="s">
        <v>7151</v>
      </c>
      <c r="F293" s="658">
        <v>0.1</v>
      </c>
      <c r="G293" s="658">
        <v>0</v>
      </c>
      <c r="H293" s="664">
        <v>12980</v>
      </c>
      <c r="I293" s="664">
        <f t="shared" si="5"/>
        <v>11800</v>
      </c>
      <c r="J293" s="661"/>
      <c r="K293">
        <f t="shared" si="6"/>
        <v>10030</v>
      </c>
    </row>
    <row r="294" spans="1:11" ht="18.75" customHeight="1">
      <c r="A294" s="661"/>
      <c r="B294" s="663" t="s">
        <v>7642</v>
      </c>
      <c r="C294" s="657" t="s">
        <v>7105</v>
      </c>
      <c r="D294" s="657" t="s">
        <v>7665</v>
      </c>
      <c r="E294" s="663" t="s">
        <v>7153</v>
      </c>
      <c r="F294" s="658">
        <v>0.1</v>
      </c>
      <c r="G294" s="658">
        <v>0</v>
      </c>
      <c r="H294" s="664">
        <v>14100</v>
      </c>
      <c r="I294" s="664">
        <f t="shared" si="5"/>
        <v>12820</v>
      </c>
      <c r="J294" s="661"/>
      <c r="K294">
        <f t="shared" si="6"/>
        <v>10897</v>
      </c>
    </row>
    <row r="295" spans="1:11" ht="18.75" customHeight="1">
      <c r="A295" s="661"/>
      <c r="B295" s="663" t="s">
        <v>7642</v>
      </c>
      <c r="C295" s="657" t="s">
        <v>7105</v>
      </c>
      <c r="D295" s="657" t="s">
        <v>7666</v>
      </c>
      <c r="E295" s="663" t="s">
        <v>7155</v>
      </c>
      <c r="F295" s="658">
        <v>0.1</v>
      </c>
      <c r="G295" s="658">
        <v>0</v>
      </c>
      <c r="H295" s="664">
        <v>14100</v>
      </c>
      <c r="I295" s="664">
        <f t="shared" si="5"/>
        <v>12820</v>
      </c>
      <c r="J295" s="661"/>
      <c r="K295">
        <f t="shared" si="6"/>
        <v>10897</v>
      </c>
    </row>
    <row r="296" spans="1:11" ht="18.75" customHeight="1">
      <c r="A296" s="661"/>
      <c r="B296" s="663" t="s">
        <v>7642</v>
      </c>
      <c r="C296" s="657" t="s">
        <v>7136</v>
      </c>
      <c r="D296" s="657" t="s">
        <v>7667</v>
      </c>
      <c r="E296" s="663" t="s">
        <v>7157</v>
      </c>
      <c r="F296" s="658">
        <v>0.1</v>
      </c>
      <c r="G296" s="658">
        <v>0</v>
      </c>
      <c r="H296" s="664">
        <v>14100</v>
      </c>
      <c r="I296" s="664">
        <f t="shared" si="5"/>
        <v>12820</v>
      </c>
      <c r="J296" s="661"/>
      <c r="K296">
        <f t="shared" si="6"/>
        <v>10897</v>
      </c>
    </row>
    <row r="297" spans="1:11" ht="18.75" customHeight="1">
      <c r="A297" s="661"/>
      <c r="B297" s="663" t="s">
        <v>7642</v>
      </c>
      <c r="C297" s="657" t="s">
        <v>7136</v>
      </c>
      <c r="D297" s="657" t="s">
        <v>7668</v>
      </c>
      <c r="E297" s="663" t="s">
        <v>7159</v>
      </c>
      <c r="F297" s="658">
        <v>0.1</v>
      </c>
      <c r="G297" s="658">
        <v>0</v>
      </c>
      <c r="H297" s="664">
        <v>17700</v>
      </c>
      <c r="I297" s="664">
        <f t="shared" si="5"/>
        <v>16090</v>
      </c>
      <c r="J297" s="661"/>
      <c r="K297">
        <f t="shared" si="6"/>
        <v>13676.5</v>
      </c>
    </row>
    <row r="298" spans="1:11" ht="18.75" customHeight="1">
      <c r="A298" s="661"/>
      <c r="B298" s="663" t="s">
        <v>7642</v>
      </c>
      <c r="C298" s="657" t="s">
        <v>7136</v>
      </c>
      <c r="D298" s="657" t="s">
        <v>7669</v>
      </c>
      <c r="E298" s="663" t="s">
        <v>7161</v>
      </c>
      <c r="F298" s="658">
        <v>0.1</v>
      </c>
      <c r="G298" s="658">
        <v>0</v>
      </c>
      <c r="H298" s="664">
        <v>17700</v>
      </c>
      <c r="I298" s="664">
        <f t="shared" si="5"/>
        <v>16090</v>
      </c>
      <c r="J298" s="661"/>
      <c r="K298">
        <f t="shared" si="6"/>
        <v>13676.5</v>
      </c>
    </row>
    <row r="299" spans="1:11" ht="18.75" customHeight="1">
      <c r="A299" s="661"/>
      <c r="B299" s="663" t="s">
        <v>7642</v>
      </c>
      <c r="C299" s="657" t="s">
        <v>7105</v>
      </c>
      <c r="D299" s="657" t="s">
        <v>7670</v>
      </c>
      <c r="E299" s="663" t="s">
        <v>7163</v>
      </c>
      <c r="F299" s="658">
        <v>0.1</v>
      </c>
      <c r="G299" s="658">
        <v>0</v>
      </c>
      <c r="H299" s="664">
        <v>18810</v>
      </c>
      <c r="I299" s="664">
        <f t="shared" si="5"/>
        <v>17100</v>
      </c>
      <c r="J299" s="661"/>
      <c r="K299">
        <f t="shared" si="6"/>
        <v>14535</v>
      </c>
    </row>
    <row r="300" spans="1:11" ht="18.75" customHeight="1">
      <c r="A300" s="661"/>
      <c r="B300" s="663" t="s">
        <v>7642</v>
      </c>
      <c r="C300" s="657" t="s">
        <v>7136</v>
      </c>
      <c r="D300" s="657" t="s">
        <v>7671</v>
      </c>
      <c r="E300" s="663" t="s">
        <v>7165</v>
      </c>
      <c r="F300" s="658">
        <v>0.1</v>
      </c>
      <c r="G300" s="658">
        <v>0</v>
      </c>
      <c r="H300" s="664">
        <v>20000</v>
      </c>
      <c r="I300" s="664">
        <f t="shared" si="5"/>
        <v>18180</v>
      </c>
      <c r="J300" s="661"/>
      <c r="K300">
        <f t="shared" si="6"/>
        <v>15453</v>
      </c>
    </row>
    <row r="301" spans="1:11" ht="18.75" customHeight="1">
      <c r="A301" s="661"/>
      <c r="B301" s="663" t="s">
        <v>7642</v>
      </c>
      <c r="C301" s="657" t="s">
        <v>7105</v>
      </c>
      <c r="D301" s="657" t="s">
        <v>7672</v>
      </c>
      <c r="E301" s="663" t="s">
        <v>7167</v>
      </c>
      <c r="F301" s="658">
        <v>0.1</v>
      </c>
      <c r="G301" s="658">
        <v>0</v>
      </c>
      <c r="H301" s="664">
        <v>22300</v>
      </c>
      <c r="I301" s="664">
        <f t="shared" si="5"/>
        <v>20270</v>
      </c>
      <c r="J301" s="661"/>
      <c r="K301">
        <f t="shared" si="6"/>
        <v>17229.5</v>
      </c>
    </row>
    <row r="302" spans="1:11" ht="18.75" customHeight="1">
      <c r="A302" s="661"/>
      <c r="B302" s="663" t="s">
        <v>7642</v>
      </c>
      <c r="C302" s="657" t="s">
        <v>7141</v>
      </c>
      <c r="D302" s="657" t="s">
        <v>7673</v>
      </c>
      <c r="E302" s="663" t="s">
        <v>7169</v>
      </c>
      <c r="F302" s="658">
        <v>0.1</v>
      </c>
      <c r="G302" s="658">
        <v>0</v>
      </c>
      <c r="H302" s="664">
        <v>23500</v>
      </c>
      <c r="I302" s="664">
        <f t="shared" si="5"/>
        <v>21360</v>
      </c>
      <c r="J302" s="661"/>
      <c r="K302">
        <f t="shared" si="6"/>
        <v>18156</v>
      </c>
    </row>
    <row r="303" spans="1:11" ht="18.75" customHeight="1">
      <c r="A303" s="661"/>
      <c r="B303" s="663" t="s">
        <v>7642</v>
      </c>
      <c r="C303" s="657" t="s">
        <v>7136</v>
      </c>
      <c r="D303" s="657" t="s">
        <v>7674</v>
      </c>
      <c r="E303" s="663" t="s">
        <v>7171</v>
      </c>
      <c r="F303" s="658">
        <v>0.1</v>
      </c>
      <c r="G303" s="658">
        <v>0</v>
      </c>
      <c r="H303" s="664">
        <v>27100</v>
      </c>
      <c r="I303" s="664">
        <f t="shared" si="5"/>
        <v>24640</v>
      </c>
      <c r="J303" s="661"/>
      <c r="K303">
        <f t="shared" si="6"/>
        <v>20944</v>
      </c>
    </row>
    <row r="304" spans="1:11" ht="18.75" customHeight="1">
      <c r="A304" s="661"/>
      <c r="B304" s="663" t="s">
        <v>7642</v>
      </c>
      <c r="C304" s="657" t="s">
        <v>7136</v>
      </c>
      <c r="D304" s="657" t="s">
        <v>7675</v>
      </c>
      <c r="E304" s="663" t="s">
        <v>7173</v>
      </c>
      <c r="F304" s="658">
        <v>0.1</v>
      </c>
      <c r="G304" s="658">
        <v>0</v>
      </c>
      <c r="H304" s="664">
        <v>30600</v>
      </c>
      <c r="I304" s="664">
        <f t="shared" si="5"/>
        <v>27820</v>
      </c>
      <c r="J304" s="661"/>
      <c r="K304">
        <f t="shared" si="6"/>
        <v>23647</v>
      </c>
    </row>
    <row r="305" spans="1:11" ht="18.75" customHeight="1">
      <c r="A305" s="661"/>
      <c r="B305" s="663" t="s">
        <v>7642</v>
      </c>
      <c r="C305" s="657" t="s">
        <v>7141</v>
      </c>
      <c r="D305" s="657" t="s">
        <v>7676</v>
      </c>
      <c r="E305" s="663" t="s">
        <v>7175</v>
      </c>
      <c r="F305" s="658">
        <v>0.1</v>
      </c>
      <c r="G305" s="658">
        <v>0</v>
      </c>
      <c r="H305" s="664">
        <v>33000</v>
      </c>
      <c r="I305" s="664">
        <f t="shared" si="5"/>
        <v>30000</v>
      </c>
      <c r="J305" s="661"/>
      <c r="K305">
        <f t="shared" si="6"/>
        <v>25500</v>
      </c>
    </row>
    <row r="306" spans="1:11" ht="18.75" customHeight="1">
      <c r="A306" s="661"/>
      <c r="B306" s="663" t="s">
        <v>7642</v>
      </c>
      <c r="C306" s="657" t="s">
        <v>7141</v>
      </c>
      <c r="D306" s="657" t="s">
        <v>7677</v>
      </c>
      <c r="E306" s="663" t="s">
        <v>7177</v>
      </c>
      <c r="F306" s="658">
        <v>0.1</v>
      </c>
      <c r="G306" s="658">
        <v>0</v>
      </c>
      <c r="H306" s="664">
        <v>35300</v>
      </c>
      <c r="I306" s="664">
        <f t="shared" si="5"/>
        <v>32090</v>
      </c>
      <c r="J306" s="661"/>
      <c r="K306">
        <f t="shared" si="6"/>
        <v>27276.5</v>
      </c>
    </row>
    <row r="307" spans="1:11" ht="18.75" customHeight="1">
      <c r="A307" s="661"/>
      <c r="B307" s="663" t="s">
        <v>7642</v>
      </c>
      <c r="C307" s="657" t="s">
        <v>7141</v>
      </c>
      <c r="D307" s="657" t="s">
        <v>7678</v>
      </c>
      <c r="E307" s="663" t="s">
        <v>7179</v>
      </c>
      <c r="F307" s="658">
        <v>0.1</v>
      </c>
      <c r="G307" s="658">
        <v>0</v>
      </c>
      <c r="H307" s="664">
        <v>35300</v>
      </c>
      <c r="I307" s="664">
        <f t="shared" si="5"/>
        <v>32090</v>
      </c>
      <c r="J307" s="661"/>
      <c r="K307">
        <f t="shared" si="6"/>
        <v>27276.5</v>
      </c>
    </row>
    <row r="308" spans="1:11" ht="18.75" customHeight="1">
      <c r="A308" s="661"/>
      <c r="B308" s="663" t="s">
        <v>7642</v>
      </c>
      <c r="C308" s="657" t="s">
        <v>7141</v>
      </c>
      <c r="D308" s="657" t="s">
        <v>7679</v>
      </c>
      <c r="E308" s="663" t="s">
        <v>7181</v>
      </c>
      <c r="F308" s="658">
        <v>0.1</v>
      </c>
      <c r="G308" s="658">
        <v>0</v>
      </c>
      <c r="H308" s="664"/>
      <c r="I308" s="664">
        <f t="shared" si="5"/>
        <v>0</v>
      </c>
      <c r="J308" s="661"/>
      <c r="K308">
        <f t="shared" si="6"/>
        <v>0</v>
      </c>
    </row>
    <row r="309" spans="1:11" ht="18.75" customHeight="1">
      <c r="A309" s="661"/>
      <c r="B309" s="663" t="s">
        <v>7642</v>
      </c>
      <c r="C309" s="657" t="s">
        <v>7136</v>
      </c>
      <c r="D309" s="657" t="s">
        <v>7680</v>
      </c>
      <c r="E309" s="663" t="s">
        <v>7183</v>
      </c>
      <c r="F309" s="658">
        <v>0.1</v>
      </c>
      <c r="G309" s="658">
        <v>0</v>
      </c>
      <c r="H309" s="664">
        <v>35200</v>
      </c>
      <c r="I309" s="664">
        <f t="shared" si="5"/>
        <v>32000</v>
      </c>
      <c r="J309" s="661"/>
      <c r="K309">
        <f t="shared" si="6"/>
        <v>27200</v>
      </c>
    </row>
    <row r="310" spans="1:11" ht="18.75" customHeight="1">
      <c r="A310" s="661"/>
      <c r="B310" s="663" t="s">
        <v>7642</v>
      </c>
      <c r="C310" s="657" t="s">
        <v>7136</v>
      </c>
      <c r="D310" s="657" t="s">
        <v>7681</v>
      </c>
      <c r="E310" s="663" t="s">
        <v>7185</v>
      </c>
      <c r="F310" s="658">
        <v>0.1</v>
      </c>
      <c r="G310" s="658">
        <v>0</v>
      </c>
      <c r="H310" s="664"/>
      <c r="I310" s="664">
        <f t="shared" si="5"/>
        <v>0</v>
      </c>
      <c r="J310" s="661"/>
      <c r="K310">
        <f t="shared" si="6"/>
        <v>0</v>
      </c>
    </row>
    <row r="311" spans="1:11" ht="18.75" customHeight="1">
      <c r="A311" s="661"/>
      <c r="B311" s="663" t="s">
        <v>7642</v>
      </c>
      <c r="C311" s="657" t="s">
        <v>7141</v>
      </c>
      <c r="D311" s="657" t="s">
        <v>7682</v>
      </c>
      <c r="E311" s="663" t="s">
        <v>7187</v>
      </c>
      <c r="F311" s="658">
        <v>0.1</v>
      </c>
      <c r="G311" s="658">
        <v>0</v>
      </c>
      <c r="H311" s="664">
        <v>45900</v>
      </c>
      <c r="I311" s="664">
        <f t="shared" si="5"/>
        <v>41730</v>
      </c>
      <c r="J311" s="661"/>
      <c r="K311">
        <f t="shared" si="6"/>
        <v>35470.5</v>
      </c>
    </row>
    <row r="312" spans="1:11" ht="18.75" customHeight="1">
      <c r="A312" s="661"/>
      <c r="B312" s="663" t="s">
        <v>7642</v>
      </c>
      <c r="C312" s="657" t="s">
        <v>7141</v>
      </c>
      <c r="D312" s="657" t="s">
        <v>7683</v>
      </c>
      <c r="E312" s="663" t="s">
        <v>7189</v>
      </c>
      <c r="F312" s="658">
        <v>0.1</v>
      </c>
      <c r="G312" s="658">
        <v>0</v>
      </c>
      <c r="H312" s="664">
        <v>45900</v>
      </c>
      <c r="I312" s="664">
        <f t="shared" si="5"/>
        <v>41730</v>
      </c>
      <c r="J312" s="661"/>
      <c r="K312">
        <f t="shared" si="6"/>
        <v>35470.5</v>
      </c>
    </row>
    <row r="313" spans="1:11" ht="18.75" customHeight="1">
      <c r="A313" s="661"/>
      <c r="B313" s="663" t="s">
        <v>7642</v>
      </c>
      <c r="C313" s="657" t="s">
        <v>7141</v>
      </c>
      <c r="D313" s="657" t="s">
        <v>7684</v>
      </c>
      <c r="E313" s="663" t="s">
        <v>7191</v>
      </c>
      <c r="F313" s="658">
        <v>0.1</v>
      </c>
      <c r="G313" s="658">
        <v>0</v>
      </c>
      <c r="H313" s="664">
        <v>49400</v>
      </c>
      <c r="I313" s="664">
        <f t="shared" si="5"/>
        <v>44910</v>
      </c>
      <c r="J313" s="661"/>
      <c r="K313">
        <f t="shared" si="6"/>
        <v>38173.5</v>
      </c>
    </row>
    <row r="314" spans="1:11" ht="18.75" customHeight="1">
      <c r="A314" s="661"/>
      <c r="B314" s="663" t="s">
        <v>7642</v>
      </c>
      <c r="C314" s="657" t="s">
        <v>7141</v>
      </c>
      <c r="D314" s="657" t="s">
        <v>7685</v>
      </c>
      <c r="E314" s="663" t="s">
        <v>7193</v>
      </c>
      <c r="F314" s="658">
        <v>0.1</v>
      </c>
      <c r="G314" s="658">
        <v>0</v>
      </c>
      <c r="H314" s="664">
        <v>51800</v>
      </c>
      <c r="I314" s="664">
        <f t="shared" si="5"/>
        <v>47090</v>
      </c>
      <c r="J314" s="661"/>
      <c r="K314">
        <f t="shared" si="6"/>
        <v>40026.5</v>
      </c>
    </row>
    <row r="315" spans="1:11" ht="18.75" customHeight="1">
      <c r="A315" s="661"/>
      <c r="B315" s="663" t="s">
        <v>7642</v>
      </c>
      <c r="C315" s="657" t="s">
        <v>7141</v>
      </c>
      <c r="D315" s="657" t="s">
        <v>7686</v>
      </c>
      <c r="E315" s="663" t="s">
        <v>7195</v>
      </c>
      <c r="F315" s="658">
        <v>0.1</v>
      </c>
      <c r="G315" s="658">
        <v>0</v>
      </c>
      <c r="H315" s="664">
        <v>54100</v>
      </c>
      <c r="I315" s="664">
        <f t="shared" si="5"/>
        <v>49180</v>
      </c>
      <c r="J315" s="661"/>
      <c r="K315">
        <f t="shared" si="6"/>
        <v>41803</v>
      </c>
    </row>
    <row r="316" spans="1:11" ht="18.75" customHeight="1">
      <c r="A316" s="661"/>
      <c r="B316" s="663" t="s">
        <v>7642</v>
      </c>
      <c r="C316" s="657" t="s">
        <v>7141</v>
      </c>
      <c r="D316" s="657" t="s">
        <v>7687</v>
      </c>
      <c r="E316" s="663" t="s">
        <v>7197</v>
      </c>
      <c r="F316" s="658">
        <v>0.1</v>
      </c>
      <c r="G316" s="658">
        <v>0</v>
      </c>
      <c r="H316" s="664">
        <v>120000</v>
      </c>
      <c r="I316" s="664">
        <f t="shared" si="5"/>
        <v>109090</v>
      </c>
      <c r="J316" s="661"/>
      <c r="K316">
        <f t="shared" si="6"/>
        <v>92726.5</v>
      </c>
    </row>
    <row r="317" spans="1:11" ht="18.75" customHeight="1">
      <c r="A317" s="661"/>
      <c r="B317" s="663" t="s">
        <v>7642</v>
      </c>
      <c r="C317" s="657" t="s">
        <v>7141</v>
      </c>
      <c r="D317" s="657" t="s">
        <v>7688</v>
      </c>
      <c r="E317" s="663" t="s">
        <v>7199</v>
      </c>
      <c r="F317" s="658">
        <v>0.1</v>
      </c>
      <c r="G317" s="658">
        <v>0</v>
      </c>
      <c r="H317" s="664">
        <v>127200</v>
      </c>
      <c r="I317" s="664">
        <f t="shared" si="5"/>
        <v>115640</v>
      </c>
      <c r="J317" s="661"/>
      <c r="K317">
        <f t="shared" si="6"/>
        <v>98294</v>
      </c>
    </row>
    <row r="318" spans="1:11" ht="18.75" customHeight="1">
      <c r="A318" s="661"/>
      <c r="B318" s="663" t="s">
        <v>7642</v>
      </c>
      <c r="C318" s="657" t="s">
        <v>7141</v>
      </c>
      <c r="D318" s="657" t="s">
        <v>7689</v>
      </c>
      <c r="E318" s="663" t="s">
        <v>7201</v>
      </c>
      <c r="F318" s="658">
        <v>0.1</v>
      </c>
      <c r="G318" s="658">
        <v>0</v>
      </c>
      <c r="H318" s="664">
        <v>129500</v>
      </c>
      <c r="I318" s="664">
        <f t="shared" si="5"/>
        <v>117730</v>
      </c>
      <c r="J318" s="661"/>
      <c r="K318">
        <f t="shared" si="6"/>
        <v>100070.5</v>
      </c>
    </row>
    <row r="319" spans="1:11" ht="18.75" customHeight="1">
      <c r="A319" s="661"/>
      <c r="B319" s="663" t="s">
        <v>7642</v>
      </c>
      <c r="C319" s="657" t="s">
        <v>7141</v>
      </c>
      <c r="D319" s="657" t="s">
        <v>7690</v>
      </c>
      <c r="E319" s="663" t="s">
        <v>7203</v>
      </c>
      <c r="F319" s="658">
        <v>0.1</v>
      </c>
      <c r="G319" s="658">
        <v>0</v>
      </c>
      <c r="H319" s="664">
        <v>136500</v>
      </c>
      <c r="I319" s="664">
        <f t="shared" si="5"/>
        <v>124090</v>
      </c>
      <c r="J319" s="661"/>
      <c r="K319">
        <f t="shared" si="6"/>
        <v>105476.5</v>
      </c>
    </row>
    <row r="320" spans="1:11" ht="18.75" customHeight="1">
      <c r="A320" s="661"/>
      <c r="B320" s="663" t="s">
        <v>7642</v>
      </c>
      <c r="C320" s="657" t="s">
        <v>7141</v>
      </c>
      <c r="D320" s="657" t="s">
        <v>7691</v>
      </c>
      <c r="E320" s="663" t="s">
        <v>7205</v>
      </c>
      <c r="F320" s="658">
        <v>0.1</v>
      </c>
      <c r="G320" s="658">
        <v>0</v>
      </c>
      <c r="H320" s="664">
        <v>150700</v>
      </c>
      <c r="I320" s="664">
        <f t="shared" si="5"/>
        <v>137000</v>
      </c>
      <c r="J320" s="661"/>
      <c r="K320">
        <f t="shared" si="6"/>
        <v>116450</v>
      </c>
    </row>
    <row r="321" spans="1:11" ht="18.75" customHeight="1">
      <c r="A321" s="661"/>
      <c r="B321" s="663" t="s">
        <v>7642</v>
      </c>
      <c r="C321" s="657" t="s">
        <v>7141</v>
      </c>
      <c r="D321" s="657" t="s">
        <v>7692</v>
      </c>
      <c r="E321" s="663" t="s">
        <v>7207</v>
      </c>
      <c r="F321" s="658">
        <v>0.1</v>
      </c>
      <c r="G321" s="658">
        <v>0</v>
      </c>
      <c r="H321" s="664">
        <v>150700</v>
      </c>
      <c r="I321" s="664">
        <f t="shared" si="5"/>
        <v>137000</v>
      </c>
      <c r="J321" s="661"/>
      <c r="K321">
        <f t="shared" si="6"/>
        <v>116450</v>
      </c>
    </row>
    <row r="322" spans="1:11" ht="18.75" customHeight="1">
      <c r="A322" s="661"/>
      <c r="B322" s="663" t="s">
        <v>7642</v>
      </c>
      <c r="C322" s="657" t="s">
        <v>7141</v>
      </c>
      <c r="D322" s="657" t="s">
        <v>7693</v>
      </c>
      <c r="E322" s="663" t="s">
        <v>7209</v>
      </c>
      <c r="F322" s="658">
        <v>0.1</v>
      </c>
      <c r="G322" s="658">
        <v>0</v>
      </c>
      <c r="H322" s="664">
        <v>154200</v>
      </c>
      <c r="I322" s="664">
        <f t="shared" si="5"/>
        <v>140180</v>
      </c>
      <c r="J322" s="661"/>
      <c r="K322">
        <f t="shared" si="6"/>
        <v>119153</v>
      </c>
    </row>
    <row r="323" spans="1:11" ht="18.75" customHeight="1">
      <c r="A323" s="661"/>
      <c r="B323" s="663" t="s">
        <v>7642</v>
      </c>
      <c r="C323" s="657" t="s">
        <v>7141</v>
      </c>
      <c r="D323" s="657" t="s">
        <v>7694</v>
      </c>
      <c r="E323" s="663" t="s">
        <v>7211</v>
      </c>
      <c r="F323" s="658">
        <v>0.1</v>
      </c>
      <c r="G323" s="658">
        <v>0</v>
      </c>
      <c r="H323" s="664">
        <v>157700</v>
      </c>
      <c r="I323" s="664">
        <f t="shared" si="5"/>
        <v>143360</v>
      </c>
      <c r="J323" s="661"/>
      <c r="K323">
        <f t="shared" si="6"/>
        <v>121856</v>
      </c>
    </row>
    <row r="324" spans="1:11" ht="18.75" customHeight="1">
      <c r="A324" s="661"/>
      <c r="B324" s="663" t="s">
        <v>7642</v>
      </c>
      <c r="C324" s="657" t="s">
        <v>7141</v>
      </c>
      <c r="D324" s="657" t="s">
        <v>7695</v>
      </c>
      <c r="E324" s="663" t="s">
        <v>7213</v>
      </c>
      <c r="F324" s="658">
        <v>0.1</v>
      </c>
      <c r="G324" s="658">
        <v>0</v>
      </c>
      <c r="H324" s="664">
        <v>164800</v>
      </c>
      <c r="I324" s="664">
        <f t="shared" si="5"/>
        <v>149820</v>
      </c>
      <c r="J324" s="661"/>
      <c r="K324">
        <f t="shared" si="6"/>
        <v>127347</v>
      </c>
    </row>
    <row r="325" spans="1:11" ht="18.75" customHeight="1">
      <c r="A325" s="661"/>
      <c r="B325" s="663" t="s">
        <v>7642</v>
      </c>
      <c r="C325" s="657" t="s">
        <v>7141</v>
      </c>
      <c r="D325" s="657" t="s">
        <v>7696</v>
      </c>
      <c r="E325" s="663" t="s">
        <v>7215</v>
      </c>
      <c r="F325" s="658">
        <v>0.1</v>
      </c>
      <c r="G325" s="658">
        <v>0</v>
      </c>
      <c r="H325" s="664"/>
      <c r="I325" s="664">
        <f t="shared" si="5"/>
        <v>0</v>
      </c>
      <c r="J325" s="661"/>
      <c r="K325">
        <f t="shared" si="6"/>
        <v>0</v>
      </c>
    </row>
    <row r="326" spans="1:11" ht="18.75" customHeight="1">
      <c r="A326" s="661"/>
      <c r="B326" s="663" t="s">
        <v>7642</v>
      </c>
      <c r="C326" s="657" t="s">
        <v>7141</v>
      </c>
      <c r="D326" s="657" t="s">
        <v>7697</v>
      </c>
      <c r="E326" s="663" t="s">
        <v>7217</v>
      </c>
      <c r="F326" s="658">
        <v>0.1</v>
      </c>
      <c r="G326" s="658">
        <v>0</v>
      </c>
      <c r="H326" s="664"/>
      <c r="I326" s="664">
        <f t="shared" si="5"/>
        <v>0</v>
      </c>
      <c r="J326" s="661"/>
      <c r="K326">
        <f t="shared" ref="K326:K389" si="7">+I326*(1+$K$4)</f>
        <v>0</v>
      </c>
    </row>
    <row r="327" spans="1:11" ht="18.75" customHeight="1">
      <c r="A327" s="661"/>
      <c r="B327" s="663" t="s">
        <v>7642</v>
      </c>
      <c r="C327" s="657" t="s">
        <v>7141</v>
      </c>
      <c r="D327" s="657" t="s">
        <v>7698</v>
      </c>
      <c r="E327" s="663" t="s">
        <v>7219</v>
      </c>
      <c r="F327" s="658">
        <v>0.1</v>
      </c>
      <c r="G327" s="658">
        <v>0</v>
      </c>
      <c r="H327" s="664"/>
      <c r="I327" s="664">
        <f t="shared" si="5"/>
        <v>0</v>
      </c>
      <c r="J327" s="661"/>
      <c r="K327">
        <f t="shared" si="7"/>
        <v>0</v>
      </c>
    </row>
    <row r="328" spans="1:11" ht="18.75" customHeight="1">
      <c r="A328" s="661"/>
      <c r="B328" s="663" t="s">
        <v>7642</v>
      </c>
      <c r="C328" s="657" t="s">
        <v>7105</v>
      </c>
      <c r="D328" s="657" t="s">
        <v>7699</v>
      </c>
      <c r="E328" s="663" t="s">
        <v>7221</v>
      </c>
      <c r="F328" s="658">
        <v>0.1</v>
      </c>
      <c r="G328" s="658">
        <v>0</v>
      </c>
      <c r="H328" s="664">
        <v>11200</v>
      </c>
      <c r="I328" s="664">
        <f t="shared" si="5"/>
        <v>10180</v>
      </c>
      <c r="J328" s="661"/>
      <c r="K328">
        <f t="shared" si="7"/>
        <v>8653</v>
      </c>
    </row>
    <row r="329" spans="1:11" ht="18.75" customHeight="1">
      <c r="A329" s="661"/>
      <c r="B329" s="663" t="s">
        <v>7642</v>
      </c>
      <c r="C329" s="657" t="s">
        <v>7105</v>
      </c>
      <c r="D329" s="657" t="s">
        <v>7700</v>
      </c>
      <c r="E329" s="663" t="s">
        <v>7223</v>
      </c>
      <c r="F329" s="658">
        <v>0.1</v>
      </c>
      <c r="G329" s="658">
        <v>0</v>
      </c>
      <c r="H329" s="664">
        <v>11200</v>
      </c>
      <c r="I329" s="664">
        <f t="shared" si="5"/>
        <v>10180</v>
      </c>
      <c r="J329" s="661"/>
      <c r="K329">
        <f t="shared" si="7"/>
        <v>8653</v>
      </c>
    </row>
    <row r="330" spans="1:11" ht="18.75" customHeight="1">
      <c r="A330" s="661"/>
      <c r="B330" s="663" t="s">
        <v>7642</v>
      </c>
      <c r="C330" s="657" t="s">
        <v>7105</v>
      </c>
      <c r="D330" s="657" t="s">
        <v>7701</v>
      </c>
      <c r="E330" s="663" t="s">
        <v>7225</v>
      </c>
      <c r="F330" s="658">
        <v>0.1</v>
      </c>
      <c r="G330" s="658">
        <v>0</v>
      </c>
      <c r="H330" s="664">
        <v>12300</v>
      </c>
      <c r="I330" s="664">
        <f t="shared" si="5"/>
        <v>11180</v>
      </c>
      <c r="J330" s="661"/>
      <c r="K330">
        <f t="shared" si="7"/>
        <v>9503</v>
      </c>
    </row>
    <row r="331" spans="1:11" ht="18.75" customHeight="1">
      <c r="A331" s="661"/>
      <c r="B331" s="663" t="s">
        <v>7642</v>
      </c>
      <c r="C331" s="657" t="s">
        <v>7105</v>
      </c>
      <c r="D331" s="657" t="s">
        <v>7702</v>
      </c>
      <c r="E331" s="663" t="s">
        <v>7227</v>
      </c>
      <c r="F331" s="658">
        <v>0.1</v>
      </c>
      <c r="G331" s="658">
        <v>0</v>
      </c>
      <c r="H331" s="664">
        <v>12300</v>
      </c>
      <c r="I331" s="664">
        <f t="shared" si="5"/>
        <v>11180</v>
      </c>
      <c r="J331" s="661"/>
      <c r="K331">
        <f t="shared" si="7"/>
        <v>9503</v>
      </c>
    </row>
    <row r="332" spans="1:11" ht="18.75" customHeight="1">
      <c r="A332" s="661"/>
      <c r="B332" s="663" t="s">
        <v>7642</v>
      </c>
      <c r="C332" s="657" t="s">
        <v>7105</v>
      </c>
      <c r="D332" s="657" t="s">
        <v>7703</v>
      </c>
      <c r="E332" s="663" t="s">
        <v>7229</v>
      </c>
      <c r="F332" s="658">
        <v>0.1</v>
      </c>
      <c r="G332" s="658">
        <v>0</v>
      </c>
      <c r="H332" s="664">
        <v>16500</v>
      </c>
      <c r="I332" s="664">
        <f t="shared" si="5"/>
        <v>15000</v>
      </c>
      <c r="J332" s="661"/>
      <c r="K332">
        <f t="shared" si="7"/>
        <v>12750</v>
      </c>
    </row>
    <row r="333" spans="1:11" ht="18.75" customHeight="1">
      <c r="A333" s="661"/>
      <c r="B333" s="663" t="s">
        <v>7642</v>
      </c>
      <c r="C333" s="657" t="s">
        <v>7105</v>
      </c>
      <c r="D333" s="657" t="s">
        <v>7704</v>
      </c>
      <c r="E333" s="663" t="s">
        <v>7231</v>
      </c>
      <c r="F333" s="658">
        <v>0.1</v>
      </c>
      <c r="G333" s="658">
        <v>0</v>
      </c>
      <c r="H333" s="664">
        <v>16500</v>
      </c>
      <c r="I333" s="664">
        <f t="shared" si="5"/>
        <v>15000</v>
      </c>
      <c r="J333" s="661"/>
      <c r="K333">
        <f t="shared" si="7"/>
        <v>12750</v>
      </c>
    </row>
    <row r="334" spans="1:11" ht="18.75" customHeight="1">
      <c r="A334" s="661"/>
      <c r="B334" s="663" t="s">
        <v>7642</v>
      </c>
      <c r="C334" s="657" t="s">
        <v>7105</v>
      </c>
      <c r="D334" s="657" t="s">
        <v>7705</v>
      </c>
      <c r="E334" s="663" t="s">
        <v>7233</v>
      </c>
      <c r="F334" s="658">
        <v>0.1</v>
      </c>
      <c r="G334" s="658">
        <v>0</v>
      </c>
      <c r="H334" s="664">
        <v>20000</v>
      </c>
      <c r="I334" s="664">
        <f t="shared" si="5"/>
        <v>18180</v>
      </c>
      <c r="J334" s="661"/>
      <c r="K334">
        <f t="shared" si="7"/>
        <v>15453</v>
      </c>
    </row>
    <row r="335" spans="1:11" ht="18.75" customHeight="1">
      <c r="A335" s="661"/>
      <c r="B335" s="663" t="s">
        <v>7642</v>
      </c>
      <c r="C335" s="657" t="s">
        <v>7105</v>
      </c>
      <c r="D335" s="657" t="s">
        <v>7706</v>
      </c>
      <c r="E335" s="663" t="s">
        <v>7235</v>
      </c>
      <c r="F335" s="658">
        <v>0.1</v>
      </c>
      <c r="G335" s="658">
        <v>0</v>
      </c>
      <c r="H335" s="664">
        <v>20000</v>
      </c>
      <c r="I335" s="664">
        <f t="shared" si="5"/>
        <v>18180</v>
      </c>
      <c r="J335" s="661"/>
      <c r="K335">
        <f t="shared" si="7"/>
        <v>15453</v>
      </c>
    </row>
    <row r="336" spans="1:11" ht="18.75" customHeight="1">
      <c r="A336" s="661"/>
      <c r="B336" s="663" t="s">
        <v>7642</v>
      </c>
      <c r="C336" s="657" t="s">
        <v>7105</v>
      </c>
      <c r="D336" s="657" t="s">
        <v>7707</v>
      </c>
      <c r="E336" s="663" t="s">
        <v>7237</v>
      </c>
      <c r="F336" s="658">
        <v>0.1</v>
      </c>
      <c r="G336" s="658">
        <v>0</v>
      </c>
      <c r="H336" s="664">
        <v>22300</v>
      </c>
      <c r="I336" s="664">
        <f t="shared" si="5"/>
        <v>20270</v>
      </c>
      <c r="J336" s="661"/>
      <c r="K336">
        <f t="shared" si="7"/>
        <v>17229.5</v>
      </c>
    </row>
    <row r="337" spans="1:11" ht="18.75" customHeight="1">
      <c r="A337" s="661"/>
      <c r="B337" s="663" t="s">
        <v>7642</v>
      </c>
      <c r="C337" s="657" t="s">
        <v>7105</v>
      </c>
      <c r="D337" s="657" t="s">
        <v>7708</v>
      </c>
      <c r="E337" s="663" t="s">
        <v>7239</v>
      </c>
      <c r="F337" s="658">
        <v>0.1</v>
      </c>
      <c r="G337" s="658">
        <v>0</v>
      </c>
      <c r="H337" s="664">
        <v>22300</v>
      </c>
      <c r="I337" s="664">
        <f t="shared" si="5"/>
        <v>20270</v>
      </c>
      <c r="J337" s="661"/>
      <c r="K337">
        <f t="shared" si="7"/>
        <v>17229.5</v>
      </c>
    </row>
    <row r="338" spans="1:11" ht="18.75" customHeight="1">
      <c r="A338" s="661"/>
      <c r="B338" s="663" t="s">
        <v>7642</v>
      </c>
      <c r="C338" s="657" t="s">
        <v>7136</v>
      </c>
      <c r="D338" s="657" t="s">
        <v>7709</v>
      </c>
      <c r="E338" s="663" t="s">
        <v>7241</v>
      </c>
      <c r="F338" s="658">
        <v>0.1</v>
      </c>
      <c r="G338" s="658">
        <v>0</v>
      </c>
      <c r="H338" s="664">
        <v>24800</v>
      </c>
      <c r="I338" s="664">
        <f t="shared" si="5"/>
        <v>22550</v>
      </c>
      <c r="J338" s="661"/>
      <c r="K338">
        <f t="shared" si="7"/>
        <v>19167.5</v>
      </c>
    </row>
    <row r="339" spans="1:11" ht="18.75" customHeight="1">
      <c r="A339" s="661"/>
      <c r="B339" s="663" t="s">
        <v>7642</v>
      </c>
      <c r="C339" s="657" t="s">
        <v>7136</v>
      </c>
      <c r="D339" s="657" t="s">
        <v>7710</v>
      </c>
      <c r="E339" s="663" t="s">
        <v>7243</v>
      </c>
      <c r="F339" s="658">
        <v>0.1</v>
      </c>
      <c r="G339" s="658">
        <v>0</v>
      </c>
      <c r="H339" s="664">
        <v>24800</v>
      </c>
      <c r="I339" s="664">
        <f t="shared" si="5"/>
        <v>22550</v>
      </c>
      <c r="J339" s="661"/>
      <c r="K339">
        <f t="shared" si="7"/>
        <v>19167.5</v>
      </c>
    </row>
    <row r="340" spans="1:11" ht="18.75" customHeight="1">
      <c r="A340" s="661"/>
      <c r="B340" s="663" t="s">
        <v>7642</v>
      </c>
      <c r="C340" s="657" t="s">
        <v>7136</v>
      </c>
      <c r="D340" s="657" t="s">
        <v>7711</v>
      </c>
      <c r="E340" s="663" t="s">
        <v>7245</v>
      </c>
      <c r="F340" s="658">
        <v>0.1</v>
      </c>
      <c r="G340" s="658">
        <v>0</v>
      </c>
      <c r="H340" s="664">
        <v>27100</v>
      </c>
      <c r="I340" s="664">
        <f t="shared" si="5"/>
        <v>24640</v>
      </c>
      <c r="J340" s="661"/>
      <c r="K340">
        <f t="shared" si="7"/>
        <v>20944</v>
      </c>
    </row>
    <row r="341" spans="1:11" ht="18.75" customHeight="1">
      <c r="A341" s="661"/>
      <c r="B341" s="663" t="s">
        <v>7642</v>
      </c>
      <c r="C341" s="657" t="s">
        <v>7136</v>
      </c>
      <c r="D341" s="657" t="s">
        <v>7712</v>
      </c>
      <c r="E341" s="663" t="s">
        <v>7247</v>
      </c>
      <c r="F341" s="658">
        <v>0.1</v>
      </c>
      <c r="G341" s="658">
        <v>0</v>
      </c>
      <c r="H341" s="664">
        <v>29500</v>
      </c>
      <c r="I341" s="664">
        <f t="shared" si="5"/>
        <v>26820</v>
      </c>
      <c r="J341" s="661"/>
      <c r="K341">
        <f t="shared" si="7"/>
        <v>22797</v>
      </c>
    </row>
    <row r="342" spans="1:11" ht="18.75" customHeight="1">
      <c r="A342" s="661"/>
      <c r="B342" s="663" t="s">
        <v>7642</v>
      </c>
      <c r="C342" s="657" t="s">
        <v>7141</v>
      </c>
      <c r="D342" s="657" t="s">
        <v>7713</v>
      </c>
      <c r="E342" s="663" t="s">
        <v>7249</v>
      </c>
      <c r="F342" s="658">
        <v>0.1</v>
      </c>
      <c r="G342" s="658">
        <v>0</v>
      </c>
      <c r="H342" s="664">
        <v>33000</v>
      </c>
      <c r="I342" s="664">
        <f t="shared" si="5"/>
        <v>30000</v>
      </c>
      <c r="J342" s="661"/>
      <c r="K342">
        <f t="shared" si="7"/>
        <v>25500</v>
      </c>
    </row>
    <row r="343" spans="1:11" ht="18.75" customHeight="1">
      <c r="A343" s="661"/>
      <c r="B343" s="663" t="s">
        <v>7642</v>
      </c>
      <c r="C343" s="657" t="s">
        <v>7136</v>
      </c>
      <c r="D343" s="657" t="s">
        <v>7714</v>
      </c>
      <c r="E343" s="663" t="s">
        <v>7251</v>
      </c>
      <c r="F343" s="658">
        <v>0.1</v>
      </c>
      <c r="G343" s="658">
        <v>0</v>
      </c>
      <c r="H343" s="664">
        <v>34100</v>
      </c>
      <c r="I343" s="664">
        <f t="shared" si="5"/>
        <v>31000</v>
      </c>
      <c r="J343" s="661"/>
      <c r="K343">
        <f t="shared" si="7"/>
        <v>26350</v>
      </c>
    </row>
    <row r="344" spans="1:11" ht="18.75" customHeight="1">
      <c r="A344" s="661"/>
      <c r="B344" s="663" t="s">
        <v>7642</v>
      </c>
      <c r="C344" s="657" t="s">
        <v>7141</v>
      </c>
      <c r="D344" s="657" t="s">
        <v>7715</v>
      </c>
      <c r="E344" s="663" t="s">
        <v>7253</v>
      </c>
      <c r="F344" s="658">
        <v>0.1</v>
      </c>
      <c r="G344" s="658">
        <v>0</v>
      </c>
      <c r="H344" s="664">
        <v>37600</v>
      </c>
      <c r="I344" s="664">
        <f t="shared" si="5"/>
        <v>34180</v>
      </c>
      <c r="J344" s="661"/>
      <c r="K344">
        <f t="shared" si="7"/>
        <v>29053</v>
      </c>
    </row>
    <row r="345" spans="1:11" ht="18.75" customHeight="1">
      <c r="A345" s="661"/>
      <c r="B345" s="663" t="s">
        <v>7642</v>
      </c>
      <c r="C345" s="657" t="s">
        <v>7141</v>
      </c>
      <c r="D345" s="657" t="s">
        <v>7716</v>
      </c>
      <c r="E345" s="663" t="s">
        <v>7255</v>
      </c>
      <c r="F345" s="658">
        <v>0.1</v>
      </c>
      <c r="G345" s="658">
        <v>0</v>
      </c>
      <c r="H345" s="664">
        <v>37600</v>
      </c>
      <c r="I345" s="664">
        <f t="shared" si="5"/>
        <v>34180</v>
      </c>
      <c r="J345" s="661"/>
      <c r="K345">
        <f t="shared" si="7"/>
        <v>29053</v>
      </c>
    </row>
    <row r="346" spans="1:11" ht="18.75" customHeight="1">
      <c r="A346" s="661"/>
      <c r="B346" s="663" t="s">
        <v>7642</v>
      </c>
      <c r="C346" s="657" t="s">
        <v>7136</v>
      </c>
      <c r="D346" s="657" t="s">
        <v>7717</v>
      </c>
      <c r="E346" s="663" t="s">
        <v>7257</v>
      </c>
      <c r="F346" s="658">
        <v>0.1</v>
      </c>
      <c r="G346" s="658">
        <v>0</v>
      </c>
      <c r="H346" s="664">
        <v>40000</v>
      </c>
      <c r="I346" s="664">
        <f t="shared" si="5"/>
        <v>36360</v>
      </c>
      <c r="J346" s="661"/>
      <c r="K346">
        <f t="shared" si="7"/>
        <v>30906</v>
      </c>
    </row>
    <row r="347" spans="1:11" ht="18.75" customHeight="1">
      <c r="A347" s="661"/>
      <c r="B347" s="663" t="s">
        <v>7642</v>
      </c>
      <c r="C347" s="657" t="s">
        <v>7136</v>
      </c>
      <c r="D347" s="657" t="s">
        <v>7718</v>
      </c>
      <c r="E347" s="663" t="s">
        <v>7259</v>
      </c>
      <c r="F347" s="658">
        <v>0.1</v>
      </c>
      <c r="G347" s="658">
        <v>0</v>
      </c>
      <c r="H347" s="664">
        <v>47100</v>
      </c>
      <c r="I347" s="664">
        <f t="shared" si="5"/>
        <v>42820</v>
      </c>
      <c r="J347" s="661"/>
      <c r="K347">
        <f t="shared" si="7"/>
        <v>36397</v>
      </c>
    </row>
    <row r="348" spans="1:11" ht="18.75" customHeight="1">
      <c r="A348" s="661"/>
      <c r="B348" s="663" t="s">
        <v>7642</v>
      </c>
      <c r="C348" s="657" t="s">
        <v>7141</v>
      </c>
      <c r="D348" s="657" t="s">
        <v>7719</v>
      </c>
      <c r="E348" s="663" t="s">
        <v>7261</v>
      </c>
      <c r="F348" s="658">
        <v>0.1</v>
      </c>
      <c r="G348" s="658">
        <v>0</v>
      </c>
      <c r="H348" s="664">
        <v>49400</v>
      </c>
      <c r="I348" s="664">
        <f t="shared" si="5"/>
        <v>44910</v>
      </c>
      <c r="J348" s="661"/>
      <c r="K348">
        <f t="shared" si="7"/>
        <v>38173.5</v>
      </c>
    </row>
    <row r="349" spans="1:11" ht="18.75" customHeight="1">
      <c r="A349" s="661"/>
      <c r="B349" s="663" t="s">
        <v>7642</v>
      </c>
      <c r="C349" s="657" t="s">
        <v>7141</v>
      </c>
      <c r="D349" s="657" t="s">
        <v>7720</v>
      </c>
      <c r="E349" s="663" t="s">
        <v>7263</v>
      </c>
      <c r="F349" s="658">
        <v>0.1</v>
      </c>
      <c r="G349" s="658">
        <v>0</v>
      </c>
      <c r="H349" s="664">
        <v>53000</v>
      </c>
      <c r="I349" s="664">
        <f t="shared" si="5"/>
        <v>48180</v>
      </c>
      <c r="J349" s="661"/>
      <c r="K349">
        <f t="shared" si="7"/>
        <v>40953</v>
      </c>
    </row>
    <row r="350" spans="1:11" ht="18.75" customHeight="1">
      <c r="A350" s="661"/>
      <c r="B350" s="663" t="s">
        <v>7642</v>
      </c>
      <c r="C350" s="657" t="s">
        <v>7141</v>
      </c>
      <c r="D350" s="657" t="s">
        <v>7721</v>
      </c>
      <c r="E350" s="663" t="s">
        <v>7265</v>
      </c>
      <c r="F350" s="658">
        <v>0.1</v>
      </c>
      <c r="G350" s="658">
        <v>0</v>
      </c>
      <c r="H350" s="664"/>
      <c r="I350" s="664">
        <f t="shared" si="5"/>
        <v>0</v>
      </c>
      <c r="J350" s="661"/>
      <c r="K350">
        <f t="shared" si="7"/>
        <v>0</v>
      </c>
    </row>
    <row r="351" spans="1:11" ht="18.75" customHeight="1">
      <c r="A351" s="661"/>
      <c r="B351" s="663" t="s">
        <v>7642</v>
      </c>
      <c r="C351" s="657" t="s">
        <v>7136</v>
      </c>
      <c r="D351" s="657" t="s">
        <v>7722</v>
      </c>
      <c r="E351" s="663" t="s">
        <v>7267</v>
      </c>
      <c r="F351" s="658">
        <v>0.1</v>
      </c>
      <c r="G351" s="658">
        <v>0</v>
      </c>
      <c r="H351" s="664">
        <v>58900</v>
      </c>
      <c r="I351" s="664">
        <f t="shared" si="5"/>
        <v>53550</v>
      </c>
      <c r="J351" s="661"/>
      <c r="K351">
        <f t="shared" si="7"/>
        <v>45517.5</v>
      </c>
    </row>
    <row r="352" spans="1:11" ht="18.75" customHeight="1">
      <c r="A352" s="661"/>
      <c r="B352" s="663" t="s">
        <v>7642</v>
      </c>
      <c r="C352" s="657" t="s">
        <v>7136</v>
      </c>
      <c r="D352" s="657" t="s">
        <v>7723</v>
      </c>
      <c r="E352" s="663" t="s">
        <v>7269</v>
      </c>
      <c r="F352" s="658">
        <v>0.1</v>
      </c>
      <c r="G352" s="658">
        <v>0</v>
      </c>
      <c r="H352" s="664"/>
      <c r="I352" s="664">
        <f t="shared" si="5"/>
        <v>0</v>
      </c>
      <c r="J352" s="661"/>
      <c r="K352">
        <f t="shared" si="7"/>
        <v>0</v>
      </c>
    </row>
    <row r="353" spans="1:11" ht="18.75" customHeight="1">
      <c r="A353" s="661"/>
      <c r="B353" s="663" t="s">
        <v>7642</v>
      </c>
      <c r="C353" s="657" t="s">
        <v>7141</v>
      </c>
      <c r="D353" s="657" t="s">
        <v>7724</v>
      </c>
      <c r="E353" s="663" t="s">
        <v>7271</v>
      </c>
      <c r="F353" s="658">
        <v>0.1</v>
      </c>
      <c r="G353" s="658">
        <v>0</v>
      </c>
      <c r="H353" s="664">
        <v>68300</v>
      </c>
      <c r="I353" s="664">
        <f t="shared" si="5"/>
        <v>62090</v>
      </c>
      <c r="J353" s="661"/>
      <c r="K353">
        <f t="shared" si="7"/>
        <v>52776.5</v>
      </c>
    </row>
    <row r="354" spans="1:11" ht="18.75" customHeight="1">
      <c r="A354" s="661"/>
      <c r="B354" s="663" t="s">
        <v>7642</v>
      </c>
      <c r="C354" s="657" t="s">
        <v>7141</v>
      </c>
      <c r="D354" s="657" t="s">
        <v>7725</v>
      </c>
      <c r="E354" s="663" t="s">
        <v>7273</v>
      </c>
      <c r="F354" s="658">
        <v>0.1</v>
      </c>
      <c r="G354" s="658">
        <v>0</v>
      </c>
      <c r="H354" s="664">
        <v>75400</v>
      </c>
      <c r="I354" s="664">
        <f t="shared" si="5"/>
        <v>68550</v>
      </c>
      <c r="J354" s="661"/>
      <c r="K354">
        <f t="shared" si="7"/>
        <v>58267.5</v>
      </c>
    </row>
    <row r="355" spans="1:11" ht="18.75" customHeight="1">
      <c r="A355" s="661"/>
      <c r="B355" s="663" t="s">
        <v>7642</v>
      </c>
      <c r="C355" s="657" t="s">
        <v>7141</v>
      </c>
      <c r="D355" s="657" t="s">
        <v>7726</v>
      </c>
      <c r="E355" s="663" t="s">
        <v>7275</v>
      </c>
      <c r="F355" s="658">
        <v>0.1</v>
      </c>
      <c r="G355" s="658">
        <v>0</v>
      </c>
      <c r="H355" s="664">
        <v>75400</v>
      </c>
      <c r="I355" s="664">
        <f t="shared" si="5"/>
        <v>68550</v>
      </c>
      <c r="J355" s="661"/>
      <c r="K355">
        <f t="shared" si="7"/>
        <v>58267.5</v>
      </c>
    </row>
    <row r="356" spans="1:11" ht="18.75" customHeight="1">
      <c r="A356" s="661"/>
      <c r="B356" s="663" t="s">
        <v>7642</v>
      </c>
      <c r="C356" s="657" t="s">
        <v>7136</v>
      </c>
      <c r="D356" s="657" t="s">
        <v>7727</v>
      </c>
      <c r="E356" s="663" t="s">
        <v>7277</v>
      </c>
      <c r="F356" s="658">
        <v>0.1</v>
      </c>
      <c r="G356" s="658">
        <v>0</v>
      </c>
      <c r="H356" s="664">
        <v>76600</v>
      </c>
      <c r="I356" s="664">
        <f t="shared" si="5"/>
        <v>69640</v>
      </c>
      <c r="J356" s="661"/>
      <c r="K356">
        <f t="shared" si="7"/>
        <v>59194</v>
      </c>
    </row>
    <row r="357" spans="1:11" ht="18.75" customHeight="1">
      <c r="A357" s="661"/>
      <c r="B357" s="663" t="s">
        <v>7642</v>
      </c>
      <c r="C357" s="657" t="s">
        <v>7136</v>
      </c>
      <c r="D357" s="657" t="s">
        <v>7728</v>
      </c>
      <c r="E357" s="663" t="s">
        <v>7279</v>
      </c>
      <c r="F357" s="658">
        <v>0.1</v>
      </c>
      <c r="G357" s="658">
        <v>0</v>
      </c>
      <c r="H357" s="664">
        <v>76600</v>
      </c>
      <c r="I357" s="664">
        <f t="shared" si="5"/>
        <v>69640</v>
      </c>
      <c r="J357" s="661"/>
      <c r="K357">
        <f t="shared" si="7"/>
        <v>59194</v>
      </c>
    </row>
    <row r="358" spans="1:11" ht="18.75" customHeight="1">
      <c r="A358" s="661"/>
      <c r="B358" s="663" t="s">
        <v>7642</v>
      </c>
      <c r="C358" s="657" t="s">
        <v>7141</v>
      </c>
      <c r="D358" s="657" t="s">
        <v>7729</v>
      </c>
      <c r="E358" s="663" t="s">
        <v>7281</v>
      </c>
      <c r="F358" s="658">
        <v>0.1</v>
      </c>
      <c r="G358" s="658">
        <v>0</v>
      </c>
      <c r="H358" s="664">
        <v>80100</v>
      </c>
      <c r="I358" s="664">
        <f t="shared" si="5"/>
        <v>72820</v>
      </c>
      <c r="J358" s="661"/>
      <c r="K358">
        <f t="shared" si="7"/>
        <v>61897</v>
      </c>
    </row>
    <row r="359" spans="1:11" ht="18.75" customHeight="1">
      <c r="A359" s="661"/>
      <c r="B359" s="663" t="s">
        <v>7642</v>
      </c>
      <c r="C359" s="657" t="s">
        <v>7141</v>
      </c>
      <c r="D359" s="657" t="s">
        <v>7730</v>
      </c>
      <c r="E359" s="663" t="s">
        <v>7283</v>
      </c>
      <c r="F359" s="658">
        <v>0.1</v>
      </c>
      <c r="G359" s="658">
        <v>0</v>
      </c>
      <c r="H359" s="664">
        <v>89400</v>
      </c>
      <c r="I359" s="664">
        <f t="shared" si="5"/>
        <v>81270</v>
      </c>
      <c r="J359" s="661"/>
      <c r="K359">
        <f t="shared" si="7"/>
        <v>69079.5</v>
      </c>
    </row>
    <row r="360" spans="1:11" ht="18.75" customHeight="1">
      <c r="A360" s="661"/>
      <c r="B360" s="663" t="s">
        <v>7642</v>
      </c>
      <c r="C360" s="657" t="s">
        <v>7141</v>
      </c>
      <c r="D360" s="657" t="s">
        <v>7731</v>
      </c>
      <c r="E360" s="663" t="s">
        <v>7285</v>
      </c>
      <c r="F360" s="658">
        <v>0.1</v>
      </c>
      <c r="G360" s="658">
        <v>0</v>
      </c>
      <c r="H360" s="664">
        <v>167100</v>
      </c>
      <c r="I360" s="664">
        <f t="shared" si="5"/>
        <v>151910</v>
      </c>
      <c r="J360" s="661"/>
      <c r="K360">
        <f t="shared" si="7"/>
        <v>129123.5</v>
      </c>
    </row>
    <row r="361" spans="1:11" ht="18.75" customHeight="1">
      <c r="A361" s="661"/>
      <c r="B361" s="663" t="s">
        <v>7642</v>
      </c>
      <c r="C361" s="657" t="s">
        <v>7141</v>
      </c>
      <c r="D361" s="657" t="s">
        <v>7732</v>
      </c>
      <c r="E361" s="663" t="s">
        <v>7287</v>
      </c>
      <c r="F361" s="658">
        <v>0.1</v>
      </c>
      <c r="G361" s="658">
        <v>0</v>
      </c>
      <c r="H361" s="664">
        <v>171800</v>
      </c>
      <c r="I361" s="664">
        <f t="shared" si="5"/>
        <v>156180</v>
      </c>
      <c r="J361" s="661"/>
      <c r="K361">
        <f t="shared" si="7"/>
        <v>132753</v>
      </c>
    </row>
    <row r="362" spans="1:11" ht="18.75" customHeight="1">
      <c r="A362" s="661"/>
      <c r="B362" s="663" t="s">
        <v>7642</v>
      </c>
      <c r="C362" s="657" t="s">
        <v>7141</v>
      </c>
      <c r="D362" s="657" t="s">
        <v>7733</v>
      </c>
      <c r="E362" s="663" t="s">
        <v>7289</v>
      </c>
      <c r="F362" s="658">
        <v>0.1</v>
      </c>
      <c r="G362" s="658">
        <v>0</v>
      </c>
      <c r="H362" s="664">
        <v>176600</v>
      </c>
      <c r="I362" s="664">
        <f t="shared" si="5"/>
        <v>160550</v>
      </c>
      <c r="J362" s="661"/>
      <c r="K362">
        <f t="shared" si="7"/>
        <v>136467.5</v>
      </c>
    </row>
    <row r="363" spans="1:11" ht="18.75" customHeight="1">
      <c r="A363" s="661"/>
      <c r="B363" s="663" t="s">
        <v>7642</v>
      </c>
      <c r="C363" s="657" t="s">
        <v>7136</v>
      </c>
      <c r="D363" s="657" t="s">
        <v>7734</v>
      </c>
      <c r="E363" s="663" t="s">
        <v>7291</v>
      </c>
      <c r="F363" s="658">
        <v>0.1</v>
      </c>
      <c r="G363" s="658">
        <v>0</v>
      </c>
      <c r="H363" s="664">
        <v>184800</v>
      </c>
      <c r="I363" s="664">
        <f t="shared" si="5"/>
        <v>168000</v>
      </c>
      <c r="J363" s="661"/>
      <c r="K363">
        <f t="shared" si="7"/>
        <v>142800</v>
      </c>
    </row>
    <row r="364" spans="1:11" ht="18.75" customHeight="1">
      <c r="A364" s="661"/>
      <c r="B364" s="663" t="s">
        <v>7642</v>
      </c>
      <c r="C364" s="657" t="s">
        <v>7141</v>
      </c>
      <c r="D364" s="657" t="s">
        <v>7735</v>
      </c>
      <c r="E364" s="663" t="s">
        <v>7293</v>
      </c>
      <c r="F364" s="658">
        <v>0.1</v>
      </c>
      <c r="G364" s="658">
        <v>0</v>
      </c>
      <c r="H364" s="664">
        <v>203600</v>
      </c>
      <c r="I364" s="664">
        <f t="shared" si="5"/>
        <v>185090</v>
      </c>
      <c r="J364" s="661"/>
      <c r="K364">
        <f t="shared" si="7"/>
        <v>157326.5</v>
      </c>
    </row>
    <row r="365" spans="1:11" ht="18.75" customHeight="1">
      <c r="A365" s="661"/>
      <c r="B365" s="663" t="s">
        <v>7642</v>
      </c>
      <c r="C365" s="657" t="s">
        <v>7141</v>
      </c>
      <c r="D365" s="657" t="s">
        <v>7736</v>
      </c>
      <c r="E365" s="663" t="s">
        <v>7295</v>
      </c>
      <c r="F365" s="658">
        <v>0.1</v>
      </c>
      <c r="G365" s="658">
        <v>0</v>
      </c>
      <c r="H365" s="664">
        <v>208300</v>
      </c>
      <c r="I365" s="664">
        <f t="shared" si="5"/>
        <v>189360</v>
      </c>
      <c r="J365" s="661"/>
      <c r="K365">
        <f t="shared" si="7"/>
        <v>160956</v>
      </c>
    </row>
    <row r="366" spans="1:11" ht="18.75" customHeight="1">
      <c r="A366" s="661"/>
      <c r="B366" s="663" t="s">
        <v>7642</v>
      </c>
      <c r="C366" s="657" t="s">
        <v>7141</v>
      </c>
      <c r="D366" s="657" t="s">
        <v>7737</v>
      </c>
      <c r="E366" s="663" t="s">
        <v>7297</v>
      </c>
      <c r="F366" s="658">
        <v>0.1</v>
      </c>
      <c r="G366" s="658">
        <v>0</v>
      </c>
      <c r="H366" s="664">
        <v>213100</v>
      </c>
      <c r="I366" s="664">
        <f t="shared" si="5"/>
        <v>193730</v>
      </c>
      <c r="J366" s="661"/>
      <c r="K366">
        <f t="shared" si="7"/>
        <v>164670.5</v>
      </c>
    </row>
    <row r="367" spans="1:11" ht="18.75" customHeight="1">
      <c r="A367" s="661"/>
      <c r="B367" s="663" t="s">
        <v>7642</v>
      </c>
      <c r="C367" s="657" t="s">
        <v>7141</v>
      </c>
      <c r="D367" s="657" t="s">
        <v>7738</v>
      </c>
      <c r="E367" s="663" t="s">
        <v>7299</v>
      </c>
      <c r="F367" s="658">
        <v>0.1</v>
      </c>
      <c r="G367" s="658">
        <v>0</v>
      </c>
      <c r="H367" s="664">
        <v>222400</v>
      </c>
      <c r="I367" s="664">
        <f t="shared" si="5"/>
        <v>202180</v>
      </c>
      <c r="J367" s="661"/>
      <c r="K367">
        <f t="shared" si="7"/>
        <v>171853</v>
      </c>
    </row>
    <row r="368" spans="1:11" ht="18.75" customHeight="1">
      <c r="A368" s="661"/>
      <c r="B368" s="663" t="s">
        <v>7642</v>
      </c>
      <c r="C368" s="657" t="s">
        <v>7141</v>
      </c>
      <c r="D368" s="657" t="s">
        <v>7739</v>
      </c>
      <c r="E368" s="663" t="s">
        <v>7301</v>
      </c>
      <c r="F368" s="658">
        <v>0.1</v>
      </c>
      <c r="G368" s="658">
        <v>0</v>
      </c>
      <c r="H368" s="664"/>
      <c r="I368" s="664">
        <f t="shared" si="5"/>
        <v>0</v>
      </c>
      <c r="J368" s="661"/>
      <c r="K368">
        <f t="shared" si="7"/>
        <v>0</v>
      </c>
    </row>
    <row r="369" spans="1:11" ht="18.75" customHeight="1">
      <c r="A369" s="661"/>
      <c r="B369" s="663" t="s">
        <v>7642</v>
      </c>
      <c r="C369" s="657" t="s">
        <v>7141</v>
      </c>
      <c r="D369" s="657" t="s">
        <v>7740</v>
      </c>
      <c r="E369" s="663" t="s">
        <v>7303</v>
      </c>
      <c r="F369" s="658">
        <v>0.1</v>
      </c>
      <c r="G369" s="658">
        <v>0</v>
      </c>
      <c r="H369" s="664"/>
      <c r="I369" s="664">
        <f t="shared" si="5"/>
        <v>0</v>
      </c>
      <c r="J369" s="661"/>
      <c r="K369">
        <f t="shared" si="7"/>
        <v>0</v>
      </c>
    </row>
    <row r="370" spans="1:11" ht="18.75" customHeight="1">
      <c r="A370" s="661"/>
      <c r="B370" s="663" t="s">
        <v>7642</v>
      </c>
      <c r="C370" s="657" t="s">
        <v>7141</v>
      </c>
      <c r="D370" s="657" t="s">
        <v>7741</v>
      </c>
      <c r="E370" s="663" t="s">
        <v>7305</v>
      </c>
      <c r="F370" s="658">
        <v>0.1</v>
      </c>
      <c r="G370" s="658">
        <v>0</v>
      </c>
      <c r="H370" s="664"/>
      <c r="I370" s="664">
        <f t="shared" si="5"/>
        <v>0</v>
      </c>
      <c r="J370" s="661"/>
      <c r="K370">
        <f t="shared" si="7"/>
        <v>0</v>
      </c>
    </row>
    <row r="371" spans="1:11" ht="18.75" customHeight="1">
      <c r="A371" s="661"/>
      <c r="B371" s="663" t="s">
        <v>7642</v>
      </c>
      <c r="C371" s="657" t="s">
        <v>7105</v>
      </c>
      <c r="D371" s="657" t="s">
        <v>7742</v>
      </c>
      <c r="E371" s="663" t="s">
        <v>7307</v>
      </c>
      <c r="F371" s="658">
        <v>0.1</v>
      </c>
      <c r="G371" s="658">
        <v>0</v>
      </c>
      <c r="H371" s="664">
        <v>21230</v>
      </c>
      <c r="I371" s="664">
        <f t="shared" si="5"/>
        <v>19300</v>
      </c>
      <c r="J371" s="661"/>
      <c r="K371">
        <f t="shared" si="7"/>
        <v>16405</v>
      </c>
    </row>
    <row r="372" spans="1:11" ht="18.75" customHeight="1">
      <c r="A372" s="661"/>
      <c r="B372" s="663" t="s">
        <v>7642</v>
      </c>
      <c r="C372" s="657" t="s">
        <v>7105</v>
      </c>
      <c r="D372" s="657" t="s">
        <v>7743</v>
      </c>
      <c r="E372" s="663" t="s">
        <v>7309</v>
      </c>
      <c r="F372" s="658">
        <v>0.1</v>
      </c>
      <c r="G372" s="658">
        <v>0</v>
      </c>
      <c r="H372" s="664">
        <v>24750</v>
      </c>
      <c r="I372" s="664">
        <f t="shared" si="5"/>
        <v>22500</v>
      </c>
      <c r="J372" s="661"/>
      <c r="K372">
        <f t="shared" si="7"/>
        <v>19125</v>
      </c>
    </row>
    <row r="373" spans="1:11" ht="18.75" customHeight="1">
      <c r="A373" s="661"/>
      <c r="B373" s="663" t="s">
        <v>7642</v>
      </c>
      <c r="C373" s="657" t="s">
        <v>7105</v>
      </c>
      <c r="D373" s="657" t="s">
        <v>7744</v>
      </c>
      <c r="E373" s="663" t="s">
        <v>7311</v>
      </c>
      <c r="F373" s="658">
        <v>0.1</v>
      </c>
      <c r="G373" s="658">
        <v>0</v>
      </c>
      <c r="H373" s="664">
        <v>29480</v>
      </c>
      <c r="I373" s="664">
        <f t="shared" si="5"/>
        <v>26800</v>
      </c>
      <c r="J373" s="661"/>
      <c r="K373">
        <f t="shared" si="7"/>
        <v>22780</v>
      </c>
    </row>
    <row r="374" spans="1:11" ht="18.75" customHeight="1">
      <c r="A374" s="661"/>
      <c r="B374" s="663" t="s">
        <v>7642</v>
      </c>
      <c r="C374" s="657" t="s">
        <v>7105</v>
      </c>
      <c r="D374" s="657" t="s">
        <v>7745</v>
      </c>
      <c r="E374" s="663" t="s">
        <v>7313</v>
      </c>
      <c r="F374" s="658">
        <v>0.1</v>
      </c>
      <c r="G374" s="658">
        <v>0</v>
      </c>
      <c r="H374" s="664">
        <v>33000</v>
      </c>
      <c r="I374" s="664">
        <f t="shared" si="5"/>
        <v>30000</v>
      </c>
      <c r="J374" s="661"/>
      <c r="K374">
        <f t="shared" si="7"/>
        <v>25500</v>
      </c>
    </row>
    <row r="375" spans="1:11" ht="18.75" customHeight="1">
      <c r="A375" s="661"/>
      <c r="B375" s="663" t="s">
        <v>7642</v>
      </c>
      <c r="C375" s="657" t="s">
        <v>7105</v>
      </c>
      <c r="D375" s="657" t="s">
        <v>7746</v>
      </c>
      <c r="E375" s="663" t="s">
        <v>7315</v>
      </c>
      <c r="F375" s="658">
        <v>0.1</v>
      </c>
      <c r="G375" s="658">
        <v>0</v>
      </c>
      <c r="H375" s="664">
        <v>35310</v>
      </c>
      <c r="I375" s="664">
        <f t="shared" si="5"/>
        <v>32100</v>
      </c>
      <c r="J375" s="661"/>
      <c r="K375">
        <f t="shared" si="7"/>
        <v>27285</v>
      </c>
    </row>
    <row r="376" spans="1:11" ht="18.75" customHeight="1">
      <c r="A376" s="661"/>
      <c r="B376" s="663" t="s">
        <v>7642</v>
      </c>
      <c r="C376" s="657" t="s">
        <v>7136</v>
      </c>
      <c r="D376" s="657" t="s">
        <v>7747</v>
      </c>
      <c r="E376" s="663" t="s">
        <v>7317</v>
      </c>
      <c r="F376" s="658">
        <v>0.1</v>
      </c>
      <c r="G376" s="658">
        <v>0</v>
      </c>
      <c r="H376" s="664">
        <v>38800</v>
      </c>
      <c r="I376" s="664">
        <f t="shared" si="5"/>
        <v>35270</v>
      </c>
      <c r="J376" s="661"/>
      <c r="K376">
        <f t="shared" si="7"/>
        <v>29979.5</v>
      </c>
    </row>
    <row r="377" spans="1:11" ht="18.75" customHeight="1">
      <c r="A377" s="661"/>
      <c r="B377" s="663" t="s">
        <v>7642</v>
      </c>
      <c r="C377" s="657" t="s">
        <v>7105</v>
      </c>
      <c r="D377" s="657" t="s">
        <v>7748</v>
      </c>
      <c r="E377" s="663" t="s">
        <v>7319</v>
      </c>
      <c r="F377" s="658">
        <v>0.1</v>
      </c>
      <c r="G377" s="658">
        <v>0</v>
      </c>
      <c r="H377" s="664">
        <v>38800</v>
      </c>
      <c r="I377" s="664">
        <f t="shared" si="5"/>
        <v>35270</v>
      </c>
      <c r="J377" s="661"/>
      <c r="K377">
        <f t="shared" si="7"/>
        <v>29979.5</v>
      </c>
    </row>
    <row r="378" spans="1:11" ht="18.75" customHeight="1">
      <c r="A378" s="661"/>
      <c r="B378" s="663" t="s">
        <v>7642</v>
      </c>
      <c r="C378" s="657" t="s">
        <v>7136</v>
      </c>
      <c r="D378" s="657" t="s">
        <v>7749</v>
      </c>
      <c r="E378" s="663" t="s">
        <v>7321</v>
      </c>
      <c r="F378" s="658">
        <v>0.1</v>
      </c>
      <c r="G378" s="658">
        <v>0</v>
      </c>
      <c r="H378" s="664">
        <v>44770</v>
      </c>
      <c r="I378" s="664">
        <f t="shared" si="5"/>
        <v>40700</v>
      </c>
      <c r="J378" s="661"/>
      <c r="K378">
        <f t="shared" si="7"/>
        <v>34595</v>
      </c>
    </row>
    <row r="379" spans="1:11" ht="18.75" customHeight="1">
      <c r="A379" s="661"/>
      <c r="B379" s="663" t="s">
        <v>7642</v>
      </c>
      <c r="C379" s="657" t="s">
        <v>7136</v>
      </c>
      <c r="D379" s="657" t="s">
        <v>7750</v>
      </c>
      <c r="E379" s="663" t="s">
        <v>7323</v>
      </c>
      <c r="F379" s="658">
        <v>0.1</v>
      </c>
      <c r="G379" s="658">
        <v>0</v>
      </c>
      <c r="H379" s="664">
        <v>44770</v>
      </c>
      <c r="I379" s="664">
        <f t="shared" si="5"/>
        <v>40700</v>
      </c>
      <c r="J379" s="661"/>
      <c r="K379">
        <f t="shared" si="7"/>
        <v>34595</v>
      </c>
    </row>
    <row r="380" spans="1:11" ht="18.75" customHeight="1">
      <c r="A380" s="661"/>
      <c r="B380" s="663" t="s">
        <v>7642</v>
      </c>
      <c r="C380" s="657" t="s">
        <v>7136</v>
      </c>
      <c r="D380" s="657" t="s">
        <v>7751</v>
      </c>
      <c r="E380" s="663" t="s">
        <v>7325</v>
      </c>
      <c r="F380" s="658">
        <v>0.1</v>
      </c>
      <c r="G380" s="658">
        <v>0</v>
      </c>
      <c r="H380" s="664">
        <v>48290</v>
      </c>
      <c r="I380" s="664">
        <f t="shared" si="5"/>
        <v>43900</v>
      </c>
      <c r="J380" s="661"/>
      <c r="K380">
        <f t="shared" si="7"/>
        <v>37315</v>
      </c>
    </row>
    <row r="381" spans="1:11" ht="18.75" customHeight="1">
      <c r="A381" s="661"/>
      <c r="B381" s="663" t="s">
        <v>7642</v>
      </c>
      <c r="C381" s="657" t="s">
        <v>7141</v>
      </c>
      <c r="D381" s="657" t="s">
        <v>7752</v>
      </c>
      <c r="E381" s="663" t="s">
        <v>7327</v>
      </c>
      <c r="F381" s="658">
        <v>0.1</v>
      </c>
      <c r="G381" s="658">
        <v>0</v>
      </c>
      <c r="H381" s="664">
        <v>48290</v>
      </c>
      <c r="I381" s="664">
        <f t="shared" si="5"/>
        <v>43900</v>
      </c>
      <c r="J381" s="661"/>
      <c r="K381">
        <f t="shared" si="7"/>
        <v>37315</v>
      </c>
    </row>
    <row r="382" spans="1:11" ht="18.75" customHeight="1">
      <c r="A382" s="661"/>
      <c r="B382" s="663" t="s">
        <v>7642</v>
      </c>
      <c r="C382" s="657" t="s">
        <v>7136</v>
      </c>
      <c r="D382" s="657" t="s">
        <v>7753</v>
      </c>
      <c r="E382" s="663" t="s">
        <v>7329</v>
      </c>
      <c r="F382" s="658">
        <v>0.1</v>
      </c>
      <c r="G382" s="658">
        <v>0</v>
      </c>
      <c r="H382" s="664">
        <v>51800</v>
      </c>
      <c r="I382" s="664">
        <f t="shared" si="5"/>
        <v>47090</v>
      </c>
      <c r="J382" s="661"/>
      <c r="K382">
        <f t="shared" si="7"/>
        <v>40026.5</v>
      </c>
    </row>
    <row r="383" spans="1:11" ht="18.75" customHeight="1">
      <c r="A383" s="661"/>
      <c r="B383" s="663" t="s">
        <v>7642</v>
      </c>
      <c r="C383" s="657" t="s">
        <v>7136</v>
      </c>
      <c r="D383" s="657" t="s">
        <v>7754</v>
      </c>
      <c r="E383" s="663" t="s">
        <v>7331</v>
      </c>
      <c r="F383" s="658">
        <v>0.1</v>
      </c>
      <c r="G383" s="658">
        <v>0</v>
      </c>
      <c r="H383" s="664">
        <v>56500</v>
      </c>
      <c r="I383" s="664">
        <f t="shared" si="5"/>
        <v>51360</v>
      </c>
      <c r="J383" s="661"/>
      <c r="K383">
        <f t="shared" si="7"/>
        <v>43656</v>
      </c>
    </row>
    <row r="384" spans="1:11" ht="18.75" customHeight="1">
      <c r="A384" s="661"/>
      <c r="B384" s="663" t="s">
        <v>7642</v>
      </c>
      <c r="C384" s="657" t="s">
        <v>7136</v>
      </c>
      <c r="D384" s="657" t="s">
        <v>7755</v>
      </c>
      <c r="E384" s="663" t="s">
        <v>7333</v>
      </c>
      <c r="F384" s="658">
        <v>0.1</v>
      </c>
      <c r="G384" s="658">
        <v>0</v>
      </c>
      <c r="H384" s="664">
        <v>61200</v>
      </c>
      <c r="I384" s="664">
        <f t="shared" si="5"/>
        <v>55640</v>
      </c>
      <c r="J384" s="661"/>
      <c r="K384">
        <f t="shared" si="7"/>
        <v>47294</v>
      </c>
    </row>
    <row r="385" spans="1:11" ht="18.75" customHeight="1">
      <c r="A385" s="661"/>
      <c r="B385" s="663" t="s">
        <v>7642</v>
      </c>
      <c r="C385" s="657" t="s">
        <v>7136</v>
      </c>
      <c r="D385" s="657" t="s">
        <v>7756</v>
      </c>
      <c r="E385" s="663" t="s">
        <v>7335</v>
      </c>
      <c r="F385" s="658">
        <v>0.1</v>
      </c>
      <c r="G385" s="658">
        <v>0</v>
      </c>
      <c r="H385" s="664">
        <v>63600</v>
      </c>
      <c r="I385" s="664">
        <f t="shared" si="5"/>
        <v>57820</v>
      </c>
      <c r="J385" s="661"/>
      <c r="K385">
        <f t="shared" si="7"/>
        <v>49147</v>
      </c>
    </row>
    <row r="386" spans="1:11" ht="18.75" customHeight="1">
      <c r="A386" s="661"/>
      <c r="B386" s="663" t="s">
        <v>7642</v>
      </c>
      <c r="C386" s="657" t="s">
        <v>7136</v>
      </c>
      <c r="D386" s="657" t="s">
        <v>7757</v>
      </c>
      <c r="E386" s="663" t="s">
        <v>7337</v>
      </c>
      <c r="F386" s="658">
        <v>0.1</v>
      </c>
      <c r="G386" s="658">
        <v>0</v>
      </c>
      <c r="H386" s="664">
        <v>70600</v>
      </c>
      <c r="I386" s="664">
        <f t="shared" si="5"/>
        <v>64180</v>
      </c>
      <c r="J386" s="661"/>
      <c r="K386">
        <f t="shared" si="7"/>
        <v>54553</v>
      </c>
    </row>
    <row r="387" spans="1:11" ht="18.75" customHeight="1">
      <c r="A387" s="661"/>
      <c r="B387" s="663" t="s">
        <v>7642</v>
      </c>
      <c r="C387" s="657" t="s">
        <v>7141</v>
      </c>
      <c r="D387" s="657" t="s">
        <v>7758</v>
      </c>
      <c r="E387" s="663" t="s">
        <v>7339</v>
      </c>
      <c r="F387" s="658">
        <v>0.1</v>
      </c>
      <c r="G387" s="658">
        <v>0</v>
      </c>
      <c r="H387" s="664">
        <v>72900</v>
      </c>
      <c r="I387" s="664">
        <f t="shared" si="5"/>
        <v>66270</v>
      </c>
      <c r="J387" s="661"/>
      <c r="K387">
        <f t="shared" si="7"/>
        <v>56329.5</v>
      </c>
    </row>
    <row r="388" spans="1:11" ht="18.75" customHeight="1">
      <c r="A388" s="661"/>
      <c r="B388" s="663" t="s">
        <v>7642</v>
      </c>
      <c r="C388" s="657" t="s">
        <v>7136</v>
      </c>
      <c r="D388" s="657" t="s">
        <v>7759</v>
      </c>
      <c r="E388" s="663" t="s">
        <v>7341</v>
      </c>
      <c r="F388" s="658">
        <v>0.1</v>
      </c>
      <c r="G388" s="658">
        <v>0</v>
      </c>
      <c r="H388" s="664">
        <v>75400</v>
      </c>
      <c r="I388" s="664">
        <f t="shared" si="5"/>
        <v>68550</v>
      </c>
      <c r="J388" s="661"/>
      <c r="K388">
        <f t="shared" si="7"/>
        <v>58267.5</v>
      </c>
    </row>
    <row r="389" spans="1:11" ht="18.75" customHeight="1">
      <c r="A389" s="661"/>
      <c r="B389" s="663" t="s">
        <v>7642</v>
      </c>
      <c r="C389" s="657" t="s">
        <v>7136</v>
      </c>
      <c r="D389" s="657" t="s">
        <v>7760</v>
      </c>
      <c r="E389" s="663" t="s">
        <v>7343</v>
      </c>
      <c r="F389" s="658">
        <v>0.1</v>
      </c>
      <c r="G389" s="658">
        <v>0</v>
      </c>
      <c r="H389" s="664"/>
      <c r="I389" s="664">
        <f t="shared" si="5"/>
        <v>0</v>
      </c>
      <c r="J389" s="661"/>
      <c r="K389">
        <f t="shared" si="7"/>
        <v>0</v>
      </c>
    </row>
    <row r="390" spans="1:11" ht="18.75" customHeight="1">
      <c r="A390" s="661"/>
      <c r="B390" s="663" t="s">
        <v>7642</v>
      </c>
      <c r="C390" s="657" t="s">
        <v>7136</v>
      </c>
      <c r="D390" s="657" t="s">
        <v>7761</v>
      </c>
      <c r="E390" s="663" t="s">
        <v>7345</v>
      </c>
      <c r="F390" s="658">
        <v>0.1</v>
      </c>
      <c r="G390" s="658">
        <v>0</v>
      </c>
      <c r="H390" s="664">
        <v>113000</v>
      </c>
      <c r="I390" s="664">
        <f t="shared" si="5"/>
        <v>102730</v>
      </c>
      <c r="J390" s="661"/>
      <c r="K390">
        <f t="shared" ref="K390:K453" si="8">+I390*(1+$K$4)</f>
        <v>87320.5</v>
      </c>
    </row>
    <row r="391" spans="1:11" ht="18.75" customHeight="1">
      <c r="A391" s="661"/>
      <c r="B391" s="663" t="s">
        <v>7642</v>
      </c>
      <c r="C391" s="657" t="s">
        <v>7141</v>
      </c>
      <c r="D391" s="657" t="s">
        <v>7762</v>
      </c>
      <c r="E391" s="663" t="s">
        <v>7347</v>
      </c>
      <c r="F391" s="658">
        <v>0.1</v>
      </c>
      <c r="G391" s="658">
        <v>0</v>
      </c>
      <c r="H391" s="664"/>
      <c r="I391" s="664">
        <f t="shared" si="5"/>
        <v>0</v>
      </c>
      <c r="J391" s="661"/>
      <c r="K391">
        <f t="shared" si="8"/>
        <v>0</v>
      </c>
    </row>
    <row r="392" spans="1:11" ht="18.75" customHeight="1">
      <c r="A392" s="661"/>
      <c r="B392" s="663" t="s">
        <v>7642</v>
      </c>
      <c r="C392" s="657" t="s">
        <v>7141</v>
      </c>
      <c r="D392" s="657" t="s">
        <v>7763</v>
      </c>
      <c r="E392" s="663" t="s">
        <v>7349</v>
      </c>
      <c r="F392" s="658">
        <v>0.1</v>
      </c>
      <c r="G392" s="658">
        <v>0</v>
      </c>
      <c r="H392" s="664">
        <v>120000</v>
      </c>
      <c r="I392" s="664">
        <f t="shared" si="5"/>
        <v>109090</v>
      </c>
      <c r="J392" s="661"/>
      <c r="K392">
        <f t="shared" si="8"/>
        <v>92726.5</v>
      </c>
    </row>
    <row r="393" spans="1:11" ht="18.75" customHeight="1">
      <c r="A393" s="661"/>
      <c r="B393" s="663" t="s">
        <v>7642</v>
      </c>
      <c r="C393" s="657" t="s">
        <v>7141</v>
      </c>
      <c r="D393" s="657" t="s">
        <v>7764</v>
      </c>
      <c r="E393" s="663" t="s">
        <v>7351</v>
      </c>
      <c r="F393" s="658">
        <v>0.1</v>
      </c>
      <c r="G393" s="658">
        <v>0</v>
      </c>
      <c r="H393" s="664">
        <v>123600</v>
      </c>
      <c r="I393" s="664">
        <f t="shared" si="5"/>
        <v>112360</v>
      </c>
      <c r="J393" s="661"/>
      <c r="K393">
        <f t="shared" si="8"/>
        <v>95506</v>
      </c>
    </row>
    <row r="394" spans="1:11" ht="18.75" customHeight="1">
      <c r="A394" s="661"/>
      <c r="B394" s="663" t="s">
        <v>7642</v>
      </c>
      <c r="C394" s="657" t="s">
        <v>7141</v>
      </c>
      <c r="D394" s="657" t="s">
        <v>7765</v>
      </c>
      <c r="E394" s="663" t="s">
        <v>7353</v>
      </c>
      <c r="F394" s="658">
        <v>0.1</v>
      </c>
      <c r="G394" s="658">
        <v>0</v>
      </c>
      <c r="H394" s="664">
        <v>129500</v>
      </c>
      <c r="I394" s="664">
        <f t="shared" si="5"/>
        <v>117730</v>
      </c>
      <c r="J394" s="661"/>
      <c r="K394">
        <f t="shared" si="8"/>
        <v>100070.5</v>
      </c>
    </row>
    <row r="395" spans="1:11" ht="18.75" customHeight="1">
      <c r="A395" s="661"/>
      <c r="B395" s="663" t="s">
        <v>7642</v>
      </c>
      <c r="C395" s="657" t="s">
        <v>7141</v>
      </c>
      <c r="D395" s="657" t="s">
        <v>7766</v>
      </c>
      <c r="E395" s="663" t="s">
        <v>7355</v>
      </c>
      <c r="F395" s="658">
        <v>0.1</v>
      </c>
      <c r="G395" s="658">
        <v>0</v>
      </c>
      <c r="H395" s="664">
        <v>147200</v>
      </c>
      <c r="I395" s="664">
        <f t="shared" si="5"/>
        <v>133820</v>
      </c>
      <c r="J395" s="661"/>
      <c r="K395">
        <f t="shared" si="8"/>
        <v>113747</v>
      </c>
    </row>
    <row r="396" spans="1:11" ht="18.75" customHeight="1">
      <c r="A396" s="661"/>
      <c r="B396" s="663" t="s">
        <v>7642</v>
      </c>
      <c r="C396" s="657" t="s">
        <v>7141</v>
      </c>
      <c r="D396" s="657" t="s">
        <v>7767</v>
      </c>
      <c r="E396" s="663" t="s">
        <v>7357</v>
      </c>
      <c r="F396" s="658">
        <v>0.1</v>
      </c>
      <c r="G396" s="658">
        <v>0</v>
      </c>
      <c r="H396" s="664">
        <v>159000</v>
      </c>
      <c r="I396" s="664">
        <f t="shared" si="5"/>
        <v>144550</v>
      </c>
      <c r="J396" s="661"/>
      <c r="K396">
        <f t="shared" si="8"/>
        <v>122867.5</v>
      </c>
    </row>
    <row r="397" spans="1:11" ht="18.75" customHeight="1">
      <c r="A397" s="661"/>
      <c r="B397" s="663" t="s">
        <v>7642</v>
      </c>
      <c r="C397" s="657" t="s">
        <v>7141</v>
      </c>
      <c r="D397" s="657" t="s">
        <v>7768</v>
      </c>
      <c r="E397" s="663" t="s">
        <v>7359</v>
      </c>
      <c r="F397" s="658">
        <v>0.1</v>
      </c>
      <c r="G397" s="658">
        <v>0</v>
      </c>
      <c r="H397" s="664">
        <v>261300</v>
      </c>
      <c r="I397" s="664">
        <f t="shared" si="5"/>
        <v>237550</v>
      </c>
      <c r="J397" s="661"/>
      <c r="K397">
        <f t="shared" si="8"/>
        <v>201917.5</v>
      </c>
    </row>
    <row r="398" spans="1:11" ht="18.75" customHeight="1">
      <c r="A398" s="661"/>
      <c r="B398" s="663" t="s">
        <v>7642</v>
      </c>
      <c r="C398" s="657" t="s">
        <v>7141</v>
      </c>
      <c r="D398" s="657" t="s">
        <v>7769</v>
      </c>
      <c r="E398" s="663" t="s">
        <v>7361</v>
      </c>
      <c r="F398" s="658">
        <v>0.1</v>
      </c>
      <c r="G398" s="658">
        <v>0</v>
      </c>
      <c r="H398" s="664">
        <v>268400</v>
      </c>
      <c r="I398" s="664">
        <f t="shared" si="5"/>
        <v>244000</v>
      </c>
      <c r="J398" s="661"/>
      <c r="K398">
        <f t="shared" si="8"/>
        <v>207400</v>
      </c>
    </row>
    <row r="399" spans="1:11" ht="18.75" customHeight="1">
      <c r="A399" s="661"/>
      <c r="B399" s="663" t="s">
        <v>7642</v>
      </c>
      <c r="C399" s="657" t="s">
        <v>7141</v>
      </c>
      <c r="D399" s="657" t="s">
        <v>7770</v>
      </c>
      <c r="E399" s="663" t="s">
        <v>7363</v>
      </c>
      <c r="F399" s="658">
        <v>0.1</v>
      </c>
      <c r="G399" s="658">
        <v>0</v>
      </c>
      <c r="H399" s="664">
        <v>275400</v>
      </c>
      <c r="I399" s="664">
        <f t="shared" si="5"/>
        <v>250360</v>
      </c>
      <c r="J399" s="661"/>
      <c r="K399">
        <f t="shared" si="8"/>
        <v>212806</v>
      </c>
    </row>
    <row r="400" spans="1:11" ht="18.75" customHeight="1">
      <c r="A400" s="661"/>
      <c r="B400" s="663" t="s">
        <v>7642</v>
      </c>
      <c r="C400" s="657" t="s">
        <v>7141</v>
      </c>
      <c r="D400" s="657" t="s">
        <v>7771</v>
      </c>
      <c r="E400" s="663" t="s">
        <v>7365</v>
      </c>
      <c r="F400" s="658">
        <v>0.1</v>
      </c>
      <c r="G400" s="658">
        <v>0</v>
      </c>
      <c r="H400" s="664">
        <v>295500</v>
      </c>
      <c r="I400" s="664">
        <f t="shared" si="5"/>
        <v>268640</v>
      </c>
      <c r="J400" s="661"/>
      <c r="K400">
        <f t="shared" si="8"/>
        <v>228344</v>
      </c>
    </row>
    <row r="401" spans="1:11" ht="18.75" customHeight="1">
      <c r="A401" s="661"/>
      <c r="B401" s="663" t="s">
        <v>7642</v>
      </c>
      <c r="C401" s="657" t="s">
        <v>7141</v>
      </c>
      <c r="D401" s="657" t="s">
        <v>7772</v>
      </c>
      <c r="E401" s="663" t="s">
        <v>7367</v>
      </c>
      <c r="F401" s="658">
        <v>0.1</v>
      </c>
      <c r="G401" s="658">
        <v>0</v>
      </c>
      <c r="H401" s="664">
        <v>316600</v>
      </c>
      <c r="I401" s="664">
        <f t="shared" si="5"/>
        <v>287820</v>
      </c>
      <c r="J401" s="661"/>
      <c r="K401">
        <f t="shared" si="8"/>
        <v>244647</v>
      </c>
    </row>
    <row r="402" spans="1:11" ht="18.75" customHeight="1">
      <c r="A402" s="661"/>
      <c r="B402" s="663" t="s">
        <v>7642</v>
      </c>
      <c r="C402" s="657" t="s">
        <v>7141</v>
      </c>
      <c r="D402" s="657" t="s">
        <v>7773</v>
      </c>
      <c r="E402" s="663" t="s">
        <v>7369</v>
      </c>
      <c r="F402" s="658">
        <v>0.1</v>
      </c>
      <c r="G402" s="658">
        <v>0</v>
      </c>
      <c r="H402" s="664">
        <v>322500</v>
      </c>
      <c r="I402" s="664">
        <f t="shared" si="5"/>
        <v>293180</v>
      </c>
      <c r="J402" s="661"/>
      <c r="K402">
        <f t="shared" si="8"/>
        <v>249203</v>
      </c>
    </row>
    <row r="403" spans="1:11" ht="18.75" customHeight="1">
      <c r="A403" s="661"/>
      <c r="B403" s="663" t="s">
        <v>7642</v>
      </c>
      <c r="C403" s="657" t="s">
        <v>7141</v>
      </c>
      <c r="D403" s="657" t="s">
        <v>7774</v>
      </c>
      <c r="E403" s="663" t="s">
        <v>7371</v>
      </c>
      <c r="F403" s="658">
        <v>0.1</v>
      </c>
      <c r="G403" s="658">
        <v>0</v>
      </c>
      <c r="H403" s="664">
        <v>322500</v>
      </c>
      <c r="I403" s="664">
        <f t="shared" si="5"/>
        <v>293180</v>
      </c>
      <c r="J403" s="661"/>
      <c r="K403">
        <f t="shared" si="8"/>
        <v>249203</v>
      </c>
    </row>
    <row r="404" spans="1:11" ht="18.75" customHeight="1">
      <c r="A404" s="661"/>
      <c r="B404" s="663" t="s">
        <v>7642</v>
      </c>
      <c r="C404" s="657" t="s">
        <v>7141</v>
      </c>
      <c r="D404" s="657" t="s">
        <v>7775</v>
      </c>
      <c r="E404" s="663" t="s">
        <v>7373</v>
      </c>
      <c r="F404" s="658">
        <v>0.1</v>
      </c>
      <c r="G404" s="658">
        <v>0</v>
      </c>
      <c r="H404" s="664">
        <v>343600</v>
      </c>
      <c r="I404" s="664">
        <f t="shared" si="5"/>
        <v>312360</v>
      </c>
      <c r="J404" s="661"/>
      <c r="K404">
        <f t="shared" si="8"/>
        <v>265506</v>
      </c>
    </row>
    <row r="405" spans="1:11" ht="18.75" customHeight="1">
      <c r="A405" s="661"/>
      <c r="B405" s="663" t="s">
        <v>7642</v>
      </c>
      <c r="C405" s="657" t="s">
        <v>7141</v>
      </c>
      <c r="D405" s="657" t="s">
        <v>7776</v>
      </c>
      <c r="E405" s="663" t="s">
        <v>7375</v>
      </c>
      <c r="F405" s="658">
        <v>0.1</v>
      </c>
      <c r="G405" s="658">
        <v>0</v>
      </c>
      <c r="H405" s="664">
        <v>370800</v>
      </c>
      <c r="I405" s="664">
        <f t="shared" si="5"/>
        <v>337090</v>
      </c>
      <c r="J405" s="661"/>
      <c r="K405">
        <f t="shared" si="8"/>
        <v>286526.5</v>
      </c>
    </row>
    <row r="406" spans="1:11" ht="18.75" customHeight="1">
      <c r="A406" s="661"/>
      <c r="B406" s="663" t="s">
        <v>7642</v>
      </c>
      <c r="C406" s="657" t="s">
        <v>7141</v>
      </c>
      <c r="D406" s="657" t="s">
        <v>7777</v>
      </c>
      <c r="E406" s="663" t="s">
        <v>7377</v>
      </c>
      <c r="F406" s="658">
        <v>0.1</v>
      </c>
      <c r="G406" s="658">
        <v>0</v>
      </c>
      <c r="H406" s="664"/>
      <c r="I406" s="664">
        <f t="shared" si="5"/>
        <v>0</v>
      </c>
      <c r="J406" s="661"/>
      <c r="K406">
        <f t="shared" si="8"/>
        <v>0</v>
      </c>
    </row>
    <row r="407" spans="1:11" ht="18.75" customHeight="1">
      <c r="A407" s="661"/>
      <c r="B407" s="663" t="s">
        <v>7642</v>
      </c>
      <c r="C407" s="657" t="s">
        <v>7141</v>
      </c>
      <c r="D407" s="657" t="s">
        <v>7778</v>
      </c>
      <c r="E407" s="663" t="s">
        <v>7379</v>
      </c>
      <c r="F407" s="658">
        <v>0.1</v>
      </c>
      <c r="G407" s="658">
        <v>0</v>
      </c>
      <c r="H407" s="664"/>
      <c r="I407" s="664">
        <f t="shared" si="5"/>
        <v>0</v>
      </c>
      <c r="J407" s="661"/>
      <c r="K407">
        <f t="shared" si="8"/>
        <v>0</v>
      </c>
    </row>
    <row r="408" spans="1:11" ht="18.75" customHeight="1">
      <c r="A408" s="661"/>
      <c r="B408" s="663" t="s">
        <v>7642</v>
      </c>
      <c r="C408" s="657" t="s">
        <v>7141</v>
      </c>
      <c r="D408" s="657" t="s">
        <v>7779</v>
      </c>
      <c r="E408" s="663" t="s">
        <v>7381</v>
      </c>
      <c r="F408" s="658">
        <v>0.1</v>
      </c>
      <c r="G408" s="658">
        <v>0</v>
      </c>
      <c r="H408" s="664">
        <v>35300</v>
      </c>
      <c r="I408" s="664">
        <f t="shared" si="5"/>
        <v>32090</v>
      </c>
      <c r="J408" s="661"/>
      <c r="K408">
        <f t="shared" si="8"/>
        <v>27276.5</v>
      </c>
    </row>
    <row r="409" spans="1:11" ht="18.75" customHeight="1">
      <c r="A409" s="661"/>
      <c r="B409" s="663" t="s">
        <v>7642</v>
      </c>
      <c r="C409" s="657" t="s">
        <v>7141</v>
      </c>
      <c r="D409" s="657" t="s">
        <v>7780</v>
      </c>
      <c r="E409" s="663" t="s">
        <v>7383</v>
      </c>
      <c r="F409" s="658">
        <v>0.1</v>
      </c>
      <c r="G409" s="658">
        <v>0</v>
      </c>
      <c r="H409" s="664">
        <v>35300</v>
      </c>
      <c r="I409" s="664">
        <f t="shared" si="5"/>
        <v>32090</v>
      </c>
      <c r="J409" s="661"/>
      <c r="K409">
        <f t="shared" si="8"/>
        <v>27276.5</v>
      </c>
    </row>
    <row r="410" spans="1:11" ht="18.75" customHeight="1">
      <c r="A410" s="661"/>
      <c r="B410" s="663" t="s">
        <v>7642</v>
      </c>
      <c r="C410" s="657" t="s">
        <v>7141</v>
      </c>
      <c r="D410" s="657" t="s">
        <v>7781</v>
      </c>
      <c r="E410" s="663" t="s">
        <v>7385</v>
      </c>
      <c r="F410" s="658">
        <v>0.1</v>
      </c>
      <c r="G410" s="658">
        <v>0</v>
      </c>
      <c r="H410" s="664">
        <v>37600</v>
      </c>
      <c r="I410" s="664">
        <f t="shared" si="5"/>
        <v>34180</v>
      </c>
      <c r="J410" s="661"/>
      <c r="K410">
        <f t="shared" si="8"/>
        <v>29053</v>
      </c>
    </row>
    <row r="411" spans="1:11" ht="18.75" customHeight="1">
      <c r="A411" s="661"/>
      <c r="B411" s="663" t="s">
        <v>7642</v>
      </c>
      <c r="C411" s="657" t="s">
        <v>7136</v>
      </c>
      <c r="D411" s="657" t="s">
        <v>7782</v>
      </c>
      <c r="E411" s="663" t="s">
        <v>7387</v>
      </c>
      <c r="F411" s="658">
        <v>0.1</v>
      </c>
      <c r="G411" s="658">
        <v>0</v>
      </c>
      <c r="H411" s="664">
        <v>44800</v>
      </c>
      <c r="I411" s="664">
        <f t="shared" si="5"/>
        <v>40730</v>
      </c>
      <c r="J411" s="661"/>
      <c r="K411">
        <f t="shared" si="8"/>
        <v>34620.5</v>
      </c>
    </row>
    <row r="412" spans="1:11" ht="18.75" customHeight="1">
      <c r="A412" s="661"/>
      <c r="B412" s="663" t="s">
        <v>7642</v>
      </c>
      <c r="C412" s="657" t="s">
        <v>7136</v>
      </c>
      <c r="D412" s="657" t="s">
        <v>7783</v>
      </c>
      <c r="E412" s="663" t="s">
        <v>7389</v>
      </c>
      <c r="F412" s="658">
        <v>0.1</v>
      </c>
      <c r="G412" s="658">
        <v>0</v>
      </c>
      <c r="H412" s="664">
        <v>44800</v>
      </c>
      <c r="I412" s="664">
        <f t="shared" si="5"/>
        <v>40730</v>
      </c>
      <c r="J412" s="661"/>
      <c r="K412">
        <f t="shared" si="8"/>
        <v>34620.5</v>
      </c>
    </row>
    <row r="413" spans="1:11" ht="18.75" customHeight="1">
      <c r="A413" s="661"/>
      <c r="B413" s="663" t="s">
        <v>7642</v>
      </c>
      <c r="C413" s="657" t="s">
        <v>7136</v>
      </c>
      <c r="D413" s="657" t="s">
        <v>7784</v>
      </c>
      <c r="E413" s="663" t="s">
        <v>7391</v>
      </c>
      <c r="F413" s="658">
        <v>0.1</v>
      </c>
      <c r="G413" s="658">
        <v>0</v>
      </c>
      <c r="H413" s="664">
        <v>54100</v>
      </c>
      <c r="I413" s="664">
        <f t="shared" si="5"/>
        <v>49180</v>
      </c>
      <c r="J413" s="661"/>
      <c r="K413">
        <f t="shared" si="8"/>
        <v>41803</v>
      </c>
    </row>
    <row r="414" spans="1:11" ht="18.75" customHeight="1">
      <c r="A414" s="661"/>
      <c r="B414" s="663" t="s">
        <v>7642</v>
      </c>
      <c r="C414" s="657" t="s">
        <v>7136</v>
      </c>
      <c r="D414" s="657" t="s">
        <v>7785</v>
      </c>
      <c r="E414" s="663" t="s">
        <v>7393</v>
      </c>
      <c r="F414" s="658">
        <v>0.1</v>
      </c>
      <c r="G414" s="658">
        <v>0</v>
      </c>
      <c r="H414" s="664">
        <v>54100</v>
      </c>
      <c r="I414" s="664">
        <f t="shared" si="5"/>
        <v>49180</v>
      </c>
      <c r="J414" s="661"/>
      <c r="K414">
        <f t="shared" si="8"/>
        <v>41803</v>
      </c>
    </row>
    <row r="415" spans="1:11" ht="18.75" customHeight="1">
      <c r="A415" s="661"/>
      <c r="B415" s="663" t="s">
        <v>7642</v>
      </c>
      <c r="C415" s="657" t="s">
        <v>7136</v>
      </c>
      <c r="D415" s="657" t="s">
        <v>7786</v>
      </c>
      <c r="E415" s="663" t="s">
        <v>7395</v>
      </c>
      <c r="F415" s="658">
        <v>0.1</v>
      </c>
      <c r="G415" s="658">
        <v>0</v>
      </c>
      <c r="H415" s="664">
        <v>58900</v>
      </c>
      <c r="I415" s="664">
        <f t="shared" si="5"/>
        <v>53550</v>
      </c>
      <c r="J415" s="661"/>
      <c r="K415">
        <f t="shared" si="8"/>
        <v>45517.5</v>
      </c>
    </row>
    <row r="416" spans="1:11" ht="18.75" customHeight="1">
      <c r="A416" s="661"/>
      <c r="B416" s="663" t="s">
        <v>7642</v>
      </c>
      <c r="C416" s="657" t="s">
        <v>7136</v>
      </c>
      <c r="D416" s="657" t="s">
        <v>7787</v>
      </c>
      <c r="E416" s="663" t="s">
        <v>7397</v>
      </c>
      <c r="F416" s="658">
        <v>0.1</v>
      </c>
      <c r="G416" s="658">
        <v>0</v>
      </c>
      <c r="H416" s="664">
        <v>64800</v>
      </c>
      <c r="I416" s="664">
        <f t="shared" si="5"/>
        <v>58910</v>
      </c>
      <c r="J416" s="661"/>
      <c r="K416">
        <f t="shared" si="8"/>
        <v>50073.5</v>
      </c>
    </row>
    <row r="417" spans="1:11" ht="18.75" customHeight="1">
      <c r="A417" s="661"/>
      <c r="B417" s="663" t="s">
        <v>7642</v>
      </c>
      <c r="C417" s="657" t="s">
        <v>7136</v>
      </c>
      <c r="D417" s="657" t="s">
        <v>7788</v>
      </c>
      <c r="E417" s="663" t="s">
        <v>7399</v>
      </c>
      <c r="F417" s="658">
        <v>0.1</v>
      </c>
      <c r="G417" s="658">
        <v>0</v>
      </c>
      <c r="H417" s="664">
        <v>68300</v>
      </c>
      <c r="I417" s="664">
        <f t="shared" si="5"/>
        <v>62090</v>
      </c>
      <c r="J417" s="661"/>
      <c r="K417">
        <f t="shared" si="8"/>
        <v>52776.5</v>
      </c>
    </row>
    <row r="418" spans="1:11" ht="18.75" customHeight="1">
      <c r="A418" s="661"/>
      <c r="B418" s="663" t="s">
        <v>7642</v>
      </c>
      <c r="C418" s="657" t="s">
        <v>7136</v>
      </c>
      <c r="D418" s="657" t="s">
        <v>7789</v>
      </c>
      <c r="E418" s="663" t="s">
        <v>7401</v>
      </c>
      <c r="F418" s="658">
        <v>0.1</v>
      </c>
      <c r="G418" s="658">
        <v>0</v>
      </c>
      <c r="H418" s="664">
        <v>68300</v>
      </c>
      <c r="I418" s="664">
        <f t="shared" si="5"/>
        <v>62090</v>
      </c>
      <c r="J418" s="661"/>
      <c r="K418">
        <f t="shared" si="8"/>
        <v>52776.5</v>
      </c>
    </row>
    <row r="419" spans="1:11" ht="18.75" customHeight="1">
      <c r="A419" s="661"/>
      <c r="B419" s="663" t="s">
        <v>7642</v>
      </c>
      <c r="C419" s="657" t="s">
        <v>7136</v>
      </c>
      <c r="D419" s="657" t="s">
        <v>7790</v>
      </c>
      <c r="E419" s="663" t="s">
        <v>7403</v>
      </c>
      <c r="F419" s="658">
        <v>0.1</v>
      </c>
      <c r="G419" s="658">
        <v>0</v>
      </c>
      <c r="H419" s="664">
        <v>70600</v>
      </c>
      <c r="I419" s="664">
        <f t="shared" si="5"/>
        <v>64180</v>
      </c>
      <c r="J419" s="661"/>
      <c r="K419">
        <f t="shared" si="8"/>
        <v>54553</v>
      </c>
    </row>
    <row r="420" spans="1:11" ht="18.75" customHeight="1">
      <c r="A420" s="661"/>
      <c r="B420" s="663" t="s">
        <v>7642</v>
      </c>
      <c r="C420" s="657" t="s">
        <v>7136</v>
      </c>
      <c r="D420" s="657" t="s">
        <v>7791</v>
      </c>
      <c r="E420" s="663" t="s">
        <v>7405</v>
      </c>
      <c r="F420" s="658">
        <v>0.1</v>
      </c>
      <c r="G420" s="658">
        <v>0</v>
      </c>
      <c r="H420" s="664">
        <v>80100</v>
      </c>
      <c r="I420" s="664">
        <f t="shared" si="5"/>
        <v>72820</v>
      </c>
      <c r="J420" s="661"/>
      <c r="K420">
        <f t="shared" si="8"/>
        <v>61897</v>
      </c>
    </row>
    <row r="421" spans="1:11" ht="18.75" customHeight="1">
      <c r="A421" s="661"/>
      <c r="B421" s="663" t="s">
        <v>7642</v>
      </c>
      <c r="C421" s="657" t="s">
        <v>7136</v>
      </c>
      <c r="D421" s="657" t="s">
        <v>7792</v>
      </c>
      <c r="E421" s="663" t="s">
        <v>7407</v>
      </c>
      <c r="F421" s="658">
        <v>0.1</v>
      </c>
      <c r="G421" s="658">
        <v>0</v>
      </c>
      <c r="H421" s="664">
        <v>80100</v>
      </c>
      <c r="I421" s="664">
        <f t="shared" si="5"/>
        <v>72820</v>
      </c>
      <c r="J421" s="661"/>
      <c r="K421">
        <f t="shared" si="8"/>
        <v>61897</v>
      </c>
    </row>
    <row r="422" spans="1:11" ht="18.75" customHeight="1">
      <c r="A422" s="661"/>
      <c r="B422" s="663" t="s">
        <v>7642</v>
      </c>
      <c r="C422" s="657" t="s">
        <v>7136</v>
      </c>
      <c r="D422" s="657" t="s">
        <v>7793</v>
      </c>
      <c r="E422" s="663" t="s">
        <v>7409</v>
      </c>
      <c r="F422" s="658">
        <v>0.1</v>
      </c>
      <c r="G422" s="658">
        <v>0</v>
      </c>
      <c r="H422" s="664">
        <v>83600</v>
      </c>
      <c r="I422" s="664">
        <f t="shared" si="5"/>
        <v>76000</v>
      </c>
      <c r="J422" s="661"/>
      <c r="K422">
        <f t="shared" si="8"/>
        <v>64600</v>
      </c>
    </row>
    <row r="423" spans="1:11" ht="18.75" customHeight="1">
      <c r="A423" s="661"/>
      <c r="B423" s="663" t="s">
        <v>7642</v>
      </c>
      <c r="C423" s="657" t="s">
        <v>7136</v>
      </c>
      <c r="D423" s="657" t="s">
        <v>7794</v>
      </c>
      <c r="E423" s="663" t="s">
        <v>7411</v>
      </c>
      <c r="F423" s="658">
        <v>0.1</v>
      </c>
      <c r="G423" s="658">
        <v>0</v>
      </c>
      <c r="H423" s="664">
        <v>89400</v>
      </c>
      <c r="I423" s="664">
        <f t="shared" si="5"/>
        <v>81270</v>
      </c>
      <c r="J423" s="661"/>
      <c r="K423">
        <f t="shared" si="8"/>
        <v>69079.5</v>
      </c>
    </row>
    <row r="424" spans="1:11" ht="18.75" customHeight="1">
      <c r="A424" s="661"/>
      <c r="B424" s="663" t="s">
        <v>7642</v>
      </c>
      <c r="C424" s="657" t="s">
        <v>7136</v>
      </c>
      <c r="D424" s="657" t="s">
        <v>7795</v>
      </c>
      <c r="E424" s="663" t="s">
        <v>7413</v>
      </c>
      <c r="F424" s="658">
        <v>0.1</v>
      </c>
      <c r="G424" s="658">
        <v>0</v>
      </c>
      <c r="H424" s="664">
        <v>93000</v>
      </c>
      <c r="I424" s="664">
        <f t="shared" si="5"/>
        <v>84550</v>
      </c>
      <c r="J424" s="661"/>
      <c r="K424">
        <f t="shared" si="8"/>
        <v>71867.5</v>
      </c>
    </row>
    <row r="425" spans="1:11" ht="18.75" customHeight="1">
      <c r="A425" s="661"/>
      <c r="B425" s="663" t="s">
        <v>7642</v>
      </c>
      <c r="C425" s="657" t="s">
        <v>7136</v>
      </c>
      <c r="D425" s="657" t="s">
        <v>7796</v>
      </c>
      <c r="E425" s="663" t="s">
        <v>7415</v>
      </c>
      <c r="F425" s="658">
        <v>0.1</v>
      </c>
      <c r="G425" s="658">
        <v>0</v>
      </c>
      <c r="H425" s="664">
        <v>105900</v>
      </c>
      <c r="I425" s="664">
        <f t="shared" si="5"/>
        <v>96270</v>
      </c>
      <c r="J425" s="661"/>
      <c r="K425">
        <f t="shared" si="8"/>
        <v>81829.5</v>
      </c>
    </row>
    <row r="426" spans="1:11" ht="18.75" customHeight="1">
      <c r="A426" s="661"/>
      <c r="B426" s="663" t="s">
        <v>7642</v>
      </c>
      <c r="C426" s="657" t="s">
        <v>7141</v>
      </c>
      <c r="D426" s="657" t="s">
        <v>7797</v>
      </c>
      <c r="E426" s="663" t="s">
        <v>7417</v>
      </c>
      <c r="F426" s="658">
        <v>0.1</v>
      </c>
      <c r="G426" s="658">
        <v>0</v>
      </c>
      <c r="H426" s="664">
        <v>117700</v>
      </c>
      <c r="I426" s="664">
        <f t="shared" si="5"/>
        <v>107000</v>
      </c>
      <c r="J426" s="661"/>
      <c r="K426">
        <f t="shared" si="8"/>
        <v>90950</v>
      </c>
    </row>
    <row r="427" spans="1:11" ht="18.75" customHeight="1">
      <c r="A427" s="661"/>
      <c r="B427" s="663" t="s">
        <v>7642</v>
      </c>
      <c r="C427" s="657" t="s">
        <v>7136</v>
      </c>
      <c r="D427" s="657" t="s">
        <v>7798</v>
      </c>
      <c r="E427" s="663" t="s">
        <v>7419</v>
      </c>
      <c r="F427" s="658">
        <v>0.1</v>
      </c>
      <c r="G427" s="658">
        <v>0</v>
      </c>
      <c r="H427" s="664">
        <v>126000</v>
      </c>
      <c r="I427" s="664">
        <f t="shared" si="5"/>
        <v>114550</v>
      </c>
      <c r="J427" s="661"/>
      <c r="K427">
        <f t="shared" si="8"/>
        <v>97367.5</v>
      </c>
    </row>
    <row r="428" spans="1:11" ht="18.75" customHeight="1">
      <c r="A428" s="661"/>
      <c r="B428" s="663" t="s">
        <v>7642</v>
      </c>
      <c r="C428" s="657" t="s">
        <v>7136</v>
      </c>
      <c r="D428" s="657" t="s">
        <v>7799</v>
      </c>
      <c r="E428" s="663" t="s">
        <v>7421</v>
      </c>
      <c r="F428" s="658">
        <v>0.1</v>
      </c>
      <c r="G428" s="658">
        <v>0</v>
      </c>
      <c r="H428" s="664"/>
      <c r="I428" s="664">
        <f t="shared" si="5"/>
        <v>0</v>
      </c>
      <c r="J428" s="661"/>
      <c r="K428">
        <f t="shared" si="8"/>
        <v>0</v>
      </c>
    </row>
    <row r="429" spans="1:11" ht="18.75" customHeight="1">
      <c r="A429" s="661"/>
      <c r="B429" s="663" t="s">
        <v>7642</v>
      </c>
      <c r="C429" s="657" t="s">
        <v>7141</v>
      </c>
      <c r="D429" s="657" t="s">
        <v>7800</v>
      </c>
      <c r="E429" s="663" t="s">
        <v>7423</v>
      </c>
      <c r="F429" s="658">
        <v>0.1</v>
      </c>
      <c r="G429" s="658">
        <v>0</v>
      </c>
      <c r="H429" s="664">
        <v>129500</v>
      </c>
      <c r="I429" s="664">
        <f t="shared" si="5"/>
        <v>117730</v>
      </c>
      <c r="J429" s="661"/>
      <c r="K429">
        <f t="shared" si="8"/>
        <v>100070.5</v>
      </c>
    </row>
    <row r="430" spans="1:11" ht="18.75" customHeight="1">
      <c r="A430" s="661"/>
      <c r="B430" s="663" t="s">
        <v>7642</v>
      </c>
      <c r="C430" s="657" t="s">
        <v>7141</v>
      </c>
      <c r="D430" s="657" t="s">
        <v>7801</v>
      </c>
      <c r="E430" s="663" t="s">
        <v>7425</v>
      </c>
      <c r="F430" s="658">
        <v>0.1</v>
      </c>
      <c r="G430" s="658">
        <v>0</v>
      </c>
      <c r="H430" s="664"/>
      <c r="I430" s="664">
        <f t="shared" si="5"/>
        <v>0</v>
      </c>
      <c r="J430" s="661"/>
      <c r="K430">
        <f t="shared" si="8"/>
        <v>0</v>
      </c>
    </row>
    <row r="431" spans="1:11" ht="18.75" customHeight="1">
      <c r="A431" s="661"/>
      <c r="B431" s="663" t="s">
        <v>7642</v>
      </c>
      <c r="C431" s="657" t="s">
        <v>7141</v>
      </c>
      <c r="D431" s="657" t="s">
        <v>7802</v>
      </c>
      <c r="E431" s="663" t="s">
        <v>7427</v>
      </c>
      <c r="F431" s="658">
        <v>0.1</v>
      </c>
      <c r="G431" s="658">
        <v>0</v>
      </c>
      <c r="H431" s="664">
        <v>140000</v>
      </c>
      <c r="I431" s="664">
        <f t="shared" si="5"/>
        <v>127270</v>
      </c>
      <c r="J431" s="661"/>
      <c r="K431">
        <f t="shared" si="8"/>
        <v>108179.5</v>
      </c>
    </row>
    <row r="432" spans="1:11" ht="18.75" customHeight="1">
      <c r="A432" s="661"/>
      <c r="B432" s="663" t="s">
        <v>7642</v>
      </c>
      <c r="C432" s="657" t="s">
        <v>7141</v>
      </c>
      <c r="D432" s="657" t="s">
        <v>7803</v>
      </c>
      <c r="E432" s="663" t="s">
        <v>7429</v>
      </c>
      <c r="F432" s="658">
        <v>0.1</v>
      </c>
      <c r="G432" s="658">
        <v>0</v>
      </c>
      <c r="H432" s="664">
        <v>155300</v>
      </c>
      <c r="I432" s="664">
        <f t="shared" si="5"/>
        <v>141180</v>
      </c>
      <c r="J432" s="661"/>
      <c r="K432">
        <f t="shared" si="8"/>
        <v>120003</v>
      </c>
    </row>
    <row r="433" spans="1:11" ht="18.75" customHeight="1">
      <c r="A433" s="661"/>
      <c r="B433" s="663" t="s">
        <v>7642</v>
      </c>
      <c r="C433" s="657" t="s">
        <v>7141</v>
      </c>
      <c r="D433" s="657" t="s">
        <v>7804</v>
      </c>
      <c r="E433" s="663" t="s">
        <v>7431</v>
      </c>
      <c r="F433" s="658">
        <v>0.1</v>
      </c>
      <c r="G433" s="658">
        <v>0</v>
      </c>
      <c r="H433" s="664">
        <v>157700</v>
      </c>
      <c r="I433" s="664">
        <f t="shared" si="5"/>
        <v>143360</v>
      </c>
      <c r="J433" s="661"/>
      <c r="K433">
        <f t="shared" si="8"/>
        <v>121856</v>
      </c>
    </row>
    <row r="434" spans="1:11" ht="18.75" customHeight="1">
      <c r="A434" s="661"/>
      <c r="B434" s="663" t="s">
        <v>7642</v>
      </c>
      <c r="C434" s="657" t="s">
        <v>7141</v>
      </c>
      <c r="D434" s="657" t="s">
        <v>7805</v>
      </c>
      <c r="E434" s="663" t="s">
        <v>7433</v>
      </c>
      <c r="F434" s="658">
        <v>0.1</v>
      </c>
      <c r="G434" s="658">
        <v>0</v>
      </c>
      <c r="H434" s="664">
        <v>183600</v>
      </c>
      <c r="I434" s="664">
        <f t="shared" si="5"/>
        <v>166910</v>
      </c>
      <c r="J434" s="661"/>
      <c r="K434">
        <f t="shared" si="8"/>
        <v>141873.5</v>
      </c>
    </row>
    <row r="435" spans="1:11" ht="18.75" customHeight="1">
      <c r="A435" s="661"/>
      <c r="B435" s="663" t="s">
        <v>7642</v>
      </c>
      <c r="C435" s="657" t="s">
        <v>7141</v>
      </c>
      <c r="D435" s="657" t="s">
        <v>7806</v>
      </c>
      <c r="E435" s="663" t="s">
        <v>7435</v>
      </c>
      <c r="F435" s="658">
        <v>0.1</v>
      </c>
      <c r="G435" s="658">
        <v>0</v>
      </c>
      <c r="H435" s="664">
        <v>188300</v>
      </c>
      <c r="I435" s="664">
        <f t="shared" si="5"/>
        <v>171180</v>
      </c>
      <c r="J435" s="661"/>
      <c r="K435">
        <f t="shared" si="8"/>
        <v>145503</v>
      </c>
    </row>
    <row r="436" spans="1:11" ht="18.75" customHeight="1">
      <c r="A436" s="661"/>
      <c r="B436" s="663" t="s">
        <v>7642</v>
      </c>
      <c r="C436" s="657" t="s">
        <v>7141</v>
      </c>
      <c r="D436" s="657" t="s">
        <v>7807</v>
      </c>
      <c r="E436" s="663" t="s">
        <v>7437</v>
      </c>
      <c r="F436" s="658">
        <v>0.1</v>
      </c>
      <c r="G436" s="658">
        <v>0</v>
      </c>
      <c r="H436" s="664">
        <v>362600</v>
      </c>
      <c r="I436" s="664">
        <f t="shared" si="5"/>
        <v>329640</v>
      </c>
      <c r="J436" s="661"/>
      <c r="K436">
        <f t="shared" si="8"/>
        <v>280194</v>
      </c>
    </row>
    <row r="437" spans="1:11" ht="18.75" customHeight="1">
      <c r="A437" s="661"/>
      <c r="B437" s="663" t="s">
        <v>7642</v>
      </c>
      <c r="C437" s="657" t="s">
        <v>7141</v>
      </c>
      <c r="D437" s="657" t="s">
        <v>7808</v>
      </c>
      <c r="E437" s="663" t="s">
        <v>7439</v>
      </c>
      <c r="F437" s="658">
        <v>0.1</v>
      </c>
      <c r="G437" s="658">
        <v>0</v>
      </c>
      <c r="H437" s="664">
        <v>371900</v>
      </c>
      <c r="I437" s="664">
        <f t="shared" si="5"/>
        <v>338090</v>
      </c>
      <c r="J437" s="661"/>
      <c r="K437">
        <f t="shared" si="8"/>
        <v>287376.5</v>
      </c>
    </row>
    <row r="438" spans="1:11" ht="18.75" customHeight="1">
      <c r="A438" s="661"/>
      <c r="B438" s="663" t="s">
        <v>7642</v>
      </c>
      <c r="C438" s="657" t="s">
        <v>7141</v>
      </c>
      <c r="D438" s="657" t="s">
        <v>7809</v>
      </c>
      <c r="E438" s="663" t="s">
        <v>7441</v>
      </c>
      <c r="F438" s="658">
        <v>0.1</v>
      </c>
      <c r="G438" s="658">
        <v>0</v>
      </c>
      <c r="H438" s="664">
        <v>381400</v>
      </c>
      <c r="I438" s="664">
        <f t="shared" si="5"/>
        <v>346730</v>
      </c>
      <c r="J438" s="661"/>
      <c r="K438">
        <f t="shared" si="8"/>
        <v>294720.5</v>
      </c>
    </row>
    <row r="439" spans="1:11" ht="18.75" customHeight="1">
      <c r="A439" s="661"/>
      <c r="B439" s="663" t="s">
        <v>7642</v>
      </c>
      <c r="C439" s="657" t="s">
        <v>7141</v>
      </c>
      <c r="D439" s="657" t="s">
        <v>7810</v>
      </c>
      <c r="E439" s="663" t="s">
        <v>7443</v>
      </c>
      <c r="F439" s="658">
        <v>0.1</v>
      </c>
      <c r="G439" s="658">
        <v>0</v>
      </c>
      <c r="H439" s="664">
        <v>399000</v>
      </c>
      <c r="I439" s="664">
        <f t="shared" si="5"/>
        <v>362730</v>
      </c>
      <c r="J439" s="661"/>
      <c r="K439">
        <f t="shared" si="8"/>
        <v>308320.5</v>
      </c>
    </row>
    <row r="440" spans="1:11" ht="18.75" customHeight="1">
      <c r="A440" s="661"/>
      <c r="B440" s="663" t="s">
        <v>7642</v>
      </c>
      <c r="C440" s="657" t="s">
        <v>7141</v>
      </c>
      <c r="D440" s="657" t="s">
        <v>7811</v>
      </c>
      <c r="E440" s="663" t="s">
        <v>7445</v>
      </c>
      <c r="F440" s="658">
        <v>0.1</v>
      </c>
      <c r="G440" s="658">
        <v>0</v>
      </c>
      <c r="H440" s="664">
        <v>434300</v>
      </c>
      <c r="I440" s="664">
        <f t="shared" si="5"/>
        <v>394820</v>
      </c>
      <c r="J440" s="661"/>
      <c r="K440">
        <f t="shared" si="8"/>
        <v>335597</v>
      </c>
    </row>
    <row r="441" spans="1:11" ht="18.75" customHeight="1">
      <c r="A441" s="661"/>
      <c r="B441" s="663" t="s">
        <v>7642</v>
      </c>
      <c r="C441" s="657" t="s">
        <v>7141</v>
      </c>
      <c r="D441" s="657" t="s">
        <v>7812</v>
      </c>
      <c r="E441" s="663" t="s">
        <v>7447</v>
      </c>
      <c r="F441" s="658">
        <v>0.1</v>
      </c>
      <c r="G441" s="658">
        <v>0</v>
      </c>
      <c r="H441" s="664">
        <v>443700</v>
      </c>
      <c r="I441" s="664">
        <f t="shared" si="5"/>
        <v>403360</v>
      </c>
      <c r="J441" s="661"/>
      <c r="K441">
        <f t="shared" si="8"/>
        <v>342856</v>
      </c>
    </row>
    <row r="442" spans="1:11" ht="18.75" customHeight="1">
      <c r="A442" s="661"/>
      <c r="B442" s="663" t="s">
        <v>7642</v>
      </c>
      <c r="C442" s="657" t="s">
        <v>7141</v>
      </c>
      <c r="D442" s="657" t="s">
        <v>7813</v>
      </c>
      <c r="E442" s="663" t="s">
        <v>7449</v>
      </c>
      <c r="F442" s="658">
        <v>0.1</v>
      </c>
      <c r="G442" s="658">
        <v>0</v>
      </c>
      <c r="H442" s="664">
        <v>453200</v>
      </c>
      <c r="I442" s="664">
        <f t="shared" si="5"/>
        <v>412000</v>
      </c>
      <c r="J442" s="661"/>
      <c r="K442">
        <f t="shared" si="8"/>
        <v>350200</v>
      </c>
    </row>
    <row r="443" spans="1:11" ht="18.75" customHeight="1">
      <c r="A443" s="661"/>
      <c r="B443" s="663" t="s">
        <v>7642</v>
      </c>
      <c r="C443" s="657" t="s">
        <v>7141</v>
      </c>
      <c r="D443" s="657" t="s">
        <v>7814</v>
      </c>
      <c r="E443" s="663" t="s">
        <v>7451</v>
      </c>
      <c r="F443" s="658">
        <v>0.1</v>
      </c>
      <c r="G443" s="658">
        <v>0</v>
      </c>
      <c r="H443" s="664">
        <v>470800</v>
      </c>
      <c r="I443" s="664">
        <f t="shared" si="5"/>
        <v>428000</v>
      </c>
      <c r="J443" s="661"/>
      <c r="K443">
        <f t="shared" si="8"/>
        <v>363800</v>
      </c>
    </row>
    <row r="444" spans="1:11" ht="18.75" customHeight="1">
      <c r="A444" s="661"/>
      <c r="B444" s="663" t="s">
        <v>7642</v>
      </c>
      <c r="C444" s="657" t="s">
        <v>7141</v>
      </c>
      <c r="D444" s="657" t="s">
        <v>7815</v>
      </c>
      <c r="E444" s="663" t="s">
        <v>7453</v>
      </c>
      <c r="F444" s="658">
        <v>0.1</v>
      </c>
      <c r="G444" s="658">
        <v>0</v>
      </c>
      <c r="H444" s="664"/>
      <c r="I444" s="664">
        <f t="shared" si="5"/>
        <v>0</v>
      </c>
      <c r="J444" s="661"/>
      <c r="K444">
        <f t="shared" si="8"/>
        <v>0</v>
      </c>
    </row>
    <row r="445" spans="1:11" ht="18.75" customHeight="1">
      <c r="A445" s="661"/>
      <c r="B445" s="663" t="s">
        <v>7642</v>
      </c>
      <c r="C445" s="657" t="s">
        <v>7141</v>
      </c>
      <c r="D445" s="657" t="s">
        <v>7816</v>
      </c>
      <c r="E445" s="663" t="s">
        <v>7455</v>
      </c>
      <c r="F445" s="658">
        <v>0.1</v>
      </c>
      <c r="G445" s="658">
        <v>0</v>
      </c>
      <c r="H445" s="664"/>
      <c r="I445" s="664">
        <f t="shared" si="5"/>
        <v>0</v>
      </c>
      <c r="J445" s="661"/>
      <c r="K445">
        <f t="shared" si="8"/>
        <v>0</v>
      </c>
    </row>
    <row r="446" spans="1:11" ht="18.75" customHeight="1">
      <c r="A446" s="661"/>
      <c r="B446" s="663" t="s">
        <v>7642</v>
      </c>
      <c r="C446" s="657" t="s">
        <v>7141</v>
      </c>
      <c r="D446" s="657" t="s">
        <v>7817</v>
      </c>
      <c r="E446" s="663" t="s">
        <v>7457</v>
      </c>
      <c r="F446" s="658">
        <v>0.1</v>
      </c>
      <c r="G446" s="658">
        <v>0</v>
      </c>
      <c r="H446" s="664"/>
      <c r="I446" s="664">
        <f t="shared" si="5"/>
        <v>0</v>
      </c>
      <c r="J446" s="661"/>
      <c r="K446">
        <f t="shared" si="8"/>
        <v>0</v>
      </c>
    </row>
    <row r="447" spans="1:11" ht="18.75" customHeight="1">
      <c r="A447" s="661"/>
      <c r="B447" s="663" t="s">
        <v>7642</v>
      </c>
      <c r="C447" s="657" t="s">
        <v>7141</v>
      </c>
      <c r="D447" s="657" t="s">
        <v>7818</v>
      </c>
      <c r="E447" s="663" t="s">
        <v>7459</v>
      </c>
      <c r="F447" s="658">
        <v>0.1</v>
      </c>
      <c r="G447" s="658">
        <v>0</v>
      </c>
      <c r="H447" s="664"/>
      <c r="I447" s="664">
        <f t="shared" si="5"/>
        <v>0</v>
      </c>
      <c r="J447" s="661"/>
      <c r="K447">
        <f t="shared" si="8"/>
        <v>0</v>
      </c>
    </row>
    <row r="448" spans="1:11" ht="18.75" customHeight="1">
      <c r="A448" s="661"/>
      <c r="B448" s="663" t="s">
        <v>7642</v>
      </c>
      <c r="C448" s="657" t="s">
        <v>7141</v>
      </c>
      <c r="D448" s="657" t="s">
        <v>7819</v>
      </c>
      <c r="E448" s="663" t="s">
        <v>7461</v>
      </c>
      <c r="F448" s="658">
        <v>0.1</v>
      </c>
      <c r="G448" s="658">
        <v>0</v>
      </c>
      <c r="H448" s="664"/>
      <c r="I448" s="664">
        <f t="shared" si="5"/>
        <v>0</v>
      </c>
      <c r="J448" s="661"/>
      <c r="K448">
        <f t="shared" si="8"/>
        <v>0</v>
      </c>
    </row>
    <row r="449" spans="1:11" ht="18.75" customHeight="1">
      <c r="A449" s="661"/>
      <c r="B449" s="663" t="s">
        <v>7642</v>
      </c>
      <c r="C449" s="657" t="s">
        <v>7141</v>
      </c>
      <c r="D449" s="657" t="s">
        <v>7820</v>
      </c>
      <c r="E449" s="663" t="s">
        <v>7463</v>
      </c>
      <c r="F449" s="658">
        <v>0.1</v>
      </c>
      <c r="G449" s="658">
        <v>0</v>
      </c>
      <c r="H449" s="664">
        <v>111900</v>
      </c>
      <c r="I449" s="664">
        <f t="shared" si="5"/>
        <v>101730</v>
      </c>
      <c r="J449" s="661"/>
      <c r="K449">
        <f t="shared" si="8"/>
        <v>86470.5</v>
      </c>
    </row>
    <row r="450" spans="1:11" ht="18.75" customHeight="1">
      <c r="A450" s="661"/>
      <c r="B450" s="663" t="s">
        <v>7642</v>
      </c>
      <c r="C450" s="657" t="s">
        <v>7141</v>
      </c>
      <c r="D450" s="657" t="s">
        <v>7821</v>
      </c>
      <c r="E450" s="663" t="s">
        <v>7465</v>
      </c>
      <c r="F450" s="658">
        <v>0.1</v>
      </c>
      <c r="G450" s="658">
        <v>0</v>
      </c>
      <c r="H450" s="664">
        <v>124700</v>
      </c>
      <c r="I450" s="664">
        <f t="shared" si="5"/>
        <v>113360</v>
      </c>
      <c r="J450" s="661"/>
      <c r="K450">
        <f t="shared" si="8"/>
        <v>96356</v>
      </c>
    </row>
    <row r="451" spans="1:11" ht="18.75" customHeight="1">
      <c r="A451" s="661"/>
      <c r="B451" s="663" t="s">
        <v>7642</v>
      </c>
      <c r="C451" s="657" t="s">
        <v>7141</v>
      </c>
      <c r="D451" s="657" t="s">
        <v>7822</v>
      </c>
      <c r="E451" s="663" t="s">
        <v>7467</v>
      </c>
      <c r="F451" s="658">
        <v>0.1</v>
      </c>
      <c r="G451" s="658">
        <v>0</v>
      </c>
      <c r="H451" s="664">
        <v>137700</v>
      </c>
      <c r="I451" s="664">
        <f t="shared" si="5"/>
        <v>125180</v>
      </c>
      <c r="J451" s="661"/>
      <c r="K451">
        <f t="shared" si="8"/>
        <v>106403</v>
      </c>
    </row>
    <row r="452" spans="1:11" ht="18.75" customHeight="1">
      <c r="A452" s="661"/>
      <c r="B452" s="663" t="s">
        <v>7642</v>
      </c>
      <c r="C452" s="657" t="s">
        <v>7141</v>
      </c>
      <c r="D452" s="657" t="s">
        <v>7823</v>
      </c>
      <c r="E452" s="663" t="s">
        <v>7469</v>
      </c>
      <c r="F452" s="658">
        <v>0.1</v>
      </c>
      <c r="G452" s="658">
        <v>0</v>
      </c>
      <c r="H452" s="664">
        <v>137700</v>
      </c>
      <c r="I452" s="664">
        <f t="shared" si="5"/>
        <v>125180</v>
      </c>
      <c r="J452" s="661"/>
      <c r="K452">
        <f t="shared" si="8"/>
        <v>106403</v>
      </c>
    </row>
    <row r="453" spans="1:11" ht="18.75" customHeight="1">
      <c r="A453" s="661"/>
      <c r="B453" s="663" t="s">
        <v>7642</v>
      </c>
      <c r="C453" s="657" t="s">
        <v>7141</v>
      </c>
      <c r="D453" s="657" t="s">
        <v>7824</v>
      </c>
      <c r="E453" s="663" t="s">
        <v>7471</v>
      </c>
      <c r="F453" s="658">
        <v>0.1</v>
      </c>
      <c r="G453" s="658">
        <v>0</v>
      </c>
      <c r="H453" s="664">
        <v>143600</v>
      </c>
      <c r="I453" s="664">
        <f t="shared" si="5"/>
        <v>130550</v>
      </c>
      <c r="J453" s="661"/>
      <c r="K453">
        <f t="shared" si="8"/>
        <v>110967.5</v>
      </c>
    </row>
    <row r="454" spans="1:11" ht="18.75" customHeight="1">
      <c r="A454" s="661"/>
      <c r="B454" s="663" t="s">
        <v>7642</v>
      </c>
      <c r="C454" s="657" t="s">
        <v>7141</v>
      </c>
      <c r="D454" s="657" t="s">
        <v>7825</v>
      </c>
      <c r="E454" s="663" t="s">
        <v>7473</v>
      </c>
      <c r="F454" s="658">
        <v>0.1</v>
      </c>
      <c r="G454" s="658">
        <v>0</v>
      </c>
      <c r="H454" s="664">
        <v>143600</v>
      </c>
      <c r="I454" s="664">
        <f t="shared" si="5"/>
        <v>130550</v>
      </c>
      <c r="J454" s="661"/>
      <c r="K454">
        <f t="shared" ref="K454:K517" si="9">+I454*(1+$K$4)</f>
        <v>110967.5</v>
      </c>
    </row>
    <row r="455" spans="1:11" ht="18.75" customHeight="1">
      <c r="A455" s="661"/>
      <c r="B455" s="663" t="s">
        <v>7642</v>
      </c>
      <c r="C455" s="657" t="s">
        <v>7141</v>
      </c>
      <c r="D455" s="657" t="s">
        <v>7826</v>
      </c>
      <c r="E455" s="663" t="s">
        <v>7475</v>
      </c>
      <c r="F455" s="658">
        <v>0.1</v>
      </c>
      <c r="G455" s="658">
        <v>0</v>
      </c>
      <c r="H455" s="664">
        <v>149500</v>
      </c>
      <c r="I455" s="664">
        <f t="shared" si="5"/>
        <v>135910</v>
      </c>
      <c r="J455" s="661"/>
      <c r="K455">
        <f t="shared" si="9"/>
        <v>115523.5</v>
      </c>
    </row>
    <row r="456" spans="1:11" ht="18.75" customHeight="1">
      <c r="A456" s="661"/>
      <c r="B456" s="663" t="s">
        <v>7642</v>
      </c>
      <c r="C456" s="657" t="s">
        <v>7141</v>
      </c>
      <c r="D456" s="657" t="s">
        <v>7827</v>
      </c>
      <c r="E456" s="663" t="s">
        <v>7477</v>
      </c>
      <c r="F456" s="658">
        <v>0.1</v>
      </c>
      <c r="G456" s="658">
        <v>0</v>
      </c>
      <c r="H456" s="664">
        <v>167100</v>
      </c>
      <c r="I456" s="664">
        <f t="shared" si="5"/>
        <v>151910</v>
      </c>
      <c r="J456" s="661"/>
      <c r="K456">
        <f t="shared" si="9"/>
        <v>129123.5</v>
      </c>
    </row>
    <row r="457" spans="1:11" ht="18.75" customHeight="1">
      <c r="A457" s="661"/>
      <c r="B457" s="663" t="s">
        <v>7642</v>
      </c>
      <c r="C457" s="657" t="s">
        <v>7141</v>
      </c>
      <c r="D457" s="657" t="s">
        <v>7828</v>
      </c>
      <c r="E457" s="663" t="s">
        <v>7479</v>
      </c>
      <c r="F457" s="658">
        <v>0.1</v>
      </c>
      <c r="G457" s="658">
        <v>0</v>
      </c>
      <c r="H457" s="664">
        <v>175300</v>
      </c>
      <c r="I457" s="664">
        <f t="shared" si="5"/>
        <v>159360</v>
      </c>
      <c r="J457" s="661"/>
      <c r="K457">
        <f t="shared" si="9"/>
        <v>135456</v>
      </c>
    </row>
    <row r="458" spans="1:11" ht="18.75" customHeight="1">
      <c r="A458" s="661"/>
      <c r="B458" s="663" t="s">
        <v>7642</v>
      </c>
      <c r="C458" s="657" t="s">
        <v>7141</v>
      </c>
      <c r="D458" s="657" t="s">
        <v>7829</v>
      </c>
      <c r="E458" s="663" t="s">
        <v>7481</v>
      </c>
      <c r="F458" s="658">
        <v>0.1</v>
      </c>
      <c r="G458" s="658">
        <v>0</v>
      </c>
      <c r="H458" s="664">
        <v>187100</v>
      </c>
      <c r="I458" s="664">
        <f t="shared" si="5"/>
        <v>170090</v>
      </c>
      <c r="J458" s="661"/>
      <c r="K458">
        <f t="shared" si="9"/>
        <v>144576.5</v>
      </c>
    </row>
    <row r="459" spans="1:11" ht="18.75" customHeight="1">
      <c r="A459" s="661"/>
      <c r="B459" s="663" t="s">
        <v>7642</v>
      </c>
      <c r="C459" s="657" t="s">
        <v>7141</v>
      </c>
      <c r="D459" s="657" t="s">
        <v>7830</v>
      </c>
      <c r="E459" s="663" t="s">
        <v>7483</v>
      </c>
      <c r="F459" s="658">
        <v>0.1</v>
      </c>
      <c r="G459" s="658">
        <v>0</v>
      </c>
      <c r="H459" s="664">
        <v>198900</v>
      </c>
      <c r="I459" s="664">
        <f t="shared" si="5"/>
        <v>180820</v>
      </c>
      <c r="J459" s="661"/>
      <c r="K459">
        <f t="shared" si="9"/>
        <v>153697</v>
      </c>
    </row>
    <row r="460" spans="1:11" ht="18.75" customHeight="1">
      <c r="A460" s="661"/>
      <c r="B460" s="663" t="s">
        <v>7642</v>
      </c>
      <c r="C460" s="657" t="s">
        <v>7141</v>
      </c>
      <c r="D460" s="657" t="s">
        <v>7831</v>
      </c>
      <c r="E460" s="663" t="s">
        <v>7485</v>
      </c>
      <c r="F460" s="658">
        <v>0.1</v>
      </c>
      <c r="G460" s="658">
        <v>0</v>
      </c>
      <c r="H460" s="664">
        <v>225900</v>
      </c>
      <c r="I460" s="664">
        <f t="shared" si="5"/>
        <v>205360</v>
      </c>
      <c r="J460" s="661"/>
      <c r="K460">
        <f t="shared" si="9"/>
        <v>174556</v>
      </c>
    </row>
    <row r="461" spans="1:11" ht="18.75" customHeight="1">
      <c r="A461" s="661"/>
      <c r="B461" s="663" t="s">
        <v>7642</v>
      </c>
      <c r="C461" s="657" t="s">
        <v>7141</v>
      </c>
      <c r="D461" s="657" t="s">
        <v>7832</v>
      </c>
      <c r="E461" s="663" t="s">
        <v>7487</v>
      </c>
      <c r="F461" s="658">
        <v>0.1</v>
      </c>
      <c r="G461" s="658">
        <v>0</v>
      </c>
      <c r="H461" s="664">
        <v>253100</v>
      </c>
      <c r="I461" s="664">
        <f t="shared" si="5"/>
        <v>230090</v>
      </c>
      <c r="J461" s="661"/>
      <c r="K461">
        <f t="shared" si="9"/>
        <v>195576.5</v>
      </c>
    </row>
    <row r="462" spans="1:11" ht="18.75" customHeight="1">
      <c r="A462" s="661"/>
      <c r="B462" s="663" t="s">
        <v>7642</v>
      </c>
      <c r="C462" s="657" t="s">
        <v>7141</v>
      </c>
      <c r="D462" s="657" t="s">
        <v>7833</v>
      </c>
      <c r="E462" s="663" t="s">
        <v>7489</v>
      </c>
      <c r="F462" s="658">
        <v>0.1</v>
      </c>
      <c r="G462" s="658">
        <v>0</v>
      </c>
      <c r="H462" s="664">
        <v>268400</v>
      </c>
      <c r="I462" s="664">
        <f t="shared" si="5"/>
        <v>244000</v>
      </c>
      <c r="J462" s="661"/>
      <c r="K462">
        <f t="shared" si="9"/>
        <v>207400</v>
      </c>
    </row>
    <row r="463" spans="1:11" ht="18.75" customHeight="1">
      <c r="A463" s="661"/>
      <c r="B463" s="663" t="s">
        <v>7642</v>
      </c>
      <c r="C463" s="657" t="s">
        <v>7141</v>
      </c>
      <c r="D463" s="657" t="s">
        <v>7834</v>
      </c>
      <c r="E463" s="663" t="s">
        <v>7491</v>
      </c>
      <c r="F463" s="658">
        <v>0.1</v>
      </c>
      <c r="G463" s="658">
        <v>0</v>
      </c>
      <c r="H463" s="664"/>
      <c r="I463" s="664">
        <f t="shared" si="5"/>
        <v>0</v>
      </c>
      <c r="J463" s="661"/>
      <c r="K463">
        <f t="shared" si="9"/>
        <v>0</v>
      </c>
    </row>
    <row r="464" spans="1:11" ht="18.75" customHeight="1">
      <c r="A464" s="661"/>
      <c r="B464" s="663" t="s">
        <v>7642</v>
      </c>
      <c r="C464" s="657" t="s">
        <v>7136</v>
      </c>
      <c r="D464" s="657" t="s">
        <v>7835</v>
      </c>
      <c r="E464" s="663" t="s">
        <v>7493</v>
      </c>
      <c r="F464" s="658">
        <v>0.1</v>
      </c>
      <c r="G464" s="658">
        <v>0</v>
      </c>
      <c r="H464" s="664">
        <v>275400</v>
      </c>
      <c r="I464" s="664">
        <f t="shared" si="5"/>
        <v>250360</v>
      </c>
      <c r="J464" s="661"/>
      <c r="K464">
        <f t="shared" si="9"/>
        <v>212806</v>
      </c>
    </row>
    <row r="465" spans="1:11" ht="18.75" customHeight="1">
      <c r="A465" s="661"/>
      <c r="B465" s="663" t="s">
        <v>7642</v>
      </c>
      <c r="C465" s="657" t="s">
        <v>7141</v>
      </c>
      <c r="D465" s="657" t="s">
        <v>7836</v>
      </c>
      <c r="E465" s="663" t="s">
        <v>7495</v>
      </c>
      <c r="F465" s="658">
        <v>0.1</v>
      </c>
      <c r="G465" s="658">
        <v>0</v>
      </c>
      <c r="H465" s="664"/>
      <c r="I465" s="664">
        <f t="shared" si="5"/>
        <v>0</v>
      </c>
      <c r="J465" s="661"/>
      <c r="K465">
        <f t="shared" si="9"/>
        <v>0</v>
      </c>
    </row>
    <row r="466" spans="1:11" ht="18.75" customHeight="1">
      <c r="A466" s="661"/>
      <c r="B466" s="663" t="s">
        <v>7642</v>
      </c>
      <c r="C466" s="657" t="s">
        <v>7141</v>
      </c>
      <c r="D466" s="657" t="s">
        <v>7837</v>
      </c>
      <c r="E466" s="663" t="s">
        <v>7497</v>
      </c>
      <c r="F466" s="658">
        <v>0.1</v>
      </c>
      <c r="G466" s="658">
        <v>0</v>
      </c>
      <c r="H466" s="664">
        <v>296600</v>
      </c>
      <c r="I466" s="664">
        <f t="shared" si="5"/>
        <v>269640</v>
      </c>
      <c r="J466" s="661"/>
      <c r="K466">
        <f t="shared" si="9"/>
        <v>229194</v>
      </c>
    </row>
    <row r="467" spans="1:11" ht="18.75" customHeight="1">
      <c r="A467" s="661"/>
      <c r="B467" s="663" t="s">
        <v>7642</v>
      </c>
      <c r="C467" s="657" t="s">
        <v>7141</v>
      </c>
      <c r="D467" s="657" t="s">
        <v>7838</v>
      </c>
      <c r="E467" s="663" t="s">
        <v>7499</v>
      </c>
      <c r="F467" s="658">
        <v>0.1</v>
      </c>
      <c r="G467" s="658">
        <v>0</v>
      </c>
      <c r="H467" s="664">
        <v>331900</v>
      </c>
      <c r="I467" s="664">
        <f t="shared" si="5"/>
        <v>301730</v>
      </c>
      <c r="J467" s="661"/>
      <c r="K467">
        <f t="shared" si="9"/>
        <v>256470.5</v>
      </c>
    </row>
    <row r="468" spans="1:11" ht="18.75" customHeight="1">
      <c r="A468" s="661"/>
      <c r="B468" s="663" t="s">
        <v>7642</v>
      </c>
      <c r="C468" s="657" t="s">
        <v>7141</v>
      </c>
      <c r="D468" s="657" t="s">
        <v>7839</v>
      </c>
      <c r="E468" s="663" t="s">
        <v>7501</v>
      </c>
      <c r="F468" s="658">
        <v>0.1</v>
      </c>
      <c r="G468" s="658">
        <v>0</v>
      </c>
      <c r="H468" s="664">
        <v>341300</v>
      </c>
      <c r="I468" s="664">
        <f t="shared" si="5"/>
        <v>310270</v>
      </c>
      <c r="J468" s="661"/>
      <c r="K468">
        <f t="shared" si="9"/>
        <v>263729.5</v>
      </c>
    </row>
    <row r="469" spans="1:11" ht="18.75" customHeight="1">
      <c r="A469" s="661"/>
      <c r="B469" s="663" t="s">
        <v>7642</v>
      </c>
      <c r="C469" s="657" t="s">
        <v>7141</v>
      </c>
      <c r="D469" s="657" t="s">
        <v>7840</v>
      </c>
      <c r="E469" s="663" t="s">
        <v>7503</v>
      </c>
      <c r="F469" s="658">
        <v>0.1</v>
      </c>
      <c r="G469" s="658">
        <v>0</v>
      </c>
      <c r="H469" s="664">
        <v>351900</v>
      </c>
      <c r="I469" s="664">
        <f t="shared" si="5"/>
        <v>319910</v>
      </c>
      <c r="J469" s="661"/>
      <c r="K469">
        <f t="shared" si="9"/>
        <v>271923.5</v>
      </c>
    </row>
    <row r="470" spans="1:11" ht="18.75" customHeight="1">
      <c r="A470" s="661"/>
      <c r="B470" s="663" t="s">
        <v>7642</v>
      </c>
      <c r="C470" s="657" t="s">
        <v>7141</v>
      </c>
      <c r="D470" s="657" t="s">
        <v>7841</v>
      </c>
      <c r="E470" s="663" t="s">
        <v>7505</v>
      </c>
      <c r="F470" s="658">
        <v>0.1</v>
      </c>
      <c r="G470" s="658">
        <v>0</v>
      </c>
      <c r="H470" s="664">
        <v>399000</v>
      </c>
      <c r="I470" s="664">
        <f t="shared" si="5"/>
        <v>362730</v>
      </c>
      <c r="J470" s="661"/>
      <c r="K470">
        <f t="shared" si="9"/>
        <v>308320.5</v>
      </c>
    </row>
    <row r="471" spans="1:11" ht="18.75" customHeight="1">
      <c r="A471" s="661"/>
      <c r="B471" s="663" t="s">
        <v>7642</v>
      </c>
      <c r="C471" s="657" t="s">
        <v>7141</v>
      </c>
      <c r="D471" s="657" t="s">
        <v>7842</v>
      </c>
      <c r="E471" s="663" t="s">
        <v>7507</v>
      </c>
      <c r="F471" s="658">
        <v>0.1</v>
      </c>
      <c r="G471" s="658">
        <v>0</v>
      </c>
      <c r="H471" s="664"/>
      <c r="I471" s="664">
        <f t="shared" si="5"/>
        <v>0</v>
      </c>
      <c r="J471" s="661"/>
      <c r="K471">
        <f t="shared" si="9"/>
        <v>0</v>
      </c>
    </row>
    <row r="472" spans="1:11" ht="18.75" customHeight="1">
      <c r="A472" s="661"/>
      <c r="B472" s="663" t="s">
        <v>7642</v>
      </c>
      <c r="C472" s="657" t="s">
        <v>7141</v>
      </c>
      <c r="D472" s="657" t="s">
        <v>7843</v>
      </c>
      <c r="E472" s="663" t="s">
        <v>7509</v>
      </c>
      <c r="F472" s="658">
        <v>0.1</v>
      </c>
      <c r="G472" s="658">
        <v>0</v>
      </c>
      <c r="H472" s="664"/>
      <c r="I472" s="664">
        <f t="shared" si="5"/>
        <v>0</v>
      </c>
      <c r="J472" s="661"/>
      <c r="K472">
        <f t="shared" si="9"/>
        <v>0</v>
      </c>
    </row>
    <row r="473" spans="1:11" ht="18.75" customHeight="1">
      <c r="A473" s="661"/>
      <c r="B473" s="663" t="s">
        <v>7642</v>
      </c>
      <c r="C473" s="657" t="s">
        <v>7141</v>
      </c>
      <c r="D473" s="657" t="s">
        <v>7844</v>
      </c>
      <c r="E473" s="663" t="s">
        <v>7511</v>
      </c>
      <c r="F473" s="658">
        <v>0.1</v>
      </c>
      <c r="G473" s="658">
        <v>0</v>
      </c>
      <c r="H473" s="664"/>
      <c r="I473" s="664">
        <f t="shared" si="5"/>
        <v>0</v>
      </c>
      <c r="J473" s="661"/>
      <c r="K473">
        <f t="shared" si="9"/>
        <v>0</v>
      </c>
    </row>
    <row r="474" spans="1:11" ht="18.75" customHeight="1">
      <c r="A474" s="661"/>
      <c r="B474" s="663" t="s">
        <v>7642</v>
      </c>
      <c r="C474" s="657" t="s">
        <v>7141</v>
      </c>
      <c r="D474" s="657" t="s">
        <v>7845</v>
      </c>
      <c r="E474" s="663" t="s">
        <v>7513</v>
      </c>
      <c r="F474" s="658">
        <v>0.1</v>
      </c>
      <c r="G474" s="658">
        <v>0</v>
      </c>
      <c r="H474" s="664">
        <v>550900</v>
      </c>
      <c r="I474" s="664">
        <f t="shared" si="5"/>
        <v>500820</v>
      </c>
      <c r="J474" s="661"/>
      <c r="K474">
        <f t="shared" si="9"/>
        <v>425697</v>
      </c>
    </row>
    <row r="475" spans="1:11" ht="18.75" customHeight="1">
      <c r="A475" s="661"/>
      <c r="B475" s="663" t="s">
        <v>7642</v>
      </c>
      <c r="C475" s="657" t="s">
        <v>7141</v>
      </c>
      <c r="D475" s="657" t="s">
        <v>7846</v>
      </c>
      <c r="E475" s="663" t="s">
        <v>7515</v>
      </c>
      <c r="F475" s="658">
        <v>0.1</v>
      </c>
      <c r="G475" s="658">
        <v>0</v>
      </c>
      <c r="H475" s="664"/>
      <c r="I475" s="664">
        <f t="shared" si="5"/>
        <v>0</v>
      </c>
      <c r="J475" s="661"/>
      <c r="K475">
        <f t="shared" si="9"/>
        <v>0</v>
      </c>
    </row>
    <row r="476" spans="1:11" ht="18.75" customHeight="1">
      <c r="A476" s="661"/>
      <c r="B476" s="663" t="s">
        <v>7642</v>
      </c>
      <c r="C476" s="657" t="s">
        <v>7141</v>
      </c>
      <c r="D476" s="657" t="s">
        <v>7847</v>
      </c>
      <c r="E476" s="663" t="s">
        <v>7517</v>
      </c>
      <c r="F476" s="658">
        <v>0.1</v>
      </c>
      <c r="G476" s="658">
        <v>0</v>
      </c>
      <c r="H476" s="664"/>
      <c r="I476" s="664">
        <f t="shared" si="5"/>
        <v>0</v>
      </c>
      <c r="J476" s="661"/>
      <c r="K476">
        <f t="shared" si="9"/>
        <v>0</v>
      </c>
    </row>
    <row r="477" spans="1:11" ht="18.75" customHeight="1">
      <c r="A477" s="661"/>
      <c r="B477" s="663" t="s">
        <v>7642</v>
      </c>
      <c r="C477" s="657" t="s">
        <v>7141</v>
      </c>
      <c r="D477" s="657" t="s">
        <v>7848</v>
      </c>
      <c r="E477" s="663" t="s">
        <v>7519</v>
      </c>
      <c r="F477" s="658">
        <v>0.1</v>
      </c>
      <c r="G477" s="658">
        <v>0</v>
      </c>
      <c r="H477" s="664"/>
      <c r="I477" s="664">
        <f t="shared" si="5"/>
        <v>0</v>
      </c>
      <c r="J477" s="661"/>
      <c r="K477">
        <f t="shared" si="9"/>
        <v>0</v>
      </c>
    </row>
    <row r="478" spans="1:11" ht="18.75" customHeight="1">
      <c r="A478" s="661"/>
      <c r="B478" s="663" t="s">
        <v>7642</v>
      </c>
      <c r="C478" s="657" t="s">
        <v>7141</v>
      </c>
      <c r="D478" s="657" t="s">
        <v>7849</v>
      </c>
      <c r="E478" s="663" t="s">
        <v>7521</v>
      </c>
      <c r="F478" s="658">
        <v>0.1</v>
      </c>
      <c r="G478" s="658">
        <v>0</v>
      </c>
      <c r="H478" s="664"/>
      <c r="I478" s="664">
        <f t="shared" si="5"/>
        <v>0</v>
      </c>
      <c r="J478" s="661"/>
      <c r="K478">
        <f t="shared" si="9"/>
        <v>0</v>
      </c>
    </row>
    <row r="479" spans="1:11" ht="18.75" customHeight="1">
      <c r="A479" s="661"/>
      <c r="B479" s="663" t="s">
        <v>7642</v>
      </c>
      <c r="C479" s="657" t="s">
        <v>7141</v>
      </c>
      <c r="D479" s="657" t="s">
        <v>7850</v>
      </c>
      <c r="E479" s="663" t="s">
        <v>7523</v>
      </c>
      <c r="F479" s="658">
        <v>0.1</v>
      </c>
      <c r="G479" s="658">
        <v>0</v>
      </c>
      <c r="H479" s="664"/>
      <c r="I479" s="664">
        <f t="shared" si="5"/>
        <v>0</v>
      </c>
      <c r="J479" s="661"/>
      <c r="K479">
        <f t="shared" si="9"/>
        <v>0</v>
      </c>
    </row>
    <row r="480" spans="1:11" ht="18.75" customHeight="1">
      <c r="A480" s="661"/>
      <c r="B480" s="663" t="s">
        <v>7642</v>
      </c>
      <c r="C480" s="657" t="s">
        <v>7141</v>
      </c>
      <c r="D480" s="657" t="s">
        <v>7851</v>
      </c>
      <c r="E480" s="663" t="s">
        <v>7525</v>
      </c>
      <c r="F480" s="658">
        <v>0.1</v>
      </c>
      <c r="G480" s="658">
        <v>0</v>
      </c>
      <c r="H480" s="664"/>
      <c r="I480" s="664">
        <f t="shared" si="5"/>
        <v>0</v>
      </c>
      <c r="J480" s="661"/>
      <c r="K480">
        <f t="shared" si="9"/>
        <v>0</v>
      </c>
    </row>
    <row r="481" spans="1:11" ht="18.75" customHeight="1">
      <c r="A481" s="661"/>
      <c r="B481" s="663" t="s">
        <v>7642</v>
      </c>
      <c r="C481" s="657" t="s">
        <v>7141</v>
      </c>
      <c r="D481" s="657" t="s">
        <v>7852</v>
      </c>
      <c r="E481" s="663" t="s">
        <v>7527</v>
      </c>
      <c r="F481" s="658">
        <v>0.1</v>
      </c>
      <c r="G481" s="658">
        <v>0</v>
      </c>
      <c r="H481" s="664"/>
      <c r="I481" s="664">
        <f t="shared" si="5"/>
        <v>0</v>
      </c>
      <c r="J481" s="661"/>
      <c r="K481">
        <f t="shared" si="9"/>
        <v>0</v>
      </c>
    </row>
    <row r="482" spans="1:11" ht="18.75" customHeight="1">
      <c r="A482" s="661"/>
      <c r="B482" s="663" t="s">
        <v>7642</v>
      </c>
      <c r="C482" s="657" t="s">
        <v>7141</v>
      </c>
      <c r="D482" s="657" t="s">
        <v>7853</v>
      </c>
      <c r="E482" s="663" t="s">
        <v>7529</v>
      </c>
      <c r="F482" s="658">
        <v>0.1</v>
      </c>
      <c r="G482" s="658">
        <v>0</v>
      </c>
      <c r="H482" s="664"/>
      <c r="I482" s="664">
        <f t="shared" si="5"/>
        <v>0</v>
      </c>
      <c r="J482" s="661"/>
      <c r="K482">
        <f t="shared" si="9"/>
        <v>0</v>
      </c>
    </row>
    <row r="483" spans="1:11" ht="18.75" customHeight="1">
      <c r="A483" s="661"/>
      <c r="B483" s="663" t="s">
        <v>7642</v>
      </c>
      <c r="C483" s="657" t="s">
        <v>7141</v>
      </c>
      <c r="D483" s="657" t="s">
        <v>7854</v>
      </c>
      <c r="E483" s="663" t="s">
        <v>7531</v>
      </c>
      <c r="F483" s="658">
        <v>0.1</v>
      </c>
      <c r="G483" s="658">
        <v>0</v>
      </c>
      <c r="H483" s="664"/>
      <c r="I483" s="664">
        <f t="shared" si="5"/>
        <v>0</v>
      </c>
      <c r="J483" s="661"/>
      <c r="K483">
        <f t="shared" si="9"/>
        <v>0</v>
      </c>
    </row>
    <row r="484" spans="1:11" ht="18.75" customHeight="1">
      <c r="A484" s="661"/>
      <c r="B484" s="663" t="s">
        <v>7642</v>
      </c>
      <c r="C484" s="657" t="s">
        <v>7141</v>
      </c>
      <c r="D484" s="657" t="s">
        <v>7855</v>
      </c>
      <c r="E484" s="663" t="s">
        <v>7533</v>
      </c>
      <c r="F484" s="658">
        <v>0.1</v>
      </c>
      <c r="G484" s="658">
        <v>0</v>
      </c>
      <c r="H484" s="664">
        <v>151800</v>
      </c>
      <c r="I484" s="664">
        <f t="shared" si="5"/>
        <v>138000</v>
      </c>
      <c r="J484" s="661"/>
      <c r="K484">
        <f t="shared" si="9"/>
        <v>117300</v>
      </c>
    </row>
    <row r="485" spans="1:11" ht="18.75" customHeight="1">
      <c r="A485" s="661"/>
      <c r="B485" s="663" t="s">
        <v>7642</v>
      </c>
      <c r="C485" s="657" t="s">
        <v>7141</v>
      </c>
      <c r="D485" s="657" t="s">
        <v>7856</v>
      </c>
      <c r="E485" s="663" t="s">
        <v>7535</v>
      </c>
      <c r="F485" s="658">
        <v>0.1</v>
      </c>
      <c r="G485" s="658">
        <v>0</v>
      </c>
      <c r="H485" s="664">
        <v>171800</v>
      </c>
      <c r="I485" s="664">
        <f t="shared" si="5"/>
        <v>156180</v>
      </c>
      <c r="J485" s="661"/>
      <c r="K485">
        <f t="shared" si="9"/>
        <v>132753</v>
      </c>
    </row>
    <row r="486" spans="1:11" ht="18.75" customHeight="1">
      <c r="A486" s="661"/>
      <c r="B486" s="663" t="s">
        <v>7642</v>
      </c>
      <c r="C486" s="657" t="s">
        <v>7141</v>
      </c>
      <c r="D486" s="657" t="s">
        <v>7857</v>
      </c>
      <c r="E486" s="663" t="s">
        <v>7537</v>
      </c>
      <c r="F486" s="658">
        <v>0.1</v>
      </c>
      <c r="G486" s="658">
        <v>0</v>
      </c>
      <c r="H486" s="664">
        <v>189500</v>
      </c>
      <c r="I486" s="664">
        <f t="shared" si="5"/>
        <v>172270</v>
      </c>
      <c r="J486" s="661"/>
      <c r="K486">
        <f t="shared" si="9"/>
        <v>146429.5</v>
      </c>
    </row>
    <row r="487" spans="1:11" ht="18.75" customHeight="1">
      <c r="A487" s="661"/>
      <c r="B487" s="663" t="s">
        <v>7642</v>
      </c>
      <c r="C487" s="657" t="s">
        <v>7141</v>
      </c>
      <c r="D487" s="657" t="s">
        <v>7858</v>
      </c>
      <c r="E487" s="663" t="s">
        <v>7539</v>
      </c>
      <c r="F487" s="658">
        <v>0.1</v>
      </c>
      <c r="G487" s="658">
        <v>0</v>
      </c>
      <c r="H487" s="664">
        <v>197800</v>
      </c>
      <c r="I487" s="664">
        <f t="shared" si="5"/>
        <v>179820</v>
      </c>
      <c r="J487" s="661"/>
      <c r="K487">
        <f t="shared" si="9"/>
        <v>152847</v>
      </c>
    </row>
    <row r="488" spans="1:11" ht="18.75" customHeight="1">
      <c r="A488" s="661"/>
      <c r="B488" s="663" t="s">
        <v>7642</v>
      </c>
      <c r="C488" s="657" t="s">
        <v>7105</v>
      </c>
      <c r="D488" s="657" t="s">
        <v>7859</v>
      </c>
      <c r="E488" s="663" t="s">
        <v>7541</v>
      </c>
      <c r="F488" s="658">
        <v>0.1</v>
      </c>
      <c r="G488" s="658">
        <v>0</v>
      </c>
      <c r="H488" s="664">
        <v>204800</v>
      </c>
      <c r="I488" s="664">
        <f t="shared" si="5"/>
        <v>186180</v>
      </c>
      <c r="J488" s="661"/>
      <c r="K488">
        <f t="shared" si="9"/>
        <v>158253</v>
      </c>
    </row>
    <row r="489" spans="1:11" ht="18.75" customHeight="1">
      <c r="A489" s="661"/>
      <c r="B489" s="663" t="s">
        <v>7642</v>
      </c>
      <c r="C489" s="657" t="s">
        <v>7141</v>
      </c>
      <c r="D489" s="657" t="s">
        <v>7860</v>
      </c>
      <c r="E489" s="663" t="s">
        <v>7543</v>
      </c>
      <c r="F489" s="658">
        <v>0.1</v>
      </c>
      <c r="G489" s="658">
        <v>0</v>
      </c>
      <c r="H489" s="664">
        <v>229600</v>
      </c>
      <c r="I489" s="664">
        <f t="shared" si="5"/>
        <v>208730</v>
      </c>
      <c r="J489" s="661"/>
      <c r="K489">
        <f t="shared" si="9"/>
        <v>177420.5</v>
      </c>
    </row>
    <row r="490" spans="1:11" ht="18.75" customHeight="1">
      <c r="A490" s="661"/>
      <c r="B490" s="663" t="s">
        <v>7642</v>
      </c>
      <c r="C490" s="657" t="s">
        <v>7141</v>
      </c>
      <c r="D490" s="657" t="s">
        <v>7861</v>
      </c>
      <c r="E490" s="663" t="s">
        <v>7545</v>
      </c>
      <c r="F490" s="658">
        <v>0.1</v>
      </c>
      <c r="G490" s="658">
        <v>0</v>
      </c>
      <c r="H490" s="664">
        <v>240100</v>
      </c>
      <c r="I490" s="664">
        <f t="shared" si="5"/>
        <v>218270</v>
      </c>
      <c r="J490" s="661"/>
      <c r="K490">
        <f t="shared" si="9"/>
        <v>185529.5</v>
      </c>
    </row>
    <row r="491" spans="1:11" ht="18.75" customHeight="1">
      <c r="A491" s="661"/>
      <c r="B491" s="663" t="s">
        <v>7642</v>
      </c>
      <c r="C491" s="657" t="s">
        <v>7141</v>
      </c>
      <c r="D491" s="657" t="s">
        <v>7862</v>
      </c>
      <c r="E491" s="663" t="s">
        <v>7547</v>
      </c>
      <c r="F491" s="658">
        <v>0.1</v>
      </c>
      <c r="G491" s="658">
        <v>0</v>
      </c>
      <c r="H491" s="664">
        <v>256600</v>
      </c>
      <c r="I491" s="664">
        <f t="shared" si="5"/>
        <v>233270</v>
      </c>
      <c r="J491" s="661"/>
      <c r="K491">
        <f t="shared" si="9"/>
        <v>198279.5</v>
      </c>
    </row>
    <row r="492" spans="1:11" ht="18.75" customHeight="1">
      <c r="A492" s="661"/>
      <c r="B492" s="663" t="s">
        <v>7642</v>
      </c>
      <c r="C492" s="657" t="s">
        <v>7141</v>
      </c>
      <c r="D492" s="657" t="s">
        <v>7863</v>
      </c>
      <c r="E492" s="663" t="s">
        <v>7549</v>
      </c>
      <c r="F492" s="658">
        <v>0.1</v>
      </c>
      <c r="G492" s="658">
        <v>0</v>
      </c>
      <c r="H492" s="664">
        <v>271900</v>
      </c>
      <c r="I492" s="664">
        <f t="shared" si="5"/>
        <v>247180</v>
      </c>
      <c r="J492" s="661"/>
      <c r="K492">
        <f t="shared" si="9"/>
        <v>210103</v>
      </c>
    </row>
    <row r="493" spans="1:11" ht="18.75" customHeight="1">
      <c r="A493" s="661"/>
      <c r="B493" s="663" t="s">
        <v>7642</v>
      </c>
      <c r="C493" s="657" t="s">
        <v>7141</v>
      </c>
      <c r="D493" s="657" t="s">
        <v>7864</v>
      </c>
      <c r="E493" s="663" t="s">
        <v>7551</v>
      </c>
      <c r="F493" s="658">
        <v>0.1</v>
      </c>
      <c r="G493" s="658">
        <v>0</v>
      </c>
      <c r="H493" s="664">
        <v>309500</v>
      </c>
      <c r="I493" s="664">
        <f t="shared" si="5"/>
        <v>281360</v>
      </c>
      <c r="J493" s="661"/>
      <c r="K493">
        <f t="shared" si="9"/>
        <v>239156</v>
      </c>
    </row>
    <row r="494" spans="1:11" ht="18.75" customHeight="1">
      <c r="A494" s="661"/>
      <c r="B494" s="663" t="s">
        <v>7642</v>
      </c>
      <c r="C494" s="657" t="s">
        <v>7141</v>
      </c>
      <c r="D494" s="657" t="s">
        <v>7865</v>
      </c>
      <c r="E494" s="663" t="s">
        <v>7553</v>
      </c>
      <c r="F494" s="658">
        <v>0.1</v>
      </c>
      <c r="G494" s="658">
        <v>0</v>
      </c>
      <c r="H494" s="664">
        <v>347300</v>
      </c>
      <c r="I494" s="664">
        <f t="shared" si="5"/>
        <v>315730</v>
      </c>
      <c r="J494" s="661"/>
      <c r="K494">
        <f t="shared" si="9"/>
        <v>268370.5</v>
      </c>
    </row>
    <row r="495" spans="1:11" ht="18.75" customHeight="1">
      <c r="A495" s="661"/>
      <c r="B495" s="663" t="s">
        <v>7642</v>
      </c>
      <c r="C495" s="657" t="s">
        <v>7141</v>
      </c>
      <c r="D495" s="657" t="s">
        <v>7866</v>
      </c>
      <c r="E495" s="663" t="s">
        <v>7555</v>
      </c>
      <c r="F495" s="658">
        <v>0.1</v>
      </c>
      <c r="G495" s="658">
        <v>0</v>
      </c>
      <c r="H495" s="664">
        <v>370800</v>
      </c>
      <c r="I495" s="664">
        <f t="shared" si="5"/>
        <v>337090</v>
      </c>
      <c r="J495" s="661"/>
      <c r="K495">
        <f t="shared" si="9"/>
        <v>286526.5</v>
      </c>
    </row>
    <row r="496" spans="1:11" ht="18.75" customHeight="1">
      <c r="A496" s="661"/>
      <c r="B496" s="663" t="s">
        <v>7642</v>
      </c>
      <c r="C496" s="657" t="s">
        <v>7141</v>
      </c>
      <c r="D496" s="657" t="s">
        <v>7867</v>
      </c>
      <c r="E496" s="663" t="s">
        <v>7557</v>
      </c>
      <c r="F496" s="658">
        <v>0.1</v>
      </c>
      <c r="G496" s="658">
        <v>0</v>
      </c>
      <c r="H496" s="664"/>
      <c r="I496" s="664">
        <f t="shared" si="5"/>
        <v>0</v>
      </c>
      <c r="J496" s="661"/>
      <c r="K496">
        <f t="shared" si="9"/>
        <v>0</v>
      </c>
    </row>
    <row r="497" spans="1:11" ht="18.75" customHeight="1">
      <c r="A497" s="661"/>
      <c r="B497" s="663" t="s">
        <v>7642</v>
      </c>
      <c r="C497" s="657" t="s">
        <v>7141</v>
      </c>
      <c r="D497" s="657" t="s">
        <v>7868</v>
      </c>
      <c r="E497" s="663" t="s">
        <v>7559</v>
      </c>
      <c r="F497" s="658">
        <v>0.1</v>
      </c>
      <c r="G497" s="658">
        <v>0</v>
      </c>
      <c r="H497" s="664">
        <v>445000</v>
      </c>
      <c r="I497" s="664">
        <f t="shared" si="5"/>
        <v>404550</v>
      </c>
      <c r="J497" s="661"/>
      <c r="K497">
        <f t="shared" si="9"/>
        <v>343867.5</v>
      </c>
    </row>
    <row r="498" spans="1:11" ht="18.75" customHeight="1">
      <c r="A498" s="661"/>
      <c r="B498" s="663" t="s">
        <v>7642</v>
      </c>
      <c r="C498" s="657" t="s">
        <v>7141</v>
      </c>
      <c r="D498" s="657" t="s">
        <v>7869</v>
      </c>
      <c r="E498" s="663" t="s">
        <v>7561</v>
      </c>
      <c r="F498" s="658">
        <v>0.1</v>
      </c>
      <c r="G498" s="658">
        <v>0</v>
      </c>
      <c r="H498" s="664"/>
      <c r="I498" s="664">
        <f t="shared" si="5"/>
        <v>0</v>
      </c>
      <c r="J498" s="661"/>
      <c r="K498">
        <f t="shared" si="9"/>
        <v>0</v>
      </c>
    </row>
    <row r="499" spans="1:11" ht="18.75" customHeight="1">
      <c r="A499" s="661"/>
      <c r="B499" s="663" t="s">
        <v>7642</v>
      </c>
      <c r="C499" s="657" t="s">
        <v>7141</v>
      </c>
      <c r="D499" s="657" t="s">
        <v>7870</v>
      </c>
      <c r="E499" s="663" t="s">
        <v>7563</v>
      </c>
      <c r="F499" s="658">
        <v>0.1</v>
      </c>
      <c r="G499" s="658">
        <v>0</v>
      </c>
      <c r="H499" s="664">
        <v>503800</v>
      </c>
      <c r="I499" s="664">
        <f t="shared" si="5"/>
        <v>458000</v>
      </c>
      <c r="J499" s="661"/>
      <c r="K499">
        <f t="shared" si="9"/>
        <v>389300</v>
      </c>
    </row>
    <row r="500" spans="1:11" ht="18.75" customHeight="1">
      <c r="A500" s="661"/>
      <c r="B500" s="663" t="s">
        <v>7642</v>
      </c>
      <c r="C500" s="657" t="s">
        <v>7141</v>
      </c>
      <c r="D500" s="657" t="s">
        <v>7871</v>
      </c>
      <c r="E500" s="663" t="s">
        <v>7565</v>
      </c>
      <c r="F500" s="658">
        <v>0.1</v>
      </c>
      <c r="G500" s="658">
        <v>0</v>
      </c>
      <c r="H500" s="664">
        <v>527300</v>
      </c>
      <c r="I500" s="664">
        <f t="shared" si="5"/>
        <v>479360</v>
      </c>
      <c r="J500" s="661"/>
      <c r="K500">
        <f t="shared" si="9"/>
        <v>407456</v>
      </c>
    </row>
    <row r="501" spans="1:11" ht="18.75" customHeight="1">
      <c r="A501" s="661"/>
      <c r="B501" s="663" t="s">
        <v>7642</v>
      </c>
      <c r="C501" s="657" t="s">
        <v>7141</v>
      </c>
      <c r="D501" s="657" t="s">
        <v>7872</v>
      </c>
      <c r="E501" s="663" t="s">
        <v>7567</v>
      </c>
      <c r="F501" s="658">
        <v>0.1</v>
      </c>
      <c r="G501" s="658">
        <v>0</v>
      </c>
      <c r="H501" s="664">
        <v>550900</v>
      </c>
      <c r="I501" s="664">
        <f t="shared" si="5"/>
        <v>500820</v>
      </c>
      <c r="J501" s="661"/>
      <c r="K501">
        <f t="shared" si="9"/>
        <v>425697</v>
      </c>
    </row>
    <row r="502" spans="1:11" ht="18.75" customHeight="1">
      <c r="A502" s="661"/>
      <c r="B502" s="663" t="s">
        <v>7642</v>
      </c>
      <c r="C502" s="657" t="s">
        <v>7141</v>
      </c>
      <c r="D502" s="657" t="s">
        <v>7873</v>
      </c>
      <c r="E502" s="663" t="s">
        <v>7569</v>
      </c>
      <c r="F502" s="658">
        <v>0.1</v>
      </c>
      <c r="G502" s="658">
        <v>0</v>
      </c>
      <c r="H502" s="664">
        <v>562700</v>
      </c>
      <c r="I502" s="664">
        <f t="shared" si="5"/>
        <v>511550</v>
      </c>
      <c r="J502" s="661"/>
      <c r="K502">
        <f t="shared" si="9"/>
        <v>434817.5</v>
      </c>
    </row>
    <row r="503" spans="1:11" ht="18.75" customHeight="1">
      <c r="A503" s="661"/>
      <c r="B503" s="663" t="s">
        <v>7642</v>
      </c>
      <c r="C503" s="657" t="s">
        <v>7141</v>
      </c>
      <c r="D503" s="657" t="s">
        <v>7874</v>
      </c>
      <c r="E503" s="663" t="s">
        <v>7571</v>
      </c>
      <c r="F503" s="658">
        <v>0.1</v>
      </c>
      <c r="G503" s="658">
        <v>0</v>
      </c>
      <c r="H503" s="664">
        <v>645000</v>
      </c>
      <c r="I503" s="664">
        <f t="shared" si="5"/>
        <v>586360</v>
      </c>
      <c r="J503" s="661"/>
      <c r="K503">
        <f t="shared" si="9"/>
        <v>498406</v>
      </c>
    </row>
    <row r="504" spans="1:11" ht="18.75" customHeight="1">
      <c r="A504" s="661"/>
      <c r="B504" s="663" t="s">
        <v>7642</v>
      </c>
      <c r="C504" s="657" t="s">
        <v>7141</v>
      </c>
      <c r="D504" s="657" t="s">
        <v>7875</v>
      </c>
      <c r="E504" s="663" t="s">
        <v>7573</v>
      </c>
      <c r="F504" s="658">
        <v>0.1</v>
      </c>
      <c r="G504" s="658">
        <v>0</v>
      </c>
      <c r="H504" s="664"/>
      <c r="I504" s="664">
        <f t="shared" si="5"/>
        <v>0</v>
      </c>
      <c r="J504" s="661"/>
      <c r="K504">
        <f t="shared" si="9"/>
        <v>0</v>
      </c>
    </row>
    <row r="505" spans="1:11" ht="18.75" customHeight="1">
      <c r="A505" s="661"/>
      <c r="B505" s="663" t="s">
        <v>7642</v>
      </c>
      <c r="C505" s="657" t="s">
        <v>7141</v>
      </c>
      <c r="D505" s="657" t="s">
        <v>7876</v>
      </c>
      <c r="E505" s="663" t="s">
        <v>7575</v>
      </c>
      <c r="F505" s="658">
        <v>0.1</v>
      </c>
      <c r="G505" s="658">
        <v>0</v>
      </c>
      <c r="H505" s="664"/>
      <c r="I505" s="664">
        <f t="shared" si="5"/>
        <v>0</v>
      </c>
      <c r="J505" s="661"/>
      <c r="K505">
        <f t="shared" si="9"/>
        <v>0</v>
      </c>
    </row>
    <row r="506" spans="1:11" ht="18.75" customHeight="1">
      <c r="A506" s="661"/>
      <c r="B506" s="663" t="s">
        <v>7642</v>
      </c>
      <c r="C506" s="657" t="s">
        <v>7141</v>
      </c>
      <c r="D506" s="657" t="s">
        <v>7877</v>
      </c>
      <c r="E506" s="663" t="s">
        <v>7577</v>
      </c>
      <c r="F506" s="658">
        <v>0.1</v>
      </c>
      <c r="G506" s="658">
        <v>0</v>
      </c>
      <c r="H506" s="664"/>
      <c r="I506" s="664">
        <f t="shared" si="5"/>
        <v>0</v>
      </c>
      <c r="J506" s="661"/>
      <c r="K506">
        <f t="shared" si="9"/>
        <v>0</v>
      </c>
    </row>
    <row r="507" spans="1:11" ht="18.75" customHeight="1">
      <c r="A507" s="661"/>
      <c r="B507" s="663" t="s">
        <v>7642</v>
      </c>
      <c r="C507" s="657" t="s">
        <v>7141</v>
      </c>
      <c r="D507" s="657" t="s">
        <v>7878</v>
      </c>
      <c r="E507" s="663" t="s">
        <v>7579</v>
      </c>
      <c r="F507" s="658">
        <v>0.1</v>
      </c>
      <c r="G507" s="658">
        <v>0</v>
      </c>
      <c r="H507" s="664">
        <v>663900</v>
      </c>
      <c r="I507" s="664">
        <f t="shared" si="5"/>
        <v>603550</v>
      </c>
      <c r="J507" s="661"/>
      <c r="K507">
        <f t="shared" si="9"/>
        <v>513017.5</v>
      </c>
    </row>
    <row r="508" spans="1:11" ht="18.75" customHeight="1">
      <c r="A508" s="661"/>
      <c r="B508" s="663" t="s">
        <v>7642</v>
      </c>
      <c r="C508" s="657" t="s">
        <v>7141</v>
      </c>
      <c r="D508" s="657" t="s">
        <v>7879</v>
      </c>
      <c r="E508" s="663" t="s">
        <v>7581</v>
      </c>
      <c r="F508" s="658">
        <v>0.1</v>
      </c>
      <c r="G508" s="658">
        <v>0</v>
      </c>
      <c r="H508" s="664"/>
      <c r="I508" s="664">
        <f t="shared" si="5"/>
        <v>0</v>
      </c>
      <c r="J508" s="661"/>
      <c r="K508">
        <f t="shared" si="9"/>
        <v>0</v>
      </c>
    </row>
    <row r="509" spans="1:11" ht="18.75" customHeight="1">
      <c r="A509" s="661"/>
      <c r="B509" s="663" t="s">
        <v>7642</v>
      </c>
      <c r="C509" s="657" t="s">
        <v>7141</v>
      </c>
      <c r="D509" s="657" t="s">
        <v>7880</v>
      </c>
      <c r="E509" s="663" t="s">
        <v>7583</v>
      </c>
      <c r="F509" s="658">
        <v>0.1</v>
      </c>
      <c r="G509" s="658">
        <v>0</v>
      </c>
      <c r="H509" s="664"/>
      <c r="I509" s="664">
        <f t="shared" si="5"/>
        <v>0</v>
      </c>
      <c r="J509" s="661"/>
      <c r="K509">
        <f t="shared" si="9"/>
        <v>0</v>
      </c>
    </row>
    <row r="510" spans="1:11" ht="18.75" customHeight="1">
      <c r="A510" s="661"/>
      <c r="B510" s="663" t="s">
        <v>7642</v>
      </c>
      <c r="C510" s="657" t="s">
        <v>7141</v>
      </c>
      <c r="D510" s="657" t="s">
        <v>7881</v>
      </c>
      <c r="E510" s="663" t="s">
        <v>7585</v>
      </c>
      <c r="F510" s="658">
        <v>0.1</v>
      </c>
      <c r="G510" s="658">
        <v>0</v>
      </c>
      <c r="H510" s="664"/>
      <c r="I510" s="664">
        <f t="shared" si="5"/>
        <v>0</v>
      </c>
      <c r="J510" s="661"/>
      <c r="K510">
        <f t="shared" si="9"/>
        <v>0</v>
      </c>
    </row>
    <row r="511" spans="1:11" ht="18.75" customHeight="1">
      <c r="A511" s="661"/>
      <c r="B511" s="663" t="s">
        <v>7642</v>
      </c>
      <c r="C511" s="657" t="s">
        <v>7141</v>
      </c>
      <c r="D511" s="657" t="s">
        <v>7882</v>
      </c>
      <c r="E511" s="663" t="s">
        <v>7587</v>
      </c>
      <c r="F511" s="658">
        <v>0.1</v>
      </c>
      <c r="G511" s="658">
        <v>0</v>
      </c>
      <c r="H511" s="664"/>
      <c r="I511" s="664">
        <f t="shared" si="5"/>
        <v>0</v>
      </c>
      <c r="J511" s="661"/>
      <c r="K511">
        <f t="shared" si="9"/>
        <v>0</v>
      </c>
    </row>
    <row r="512" spans="1:11" ht="18.75" customHeight="1">
      <c r="A512" s="661"/>
      <c r="B512" s="663" t="s">
        <v>7642</v>
      </c>
      <c r="C512" s="657" t="s">
        <v>7141</v>
      </c>
      <c r="D512" s="657" t="s">
        <v>7883</v>
      </c>
      <c r="E512" s="663" t="s">
        <v>7589</v>
      </c>
      <c r="F512" s="658">
        <v>0.1</v>
      </c>
      <c r="G512" s="658">
        <v>0</v>
      </c>
      <c r="H512" s="664"/>
      <c r="I512" s="664">
        <f t="shared" si="5"/>
        <v>0</v>
      </c>
      <c r="J512" s="661"/>
      <c r="K512">
        <f t="shared" si="9"/>
        <v>0</v>
      </c>
    </row>
    <row r="513" spans="1:11" ht="18.75" customHeight="1">
      <c r="A513" s="661"/>
      <c r="B513" s="663" t="s">
        <v>7642</v>
      </c>
      <c r="C513" s="657" t="s">
        <v>7141</v>
      </c>
      <c r="D513" s="657" t="s">
        <v>7884</v>
      </c>
      <c r="E513" s="663" t="s">
        <v>7591</v>
      </c>
      <c r="F513" s="658">
        <v>0.1</v>
      </c>
      <c r="G513" s="658">
        <v>0</v>
      </c>
      <c r="H513" s="664"/>
      <c r="I513" s="664">
        <f t="shared" si="5"/>
        <v>0</v>
      </c>
      <c r="J513" s="661"/>
      <c r="K513">
        <f t="shared" si="9"/>
        <v>0</v>
      </c>
    </row>
    <row r="514" spans="1:11" ht="18.75" customHeight="1">
      <c r="A514" s="661"/>
      <c r="B514" s="663" t="s">
        <v>7642</v>
      </c>
      <c r="C514" s="657" t="s">
        <v>7141</v>
      </c>
      <c r="D514" s="657" t="s">
        <v>7885</v>
      </c>
      <c r="E514" s="663" t="s">
        <v>7593</v>
      </c>
      <c r="F514" s="658">
        <v>0.1</v>
      </c>
      <c r="G514" s="658">
        <v>0</v>
      </c>
      <c r="H514" s="664">
        <v>434300</v>
      </c>
      <c r="I514" s="664">
        <f t="shared" si="5"/>
        <v>394820</v>
      </c>
      <c r="J514" s="661"/>
      <c r="K514">
        <f t="shared" si="9"/>
        <v>335597</v>
      </c>
    </row>
    <row r="515" spans="1:11" ht="18.75" customHeight="1">
      <c r="A515" s="661"/>
      <c r="B515" s="663" t="s">
        <v>7642</v>
      </c>
      <c r="C515" s="657" t="s">
        <v>7141</v>
      </c>
      <c r="D515" s="657" t="s">
        <v>7886</v>
      </c>
      <c r="E515" s="663" t="s">
        <v>7595</v>
      </c>
      <c r="F515" s="658">
        <v>0.1</v>
      </c>
      <c r="G515" s="658">
        <v>0</v>
      </c>
      <c r="H515" s="664">
        <v>437800</v>
      </c>
      <c r="I515" s="664">
        <f t="shared" ref="I515:I769" si="10">IF(ISBLANK(H515),,ROUND(H515/(1+F515),-1))</f>
        <v>398000</v>
      </c>
      <c r="J515" s="661"/>
      <c r="K515">
        <f t="shared" si="9"/>
        <v>338300</v>
      </c>
    </row>
    <row r="516" spans="1:11" ht="18.75" customHeight="1">
      <c r="A516" s="661"/>
      <c r="B516" s="663" t="s">
        <v>7642</v>
      </c>
      <c r="C516" s="657" t="s">
        <v>7141</v>
      </c>
      <c r="D516" s="657" t="s">
        <v>7887</v>
      </c>
      <c r="E516" s="663" t="s">
        <v>7597</v>
      </c>
      <c r="F516" s="658">
        <v>0.1</v>
      </c>
      <c r="G516" s="658">
        <v>0</v>
      </c>
      <c r="H516" s="664">
        <v>480300</v>
      </c>
      <c r="I516" s="664">
        <f t="shared" si="10"/>
        <v>436640</v>
      </c>
      <c r="J516" s="661"/>
      <c r="K516">
        <f t="shared" si="9"/>
        <v>371144</v>
      </c>
    </row>
    <row r="517" spans="1:11" ht="18.75" customHeight="1">
      <c r="A517" s="661"/>
      <c r="B517" s="663" t="s">
        <v>7642</v>
      </c>
      <c r="C517" s="657" t="s">
        <v>7141</v>
      </c>
      <c r="D517" s="657" t="s">
        <v>7888</v>
      </c>
      <c r="E517" s="663" t="s">
        <v>7599</v>
      </c>
      <c r="F517" s="658">
        <v>0.1</v>
      </c>
      <c r="G517" s="658">
        <v>0</v>
      </c>
      <c r="H517" s="664">
        <v>503800</v>
      </c>
      <c r="I517" s="664">
        <f t="shared" si="10"/>
        <v>458000</v>
      </c>
      <c r="J517" s="661"/>
      <c r="K517">
        <f t="shared" si="9"/>
        <v>389300</v>
      </c>
    </row>
    <row r="518" spans="1:11" ht="18.75" customHeight="1">
      <c r="A518" s="661"/>
      <c r="B518" s="663" t="s">
        <v>7642</v>
      </c>
      <c r="C518" s="657" t="s">
        <v>7141</v>
      </c>
      <c r="D518" s="657" t="s">
        <v>7889</v>
      </c>
      <c r="E518" s="663" t="s">
        <v>7601</v>
      </c>
      <c r="F518" s="658">
        <v>0.1</v>
      </c>
      <c r="G518" s="658">
        <v>0</v>
      </c>
      <c r="H518" s="664">
        <v>527300</v>
      </c>
      <c r="I518" s="664">
        <f t="shared" si="10"/>
        <v>479360</v>
      </c>
      <c r="J518" s="661"/>
      <c r="K518">
        <f t="shared" ref="K518:K581" si="11">+I518*(1+$K$4)</f>
        <v>407456</v>
      </c>
    </row>
    <row r="519" spans="1:11" ht="18.75" customHeight="1">
      <c r="A519" s="661"/>
      <c r="B519" s="663" t="s">
        <v>7642</v>
      </c>
      <c r="C519" s="657" t="s">
        <v>7141</v>
      </c>
      <c r="D519" s="657" t="s">
        <v>7890</v>
      </c>
      <c r="E519" s="663" t="s">
        <v>7603</v>
      </c>
      <c r="F519" s="658">
        <v>0.1</v>
      </c>
      <c r="G519" s="658">
        <v>0</v>
      </c>
      <c r="H519" s="664">
        <v>550900</v>
      </c>
      <c r="I519" s="664">
        <f t="shared" si="10"/>
        <v>500820</v>
      </c>
      <c r="J519" s="661"/>
      <c r="K519">
        <f t="shared" si="11"/>
        <v>425697</v>
      </c>
    </row>
    <row r="520" spans="1:11" ht="18.75" customHeight="1">
      <c r="A520" s="661"/>
      <c r="B520" s="663" t="s">
        <v>7642</v>
      </c>
      <c r="C520" s="657" t="s">
        <v>7141</v>
      </c>
      <c r="D520" s="657" t="s">
        <v>7891</v>
      </c>
      <c r="E520" s="663" t="s">
        <v>7605</v>
      </c>
      <c r="F520" s="658">
        <v>0.1</v>
      </c>
      <c r="G520" s="658">
        <v>0</v>
      </c>
      <c r="H520" s="664">
        <v>574400</v>
      </c>
      <c r="I520" s="664">
        <f t="shared" si="10"/>
        <v>522180</v>
      </c>
      <c r="J520" s="661"/>
      <c r="K520">
        <f t="shared" si="11"/>
        <v>443853</v>
      </c>
    </row>
    <row r="521" spans="1:11" ht="18.75" customHeight="1">
      <c r="A521" s="661"/>
      <c r="B521" s="663" t="s">
        <v>7642</v>
      </c>
      <c r="C521" s="657" t="s">
        <v>7141</v>
      </c>
      <c r="D521" s="657" t="s">
        <v>7892</v>
      </c>
      <c r="E521" s="663" t="s">
        <v>7607</v>
      </c>
      <c r="F521" s="658">
        <v>0.1</v>
      </c>
      <c r="G521" s="658">
        <v>0</v>
      </c>
      <c r="H521" s="664">
        <v>586200</v>
      </c>
      <c r="I521" s="664">
        <f t="shared" si="10"/>
        <v>532910</v>
      </c>
      <c r="J521" s="661"/>
      <c r="K521">
        <f t="shared" si="11"/>
        <v>452973.5</v>
      </c>
    </row>
    <row r="522" spans="1:11" ht="18.75" customHeight="1">
      <c r="A522" s="661"/>
      <c r="B522" s="663" t="s">
        <v>7642</v>
      </c>
      <c r="C522" s="657" t="s">
        <v>7141</v>
      </c>
      <c r="D522" s="657" t="s">
        <v>7893</v>
      </c>
      <c r="E522" s="663" t="s">
        <v>7609</v>
      </c>
      <c r="F522" s="658">
        <v>0.1</v>
      </c>
      <c r="G522" s="658">
        <v>0</v>
      </c>
      <c r="H522" s="664">
        <v>621500</v>
      </c>
      <c r="I522" s="664">
        <f t="shared" si="10"/>
        <v>565000</v>
      </c>
      <c r="J522" s="661"/>
      <c r="K522">
        <f t="shared" si="11"/>
        <v>480250</v>
      </c>
    </row>
    <row r="523" spans="1:11" ht="18.75" customHeight="1">
      <c r="A523" s="661"/>
      <c r="B523" s="663" t="s">
        <v>7642</v>
      </c>
      <c r="C523" s="657" t="s">
        <v>7141</v>
      </c>
      <c r="D523" s="657" t="s">
        <v>7894</v>
      </c>
      <c r="E523" s="663" t="s">
        <v>7611</v>
      </c>
      <c r="F523" s="658">
        <v>0.1</v>
      </c>
      <c r="G523" s="658">
        <v>0</v>
      </c>
      <c r="H523" s="664">
        <v>645000</v>
      </c>
      <c r="I523" s="664">
        <f t="shared" si="10"/>
        <v>586360</v>
      </c>
      <c r="J523" s="661"/>
      <c r="K523">
        <f t="shared" si="11"/>
        <v>498406</v>
      </c>
    </row>
    <row r="524" spans="1:11" ht="18.75" customHeight="1">
      <c r="A524" s="661"/>
      <c r="B524" s="663" t="s">
        <v>7642</v>
      </c>
      <c r="C524" s="657" t="s">
        <v>7141</v>
      </c>
      <c r="D524" s="657" t="s">
        <v>7895</v>
      </c>
      <c r="E524" s="663" t="s">
        <v>7613</v>
      </c>
      <c r="F524" s="658">
        <v>0.1</v>
      </c>
      <c r="G524" s="658">
        <v>0</v>
      </c>
      <c r="H524" s="664">
        <v>668600</v>
      </c>
      <c r="I524" s="664">
        <f t="shared" si="10"/>
        <v>607820</v>
      </c>
      <c r="J524" s="661"/>
      <c r="K524">
        <f t="shared" si="11"/>
        <v>516647</v>
      </c>
    </row>
    <row r="525" spans="1:11" ht="18.75" customHeight="1">
      <c r="A525" s="661"/>
      <c r="B525" s="663" t="s">
        <v>7642</v>
      </c>
      <c r="C525" s="657" t="s">
        <v>7141</v>
      </c>
      <c r="D525" s="657" t="s">
        <v>7896</v>
      </c>
      <c r="E525" s="663" t="s">
        <v>7615</v>
      </c>
      <c r="F525" s="658">
        <v>0.1</v>
      </c>
      <c r="G525" s="658">
        <v>0</v>
      </c>
      <c r="H525" s="664">
        <v>692100</v>
      </c>
      <c r="I525" s="664">
        <f t="shared" si="10"/>
        <v>629180</v>
      </c>
      <c r="J525" s="661"/>
      <c r="K525">
        <f t="shared" si="11"/>
        <v>534803</v>
      </c>
    </row>
    <row r="526" spans="1:11" ht="18.75" customHeight="1">
      <c r="A526" s="661"/>
      <c r="B526" s="663" t="s">
        <v>7642</v>
      </c>
      <c r="C526" s="657" t="s">
        <v>7141</v>
      </c>
      <c r="D526" s="657" t="s">
        <v>7897</v>
      </c>
      <c r="E526" s="663" t="s">
        <v>7617</v>
      </c>
      <c r="F526" s="658">
        <v>0.1</v>
      </c>
      <c r="G526" s="658">
        <v>0</v>
      </c>
      <c r="H526" s="664"/>
      <c r="I526" s="664">
        <f t="shared" si="10"/>
        <v>0</v>
      </c>
      <c r="J526" s="661"/>
      <c r="K526">
        <f t="shared" si="11"/>
        <v>0</v>
      </c>
    </row>
    <row r="527" spans="1:11" ht="18.75" customHeight="1">
      <c r="A527" s="661"/>
      <c r="B527" s="663" t="s">
        <v>7642</v>
      </c>
      <c r="C527" s="657" t="s">
        <v>7141</v>
      </c>
      <c r="D527" s="657" t="s">
        <v>7898</v>
      </c>
      <c r="E527" s="663" t="s">
        <v>7619</v>
      </c>
      <c r="F527" s="658">
        <v>0.1</v>
      </c>
      <c r="G527" s="658">
        <v>0</v>
      </c>
      <c r="H527" s="664">
        <v>727400</v>
      </c>
      <c r="I527" s="664">
        <f t="shared" si="10"/>
        <v>661270</v>
      </c>
      <c r="J527" s="661"/>
      <c r="K527">
        <f t="shared" si="11"/>
        <v>562079.5</v>
      </c>
    </row>
    <row r="528" spans="1:11" ht="18.75" customHeight="1">
      <c r="A528" s="661"/>
      <c r="B528" s="663" t="s">
        <v>7642</v>
      </c>
      <c r="C528" s="657" t="s">
        <v>7141</v>
      </c>
      <c r="D528" s="657" t="s">
        <v>7899</v>
      </c>
      <c r="E528" s="663" t="s">
        <v>7621</v>
      </c>
      <c r="F528" s="658">
        <v>0.1</v>
      </c>
      <c r="G528" s="658">
        <v>0</v>
      </c>
      <c r="H528" s="664"/>
      <c r="I528" s="664">
        <f t="shared" si="10"/>
        <v>0</v>
      </c>
      <c r="J528" s="661"/>
      <c r="K528">
        <f t="shared" si="11"/>
        <v>0</v>
      </c>
    </row>
    <row r="529" spans="1:11" ht="18.75" customHeight="1">
      <c r="A529" s="661"/>
      <c r="B529" s="663" t="s">
        <v>7642</v>
      </c>
      <c r="C529" s="657" t="s">
        <v>7141</v>
      </c>
      <c r="D529" s="657" t="s">
        <v>7900</v>
      </c>
      <c r="E529" s="663" t="s">
        <v>7623</v>
      </c>
      <c r="F529" s="658">
        <v>0.1</v>
      </c>
      <c r="G529" s="658">
        <v>0</v>
      </c>
      <c r="H529" s="664">
        <v>762700</v>
      </c>
      <c r="I529" s="664">
        <f t="shared" si="10"/>
        <v>693360</v>
      </c>
      <c r="J529" s="661"/>
      <c r="K529">
        <f t="shared" si="11"/>
        <v>589356</v>
      </c>
    </row>
    <row r="530" spans="1:11" ht="18.75" customHeight="1">
      <c r="A530" s="661"/>
      <c r="B530" s="663" t="s">
        <v>7642</v>
      </c>
      <c r="C530" s="657" t="s">
        <v>7141</v>
      </c>
      <c r="D530" s="657" t="s">
        <v>7901</v>
      </c>
      <c r="E530" s="663" t="s">
        <v>7625</v>
      </c>
      <c r="F530" s="658">
        <v>0.1</v>
      </c>
      <c r="G530" s="658">
        <v>0</v>
      </c>
      <c r="H530" s="664"/>
      <c r="I530" s="664">
        <f t="shared" si="10"/>
        <v>0</v>
      </c>
      <c r="J530" s="661"/>
      <c r="K530">
        <f t="shared" si="11"/>
        <v>0</v>
      </c>
    </row>
    <row r="531" spans="1:11" ht="18.75" customHeight="1">
      <c r="A531" s="661"/>
      <c r="B531" s="663" t="s">
        <v>7642</v>
      </c>
      <c r="C531" s="657" t="s">
        <v>7141</v>
      </c>
      <c r="D531" s="657" t="s">
        <v>7902</v>
      </c>
      <c r="E531" s="663" t="s">
        <v>7627</v>
      </c>
      <c r="F531" s="658">
        <v>0.1</v>
      </c>
      <c r="G531" s="658">
        <v>0</v>
      </c>
      <c r="H531" s="664"/>
      <c r="I531" s="664">
        <f t="shared" si="10"/>
        <v>0</v>
      </c>
      <c r="J531" s="661"/>
      <c r="K531">
        <f t="shared" si="11"/>
        <v>0</v>
      </c>
    </row>
    <row r="532" spans="1:11" ht="18.75" customHeight="1">
      <c r="A532" s="661"/>
      <c r="B532" s="663" t="s">
        <v>7642</v>
      </c>
      <c r="C532" s="657" t="s">
        <v>7141</v>
      </c>
      <c r="D532" s="657" t="s">
        <v>7903</v>
      </c>
      <c r="E532" s="663" t="s">
        <v>7629</v>
      </c>
      <c r="F532" s="658">
        <v>0.1</v>
      </c>
      <c r="G532" s="658">
        <v>0</v>
      </c>
      <c r="H532" s="664"/>
      <c r="I532" s="664">
        <f t="shared" si="10"/>
        <v>0</v>
      </c>
      <c r="J532" s="661"/>
      <c r="K532">
        <f t="shared" si="11"/>
        <v>0</v>
      </c>
    </row>
    <row r="533" spans="1:11" ht="18.75" customHeight="1">
      <c r="A533" s="661"/>
      <c r="B533" s="663" t="s">
        <v>7642</v>
      </c>
      <c r="C533" s="657" t="s">
        <v>7141</v>
      </c>
      <c r="D533" s="657" t="s">
        <v>7904</v>
      </c>
      <c r="E533" s="663" t="s">
        <v>7631</v>
      </c>
      <c r="F533" s="658">
        <v>0.1</v>
      </c>
      <c r="G533" s="658">
        <v>0</v>
      </c>
      <c r="H533" s="664"/>
      <c r="I533" s="664">
        <f t="shared" si="10"/>
        <v>0</v>
      </c>
      <c r="J533" s="661"/>
      <c r="K533">
        <f t="shared" si="11"/>
        <v>0</v>
      </c>
    </row>
    <row r="534" spans="1:11" ht="18.75" customHeight="1">
      <c r="A534" s="661"/>
      <c r="B534" s="663" t="s">
        <v>7642</v>
      </c>
      <c r="C534" s="657" t="s">
        <v>7141</v>
      </c>
      <c r="D534" s="657" t="s">
        <v>7905</v>
      </c>
      <c r="E534" s="663" t="s">
        <v>7633</v>
      </c>
      <c r="F534" s="658">
        <v>0.1</v>
      </c>
      <c r="G534" s="658">
        <v>0</v>
      </c>
      <c r="H534" s="664"/>
      <c r="I534" s="664">
        <f t="shared" si="10"/>
        <v>0</v>
      </c>
      <c r="J534" s="661"/>
      <c r="K534">
        <f t="shared" si="11"/>
        <v>0</v>
      </c>
    </row>
    <row r="535" spans="1:11" ht="18.75" customHeight="1">
      <c r="A535" s="661"/>
      <c r="B535" s="663" t="s">
        <v>7642</v>
      </c>
      <c r="C535" s="657" t="s">
        <v>7141</v>
      </c>
      <c r="D535" s="657" t="s">
        <v>7906</v>
      </c>
      <c r="E535" s="663" t="s">
        <v>7635</v>
      </c>
      <c r="F535" s="658">
        <v>0.1</v>
      </c>
      <c r="G535" s="658">
        <v>0</v>
      </c>
      <c r="H535" s="664"/>
      <c r="I535" s="664">
        <f t="shared" si="10"/>
        <v>0</v>
      </c>
      <c r="J535" s="661"/>
      <c r="K535">
        <f t="shared" si="11"/>
        <v>0</v>
      </c>
    </row>
    <row r="536" spans="1:11" ht="18.75" customHeight="1">
      <c r="A536" s="661"/>
      <c r="B536" s="663" t="s">
        <v>7642</v>
      </c>
      <c r="C536" s="657" t="s">
        <v>7141</v>
      </c>
      <c r="D536" s="657" t="s">
        <v>7907</v>
      </c>
      <c r="E536" s="663" t="s">
        <v>7637</v>
      </c>
      <c r="F536" s="658">
        <v>0.1</v>
      </c>
      <c r="G536" s="658">
        <v>0</v>
      </c>
      <c r="H536" s="664"/>
      <c r="I536" s="664">
        <f t="shared" si="10"/>
        <v>0</v>
      </c>
      <c r="J536" s="661"/>
      <c r="K536">
        <f t="shared" si="11"/>
        <v>0</v>
      </c>
    </row>
    <row r="537" spans="1:11" ht="18.75" customHeight="1">
      <c r="A537" s="661"/>
      <c r="B537" s="663" t="s">
        <v>7642</v>
      </c>
      <c r="C537" s="657" t="s">
        <v>7141</v>
      </c>
      <c r="D537" s="657" t="s">
        <v>7908</v>
      </c>
      <c r="E537" s="663" t="s">
        <v>7639</v>
      </c>
      <c r="F537" s="658">
        <v>0.1</v>
      </c>
      <c r="G537" s="658">
        <v>0</v>
      </c>
      <c r="H537" s="664"/>
      <c r="I537" s="664">
        <f t="shared" si="10"/>
        <v>0</v>
      </c>
      <c r="J537" s="661"/>
      <c r="K537">
        <f t="shared" si="11"/>
        <v>0</v>
      </c>
    </row>
    <row r="538" spans="1:11" ht="18.75" customHeight="1">
      <c r="A538" s="661"/>
      <c r="B538" s="663" t="s">
        <v>7642</v>
      </c>
      <c r="C538" s="657" t="s">
        <v>7141</v>
      </c>
      <c r="D538" s="657" t="s">
        <v>7909</v>
      </c>
      <c r="E538" s="663" t="s">
        <v>7641</v>
      </c>
      <c r="F538" s="658">
        <v>0.1</v>
      </c>
      <c r="G538" s="658">
        <v>0</v>
      </c>
      <c r="H538" s="664"/>
      <c r="I538" s="664">
        <f t="shared" si="10"/>
        <v>0</v>
      </c>
      <c r="J538" s="661"/>
      <c r="K538">
        <f t="shared" si="11"/>
        <v>0</v>
      </c>
    </row>
    <row r="539" spans="1:11" ht="18.75" customHeight="1">
      <c r="A539" s="661"/>
      <c r="B539" s="663" t="s">
        <v>7910</v>
      </c>
      <c r="C539" s="657" t="s">
        <v>7141</v>
      </c>
      <c r="D539" s="657" t="s">
        <v>7911</v>
      </c>
      <c r="E539" s="663" t="s">
        <v>7912</v>
      </c>
      <c r="F539" s="658">
        <v>0.1</v>
      </c>
      <c r="G539" s="658">
        <v>0</v>
      </c>
      <c r="H539" s="664">
        <v>11800</v>
      </c>
      <c r="I539" s="664">
        <f t="shared" si="10"/>
        <v>10730</v>
      </c>
      <c r="J539" s="661"/>
      <c r="K539">
        <f t="shared" si="11"/>
        <v>9120.5</v>
      </c>
    </row>
    <row r="540" spans="1:11" ht="18.75" customHeight="1">
      <c r="A540" s="661"/>
      <c r="B540" s="663" t="s">
        <v>7910</v>
      </c>
      <c r="C540" s="657" t="s">
        <v>7141</v>
      </c>
      <c r="D540" s="657" t="s">
        <v>7913</v>
      </c>
      <c r="E540" s="663" t="s">
        <v>7914</v>
      </c>
      <c r="F540" s="658">
        <v>0.1</v>
      </c>
      <c r="G540" s="658">
        <v>0</v>
      </c>
      <c r="H540" s="664">
        <v>12400</v>
      </c>
      <c r="I540" s="664">
        <f t="shared" si="10"/>
        <v>11270</v>
      </c>
      <c r="J540" s="661"/>
      <c r="K540">
        <f t="shared" si="11"/>
        <v>9579.5</v>
      </c>
    </row>
    <row r="541" spans="1:11" ht="18.75" customHeight="1">
      <c r="A541" s="661"/>
      <c r="B541" s="663" t="s">
        <v>7910</v>
      </c>
      <c r="C541" s="657" t="s">
        <v>7141</v>
      </c>
      <c r="D541" s="657" t="s">
        <v>7915</v>
      </c>
      <c r="E541" s="663" t="s">
        <v>7916</v>
      </c>
      <c r="F541" s="658">
        <v>0.1</v>
      </c>
      <c r="G541" s="658">
        <v>0</v>
      </c>
      <c r="H541" s="664">
        <v>14500</v>
      </c>
      <c r="I541" s="664">
        <f t="shared" si="10"/>
        <v>13180</v>
      </c>
      <c r="J541" s="661"/>
      <c r="K541">
        <f t="shared" si="11"/>
        <v>11203</v>
      </c>
    </row>
    <row r="542" spans="1:11" ht="18.75" customHeight="1">
      <c r="A542" s="661"/>
      <c r="B542" s="663" t="s">
        <v>7910</v>
      </c>
      <c r="C542" s="657" t="s">
        <v>7141</v>
      </c>
      <c r="D542" s="657" t="s">
        <v>7917</v>
      </c>
      <c r="E542" s="663" t="s">
        <v>7918</v>
      </c>
      <c r="F542" s="658">
        <v>0.1</v>
      </c>
      <c r="G542" s="658">
        <v>0</v>
      </c>
      <c r="H542" s="664">
        <v>16100</v>
      </c>
      <c r="I542" s="664">
        <f t="shared" si="10"/>
        <v>14640</v>
      </c>
      <c r="J542" s="661"/>
      <c r="K542">
        <f t="shared" si="11"/>
        <v>12444</v>
      </c>
    </row>
    <row r="543" spans="1:11" ht="18.75" customHeight="1">
      <c r="A543" s="661"/>
      <c r="B543" s="663" t="s">
        <v>7910</v>
      </c>
      <c r="C543" s="657" t="s">
        <v>7141</v>
      </c>
      <c r="D543" s="657" t="s">
        <v>7919</v>
      </c>
      <c r="E543" s="663" t="s">
        <v>7920</v>
      </c>
      <c r="F543" s="658">
        <v>0.1</v>
      </c>
      <c r="G543" s="658">
        <v>0</v>
      </c>
      <c r="H543" s="664">
        <v>16700</v>
      </c>
      <c r="I543" s="664">
        <f t="shared" si="10"/>
        <v>15180</v>
      </c>
      <c r="J543" s="661"/>
      <c r="K543">
        <f t="shared" si="11"/>
        <v>12903</v>
      </c>
    </row>
    <row r="544" spans="1:11" ht="18.75" customHeight="1">
      <c r="A544" s="661"/>
      <c r="B544" s="663" t="s">
        <v>7910</v>
      </c>
      <c r="C544" s="657" t="s">
        <v>7141</v>
      </c>
      <c r="D544" s="657" t="s">
        <v>7921</v>
      </c>
      <c r="E544" s="663" t="s">
        <v>7922</v>
      </c>
      <c r="F544" s="658">
        <v>0.1</v>
      </c>
      <c r="G544" s="658">
        <v>0</v>
      </c>
      <c r="H544" s="664">
        <v>18200</v>
      </c>
      <c r="I544" s="664">
        <f t="shared" si="10"/>
        <v>16550</v>
      </c>
      <c r="J544" s="661"/>
      <c r="K544">
        <f t="shared" si="11"/>
        <v>14067.5</v>
      </c>
    </row>
    <row r="545" spans="1:11" ht="18.75" customHeight="1">
      <c r="A545" s="661"/>
      <c r="B545" s="663" t="s">
        <v>7910</v>
      </c>
      <c r="C545" s="657" t="s">
        <v>7141</v>
      </c>
      <c r="D545" s="657" t="s">
        <v>7923</v>
      </c>
      <c r="E545" s="663" t="s">
        <v>7924</v>
      </c>
      <c r="F545" s="658">
        <v>0.1</v>
      </c>
      <c r="G545" s="658">
        <v>0</v>
      </c>
      <c r="H545" s="664">
        <v>22300</v>
      </c>
      <c r="I545" s="664">
        <f t="shared" si="10"/>
        <v>20270</v>
      </c>
      <c r="J545" s="661"/>
      <c r="K545">
        <f t="shared" si="11"/>
        <v>17229.5</v>
      </c>
    </row>
    <row r="546" spans="1:11" ht="18.75" customHeight="1">
      <c r="A546" s="661"/>
      <c r="B546" s="663" t="s">
        <v>7910</v>
      </c>
      <c r="C546" s="657" t="s">
        <v>7141</v>
      </c>
      <c r="D546" s="657" t="s">
        <v>7925</v>
      </c>
      <c r="E546" s="663" t="s">
        <v>7926</v>
      </c>
      <c r="F546" s="658">
        <v>0.1</v>
      </c>
      <c r="G546" s="658">
        <v>0</v>
      </c>
      <c r="H546" s="664">
        <v>24200</v>
      </c>
      <c r="I546" s="664">
        <f t="shared" si="10"/>
        <v>22000</v>
      </c>
      <c r="J546" s="661"/>
      <c r="K546">
        <f t="shared" si="11"/>
        <v>18700</v>
      </c>
    </row>
    <row r="547" spans="1:11" ht="18.75" customHeight="1">
      <c r="A547" s="661"/>
      <c r="B547" s="663" t="s">
        <v>7910</v>
      </c>
      <c r="C547" s="657" t="s">
        <v>7141</v>
      </c>
      <c r="D547" s="657" t="s">
        <v>7927</v>
      </c>
      <c r="E547" s="663" t="s">
        <v>7928</v>
      </c>
      <c r="F547" s="658">
        <v>0.1</v>
      </c>
      <c r="G547" s="658">
        <v>0</v>
      </c>
      <c r="H547" s="664">
        <v>26300</v>
      </c>
      <c r="I547" s="664">
        <f t="shared" si="10"/>
        <v>23910</v>
      </c>
      <c r="J547" s="661"/>
      <c r="K547">
        <f t="shared" si="11"/>
        <v>20323.5</v>
      </c>
    </row>
    <row r="548" spans="1:11" ht="18.75" customHeight="1">
      <c r="A548" s="661"/>
      <c r="B548" s="663" t="s">
        <v>7910</v>
      </c>
      <c r="C548" s="657" t="s">
        <v>7141</v>
      </c>
      <c r="D548" s="657" t="s">
        <v>7929</v>
      </c>
      <c r="E548" s="663" t="s">
        <v>7930</v>
      </c>
      <c r="F548" s="658">
        <v>0.1</v>
      </c>
      <c r="G548" s="658">
        <v>0</v>
      </c>
      <c r="H548" s="664">
        <v>29000</v>
      </c>
      <c r="I548" s="664">
        <f t="shared" si="10"/>
        <v>26360</v>
      </c>
      <c r="J548" s="661"/>
      <c r="K548">
        <f t="shared" si="11"/>
        <v>22406</v>
      </c>
    </row>
    <row r="549" spans="1:11" ht="18.75" customHeight="1">
      <c r="A549" s="661"/>
      <c r="B549" s="663" t="s">
        <v>7910</v>
      </c>
      <c r="C549" s="657" t="s">
        <v>7141</v>
      </c>
      <c r="D549" s="657" t="s">
        <v>7931</v>
      </c>
      <c r="E549" s="663" t="s">
        <v>7932</v>
      </c>
      <c r="F549" s="658">
        <v>0.1</v>
      </c>
      <c r="G549" s="658">
        <v>0</v>
      </c>
      <c r="H549" s="664">
        <v>31900</v>
      </c>
      <c r="I549" s="664">
        <f t="shared" si="10"/>
        <v>29000</v>
      </c>
      <c r="J549" s="661"/>
      <c r="K549">
        <f t="shared" si="11"/>
        <v>24650</v>
      </c>
    </row>
    <row r="550" spans="1:11" ht="18.75" customHeight="1">
      <c r="A550" s="661"/>
      <c r="B550" s="663" t="s">
        <v>7910</v>
      </c>
      <c r="C550" s="657" t="s">
        <v>7141</v>
      </c>
      <c r="D550" s="657" t="s">
        <v>7933</v>
      </c>
      <c r="E550" s="663" t="s">
        <v>7934</v>
      </c>
      <c r="F550" s="658">
        <v>0.1</v>
      </c>
      <c r="G550" s="658">
        <v>0</v>
      </c>
      <c r="H550" s="664">
        <v>36600</v>
      </c>
      <c r="I550" s="664">
        <f t="shared" si="10"/>
        <v>33270</v>
      </c>
      <c r="J550" s="661"/>
      <c r="K550">
        <f t="shared" si="11"/>
        <v>28279.5</v>
      </c>
    </row>
    <row r="551" spans="1:11" ht="18.75" customHeight="1">
      <c r="A551" s="661"/>
      <c r="B551" s="663" t="s">
        <v>7910</v>
      </c>
      <c r="C551" s="657" t="s">
        <v>7141</v>
      </c>
      <c r="D551" s="657" t="s">
        <v>7935</v>
      </c>
      <c r="E551" s="663" t="s">
        <v>7936</v>
      </c>
      <c r="F551" s="658">
        <v>0.1</v>
      </c>
      <c r="G551" s="658">
        <v>0</v>
      </c>
      <c r="H551" s="664">
        <v>41400</v>
      </c>
      <c r="I551" s="664">
        <f t="shared" si="10"/>
        <v>37640</v>
      </c>
      <c r="J551" s="661"/>
      <c r="K551">
        <f t="shared" si="11"/>
        <v>31994</v>
      </c>
    </row>
    <row r="552" spans="1:11" ht="18.75" customHeight="1">
      <c r="A552" s="661"/>
      <c r="B552" s="663" t="s">
        <v>7910</v>
      </c>
      <c r="C552" s="657" t="s">
        <v>7141</v>
      </c>
      <c r="D552" s="657" t="s">
        <v>7937</v>
      </c>
      <c r="E552" s="663" t="s">
        <v>7938</v>
      </c>
      <c r="F552" s="658">
        <v>0.1</v>
      </c>
      <c r="G552" s="658">
        <v>0</v>
      </c>
      <c r="H552" s="664">
        <v>42400</v>
      </c>
      <c r="I552" s="664">
        <f t="shared" si="10"/>
        <v>38550</v>
      </c>
      <c r="J552" s="661"/>
      <c r="K552">
        <f t="shared" si="11"/>
        <v>32767.5</v>
      </c>
    </row>
    <row r="553" spans="1:11" ht="18.75" customHeight="1">
      <c r="A553" s="661"/>
      <c r="B553" s="663" t="s">
        <v>7910</v>
      </c>
      <c r="C553" s="657" t="s">
        <v>7141</v>
      </c>
      <c r="D553" s="657" t="s">
        <v>7939</v>
      </c>
      <c r="E553" s="663" t="s">
        <v>7940</v>
      </c>
      <c r="F553" s="658">
        <v>0.1</v>
      </c>
      <c r="G553" s="658">
        <v>0</v>
      </c>
      <c r="H553" s="664">
        <v>43500</v>
      </c>
      <c r="I553" s="664">
        <f t="shared" si="10"/>
        <v>39550</v>
      </c>
      <c r="J553" s="661"/>
      <c r="K553">
        <f t="shared" si="11"/>
        <v>33617.5</v>
      </c>
    </row>
    <row r="554" spans="1:11" ht="18.75" customHeight="1">
      <c r="A554" s="661"/>
      <c r="B554" s="663" t="s">
        <v>7910</v>
      </c>
      <c r="C554" s="657" t="s">
        <v>7141</v>
      </c>
      <c r="D554" s="657" t="s">
        <v>7941</v>
      </c>
      <c r="E554" s="663" t="s">
        <v>7942</v>
      </c>
      <c r="F554" s="658">
        <v>0.1</v>
      </c>
      <c r="G554" s="658">
        <v>0</v>
      </c>
      <c r="H554" s="664">
        <v>45800</v>
      </c>
      <c r="I554" s="664">
        <f t="shared" si="10"/>
        <v>41640</v>
      </c>
      <c r="J554" s="661"/>
      <c r="K554">
        <f t="shared" si="11"/>
        <v>35394</v>
      </c>
    </row>
    <row r="555" spans="1:11" ht="18.75" customHeight="1">
      <c r="A555" s="661"/>
      <c r="B555" s="663" t="s">
        <v>7910</v>
      </c>
      <c r="C555" s="657" t="s">
        <v>7141</v>
      </c>
      <c r="D555" s="657" t="s">
        <v>7943</v>
      </c>
      <c r="E555" s="663" t="s">
        <v>7944</v>
      </c>
      <c r="F555" s="658">
        <v>0.1</v>
      </c>
      <c r="G555" s="658">
        <v>0</v>
      </c>
      <c r="H555" s="664">
        <v>47900</v>
      </c>
      <c r="I555" s="664">
        <f t="shared" si="10"/>
        <v>43550</v>
      </c>
      <c r="J555" s="661"/>
      <c r="K555">
        <f t="shared" si="11"/>
        <v>37017.5</v>
      </c>
    </row>
    <row r="556" spans="1:11" ht="18.75" customHeight="1">
      <c r="A556" s="661"/>
      <c r="B556" s="663" t="s">
        <v>7910</v>
      </c>
      <c r="C556" s="657" t="s">
        <v>7141</v>
      </c>
      <c r="D556" s="657" t="s">
        <v>7945</v>
      </c>
      <c r="E556" s="663" t="s">
        <v>7946</v>
      </c>
      <c r="F556" s="658">
        <v>0.1</v>
      </c>
      <c r="G556" s="658">
        <v>0</v>
      </c>
      <c r="H556" s="664">
        <v>48500</v>
      </c>
      <c r="I556" s="664">
        <f t="shared" si="10"/>
        <v>44090</v>
      </c>
      <c r="J556" s="661"/>
      <c r="K556">
        <f t="shared" si="11"/>
        <v>37476.5</v>
      </c>
    </row>
    <row r="557" spans="1:11" ht="18.75" customHeight="1">
      <c r="A557" s="661"/>
      <c r="B557" s="663" t="s">
        <v>7910</v>
      </c>
      <c r="C557" s="657" t="s">
        <v>7141</v>
      </c>
      <c r="D557" s="657" t="s">
        <v>7947</v>
      </c>
      <c r="E557" s="663" t="s">
        <v>7948</v>
      </c>
      <c r="F557" s="658">
        <v>0.1</v>
      </c>
      <c r="G557" s="658">
        <v>0</v>
      </c>
      <c r="H557" s="664">
        <v>50200</v>
      </c>
      <c r="I557" s="664">
        <f t="shared" si="10"/>
        <v>45640</v>
      </c>
      <c r="J557" s="661"/>
      <c r="K557">
        <f t="shared" si="11"/>
        <v>38794</v>
      </c>
    </row>
    <row r="558" spans="1:11" ht="18.75" customHeight="1">
      <c r="A558" s="661"/>
      <c r="B558" s="663" t="s">
        <v>7910</v>
      </c>
      <c r="C558" s="657" t="s">
        <v>7141</v>
      </c>
      <c r="D558" s="657" t="s">
        <v>7949</v>
      </c>
      <c r="E558" s="663" t="s">
        <v>7950</v>
      </c>
      <c r="F558" s="658">
        <v>0.1</v>
      </c>
      <c r="G558" s="658">
        <v>0</v>
      </c>
      <c r="H558" s="664">
        <v>50700</v>
      </c>
      <c r="I558" s="664">
        <f t="shared" si="10"/>
        <v>46090</v>
      </c>
      <c r="J558" s="661"/>
      <c r="K558">
        <f t="shared" si="11"/>
        <v>39176.5</v>
      </c>
    </row>
    <row r="559" spans="1:11" ht="18.75" customHeight="1">
      <c r="A559" s="661"/>
      <c r="B559" s="663" t="s">
        <v>7910</v>
      </c>
      <c r="C559" s="657" t="s">
        <v>7141</v>
      </c>
      <c r="D559" s="657" t="s">
        <v>7951</v>
      </c>
      <c r="E559" s="663" t="s">
        <v>7952</v>
      </c>
      <c r="F559" s="658">
        <v>0.1</v>
      </c>
      <c r="G559" s="658">
        <v>0</v>
      </c>
      <c r="H559" s="664">
        <v>56100</v>
      </c>
      <c r="I559" s="664">
        <f t="shared" si="10"/>
        <v>51000</v>
      </c>
      <c r="J559" s="661"/>
      <c r="K559">
        <f t="shared" si="11"/>
        <v>43350</v>
      </c>
    </row>
    <row r="560" spans="1:11" ht="18.75" customHeight="1">
      <c r="A560" s="661"/>
      <c r="B560" s="663" t="s">
        <v>7910</v>
      </c>
      <c r="C560" s="657" t="s">
        <v>7141</v>
      </c>
      <c r="D560" s="657" t="s">
        <v>7953</v>
      </c>
      <c r="E560" s="663" t="s">
        <v>7954</v>
      </c>
      <c r="F560" s="658">
        <v>0.1</v>
      </c>
      <c r="G560" s="658">
        <v>0</v>
      </c>
      <c r="H560" s="664">
        <v>81700</v>
      </c>
      <c r="I560" s="664">
        <f t="shared" si="10"/>
        <v>74270</v>
      </c>
      <c r="J560" s="661"/>
      <c r="K560">
        <f t="shared" si="11"/>
        <v>63129.5</v>
      </c>
    </row>
    <row r="561" spans="1:11" ht="18.75" customHeight="1">
      <c r="A561" s="661"/>
      <c r="B561" s="663" t="s">
        <v>7910</v>
      </c>
      <c r="C561" s="657" t="s">
        <v>7141</v>
      </c>
      <c r="D561" s="657" t="s">
        <v>7955</v>
      </c>
      <c r="E561" s="663" t="s">
        <v>7956</v>
      </c>
      <c r="F561" s="658">
        <v>0.1</v>
      </c>
      <c r="G561" s="658">
        <v>0</v>
      </c>
      <c r="H561" s="664">
        <v>83900</v>
      </c>
      <c r="I561" s="664">
        <f t="shared" si="10"/>
        <v>76270</v>
      </c>
      <c r="J561" s="661"/>
      <c r="K561">
        <f t="shared" si="11"/>
        <v>64829.5</v>
      </c>
    </row>
    <row r="562" spans="1:11" ht="18.75" customHeight="1">
      <c r="A562" s="661"/>
      <c r="B562" s="663" t="s">
        <v>7910</v>
      </c>
      <c r="C562" s="657" t="s">
        <v>7141</v>
      </c>
      <c r="D562" s="657" t="s">
        <v>7957</v>
      </c>
      <c r="E562" s="663" t="s">
        <v>7958</v>
      </c>
      <c r="F562" s="658">
        <v>0.1</v>
      </c>
      <c r="G562" s="658">
        <v>0</v>
      </c>
      <c r="H562" s="664">
        <v>86100</v>
      </c>
      <c r="I562" s="664">
        <f t="shared" si="10"/>
        <v>78270</v>
      </c>
      <c r="J562" s="661"/>
      <c r="K562">
        <f t="shared" si="11"/>
        <v>66529.5</v>
      </c>
    </row>
    <row r="563" spans="1:11" ht="18.75" customHeight="1">
      <c r="A563" s="661"/>
      <c r="B563" s="663" t="s">
        <v>7910</v>
      </c>
      <c r="C563" s="657" t="s">
        <v>7141</v>
      </c>
      <c r="D563" s="657" t="s">
        <v>7959</v>
      </c>
      <c r="E563" s="663" t="s">
        <v>7960</v>
      </c>
      <c r="F563" s="658">
        <v>0.1</v>
      </c>
      <c r="G563" s="658">
        <v>0</v>
      </c>
      <c r="H563" s="664">
        <v>90400</v>
      </c>
      <c r="I563" s="664">
        <f t="shared" si="10"/>
        <v>82180</v>
      </c>
      <c r="J563" s="661"/>
      <c r="K563">
        <f t="shared" si="11"/>
        <v>69853</v>
      </c>
    </row>
    <row r="564" spans="1:11" ht="18.75" customHeight="1">
      <c r="A564" s="661"/>
      <c r="B564" s="663" t="s">
        <v>7910</v>
      </c>
      <c r="C564" s="657" t="s">
        <v>7141</v>
      </c>
      <c r="D564" s="657" t="s">
        <v>7961</v>
      </c>
      <c r="E564" s="663" t="s">
        <v>7962</v>
      </c>
      <c r="F564" s="658">
        <v>0.1</v>
      </c>
      <c r="G564" s="658">
        <v>0</v>
      </c>
      <c r="H564" s="664">
        <v>100100</v>
      </c>
      <c r="I564" s="664">
        <f t="shared" si="10"/>
        <v>91000</v>
      </c>
      <c r="J564" s="661"/>
      <c r="K564">
        <f t="shared" si="11"/>
        <v>77350</v>
      </c>
    </row>
    <row r="565" spans="1:11" ht="18.75" customHeight="1">
      <c r="A565" s="661"/>
      <c r="B565" s="663" t="s">
        <v>7910</v>
      </c>
      <c r="C565" s="657" t="s">
        <v>7141</v>
      </c>
      <c r="D565" s="657" t="s">
        <v>7963</v>
      </c>
      <c r="E565" s="663" t="s">
        <v>7964</v>
      </c>
      <c r="F565" s="658">
        <v>0.1</v>
      </c>
      <c r="G565" s="658">
        <v>0</v>
      </c>
      <c r="H565" s="664">
        <v>115500</v>
      </c>
      <c r="I565" s="664">
        <f t="shared" si="10"/>
        <v>105000</v>
      </c>
      <c r="J565" s="661"/>
      <c r="K565">
        <f t="shared" si="11"/>
        <v>89250</v>
      </c>
    </row>
    <row r="566" spans="1:11" ht="18.75" customHeight="1">
      <c r="A566" s="661"/>
      <c r="B566" s="663" t="s">
        <v>7910</v>
      </c>
      <c r="C566" s="657" t="s">
        <v>7141</v>
      </c>
      <c r="D566" s="657" t="s">
        <v>7965</v>
      </c>
      <c r="E566" s="663" t="s">
        <v>7966</v>
      </c>
      <c r="F566" s="658">
        <v>0.1</v>
      </c>
      <c r="G566" s="658">
        <v>0</v>
      </c>
      <c r="H566" s="664">
        <v>118000</v>
      </c>
      <c r="I566" s="664">
        <f t="shared" si="10"/>
        <v>107270</v>
      </c>
      <c r="J566" s="661"/>
      <c r="K566">
        <f t="shared" si="11"/>
        <v>91179.5</v>
      </c>
    </row>
    <row r="567" spans="1:11" ht="18.75" customHeight="1">
      <c r="A567" s="661"/>
      <c r="B567" s="663" t="s">
        <v>7910</v>
      </c>
      <c r="C567" s="657" t="s">
        <v>7141</v>
      </c>
      <c r="D567" s="657" t="s">
        <v>7967</v>
      </c>
      <c r="E567" s="663" t="s">
        <v>7968</v>
      </c>
      <c r="F567" s="658">
        <v>0.1</v>
      </c>
      <c r="G567" s="658">
        <v>0</v>
      </c>
      <c r="H567" s="664">
        <v>171900</v>
      </c>
      <c r="I567" s="664">
        <f t="shared" si="10"/>
        <v>156270</v>
      </c>
      <c r="J567" s="661"/>
      <c r="K567">
        <f t="shared" si="11"/>
        <v>132829.5</v>
      </c>
    </row>
    <row r="568" spans="1:11" ht="18.75" customHeight="1">
      <c r="A568" s="661"/>
      <c r="B568" s="663" t="s">
        <v>7910</v>
      </c>
      <c r="C568" s="657" t="s">
        <v>7141</v>
      </c>
      <c r="D568" s="657" t="s">
        <v>7969</v>
      </c>
      <c r="E568" s="663" t="s">
        <v>7970</v>
      </c>
      <c r="F568" s="658">
        <v>0.1</v>
      </c>
      <c r="G568" s="658">
        <v>0</v>
      </c>
      <c r="H568" s="664">
        <v>136000</v>
      </c>
      <c r="I568" s="664">
        <f t="shared" si="10"/>
        <v>123640</v>
      </c>
      <c r="J568" s="661"/>
      <c r="K568">
        <f t="shared" si="11"/>
        <v>105094</v>
      </c>
    </row>
    <row r="569" spans="1:11" ht="18.75" customHeight="1">
      <c r="A569" s="661"/>
      <c r="B569" s="663" t="s">
        <v>7910</v>
      </c>
      <c r="C569" s="657" t="s">
        <v>7141</v>
      </c>
      <c r="D569" s="657" t="s">
        <v>7971</v>
      </c>
      <c r="E569" s="663" t="s">
        <v>7972</v>
      </c>
      <c r="F569" s="658">
        <v>0.1</v>
      </c>
      <c r="G569" s="658">
        <v>0</v>
      </c>
      <c r="H569" s="664">
        <v>149500</v>
      </c>
      <c r="I569" s="664">
        <f t="shared" si="10"/>
        <v>135910</v>
      </c>
      <c r="J569" s="661"/>
      <c r="K569">
        <f t="shared" si="11"/>
        <v>115523.5</v>
      </c>
    </row>
    <row r="570" spans="1:11" ht="18.75" customHeight="1">
      <c r="A570" s="661"/>
      <c r="B570" s="663" t="s">
        <v>7910</v>
      </c>
      <c r="C570" s="657" t="s">
        <v>7141</v>
      </c>
      <c r="D570" s="657" t="s">
        <v>7973</v>
      </c>
      <c r="E570" s="663" t="s">
        <v>7974</v>
      </c>
      <c r="F570" s="658">
        <v>0.1</v>
      </c>
      <c r="G570" s="658">
        <v>0</v>
      </c>
      <c r="H570" s="664">
        <v>161900</v>
      </c>
      <c r="I570" s="664">
        <f t="shared" si="10"/>
        <v>147180</v>
      </c>
      <c r="J570" s="661"/>
      <c r="K570">
        <f t="shared" si="11"/>
        <v>125103</v>
      </c>
    </row>
    <row r="571" spans="1:11" ht="18.75" customHeight="1">
      <c r="A571" s="661"/>
      <c r="B571" s="663" t="s">
        <v>7910</v>
      </c>
      <c r="C571" s="657" t="s">
        <v>7141</v>
      </c>
      <c r="D571" s="657" t="s">
        <v>7975</v>
      </c>
      <c r="E571" s="663" t="s">
        <v>7976</v>
      </c>
      <c r="F571" s="658">
        <v>0.1</v>
      </c>
      <c r="G571" s="658">
        <v>0</v>
      </c>
      <c r="H571" s="664">
        <v>15000</v>
      </c>
      <c r="I571" s="664">
        <f t="shared" si="10"/>
        <v>13640</v>
      </c>
      <c r="J571" s="661"/>
      <c r="K571">
        <f t="shared" si="11"/>
        <v>11594</v>
      </c>
    </row>
    <row r="572" spans="1:11" ht="18.75" customHeight="1">
      <c r="A572" s="661"/>
      <c r="B572" s="663" t="s">
        <v>7910</v>
      </c>
      <c r="C572" s="657" t="s">
        <v>7141</v>
      </c>
      <c r="D572" s="657" t="s">
        <v>7977</v>
      </c>
      <c r="E572" s="663" t="s">
        <v>7978</v>
      </c>
      <c r="F572" s="658">
        <v>0.1</v>
      </c>
      <c r="G572" s="658">
        <v>0</v>
      </c>
      <c r="H572" s="664">
        <v>16600</v>
      </c>
      <c r="I572" s="664">
        <f t="shared" si="10"/>
        <v>15090</v>
      </c>
      <c r="J572" s="661"/>
      <c r="K572">
        <f t="shared" si="11"/>
        <v>12826.5</v>
      </c>
    </row>
    <row r="573" spans="1:11" ht="18.75" customHeight="1">
      <c r="A573" s="661"/>
      <c r="B573" s="663" t="s">
        <v>7910</v>
      </c>
      <c r="C573" s="657" t="s">
        <v>7141</v>
      </c>
      <c r="D573" s="657" t="s">
        <v>7979</v>
      </c>
      <c r="E573" s="663" t="s">
        <v>7980</v>
      </c>
      <c r="F573" s="658">
        <v>0.1</v>
      </c>
      <c r="G573" s="658">
        <v>0</v>
      </c>
      <c r="H573" s="664">
        <v>22100</v>
      </c>
      <c r="I573" s="664">
        <f t="shared" si="10"/>
        <v>20090</v>
      </c>
      <c r="J573" s="661"/>
      <c r="K573">
        <f t="shared" si="11"/>
        <v>17076.5</v>
      </c>
    </row>
    <row r="574" spans="1:11" ht="18.75" customHeight="1">
      <c r="A574" s="661"/>
      <c r="B574" s="663" t="s">
        <v>7910</v>
      </c>
      <c r="C574" s="657" t="s">
        <v>7141</v>
      </c>
      <c r="D574" s="657" t="s">
        <v>7981</v>
      </c>
      <c r="E574" s="663" t="s">
        <v>7982</v>
      </c>
      <c r="F574" s="658">
        <v>0.1</v>
      </c>
      <c r="G574" s="658">
        <v>0</v>
      </c>
      <c r="H574" s="664">
        <v>27000</v>
      </c>
      <c r="I574" s="664">
        <f t="shared" si="10"/>
        <v>24550</v>
      </c>
      <c r="J574" s="661"/>
      <c r="K574">
        <f t="shared" si="11"/>
        <v>20867.5</v>
      </c>
    </row>
    <row r="575" spans="1:11" ht="18.75" customHeight="1">
      <c r="A575" s="661"/>
      <c r="B575" s="663" t="s">
        <v>7910</v>
      </c>
      <c r="C575" s="657" t="s">
        <v>7141</v>
      </c>
      <c r="D575" s="657" t="s">
        <v>7983</v>
      </c>
      <c r="E575" s="663" t="s">
        <v>7984</v>
      </c>
      <c r="F575" s="658">
        <v>0.1</v>
      </c>
      <c r="G575" s="658">
        <v>0</v>
      </c>
      <c r="H575" s="664">
        <v>29300</v>
      </c>
      <c r="I575" s="664">
        <f t="shared" si="10"/>
        <v>26640</v>
      </c>
      <c r="J575" s="661"/>
      <c r="K575">
        <f t="shared" si="11"/>
        <v>22644</v>
      </c>
    </row>
    <row r="576" spans="1:11" ht="18.75" customHeight="1">
      <c r="A576" s="661"/>
      <c r="B576" s="663" t="s">
        <v>7910</v>
      </c>
      <c r="C576" s="657" t="s">
        <v>7141</v>
      </c>
      <c r="D576" s="657" t="s">
        <v>7985</v>
      </c>
      <c r="E576" s="663" t="s">
        <v>7986</v>
      </c>
      <c r="F576" s="658">
        <v>0.1</v>
      </c>
      <c r="G576" s="658">
        <v>0</v>
      </c>
      <c r="H576" s="664">
        <v>32700</v>
      </c>
      <c r="I576" s="664">
        <f t="shared" si="10"/>
        <v>29730</v>
      </c>
      <c r="J576" s="661"/>
      <c r="K576">
        <f t="shared" si="11"/>
        <v>25270.5</v>
      </c>
    </row>
    <row r="577" spans="1:11" ht="18.75" customHeight="1">
      <c r="A577" s="661"/>
      <c r="B577" s="663" t="s">
        <v>7910</v>
      </c>
      <c r="C577" s="657" t="s">
        <v>7141</v>
      </c>
      <c r="D577" s="657" t="s">
        <v>7987</v>
      </c>
      <c r="E577" s="663" t="s">
        <v>7988</v>
      </c>
      <c r="F577" s="658">
        <v>0.1</v>
      </c>
      <c r="G577" s="658">
        <v>0</v>
      </c>
      <c r="H577" s="664">
        <v>35600</v>
      </c>
      <c r="I577" s="664">
        <f t="shared" si="10"/>
        <v>32360</v>
      </c>
      <c r="J577" s="661"/>
      <c r="K577">
        <f t="shared" si="11"/>
        <v>27506</v>
      </c>
    </row>
    <row r="578" spans="1:11" ht="18.75" customHeight="1">
      <c r="A578" s="661"/>
      <c r="B578" s="663" t="s">
        <v>7910</v>
      </c>
      <c r="C578" s="657" t="s">
        <v>7141</v>
      </c>
      <c r="D578" s="657" t="s">
        <v>7989</v>
      </c>
      <c r="E578" s="663" t="s">
        <v>7990</v>
      </c>
      <c r="F578" s="658">
        <v>0.1</v>
      </c>
      <c r="G578" s="658">
        <v>0</v>
      </c>
      <c r="H578" s="664">
        <v>38700</v>
      </c>
      <c r="I578" s="664">
        <f t="shared" si="10"/>
        <v>35180</v>
      </c>
      <c r="J578" s="661"/>
      <c r="K578">
        <f t="shared" si="11"/>
        <v>29903</v>
      </c>
    </row>
    <row r="579" spans="1:11" ht="18.75" customHeight="1">
      <c r="A579" s="661"/>
      <c r="B579" s="663" t="s">
        <v>7910</v>
      </c>
      <c r="C579" s="657" t="s">
        <v>7141</v>
      </c>
      <c r="D579" s="657" t="s">
        <v>7991</v>
      </c>
      <c r="E579" s="663" t="s">
        <v>7992</v>
      </c>
      <c r="F579" s="658">
        <v>0.1</v>
      </c>
      <c r="G579" s="658">
        <v>0</v>
      </c>
      <c r="H579" s="664">
        <v>43600</v>
      </c>
      <c r="I579" s="664">
        <f t="shared" si="10"/>
        <v>39640</v>
      </c>
      <c r="J579" s="661"/>
      <c r="K579">
        <f t="shared" si="11"/>
        <v>33694</v>
      </c>
    </row>
    <row r="580" spans="1:11" ht="18.75" customHeight="1">
      <c r="A580" s="661"/>
      <c r="B580" s="663" t="s">
        <v>7910</v>
      </c>
      <c r="C580" s="657" t="s">
        <v>7141</v>
      </c>
      <c r="D580" s="657" t="s">
        <v>7993</v>
      </c>
      <c r="E580" s="663" t="s">
        <v>7994</v>
      </c>
      <c r="F580" s="658">
        <v>0.1</v>
      </c>
      <c r="G580" s="658">
        <v>0</v>
      </c>
      <c r="H580" s="664">
        <v>44700</v>
      </c>
      <c r="I580" s="664">
        <f t="shared" si="10"/>
        <v>40640</v>
      </c>
      <c r="J580" s="661"/>
      <c r="K580">
        <f t="shared" si="11"/>
        <v>34544</v>
      </c>
    </row>
    <row r="581" spans="1:11" ht="18.75" customHeight="1">
      <c r="A581" s="661"/>
      <c r="B581" s="663" t="s">
        <v>7910</v>
      </c>
      <c r="C581" s="657" t="s">
        <v>7141</v>
      </c>
      <c r="D581" s="657" t="s">
        <v>7995</v>
      </c>
      <c r="E581" s="663" t="s">
        <v>7996</v>
      </c>
      <c r="F581" s="658">
        <v>0.1</v>
      </c>
      <c r="G581" s="658">
        <v>0</v>
      </c>
      <c r="H581" s="664">
        <v>49100</v>
      </c>
      <c r="I581" s="664">
        <f t="shared" si="10"/>
        <v>44640</v>
      </c>
      <c r="J581" s="661"/>
      <c r="K581">
        <f t="shared" si="11"/>
        <v>37944</v>
      </c>
    </row>
    <row r="582" spans="1:11" ht="18.75" customHeight="1">
      <c r="A582" s="661"/>
      <c r="B582" s="663" t="s">
        <v>7910</v>
      </c>
      <c r="C582" s="657" t="s">
        <v>7141</v>
      </c>
      <c r="D582" s="657" t="s">
        <v>7997</v>
      </c>
      <c r="E582" s="663" t="s">
        <v>7998</v>
      </c>
      <c r="F582" s="658">
        <v>0.1</v>
      </c>
      <c r="G582" s="658">
        <v>0</v>
      </c>
      <c r="H582" s="664">
        <v>53400</v>
      </c>
      <c r="I582" s="664">
        <f t="shared" si="10"/>
        <v>48550</v>
      </c>
      <c r="J582" s="661"/>
      <c r="K582">
        <f t="shared" ref="K582:K645" si="12">+I582*(1+$K$4)</f>
        <v>41267.5</v>
      </c>
    </row>
    <row r="583" spans="1:11" ht="18.75" customHeight="1">
      <c r="A583" s="661"/>
      <c r="B583" s="663" t="s">
        <v>7910</v>
      </c>
      <c r="C583" s="657" t="s">
        <v>7141</v>
      </c>
      <c r="D583" s="657" t="s">
        <v>7999</v>
      </c>
      <c r="E583" s="663" t="s">
        <v>8000</v>
      </c>
      <c r="F583" s="658">
        <v>0.1</v>
      </c>
      <c r="G583" s="658">
        <v>0</v>
      </c>
      <c r="H583" s="664">
        <v>61800</v>
      </c>
      <c r="I583" s="664">
        <f t="shared" si="10"/>
        <v>56180</v>
      </c>
      <c r="J583" s="661"/>
      <c r="K583">
        <f t="shared" si="12"/>
        <v>47753</v>
      </c>
    </row>
    <row r="584" spans="1:11" ht="18.75" customHeight="1">
      <c r="A584" s="661"/>
      <c r="B584" s="663" t="s">
        <v>7910</v>
      </c>
      <c r="C584" s="657" t="s">
        <v>7141</v>
      </c>
      <c r="D584" s="657" t="s">
        <v>8001</v>
      </c>
      <c r="E584" s="663" t="s">
        <v>8002</v>
      </c>
      <c r="F584" s="658">
        <v>0.1</v>
      </c>
      <c r="G584" s="658">
        <v>0</v>
      </c>
      <c r="H584" s="664">
        <v>65700</v>
      </c>
      <c r="I584" s="664">
        <f t="shared" si="10"/>
        <v>59730</v>
      </c>
      <c r="J584" s="661"/>
      <c r="K584">
        <f t="shared" si="12"/>
        <v>50770.5</v>
      </c>
    </row>
    <row r="585" spans="1:11" ht="18.75" customHeight="1">
      <c r="A585" s="661"/>
      <c r="B585" s="663" t="s">
        <v>7910</v>
      </c>
      <c r="C585" s="657" t="s">
        <v>7141</v>
      </c>
      <c r="D585" s="657" t="s">
        <v>8003</v>
      </c>
      <c r="E585" s="663" t="s">
        <v>8004</v>
      </c>
      <c r="F585" s="658">
        <v>0.1</v>
      </c>
      <c r="G585" s="658">
        <v>0</v>
      </c>
      <c r="H585" s="664">
        <v>67800</v>
      </c>
      <c r="I585" s="664">
        <f t="shared" si="10"/>
        <v>61640</v>
      </c>
      <c r="J585" s="661"/>
      <c r="K585">
        <f t="shared" si="12"/>
        <v>52394</v>
      </c>
    </row>
    <row r="586" spans="1:11" ht="18.75" customHeight="1">
      <c r="A586" s="661"/>
      <c r="B586" s="663" t="s">
        <v>7910</v>
      </c>
      <c r="C586" s="657" t="s">
        <v>7141</v>
      </c>
      <c r="D586" s="657" t="s">
        <v>8005</v>
      </c>
      <c r="E586" s="663" t="s">
        <v>8006</v>
      </c>
      <c r="F586" s="658">
        <v>0.1</v>
      </c>
      <c r="G586" s="658">
        <v>0</v>
      </c>
      <c r="H586" s="664">
        <v>71400</v>
      </c>
      <c r="I586" s="664">
        <f t="shared" si="10"/>
        <v>64910</v>
      </c>
      <c r="J586" s="661"/>
      <c r="K586">
        <f t="shared" si="12"/>
        <v>55173.5</v>
      </c>
    </row>
    <row r="587" spans="1:11" ht="18.75" customHeight="1">
      <c r="A587" s="661"/>
      <c r="B587" s="663" t="s">
        <v>7910</v>
      </c>
      <c r="C587" s="657" t="s">
        <v>7141</v>
      </c>
      <c r="D587" s="657" t="s">
        <v>8007</v>
      </c>
      <c r="E587" s="663" t="s">
        <v>8008</v>
      </c>
      <c r="F587" s="658">
        <v>0.1</v>
      </c>
      <c r="G587" s="658">
        <v>0</v>
      </c>
      <c r="H587" s="664">
        <v>73300</v>
      </c>
      <c r="I587" s="664">
        <f t="shared" si="10"/>
        <v>66640</v>
      </c>
      <c r="J587" s="661"/>
      <c r="K587">
        <f t="shared" si="12"/>
        <v>56644</v>
      </c>
    </row>
    <row r="588" spans="1:11" ht="18.75" customHeight="1">
      <c r="A588" s="661"/>
      <c r="B588" s="663" t="s">
        <v>7910</v>
      </c>
      <c r="C588" s="657" t="s">
        <v>7141</v>
      </c>
      <c r="D588" s="657" t="s">
        <v>8009</v>
      </c>
      <c r="E588" s="663" t="s">
        <v>8010</v>
      </c>
      <c r="F588" s="658">
        <v>0.1</v>
      </c>
      <c r="G588" s="658">
        <v>0</v>
      </c>
      <c r="H588" s="664">
        <v>74700</v>
      </c>
      <c r="I588" s="664">
        <f t="shared" si="10"/>
        <v>67910</v>
      </c>
      <c r="J588" s="661"/>
      <c r="K588">
        <f t="shared" si="12"/>
        <v>57723.5</v>
      </c>
    </row>
    <row r="589" spans="1:11" ht="18.75" customHeight="1">
      <c r="A589" s="661"/>
      <c r="B589" s="663" t="s">
        <v>7910</v>
      </c>
      <c r="C589" s="657" t="s">
        <v>7141</v>
      </c>
      <c r="D589" s="657" t="s">
        <v>8011</v>
      </c>
      <c r="E589" s="663" t="s">
        <v>8012</v>
      </c>
      <c r="F589" s="658">
        <v>0.1</v>
      </c>
      <c r="G589" s="658">
        <v>0</v>
      </c>
      <c r="H589" s="664">
        <v>75700</v>
      </c>
      <c r="I589" s="664">
        <f t="shared" si="10"/>
        <v>68820</v>
      </c>
      <c r="J589" s="661"/>
      <c r="K589">
        <f t="shared" si="12"/>
        <v>58497</v>
      </c>
    </row>
    <row r="590" spans="1:11" ht="18.75" customHeight="1">
      <c r="A590" s="661"/>
      <c r="B590" s="663" t="s">
        <v>7910</v>
      </c>
      <c r="C590" s="657" t="s">
        <v>7141</v>
      </c>
      <c r="D590" s="657" t="s">
        <v>8013</v>
      </c>
      <c r="E590" s="663" t="s">
        <v>8014</v>
      </c>
      <c r="F590" s="658">
        <v>0.1</v>
      </c>
      <c r="G590" s="658">
        <v>0</v>
      </c>
      <c r="H590" s="664">
        <v>79000</v>
      </c>
      <c r="I590" s="664">
        <f t="shared" si="10"/>
        <v>71820</v>
      </c>
      <c r="J590" s="661"/>
      <c r="K590">
        <f t="shared" si="12"/>
        <v>61047</v>
      </c>
    </row>
    <row r="591" spans="1:11" ht="18.75" customHeight="1">
      <c r="A591" s="661"/>
      <c r="B591" s="663" t="s">
        <v>7910</v>
      </c>
      <c r="C591" s="657" t="s">
        <v>7141</v>
      </c>
      <c r="D591" s="657" t="s">
        <v>8015</v>
      </c>
      <c r="E591" s="663" t="s">
        <v>8016</v>
      </c>
      <c r="F591" s="658">
        <v>0.1</v>
      </c>
      <c r="G591" s="658">
        <v>0</v>
      </c>
      <c r="H591" s="664">
        <v>88600</v>
      </c>
      <c r="I591" s="664">
        <f t="shared" si="10"/>
        <v>80550</v>
      </c>
      <c r="J591" s="661"/>
      <c r="K591">
        <f t="shared" si="12"/>
        <v>68467.5</v>
      </c>
    </row>
    <row r="592" spans="1:11" ht="18.75" customHeight="1">
      <c r="A592" s="661"/>
      <c r="B592" s="663" t="s">
        <v>7910</v>
      </c>
      <c r="C592" s="657" t="s">
        <v>7141</v>
      </c>
      <c r="D592" s="657" t="s">
        <v>8017</v>
      </c>
      <c r="E592" s="663" t="s">
        <v>8018</v>
      </c>
      <c r="F592" s="658">
        <v>0.1</v>
      </c>
      <c r="G592" s="658">
        <v>0</v>
      </c>
      <c r="H592" s="664">
        <v>100300</v>
      </c>
      <c r="I592" s="664">
        <f t="shared" si="10"/>
        <v>91180</v>
      </c>
      <c r="J592" s="661"/>
      <c r="K592">
        <f t="shared" si="12"/>
        <v>77503</v>
      </c>
    </row>
    <row r="593" spans="1:11" ht="18.75" customHeight="1">
      <c r="A593" s="661"/>
      <c r="B593" s="663" t="s">
        <v>7910</v>
      </c>
      <c r="C593" s="657" t="s">
        <v>7141</v>
      </c>
      <c r="D593" s="657" t="s">
        <v>8019</v>
      </c>
      <c r="E593" s="663" t="s">
        <v>8020</v>
      </c>
      <c r="F593" s="658">
        <v>0.1</v>
      </c>
      <c r="G593" s="658">
        <v>0</v>
      </c>
      <c r="H593" s="664">
        <v>109700</v>
      </c>
      <c r="I593" s="664">
        <f t="shared" si="10"/>
        <v>99730</v>
      </c>
      <c r="J593" s="661"/>
      <c r="K593">
        <f t="shared" si="12"/>
        <v>84770.5</v>
      </c>
    </row>
    <row r="594" spans="1:11" ht="18.75" customHeight="1">
      <c r="A594" s="661"/>
      <c r="B594" s="663" t="s">
        <v>7910</v>
      </c>
      <c r="C594" s="657" t="s">
        <v>7141</v>
      </c>
      <c r="D594" s="657" t="s">
        <v>8021</v>
      </c>
      <c r="E594" s="663" t="s">
        <v>8022</v>
      </c>
      <c r="F594" s="658">
        <v>0.1</v>
      </c>
      <c r="G594" s="658">
        <v>0</v>
      </c>
      <c r="H594" s="664">
        <v>112500</v>
      </c>
      <c r="I594" s="664">
        <f t="shared" si="10"/>
        <v>102270</v>
      </c>
      <c r="J594" s="661"/>
      <c r="K594">
        <f t="shared" si="12"/>
        <v>86929.5</v>
      </c>
    </row>
    <row r="595" spans="1:11" ht="18.75" customHeight="1">
      <c r="A595" s="661"/>
      <c r="B595" s="663" t="s">
        <v>7910</v>
      </c>
      <c r="C595" s="657" t="s">
        <v>7141</v>
      </c>
      <c r="D595" s="657" t="s">
        <v>8023</v>
      </c>
      <c r="E595" s="663" t="s">
        <v>8024</v>
      </c>
      <c r="F595" s="658">
        <v>0.1</v>
      </c>
      <c r="G595" s="658">
        <v>0</v>
      </c>
      <c r="H595" s="664">
        <v>117900</v>
      </c>
      <c r="I595" s="664">
        <f t="shared" si="10"/>
        <v>107180</v>
      </c>
      <c r="J595" s="661"/>
      <c r="K595">
        <f t="shared" si="12"/>
        <v>91103</v>
      </c>
    </row>
    <row r="596" spans="1:11" ht="18.75" customHeight="1">
      <c r="A596" s="661"/>
      <c r="B596" s="663" t="s">
        <v>7910</v>
      </c>
      <c r="C596" s="657" t="s">
        <v>7141</v>
      </c>
      <c r="D596" s="657" t="s">
        <v>8025</v>
      </c>
      <c r="E596" s="663" t="s">
        <v>8026</v>
      </c>
      <c r="F596" s="658">
        <v>0.1</v>
      </c>
      <c r="G596" s="658">
        <v>0</v>
      </c>
      <c r="H596" s="664">
        <v>160100</v>
      </c>
      <c r="I596" s="664">
        <f t="shared" si="10"/>
        <v>145550</v>
      </c>
      <c r="J596" s="661"/>
      <c r="K596">
        <f t="shared" si="12"/>
        <v>123717.5</v>
      </c>
    </row>
    <row r="597" spans="1:11" ht="18.75" customHeight="1">
      <c r="A597" s="661"/>
      <c r="B597" s="663" t="s">
        <v>7910</v>
      </c>
      <c r="C597" s="657" t="s">
        <v>7141</v>
      </c>
      <c r="D597" s="657" t="s">
        <v>8027</v>
      </c>
      <c r="E597" s="663" t="s">
        <v>8028</v>
      </c>
      <c r="F597" s="658">
        <v>0.1</v>
      </c>
      <c r="G597" s="658">
        <v>0</v>
      </c>
      <c r="H597" s="664">
        <v>163500</v>
      </c>
      <c r="I597" s="664">
        <f t="shared" si="10"/>
        <v>148640</v>
      </c>
      <c r="J597" s="661"/>
      <c r="K597">
        <f t="shared" si="12"/>
        <v>126344</v>
      </c>
    </row>
    <row r="598" spans="1:11" ht="18.75" customHeight="1">
      <c r="A598" s="661"/>
      <c r="B598" s="663" t="s">
        <v>7910</v>
      </c>
      <c r="C598" s="657" t="s">
        <v>7141</v>
      </c>
      <c r="D598" s="657" t="s">
        <v>8029</v>
      </c>
      <c r="E598" s="663" t="s">
        <v>8030</v>
      </c>
      <c r="F598" s="658">
        <v>0.1</v>
      </c>
      <c r="G598" s="658">
        <v>0</v>
      </c>
      <c r="H598" s="664">
        <v>166900</v>
      </c>
      <c r="I598" s="664">
        <f t="shared" si="10"/>
        <v>151730</v>
      </c>
      <c r="J598" s="661"/>
      <c r="K598">
        <f t="shared" si="12"/>
        <v>128970.5</v>
      </c>
    </row>
    <row r="599" spans="1:11" ht="18.75" customHeight="1">
      <c r="A599" s="661"/>
      <c r="B599" s="663" t="s">
        <v>7910</v>
      </c>
      <c r="C599" s="657" t="s">
        <v>7141</v>
      </c>
      <c r="D599" s="657" t="s">
        <v>8031</v>
      </c>
      <c r="E599" s="663" t="s">
        <v>8032</v>
      </c>
      <c r="F599" s="658">
        <v>0.1</v>
      </c>
      <c r="G599" s="658">
        <v>0</v>
      </c>
      <c r="H599" s="664">
        <v>174900</v>
      </c>
      <c r="I599" s="664">
        <f t="shared" si="10"/>
        <v>159000</v>
      </c>
      <c r="J599" s="661"/>
      <c r="K599">
        <f t="shared" si="12"/>
        <v>135150</v>
      </c>
    </row>
    <row r="600" spans="1:11" ht="18.75" customHeight="1">
      <c r="A600" s="661"/>
      <c r="B600" s="663" t="s">
        <v>7910</v>
      </c>
      <c r="C600" s="657" t="s">
        <v>7141</v>
      </c>
      <c r="D600" s="657" t="s">
        <v>8033</v>
      </c>
      <c r="E600" s="663" t="s">
        <v>8034</v>
      </c>
      <c r="F600" s="658">
        <v>0.1</v>
      </c>
      <c r="G600" s="658">
        <v>0</v>
      </c>
      <c r="H600" s="664">
        <v>202400</v>
      </c>
      <c r="I600" s="664">
        <f t="shared" si="10"/>
        <v>184000</v>
      </c>
      <c r="J600" s="661"/>
      <c r="K600">
        <f t="shared" si="12"/>
        <v>156400</v>
      </c>
    </row>
    <row r="601" spans="1:11" ht="18.75" customHeight="1">
      <c r="A601" s="661"/>
      <c r="B601" s="663" t="s">
        <v>7910</v>
      </c>
      <c r="C601" s="657" t="s">
        <v>7141</v>
      </c>
      <c r="D601" s="657" t="s">
        <v>8035</v>
      </c>
      <c r="E601" s="663" t="s">
        <v>8036</v>
      </c>
      <c r="F601" s="658">
        <v>0.1</v>
      </c>
      <c r="G601" s="658">
        <v>0</v>
      </c>
      <c r="H601" s="664">
        <v>212300</v>
      </c>
      <c r="I601" s="664">
        <f t="shared" si="10"/>
        <v>193000</v>
      </c>
      <c r="J601" s="661"/>
      <c r="K601">
        <f t="shared" si="12"/>
        <v>164050</v>
      </c>
    </row>
    <row r="602" spans="1:11" ht="18.75" customHeight="1">
      <c r="A602" s="661"/>
      <c r="B602" s="663" t="s">
        <v>7910</v>
      </c>
      <c r="C602" s="657" t="s">
        <v>7141</v>
      </c>
      <c r="D602" s="657" t="s">
        <v>8037</v>
      </c>
      <c r="E602" s="663" t="s">
        <v>8038</v>
      </c>
      <c r="F602" s="658">
        <v>0.1</v>
      </c>
      <c r="G602" s="658">
        <v>0</v>
      </c>
      <c r="H602" s="664">
        <v>223400</v>
      </c>
      <c r="I602" s="664">
        <f t="shared" si="10"/>
        <v>203090</v>
      </c>
      <c r="J602" s="661"/>
      <c r="K602">
        <f t="shared" si="12"/>
        <v>172626.5</v>
      </c>
    </row>
    <row r="603" spans="1:11" ht="18.75" customHeight="1">
      <c r="A603" s="661"/>
      <c r="B603" s="663" t="s">
        <v>7910</v>
      </c>
      <c r="C603" s="657" t="s">
        <v>7141</v>
      </c>
      <c r="D603" s="657" t="s">
        <v>8039</v>
      </c>
      <c r="E603" s="663" t="s">
        <v>8040</v>
      </c>
      <c r="F603" s="658">
        <v>0.1</v>
      </c>
      <c r="G603" s="658">
        <v>0</v>
      </c>
      <c r="H603" s="664">
        <v>29300</v>
      </c>
      <c r="I603" s="664">
        <f t="shared" si="10"/>
        <v>26640</v>
      </c>
      <c r="J603" s="661"/>
      <c r="K603">
        <f t="shared" si="12"/>
        <v>22644</v>
      </c>
    </row>
    <row r="604" spans="1:11" ht="18.75" customHeight="1">
      <c r="A604" s="661"/>
      <c r="B604" s="663" t="s">
        <v>7910</v>
      </c>
      <c r="C604" s="657" t="s">
        <v>7141</v>
      </c>
      <c r="D604" s="657" t="s">
        <v>8041</v>
      </c>
      <c r="E604" s="663" t="s">
        <v>8042</v>
      </c>
      <c r="F604" s="658">
        <v>0.1</v>
      </c>
      <c r="G604" s="658">
        <v>0</v>
      </c>
      <c r="H604" s="664">
        <v>33800</v>
      </c>
      <c r="I604" s="664">
        <f t="shared" si="10"/>
        <v>30730</v>
      </c>
      <c r="J604" s="661"/>
      <c r="K604">
        <f t="shared" si="12"/>
        <v>26120.5</v>
      </c>
    </row>
    <row r="605" spans="1:11" ht="18.75" customHeight="1">
      <c r="A605" s="661"/>
      <c r="B605" s="663" t="s">
        <v>7910</v>
      </c>
      <c r="C605" s="657" t="s">
        <v>7141</v>
      </c>
      <c r="D605" s="657" t="s">
        <v>8043</v>
      </c>
      <c r="E605" s="663" t="s">
        <v>8044</v>
      </c>
      <c r="F605" s="658">
        <v>0.1</v>
      </c>
      <c r="G605" s="658">
        <v>0</v>
      </c>
      <c r="H605" s="664">
        <v>38700</v>
      </c>
      <c r="I605" s="664">
        <f t="shared" si="10"/>
        <v>35180</v>
      </c>
      <c r="J605" s="661"/>
      <c r="K605">
        <f t="shared" si="12"/>
        <v>29903</v>
      </c>
    </row>
    <row r="606" spans="1:11" ht="18.75" customHeight="1">
      <c r="A606" s="661"/>
      <c r="B606" s="663" t="s">
        <v>7910</v>
      </c>
      <c r="C606" s="657" t="s">
        <v>7141</v>
      </c>
      <c r="D606" s="657" t="s">
        <v>8045</v>
      </c>
      <c r="E606" s="663" t="s">
        <v>8046</v>
      </c>
      <c r="F606" s="658">
        <v>0.1</v>
      </c>
      <c r="G606" s="658">
        <v>0</v>
      </c>
      <c r="H606" s="664">
        <v>43200</v>
      </c>
      <c r="I606" s="664">
        <f t="shared" si="10"/>
        <v>39270</v>
      </c>
      <c r="J606" s="661"/>
      <c r="K606">
        <f t="shared" si="12"/>
        <v>33379.5</v>
      </c>
    </row>
    <row r="607" spans="1:11" ht="18.75" customHeight="1">
      <c r="A607" s="661"/>
      <c r="B607" s="663" t="s">
        <v>7910</v>
      </c>
      <c r="C607" s="657" t="s">
        <v>7141</v>
      </c>
      <c r="D607" s="657" t="s">
        <v>8047</v>
      </c>
      <c r="E607" s="663" t="s">
        <v>8048</v>
      </c>
      <c r="F607" s="658">
        <v>0.1</v>
      </c>
      <c r="G607" s="658">
        <v>0</v>
      </c>
      <c r="H607" s="664">
        <v>45900</v>
      </c>
      <c r="I607" s="664">
        <f t="shared" si="10"/>
        <v>41730</v>
      </c>
      <c r="J607" s="661"/>
      <c r="K607">
        <f t="shared" si="12"/>
        <v>35470.5</v>
      </c>
    </row>
    <row r="608" spans="1:11" ht="18.75" customHeight="1">
      <c r="A608" s="661"/>
      <c r="B608" s="663" t="s">
        <v>7910</v>
      </c>
      <c r="C608" s="657" t="s">
        <v>7141</v>
      </c>
      <c r="D608" s="657" t="s">
        <v>8049</v>
      </c>
      <c r="E608" s="663" t="s">
        <v>8050</v>
      </c>
      <c r="F608" s="658">
        <v>0.1</v>
      </c>
      <c r="G608" s="658">
        <v>0</v>
      </c>
      <c r="H608" s="664">
        <v>51600</v>
      </c>
      <c r="I608" s="664">
        <f t="shared" si="10"/>
        <v>46910</v>
      </c>
      <c r="J608" s="661"/>
      <c r="K608">
        <f t="shared" si="12"/>
        <v>39873.5</v>
      </c>
    </row>
    <row r="609" spans="1:11" ht="18.75" customHeight="1">
      <c r="A609" s="661"/>
      <c r="B609" s="663" t="s">
        <v>7910</v>
      </c>
      <c r="C609" s="657" t="s">
        <v>7141</v>
      </c>
      <c r="D609" s="657" t="s">
        <v>8051</v>
      </c>
      <c r="E609" s="663" t="s">
        <v>8052</v>
      </c>
      <c r="F609" s="658">
        <v>0.1</v>
      </c>
      <c r="G609" s="658">
        <v>0</v>
      </c>
      <c r="H609" s="664">
        <v>56900</v>
      </c>
      <c r="I609" s="664">
        <f t="shared" si="10"/>
        <v>51730</v>
      </c>
      <c r="J609" s="661"/>
      <c r="K609">
        <f t="shared" si="12"/>
        <v>43970.5</v>
      </c>
    </row>
    <row r="610" spans="1:11" ht="18.75" customHeight="1">
      <c r="A610" s="661"/>
      <c r="B610" s="663" t="s">
        <v>7910</v>
      </c>
      <c r="C610" s="657" t="s">
        <v>7141</v>
      </c>
      <c r="D610" s="657" t="s">
        <v>8053</v>
      </c>
      <c r="E610" s="663" t="s">
        <v>8054</v>
      </c>
      <c r="F610" s="658">
        <v>0.1</v>
      </c>
      <c r="G610" s="658">
        <v>0</v>
      </c>
      <c r="H610" s="664">
        <v>62200</v>
      </c>
      <c r="I610" s="664">
        <f t="shared" si="10"/>
        <v>56550</v>
      </c>
      <c r="J610" s="661"/>
      <c r="K610">
        <f t="shared" si="12"/>
        <v>48067.5</v>
      </c>
    </row>
    <row r="611" spans="1:11" ht="18.75" customHeight="1">
      <c r="A611" s="661"/>
      <c r="B611" s="663" t="s">
        <v>7910</v>
      </c>
      <c r="C611" s="657" t="s">
        <v>7141</v>
      </c>
      <c r="D611" s="657" t="s">
        <v>8055</v>
      </c>
      <c r="E611" s="663" t="s">
        <v>8056</v>
      </c>
      <c r="F611" s="658">
        <v>0.1</v>
      </c>
      <c r="G611" s="658">
        <v>0</v>
      </c>
      <c r="H611" s="664">
        <v>69400</v>
      </c>
      <c r="I611" s="664">
        <f t="shared" si="10"/>
        <v>63090</v>
      </c>
      <c r="J611" s="661"/>
      <c r="K611">
        <f t="shared" si="12"/>
        <v>53626.5</v>
      </c>
    </row>
    <row r="612" spans="1:11" ht="18.75" customHeight="1">
      <c r="A612" s="661"/>
      <c r="B612" s="663" t="s">
        <v>7910</v>
      </c>
      <c r="C612" s="657" t="s">
        <v>7141</v>
      </c>
      <c r="D612" s="657" t="s">
        <v>8057</v>
      </c>
      <c r="E612" s="663" t="s">
        <v>8058</v>
      </c>
      <c r="F612" s="658">
        <v>0.1</v>
      </c>
      <c r="G612" s="658">
        <v>0</v>
      </c>
      <c r="H612" s="664">
        <v>72700</v>
      </c>
      <c r="I612" s="664">
        <f t="shared" si="10"/>
        <v>66090</v>
      </c>
      <c r="J612" s="661"/>
      <c r="K612">
        <f t="shared" si="12"/>
        <v>56176.5</v>
      </c>
    </row>
    <row r="613" spans="1:11" ht="18.75" customHeight="1">
      <c r="A613" s="661"/>
      <c r="B613" s="663" t="s">
        <v>7910</v>
      </c>
      <c r="C613" s="657" t="s">
        <v>7141</v>
      </c>
      <c r="D613" s="657" t="s">
        <v>8059</v>
      </c>
      <c r="E613" s="663" t="s">
        <v>8060</v>
      </c>
      <c r="F613" s="658">
        <v>0.1</v>
      </c>
      <c r="G613" s="658">
        <v>0</v>
      </c>
      <c r="H613" s="664">
        <v>80100</v>
      </c>
      <c r="I613" s="664">
        <f t="shared" si="10"/>
        <v>72820</v>
      </c>
      <c r="J613" s="661"/>
      <c r="K613">
        <f t="shared" si="12"/>
        <v>61897</v>
      </c>
    </row>
    <row r="614" spans="1:11" ht="18.75" customHeight="1">
      <c r="A614" s="661"/>
      <c r="B614" s="663" t="s">
        <v>7910</v>
      </c>
      <c r="C614" s="657" t="s">
        <v>7141</v>
      </c>
      <c r="D614" s="657" t="s">
        <v>8061</v>
      </c>
      <c r="E614" s="663" t="s">
        <v>8062</v>
      </c>
      <c r="F614" s="658">
        <v>0.1</v>
      </c>
      <c r="G614" s="658">
        <v>0</v>
      </c>
      <c r="H614" s="664">
        <v>87200</v>
      </c>
      <c r="I614" s="664">
        <f t="shared" si="10"/>
        <v>79270</v>
      </c>
      <c r="J614" s="661"/>
      <c r="K614">
        <f t="shared" si="12"/>
        <v>67379.5</v>
      </c>
    </row>
    <row r="615" spans="1:11" ht="18.75" customHeight="1">
      <c r="A615" s="661"/>
      <c r="B615" s="663" t="s">
        <v>7910</v>
      </c>
      <c r="C615" s="657" t="s">
        <v>7141</v>
      </c>
      <c r="D615" s="657" t="s">
        <v>8063</v>
      </c>
      <c r="E615" s="663" t="s">
        <v>8064</v>
      </c>
      <c r="F615" s="658">
        <v>0.1</v>
      </c>
      <c r="G615" s="658">
        <v>0</v>
      </c>
      <c r="H615" s="664">
        <v>100300</v>
      </c>
      <c r="I615" s="664">
        <f t="shared" si="10"/>
        <v>91180</v>
      </c>
      <c r="J615" s="661"/>
      <c r="K615">
        <f t="shared" si="12"/>
        <v>77503</v>
      </c>
    </row>
    <row r="616" spans="1:11" ht="18.75" customHeight="1">
      <c r="A616" s="661"/>
      <c r="B616" s="663" t="s">
        <v>7910</v>
      </c>
      <c r="C616" s="657" t="s">
        <v>7141</v>
      </c>
      <c r="D616" s="657" t="s">
        <v>8065</v>
      </c>
      <c r="E616" s="663" t="s">
        <v>8066</v>
      </c>
      <c r="F616" s="658">
        <v>0.1</v>
      </c>
      <c r="G616" s="658">
        <v>0</v>
      </c>
      <c r="H616" s="664">
        <v>107800</v>
      </c>
      <c r="I616" s="664">
        <f t="shared" si="10"/>
        <v>98000</v>
      </c>
      <c r="J616" s="661"/>
      <c r="K616">
        <f t="shared" si="12"/>
        <v>83300</v>
      </c>
    </row>
    <row r="617" spans="1:11" ht="18.75" customHeight="1">
      <c r="A617" s="661"/>
      <c r="B617" s="663" t="s">
        <v>7910</v>
      </c>
      <c r="C617" s="657" t="s">
        <v>7141</v>
      </c>
      <c r="D617" s="657" t="s">
        <v>8067</v>
      </c>
      <c r="E617" s="663" t="s">
        <v>8068</v>
      </c>
      <c r="F617" s="658">
        <v>0.1</v>
      </c>
      <c r="G617" s="658">
        <v>0</v>
      </c>
      <c r="H617" s="664">
        <v>110400</v>
      </c>
      <c r="I617" s="664">
        <f t="shared" si="10"/>
        <v>100360</v>
      </c>
      <c r="J617" s="661"/>
      <c r="K617">
        <f t="shared" si="12"/>
        <v>85306</v>
      </c>
    </row>
    <row r="618" spans="1:11" ht="18.75" customHeight="1">
      <c r="A618" s="661"/>
      <c r="B618" s="663" t="s">
        <v>7910</v>
      </c>
      <c r="C618" s="657" t="s">
        <v>7141</v>
      </c>
      <c r="D618" s="657" t="s">
        <v>8069</v>
      </c>
      <c r="E618" s="663" t="s">
        <v>8070</v>
      </c>
      <c r="F618" s="658">
        <v>0.1</v>
      </c>
      <c r="G618" s="658">
        <v>0</v>
      </c>
      <c r="H618" s="664">
        <v>123300</v>
      </c>
      <c r="I618" s="664">
        <f t="shared" si="10"/>
        <v>112090</v>
      </c>
      <c r="J618" s="661"/>
      <c r="K618">
        <f t="shared" si="12"/>
        <v>95276.5</v>
      </c>
    </row>
    <row r="619" spans="1:11" ht="18.75" customHeight="1">
      <c r="A619" s="661"/>
      <c r="B619" s="663" t="s">
        <v>7910</v>
      </c>
      <c r="C619" s="657" t="s">
        <v>7141</v>
      </c>
      <c r="D619" s="657" t="s">
        <v>8071</v>
      </c>
      <c r="E619" s="663" t="s">
        <v>8072</v>
      </c>
      <c r="F619" s="658">
        <v>0.1</v>
      </c>
      <c r="G619" s="658">
        <v>0</v>
      </c>
      <c r="H619" s="664">
        <v>134500</v>
      </c>
      <c r="I619" s="664">
        <f t="shared" si="10"/>
        <v>122270</v>
      </c>
      <c r="J619" s="661"/>
      <c r="K619">
        <f t="shared" si="12"/>
        <v>103929.5</v>
      </c>
    </row>
    <row r="620" spans="1:11" ht="18.75" customHeight="1">
      <c r="A620" s="661"/>
      <c r="B620" s="663" t="s">
        <v>7910</v>
      </c>
      <c r="C620" s="657" t="s">
        <v>7141</v>
      </c>
      <c r="D620" s="657" t="s">
        <v>8073</v>
      </c>
      <c r="E620" s="663" t="s">
        <v>8074</v>
      </c>
      <c r="F620" s="658">
        <v>0.1</v>
      </c>
      <c r="G620" s="658">
        <v>0</v>
      </c>
      <c r="H620" s="664">
        <v>145300</v>
      </c>
      <c r="I620" s="664">
        <f t="shared" si="10"/>
        <v>132090</v>
      </c>
      <c r="J620" s="661"/>
      <c r="K620">
        <f t="shared" si="12"/>
        <v>112276.5</v>
      </c>
    </row>
    <row r="621" spans="1:11" ht="18.75" customHeight="1">
      <c r="A621" s="661"/>
      <c r="B621" s="663" t="s">
        <v>7910</v>
      </c>
      <c r="C621" s="657" t="s">
        <v>7141</v>
      </c>
      <c r="D621" s="657" t="s">
        <v>8075</v>
      </c>
      <c r="E621" s="663" t="s">
        <v>8076</v>
      </c>
      <c r="F621" s="658">
        <v>0.1</v>
      </c>
      <c r="G621" s="658">
        <v>0</v>
      </c>
      <c r="H621" s="664">
        <v>145900</v>
      </c>
      <c r="I621" s="664">
        <f t="shared" si="10"/>
        <v>132640</v>
      </c>
      <c r="J621" s="661"/>
      <c r="K621">
        <f t="shared" si="12"/>
        <v>112744</v>
      </c>
    </row>
    <row r="622" spans="1:11" ht="18.75" customHeight="1">
      <c r="A622" s="661"/>
      <c r="B622" s="663" t="s">
        <v>7910</v>
      </c>
      <c r="C622" s="657" t="s">
        <v>7141</v>
      </c>
      <c r="D622" s="657" t="s">
        <v>8077</v>
      </c>
      <c r="E622" s="663" t="s">
        <v>8078</v>
      </c>
      <c r="F622" s="658">
        <v>0.1</v>
      </c>
      <c r="G622" s="658">
        <v>0</v>
      </c>
      <c r="H622" s="664">
        <v>149100</v>
      </c>
      <c r="I622" s="664">
        <f t="shared" si="10"/>
        <v>135550</v>
      </c>
      <c r="J622" s="661"/>
      <c r="K622">
        <f t="shared" si="12"/>
        <v>115217.5</v>
      </c>
    </row>
    <row r="623" spans="1:11" ht="18.75" customHeight="1">
      <c r="A623" s="661"/>
      <c r="B623" s="663" t="s">
        <v>7910</v>
      </c>
      <c r="C623" s="657" t="s">
        <v>7141</v>
      </c>
      <c r="D623" s="657" t="s">
        <v>8079</v>
      </c>
      <c r="E623" s="663" t="s">
        <v>8080</v>
      </c>
      <c r="F623" s="658">
        <v>0.1</v>
      </c>
      <c r="G623" s="658">
        <v>0</v>
      </c>
      <c r="H623" s="664">
        <v>167800</v>
      </c>
      <c r="I623" s="664">
        <f t="shared" si="10"/>
        <v>152550</v>
      </c>
      <c r="J623" s="661"/>
      <c r="K623">
        <f t="shared" si="12"/>
        <v>129667.5</v>
      </c>
    </row>
    <row r="624" spans="1:11" ht="18.75" customHeight="1">
      <c r="A624" s="661"/>
      <c r="B624" s="663" t="s">
        <v>7910</v>
      </c>
      <c r="C624" s="657" t="s">
        <v>7141</v>
      </c>
      <c r="D624" s="657" t="s">
        <v>8081</v>
      </c>
      <c r="E624" s="663" t="s">
        <v>8082</v>
      </c>
      <c r="F624" s="658">
        <v>0.1</v>
      </c>
      <c r="G624" s="658">
        <v>0</v>
      </c>
      <c r="H624" s="664">
        <v>197800</v>
      </c>
      <c r="I624" s="664">
        <f t="shared" si="10"/>
        <v>179820</v>
      </c>
      <c r="J624" s="661"/>
      <c r="K624">
        <f t="shared" si="12"/>
        <v>152847</v>
      </c>
    </row>
    <row r="625" spans="1:11" ht="18.75" customHeight="1">
      <c r="A625" s="661"/>
      <c r="B625" s="663" t="s">
        <v>7910</v>
      </c>
      <c r="C625" s="657" t="s">
        <v>7141</v>
      </c>
      <c r="D625" s="657" t="s">
        <v>8083</v>
      </c>
      <c r="E625" s="663" t="s">
        <v>8084</v>
      </c>
      <c r="F625" s="658">
        <v>0.1</v>
      </c>
      <c r="G625" s="658">
        <v>0</v>
      </c>
      <c r="H625" s="664">
        <v>229800</v>
      </c>
      <c r="I625" s="664">
        <f t="shared" si="10"/>
        <v>208910</v>
      </c>
      <c r="J625" s="661"/>
      <c r="K625">
        <f t="shared" si="12"/>
        <v>177573.5</v>
      </c>
    </row>
    <row r="626" spans="1:11" ht="18.75" customHeight="1">
      <c r="A626" s="661"/>
      <c r="B626" s="663" t="s">
        <v>7910</v>
      </c>
      <c r="C626" s="657" t="s">
        <v>7141</v>
      </c>
      <c r="D626" s="657" t="s">
        <v>8085</v>
      </c>
      <c r="E626" s="663" t="s">
        <v>8086</v>
      </c>
      <c r="F626" s="658">
        <v>0.1</v>
      </c>
      <c r="G626" s="658">
        <v>0</v>
      </c>
      <c r="H626" s="664">
        <v>235300</v>
      </c>
      <c r="I626" s="664">
        <f t="shared" si="10"/>
        <v>213910</v>
      </c>
      <c r="J626" s="661"/>
      <c r="K626">
        <f t="shared" si="12"/>
        <v>181823.5</v>
      </c>
    </row>
    <row r="627" spans="1:11" ht="18.75" customHeight="1">
      <c r="A627" s="661"/>
      <c r="B627" s="663" t="s">
        <v>7910</v>
      </c>
      <c r="C627" s="657" t="s">
        <v>7141</v>
      </c>
      <c r="D627" s="657" t="s">
        <v>8087</v>
      </c>
      <c r="E627" s="663" t="s">
        <v>8088</v>
      </c>
      <c r="F627" s="658">
        <v>0.1</v>
      </c>
      <c r="G627" s="658">
        <v>0</v>
      </c>
      <c r="H627" s="664">
        <v>246500</v>
      </c>
      <c r="I627" s="664">
        <f t="shared" si="10"/>
        <v>224090</v>
      </c>
      <c r="J627" s="661"/>
      <c r="K627">
        <f t="shared" si="12"/>
        <v>190476.5</v>
      </c>
    </row>
    <row r="628" spans="1:11" ht="18.75" customHeight="1">
      <c r="A628" s="661"/>
      <c r="B628" s="663" t="s">
        <v>7910</v>
      </c>
      <c r="C628" s="657" t="s">
        <v>7141</v>
      </c>
      <c r="D628" s="657" t="s">
        <v>8089</v>
      </c>
      <c r="E628" s="663" t="s">
        <v>8090</v>
      </c>
      <c r="F628" s="658">
        <v>0.1</v>
      </c>
      <c r="G628" s="658">
        <v>0</v>
      </c>
      <c r="H628" s="664">
        <v>313100</v>
      </c>
      <c r="I628" s="664">
        <f t="shared" si="10"/>
        <v>284640</v>
      </c>
      <c r="J628" s="661"/>
      <c r="K628">
        <f t="shared" si="12"/>
        <v>241944</v>
      </c>
    </row>
    <row r="629" spans="1:11" ht="18.75" customHeight="1">
      <c r="A629" s="661"/>
      <c r="B629" s="663" t="s">
        <v>7910</v>
      </c>
      <c r="C629" s="657" t="s">
        <v>7141</v>
      </c>
      <c r="D629" s="657" t="s">
        <v>8091</v>
      </c>
      <c r="E629" s="663" t="s">
        <v>8092</v>
      </c>
      <c r="F629" s="658">
        <v>0.1</v>
      </c>
      <c r="G629" s="658">
        <v>0</v>
      </c>
      <c r="H629" s="664">
        <v>319600</v>
      </c>
      <c r="I629" s="664">
        <f t="shared" si="10"/>
        <v>290550</v>
      </c>
      <c r="J629" s="661"/>
      <c r="K629">
        <f t="shared" si="12"/>
        <v>246967.5</v>
      </c>
    </row>
    <row r="630" spans="1:11" ht="18.75" customHeight="1">
      <c r="A630" s="661"/>
      <c r="B630" s="663" t="s">
        <v>7910</v>
      </c>
      <c r="C630" s="657" t="s">
        <v>7141</v>
      </c>
      <c r="D630" s="657" t="s">
        <v>8093</v>
      </c>
      <c r="E630" s="663" t="s">
        <v>8094</v>
      </c>
      <c r="F630" s="658">
        <v>0.1</v>
      </c>
      <c r="G630" s="658">
        <v>0</v>
      </c>
      <c r="H630" s="664">
        <v>325800</v>
      </c>
      <c r="I630" s="664">
        <f t="shared" si="10"/>
        <v>296180</v>
      </c>
      <c r="J630" s="661"/>
      <c r="K630">
        <f t="shared" si="12"/>
        <v>251753</v>
      </c>
    </row>
    <row r="631" spans="1:11" ht="18.75" customHeight="1">
      <c r="A631" s="661"/>
      <c r="B631" s="663" t="s">
        <v>7910</v>
      </c>
      <c r="C631" s="657" t="s">
        <v>7141</v>
      </c>
      <c r="D631" s="657" t="s">
        <v>8095</v>
      </c>
      <c r="E631" s="663" t="s">
        <v>8096</v>
      </c>
      <c r="F631" s="658">
        <v>0.1</v>
      </c>
      <c r="G631" s="658">
        <v>0</v>
      </c>
      <c r="H631" s="664">
        <v>340800</v>
      </c>
      <c r="I631" s="664">
        <f t="shared" si="10"/>
        <v>309820</v>
      </c>
      <c r="J631" s="661"/>
      <c r="K631">
        <f t="shared" si="12"/>
        <v>263347</v>
      </c>
    </row>
    <row r="632" spans="1:11" ht="18.75" customHeight="1">
      <c r="A632" s="661"/>
      <c r="B632" s="663" t="s">
        <v>7910</v>
      </c>
      <c r="C632" s="657" t="s">
        <v>7141</v>
      </c>
      <c r="D632" s="657" t="s">
        <v>8097</v>
      </c>
      <c r="E632" s="663" t="s">
        <v>8098</v>
      </c>
      <c r="F632" s="658">
        <v>0.1</v>
      </c>
      <c r="G632" s="658">
        <v>0</v>
      </c>
      <c r="H632" s="664">
        <v>393800</v>
      </c>
      <c r="I632" s="664">
        <f t="shared" si="10"/>
        <v>358000</v>
      </c>
      <c r="J632" s="661"/>
      <c r="K632">
        <f t="shared" si="12"/>
        <v>304300</v>
      </c>
    </row>
    <row r="633" spans="1:11" ht="18.75" customHeight="1">
      <c r="A633" s="661"/>
      <c r="B633" s="663" t="s">
        <v>7910</v>
      </c>
      <c r="C633" s="657" t="s">
        <v>7141</v>
      </c>
      <c r="D633" s="657" t="s">
        <v>8099</v>
      </c>
      <c r="E633" s="663" t="s">
        <v>8100</v>
      </c>
      <c r="F633" s="658">
        <v>0.1</v>
      </c>
      <c r="G633" s="658">
        <v>0</v>
      </c>
      <c r="H633" s="664">
        <v>412200</v>
      </c>
      <c r="I633" s="664">
        <f t="shared" si="10"/>
        <v>374730</v>
      </c>
      <c r="J633" s="661"/>
      <c r="K633">
        <f t="shared" si="12"/>
        <v>318520.5</v>
      </c>
    </row>
    <row r="634" spans="1:11" ht="18.75" customHeight="1">
      <c r="A634" s="661"/>
      <c r="B634" s="663" t="s">
        <v>7910</v>
      </c>
      <c r="C634" s="657" t="s">
        <v>7141</v>
      </c>
      <c r="D634" s="657" t="s">
        <v>8101</v>
      </c>
      <c r="E634" s="663" t="s">
        <v>8102</v>
      </c>
      <c r="F634" s="658">
        <v>0.1</v>
      </c>
      <c r="G634" s="658">
        <v>0</v>
      </c>
      <c r="H634" s="664">
        <v>430500</v>
      </c>
      <c r="I634" s="664">
        <f t="shared" si="10"/>
        <v>391360</v>
      </c>
      <c r="J634" s="661"/>
      <c r="K634">
        <f t="shared" si="12"/>
        <v>332656</v>
      </c>
    </row>
    <row r="635" spans="1:11" ht="18.75" customHeight="1">
      <c r="A635" s="661"/>
      <c r="B635" s="663" t="s">
        <v>7910</v>
      </c>
      <c r="C635" s="657" t="s">
        <v>7141</v>
      </c>
      <c r="D635" s="657" t="s">
        <v>8103</v>
      </c>
      <c r="E635" s="663" t="s">
        <v>8104</v>
      </c>
      <c r="F635" s="658">
        <v>0.1</v>
      </c>
      <c r="G635" s="658">
        <v>0</v>
      </c>
      <c r="H635" s="664"/>
      <c r="I635" s="664">
        <f t="shared" si="10"/>
        <v>0</v>
      </c>
      <c r="J635" s="661"/>
      <c r="K635">
        <f t="shared" si="12"/>
        <v>0</v>
      </c>
    </row>
    <row r="636" spans="1:11" ht="18.75" customHeight="1">
      <c r="A636" s="661"/>
      <c r="B636" s="663" t="s">
        <v>7910</v>
      </c>
      <c r="C636" s="657" t="s">
        <v>7141</v>
      </c>
      <c r="D636" s="657" t="s">
        <v>8105</v>
      </c>
      <c r="E636" s="663" t="s">
        <v>8106</v>
      </c>
      <c r="F636" s="658">
        <v>0.1</v>
      </c>
      <c r="G636" s="658">
        <v>0</v>
      </c>
      <c r="H636" s="664">
        <v>49900</v>
      </c>
      <c r="I636" s="664">
        <f t="shared" si="10"/>
        <v>45360</v>
      </c>
      <c r="J636" s="661"/>
      <c r="K636">
        <f t="shared" si="12"/>
        <v>38556</v>
      </c>
    </row>
    <row r="637" spans="1:11" ht="18.75" customHeight="1">
      <c r="A637" s="661"/>
      <c r="B637" s="663" t="s">
        <v>7910</v>
      </c>
      <c r="C637" s="657" t="s">
        <v>7141</v>
      </c>
      <c r="D637" s="657" t="s">
        <v>8107</v>
      </c>
      <c r="E637" s="663" t="s">
        <v>8108</v>
      </c>
      <c r="F637" s="658">
        <v>0.1</v>
      </c>
      <c r="G637" s="658">
        <v>0</v>
      </c>
      <c r="H637" s="664">
        <v>58600</v>
      </c>
      <c r="I637" s="664">
        <f t="shared" si="10"/>
        <v>53270</v>
      </c>
      <c r="J637" s="661"/>
      <c r="K637">
        <f t="shared" si="12"/>
        <v>45279.5</v>
      </c>
    </row>
    <row r="638" spans="1:11" ht="18.75" customHeight="1">
      <c r="A638" s="661"/>
      <c r="B638" s="663" t="s">
        <v>7910</v>
      </c>
      <c r="C638" s="657" t="s">
        <v>7141</v>
      </c>
      <c r="D638" s="657" t="s">
        <v>8109</v>
      </c>
      <c r="E638" s="663" t="s">
        <v>8110</v>
      </c>
      <c r="F638" s="658">
        <v>0.1</v>
      </c>
      <c r="G638" s="658">
        <v>0</v>
      </c>
      <c r="H638" s="664">
        <v>71700</v>
      </c>
      <c r="I638" s="664">
        <f t="shared" si="10"/>
        <v>65180</v>
      </c>
      <c r="J638" s="661"/>
      <c r="K638">
        <f t="shared" si="12"/>
        <v>55403</v>
      </c>
    </row>
    <row r="639" spans="1:11" ht="18.75" customHeight="1">
      <c r="A639" s="661"/>
      <c r="B639" s="663" t="s">
        <v>7910</v>
      </c>
      <c r="C639" s="657" t="s">
        <v>7141</v>
      </c>
      <c r="D639" s="657" t="s">
        <v>8111</v>
      </c>
      <c r="E639" s="663" t="s">
        <v>8112</v>
      </c>
      <c r="F639" s="658">
        <v>0.1</v>
      </c>
      <c r="G639" s="658">
        <v>0</v>
      </c>
      <c r="H639" s="664">
        <v>80700</v>
      </c>
      <c r="I639" s="664">
        <f t="shared" si="10"/>
        <v>73360</v>
      </c>
      <c r="J639" s="661"/>
      <c r="K639">
        <f t="shared" si="12"/>
        <v>62356</v>
      </c>
    </row>
    <row r="640" spans="1:11" ht="18.75" customHeight="1">
      <c r="A640" s="661"/>
      <c r="B640" s="663" t="s">
        <v>7910</v>
      </c>
      <c r="C640" s="657" t="s">
        <v>7141</v>
      </c>
      <c r="D640" s="657" t="s">
        <v>8113</v>
      </c>
      <c r="E640" s="663" t="s">
        <v>8114</v>
      </c>
      <c r="F640" s="658">
        <v>0.1</v>
      </c>
      <c r="G640" s="658">
        <v>0</v>
      </c>
      <c r="H640" s="664">
        <v>89000</v>
      </c>
      <c r="I640" s="664">
        <f t="shared" si="10"/>
        <v>80910</v>
      </c>
      <c r="J640" s="661"/>
      <c r="K640">
        <f t="shared" si="12"/>
        <v>68773.5</v>
      </c>
    </row>
    <row r="641" spans="1:11" ht="18.75" customHeight="1">
      <c r="A641" s="661"/>
      <c r="B641" s="663" t="s">
        <v>7910</v>
      </c>
      <c r="C641" s="657" t="s">
        <v>7141</v>
      </c>
      <c r="D641" s="657" t="s">
        <v>8115</v>
      </c>
      <c r="E641" s="663" t="s">
        <v>8116</v>
      </c>
      <c r="F641" s="658">
        <v>0.1</v>
      </c>
      <c r="G641" s="658">
        <v>0</v>
      </c>
      <c r="H641" s="664">
        <v>92800</v>
      </c>
      <c r="I641" s="664">
        <f t="shared" si="10"/>
        <v>84360</v>
      </c>
      <c r="J641" s="661"/>
      <c r="K641">
        <f t="shared" si="12"/>
        <v>71706</v>
      </c>
    </row>
    <row r="642" spans="1:11" ht="18.75" customHeight="1">
      <c r="A642" s="661"/>
      <c r="B642" s="663" t="s">
        <v>7910</v>
      </c>
      <c r="C642" s="657" t="s">
        <v>7141</v>
      </c>
      <c r="D642" s="657" t="s">
        <v>8117</v>
      </c>
      <c r="E642" s="663" t="s">
        <v>8118</v>
      </c>
      <c r="F642" s="658">
        <v>0.1</v>
      </c>
      <c r="G642" s="658">
        <v>0</v>
      </c>
      <c r="H642" s="664">
        <v>96400</v>
      </c>
      <c r="I642" s="664">
        <f t="shared" si="10"/>
        <v>87640</v>
      </c>
      <c r="J642" s="661"/>
      <c r="K642">
        <f t="shared" si="12"/>
        <v>74494</v>
      </c>
    </row>
    <row r="643" spans="1:11" ht="18.75" customHeight="1">
      <c r="A643" s="661"/>
      <c r="B643" s="663" t="s">
        <v>7910</v>
      </c>
      <c r="C643" s="657" t="s">
        <v>7141</v>
      </c>
      <c r="D643" s="657" t="s">
        <v>8119</v>
      </c>
      <c r="E643" s="663" t="s">
        <v>8120</v>
      </c>
      <c r="F643" s="658">
        <v>0.1</v>
      </c>
      <c r="G643" s="658">
        <v>0</v>
      </c>
      <c r="H643" s="664">
        <v>107800</v>
      </c>
      <c r="I643" s="664">
        <f t="shared" si="10"/>
        <v>98000</v>
      </c>
      <c r="J643" s="661"/>
      <c r="K643">
        <f t="shared" si="12"/>
        <v>83300</v>
      </c>
    </row>
    <row r="644" spans="1:11" ht="18.75" customHeight="1">
      <c r="A644" s="661"/>
      <c r="B644" s="663" t="s">
        <v>7910</v>
      </c>
      <c r="C644" s="657" t="s">
        <v>7141</v>
      </c>
      <c r="D644" s="657" t="s">
        <v>8121</v>
      </c>
      <c r="E644" s="663" t="s">
        <v>8122</v>
      </c>
      <c r="F644" s="658">
        <v>0.1</v>
      </c>
      <c r="G644" s="658">
        <v>0</v>
      </c>
      <c r="H644" s="664">
        <v>113200</v>
      </c>
      <c r="I644" s="664">
        <f t="shared" si="10"/>
        <v>102910</v>
      </c>
      <c r="J644" s="661"/>
      <c r="K644">
        <f t="shared" si="12"/>
        <v>87473.5</v>
      </c>
    </row>
    <row r="645" spans="1:11" ht="18.75" customHeight="1">
      <c r="A645" s="661"/>
      <c r="B645" s="663" t="s">
        <v>7910</v>
      </c>
      <c r="C645" s="657" t="s">
        <v>7141</v>
      </c>
      <c r="D645" s="657" t="s">
        <v>8123</v>
      </c>
      <c r="E645" s="663" t="s">
        <v>8124</v>
      </c>
      <c r="F645" s="658">
        <v>0.1</v>
      </c>
      <c r="G645" s="658">
        <v>0</v>
      </c>
      <c r="H645" s="664">
        <v>120800</v>
      </c>
      <c r="I645" s="664">
        <f t="shared" si="10"/>
        <v>109820</v>
      </c>
      <c r="J645" s="661"/>
      <c r="K645">
        <f t="shared" si="12"/>
        <v>93347</v>
      </c>
    </row>
    <row r="646" spans="1:11" ht="18.75" customHeight="1">
      <c r="A646" s="661"/>
      <c r="B646" s="663" t="s">
        <v>7910</v>
      </c>
      <c r="C646" s="657" t="s">
        <v>7141</v>
      </c>
      <c r="D646" s="657" t="s">
        <v>8125</v>
      </c>
      <c r="E646" s="663" t="s">
        <v>8126</v>
      </c>
      <c r="F646" s="658">
        <v>0.1</v>
      </c>
      <c r="G646" s="658">
        <v>0</v>
      </c>
      <c r="H646" s="664">
        <v>128200</v>
      </c>
      <c r="I646" s="664">
        <f t="shared" si="10"/>
        <v>116550</v>
      </c>
      <c r="J646" s="661"/>
      <c r="K646">
        <f t="shared" ref="K646:K709" si="13">+I646*(1+$K$4)</f>
        <v>99067.5</v>
      </c>
    </row>
    <row r="647" spans="1:11" ht="18.75" customHeight="1">
      <c r="A647" s="661"/>
      <c r="B647" s="663" t="s">
        <v>7910</v>
      </c>
      <c r="C647" s="657" t="s">
        <v>7141</v>
      </c>
      <c r="D647" s="657" t="s">
        <v>8127</v>
      </c>
      <c r="E647" s="663" t="s">
        <v>8128</v>
      </c>
      <c r="F647" s="658">
        <v>0.1</v>
      </c>
      <c r="G647" s="658">
        <v>0</v>
      </c>
      <c r="H647" s="664">
        <v>145900</v>
      </c>
      <c r="I647" s="664">
        <f t="shared" si="10"/>
        <v>132640</v>
      </c>
      <c r="J647" s="661"/>
      <c r="K647">
        <f t="shared" si="13"/>
        <v>112744</v>
      </c>
    </row>
    <row r="648" spans="1:11" ht="18.75" customHeight="1">
      <c r="A648" s="661"/>
      <c r="B648" s="663" t="s">
        <v>7910</v>
      </c>
      <c r="C648" s="657" t="s">
        <v>7141</v>
      </c>
      <c r="D648" s="657" t="s">
        <v>8129</v>
      </c>
      <c r="E648" s="663" t="s">
        <v>8130</v>
      </c>
      <c r="F648" s="658">
        <v>0.1</v>
      </c>
      <c r="G648" s="658">
        <v>0</v>
      </c>
      <c r="H648" s="664">
        <v>163400</v>
      </c>
      <c r="I648" s="664">
        <f t="shared" si="10"/>
        <v>148550</v>
      </c>
      <c r="J648" s="661"/>
      <c r="K648">
        <f t="shared" si="13"/>
        <v>126267.5</v>
      </c>
    </row>
    <row r="649" spans="1:11" ht="18.75" customHeight="1">
      <c r="A649" s="661"/>
      <c r="B649" s="663" t="s">
        <v>7910</v>
      </c>
      <c r="C649" s="657" t="s">
        <v>7141</v>
      </c>
      <c r="D649" s="657" t="s">
        <v>8131</v>
      </c>
      <c r="E649" s="663" t="s">
        <v>8132</v>
      </c>
      <c r="F649" s="658">
        <v>0.1</v>
      </c>
      <c r="G649" s="658">
        <v>0</v>
      </c>
      <c r="H649" s="664">
        <v>173400</v>
      </c>
      <c r="I649" s="664">
        <f t="shared" si="10"/>
        <v>157640</v>
      </c>
      <c r="J649" s="661"/>
      <c r="K649">
        <f t="shared" si="13"/>
        <v>133994</v>
      </c>
    </row>
    <row r="650" spans="1:11" ht="18.75" customHeight="1">
      <c r="A650" s="661"/>
      <c r="B650" s="663" t="s">
        <v>7910</v>
      </c>
      <c r="C650" s="657" t="s">
        <v>7141</v>
      </c>
      <c r="D650" s="657" t="s">
        <v>8133</v>
      </c>
      <c r="E650" s="663" t="s">
        <v>8134</v>
      </c>
      <c r="F650" s="658">
        <v>0.1</v>
      </c>
      <c r="G650" s="658">
        <v>0</v>
      </c>
      <c r="H650" s="664">
        <v>177900</v>
      </c>
      <c r="I650" s="664">
        <f t="shared" si="10"/>
        <v>161730</v>
      </c>
      <c r="J650" s="661"/>
      <c r="K650">
        <f t="shared" si="13"/>
        <v>137470.5</v>
      </c>
    </row>
    <row r="651" spans="1:11" ht="18.75" customHeight="1">
      <c r="A651" s="661"/>
      <c r="B651" s="663" t="s">
        <v>7910</v>
      </c>
      <c r="C651" s="657" t="s">
        <v>7141</v>
      </c>
      <c r="D651" s="657" t="s">
        <v>8135</v>
      </c>
      <c r="E651" s="663" t="s">
        <v>8136</v>
      </c>
      <c r="F651" s="658">
        <v>0.1</v>
      </c>
      <c r="G651" s="658">
        <v>0</v>
      </c>
      <c r="H651" s="664">
        <v>187000</v>
      </c>
      <c r="I651" s="664">
        <f t="shared" si="10"/>
        <v>170000</v>
      </c>
      <c r="J651" s="661"/>
      <c r="K651">
        <f t="shared" si="13"/>
        <v>144500</v>
      </c>
    </row>
    <row r="652" spans="1:11" ht="18.75" customHeight="1">
      <c r="A652" s="661"/>
      <c r="B652" s="663" t="s">
        <v>7910</v>
      </c>
      <c r="C652" s="657" t="s">
        <v>7141</v>
      </c>
      <c r="D652" s="657" t="s">
        <v>8137</v>
      </c>
      <c r="E652" s="663" t="s">
        <v>8138</v>
      </c>
      <c r="F652" s="658">
        <v>0.1</v>
      </c>
      <c r="G652" s="658">
        <v>0</v>
      </c>
      <c r="H652" s="664">
        <v>199000</v>
      </c>
      <c r="I652" s="664">
        <f t="shared" si="10"/>
        <v>180910</v>
      </c>
      <c r="J652" s="661"/>
      <c r="K652">
        <f t="shared" si="13"/>
        <v>153773.5</v>
      </c>
    </row>
    <row r="653" spans="1:11" ht="18.75" customHeight="1">
      <c r="A653" s="661"/>
      <c r="B653" s="663" t="s">
        <v>7910</v>
      </c>
      <c r="C653" s="657" t="s">
        <v>7141</v>
      </c>
      <c r="D653" s="657" t="s">
        <v>8139</v>
      </c>
      <c r="E653" s="663" t="s">
        <v>8140</v>
      </c>
      <c r="F653" s="658">
        <v>0.1</v>
      </c>
      <c r="G653" s="658">
        <v>0</v>
      </c>
      <c r="H653" s="664">
        <v>207200</v>
      </c>
      <c r="I653" s="664">
        <f t="shared" si="10"/>
        <v>188360</v>
      </c>
      <c r="J653" s="661"/>
      <c r="K653">
        <f t="shared" si="13"/>
        <v>160106</v>
      </c>
    </row>
    <row r="654" spans="1:11" ht="18.75" customHeight="1">
      <c r="A654" s="661"/>
      <c r="B654" s="663" t="s">
        <v>7910</v>
      </c>
      <c r="C654" s="657" t="s">
        <v>7141</v>
      </c>
      <c r="D654" s="657" t="s">
        <v>8141</v>
      </c>
      <c r="E654" s="663" t="s">
        <v>8142</v>
      </c>
      <c r="F654" s="658">
        <v>0.1</v>
      </c>
      <c r="G654" s="658">
        <v>0</v>
      </c>
      <c r="H654" s="664">
        <v>223300</v>
      </c>
      <c r="I654" s="664">
        <f t="shared" si="10"/>
        <v>203000</v>
      </c>
      <c r="J654" s="661"/>
      <c r="K654">
        <f t="shared" si="13"/>
        <v>172550</v>
      </c>
    </row>
    <row r="655" spans="1:11" ht="18.75" customHeight="1">
      <c r="A655" s="661"/>
      <c r="B655" s="663" t="s">
        <v>7910</v>
      </c>
      <c r="C655" s="657" t="s">
        <v>7141</v>
      </c>
      <c r="D655" s="657" t="s">
        <v>8143</v>
      </c>
      <c r="E655" s="663" t="s">
        <v>8144</v>
      </c>
      <c r="F655" s="658">
        <v>0.1</v>
      </c>
      <c r="G655" s="658">
        <v>0</v>
      </c>
      <c r="H655" s="664">
        <v>243700</v>
      </c>
      <c r="I655" s="664">
        <f t="shared" si="10"/>
        <v>221550</v>
      </c>
      <c r="J655" s="661"/>
      <c r="K655">
        <f t="shared" si="13"/>
        <v>188317.5</v>
      </c>
    </row>
    <row r="656" spans="1:11" ht="18.75" customHeight="1">
      <c r="A656" s="661"/>
      <c r="B656" s="663" t="s">
        <v>7910</v>
      </c>
      <c r="C656" s="657" t="s">
        <v>7141</v>
      </c>
      <c r="D656" s="657" t="s">
        <v>8145</v>
      </c>
      <c r="E656" s="663" t="s">
        <v>8146</v>
      </c>
      <c r="F656" s="658">
        <v>0.1</v>
      </c>
      <c r="G656" s="658">
        <v>0</v>
      </c>
      <c r="H656" s="664">
        <v>292700</v>
      </c>
      <c r="I656" s="664">
        <f t="shared" si="10"/>
        <v>266090</v>
      </c>
      <c r="J656" s="661"/>
      <c r="K656">
        <f t="shared" si="13"/>
        <v>226176.5</v>
      </c>
    </row>
    <row r="657" spans="1:11" ht="18.75" customHeight="1">
      <c r="A657" s="661"/>
      <c r="B657" s="663" t="s">
        <v>7910</v>
      </c>
      <c r="C657" s="657" t="s">
        <v>7141</v>
      </c>
      <c r="D657" s="657" t="s">
        <v>8147</v>
      </c>
      <c r="E657" s="663" t="s">
        <v>8148</v>
      </c>
      <c r="F657" s="658">
        <v>0.1</v>
      </c>
      <c r="G657" s="658">
        <v>0</v>
      </c>
      <c r="H657" s="664">
        <v>339500</v>
      </c>
      <c r="I657" s="664">
        <f t="shared" si="10"/>
        <v>308640</v>
      </c>
      <c r="J657" s="661"/>
      <c r="K657">
        <f t="shared" si="13"/>
        <v>262344</v>
      </c>
    </row>
    <row r="658" spans="1:11" ht="18.75" customHeight="1">
      <c r="A658" s="661"/>
      <c r="B658" s="663" t="s">
        <v>7910</v>
      </c>
      <c r="C658" s="657" t="s">
        <v>7141</v>
      </c>
      <c r="D658" s="657" t="s">
        <v>8149</v>
      </c>
      <c r="E658" s="663" t="s">
        <v>8150</v>
      </c>
      <c r="F658" s="658">
        <v>0.1</v>
      </c>
      <c r="G658" s="658">
        <v>0</v>
      </c>
      <c r="H658" s="664">
        <v>347400</v>
      </c>
      <c r="I658" s="664">
        <f t="shared" si="10"/>
        <v>315820</v>
      </c>
      <c r="J658" s="661"/>
      <c r="K658">
        <f t="shared" si="13"/>
        <v>268447</v>
      </c>
    </row>
    <row r="659" spans="1:11" ht="18.75" customHeight="1">
      <c r="A659" s="661"/>
      <c r="B659" s="663" t="s">
        <v>7910</v>
      </c>
      <c r="C659" s="657" t="s">
        <v>7141</v>
      </c>
      <c r="D659" s="657" t="s">
        <v>8151</v>
      </c>
      <c r="E659" s="663" t="s">
        <v>8152</v>
      </c>
      <c r="F659" s="658">
        <v>0.1</v>
      </c>
      <c r="G659" s="658">
        <v>0</v>
      </c>
      <c r="H659" s="664">
        <v>363100</v>
      </c>
      <c r="I659" s="664">
        <f t="shared" si="10"/>
        <v>330090</v>
      </c>
      <c r="J659" s="661"/>
      <c r="K659">
        <f t="shared" si="13"/>
        <v>280576.5</v>
      </c>
    </row>
    <row r="660" spans="1:11" ht="18.75" customHeight="1">
      <c r="A660" s="661"/>
      <c r="B660" s="663" t="s">
        <v>7910</v>
      </c>
      <c r="C660" s="657" t="s">
        <v>7141</v>
      </c>
      <c r="D660" s="657" t="s">
        <v>8153</v>
      </c>
      <c r="E660" s="663" t="s">
        <v>8154</v>
      </c>
      <c r="F660" s="658">
        <v>0.1</v>
      </c>
      <c r="G660" s="658">
        <v>0</v>
      </c>
      <c r="H660" s="664">
        <v>428800</v>
      </c>
      <c r="I660" s="664">
        <f t="shared" si="10"/>
        <v>389820</v>
      </c>
      <c r="J660" s="661"/>
      <c r="K660">
        <f t="shared" si="13"/>
        <v>331347</v>
      </c>
    </row>
    <row r="661" spans="1:11" ht="18.75" customHeight="1">
      <c r="A661" s="661"/>
      <c r="B661" s="663" t="s">
        <v>7910</v>
      </c>
      <c r="C661" s="657" t="s">
        <v>7141</v>
      </c>
      <c r="D661" s="657" t="s">
        <v>8155</v>
      </c>
      <c r="E661" s="663" t="s">
        <v>8156</v>
      </c>
      <c r="F661" s="658">
        <v>0.1</v>
      </c>
      <c r="G661" s="658">
        <v>0</v>
      </c>
      <c r="H661" s="664">
        <v>437300</v>
      </c>
      <c r="I661" s="664">
        <f t="shared" si="10"/>
        <v>397550</v>
      </c>
      <c r="J661" s="661"/>
      <c r="K661">
        <f t="shared" si="13"/>
        <v>337917.5</v>
      </c>
    </row>
    <row r="662" spans="1:11" ht="18.75" customHeight="1">
      <c r="A662" s="661"/>
      <c r="B662" s="663" t="s">
        <v>7910</v>
      </c>
      <c r="C662" s="657" t="s">
        <v>7141</v>
      </c>
      <c r="D662" s="657" t="s">
        <v>8157</v>
      </c>
      <c r="E662" s="663" t="s">
        <v>8158</v>
      </c>
      <c r="F662" s="658">
        <v>0.1</v>
      </c>
      <c r="G662" s="658">
        <v>0</v>
      </c>
      <c r="H662" s="664">
        <v>445800</v>
      </c>
      <c r="I662" s="664">
        <f t="shared" si="10"/>
        <v>405270</v>
      </c>
      <c r="J662" s="661"/>
      <c r="K662">
        <f t="shared" si="13"/>
        <v>344479.5</v>
      </c>
    </row>
    <row r="663" spans="1:11" ht="18.75" customHeight="1">
      <c r="A663" s="661"/>
      <c r="B663" s="663" t="s">
        <v>7910</v>
      </c>
      <c r="C663" s="657" t="s">
        <v>7141</v>
      </c>
      <c r="D663" s="657" t="s">
        <v>8159</v>
      </c>
      <c r="E663" s="663" t="s">
        <v>8160</v>
      </c>
      <c r="F663" s="658">
        <v>0.1</v>
      </c>
      <c r="G663" s="658">
        <v>0</v>
      </c>
      <c r="H663" s="664">
        <v>465500</v>
      </c>
      <c r="I663" s="664">
        <f t="shared" si="10"/>
        <v>423180</v>
      </c>
      <c r="J663" s="661"/>
      <c r="K663">
        <f t="shared" si="13"/>
        <v>359703</v>
      </c>
    </row>
    <row r="664" spans="1:11" ht="18.75" customHeight="1">
      <c r="A664" s="661"/>
      <c r="B664" s="663" t="s">
        <v>7910</v>
      </c>
      <c r="C664" s="657" t="s">
        <v>7141</v>
      </c>
      <c r="D664" s="657" t="s">
        <v>8161</v>
      </c>
      <c r="E664" s="663" t="s">
        <v>8162</v>
      </c>
      <c r="F664" s="658">
        <v>0.1</v>
      </c>
      <c r="G664" s="658">
        <v>0</v>
      </c>
      <c r="H664" s="664">
        <v>536500</v>
      </c>
      <c r="I664" s="664">
        <f t="shared" si="10"/>
        <v>487730</v>
      </c>
      <c r="J664" s="661"/>
      <c r="K664">
        <f t="shared" si="13"/>
        <v>414570.5</v>
      </c>
    </row>
    <row r="665" spans="1:11" ht="18.75" customHeight="1">
      <c r="A665" s="661"/>
      <c r="B665" s="663" t="s">
        <v>7910</v>
      </c>
      <c r="C665" s="657" t="s">
        <v>7141</v>
      </c>
      <c r="D665" s="657" t="s">
        <v>8163</v>
      </c>
      <c r="E665" s="663" t="s">
        <v>8164</v>
      </c>
      <c r="F665" s="658">
        <v>0.1</v>
      </c>
      <c r="G665" s="658">
        <v>0</v>
      </c>
      <c r="H665" s="664">
        <v>560500</v>
      </c>
      <c r="I665" s="664">
        <f t="shared" si="10"/>
        <v>509550</v>
      </c>
      <c r="J665" s="661"/>
      <c r="K665">
        <f t="shared" si="13"/>
        <v>433117.5</v>
      </c>
    </row>
    <row r="666" spans="1:11" ht="18.75" customHeight="1">
      <c r="A666" s="661"/>
      <c r="B666" s="663" t="s">
        <v>7910</v>
      </c>
      <c r="C666" s="657" t="s">
        <v>7141</v>
      </c>
      <c r="D666" s="657" t="s">
        <v>8165</v>
      </c>
      <c r="E666" s="663" t="s">
        <v>8166</v>
      </c>
      <c r="F666" s="658">
        <v>0.1</v>
      </c>
      <c r="G666" s="658">
        <v>0</v>
      </c>
      <c r="H666" s="664">
        <v>584800</v>
      </c>
      <c r="I666" s="664">
        <f t="shared" si="10"/>
        <v>531640</v>
      </c>
      <c r="J666" s="661"/>
      <c r="K666">
        <f t="shared" si="13"/>
        <v>451894</v>
      </c>
    </row>
    <row r="667" spans="1:11" ht="18.75" customHeight="1">
      <c r="A667" s="661"/>
      <c r="B667" s="663" t="s">
        <v>7910</v>
      </c>
      <c r="C667" s="657" t="s">
        <v>7141</v>
      </c>
      <c r="D667" s="657" t="s">
        <v>8167</v>
      </c>
      <c r="E667" s="663" t="s">
        <v>8168</v>
      </c>
      <c r="F667" s="658">
        <v>0.1</v>
      </c>
      <c r="G667" s="658">
        <v>0</v>
      </c>
      <c r="H667" s="664">
        <v>146300</v>
      </c>
      <c r="I667" s="664">
        <f t="shared" si="10"/>
        <v>133000</v>
      </c>
      <c r="J667" s="661"/>
      <c r="K667">
        <f t="shared" si="13"/>
        <v>113050</v>
      </c>
    </row>
    <row r="668" spans="1:11" ht="18.75" customHeight="1">
      <c r="A668" s="661"/>
      <c r="B668" s="663" t="s">
        <v>7910</v>
      </c>
      <c r="C668" s="657" t="s">
        <v>7141</v>
      </c>
      <c r="D668" s="657" t="s">
        <v>8169</v>
      </c>
      <c r="E668" s="663" t="s">
        <v>8170</v>
      </c>
      <c r="F668" s="658">
        <v>0.1</v>
      </c>
      <c r="G668" s="658">
        <v>0</v>
      </c>
      <c r="H668" s="664">
        <v>164900</v>
      </c>
      <c r="I668" s="664">
        <f t="shared" si="10"/>
        <v>149910</v>
      </c>
      <c r="J668" s="661"/>
      <c r="K668">
        <f t="shared" si="13"/>
        <v>127423.5</v>
      </c>
    </row>
    <row r="669" spans="1:11" ht="18.75" customHeight="1">
      <c r="A669" s="661"/>
      <c r="B669" s="663" t="s">
        <v>7910</v>
      </c>
      <c r="C669" s="657" t="s">
        <v>7141</v>
      </c>
      <c r="D669" s="657" t="s">
        <v>8171</v>
      </c>
      <c r="E669" s="663" t="s">
        <v>8172</v>
      </c>
      <c r="F669" s="658">
        <v>0.1</v>
      </c>
      <c r="G669" s="658">
        <v>0</v>
      </c>
      <c r="H669" s="664">
        <v>181700</v>
      </c>
      <c r="I669" s="664">
        <f t="shared" si="10"/>
        <v>165180</v>
      </c>
      <c r="J669" s="661"/>
      <c r="K669">
        <f t="shared" si="13"/>
        <v>140403</v>
      </c>
    </row>
    <row r="670" spans="1:11" ht="18.75" customHeight="1">
      <c r="A670" s="661"/>
      <c r="B670" s="663" t="s">
        <v>7910</v>
      </c>
      <c r="C670" s="657" t="s">
        <v>7141</v>
      </c>
      <c r="D670" s="657" t="s">
        <v>8173</v>
      </c>
      <c r="E670" s="663" t="s">
        <v>8174</v>
      </c>
      <c r="F670" s="658">
        <v>0.1</v>
      </c>
      <c r="G670" s="658">
        <v>0</v>
      </c>
      <c r="H670" s="664">
        <v>189600</v>
      </c>
      <c r="I670" s="664">
        <f t="shared" si="10"/>
        <v>172360</v>
      </c>
      <c r="J670" s="661"/>
      <c r="K670">
        <f t="shared" si="13"/>
        <v>146506</v>
      </c>
    </row>
    <row r="671" spans="1:11" ht="18.75" customHeight="1">
      <c r="A671" s="661"/>
      <c r="B671" s="663" t="s">
        <v>7910</v>
      </c>
      <c r="C671" s="657" t="s">
        <v>7141</v>
      </c>
      <c r="D671" s="657" t="s">
        <v>8175</v>
      </c>
      <c r="E671" s="663" t="s">
        <v>8176</v>
      </c>
      <c r="F671" s="658">
        <v>0.1</v>
      </c>
      <c r="G671" s="658">
        <v>0</v>
      </c>
      <c r="H671" s="664">
        <v>196900</v>
      </c>
      <c r="I671" s="664">
        <f t="shared" si="10"/>
        <v>179000</v>
      </c>
      <c r="J671" s="661"/>
      <c r="K671">
        <f t="shared" si="13"/>
        <v>152150</v>
      </c>
    </row>
    <row r="672" spans="1:11" ht="18.75" customHeight="1">
      <c r="A672" s="661"/>
      <c r="B672" s="663" t="s">
        <v>7910</v>
      </c>
      <c r="C672" s="657" t="s">
        <v>7141</v>
      </c>
      <c r="D672" s="657" t="s">
        <v>8177</v>
      </c>
      <c r="E672" s="663" t="s">
        <v>8178</v>
      </c>
      <c r="F672" s="658">
        <v>0.1</v>
      </c>
      <c r="G672" s="658">
        <v>0</v>
      </c>
      <c r="H672" s="664">
        <v>220200</v>
      </c>
      <c r="I672" s="664">
        <f t="shared" si="10"/>
        <v>200180</v>
      </c>
      <c r="J672" s="661"/>
      <c r="K672">
        <f t="shared" si="13"/>
        <v>170153</v>
      </c>
    </row>
    <row r="673" spans="1:11" ht="18.75" customHeight="1">
      <c r="A673" s="661"/>
      <c r="B673" s="663" t="s">
        <v>7910</v>
      </c>
      <c r="C673" s="657" t="s">
        <v>7141</v>
      </c>
      <c r="D673" s="657" t="s">
        <v>8179</v>
      </c>
      <c r="E673" s="663" t="s">
        <v>8180</v>
      </c>
      <c r="F673" s="658">
        <v>0.1</v>
      </c>
      <c r="G673" s="658">
        <v>0</v>
      </c>
      <c r="H673" s="664">
        <v>231100</v>
      </c>
      <c r="I673" s="664">
        <f t="shared" si="10"/>
        <v>210090</v>
      </c>
      <c r="J673" s="661"/>
      <c r="K673">
        <f t="shared" si="13"/>
        <v>178576.5</v>
      </c>
    </row>
    <row r="674" spans="1:11" ht="18.75" customHeight="1">
      <c r="A674" s="661"/>
      <c r="B674" s="663" t="s">
        <v>7910</v>
      </c>
      <c r="C674" s="657" t="s">
        <v>7141</v>
      </c>
      <c r="D674" s="657" t="s">
        <v>8181</v>
      </c>
      <c r="E674" s="663" t="s">
        <v>8182</v>
      </c>
      <c r="F674" s="658">
        <v>0.1</v>
      </c>
      <c r="G674" s="658">
        <v>0</v>
      </c>
      <c r="H674" s="664">
        <v>240400</v>
      </c>
      <c r="I674" s="664">
        <f t="shared" si="10"/>
        <v>218550</v>
      </c>
      <c r="J674" s="661"/>
      <c r="K674">
        <f t="shared" si="13"/>
        <v>185767.5</v>
      </c>
    </row>
    <row r="675" spans="1:11" ht="18.75" customHeight="1">
      <c r="A675" s="661"/>
      <c r="B675" s="663" t="s">
        <v>7910</v>
      </c>
      <c r="C675" s="657" t="s">
        <v>7141</v>
      </c>
      <c r="D675" s="657" t="s">
        <v>8183</v>
      </c>
      <c r="E675" s="663" t="s">
        <v>8184</v>
      </c>
      <c r="F675" s="658">
        <v>0.1</v>
      </c>
      <c r="G675" s="658">
        <v>0</v>
      </c>
      <c r="H675" s="664">
        <v>253200</v>
      </c>
      <c r="I675" s="664">
        <f t="shared" si="10"/>
        <v>230180</v>
      </c>
      <c r="J675" s="661"/>
      <c r="K675">
        <f t="shared" si="13"/>
        <v>195653</v>
      </c>
    </row>
    <row r="676" spans="1:11" ht="18.75" customHeight="1">
      <c r="A676" s="661"/>
      <c r="B676" s="663" t="s">
        <v>7910</v>
      </c>
      <c r="C676" s="657" t="s">
        <v>7141</v>
      </c>
      <c r="D676" s="657" t="s">
        <v>8185</v>
      </c>
      <c r="E676" s="663" t="s">
        <v>8186</v>
      </c>
      <c r="F676" s="658">
        <v>0.1</v>
      </c>
      <c r="G676" s="658">
        <v>0</v>
      </c>
      <c r="H676" s="664">
        <v>277000</v>
      </c>
      <c r="I676" s="664">
        <f t="shared" si="10"/>
        <v>251820</v>
      </c>
      <c r="J676" s="661"/>
      <c r="K676">
        <f t="shared" si="13"/>
        <v>214047</v>
      </c>
    </row>
    <row r="677" spans="1:11" ht="18.75" customHeight="1">
      <c r="A677" s="661"/>
      <c r="B677" s="663" t="s">
        <v>7910</v>
      </c>
      <c r="C677" s="657" t="s">
        <v>7141</v>
      </c>
      <c r="D677" s="657" t="s">
        <v>8187</v>
      </c>
      <c r="E677" s="663" t="s">
        <v>8188</v>
      </c>
      <c r="F677" s="658">
        <v>0.1</v>
      </c>
      <c r="G677" s="658">
        <v>0</v>
      </c>
      <c r="H677" s="664">
        <v>288000</v>
      </c>
      <c r="I677" s="664">
        <f t="shared" si="10"/>
        <v>261820</v>
      </c>
      <c r="J677" s="661"/>
      <c r="K677">
        <f t="shared" si="13"/>
        <v>222547</v>
      </c>
    </row>
    <row r="678" spans="1:11" ht="18.75" customHeight="1">
      <c r="A678" s="661"/>
      <c r="B678" s="663" t="s">
        <v>7910</v>
      </c>
      <c r="C678" s="657" t="s">
        <v>7141</v>
      </c>
      <c r="D678" s="657" t="s">
        <v>8189</v>
      </c>
      <c r="E678" s="663" t="s">
        <v>8190</v>
      </c>
      <c r="F678" s="658">
        <v>0.1</v>
      </c>
      <c r="G678" s="658">
        <v>0</v>
      </c>
      <c r="H678" s="664">
        <v>297800</v>
      </c>
      <c r="I678" s="664">
        <f t="shared" si="10"/>
        <v>270730</v>
      </c>
      <c r="J678" s="661"/>
      <c r="K678">
        <f t="shared" si="13"/>
        <v>230120.5</v>
      </c>
    </row>
    <row r="679" spans="1:11" ht="18.75" customHeight="1">
      <c r="A679" s="661"/>
      <c r="B679" s="663" t="s">
        <v>7910</v>
      </c>
      <c r="C679" s="657" t="s">
        <v>7141</v>
      </c>
      <c r="D679" s="657" t="s">
        <v>8191</v>
      </c>
      <c r="E679" s="663" t="s">
        <v>8192</v>
      </c>
      <c r="F679" s="658">
        <v>0.1</v>
      </c>
      <c r="G679" s="658">
        <v>0</v>
      </c>
      <c r="H679" s="664">
        <v>319300</v>
      </c>
      <c r="I679" s="664">
        <f t="shared" si="10"/>
        <v>290270</v>
      </c>
      <c r="J679" s="661"/>
      <c r="K679">
        <f t="shared" si="13"/>
        <v>246729.5</v>
      </c>
    </row>
    <row r="680" spans="1:11" ht="18.75" customHeight="1">
      <c r="A680" s="661"/>
      <c r="B680" s="663" t="s">
        <v>7910</v>
      </c>
      <c r="C680" s="657" t="s">
        <v>7141</v>
      </c>
      <c r="D680" s="657" t="s">
        <v>8193</v>
      </c>
      <c r="E680" s="663" t="s">
        <v>8194</v>
      </c>
      <c r="F680" s="658">
        <v>0.1</v>
      </c>
      <c r="G680" s="658">
        <v>0</v>
      </c>
      <c r="H680" s="664">
        <v>344300</v>
      </c>
      <c r="I680" s="664">
        <f t="shared" si="10"/>
        <v>313000</v>
      </c>
      <c r="J680" s="661"/>
      <c r="K680">
        <f t="shared" si="13"/>
        <v>266050</v>
      </c>
    </row>
    <row r="681" spans="1:11" ht="18.75" customHeight="1">
      <c r="A681" s="661"/>
      <c r="B681" s="663" t="s">
        <v>7910</v>
      </c>
      <c r="C681" s="657" t="s">
        <v>7141</v>
      </c>
      <c r="D681" s="657" t="s">
        <v>8195</v>
      </c>
      <c r="E681" s="663" t="s">
        <v>8196</v>
      </c>
      <c r="F681" s="658">
        <v>0.1</v>
      </c>
      <c r="G681" s="658">
        <v>0</v>
      </c>
      <c r="H681" s="664">
        <v>365100</v>
      </c>
      <c r="I681" s="664">
        <f t="shared" si="10"/>
        <v>331910</v>
      </c>
      <c r="J681" s="661"/>
      <c r="K681">
        <f t="shared" si="13"/>
        <v>282123.5</v>
      </c>
    </row>
    <row r="682" spans="1:11" ht="18.75" customHeight="1">
      <c r="A682" s="661"/>
      <c r="B682" s="663" t="s">
        <v>7910</v>
      </c>
      <c r="C682" s="657" t="s">
        <v>7141</v>
      </c>
      <c r="D682" s="657" t="s">
        <v>8197</v>
      </c>
      <c r="E682" s="663" t="s">
        <v>8198</v>
      </c>
      <c r="F682" s="658">
        <v>0.1</v>
      </c>
      <c r="G682" s="658">
        <v>0</v>
      </c>
      <c r="H682" s="664">
        <v>367100</v>
      </c>
      <c r="I682" s="664">
        <f t="shared" si="10"/>
        <v>333730</v>
      </c>
      <c r="J682" s="661"/>
      <c r="K682">
        <f t="shared" si="13"/>
        <v>283670.5</v>
      </c>
    </row>
    <row r="683" spans="1:11" ht="18.75" customHeight="1">
      <c r="A683" s="661"/>
      <c r="B683" s="663" t="s">
        <v>7910</v>
      </c>
      <c r="C683" s="657" t="s">
        <v>7141</v>
      </c>
      <c r="D683" s="657" t="s">
        <v>8199</v>
      </c>
      <c r="E683" s="663" t="s">
        <v>8200</v>
      </c>
      <c r="F683" s="658">
        <v>0.1</v>
      </c>
      <c r="G683" s="658">
        <v>0</v>
      </c>
      <c r="H683" s="664">
        <v>380600</v>
      </c>
      <c r="I683" s="664">
        <f t="shared" si="10"/>
        <v>346000</v>
      </c>
      <c r="J683" s="661"/>
      <c r="K683">
        <f t="shared" si="13"/>
        <v>294100</v>
      </c>
    </row>
    <row r="684" spans="1:11" ht="18.75" customHeight="1">
      <c r="A684" s="661"/>
      <c r="B684" s="663" t="s">
        <v>7910</v>
      </c>
      <c r="C684" s="657" t="s">
        <v>7141</v>
      </c>
      <c r="D684" s="657" t="s">
        <v>8201</v>
      </c>
      <c r="E684" s="663" t="s">
        <v>8202</v>
      </c>
      <c r="F684" s="658">
        <v>0.1</v>
      </c>
      <c r="G684" s="658">
        <v>0</v>
      </c>
      <c r="H684" s="664">
        <v>411300</v>
      </c>
      <c r="I684" s="664">
        <f t="shared" si="10"/>
        <v>373910</v>
      </c>
      <c r="J684" s="661"/>
      <c r="K684">
        <f t="shared" si="13"/>
        <v>317823.5</v>
      </c>
    </row>
    <row r="685" spans="1:11" ht="18.75" customHeight="1">
      <c r="A685" s="661"/>
      <c r="B685" s="663" t="s">
        <v>7910</v>
      </c>
      <c r="C685" s="657" t="s">
        <v>7141</v>
      </c>
      <c r="D685" s="657" t="s">
        <v>8203</v>
      </c>
      <c r="E685" s="663" t="s">
        <v>8204</v>
      </c>
      <c r="F685" s="658">
        <v>0.1</v>
      </c>
      <c r="G685" s="658">
        <v>0</v>
      </c>
      <c r="H685" s="664">
        <v>489100</v>
      </c>
      <c r="I685" s="664">
        <f t="shared" si="10"/>
        <v>444640</v>
      </c>
      <c r="J685" s="661"/>
      <c r="K685">
        <f t="shared" si="13"/>
        <v>377944</v>
      </c>
    </row>
    <row r="686" spans="1:11" ht="18.75" customHeight="1">
      <c r="A686" s="661"/>
      <c r="B686" s="663" t="s">
        <v>7910</v>
      </c>
      <c r="C686" s="657" t="s">
        <v>7141</v>
      </c>
      <c r="D686" s="657" t="s">
        <v>8205</v>
      </c>
      <c r="E686" s="663" t="s">
        <v>8206</v>
      </c>
      <c r="F686" s="658">
        <v>0.1</v>
      </c>
      <c r="G686" s="658">
        <v>0</v>
      </c>
      <c r="H686" s="664">
        <v>531400</v>
      </c>
      <c r="I686" s="664">
        <f t="shared" si="10"/>
        <v>483090</v>
      </c>
      <c r="J686" s="661"/>
      <c r="K686">
        <f t="shared" si="13"/>
        <v>410626.5</v>
      </c>
    </row>
    <row r="687" spans="1:11" ht="18.75" customHeight="1">
      <c r="A687" s="661"/>
      <c r="B687" s="663" t="s">
        <v>7910</v>
      </c>
      <c r="C687" s="657" t="s">
        <v>7141</v>
      </c>
      <c r="D687" s="657" t="s">
        <v>8207</v>
      </c>
      <c r="E687" s="663" t="s">
        <v>8208</v>
      </c>
      <c r="F687" s="658">
        <v>0.1</v>
      </c>
      <c r="G687" s="658">
        <v>0</v>
      </c>
      <c r="H687" s="664">
        <v>543100</v>
      </c>
      <c r="I687" s="664">
        <f t="shared" si="10"/>
        <v>493730</v>
      </c>
      <c r="J687" s="661"/>
      <c r="K687">
        <f t="shared" si="13"/>
        <v>419670.5</v>
      </c>
    </row>
    <row r="688" spans="1:11" ht="18.75" customHeight="1">
      <c r="A688" s="661"/>
      <c r="B688" s="663" t="s">
        <v>7910</v>
      </c>
      <c r="C688" s="657" t="s">
        <v>7141</v>
      </c>
      <c r="D688" s="657" t="s">
        <v>8209</v>
      </c>
      <c r="E688" s="663" t="s">
        <v>8210</v>
      </c>
      <c r="F688" s="658">
        <v>0.1</v>
      </c>
      <c r="G688" s="658">
        <v>0</v>
      </c>
      <c r="H688" s="664">
        <v>566200</v>
      </c>
      <c r="I688" s="664">
        <f t="shared" si="10"/>
        <v>514730</v>
      </c>
      <c r="J688" s="661"/>
      <c r="K688">
        <f t="shared" si="13"/>
        <v>437520.5</v>
      </c>
    </row>
    <row r="689" spans="1:11" ht="18.75" customHeight="1">
      <c r="A689" s="661"/>
      <c r="B689" s="663" t="s">
        <v>7910</v>
      </c>
      <c r="C689" s="657" t="s">
        <v>7141</v>
      </c>
      <c r="D689" s="657" t="s">
        <v>8211</v>
      </c>
      <c r="E689" s="663" t="s">
        <v>8212</v>
      </c>
      <c r="F689" s="658">
        <v>0.1</v>
      </c>
      <c r="G689" s="658">
        <v>0</v>
      </c>
      <c r="H689" s="664">
        <v>655100</v>
      </c>
      <c r="I689" s="664">
        <f t="shared" si="10"/>
        <v>595550</v>
      </c>
      <c r="J689" s="661"/>
      <c r="K689">
        <f t="shared" si="13"/>
        <v>506217.5</v>
      </c>
    </row>
    <row r="690" spans="1:11" ht="18.75" customHeight="1">
      <c r="A690" s="661"/>
      <c r="B690" s="663" t="s">
        <v>7910</v>
      </c>
      <c r="C690" s="657" t="s">
        <v>7141</v>
      </c>
      <c r="D690" s="657" t="s">
        <v>8213</v>
      </c>
      <c r="E690" s="663" t="s">
        <v>8214</v>
      </c>
      <c r="F690" s="658">
        <v>0.1</v>
      </c>
      <c r="G690" s="658">
        <v>0</v>
      </c>
      <c r="H690" s="664">
        <v>675400</v>
      </c>
      <c r="I690" s="664">
        <f t="shared" si="10"/>
        <v>614000</v>
      </c>
      <c r="J690" s="661"/>
      <c r="K690">
        <f t="shared" si="13"/>
        <v>521900</v>
      </c>
    </row>
    <row r="691" spans="1:11" ht="18.75" customHeight="1">
      <c r="A691" s="661"/>
      <c r="B691" s="663" t="s">
        <v>7910</v>
      </c>
      <c r="C691" s="657" t="s">
        <v>7141</v>
      </c>
      <c r="D691" s="657" t="s">
        <v>8215</v>
      </c>
      <c r="E691" s="663" t="s">
        <v>8216</v>
      </c>
      <c r="F691" s="658">
        <v>0.1</v>
      </c>
      <c r="G691" s="658">
        <v>0</v>
      </c>
      <c r="H691" s="664">
        <v>700900</v>
      </c>
      <c r="I691" s="664">
        <f t="shared" si="10"/>
        <v>637180</v>
      </c>
      <c r="J691" s="661"/>
      <c r="K691">
        <f t="shared" si="13"/>
        <v>541603</v>
      </c>
    </row>
    <row r="692" spans="1:11" ht="18.75" customHeight="1">
      <c r="A692" s="661"/>
      <c r="B692" s="663" t="s">
        <v>7910</v>
      </c>
      <c r="C692" s="657" t="s">
        <v>7141</v>
      </c>
      <c r="D692" s="657" t="s">
        <v>8217</v>
      </c>
      <c r="E692" s="663" t="s">
        <v>8218</v>
      </c>
      <c r="F692" s="658">
        <v>0.1</v>
      </c>
      <c r="G692" s="658">
        <v>0</v>
      </c>
      <c r="H692" s="664">
        <v>1161400</v>
      </c>
      <c r="I692" s="664">
        <f t="shared" si="10"/>
        <v>1055820</v>
      </c>
      <c r="J692" s="661"/>
      <c r="K692">
        <f t="shared" si="13"/>
        <v>897447</v>
      </c>
    </row>
    <row r="693" spans="1:11" ht="18.75" customHeight="1">
      <c r="A693" s="661"/>
      <c r="B693" s="663" t="s">
        <v>7910</v>
      </c>
      <c r="C693" s="657" t="s">
        <v>7141</v>
      </c>
      <c r="D693" s="657" t="s">
        <v>8219</v>
      </c>
      <c r="E693" s="663" t="s">
        <v>8220</v>
      </c>
      <c r="F693" s="658">
        <v>0.1</v>
      </c>
      <c r="G693" s="658">
        <v>0</v>
      </c>
      <c r="H693" s="664">
        <v>857000</v>
      </c>
      <c r="I693" s="664">
        <f t="shared" si="10"/>
        <v>779090</v>
      </c>
      <c r="J693" s="661"/>
      <c r="K693">
        <f t="shared" si="13"/>
        <v>662226.5</v>
      </c>
    </row>
    <row r="694" spans="1:11" ht="18.75" customHeight="1">
      <c r="A694" s="661"/>
      <c r="B694" s="663" t="s">
        <v>7910</v>
      </c>
      <c r="C694" s="657" t="s">
        <v>7141</v>
      </c>
      <c r="D694" s="657" t="s">
        <v>8221</v>
      </c>
      <c r="E694" s="663" t="s">
        <v>8222</v>
      </c>
      <c r="F694" s="658">
        <v>0.1</v>
      </c>
      <c r="G694" s="658">
        <v>0</v>
      </c>
      <c r="H694" s="664">
        <v>896700</v>
      </c>
      <c r="I694" s="664">
        <f t="shared" si="10"/>
        <v>815180</v>
      </c>
      <c r="J694" s="661"/>
      <c r="K694">
        <f t="shared" si="13"/>
        <v>692903</v>
      </c>
    </row>
    <row r="695" spans="1:11" ht="18.75" customHeight="1">
      <c r="A695" s="661"/>
      <c r="B695" s="663" t="s">
        <v>7910</v>
      </c>
      <c r="C695" s="657" t="s">
        <v>7141</v>
      </c>
      <c r="D695" s="657" t="s">
        <v>8223</v>
      </c>
      <c r="E695" s="663" t="s">
        <v>8224</v>
      </c>
      <c r="F695" s="658">
        <v>0.1</v>
      </c>
      <c r="G695" s="658">
        <v>0</v>
      </c>
      <c r="H695" s="664">
        <v>964800</v>
      </c>
      <c r="I695" s="664">
        <f t="shared" si="10"/>
        <v>877090</v>
      </c>
      <c r="J695" s="661"/>
      <c r="K695">
        <f t="shared" si="13"/>
        <v>745526.5</v>
      </c>
    </row>
    <row r="696" spans="1:11" ht="18.75" customHeight="1">
      <c r="A696" s="661"/>
      <c r="B696" s="663" t="s">
        <v>7910</v>
      </c>
      <c r="C696" s="657" t="s">
        <v>7141</v>
      </c>
      <c r="D696" s="657" t="s">
        <v>8225</v>
      </c>
      <c r="E696" s="663" t="s">
        <v>8226</v>
      </c>
      <c r="F696" s="658">
        <v>0.1</v>
      </c>
      <c r="G696" s="658">
        <v>0</v>
      </c>
      <c r="H696" s="664">
        <v>200600</v>
      </c>
      <c r="I696" s="664">
        <f t="shared" si="10"/>
        <v>182360</v>
      </c>
      <c r="J696" s="661"/>
      <c r="K696">
        <f t="shared" si="13"/>
        <v>155006</v>
      </c>
    </row>
    <row r="697" spans="1:11" ht="18.75" customHeight="1">
      <c r="A697" s="661"/>
      <c r="B697" s="663" t="s">
        <v>7910</v>
      </c>
      <c r="C697" s="657" t="s">
        <v>7141</v>
      </c>
      <c r="D697" s="657" t="s">
        <v>8227</v>
      </c>
      <c r="E697" s="663" t="s">
        <v>8228</v>
      </c>
      <c r="F697" s="658">
        <v>0.1</v>
      </c>
      <c r="G697" s="658">
        <v>0</v>
      </c>
      <c r="H697" s="664">
        <v>226100</v>
      </c>
      <c r="I697" s="664">
        <f t="shared" si="10"/>
        <v>205550</v>
      </c>
      <c r="J697" s="661"/>
      <c r="K697">
        <f t="shared" si="13"/>
        <v>174717.5</v>
      </c>
    </row>
    <row r="698" spans="1:11" ht="18.75" customHeight="1">
      <c r="A698" s="661"/>
      <c r="B698" s="663" t="s">
        <v>7910</v>
      </c>
      <c r="C698" s="657" t="s">
        <v>7141</v>
      </c>
      <c r="D698" s="657" t="s">
        <v>8229</v>
      </c>
      <c r="E698" s="663" t="s">
        <v>8230</v>
      </c>
      <c r="F698" s="658">
        <v>0.1</v>
      </c>
      <c r="G698" s="658">
        <v>0</v>
      </c>
      <c r="H698" s="664">
        <v>249200</v>
      </c>
      <c r="I698" s="664">
        <f t="shared" si="10"/>
        <v>226550</v>
      </c>
      <c r="J698" s="661"/>
      <c r="K698">
        <f t="shared" si="13"/>
        <v>192567.5</v>
      </c>
    </row>
    <row r="699" spans="1:11" ht="18.75" customHeight="1">
      <c r="A699" s="661"/>
      <c r="B699" s="663" t="s">
        <v>7910</v>
      </c>
      <c r="C699" s="657" t="s">
        <v>7141</v>
      </c>
      <c r="D699" s="657" t="s">
        <v>8231</v>
      </c>
      <c r="E699" s="663" t="s">
        <v>8232</v>
      </c>
      <c r="F699" s="658">
        <v>0.1</v>
      </c>
      <c r="G699" s="658">
        <v>0</v>
      </c>
      <c r="H699" s="664">
        <v>260200</v>
      </c>
      <c r="I699" s="664">
        <f t="shared" si="10"/>
        <v>236550</v>
      </c>
      <c r="J699" s="661"/>
      <c r="K699">
        <f t="shared" si="13"/>
        <v>201067.5</v>
      </c>
    </row>
    <row r="700" spans="1:11" ht="18.75" customHeight="1">
      <c r="A700" s="661"/>
      <c r="B700" s="663" t="s">
        <v>7910</v>
      </c>
      <c r="C700" s="657" t="s">
        <v>7141</v>
      </c>
      <c r="D700" s="657" t="s">
        <v>8233</v>
      </c>
      <c r="E700" s="663" t="s">
        <v>8234</v>
      </c>
      <c r="F700" s="658">
        <v>0.1</v>
      </c>
      <c r="G700" s="658">
        <v>0</v>
      </c>
      <c r="H700" s="664">
        <v>270100</v>
      </c>
      <c r="I700" s="664">
        <f t="shared" si="10"/>
        <v>245550</v>
      </c>
      <c r="J700" s="661"/>
      <c r="K700">
        <f t="shared" si="13"/>
        <v>208717.5</v>
      </c>
    </row>
    <row r="701" spans="1:11" ht="18.75" customHeight="1">
      <c r="A701" s="661"/>
      <c r="B701" s="663" t="s">
        <v>7910</v>
      </c>
      <c r="C701" s="657" t="s">
        <v>7141</v>
      </c>
      <c r="D701" s="657" t="s">
        <v>8235</v>
      </c>
      <c r="E701" s="663" t="s">
        <v>8236</v>
      </c>
      <c r="F701" s="658">
        <v>0.1</v>
      </c>
      <c r="G701" s="658">
        <v>0</v>
      </c>
      <c r="H701" s="664">
        <v>302100</v>
      </c>
      <c r="I701" s="664">
        <f t="shared" si="10"/>
        <v>274640</v>
      </c>
      <c r="J701" s="661"/>
      <c r="K701">
        <f t="shared" si="13"/>
        <v>233444</v>
      </c>
    </row>
    <row r="702" spans="1:11" ht="18.75" customHeight="1">
      <c r="A702" s="661"/>
      <c r="B702" s="663" t="s">
        <v>7910</v>
      </c>
      <c r="C702" s="657" t="s">
        <v>7141</v>
      </c>
      <c r="D702" s="657" t="s">
        <v>8237</v>
      </c>
      <c r="E702" s="663" t="s">
        <v>8238</v>
      </c>
      <c r="F702" s="658">
        <v>0.1</v>
      </c>
      <c r="G702" s="658">
        <v>0</v>
      </c>
      <c r="H702" s="664">
        <v>317000</v>
      </c>
      <c r="I702" s="664">
        <f t="shared" si="10"/>
        <v>288180</v>
      </c>
      <c r="J702" s="661"/>
      <c r="K702">
        <f t="shared" si="13"/>
        <v>244953</v>
      </c>
    </row>
    <row r="703" spans="1:11" ht="18.75" customHeight="1">
      <c r="A703" s="661"/>
      <c r="B703" s="663" t="s">
        <v>7910</v>
      </c>
      <c r="C703" s="657" t="s">
        <v>7141</v>
      </c>
      <c r="D703" s="657" t="s">
        <v>8239</v>
      </c>
      <c r="E703" s="663" t="s">
        <v>8240</v>
      </c>
      <c r="F703" s="658">
        <v>0.1</v>
      </c>
      <c r="G703" s="658">
        <v>0</v>
      </c>
      <c r="H703" s="664">
        <v>338000</v>
      </c>
      <c r="I703" s="664">
        <f t="shared" si="10"/>
        <v>307270</v>
      </c>
      <c r="J703" s="661"/>
      <c r="K703">
        <f t="shared" si="13"/>
        <v>261179.5</v>
      </c>
    </row>
    <row r="704" spans="1:11" ht="18.75" customHeight="1">
      <c r="A704" s="661"/>
      <c r="B704" s="663" t="s">
        <v>7910</v>
      </c>
      <c r="C704" s="657" t="s">
        <v>7141</v>
      </c>
      <c r="D704" s="657" t="s">
        <v>8241</v>
      </c>
      <c r="E704" s="663" t="s">
        <v>8242</v>
      </c>
      <c r="F704" s="658">
        <v>0.1</v>
      </c>
      <c r="G704" s="658">
        <v>0</v>
      </c>
      <c r="H704" s="664">
        <v>351200</v>
      </c>
      <c r="I704" s="664">
        <f t="shared" si="10"/>
        <v>319270</v>
      </c>
      <c r="J704" s="661"/>
      <c r="K704">
        <f t="shared" si="13"/>
        <v>271379.5</v>
      </c>
    </row>
    <row r="705" spans="1:11" ht="18.75" customHeight="1">
      <c r="A705" s="661"/>
      <c r="B705" s="663" t="s">
        <v>7910</v>
      </c>
      <c r="C705" s="657" t="s">
        <v>7141</v>
      </c>
      <c r="D705" s="657" t="s">
        <v>8243</v>
      </c>
      <c r="E705" s="663" t="s">
        <v>8244</v>
      </c>
      <c r="F705" s="658">
        <v>0.1</v>
      </c>
      <c r="G705" s="658">
        <v>0</v>
      </c>
      <c r="H705" s="664">
        <v>379900</v>
      </c>
      <c r="I705" s="664">
        <f t="shared" si="10"/>
        <v>345360</v>
      </c>
      <c r="J705" s="661"/>
      <c r="K705">
        <f t="shared" si="13"/>
        <v>293556</v>
      </c>
    </row>
    <row r="706" spans="1:11" ht="18.75" customHeight="1">
      <c r="A706" s="661"/>
      <c r="B706" s="663" t="s">
        <v>7910</v>
      </c>
      <c r="C706" s="657" t="s">
        <v>7141</v>
      </c>
      <c r="D706" s="657" t="s">
        <v>8245</v>
      </c>
      <c r="E706" s="663" t="s">
        <v>8246</v>
      </c>
      <c r="F706" s="658">
        <v>0.1</v>
      </c>
      <c r="G706" s="658">
        <v>0</v>
      </c>
      <c r="H706" s="664">
        <v>392200</v>
      </c>
      <c r="I706" s="664">
        <f t="shared" si="10"/>
        <v>356550</v>
      </c>
      <c r="J706" s="661"/>
      <c r="K706">
        <f t="shared" si="13"/>
        <v>303067.5</v>
      </c>
    </row>
    <row r="707" spans="1:11" ht="18.75" customHeight="1">
      <c r="A707" s="661"/>
      <c r="B707" s="663" t="s">
        <v>7910</v>
      </c>
      <c r="C707" s="657" t="s">
        <v>7141</v>
      </c>
      <c r="D707" s="657" t="s">
        <v>8247</v>
      </c>
      <c r="E707" s="663" t="s">
        <v>8248</v>
      </c>
      <c r="F707" s="658">
        <v>0.1</v>
      </c>
      <c r="G707" s="658">
        <v>0</v>
      </c>
      <c r="H707" s="664">
        <v>408000</v>
      </c>
      <c r="I707" s="664">
        <f t="shared" si="10"/>
        <v>370910</v>
      </c>
      <c r="J707" s="661"/>
      <c r="K707">
        <f t="shared" si="13"/>
        <v>315273.5</v>
      </c>
    </row>
    <row r="708" spans="1:11" ht="18.75" customHeight="1">
      <c r="A708" s="661"/>
      <c r="B708" s="663" t="s">
        <v>7910</v>
      </c>
      <c r="C708" s="657" t="s">
        <v>7141</v>
      </c>
      <c r="D708" s="657" t="s">
        <v>8249</v>
      </c>
      <c r="E708" s="663" t="s">
        <v>8250</v>
      </c>
      <c r="F708" s="658">
        <v>0.1</v>
      </c>
      <c r="G708" s="658">
        <v>0</v>
      </c>
      <c r="H708" s="664">
        <v>433800</v>
      </c>
      <c r="I708" s="664">
        <f t="shared" si="10"/>
        <v>394360</v>
      </c>
      <c r="J708" s="661"/>
      <c r="K708">
        <f t="shared" si="13"/>
        <v>335206</v>
      </c>
    </row>
    <row r="709" spans="1:11" ht="18.75" customHeight="1">
      <c r="A709" s="661"/>
      <c r="B709" s="663" t="s">
        <v>7910</v>
      </c>
      <c r="C709" s="657" t="s">
        <v>7141</v>
      </c>
      <c r="D709" s="657" t="s">
        <v>8251</v>
      </c>
      <c r="E709" s="663" t="s">
        <v>8252</v>
      </c>
      <c r="F709" s="658">
        <v>0.1</v>
      </c>
      <c r="G709" s="658">
        <v>0</v>
      </c>
      <c r="H709" s="664">
        <v>464600</v>
      </c>
      <c r="I709" s="664">
        <f t="shared" si="10"/>
        <v>422360</v>
      </c>
      <c r="J709" s="661"/>
      <c r="K709">
        <f t="shared" si="13"/>
        <v>359006</v>
      </c>
    </row>
    <row r="710" spans="1:11" ht="18.75" customHeight="1">
      <c r="A710" s="661"/>
      <c r="B710" s="663" t="s">
        <v>7910</v>
      </c>
      <c r="C710" s="657" t="s">
        <v>7141</v>
      </c>
      <c r="D710" s="657" t="s">
        <v>8253</v>
      </c>
      <c r="E710" s="663" t="s">
        <v>8254</v>
      </c>
      <c r="F710" s="658">
        <v>0.1</v>
      </c>
      <c r="G710" s="658">
        <v>0</v>
      </c>
      <c r="H710" s="664">
        <v>484600</v>
      </c>
      <c r="I710" s="664">
        <f t="shared" si="10"/>
        <v>440550</v>
      </c>
      <c r="J710" s="661"/>
      <c r="K710">
        <f t="shared" ref="K710:K757" si="14">+I710*(1+$K$4)</f>
        <v>374467.5</v>
      </c>
    </row>
    <row r="711" spans="1:11" ht="18.75" customHeight="1">
      <c r="A711" s="661"/>
      <c r="B711" s="663" t="s">
        <v>7910</v>
      </c>
      <c r="C711" s="657" t="s">
        <v>7141</v>
      </c>
      <c r="D711" s="657" t="s">
        <v>8255</v>
      </c>
      <c r="E711" s="663" t="s">
        <v>8256</v>
      </c>
      <c r="F711" s="658">
        <v>0.1</v>
      </c>
      <c r="G711" s="658">
        <v>0</v>
      </c>
      <c r="H711" s="664">
        <v>488800</v>
      </c>
      <c r="I711" s="664">
        <f t="shared" si="10"/>
        <v>444360</v>
      </c>
      <c r="J711" s="661"/>
      <c r="K711">
        <f t="shared" si="14"/>
        <v>377706</v>
      </c>
    </row>
    <row r="712" spans="1:11" ht="18.75" customHeight="1">
      <c r="A712" s="661"/>
      <c r="B712" s="663" t="s">
        <v>7910</v>
      </c>
      <c r="C712" s="657" t="s">
        <v>7141</v>
      </c>
      <c r="D712" s="657" t="s">
        <v>8257</v>
      </c>
      <c r="E712" s="663" t="s">
        <v>8258</v>
      </c>
      <c r="F712" s="658">
        <v>0.1</v>
      </c>
      <c r="G712" s="658">
        <v>0</v>
      </c>
      <c r="H712" s="664">
        <v>506100</v>
      </c>
      <c r="I712" s="664">
        <f t="shared" si="10"/>
        <v>460090</v>
      </c>
      <c r="J712" s="661"/>
      <c r="K712">
        <f t="shared" si="14"/>
        <v>391076.5</v>
      </c>
    </row>
    <row r="713" spans="1:11" ht="18.75" customHeight="1">
      <c r="A713" s="661"/>
      <c r="B713" s="663" t="s">
        <v>7910</v>
      </c>
      <c r="C713" s="657" t="s">
        <v>7141</v>
      </c>
      <c r="D713" s="657" t="s">
        <v>8259</v>
      </c>
      <c r="E713" s="663" t="s">
        <v>8260</v>
      </c>
      <c r="F713" s="658">
        <v>0.1</v>
      </c>
      <c r="G713" s="658">
        <v>0</v>
      </c>
      <c r="H713" s="664">
        <v>544600</v>
      </c>
      <c r="I713" s="664">
        <f t="shared" si="10"/>
        <v>495090</v>
      </c>
      <c r="J713" s="661"/>
      <c r="K713">
        <f t="shared" si="14"/>
        <v>420826.5</v>
      </c>
    </row>
    <row r="714" spans="1:11" ht="18.75" customHeight="1">
      <c r="A714" s="661"/>
      <c r="B714" s="663" t="s">
        <v>7910</v>
      </c>
      <c r="C714" s="657" t="s">
        <v>7141</v>
      </c>
      <c r="D714" s="657" t="s">
        <v>8261</v>
      </c>
      <c r="E714" s="663" t="s">
        <v>8262</v>
      </c>
      <c r="F714" s="658">
        <v>0.1</v>
      </c>
      <c r="G714" s="658">
        <v>0</v>
      </c>
      <c r="H714" s="664">
        <v>600400</v>
      </c>
      <c r="I714" s="664">
        <f t="shared" si="10"/>
        <v>545820</v>
      </c>
      <c r="J714" s="661"/>
      <c r="K714">
        <f t="shared" si="14"/>
        <v>463947</v>
      </c>
    </row>
    <row r="715" spans="1:11" ht="18.75" customHeight="1">
      <c r="A715" s="661"/>
      <c r="B715" s="663" t="s">
        <v>7910</v>
      </c>
      <c r="C715" s="657" t="s">
        <v>7141</v>
      </c>
      <c r="D715" s="657" t="s">
        <v>8263</v>
      </c>
      <c r="E715" s="663" t="s">
        <v>8264</v>
      </c>
      <c r="F715" s="658">
        <v>0.1</v>
      </c>
      <c r="G715" s="658">
        <v>0</v>
      </c>
      <c r="H715" s="664">
        <v>613300</v>
      </c>
      <c r="I715" s="664">
        <f t="shared" si="10"/>
        <v>557550</v>
      </c>
      <c r="J715" s="661"/>
      <c r="K715">
        <f t="shared" si="14"/>
        <v>473917.5</v>
      </c>
    </row>
    <row r="716" spans="1:11" ht="18.75" customHeight="1">
      <c r="A716" s="661"/>
      <c r="B716" s="663" t="s">
        <v>7910</v>
      </c>
      <c r="C716" s="657" t="s">
        <v>7141</v>
      </c>
      <c r="D716" s="657" t="s">
        <v>8265</v>
      </c>
      <c r="E716" s="663" t="s">
        <v>8266</v>
      </c>
      <c r="F716" s="658">
        <v>0.1</v>
      </c>
      <c r="G716" s="658">
        <v>0</v>
      </c>
      <c r="H716" s="664">
        <v>626100</v>
      </c>
      <c r="I716" s="664">
        <f t="shared" si="10"/>
        <v>569180</v>
      </c>
      <c r="J716" s="661"/>
      <c r="K716">
        <f t="shared" si="14"/>
        <v>483803</v>
      </c>
    </row>
    <row r="717" spans="1:11" ht="18.75" customHeight="1">
      <c r="A717" s="661"/>
      <c r="B717" s="663" t="s">
        <v>7910</v>
      </c>
      <c r="C717" s="657" t="s">
        <v>7141</v>
      </c>
      <c r="D717" s="657" t="s">
        <v>8267</v>
      </c>
      <c r="E717" s="663" t="s">
        <v>8268</v>
      </c>
      <c r="F717" s="658">
        <v>0.1</v>
      </c>
      <c r="G717" s="658">
        <v>0</v>
      </c>
      <c r="H717" s="664">
        <v>651800</v>
      </c>
      <c r="I717" s="664">
        <f t="shared" si="10"/>
        <v>592550</v>
      </c>
      <c r="J717" s="661"/>
      <c r="K717">
        <f t="shared" si="14"/>
        <v>503667.5</v>
      </c>
    </row>
    <row r="718" spans="1:11" ht="18.75" customHeight="1">
      <c r="A718" s="661"/>
      <c r="B718" s="663" t="s">
        <v>7910</v>
      </c>
      <c r="C718" s="657" t="s">
        <v>7141</v>
      </c>
      <c r="D718" s="657" t="s">
        <v>8269</v>
      </c>
      <c r="E718" s="663" t="s">
        <v>8270</v>
      </c>
      <c r="F718" s="658">
        <v>0.1</v>
      </c>
      <c r="G718" s="658">
        <v>0</v>
      </c>
      <c r="H718" s="664">
        <v>804800</v>
      </c>
      <c r="I718" s="664">
        <f t="shared" si="10"/>
        <v>731640</v>
      </c>
      <c r="J718" s="661"/>
      <c r="K718">
        <f t="shared" si="14"/>
        <v>621894</v>
      </c>
    </row>
    <row r="719" spans="1:11" ht="18.75" customHeight="1">
      <c r="A719" s="661"/>
      <c r="B719" s="663" t="s">
        <v>7910</v>
      </c>
      <c r="C719" s="657" t="s">
        <v>7141</v>
      </c>
      <c r="D719" s="657" t="s">
        <v>8271</v>
      </c>
      <c r="E719" s="663" t="s">
        <v>8272</v>
      </c>
      <c r="F719" s="658">
        <v>0.1</v>
      </c>
      <c r="G719" s="658">
        <v>0</v>
      </c>
      <c r="H719" s="664">
        <v>819300</v>
      </c>
      <c r="I719" s="664">
        <f t="shared" si="10"/>
        <v>744820</v>
      </c>
      <c r="J719" s="661"/>
      <c r="K719">
        <f t="shared" si="14"/>
        <v>633097</v>
      </c>
    </row>
    <row r="720" spans="1:11" ht="18.75" customHeight="1">
      <c r="A720" s="661"/>
      <c r="B720" s="663" t="s">
        <v>7910</v>
      </c>
      <c r="C720" s="657" t="s">
        <v>7141</v>
      </c>
      <c r="D720" s="657" t="s">
        <v>8273</v>
      </c>
      <c r="E720" s="663" t="s">
        <v>8274</v>
      </c>
      <c r="F720" s="658">
        <v>0.1</v>
      </c>
      <c r="G720" s="658">
        <v>0</v>
      </c>
      <c r="H720" s="664">
        <v>833900</v>
      </c>
      <c r="I720" s="664">
        <f t="shared" si="10"/>
        <v>758090</v>
      </c>
      <c r="J720" s="661"/>
      <c r="K720">
        <f t="shared" si="14"/>
        <v>644376.5</v>
      </c>
    </row>
    <row r="721" spans="1:11" ht="18.75" customHeight="1">
      <c r="A721" s="661"/>
      <c r="B721" s="663" t="s">
        <v>7910</v>
      </c>
      <c r="C721" s="657" t="s">
        <v>7141</v>
      </c>
      <c r="D721" s="657" t="s">
        <v>8275</v>
      </c>
      <c r="E721" s="663" t="s">
        <v>8276</v>
      </c>
      <c r="F721" s="658">
        <v>0.1</v>
      </c>
      <c r="G721" s="658">
        <v>0</v>
      </c>
      <c r="H721" s="664">
        <v>867900</v>
      </c>
      <c r="I721" s="664">
        <f t="shared" si="10"/>
        <v>789000</v>
      </c>
      <c r="J721" s="661"/>
      <c r="K721">
        <f t="shared" si="14"/>
        <v>670650</v>
      </c>
    </row>
    <row r="722" spans="1:11" ht="18.75" customHeight="1">
      <c r="A722" s="661"/>
      <c r="B722" s="663" t="s">
        <v>7910</v>
      </c>
      <c r="C722" s="657" t="s">
        <v>7141</v>
      </c>
      <c r="D722" s="657" t="s">
        <v>8277</v>
      </c>
      <c r="E722" s="663" t="s">
        <v>8278</v>
      </c>
      <c r="F722" s="658">
        <v>0.1</v>
      </c>
      <c r="G722" s="658">
        <v>0</v>
      </c>
      <c r="H722" s="664">
        <v>1052900</v>
      </c>
      <c r="I722" s="664">
        <f t="shared" si="10"/>
        <v>957180</v>
      </c>
      <c r="J722" s="661"/>
      <c r="K722">
        <f t="shared" si="14"/>
        <v>813603</v>
      </c>
    </row>
    <row r="723" spans="1:11" ht="18.75" customHeight="1">
      <c r="A723" s="661"/>
      <c r="B723" s="663" t="s">
        <v>7910</v>
      </c>
      <c r="C723" s="657" t="s">
        <v>7141</v>
      </c>
      <c r="D723" s="657" t="s">
        <v>8279</v>
      </c>
      <c r="E723" s="663" t="s">
        <v>8280</v>
      </c>
      <c r="F723" s="658">
        <v>0.1</v>
      </c>
      <c r="G723" s="658">
        <v>0</v>
      </c>
      <c r="H723" s="664">
        <v>1121000</v>
      </c>
      <c r="I723" s="664">
        <f t="shared" si="10"/>
        <v>1019090</v>
      </c>
      <c r="J723" s="661"/>
      <c r="K723">
        <f t="shared" si="14"/>
        <v>866226.5</v>
      </c>
    </row>
    <row r="724" spans="1:11" ht="18.75" customHeight="1">
      <c r="A724" s="661"/>
      <c r="B724" s="663" t="s">
        <v>7910</v>
      </c>
      <c r="C724" s="657" t="s">
        <v>7141</v>
      </c>
      <c r="D724" s="657" t="s">
        <v>8281</v>
      </c>
      <c r="E724" s="663" t="s">
        <v>8282</v>
      </c>
      <c r="F724" s="658">
        <v>0.1</v>
      </c>
      <c r="G724" s="658">
        <v>0</v>
      </c>
      <c r="H724" s="664">
        <v>1254200</v>
      </c>
      <c r="I724" s="664">
        <f t="shared" si="10"/>
        <v>1140180</v>
      </c>
      <c r="J724" s="661"/>
      <c r="K724">
        <f t="shared" si="14"/>
        <v>969153</v>
      </c>
    </row>
    <row r="725" spans="1:11" ht="18.75" customHeight="1">
      <c r="A725" s="661"/>
      <c r="B725" s="663" t="s">
        <v>7910</v>
      </c>
      <c r="C725" s="657" t="s">
        <v>7141</v>
      </c>
      <c r="D725" s="657" t="s">
        <v>8283</v>
      </c>
      <c r="E725" s="663" t="s">
        <v>8284</v>
      </c>
      <c r="F725" s="658">
        <v>0.1</v>
      </c>
      <c r="G725" s="658">
        <v>0</v>
      </c>
      <c r="H725" s="664">
        <v>487100</v>
      </c>
      <c r="I725" s="664">
        <f t="shared" si="10"/>
        <v>442820</v>
      </c>
      <c r="J725" s="661"/>
      <c r="K725">
        <f t="shared" si="14"/>
        <v>376397</v>
      </c>
    </row>
    <row r="726" spans="1:11" ht="18.75" customHeight="1">
      <c r="A726" s="661"/>
      <c r="B726" s="663" t="s">
        <v>7910</v>
      </c>
      <c r="C726" s="657" t="s">
        <v>7141</v>
      </c>
      <c r="D726" s="657" t="s">
        <v>8285</v>
      </c>
      <c r="E726" s="663" t="s">
        <v>8286</v>
      </c>
      <c r="F726" s="658">
        <v>0.1</v>
      </c>
      <c r="G726" s="658">
        <v>0</v>
      </c>
      <c r="H726" s="664">
        <v>508100</v>
      </c>
      <c r="I726" s="664">
        <f t="shared" si="10"/>
        <v>461910</v>
      </c>
      <c r="J726" s="661"/>
      <c r="K726">
        <f t="shared" si="14"/>
        <v>392623.5</v>
      </c>
    </row>
    <row r="727" spans="1:11" ht="18.75" customHeight="1">
      <c r="A727" s="661"/>
      <c r="B727" s="663" t="s">
        <v>7910</v>
      </c>
      <c r="C727" s="657" t="s">
        <v>7141</v>
      </c>
      <c r="D727" s="657" t="s">
        <v>8287</v>
      </c>
      <c r="E727" s="663" t="s">
        <v>8288</v>
      </c>
      <c r="F727" s="658">
        <v>0.1</v>
      </c>
      <c r="G727" s="658">
        <v>0</v>
      </c>
      <c r="H727" s="664">
        <v>528900</v>
      </c>
      <c r="I727" s="664">
        <f t="shared" si="10"/>
        <v>480820</v>
      </c>
      <c r="J727" s="661"/>
      <c r="K727">
        <f t="shared" si="14"/>
        <v>408697</v>
      </c>
    </row>
    <row r="728" spans="1:11" ht="18.75" customHeight="1">
      <c r="A728" s="661"/>
      <c r="B728" s="663" t="s">
        <v>7910</v>
      </c>
      <c r="C728" s="657" t="s">
        <v>7141</v>
      </c>
      <c r="D728" s="657" t="s">
        <v>8289</v>
      </c>
      <c r="E728" s="663" t="s">
        <v>8290</v>
      </c>
      <c r="F728" s="658">
        <v>0.1</v>
      </c>
      <c r="G728" s="658">
        <v>0</v>
      </c>
      <c r="H728" s="664">
        <v>550300</v>
      </c>
      <c r="I728" s="664">
        <f t="shared" si="10"/>
        <v>500270</v>
      </c>
      <c r="J728" s="661"/>
      <c r="K728">
        <f t="shared" si="14"/>
        <v>425229.5</v>
      </c>
    </row>
    <row r="729" spans="1:11" ht="18.75" customHeight="1">
      <c r="A729" s="661"/>
      <c r="B729" s="663" t="s">
        <v>7910</v>
      </c>
      <c r="C729" s="657" t="s">
        <v>7141</v>
      </c>
      <c r="D729" s="657" t="s">
        <v>8291</v>
      </c>
      <c r="E729" s="663" t="s">
        <v>8292</v>
      </c>
      <c r="F729" s="658">
        <v>0.1</v>
      </c>
      <c r="G729" s="658">
        <v>0</v>
      </c>
      <c r="H729" s="664">
        <v>570000</v>
      </c>
      <c r="I729" s="664">
        <f t="shared" si="10"/>
        <v>518180</v>
      </c>
      <c r="J729" s="661"/>
      <c r="K729">
        <f t="shared" si="14"/>
        <v>440453</v>
      </c>
    </row>
    <row r="730" spans="1:11" ht="18.75" customHeight="1">
      <c r="A730" s="661"/>
      <c r="B730" s="663" t="s">
        <v>7910</v>
      </c>
      <c r="C730" s="657" t="s">
        <v>7141</v>
      </c>
      <c r="D730" s="657" t="s">
        <v>8293</v>
      </c>
      <c r="E730" s="663" t="s">
        <v>8294</v>
      </c>
      <c r="F730" s="658">
        <v>0.1</v>
      </c>
      <c r="G730" s="658">
        <v>0</v>
      </c>
      <c r="H730" s="664">
        <v>591500</v>
      </c>
      <c r="I730" s="664">
        <f t="shared" si="10"/>
        <v>537730</v>
      </c>
      <c r="J730" s="661"/>
      <c r="K730">
        <f t="shared" si="14"/>
        <v>457070.5</v>
      </c>
    </row>
    <row r="731" spans="1:11" ht="18.75" customHeight="1">
      <c r="A731" s="661"/>
      <c r="B731" s="663" t="s">
        <v>7910</v>
      </c>
      <c r="C731" s="657" t="s">
        <v>7141</v>
      </c>
      <c r="D731" s="657" t="s">
        <v>8295</v>
      </c>
      <c r="E731" s="663" t="s">
        <v>8296</v>
      </c>
      <c r="F731" s="658">
        <v>0.1</v>
      </c>
      <c r="G731" s="658">
        <v>0</v>
      </c>
      <c r="H731" s="664">
        <v>608300</v>
      </c>
      <c r="I731" s="664">
        <f t="shared" si="10"/>
        <v>553000</v>
      </c>
      <c r="J731" s="661"/>
      <c r="K731">
        <f t="shared" si="14"/>
        <v>470050</v>
      </c>
    </row>
    <row r="732" spans="1:11" ht="18.75" customHeight="1">
      <c r="A732" s="661"/>
      <c r="B732" s="663" t="s">
        <v>7910</v>
      </c>
      <c r="C732" s="657" t="s">
        <v>7141</v>
      </c>
      <c r="D732" s="657" t="s">
        <v>8297</v>
      </c>
      <c r="E732" s="663" t="s">
        <v>8298</v>
      </c>
      <c r="F732" s="658">
        <v>0.1</v>
      </c>
      <c r="G732" s="658">
        <v>0</v>
      </c>
      <c r="H732" s="664">
        <v>634300</v>
      </c>
      <c r="I732" s="664">
        <f t="shared" si="10"/>
        <v>576640</v>
      </c>
      <c r="J732" s="661"/>
      <c r="K732">
        <f t="shared" si="14"/>
        <v>490144</v>
      </c>
    </row>
    <row r="733" spans="1:11" ht="18.75" customHeight="1">
      <c r="A733" s="661"/>
      <c r="B733" s="663" t="s">
        <v>7910</v>
      </c>
      <c r="C733" s="657" t="s">
        <v>7141</v>
      </c>
      <c r="D733" s="657" t="s">
        <v>8299</v>
      </c>
      <c r="E733" s="663" t="s">
        <v>8300</v>
      </c>
      <c r="F733" s="658">
        <v>0.1</v>
      </c>
      <c r="G733" s="658">
        <v>0</v>
      </c>
      <c r="H733" s="664">
        <v>647100</v>
      </c>
      <c r="I733" s="664">
        <f t="shared" si="10"/>
        <v>588270</v>
      </c>
      <c r="J733" s="661"/>
      <c r="K733">
        <f t="shared" si="14"/>
        <v>500029.5</v>
      </c>
    </row>
    <row r="734" spans="1:11" ht="18.75" customHeight="1">
      <c r="A734" s="661"/>
      <c r="B734" s="663" t="s">
        <v>7910</v>
      </c>
      <c r="C734" s="657" t="s">
        <v>7141</v>
      </c>
      <c r="D734" s="657" t="s">
        <v>8301</v>
      </c>
      <c r="E734" s="663" t="s">
        <v>8302</v>
      </c>
      <c r="F734" s="658">
        <v>0.1</v>
      </c>
      <c r="G734" s="658">
        <v>0</v>
      </c>
      <c r="H734" s="664">
        <v>659700</v>
      </c>
      <c r="I734" s="664">
        <f t="shared" si="10"/>
        <v>599730</v>
      </c>
      <c r="J734" s="661"/>
      <c r="K734">
        <f t="shared" si="14"/>
        <v>509770.5</v>
      </c>
    </row>
    <row r="735" spans="1:11" ht="18.75" customHeight="1">
      <c r="A735" s="661"/>
      <c r="B735" s="663" t="s">
        <v>7910</v>
      </c>
      <c r="C735" s="657" t="s">
        <v>7141</v>
      </c>
      <c r="D735" s="657" t="s">
        <v>8303</v>
      </c>
      <c r="E735" s="663" t="s">
        <v>8304</v>
      </c>
      <c r="F735" s="658">
        <v>0.1</v>
      </c>
      <c r="G735" s="658">
        <v>0</v>
      </c>
      <c r="H735" s="664">
        <v>682700</v>
      </c>
      <c r="I735" s="664">
        <f t="shared" si="10"/>
        <v>620640</v>
      </c>
      <c r="J735" s="661"/>
      <c r="K735">
        <f t="shared" si="14"/>
        <v>527544</v>
      </c>
    </row>
    <row r="736" spans="1:11" ht="18.75" customHeight="1">
      <c r="A736" s="661"/>
      <c r="B736" s="663" t="s">
        <v>7910</v>
      </c>
      <c r="C736" s="657" t="s">
        <v>7141</v>
      </c>
      <c r="D736" s="657" t="s">
        <v>8305</v>
      </c>
      <c r="E736" s="663" t="s">
        <v>8306</v>
      </c>
      <c r="F736" s="658">
        <v>0.1</v>
      </c>
      <c r="G736" s="658">
        <v>0</v>
      </c>
      <c r="H736" s="664">
        <v>684600</v>
      </c>
      <c r="I736" s="664">
        <f t="shared" si="10"/>
        <v>622360</v>
      </c>
      <c r="J736" s="661"/>
      <c r="K736">
        <f t="shared" si="14"/>
        <v>529006</v>
      </c>
    </row>
    <row r="737" spans="1:11" ht="18.75" customHeight="1">
      <c r="A737" s="661"/>
      <c r="B737" s="663" t="s">
        <v>7910</v>
      </c>
      <c r="C737" s="657" t="s">
        <v>7141</v>
      </c>
      <c r="D737" s="657" t="s">
        <v>8307</v>
      </c>
      <c r="E737" s="663" t="s">
        <v>8308</v>
      </c>
      <c r="F737" s="658">
        <v>0.1</v>
      </c>
      <c r="G737" s="658">
        <v>0</v>
      </c>
      <c r="H737" s="664">
        <v>718400</v>
      </c>
      <c r="I737" s="664">
        <f t="shared" si="10"/>
        <v>653090</v>
      </c>
      <c r="J737" s="661"/>
      <c r="K737">
        <f t="shared" si="14"/>
        <v>555126.5</v>
      </c>
    </row>
    <row r="738" spans="1:11" ht="18.75" customHeight="1">
      <c r="A738" s="661"/>
      <c r="B738" s="663" t="s">
        <v>7910</v>
      </c>
      <c r="C738" s="657" t="s">
        <v>7141</v>
      </c>
      <c r="D738" s="657" t="s">
        <v>8309</v>
      </c>
      <c r="E738" s="663" t="s">
        <v>8310</v>
      </c>
      <c r="F738" s="658">
        <v>0.1</v>
      </c>
      <c r="G738" s="658">
        <v>0</v>
      </c>
      <c r="H738" s="664">
        <v>741400</v>
      </c>
      <c r="I738" s="664">
        <f t="shared" si="10"/>
        <v>674000</v>
      </c>
      <c r="J738" s="661"/>
      <c r="K738">
        <f t="shared" si="14"/>
        <v>572900</v>
      </c>
    </row>
    <row r="739" spans="1:11" ht="18.75" customHeight="1">
      <c r="A739" s="661"/>
      <c r="B739" s="663" t="s">
        <v>7910</v>
      </c>
      <c r="C739" s="657" t="s">
        <v>7141</v>
      </c>
      <c r="D739" s="657" t="s">
        <v>8311</v>
      </c>
      <c r="E739" s="663" t="s">
        <v>8312</v>
      </c>
      <c r="F739" s="658">
        <v>0.1</v>
      </c>
      <c r="G739" s="658">
        <v>0</v>
      </c>
      <c r="H739" s="664">
        <v>751200</v>
      </c>
      <c r="I739" s="664">
        <f t="shared" si="10"/>
        <v>682910</v>
      </c>
      <c r="J739" s="661"/>
      <c r="K739">
        <f t="shared" si="14"/>
        <v>580473.5</v>
      </c>
    </row>
    <row r="740" spans="1:11" ht="18.75" customHeight="1">
      <c r="A740" s="661"/>
      <c r="B740" s="663" t="s">
        <v>7910</v>
      </c>
      <c r="C740" s="657" t="s">
        <v>7141</v>
      </c>
      <c r="D740" s="657" t="s">
        <v>8313</v>
      </c>
      <c r="E740" s="663" t="s">
        <v>8314</v>
      </c>
      <c r="F740" s="658">
        <v>0.1</v>
      </c>
      <c r="G740" s="658">
        <v>0</v>
      </c>
      <c r="H740" s="664">
        <v>755200</v>
      </c>
      <c r="I740" s="664">
        <f t="shared" si="10"/>
        <v>686550</v>
      </c>
      <c r="J740" s="661"/>
      <c r="K740">
        <f t="shared" si="14"/>
        <v>583567.5</v>
      </c>
    </row>
    <row r="741" spans="1:11" ht="18.75" customHeight="1">
      <c r="A741" s="661"/>
      <c r="B741" s="663" t="s">
        <v>7910</v>
      </c>
      <c r="C741" s="657" t="s">
        <v>7141</v>
      </c>
      <c r="D741" s="657" t="s">
        <v>8315</v>
      </c>
      <c r="E741" s="663" t="s">
        <v>8316</v>
      </c>
      <c r="F741" s="658">
        <v>0.1</v>
      </c>
      <c r="G741" s="658">
        <v>0</v>
      </c>
      <c r="H741" s="664">
        <v>783300</v>
      </c>
      <c r="I741" s="664">
        <f t="shared" si="10"/>
        <v>712090</v>
      </c>
      <c r="J741" s="661"/>
      <c r="K741">
        <f t="shared" si="14"/>
        <v>605276.5</v>
      </c>
    </row>
    <row r="742" spans="1:11" ht="18.75" customHeight="1">
      <c r="A742" s="661"/>
      <c r="B742" s="663" t="s">
        <v>7910</v>
      </c>
      <c r="C742" s="657" t="s">
        <v>7141</v>
      </c>
      <c r="D742" s="657" t="s">
        <v>8317</v>
      </c>
      <c r="E742" s="663" t="s">
        <v>8318</v>
      </c>
      <c r="F742" s="658">
        <v>0.1</v>
      </c>
      <c r="G742" s="658">
        <v>0</v>
      </c>
      <c r="H742" s="664">
        <v>861400</v>
      </c>
      <c r="I742" s="664">
        <f t="shared" si="10"/>
        <v>783090</v>
      </c>
      <c r="J742" s="661"/>
      <c r="K742">
        <f t="shared" si="14"/>
        <v>665626.5</v>
      </c>
    </row>
    <row r="743" spans="1:11" ht="18.75" customHeight="1">
      <c r="A743" s="661"/>
      <c r="B743" s="663" t="s">
        <v>7910</v>
      </c>
      <c r="C743" s="657" t="s">
        <v>7141</v>
      </c>
      <c r="D743" s="657" t="s">
        <v>8319</v>
      </c>
      <c r="E743" s="663" t="s">
        <v>8320</v>
      </c>
      <c r="F743" s="658">
        <v>0.1</v>
      </c>
      <c r="G743" s="658">
        <v>0</v>
      </c>
      <c r="H743" s="664">
        <v>966900</v>
      </c>
      <c r="I743" s="664">
        <f t="shared" si="10"/>
        <v>879000</v>
      </c>
      <c r="J743" s="661"/>
      <c r="K743">
        <f t="shared" si="14"/>
        <v>747150</v>
      </c>
    </row>
    <row r="744" spans="1:11" ht="18.75" customHeight="1">
      <c r="A744" s="661"/>
      <c r="B744" s="663" t="s">
        <v>7910</v>
      </c>
      <c r="C744" s="657" t="s">
        <v>7141</v>
      </c>
      <c r="D744" s="657" t="s">
        <v>8321</v>
      </c>
      <c r="E744" s="663" t="s">
        <v>8322</v>
      </c>
      <c r="F744" s="658">
        <v>0.1</v>
      </c>
      <c r="G744" s="658">
        <v>0</v>
      </c>
      <c r="H744" s="664">
        <v>985700</v>
      </c>
      <c r="I744" s="664">
        <f t="shared" si="10"/>
        <v>896090</v>
      </c>
      <c r="J744" s="661"/>
      <c r="K744">
        <f t="shared" si="14"/>
        <v>761676.5</v>
      </c>
    </row>
    <row r="745" spans="1:11" ht="18.75" customHeight="1">
      <c r="A745" s="661"/>
      <c r="B745" s="663" t="s">
        <v>7910</v>
      </c>
      <c r="C745" s="657" t="s">
        <v>7141</v>
      </c>
      <c r="D745" s="657" t="s">
        <v>8323</v>
      </c>
      <c r="E745" s="663" t="s">
        <v>8324</v>
      </c>
      <c r="F745" s="658">
        <v>0.1</v>
      </c>
      <c r="G745" s="658">
        <v>0</v>
      </c>
      <c r="H745" s="664">
        <v>1002100</v>
      </c>
      <c r="I745" s="664">
        <f t="shared" si="10"/>
        <v>911000</v>
      </c>
      <c r="J745" s="661"/>
      <c r="K745">
        <f t="shared" si="14"/>
        <v>774350</v>
      </c>
    </row>
    <row r="746" spans="1:11" ht="18.75" customHeight="1">
      <c r="A746" s="661"/>
      <c r="B746" s="663" t="s">
        <v>7910</v>
      </c>
      <c r="C746" s="657" t="s">
        <v>7141</v>
      </c>
      <c r="D746" s="657" t="s">
        <v>8325</v>
      </c>
      <c r="E746" s="663" t="s">
        <v>8326</v>
      </c>
      <c r="F746" s="658">
        <v>0.1</v>
      </c>
      <c r="G746" s="658">
        <v>0</v>
      </c>
      <c r="H746" s="664">
        <v>1129700</v>
      </c>
      <c r="I746" s="664">
        <f t="shared" si="10"/>
        <v>1027000</v>
      </c>
      <c r="J746" s="661"/>
      <c r="K746">
        <f t="shared" si="14"/>
        <v>872950</v>
      </c>
    </row>
    <row r="747" spans="1:11" ht="18.75" customHeight="1">
      <c r="A747" s="661"/>
      <c r="B747" s="663" t="s">
        <v>7910</v>
      </c>
      <c r="C747" s="657" t="s">
        <v>7141</v>
      </c>
      <c r="D747" s="657" t="s">
        <v>8327</v>
      </c>
      <c r="E747" s="663" t="s">
        <v>8328</v>
      </c>
      <c r="F747" s="658">
        <v>0.1</v>
      </c>
      <c r="G747" s="658">
        <v>0</v>
      </c>
      <c r="H747" s="664">
        <v>1448500</v>
      </c>
      <c r="I747" s="664">
        <f t="shared" si="10"/>
        <v>1316820</v>
      </c>
      <c r="J747" s="661"/>
      <c r="K747">
        <f t="shared" si="14"/>
        <v>1119297</v>
      </c>
    </row>
    <row r="748" spans="1:11" ht="18.75" customHeight="1">
      <c r="A748" s="661"/>
      <c r="B748" s="663" t="s">
        <v>7910</v>
      </c>
      <c r="C748" s="657" t="s">
        <v>7141</v>
      </c>
      <c r="D748" s="657" t="s">
        <v>8329</v>
      </c>
      <c r="E748" s="663" t="s">
        <v>8330</v>
      </c>
      <c r="F748" s="658">
        <v>0.1</v>
      </c>
      <c r="G748" s="658">
        <v>0</v>
      </c>
      <c r="H748" s="664">
        <v>1474800</v>
      </c>
      <c r="I748" s="664">
        <f t="shared" si="10"/>
        <v>1340730</v>
      </c>
      <c r="J748" s="661"/>
      <c r="K748">
        <f t="shared" si="14"/>
        <v>1139620.5</v>
      </c>
    </row>
    <row r="749" spans="1:11" ht="18.75" customHeight="1">
      <c r="A749" s="661"/>
      <c r="B749" s="663" t="s">
        <v>7910</v>
      </c>
      <c r="C749" s="657" t="s">
        <v>7141</v>
      </c>
      <c r="D749" s="657" t="s">
        <v>8331</v>
      </c>
      <c r="E749" s="663" t="s">
        <v>8332</v>
      </c>
      <c r="F749" s="658">
        <v>0.1</v>
      </c>
      <c r="G749" s="658">
        <v>0</v>
      </c>
      <c r="H749" s="664">
        <v>1542900</v>
      </c>
      <c r="I749" s="664">
        <f t="shared" si="10"/>
        <v>1402640</v>
      </c>
      <c r="J749" s="661"/>
      <c r="K749">
        <f t="shared" si="14"/>
        <v>1192244</v>
      </c>
    </row>
    <row r="750" spans="1:11" ht="18.75" customHeight="1">
      <c r="A750" s="661"/>
      <c r="B750" s="663" t="s">
        <v>7910</v>
      </c>
      <c r="C750" s="657" t="s">
        <v>7141</v>
      </c>
      <c r="D750" s="657" t="s">
        <v>8333</v>
      </c>
      <c r="E750" s="663" t="s">
        <v>8334</v>
      </c>
      <c r="F750" s="658">
        <v>0.1</v>
      </c>
      <c r="G750" s="658">
        <v>0</v>
      </c>
      <c r="H750" s="664">
        <v>1605700</v>
      </c>
      <c r="I750" s="664">
        <f t="shared" si="10"/>
        <v>1459730</v>
      </c>
      <c r="J750" s="661"/>
      <c r="K750">
        <f t="shared" si="14"/>
        <v>1240770.5</v>
      </c>
    </row>
    <row r="751" spans="1:11" ht="18.75" customHeight="1">
      <c r="A751" s="661"/>
      <c r="B751" s="663" t="s">
        <v>7910</v>
      </c>
      <c r="C751" s="657" t="s">
        <v>7141</v>
      </c>
      <c r="D751" s="657" t="s">
        <v>8335</v>
      </c>
      <c r="E751" s="663" t="s">
        <v>8336</v>
      </c>
      <c r="F751" s="658">
        <v>0.1</v>
      </c>
      <c r="G751" s="658">
        <v>0</v>
      </c>
      <c r="H751" s="664">
        <v>18200</v>
      </c>
      <c r="I751" s="664">
        <f t="shared" si="10"/>
        <v>16550</v>
      </c>
      <c r="J751" s="661"/>
      <c r="K751">
        <f t="shared" si="14"/>
        <v>14067.5</v>
      </c>
    </row>
    <row r="752" spans="1:11" ht="18.75" customHeight="1">
      <c r="A752" s="661"/>
      <c r="B752" s="663" t="s">
        <v>7910</v>
      </c>
      <c r="C752" s="657" t="s">
        <v>7141</v>
      </c>
      <c r="D752" s="657" t="s">
        <v>8337</v>
      </c>
      <c r="E752" s="663" t="s">
        <v>8338</v>
      </c>
      <c r="F752" s="658">
        <v>0.1</v>
      </c>
      <c r="G752" s="658">
        <v>0</v>
      </c>
      <c r="H752" s="664">
        <v>15000</v>
      </c>
      <c r="I752" s="664">
        <f t="shared" si="10"/>
        <v>13640</v>
      </c>
      <c r="J752" s="661"/>
      <c r="K752">
        <f t="shared" si="14"/>
        <v>11594</v>
      </c>
    </row>
    <row r="753" spans="1:11" ht="18.75" customHeight="1">
      <c r="A753" s="661"/>
      <c r="B753" s="663" t="s">
        <v>7910</v>
      </c>
      <c r="C753" s="657" t="s">
        <v>7141</v>
      </c>
      <c r="D753" s="657" t="s">
        <v>8339</v>
      </c>
      <c r="E753" s="663" t="s">
        <v>8340</v>
      </c>
      <c r="F753" s="658">
        <v>0.1</v>
      </c>
      <c r="G753" s="658">
        <v>0</v>
      </c>
      <c r="H753" s="664">
        <v>32700</v>
      </c>
      <c r="I753" s="664">
        <f t="shared" si="10"/>
        <v>29730</v>
      </c>
      <c r="J753" s="661"/>
      <c r="K753">
        <f t="shared" si="14"/>
        <v>25270.5</v>
      </c>
    </row>
    <row r="754" spans="1:11" ht="18.75" customHeight="1">
      <c r="A754" s="661"/>
      <c r="B754" s="663" t="s">
        <v>7910</v>
      </c>
      <c r="C754" s="657" t="s">
        <v>7141</v>
      </c>
      <c r="D754" s="657" t="s">
        <v>8341</v>
      </c>
      <c r="E754" s="663" t="s">
        <v>8342</v>
      </c>
      <c r="F754" s="658">
        <v>0.1</v>
      </c>
      <c r="G754" s="658">
        <v>0</v>
      </c>
      <c r="H754" s="664">
        <v>38700</v>
      </c>
      <c r="I754" s="664">
        <f t="shared" si="10"/>
        <v>35180</v>
      </c>
      <c r="J754" s="661"/>
      <c r="K754">
        <f t="shared" si="14"/>
        <v>29903</v>
      </c>
    </row>
    <row r="755" spans="1:11" ht="18.75" customHeight="1">
      <c r="A755" s="661"/>
      <c r="B755" s="663" t="s">
        <v>7910</v>
      </c>
      <c r="C755" s="657" t="s">
        <v>7141</v>
      </c>
      <c r="D755" s="657" t="s">
        <v>8343</v>
      </c>
      <c r="E755" s="663" t="s">
        <v>8344</v>
      </c>
      <c r="F755" s="658">
        <v>0.1</v>
      </c>
      <c r="G755" s="658">
        <v>0</v>
      </c>
      <c r="H755" s="664">
        <v>44700</v>
      </c>
      <c r="I755" s="664">
        <f t="shared" si="10"/>
        <v>40640</v>
      </c>
      <c r="J755" s="661"/>
      <c r="K755">
        <f t="shared" si="14"/>
        <v>34544</v>
      </c>
    </row>
    <row r="756" spans="1:11" ht="18.75" customHeight="1">
      <c r="A756" s="661"/>
      <c r="B756" s="663" t="s">
        <v>7910</v>
      </c>
      <c r="C756" s="657" t="s">
        <v>7141</v>
      </c>
      <c r="D756" s="657" t="s">
        <v>8345</v>
      </c>
      <c r="E756" s="663" t="s">
        <v>8346</v>
      </c>
      <c r="F756" s="658">
        <v>0.1</v>
      </c>
      <c r="G756" s="658">
        <v>0</v>
      </c>
      <c r="H756" s="664">
        <v>53400</v>
      </c>
      <c r="I756" s="664">
        <f t="shared" si="10"/>
        <v>48550</v>
      </c>
      <c r="J756" s="661"/>
      <c r="K756">
        <f t="shared" si="14"/>
        <v>41267.5</v>
      </c>
    </row>
    <row r="757" spans="1:11" ht="18.75" customHeight="1">
      <c r="A757" s="661"/>
      <c r="B757" s="663" t="s">
        <v>7910</v>
      </c>
      <c r="C757" s="657" t="s">
        <v>7141</v>
      </c>
      <c r="D757" s="657" t="s">
        <v>8347</v>
      </c>
      <c r="E757" s="663" t="s">
        <v>8348</v>
      </c>
      <c r="F757" s="658">
        <v>0.1</v>
      </c>
      <c r="G757" s="658">
        <v>0</v>
      </c>
      <c r="H757" s="664">
        <v>71400</v>
      </c>
      <c r="I757" s="664">
        <f t="shared" si="10"/>
        <v>64910</v>
      </c>
      <c r="J757" s="661"/>
      <c r="K757">
        <f t="shared" si="14"/>
        <v>55173.5</v>
      </c>
    </row>
    <row r="758" spans="1:11" ht="18.75" customHeight="1">
      <c r="A758" s="661"/>
      <c r="B758" s="663" t="s">
        <v>7910</v>
      </c>
      <c r="C758" s="657" t="s">
        <v>7141</v>
      </c>
      <c r="D758" s="657" t="s">
        <v>8349</v>
      </c>
      <c r="E758" s="663" t="s">
        <v>8350</v>
      </c>
      <c r="F758" s="658">
        <v>0.1</v>
      </c>
      <c r="G758" s="658">
        <v>0</v>
      </c>
      <c r="H758" s="664">
        <v>71400</v>
      </c>
      <c r="I758" s="664">
        <f t="shared" si="10"/>
        <v>64910</v>
      </c>
      <c r="J758" s="661"/>
    </row>
    <row r="759" spans="1:11" ht="18.75" customHeight="1">
      <c r="A759" s="661"/>
      <c r="B759" s="663" t="s">
        <v>7910</v>
      </c>
      <c r="C759" s="657" t="s">
        <v>7141</v>
      </c>
      <c r="D759" s="657" t="s">
        <v>8351</v>
      </c>
      <c r="E759" s="663" t="s">
        <v>8352</v>
      </c>
      <c r="F759" s="658">
        <v>0.1</v>
      </c>
      <c r="G759" s="658">
        <v>0</v>
      </c>
      <c r="H759" s="664">
        <v>75700</v>
      </c>
      <c r="I759" s="664">
        <f t="shared" si="10"/>
        <v>68820</v>
      </c>
      <c r="J759" s="661"/>
    </row>
    <row r="760" spans="1:11" ht="18.75" customHeight="1">
      <c r="A760" s="661"/>
      <c r="B760" s="663" t="s">
        <v>7910</v>
      </c>
      <c r="C760" s="657" t="s">
        <v>7141</v>
      </c>
      <c r="D760" s="657" t="s">
        <v>8353</v>
      </c>
      <c r="E760" s="663" t="s">
        <v>8354</v>
      </c>
      <c r="F760" s="658">
        <v>0.1</v>
      </c>
      <c r="G760" s="658">
        <v>0</v>
      </c>
      <c r="H760" s="664">
        <v>88600</v>
      </c>
      <c r="I760" s="664">
        <f t="shared" si="10"/>
        <v>80550</v>
      </c>
      <c r="J760" s="661"/>
    </row>
    <row r="761" spans="1:11" ht="18.75" customHeight="1">
      <c r="A761" s="661"/>
      <c r="B761" s="663" t="s">
        <v>7910</v>
      </c>
      <c r="C761" s="657" t="s">
        <v>7141</v>
      </c>
      <c r="D761" s="657" t="s">
        <v>8355</v>
      </c>
      <c r="E761" s="663" t="s">
        <v>8356</v>
      </c>
      <c r="F761" s="658">
        <v>0.1</v>
      </c>
      <c r="G761" s="658">
        <v>0</v>
      </c>
      <c r="H761" s="664">
        <v>117900</v>
      </c>
      <c r="I761" s="664">
        <f t="shared" si="10"/>
        <v>107180</v>
      </c>
      <c r="J761" s="661"/>
    </row>
    <row r="762" spans="1:11" ht="18.75" customHeight="1">
      <c r="A762" s="661"/>
      <c r="B762" s="663" t="s">
        <v>7910</v>
      </c>
      <c r="C762" s="657" t="s">
        <v>7141</v>
      </c>
      <c r="D762" s="657" t="s">
        <v>8357</v>
      </c>
      <c r="E762" s="663" t="s">
        <v>8358</v>
      </c>
      <c r="F762" s="658">
        <v>0.1</v>
      </c>
      <c r="G762" s="658">
        <v>0</v>
      </c>
      <c r="H762" s="664">
        <v>44700</v>
      </c>
      <c r="I762" s="664">
        <f t="shared" si="10"/>
        <v>40640</v>
      </c>
      <c r="J762" s="661"/>
    </row>
    <row r="763" spans="1:11" ht="18.75" customHeight="1">
      <c r="A763" s="661"/>
      <c r="B763" s="663" t="s">
        <v>7910</v>
      </c>
      <c r="C763" s="657" t="s">
        <v>7141</v>
      </c>
      <c r="D763" s="657" t="s">
        <v>8359</v>
      </c>
      <c r="E763" s="663" t="s">
        <v>8360</v>
      </c>
      <c r="F763" s="658">
        <v>0.1</v>
      </c>
      <c r="G763" s="658">
        <v>0</v>
      </c>
      <c r="H763" s="664">
        <v>61800</v>
      </c>
      <c r="I763" s="664">
        <f t="shared" si="10"/>
        <v>56180</v>
      </c>
      <c r="J763" s="661"/>
    </row>
    <row r="764" spans="1:11" ht="18.75" customHeight="1">
      <c r="A764" s="661"/>
      <c r="B764" s="663" t="s">
        <v>7910</v>
      </c>
      <c r="C764" s="657" t="s">
        <v>7141</v>
      </c>
      <c r="D764" s="657" t="s">
        <v>8361</v>
      </c>
      <c r="E764" s="663" t="s">
        <v>8362</v>
      </c>
      <c r="F764" s="658">
        <v>0.1</v>
      </c>
      <c r="G764" s="658">
        <v>0</v>
      </c>
      <c r="H764" s="664">
        <v>29300</v>
      </c>
      <c r="I764" s="664">
        <f t="shared" si="10"/>
        <v>26640</v>
      </c>
      <c r="J764" s="661"/>
    </row>
    <row r="765" spans="1:11" ht="18.75" customHeight="1">
      <c r="A765" s="661"/>
      <c r="B765" s="663" t="s">
        <v>7910</v>
      </c>
      <c r="C765" s="657" t="s">
        <v>7141</v>
      </c>
      <c r="D765" s="657" t="s">
        <v>8363</v>
      </c>
      <c r="E765" s="663" t="s">
        <v>8364</v>
      </c>
      <c r="F765" s="658">
        <v>0.1</v>
      </c>
      <c r="G765" s="658">
        <v>0</v>
      </c>
      <c r="H765" s="664">
        <v>33800</v>
      </c>
      <c r="I765" s="664">
        <f t="shared" si="10"/>
        <v>30730</v>
      </c>
      <c r="J765" s="661"/>
    </row>
    <row r="766" spans="1:11" ht="18.75" customHeight="1">
      <c r="A766" s="661"/>
      <c r="B766" s="663" t="s">
        <v>7910</v>
      </c>
      <c r="C766" s="657" t="s">
        <v>7141</v>
      </c>
      <c r="D766" s="657" t="s">
        <v>8365</v>
      </c>
      <c r="E766" s="663" t="s">
        <v>8366</v>
      </c>
      <c r="F766" s="658">
        <v>0.1</v>
      </c>
      <c r="G766" s="658">
        <v>0</v>
      </c>
      <c r="H766" s="664">
        <v>38700</v>
      </c>
      <c r="I766" s="664">
        <f t="shared" si="10"/>
        <v>35180</v>
      </c>
      <c r="J766" s="661"/>
    </row>
    <row r="767" spans="1:11" ht="18.75" customHeight="1">
      <c r="A767" s="661"/>
      <c r="B767" s="663" t="s">
        <v>7910</v>
      </c>
      <c r="C767" s="657" t="s">
        <v>7141</v>
      </c>
      <c r="D767" s="657" t="s">
        <v>8367</v>
      </c>
      <c r="E767" s="663" t="s">
        <v>8368</v>
      </c>
      <c r="F767" s="658">
        <v>0.1</v>
      </c>
      <c r="G767" s="658">
        <v>0</v>
      </c>
      <c r="H767" s="664">
        <v>43200</v>
      </c>
      <c r="I767" s="664">
        <f t="shared" si="10"/>
        <v>39270</v>
      </c>
      <c r="J767" s="661"/>
    </row>
    <row r="768" spans="1:11" ht="18.75" customHeight="1">
      <c r="A768" s="661"/>
      <c r="B768" s="663" t="s">
        <v>7910</v>
      </c>
      <c r="C768" s="657" t="s">
        <v>7141</v>
      </c>
      <c r="D768" s="657" t="s">
        <v>8369</v>
      </c>
      <c r="E768" s="663" t="s">
        <v>8370</v>
      </c>
      <c r="F768" s="658">
        <v>0.1</v>
      </c>
      <c r="G768" s="658">
        <v>0</v>
      </c>
      <c r="H768" s="664">
        <v>45900</v>
      </c>
      <c r="I768" s="664">
        <f t="shared" si="10"/>
        <v>41730</v>
      </c>
      <c r="J768" s="661"/>
    </row>
    <row r="769" spans="1:10" ht="18.75" customHeight="1">
      <c r="A769" s="661"/>
      <c r="B769" s="663" t="s">
        <v>7910</v>
      </c>
      <c r="C769" s="657" t="s">
        <v>7141</v>
      </c>
      <c r="D769" s="657" t="s">
        <v>8371</v>
      </c>
      <c r="E769" s="663" t="s">
        <v>8372</v>
      </c>
      <c r="F769" s="658">
        <v>0.1</v>
      </c>
      <c r="G769" s="658">
        <v>0</v>
      </c>
      <c r="H769" s="664">
        <v>51600</v>
      </c>
      <c r="I769" s="664">
        <f t="shared" si="10"/>
        <v>46910</v>
      </c>
      <c r="J769" s="661"/>
    </row>
    <row r="770" spans="1:10" ht="18.75" customHeight="1">
      <c r="A770" s="661"/>
      <c r="B770" s="663" t="s">
        <v>7910</v>
      </c>
      <c r="C770" s="657" t="s">
        <v>7141</v>
      </c>
      <c r="D770" s="657" t="s">
        <v>8373</v>
      </c>
      <c r="E770" s="663" t="s">
        <v>8374</v>
      </c>
      <c r="F770" s="658">
        <v>0.1</v>
      </c>
      <c r="G770" s="658">
        <v>0</v>
      </c>
      <c r="H770" s="664">
        <v>56900</v>
      </c>
      <c r="I770" s="664">
        <f t="shared" ref="I770:I1024" si="15">IF(ISBLANK(H770),,ROUND(H770/(1+F770),-1))</f>
        <v>51730</v>
      </c>
      <c r="J770" s="661"/>
    </row>
    <row r="771" spans="1:10" ht="18.75" customHeight="1">
      <c r="A771" s="661"/>
      <c r="B771" s="663" t="s">
        <v>7910</v>
      </c>
      <c r="C771" s="657" t="s">
        <v>7141</v>
      </c>
      <c r="D771" s="657" t="s">
        <v>8375</v>
      </c>
      <c r="E771" s="663" t="s">
        <v>8376</v>
      </c>
      <c r="F771" s="658">
        <v>0.1</v>
      </c>
      <c r="G771" s="658">
        <v>0</v>
      </c>
      <c r="H771" s="664">
        <v>62200</v>
      </c>
      <c r="I771" s="664">
        <f t="shared" si="15"/>
        <v>56550</v>
      </c>
      <c r="J771" s="661"/>
    </row>
    <row r="772" spans="1:10" ht="18.75" customHeight="1">
      <c r="A772" s="661"/>
      <c r="B772" s="663" t="s">
        <v>7910</v>
      </c>
      <c r="C772" s="657" t="s">
        <v>7141</v>
      </c>
      <c r="D772" s="657" t="s">
        <v>8377</v>
      </c>
      <c r="E772" s="663" t="s">
        <v>8378</v>
      </c>
      <c r="F772" s="658">
        <v>0.1</v>
      </c>
      <c r="G772" s="658">
        <v>0</v>
      </c>
      <c r="H772" s="664">
        <v>69400</v>
      </c>
      <c r="I772" s="664">
        <f t="shared" si="15"/>
        <v>63090</v>
      </c>
      <c r="J772" s="661"/>
    </row>
    <row r="773" spans="1:10" ht="18.75" customHeight="1">
      <c r="A773" s="661"/>
      <c r="B773" s="663" t="s">
        <v>7910</v>
      </c>
      <c r="C773" s="657" t="s">
        <v>7141</v>
      </c>
      <c r="D773" s="657" t="s">
        <v>8379</v>
      </c>
      <c r="E773" s="663" t="s">
        <v>8380</v>
      </c>
      <c r="F773" s="658">
        <v>0.1</v>
      </c>
      <c r="G773" s="658">
        <v>0</v>
      </c>
      <c r="H773" s="664">
        <v>72700</v>
      </c>
      <c r="I773" s="664">
        <f t="shared" si="15"/>
        <v>66090</v>
      </c>
      <c r="J773" s="661"/>
    </row>
    <row r="774" spans="1:10" ht="18.75" customHeight="1">
      <c r="A774" s="661"/>
      <c r="B774" s="663" t="s">
        <v>7910</v>
      </c>
      <c r="C774" s="657" t="s">
        <v>7141</v>
      </c>
      <c r="D774" s="657" t="s">
        <v>8381</v>
      </c>
      <c r="E774" s="663" t="s">
        <v>8382</v>
      </c>
      <c r="F774" s="658">
        <v>0.1</v>
      </c>
      <c r="G774" s="658">
        <v>0</v>
      </c>
      <c r="H774" s="664">
        <v>87200</v>
      </c>
      <c r="I774" s="664">
        <f t="shared" si="15"/>
        <v>79270</v>
      </c>
      <c r="J774" s="661"/>
    </row>
    <row r="775" spans="1:10" ht="18.75" customHeight="1">
      <c r="A775" s="661"/>
      <c r="B775" s="663" t="s">
        <v>7910</v>
      </c>
      <c r="C775" s="657" t="s">
        <v>7141</v>
      </c>
      <c r="D775" s="657" t="s">
        <v>8383</v>
      </c>
      <c r="E775" s="663" t="s">
        <v>8384</v>
      </c>
      <c r="F775" s="658">
        <v>0.1</v>
      </c>
      <c r="G775" s="658">
        <v>0</v>
      </c>
      <c r="H775" s="664">
        <v>29300</v>
      </c>
      <c r="I775" s="664">
        <f t="shared" si="15"/>
        <v>26640</v>
      </c>
      <c r="J775" s="661"/>
    </row>
    <row r="776" spans="1:10" ht="18.75" customHeight="1">
      <c r="A776" s="661"/>
      <c r="B776" s="663" t="s">
        <v>7910</v>
      </c>
      <c r="C776" s="657" t="s">
        <v>7141</v>
      </c>
      <c r="D776" s="657" t="s">
        <v>8385</v>
      </c>
      <c r="E776" s="663" t="s">
        <v>8386</v>
      </c>
      <c r="F776" s="658">
        <v>0.1</v>
      </c>
      <c r="G776" s="658">
        <v>0</v>
      </c>
      <c r="H776" s="664">
        <v>33800</v>
      </c>
      <c r="I776" s="664">
        <f t="shared" si="15"/>
        <v>30730</v>
      </c>
      <c r="J776" s="661"/>
    </row>
    <row r="777" spans="1:10" ht="18.75" customHeight="1">
      <c r="A777" s="661"/>
      <c r="B777" s="663" t="s">
        <v>7910</v>
      </c>
      <c r="C777" s="657" t="s">
        <v>7141</v>
      </c>
      <c r="D777" s="657" t="s">
        <v>8387</v>
      </c>
      <c r="E777" s="663" t="s">
        <v>8388</v>
      </c>
      <c r="F777" s="658">
        <v>0.1</v>
      </c>
      <c r="G777" s="658">
        <v>0</v>
      </c>
      <c r="H777" s="664">
        <v>45900</v>
      </c>
      <c r="I777" s="664">
        <f t="shared" si="15"/>
        <v>41730</v>
      </c>
      <c r="J777" s="661"/>
    </row>
    <row r="778" spans="1:10" ht="18.75" customHeight="1">
      <c r="A778" s="661"/>
      <c r="B778" s="663" t="s">
        <v>7910</v>
      </c>
      <c r="C778" s="657" t="s">
        <v>7141</v>
      </c>
      <c r="D778" s="657" t="s">
        <v>8389</v>
      </c>
      <c r="E778" s="663" t="s">
        <v>8390</v>
      </c>
      <c r="F778" s="658">
        <v>0.1</v>
      </c>
      <c r="G778" s="658">
        <v>0</v>
      </c>
      <c r="H778" s="664">
        <v>96400</v>
      </c>
      <c r="I778" s="664">
        <f t="shared" si="15"/>
        <v>87640</v>
      </c>
      <c r="J778" s="661"/>
    </row>
    <row r="779" spans="1:10" ht="18.75" customHeight="1">
      <c r="A779" s="661"/>
      <c r="B779" s="663" t="s">
        <v>7910</v>
      </c>
      <c r="C779" s="657" t="s">
        <v>7141</v>
      </c>
      <c r="D779" s="657" t="s">
        <v>8391</v>
      </c>
      <c r="E779" s="663" t="s">
        <v>8392</v>
      </c>
      <c r="F779" s="658">
        <v>0.1</v>
      </c>
      <c r="G779" s="658">
        <v>0</v>
      </c>
      <c r="H779" s="664">
        <v>107800</v>
      </c>
      <c r="I779" s="664">
        <f t="shared" si="15"/>
        <v>98000</v>
      </c>
      <c r="J779" s="661"/>
    </row>
    <row r="780" spans="1:10" ht="18.75" customHeight="1">
      <c r="A780" s="661"/>
      <c r="B780" s="663" t="s">
        <v>7910</v>
      </c>
      <c r="C780" s="657" t="s">
        <v>7141</v>
      </c>
      <c r="D780" s="657" t="s">
        <v>8393</v>
      </c>
      <c r="E780" s="663" t="s">
        <v>8394</v>
      </c>
      <c r="F780" s="658">
        <v>0.1</v>
      </c>
      <c r="G780" s="658">
        <v>0</v>
      </c>
      <c r="H780" s="664">
        <v>113200</v>
      </c>
      <c r="I780" s="664">
        <f t="shared" si="15"/>
        <v>102910</v>
      </c>
      <c r="J780" s="661"/>
    </row>
    <row r="781" spans="1:10" ht="18.75" customHeight="1">
      <c r="A781" s="661"/>
      <c r="B781" s="663" t="s">
        <v>7910</v>
      </c>
      <c r="C781" s="657" t="s">
        <v>7141</v>
      </c>
      <c r="D781" s="657" t="s">
        <v>8395</v>
      </c>
      <c r="E781" s="663" t="s">
        <v>8396</v>
      </c>
      <c r="F781" s="658">
        <v>0.1</v>
      </c>
      <c r="G781" s="658">
        <v>0</v>
      </c>
      <c r="H781" s="664">
        <v>128200</v>
      </c>
      <c r="I781" s="664">
        <f t="shared" si="15"/>
        <v>116550</v>
      </c>
      <c r="J781" s="661"/>
    </row>
    <row r="782" spans="1:10" ht="18.75" customHeight="1">
      <c r="A782" s="661"/>
      <c r="B782" s="663" t="s">
        <v>8397</v>
      </c>
      <c r="C782" s="657" t="s">
        <v>8398</v>
      </c>
      <c r="D782" s="657" t="s">
        <v>8399</v>
      </c>
      <c r="E782" s="663" t="s">
        <v>8400</v>
      </c>
      <c r="F782" s="658">
        <v>0.1</v>
      </c>
      <c r="G782" s="658">
        <v>0</v>
      </c>
      <c r="H782" s="664"/>
      <c r="I782" s="664">
        <f t="shared" si="15"/>
        <v>0</v>
      </c>
      <c r="J782" s="661"/>
    </row>
    <row r="783" spans="1:10" ht="18.75" customHeight="1">
      <c r="A783" s="661"/>
      <c r="B783" s="663" t="s">
        <v>8397</v>
      </c>
      <c r="C783" s="657" t="s">
        <v>8398</v>
      </c>
      <c r="D783" s="657" t="s">
        <v>8401</v>
      </c>
      <c r="E783" s="663" t="s">
        <v>8402</v>
      </c>
      <c r="F783" s="658">
        <v>0.1</v>
      </c>
      <c r="G783" s="658">
        <v>0</v>
      </c>
      <c r="H783" s="664"/>
      <c r="I783" s="664">
        <f t="shared" si="15"/>
        <v>0</v>
      </c>
      <c r="J783" s="661"/>
    </row>
    <row r="784" spans="1:10" ht="18.75" customHeight="1">
      <c r="A784" s="661"/>
      <c r="B784" s="663" t="s">
        <v>8397</v>
      </c>
      <c r="C784" s="657" t="s">
        <v>8398</v>
      </c>
      <c r="D784" s="657" t="s">
        <v>8403</v>
      </c>
      <c r="E784" s="663" t="s">
        <v>8404</v>
      </c>
      <c r="F784" s="658">
        <v>0.1</v>
      </c>
      <c r="G784" s="658">
        <v>0</v>
      </c>
      <c r="H784" s="664"/>
      <c r="I784" s="664">
        <f t="shared" si="15"/>
        <v>0</v>
      </c>
      <c r="J784" s="661"/>
    </row>
    <row r="785" spans="1:10" ht="18.75" customHeight="1">
      <c r="A785" s="661"/>
      <c r="B785" s="663" t="s">
        <v>8397</v>
      </c>
      <c r="C785" s="657" t="s">
        <v>8398</v>
      </c>
      <c r="D785" s="657" t="s">
        <v>8405</v>
      </c>
      <c r="E785" s="663" t="s">
        <v>8406</v>
      </c>
      <c r="F785" s="658">
        <v>0.1</v>
      </c>
      <c r="G785" s="658">
        <v>0</v>
      </c>
      <c r="H785" s="664"/>
      <c r="I785" s="664">
        <f t="shared" si="15"/>
        <v>0</v>
      </c>
      <c r="J785" s="661"/>
    </row>
    <row r="786" spans="1:10" ht="18.75" customHeight="1">
      <c r="A786" s="661"/>
      <c r="B786" s="663" t="s">
        <v>8397</v>
      </c>
      <c r="C786" s="657" t="s">
        <v>8398</v>
      </c>
      <c r="D786" s="657" t="s">
        <v>8407</v>
      </c>
      <c r="E786" s="663" t="s">
        <v>8408</v>
      </c>
      <c r="F786" s="658">
        <v>0.1</v>
      </c>
      <c r="G786" s="658">
        <v>0</v>
      </c>
      <c r="H786" s="664"/>
      <c r="I786" s="664">
        <f t="shared" si="15"/>
        <v>0</v>
      </c>
      <c r="J786" s="661"/>
    </row>
    <row r="787" spans="1:10" ht="18.75" customHeight="1">
      <c r="A787" s="661"/>
      <c r="B787" s="663" t="s">
        <v>8397</v>
      </c>
      <c r="C787" s="657" t="s">
        <v>8398</v>
      </c>
      <c r="D787" s="657" t="s">
        <v>8409</v>
      </c>
      <c r="E787" s="663" t="s">
        <v>8410</v>
      </c>
      <c r="F787" s="658">
        <v>0.1</v>
      </c>
      <c r="G787" s="658">
        <v>0</v>
      </c>
      <c r="H787" s="664"/>
      <c r="I787" s="664">
        <f t="shared" si="15"/>
        <v>0</v>
      </c>
      <c r="J787" s="661"/>
    </row>
    <row r="788" spans="1:10" ht="18.75" customHeight="1">
      <c r="A788" s="661"/>
      <c r="B788" s="663" t="s">
        <v>8397</v>
      </c>
      <c r="C788" s="657" t="s">
        <v>8398</v>
      </c>
      <c r="D788" s="657" t="s">
        <v>8411</v>
      </c>
      <c r="E788" s="663" t="s">
        <v>8412</v>
      </c>
      <c r="F788" s="658">
        <v>0.1</v>
      </c>
      <c r="G788" s="658">
        <v>0</v>
      </c>
      <c r="H788" s="664"/>
      <c r="I788" s="664">
        <f t="shared" si="15"/>
        <v>0</v>
      </c>
      <c r="J788" s="661"/>
    </row>
    <row r="789" spans="1:10" ht="18.75" customHeight="1">
      <c r="A789" s="661"/>
      <c r="B789" s="663" t="s">
        <v>8397</v>
      </c>
      <c r="C789" s="657" t="s">
        <v>8398</v>
      </c>
      <c r="D789" s="657" t="s">
        <v>8413</v>
      </c>
      <c r="E789" s="663" t="s">
        <v>8414</v>
      </c>
      <c r="F789" s="658">
        <v>0.1</v>
      </c>
      <c r="G789" s="658">
        <v>0</v>
      </c>
      <c r="H789" s="664"/>
      <c r="I789" s="664">
        <f t="shared" si="15"/>
        <v>0</v>
      </c>
      <c r="J789" s="661"/>
    </row>
    <row r="790" spans="1:10" ht="18.75" customHeight="1">
      <c r="A790" s="661"/>
      <c r="B790" s="663" t="s">
        <v>8397</v>
      </c>
      <c r="C790" s="657" t="s">
        <v>8398</v>
      </c>
      <c r="D790" s="657" t="s">
        <v>8415</v>
      </c>
      <c r="E790" s="663" t="s">
        <v>8416</v>
      </c>
      <c r="F790" s="658">
        <v>0.1</v>
      </c>
      <c r="G790" s="658">
        <v>0</v>
      </c>
      <c r="H790" s="664"/>
      <c r="I790" s="664">
        <f t="shared" si="15"/>
        <v>0</v>
      </c>
      <c r="J790" s="661"/>
    </row>
    <row r="791" spans="1:10" ht="18.75" customHeight="1">
      <c r="A791" s="661"/>
      <c r="B791" s="663" t="s">
        <v>8397</v>
      </c>
      <c r="C791" s="657" t="s">
        <v>8398</v>
      </c>
      <c r="D791" s="657" t="s">
        <v>8417</v>
      </c>
      <c r="E791" s="663" t="s">
        <v>8418</v>
      </c>
      <c r="F791" s="658">
        <v>0.1</v>
      </c>
      <c r="G791" s="658">
        <v>0</v>
      </c>
      <c r="H791" s="664"/>
      <c r="I791" s="664">
        <f t="shared" si="15"/>
        <v>0</v>
      </c>
      <c r="J791" s="661"/>
    </row>
    <row r="792" spans="1:10" ht="18.75" customHeight="1">
      <c r="A792" s="661"/>
      <c r="B792" s="663" t="s">
        <v>8397</v>
      </c>
      <c r="C792" s="657" t="s">
        <v>8398</v>
      </c>
      <c r="D792" s="657" t="s">
        <v>8419</v>
      </c>
      <c r="E792" s="663" t="s">
        <v>8420</v>
      </c>
      <c r="F792" s="658">
        <v>0.1</v>
      </c>
      <c r="G792" s="658">
        <v>0</v>
      </c>
      <c r="H792" s="664"/>
      <c r="I792" s="664">
        <f t="shared" si="15"/>
        <v>0</v>
      </c>
      <c r="J792" s="661"/>
    </row>
    <row r="793" spans="1:10" ht="18.75" customHeight="1">
      <c r="A793" s="661"/>
      <c r="B793" s="663" t="s">
        <v>8397</v>
      </c>
      <c r="C793" s="657" t="s">
        <v>8398</v>
      </c>
      <c r="D793" s="657" t="s">
        <v>8421</v>
      </c>
      <c r="E793" s="663" t="s">
        <v>8422</v>
      </c>
      <c r="F793" s="658">
        <v>0.1</v>
      </c>
      <c r="G793" s="658">
        <v>0</v>
      </c>
      <c r="H793" s="664"/>
      <c r="I793" s="664">
        <f t="shared" si="15"/>
        <v>0</v>
      </c>
      <c r="J793" s="661"/>
    </row>
    <row r="794" spans="1:10" ht="18.75" customHeight="1">
      <c r="A794" s="661"/>
      <c r="B794" s="663" t="s">
        <v>8397</v>
      </c>
      <c r="C794" s="657" t="s">
        <v>8398</v>
      </c>
      <c r="D794" s="657" t="s">
        <v>8423</v>
      </c>
      <c r="E794" s="663" t="s">
        <v>8424</v>
      </c>
      <c r="F794" s="658">
        <v>0.1</v>
      </c>
      <c r="G794" s="658">
        <v>0</v>
      </c>
      <c r="H794" s="664"/>
      <c r="I794" s="664">
        <f t="shared" si="15"/>
        <v>0</v>
      </c>
      <c r="J794" s="661"/>
    </row>
    <row r="795" spans="1:10" ht="18.75" customHeight="1">
      <c r="A795" s="661"/>
      <c r="B795" s="663" t="s">
        <v>8397</v>
      </c>
      <c r="C795" s="657" t="s">
        <v>8398</v>
      </c>
      <c r="D795" s="657" t="s">
        <v>1192</v>
      </c>
      <c r="E795" s="663" t="s">
        <v>1193</v>
      </c>
      <c r="F795" s="658">
        <v>0.1</v>
      </c>
      <c r="G795" s="658">
        <v>0</v>
      </c>
      <c r="H795" s="664">
        <v>10100</v>
      </c>
      <c r="I795" s="664">
        <f t="shared" si="15"/>
        <v>9180</v>
      </c>
      <c r="J795" s="661"/>
    </row>
    <row r="796" spans="1:10" ht="18.75" customHeight="1">
      <c r="A796" s="661"/>
      <c r="B796" s="663" t="s">
        <v>8397</v>
      </c>
      <c r="C796" s="657" t="s">
        <v>8398</v>
      </c>
      <c r="D796" s="657" t="s">
        <v>8425</v>
      </c>
      <c r="E796" s="663" t="s">
        <v>8426</v>
      </c>
      <c r="F796" s="658">
        <v>0.1</v>
      </c>
      <c r="G796" s="658">
        <v>0</v>
      </c>
      <c r="H796" s="664"/>
      <c r="I796" s="664">
        <f t="shared" si="15"/>
        <v>0</v>
      </c>
      <c r="J796" s="661"/>
    </row>
    <row r="797" spans="1:10" ht="18.75" customHeight="1">
      <c r="A797" s="661"/>
      <c r="B797" s="663" t="s">
        <v>8397</v>
      </c>
      <c r="C797" s="657" t="s">
        <v>8398</v>
      </c>
      <c r="D797" s="657" t="s">
        <v>8427</v>
      </c>
      <c r="E797" s="663" t="s">
        <v>8428</v>
      </c>
      <c r="F797" s="658">
        <v>0.1</v>
      </c>
      <c r="G797" s="658">
        <v>0</v>
      </c>
      <c r="H797" s="664">
        <v>13400</v>
      </c>
      <c r="I797" s="664">
        <f t="shared" si="15"/>
        <v>12180</v>
      </c>
      <c r="J797" s="661"/>
    </row>
    <row r="798" spans="1:10" ht="18.75" customHeight="1">
      <c r="A798" s="661"/>
      <c r="B798" s="663" t="s">
        <v>8397</v>
      </c>
      <c r="C798" s="657" t="s">
        <v>8398</v>
      </c>
      <c r="D798" s="657" t="s">
        <v>8429</v>
      </c>
      <c r="E798" s="663" t="s">
        <v>8430</v>
      </c>
      <c r="F798" s="658">
        <v>0.1</v>
      </c>
      <c r="G798" s="658">
        <v>0</v>
      </c>
      <c r="H798" s="664"/>
      <c r="I798" s="664">
        <f t="shared" si="15"/>
        <v>0</v>
      </c>
      <c r="J798" s="661"/>
    </row>
    <row r="799" spans="1:10" ht="18.75" customHeight="1">
      <c r="A799" s="661"/>
      <c r="B799" s="663" t="s">
        <v>8397</v>
      </c>
      <c r="C799" s="657" t="s">
        <v>8398</v>
      </c>
      <c r="D799" s="657" t="s">
        <v>1195</v>
      </c>
      <c r="E799" s="663" t="s">
        <v>8431</v>
      </c>
      <c r="F799" s="658">
        <v>0.1</v>
      </c>
      <c r="G799" s="658">
        <v>0</v>
      </c>
      <c r="H799" s="664">
        <v>16000</v>
      </c>
      <c r="I799" s="664">
        <f t="shared" si="15"/>
        <v>14550</v>
      </c>
      <c r="J799" s="661"/>
    </row>
    <row r="800" spans="1:10" ht="18.75" customHeight="1">
      <c r="A800" s="661"/>
      <c r="B800" s="663" t="s">
        <v>8397</v>
      </c>
      <c r="C800" s="657" t="s">
        <v>8398</v>
      </c>
      <c r="D800" s="657" t="s">
        <v>8432</v>
      </c>
      <c r="E800" s="663" t="s">
        <v>8433</v>
      </c>
      <c r="F800" s="658">
        <v>0.1</v>
      </c>
      <c r="G800" s="658">
        <v>0</v>
      </c>
      <c r="H800" s="664"/>
      <c r="I800" s="664">
        <f t="shared" si="15"/>
        <v>0</v>
      </c>
      <c r="J800" s="661"/>
    </row>
    <row r="801" spans="1:10" ht="18.75" customHeight="1">
      <c r="A801" s="661"/>
      <c r="B801" s="663" t="s">
        <v>8397</v>
      </c>
      <c r="C801" s="657" t="s">
        <v>8398</v>
      </c>
      <c r="D801" s="657" t="s">
        <v>1198</v>
      </c>
      <c r="E801" s="663" t="s">
        <v>1199</v>
      </c>
      <c r="F801" s="658">
        <v>0.1</v>
      </c>
      <c r="G801" s="658">
        <v>0</v>
      </c>
      <c r="H801" s="664">
        <v>23400</v>
      </c>
      <c r="I801" s="664">
        <f t="shared" si="15"/>
        <v>21270</v>
      </c>
      <c r="J801" s="661"/>
    </row>
    <row r="802" spans="1:10" ht="18.75" customHeight="1">
      <c r="A802" s="661"/>
      <c r="B802" s="663" t="s">
        <v>8397</v>
      </c>
      <c r="C802" s="657" t="s">
        <v>8398</v>
      </c>
      <c r="D802" s="657" t="s">
        <v>8434</v>
      </c>
      <c r="E802" s="663" t="s">
        <v>8435</v>
      </c>
      <c r="F802" s="658">
        <v>0.1</v>
      </c>
      <c r="G802" s="658">
        <v>0</v>
      </c>
      <c r="H802" s="664"/>
      <c r="I802" s="664">
        <f t="shared" si="15"/>
        <v>0</v>
      </c>
      <c r="J802" s="661"/>
    </row>
    <row r="803" spans="1:10" ht="18.75" customHeight="1">
      <c r="A803" s="661"/>
      <c r="B803" s="663" t="s">
        <v>8397</v>
      </c>
      <c r="C803" s="657" t="s">
        <v>8398</v>
      </c>
      <c r="D803" s="657" t="s">
        <v>1201</v>
      </c>
      <c r="E803" s="663" t="s">
        <v>8436</v>
      </c>
      <c r="F803" s="658">
        <v>0.1</v>
      </c>
      <c r="G803" s="658">
        <v>0</v>
      </c>
      <c r="H803" s="664"/>
      <c r="I803" s="664">
        <f t="shared" si="15"/>
        <v>0</v>
      </c>
      <c r="J803" s="661"/>
    </row>
    <row r="804" spans="1:10" ht="18.75" customHeight="1">
      <c r="A804" s="661"/>
      <c r="B804" s="663" t="s">
        <v>8397</v>
      </c>
      <c r="C804" s="657" t="s">
        <v>8398</v>
      </c>
      <c r="D804" s="657" t="s">
        <v>8437</v>
      </c>
      <c r="E804" s="663" t="s">
        <v>8438</v>
      </c>
      <c r="F804" s="658">
        <v>0.1</v>
      </c>
      <c r="G804" s="658">
        <v>0</v>
      </c>
      <c r="H804" s="664"/>
      <c r="I804" s="664">
        <f t="shared" si="15"/>
        <v>0</v>
      </c>
      <c r="J804" s="661"/>
    </row>
    <row r="805" spans="1:10" ht="18.75" customHeight="1">
      <c r="A805" s="661"/>
      <c r="B805" s="663" t="s">
        <v>8397</v>
      </c>
      <c r="C805" s="657" t="s">
        <v>8398</v>
      </c>
      <c r="D805" s="657" t="s">
        <v>8439</v>
      </c>
      <c r="E805" s="663" t="s">
        <v>8440</v>
      </c>
      <c r="F805" s="658">
        <v>0.1</v>
      </c>
      <c r="G805" s="658">
        <v>0</v>
      </c>
      <c r="H805" s="664"/>
      <c r="I805" s="664">
        <f t="shared" si="15"/>
        <v>0</v>
      </c>
      <c r="J805" s="661"/>
    </row>
    <row r="806" spans="1:10" ht="18.75" customHeight="1">
      <c r="A806" s="661"/>
      <c r="B806" s="663" t="s">
        <v>8397</v>
      </c>
      <c r="C806" s="657" t="s">
        <v>8398</v>
      </c>
      <c r="D806" s="657" t="s">
        <v>8441</v>
      </c>
      <c r="E806" s="663" t="s">
        <v>8442</v>
      </c>
      <c r="F806" s="658">
        <v>0.1</v>
      </c>
      <c r="G806" s="658">
        <v>0</v>
      </c>
      <c r="H806" s="664"/>
      <c r="I806" s="664">
        <f t="shared" si="15"/>
        <v>0</v>
      </c>
      <c r="J806" s="661"/>
    </row>
    <row r="807" spans="1:10" ht="18.75" customHeight="1">
      <c r="A807" s="661"/>
      <c r="B807" s="663" t="s">
        <v>8397</v>
      </c>
      <c r="C807" s="657" t="s">
        <v>8398</v>
      </c>
      <c r="D807" s="657" t="s">
        <v>8443</v>
      </c>
      <c r="E807" s="663" t="s">
        <v>8444</v>
      </c>
      <c r="F807" s="658">
        <v>0.1</v>
      </c>
      <c r="G807" s="658">
        <v>0</v>
      </c>
      <c r="H807" s="664"/>
      <c r="I807" s="664">
        <f t="shared" si="15"/>
        <v>0</v>
      </c>
      <c r="J807" s="661"/>
    </row>
    <row r="808" spans="1:10" ht="18.75" customHeight="1">
      <c r="A808" s="661"/>
      <c r="B808" s="663" t="s">
        <v>8397</v>
      </c>
      <c r="C808" s="657" t="s">
        <v>8398</v>
      </c>
      <c r="D808" s="657" t="s">
        <v>8445</v>
      </c>
      <c r="E808" s="663" t="s">
        <v>8446</v>
      </c>
      <c r="F808" s="658">
        <v>0.1</v>
      </c>
      <c r="G808" s="658">
        <v>0</v>
      </c>
      <c r="H808" s="664"/>
      <c r="I808" s="664">
        <f t="shared" si="15"/>
        <v>0</v>
      </c>
      <c r="J808" s="661"/>
    </row>
    <row r="809" spans="1:10" ht="18.75" customHeight="1">
      <c r="A809" s="661"/>
      <c r="B809" s="663" t="s">
        <v>8397</v>
      </c>
      <c r="C809" s="657" t="s">
        <v>8398</v>
      </c>
      <c r="D809" s="657" t="s">
        <v>8447</v>
      </c>
      <c r="E809" s="663" t="s">
        <v>8448</v>
      </c>
      <c r="F809" s="658">
        <v>0.1</v>
      </c>
      <c r="G809" s="658">
        <v>0</v>
      </c>
      <c r="H809" s="664">
        <v>8800</v>
      </c>
      <c r="I809" s="664">
        <f t="shared" si="15"/>
        <v>8000</v>
      </c>
      <c r="J809" s="661"/>
    </row>
    <row r="810" spans="1:10" ht="18.75" customHeight="1">
      <c r="A810" s="661"/>
      <c r="B810" s="663" t="s">
        <v>8397</v>
      </c>
      <c r="C810" s="657" t="s">
        <v>8398</v>
      </c>
      <c r="D810" s="657" t="s">
        <v>1204</v>
      </c>
      <c r="E810" s="663" t="s">
        <v>1205</v>
      </c>
      <c r="F810" s="658">
        <v>0.1</v>
      </c>
      <c r="G810" s="658">
        <v>0</v>
      </c>
      <c r="H810" s="664">
        <v>13200</v>
      </c>
      <c r="I810" s="664">
        <f t="shared" si="15"/>
        <v>12000</v>
      </c>
      <c r="J810" s="661"/>
    </row>
    <row r="811" spans="1:10" ht="18.75" customHeight="1">
      <c r="A811" s="661"/>
      <c r="B811" s="663" t="s">
        <v>8397</v>
      </c>
      <c r="C811" s="657" t="s">
        <v>8398</v>
      </c>
      <c r="D811" s="657" t="s">
        <v>8449</v>
      </c>
      <c r="E811" s="663" t="s">
        <v>8450</v>
      </c>
      <c r="F811" s="658">
        <v>0.1</v>
      </c>
      <c r="G811" s="658">
        <v>0</v>
      </c>
      <c r="H811" s="664"/>
      <c r="I811" s="664">
        <f t="shared" si="15"/>
        <v>0</v>
      </c>
      <c r="J811" s="661"/>
    </row>
    <row r="812" spans="1:10" ht="18.75" customHeight="1">
      <c r="A812" s="661"/>
      <c r="B812" s="663" t="s">
        <v>8397</v>
      </c>
      <c r="C812" s="657" t="s">
        <v>8398</v>
      </c>
      <c r="D812" s="657" t="s">
        <v>1207</v>
      </c>
      <c r="E812" s="663" t="s">
        <v>2154</v>
      </c>
      <c r="F812" s="658">
        <v>0.1</v>
      </c>
      <c r="G812" s="658">
        <v>0</v>
      </c>
      <c r="H812" s="664">
        <v>18400</v>
      </c>
      <c r="I812" s="664">
        <f t="shared" si="15"/>
        <v>16730</v>
      </c>
      <c r="J812" s="661"/>
    </row>
    <row r="813" spans="1:10" ht="18.75" customHeight="1">
      <c r="A813" s="661"/>
      <c r="B813" s="663" t="s">
        <v>8397</v>
      </c>
      <c r="C813" s="657" t="s">
        <v>8398</v>
      </c>
      <c r="D813" s="657" t="s">
        <v>8451</v>
      </c>
      <c r="E813" s="663" t="s">
        <v>8452</v>
      </c>
      <c r="F813" s="658">
        <v>0.1</v>
      </c>
      <c r="G813" s="658">
        <v>0</v>
      </c>
      <c r="H813" s="664"/>
      <c r="I813" s="664">
        <f t="shared" si="15"/>
        <v>0</v>
      </c>
      <c r="J813" s="661"/>
    </row>
    <row r="814" spans="1:10" ht="18.75" customHeight="1">
      <c r="A814" s="661"/>
      <c r="B814" s="663" t="s">
        <v>8397</v>
      </c>
      <c r="C814" s="657" t="s">
        <v>8398</v>
      </c>
      <c r="D814" s="657" t="s">
        <v>1210</v>
      </c>
      <c r="E814" s="663" t="s">
        <v>1211</v>
      </c>
      <c r="F814" s="658">
        <v>0.1</v>
      </c>
      <c r="G814" s="658">
        <v>0</v>
      </c>
      <c r="H814" s="664">
        <v>23400</v>
      </c>
      <c r="I814" s="664">
        <f t="shared" si="15"/>
        <v>21270</v>
      </c>
      <c r="J814" s="661"/>
    </row>
    <row r="815" spans="1:10" ht="18.75" customHeight="1">
      <c r="A815" s="661"/>
      <c r="B815" s="663" t="s">
        <v>8397</v>
      </c>
      <c r="C815" s="657" t="s">
        <v>8398</v>
      </c>
      <c r="D815" s="657" t="s">
        <v>1213</v>
      </c>
      <c r="E815" s="663" t="s">
        <v>8453</v>
      </c>
      <c r="F815" s="658">
        <v>0.1</v>
      </c>
      <c r="G815" s="658">
        <v>0</v>
      </c>
      <c r="H815" s="664">
        <v>21000</v>
      </c>
      <c r="I815" s="664">
        <f t="shared" si="15"/>
        <v>19090</v>
      </c>
      <c r="J815" s="661"/>
    </row>
    <row r="816" spans="1:10" ht="18.75" customHeight="1">
      <c r="A816" s="661"/>
      <c r="B816" s="663" t="s">
        <v>8397</v>
      </c>
      <c r="C816" s="657" t="s">
        <v>8398</v>
      </c>
      <c r="D816" s="657" t="s">
        <v>8454</v>
      </c>
      <c r="E816" s="663" t="s">
        <v>8455</v>
      </c>
      <c r="F816" s="658">
        <v>0.1</v>
      </c>
      <c r="G816" s="658">
        <v>0</v>
      </c>
      <c r="H816" s="664"/>
      <c r="I816" s="664">
        <f t="shared" si="15"/>
        <v>0</v>
      </c>
      <c r="J816" s="661"/>
    </row>
    <row r="817" spans="1:10" ht="18.75" customHeight="1">
      <c r="A817" s="661"/>
      <c r="B817" s="663" t="s">
        <v>8397</v>
      </c>
      <c r="C817" s="657" t="s">
        <v>8398</v>
      </c>
      <c r="D817" s="657" t="s">
        <v>1216</v>
      </c>
      <c r="E817" s="663" t="s">
        <v>2177</v>
      </c>
      <c r="F817" s="658">
        <v>0.1</v>
      </c>
      <c r="G817" s="658">
        <v>0</v>
      </c>
      <c r="H817" s="664">
        <v>29600</v>
      </c>
      <c r="I817" s="664">
        <f t="shared" si="15"/>
        <v>26910</v>
      </c>
      <c r="J817" s="661"/>
    </row>
    <row r="818" spans="1:10" ht="18.75" customHeight="1">
      <c r="A818" s="661"/>
      <c r="B818" s="663" t="s">
        <v>8397</v>
      </c>
      <c r="C818" s="657" t="s">
        <v>8398</v>
      </c>
      <c r="D818" s="657" t="s">
        <v>8456</v>
      </c>
      <c r="E818" s="663" t="s">
        <v>8457</v>
      </c>
      <c r="F818" s="658">
        <v>0.1</v>
      </c>
      <c r="G818" s="658">
        <v>0</v>
      </c>
      <c r="H818" s="664"/>
      <c r="I818" s="664">
        <f t="shared" si="15"/>
        <v>0</v>
      </c>
      <c r="J818" s="661"/>
    </row>
    <row r="819" spans="1:10" ht="18.75" customHeight="1">
      <c r="A819" s="661"/>
      <c r="B819" s="663" t="s">
        <v>8397</v>
      </c>
      <c r="C819" s="657" t="s">
        <v>8398</v>
      </c>
      <c r="D819" s="657" t="s">
        <v>1218</v>
      </c>
      <c r="E819" s="663" t="s">
        <v>1219</v>
      </c>
      <c r="F819" s="658">
        <v>0.1</v>
      </c>
      <c r="G819" s="658">
        <v>0</v>
      </c>
      <c r="H819" s="664">
        <v>34700</v>
      </c>
      <c r="I819" s="664">
        <f t="shared" si="15"/>
        <v>31550</v>
      </c>
      <c r="J819" s="661"/>
    </row>
    <row r="820" spans="1:10" ht="18.75" customHeight="1">
      <c r="A820" s="661"/>
      <c r="B820" s="663" t="s">
        <v>8397</v>
      </c>
      <c r="C820" s="657" t="s">
        <v>8398</v>
      </c>
      <c r="D820" s="657" t="s">
        <v>8458</v>
      </c>
      <c r="E820" s="663" t="s">
        <v>8459</v>
      </c>
      <c r="F820" s="658">
        <v>0.1</v>
      </c>
      <c r="G820" s="658">
        <v>0</v>
      </c>
      <c r="H820" s="664"/>
      <c r="I820" s="664">
        <f t="shared" si="15"/>
        <v>0</v>
      </c>
      <c r="J820" s="661"/>
    </row>
    <row r="821" spans="1:10" ht="18.75" customHeight="1">
      <c r="A821" s="661"/>
      <c r="B821" s="663" t="s">
        <v>8397</v>
      </c>
      <c r="C821" s="657" t="s">
        <v>8398</v>
      </c>
      <c r="D821" s="657" t="s">
        <v>1220</v>
      </c>
      <c r="E821" s="663" t="s">
        <v>8460</v>
      </c>
      <c r="F821" s="658">
        <v>0.1</v>
      </c>
      <c r="G821" s="658">
        <v>0</v>
      </c>
      <c r="H821" s="664">
        <v>33700</v>
      </c>
      <c r="I821" s="664">
        <f t="shared" si="15"/>
        <v>30640</v>
      </c>
      <c r="J821" s="661"/>
    </row>
    <row r="822" spans="1:10" ht="18.75" customHeight="1">
      <c r="A822" s="661"/>
      <c r="B822" s="663" t="s">
        <v>8397</v>
      </c>
      <c r="C822" s="657" t="s">
        <v>8398</v>
      </c>
      <c r="D822" s="657" t="s">
        <v>8461</v>
      </c>
      <c r="E822" s="663" t="s">
        <v>8462</v>
      </c>
      <c r="F822" s="658">
        <v>0.1</v>
      </c>
      <c r="G822" s="658">
        <v>0</v>
      </c>
      <c r="H822" s="664"/>
      <c r="I822" s="664">
        <f t="shared" si="15"/>
        <v>0</v>
      </c>
      <c r="J822" s="661"/>
    </row>
    <row r="823" spans="1:10" ht="18.75" customHeight="1">
      <c r="A823" s="661"/>
      <c r="B823" s="663" t="s">
        <v>8397</v>
      </c>
      <c r="C823" s="657" t="s">
        <v>8398</v>
      </c>
      <c r="D823" s="657" t="s">
        <v>8463</v>
      </c>
      <c r="E823" s="663" t="s">
        <v>8464</v>
      </c>
      <c r="F823" s="658">
        <v>0.1</v>
      </c>
      <c r="G823" s="658">
        <v>0</v>
      </c>
      <c r="H823" s="664"/>
      <c r="I823" s="664">
        <f t="shared" si="15"/>
        <v>0</v>
      </c>
      <c r="J823" s="661"/>
    </row>
    <row r="824" spans="1:10" ht="18.75" customHeight="1">
      <c r="A824" s="661"/>
      <c r="B824" s="663" t="s">
        <v>8397</v>
      </c>
      <c r="C824" s="657" t="s">
        <v>8398</v>
      </c>
      <c r="D824" s="657" t="s">
        <v>1222</v>
      </c>
      <c r="E824" s="663" t="s">
        <v>2189</v>
      </c>
      <c r="F824" s="658">
        <v>0.1</v>
      </c>
      <c r="G824" s="658">
        <v>0</v>
      </c>
      <c r="H824" s="664">
        <v>50900</v>
      </c>
      <c r="I824" s="664">
        <f t="shared" si="15"/>
        <v>46270</v>
      </c>
      <c r="J824" s="661"/>
    </row>
    <row r="825" spans="1:10" ht="18.75" customHeight="1">
      <c r="A825" s="661"/>
      <c r="B825" s="663" t="s">
        <v>8397</v>
      </c>
      <c r="C825" s="657" t="s">
        <v>8398</v>
      </c>
      <c r="D825" s="657" t="s">
        <v>8465</v>
      </c>
      <c r="E825" s="663" t="s">
        <v>8466</v>
      </c>
      <c r="F825" s="658">
        <v>0.1</v>
      </c>
      <c r="G825" s="658">
        <v>0</v>
      </c>
      <c r="H825" s="664"/>
      <c r="I825" s="664">
        <f t="shared" si="15"/>
        <v>0</v>
      </c>
      <c r="J825" s="661"/>
    </row>
    <row r="826" spans="1:10" ht="18.75" customHeight="1">
      <c r="A826" s="661"/>
      <c r="B826" s="663" t="s">
        <v>8397</v>
      </c>
      <c r="C826" s="657" t="s">
        <v>8398</v>
      </c>
      <c r="D826" s="657" t="s">
        <v>8467</v>
      </c>
      <c r="E826" s="663" t="s">
        <v>8468</v>
      </c>
      <c r="F826" s="658">
        <v>0.1</v>
      </c>
      <c r="G826" s="658">
        <v>0</v>
      </c>
      <c r="H826" s="664"/>
      <c r="I826" s="664">
        <f t="shared" si="15"/>
        <v>0</v>
      </c>
      <c r="J826" s="661"/>
    </row>
    <row r="827" spans="1:10" ht="18.75" customHeight="1">
      <c r="A827" s="661"/>
      <c r="B827" s="663" t="s">
        <v>8397</v>
      </c>
      <c r="C827" s="657" t="s">
        <v>8398</v>
      </c>
      <c r="D827" s="657" t="s">
        <v>8469</v>
      </c>
      <c r="E827" s="663" t="s">
        <v>8470</v>
      </c>
      <c r="F827" s="658">
        <v>0.1</v>
      </c>
      <c r="G827" s="658">
        <v>0</v>
      </c>
      <c r="H827" s="664"/>
      <c r="I827" s="664">
        <f t="shared" si="15"/>
        <v>0</v>
      </c>
      <c r="J827" s="661"/>
    </row>
    <row r="828" spans="1:10" ht="18.75" customHeight="1">
      <c r="A828" s="661"/>
      <c r="B828" s="663" t="s">
        <v>8397</v>
      </c>
      <c r="C828" s="657" t="s">
        <v>8398</v>
      </c>
      <c r="D828" s="657" t="s">
        <v>1225</v>
      </c>
      <c r="E828" s="663" t="s">
        <v>1226</v>
      </c>
      <c r="F828" s="658">
        <v>0.1</v>
      </c>
      <c r="G828" s="658">
        <v>0</v>
      </c>
      <c r="H828" s="664">
        <v>63900</v>
      </c>
      <c r="I828" s="664">
        <f t="shared" si="15"/>
        <v>58090</v>
      </c>
      <c r="J828" s="661"/>
    </row>
    <row r="829" spans="1:10" ht="18.75" customHeight="1">
      <c r="A829" s="661"/>
      <c r="B829" s="663" t="s">
        <v>8397</v>
      </c>
      <c r="C829" s="657" t="s">
        <v>8398</v>
      </c>
      <c r="D829" s="657" t="s">
        <v>8471</v>
      </c>
      <c r="E829" s="663" t="s">
        <v>8472</v>
      </c>
      <c r="F829" s="658">
        <v>0.1</v>
      </c>
      <c r="G829" s="658">
        <v>0</v>
      </c>
      <c r="H829" s="664"/>
      <c r="I829" s="664">
        <f t="shared" si="15"/>
        <v>0</v>
      </c>
      <c r="J829" s="661"/>
    </row>
    <row r="830" spans="1:10" ht="18.75" customHeight="1">
      <c r="A830" s="661"/>
      <c r="B830" s="663" t="s">
        <v>8397</v>
      </c>
      <c r="C830" s="657" t="s">
        <v>8398</v>
      </c>
      <c r="D830" s="657" t="s">
        <v>8473</v>
      </c>
      <c r="E830" s="663" t="s">
        <v>8474</v>
      </c>
      <c r="F830" s="658">
        <v>0.1</v>
      </c>
      <c r="G830" s="658">
        <v>0</v>
      </c>
      <c r="H830" s="664"/>
      <c r="I830" s="664">
        <f t="shared" si="15"/>
        <v>0</v>
      </c>
      <c r="J830" s="661"/>
    </row>
    <row r="831" spans="1:10" ht="18.75" customHeight="1">
      <c r="A831" s="661"/>
      <c r="B831" s="663" t="s">
        <v>8397</v>
      </c>
      <c r="C831" s="657" t="s">
        <v>8398</v>
      </c>
      <c r="D831" s="657" t="s">
        <v>8475</v>
      </c>
      <c r="E831" s="663" t="s">
        <v>8476</v>
      </c>
      <c r="F831" s="658">
        <v>0.1</v>
      </c>
      <c r="G831" s="658">
        <v>0</v>
      </c>
      <c r="H831" s="664"/>
      <c r="I831" s="664">
        <f t="shared" si="15"/>
        <v>0</v>
      </c>
      <c r="J831" s="661"/>
    </row>
    <row r="832" spans="1:10" ht="18.75" customHeight="1">
      <c r="A832" s="661"/>
      <c r="B832" s="663" t="s">
        <v>8397</v>
      </c>
      <c r="C832" s="657" t="s">
        <v>8398</v>
      </c>
      <c r="D832" s="657" t="s">
        <v>8477</v>
      </c>
      <c r="E832" s="663" t="s">
        <v>8478</v>
      </c>
      <c r="F832" s="658">
        <v>0.1</v>
      </c>
      <c r="G832" s="658">
        <v>0</v>
      </c>
      <c r="H832" s="664"/>
      <c r="I832" s="664">
        <f t="shared" si="15"/>
        <v>0</v>
      </c>
      <c r="J832" s="661"/>
    </row>
    <row r="833" spans="1:10" ht="18.75" customHeight="1">
      <c r="A833" s="661"/>
      <c r="B833" s="663" t="s">
        <v>8397</v>
      </c>
      <c r="C833" s="657" t="s">
        <v>8398</v>
      </c>
      <c r="D833" s="657" t="s">
        <v>1228</v>
      </c>
      <c r="E833" s="663" t="s">
        <v>2147</v>
      </c>
      <c r="F833" s="658">
        <v>0.1</v>
      </c>
      <c r="G833" s="658">
        <v>0</v>
      </c>
      <c r="H833" s="664">
        <v>24400</v>
      </c>
      <c r="I833" s="664">
        <f t="shared" si="15"/>
        <v>22180</v>
      </c>
      <c r="J833" s="661"/>
    </row>
    <row r="834" spans="1:10" ht="18.75" customHeight="1">
      <c r="A834" s="661"/>
      <c r="B834" s="663" t="s">
        <v>8397</v>
      </c>
      <c r="C834" s="657" t="s">
        <v>8398</v>
      </c>
      <c r="D834" s="657" t="s">
        <v>1231</v>
      </c>
      <c r="E834" s="663" t="s">
        <v>1232</v>
      </c>
      <c r="F834" s="658">
        <v>0.1</v>
      </c>
      <c r="G834" s="658">
        <v>0</v>
      </c>
      <c r="H834" s="664">
        <v>23500</v>
      </c>
      <c r="I834" s="664">
        <f t="shared" si="15"/>
        <v>21360</v>
      </c>
      <c r="J834" s="661"/>
    </row>
    <row r="835" spans="1:10" ht="18.75" customHeight="1">
      <c r="A835" s="661"/>
      <c r="B835" s="663" t="s">
        <v>8397</v>
      </c>
      <c r="C835" s="657" t="s">
        <v>8398</v>
      </c>
      <c r="D835" s="657" t="s">
        <v>1234</v>
      </c>
      <c r="E835" s="663" t="s">
        <v>1235</v>
      </c>
      <c r="F835" s="658">
        <v>0.1</v>
      </c>
      <c r="G835" s="658">
        <v>0</v>
      </c>
      <c r="H835" s="664">
        <v>25300</v>
      </c>
      <c r="I835" s="664">
        <f t="shared" si="15"/>
        <v>23000</v>
      </c>
      <c r="J835" s="661"/>
    </row>
    <row r="836" spans="1:10" ht="18.75" customHeight="1">
      <c r="A836" s="661"/>
      <c r="B836" s="663" t="s">
        <v>8397</v>
      </c>
      <c r="C836" s="657" t="s">
        <v>8398</v>
      </c>
      <c r="D836" s="657" t="s">
        <v>1236</v>
      </c>
      <c r="E836" s="663" t="s">
        <v>1237</v>
      </c>
      <c r="F836" s="658">
        <v>0.1</v>
      </c>
      <c r="G836" s="658">
        <v>0</v>
      </c>
      <c r="H836" s="664">
        <v>33700</v>
      </c>
      <c r="I836" s="664">
        <f t="shared" si="15"/>
        <v>30640</v>
      </c>
      <c r="J836" s="661"/>
    </row>
    <row r="837" spans="1:10" ht="18.75" customHeight="1">
      <c r="A837" s="661"/>
      <c r="B837" s="663" t="s">
        <v>8397</v>
      </c>
      <c r="C837" s="657" t="s">
        <v>8398</v>
      </c>
      <c r="D837" s="657" t="s">
        <v>8479</v>
      </c>
      <c r="E837" s="663" t="s">
        <v>8480</v>
      </c>
      <c r="F837" s="658">
        <v>0.1</v>
      </c>
      <c r="G837" s="658">
        <v>0</v>
      </c>
      <c r="H837" s="664"/>
      <c r="I837" s="664">
        <f t="shared" si="15"/>
        <v>0</v>
      </c>
      <c r="J837" s="661"/>
    </row>
    <row r="838" spans="1:10" ht="18.75" customHeight="1">
      <c r="A838" s="661"/>
      <c r="B838" s="663" t="s">
        <v>8397</v>
      </c>
      <c r="C838" s="657" t="s">
        <v>8398</v>
      </c>
      <c r="D838" s="657" t="s">
        <v>1238</v>
      </c>
      <c r="E838" s="663" t="s">
        <v>2166</v>
      </c>
      <c r="F838" s="658">
        <v>0.1</v>
      </c>
      <c r="G838" s="658">
        <v>0</v>
      </c>
      <c r="H838" s="664">
        <v>41800</v>
      </c>
      <c r="I838" s="664">
        <f t="shared" si="15"/>
        <v>38000</v>
      </c>
      <c r="J838" s="661"/>
    </row>
    <row r="839" spans="1:10" ht="18.75" customHeight="1">
      <c r="A839" s="661"/>
      <c r="B839" s="663" t="s">
        <v>8397</v>
      </c>
      <c r="C839" s="657" t="s">
        <v>8398</v>
      </c>
      <c r="D839" s="657" t="s">
        <v>1240</v>
      </c>
      <c r="E839" s="663" t="s">
        <v>2175</v>
      </c>
      <c r="F839" s="658">
        <v>0.1</v>
      </c>
      <c r="G839" s="658">
        <v>0</v>
      </c>
      <c r="H839" s="664">
        <v>44800</v>
      </c>
      <c r="I839" s="664">
        <f t="shared" si="15"/>
        <v>40730</v>
      </c>
      <c r="J839" s="661"/>
    </row>
    <row r="840" spans="1:10" ht="18.75" customHeight="1">
      <c r="A840" s="661"/>
      <c r="B840" s="663" t="s">
        <v>8397</v>
      </c>
      <c r="C840" s="657" t="s">
        <v>8398</v>
      </c>
      <c r="D840" s="657" t="s">
        <v>1243</v>
      </c>
      <c r="E840" s="663" t="s">
        <v>8481</v>
      </c>
      <c r="F840" s="658">
        <v>0.1</v>
      </c>
      <c r="G840" s="658">
        <v>0</v>
      </c>
      <c r="H840" s="664">
        <v>40400</v>
      </c>
      <c r="I840" s="664">
        <f t="shared" si="15"/>
        <v>36730</v>
      </c>
      <c r="J840" s="661"/>
    </row>
    <row r="841" spans="1:10" ht="18.75" customHeight="1">
      <c r="A841" s="661"/>
      <c r="B841" s="663" t="s">
        <v>8397</v>
      </c>
      <c r="C841" s="657" t="s">
        <v>8398</v>
      </c>
      <c r="D841" s="657" t="s">
        <v>8482</v>
      </c>
      <c r="E841" s="663" t="s">
        <v>8483</v>
      </c>
      <c r="F841" s="658">
        <v>0.1</v>
      </c>
      <c r="G841" s="658">
        <v>0</v>
      </c>
      <c r="H841" s="664"/>
      <c r="I841" s="664">
        <f t="shared" si="15"/>
        <v>0</v>
      </c>
      <c r="J841" s="661"/>
    </row>
    <row r="842" spans="1:10" ht="18.75" customHeight="1">
      <c r="A842" s="661"/>
      <c r="B842" s="663" t="s">
        <v>8397</v>
      </c>
      <c r="C842" s="657" t="s">
        <v>8398</v>
      </c>
      <c r="D842" s="657" t="s">
        <v>8484</v>
      </c>
      <c r="E842" s="663" t="s">
        <v>8485</v>
      </c>
      <c r="F842" s="658">
        <v>0.1</v>
      </c>
      <c r="G842" s="658">
        <v>0</v>
      </c>
      <c r="H842" s="664"/>
      <c r="I842" s="664">
        <f t="shared" si="15"/>
        <v>0</v>
      </c>
      <c r="J842" s="661"/>
    </row>
    <row r="843" spans="1:10" ht="18.75" customHeight="1">
      <c r="A843" s="661"/>
      <c r="B843" s="663" t="s">
        <v>8397</v>
      </c>
      <c r="C843" s="657" t="s">
        <v>8398</v>
      </c>
      <c r="D843" s="657" t="s">
        <v>1245</v>
      </c>
      <c r="E843" s="663" t="s">
        <v>2186</v>
      </c>
      <c r="F843" s="658">
        <v>0.1</v>
      </c>
      <c r="G843" s="658">
        <v>0</v>
      </c>
      <c r="H843" s="664">
        <v>61200</v>
      </c>
      <c r="I843" s="664">
        <f t="shared" si="15"/>
        <v>55640</v>
      </c>
      <c r="J843" s="661"/>
    </row>
    <row r="844" spans="1:10" ht="18.75" customHeight="1">
      <c r="A844" s="661"/>
      <c r="B844" s="663" t="s">
        <v>8397</v>
      </c>
      <c r="C844" s="657" t="s">
        <v>8398</v>
      </c>
      <c r="D844" s="657" t="s">
        <v>8486</v>
      </c>
      <c r="E844" s="663" t="s">
        <v>8487</v>
      </c>
      <c r="F844" s="658">
        <v>0.1</v>
      </c>
      <c r="G844" s="658">
        <v>0</v>
      </c>
      <c r="H844" s="664"/>
      <c r="I844" s="664">
        <f t="shared" si="15"/>
        <v>0</v>
      </c>
      <c r="J844" s="661"/>
    </row>
    <row r="845" spans="1:10" ht="18.75" customHeight="1">
      <c r="A845" s="661"/>
      <c r="B845" s="663" t="s">
        <v>8397</v>
      </c>
      <c r="C845" s="657" t="s">
        <v>8398</v>
      </c>
      <c r="D845" s="657" t="s">
        <v>8488</v>
      </c>
      <c r="E845" s="663" t="s">
        <v>8489</v>
      </c>
      <c r="F845" s="658">
        <v>0.1</v>
      </c>
      <c r="G845" s="658">
        <v>0</v>
      </c>
      <c r="H845" s="664"/>
      <c r="I845" s="664">
        <f t="shared" si="15"/>
        <v>0</v>
      </c>
      <c r="J845" s="661"/>
    </row>
    <row r="846" spans="1:10" ht="18.75" customHeight="1">
      <c r="A846" s="661"/>
      <c r="B846" s="663" t="s">
        <v>8397</v>
      </c>
      <c r="C846" s="657" t="s">
        <v>8398</v>
      </c>
      <c r="D846" s="657" t="s">
        <v>8490</v>
      </c>
      <c r="E846" s="663" t="s">
        <v>8491</v>
      </c>
      <c r="F846" s="658">
        <v>0.1</v>
      </c>
      <c r="G846" s="658">
        <v>0</v>
      </c>
      <c r="H846" s="664">
        <v>80700</v>
      </c>
      <c r="I846" s="664">
        <f t="shared" si="15"/>
        <v>73360</v>
      </c>
      <c r="J846" s="661"/>
    </row>
    <row r="847" spans="1:10" ht="18.75" customHeight="1">
      <c r="A847" s="661"/>
      <c r="B847" s="663" t="s">
        <v>8397</v>
      </c>
      <c r="C847" s="657" t="s">
        <v>8398</v>
      </c>
      <c r="D847" s="657" t="s">
        <v>8492</v>
      </c>
      <c r="E847" s="663" t="s">
        <v>8493</v>
      </c>
      <c r="F847" s="658">
        <v>0.1</v>
      </c>
      <c r="G847" s="658">
        <v>0</v>
      </c>
      <c r="H847" s="664"/>
      <c r="I847" s="664">
        <f t="shared" si="15"/>
        <v>0</v>
      </c>
      <c r="J847" s="661"/>
    </row>
    <row r="848" spans="1:10" ht="18.75" customHeight="1">
      <c r="A848" s="661"/>
      <c r="B848" s="663" t="s">
        <v>8397</v>
      </c>
      <c r="C848" s="657" t="s">
        <v>8398</v>
      </c>
      <c r="D848" s="657" t="s">
        <v>8494</v>
      </c>
      <c r="E848" s="663" t="s">
        <v>8495</v>
      </c>
      <c r="F848" s="658">
        <v>0.1</v>
      </c>
      <c r="G848" s="658">
        <v>0</v>
      </c>
      <c r="H848" s="664"/>
      <c r="I848" s="664">
        <f t="shared" si="15"/>
        <v>0</v>
      </c>
      <c r="J848" s="661"/>
    </row>
    <row r="849" spans="1:10" ht="18.75" customHeight="1">
      <c r="A849" s="661"/>
      <c r="B849" s="663" t="s">
        <v>8397</v>
      </c>
      <c r="C849" s="657" t="s">
        <v>8398</v>
      </c>
      <c r="D849" s="657" t="s">
        <v>8496</v>
      </c>
      <c r="E849" s="663" t="s">
        <v>8497</v>
      </c>
      <c r="F849" s="658">
        <v>0.1</v>
      </c>
      <c r="G849" s="658">
        <v>0</v>
      </c>
      <c r="H849" s="664"/>
      <c r="I849" s="664">
        <f t="shared" si="15"/>
        <v>0</v>
      </c>
      <c r="J849" s="661"/>
    </row>
    <row r="850" spans="1:10" ht="18.75" customHeight="1">
      <c r="A850" s="661"/>
      <c r="B850" s="663" t="s">
        <v>8397</v>
      </c>
      <c r="C850" s="657" t="s">
        <v>8398</v>
      </c>
      <c r="D850" s="657" t="s">
        <v>1247</v>
      </c>
      <c r="E850" s="663" t="s">
        <v>8498</v>
      </c>
      <c r="F850" s="658">
        <v>0.1</v>
      </c>
      <c r="G850" s="658">
        <v>0</v>
      </c>
      <c r="H850" s="664">
        <v>113600</v>
      </c>
      <c r="I850" s="664">
        <f t="shared" si="15"/>
        <v>103270</v>
      </c>
      <c r="J850" s="661"/>
    </row>
    <row r="851" spans="1:10" ht="18.75" customHeight="1">
      <c r="A851" s="661"/>
      <c r="B851" s="663" t="s">
        <v>8397</v>
      </c>
      <c r="C851" s="657" t="s">
        <v>8398</v>
      </c>
      <c r="D851" s="657" t="s">
        <v>8499</v>
      </c>
      <c r="E851" s="663" t="s">
        <v>8500</v>
      </c>
      <c r="F851" s="658">
        <v>0.1</v>
      </c>
      <c r="G851" s="658">
        <v>0</v>
      </c>
      <c r="H851" s="664"/>
      <c r="I851" s="664">
        <f t="shared" si="15"/>
        <v>0</v>
      </c>
      <c r="J851" s="661"/>
    </row>
    <row r="852" spans="1:10" ht="18.75" customHeight="1">
      <c r="A852" s="661"/>
      <c r="B852" s="663" t="s">
        <v>8397</v>
      </c>
      <c r="C852" s="657" t="s">
        <v>8398</v>
      </c>
      <c r="D852" s="657" t="s">
        <v>8501</v>
      </c>
      <c r="E852" s="663" t="s">
        <v>8502</v>
      </c>
      <c r="F852" s="658">
        <v>0.1</v>
      </c>
      <c r="G852" s="658">
        <v>0</v>
      </c>
      <c r="H852" s="664"/>
      <c r="I852" s="664">
        <f t="shared" si="15"/>
        <v>0</v>
      </c>
      <c r="J852" s="661"/>
    </row>
    <row r="853" spans="1:10" ht="18.75" customHeight="1">
      <c r="A853" s="661"/>
      <c r="B853" s="663" t="s">
        <v>8397</v>
      </c>
      <c r="C853" s="657" t="s">
        <v>8398</v>
      </c>
      <c r="D853" s="657" t="s">
        <v>8503</v>
      </c>
      <c r="E853" s="663" t="s">
        <v>8504</v>
      </c>
      <c r="F853" s="658">
        <v>0.1</v>
      </c>
      <c r="G853" s="658">
        <v>0</v>
      </c>
      <c r="H853" s="664"/>
      <c r="I853" s="664">
        <f t="shared" si="15"/>
        <v>0</v>
      </c>
      <c r="J853" s="661"/>
    </row>
    <row r="854" spans="1:10" ht="18.75" customHeight="1">
      <c r="A854" s="661"/>
      <c r="B854" s="663" t="s">
        <v>8397</v>
      </c>
      <c r="C854" s="657" t="s">
        <v>8398</v>
      </c>
      <c r="D854" s="657" t="s">
        <v>8505</v>
      </c>
      <c r="E854" s="663" t="s">
        <v>8506</v>
      </c>
      <c r="F854" s="658">
        <v>0.1</v>
      </c>
      <c r="G854" s="658">
        <v>0</v>
      </c>
      <c r="H854" s="664"/>
      <c r="I854" s="664">
        <f t="shared" si="15"/>
        <v>0</v>
      </c>
      <c r="J854" s="661"/>
    </row>
    <row r="855" spans="1:10" ht="18.75" customHeight="1">
      <c r="A855" s="661"/>
      <c r="B855" s="663" t="s">
        <v>8397</v>
      </c>
      <c r="C855" s="657" t="s">
        <v>8398</v>
      </c>
      <c r="D855" s="657" t="s">
        <v>8507</v>
      </c>
      <c r="E855" s="663" t="s">
        <v>8508</v>
      </c>
      <c r="F855" s="658">
        <v>0.1</v>
      </c>
      <c r="G855" s="658">
        <v>0</v>
      </c>
      <c r="H855" s="664"/>
      <c r="I855" s="664">
        <f t="shared" si="15"/>
        <v>0</v>
      </c>
      <c r="J855" s="661"/>
    </row>
    <row r="856" spans="1:10" ht="18.75" customHeight="1">
      <c r="A856" s="661"/>
      <c r="B856" s="663" t="s">
        <v>8397</v>
      </c>
      <c r="C856" s="657" t="s">
        <v>8398</v>
      </c>
      <c r="D856" s="657" t="s">
        <v>1249</v>
      </c>
      <c r="E856" s="663" t="s">
        <v>8509</v>
      </c>
      <c r="F856" s="658">
        <v>0.1</v>
      </c>
      <c r="G856" s="658">
        <v>0</v>
      </c>
      <c r="H856" s="664">
        <v>38700</v>
      </c>
      <c r="I856" s="664">
        <f t="shared" si="15"/>
        <v>35180</v>
      </c>
      <c r="J856" s="661"/>
    </row>
    <row r="857" spans="1:10" ht="18.75" customHeight="1">
      <c r="A857" s="661"/>
      <c r="B857" s="663" t="s">
        <v>8397</v>
      </c>
      <c r="C857" s="657" t="s">
        <v>8398</v>
      </c>
      <c r="D857" s="657" t="s">
        <v>8510</v>
      </c>
      <c r="E857" s="663" t="s">
        <v>8511</v>
      </c>
      <c r="F857" s="658">
        <v>0.1</v>
      </c>
      <c r="G857" s="658">
        <v>0</v>
      </c>
      <c r="H857" s="664"/>
      <c r="I857" s="664">
        <f t="shared" si="15"/>
        <v>0</v>
      </c>
      <c r="J857" s="661"/>
    </row>
    <row r="858" spans="1:10" ht="18.75" customHeight="1">
      <c r="A858" s="661"/>
      <c r="B858" s="663" t="s">
        <v>8397</v>
      </c>
      <c r="C858" s="657" t="s">
        <v>8398</v>
      </c>
      <c r="D858" s="657" t="s">
        <v>8512</v>
      </c>
      <c r="E858" s="663" t="s">
        <v>8513</v>
      </c>
      <c r="F858" s="658">
        <v>0.1</v>
      </c>
      <c r="G858" s="658">
        <v>0</v>
      </c>
      <c r="H858" s="664"/>
      <c r="I858" s="664">
        <f t="shared" si="15"/>
        <v>0</v>
      </c>
      <c r="J858" s="661"/>
    </row>
    <row r="859" spans="1:10" ht="18.75" customHeight="1">
      <c r="A859" s="661"/>
      <c r="B859" s="663" t="s">
        <v>8397</v>
      </c>
      <c r="C859" s="657" t="s">
        <v>8398</v>
      </c>
      <c r="D859" s="657" t="s">
        <v>1251</v>
      </c>
      <c r="E859" s="663" t="s">
        <v>8514</v>
      </c>
      <c r="F859" s="658">
        <v>0.1</v>
      </c>
      <c r="G859" s="658">
        <v>0</v>
      </c>
      <c r="H859" s="664">
        <v>48800</v>
      </c>
      <c r="I859" s="664">
        <f t="shared" si="15"/>
        <v>44360</v>
      </c>
      <c r="J859" s="661"/>
    </row>
    <row r="860" spans="1:10" ht="18.75" customHeight="1">
      <c r="A860" s="661"/>
      <c r="B860" s="663" t="s">
        <v>8397</v>
      </c>
      <c r="C860" s="657" t="s">
        <v>8398</v>
      </c>
      <c r="D860" s="657" t="s">
        <v>1253</v>
      </c>
      <c r="E860" s="663" t="s">
        <v>1254</v>
      </c>
      <c r="F860" s="658">
        <v>0.1</v>
      </c>
      <c r="G860" s="658">
        <v>0</v>
      </c>
      <c r="H860" s="664">
        <v>50500</v>
      </c>
      <c r="I860" s="664">
        <f t="shared" si="15"/>
        <v>45910</v>
      </c>
      <c r="J860" s="661"/>
    </row>
    <row r="861" spans="1:10" ht="18.75" customHeight="1">
      <c r="A861" s="661"/>
      <c r="B861" s="663" t="s">
        <v>8397</v>
      </c>
      <c r="C861" s="657" t="s">
        <v>8398</v>
      </c>
      <c r="D861" s="657" t="s">
        <v>8515</v>
      </c>
      <c r="E861" s="663" t="s">
        <v>8516</v>
      </c>
      <c r="F861" s="658">
        <v>0.1</v>
      </c>
      <c r="G861" s="658">
        <v>0</v>
      </c>
      <c r="H861" s="664"/>
      <c r="I861" s="664">
        <f t="shared" si="15"/>
        <v>0</v>
      </c>
      <c r="J861" s="661"/>
    </row>
    <row r="862" spans="1:10" ht="18.75" customHeight="1">
      <c r="A862" s="661"/>
      <c r="B862" s="663" t="s">
        <v>8397</v>
      </c>
      <c r="C862" s="657" t="s">
        <v>8398</v>
      </c>
      <c r="D862" s="657" t="s">
        <v>8517</v>
      </c>
      <c r="E862" s="663" t="s">
        <v>8518</v>
      </c>
      <c r="F862" s="658">
        <v>0.1</v>
      </c>
      <c r="G862" s="658">
        <v>0</v>
      </c>
      <c r="H862" s="664"/>
      <c r="I862" s="664">
        <f t="shared" si="15"/>
        <v>0</v>
      </c>
      <c r="J862" s="661"/>
    </row>
    <row r="863" spans="1:10" ht="18.75" customHeight="1">
      <c r="A863" s="661"/>
      <c r="B863" s="663" t="s">
        <v>8397</v>
      </c>
      <c r="C863" s="657" t="s">
        <v>8398</v>
      </c>
      <c r="D863" s="657" t="s">
        <v>8519</v>
      </c>
      <c r="E863" s="663" t="s">
        <v>8520</v>
      </c>
      <c r="F863" s="658">
        <v>0.1</v>
      </c>
      <c r="G863" s="658">
        <v>0</v>
      </c>
      <c r="H863" s="664"/>
      <c r="I863" s="664">
        <f t="shared" si="15"/>
        <v>0</v>
      </c>
      <c r="J863" s="661"/>
    </row>
    <row r="864" spans="1:10" ht="18.75" customHeight="1">
      <c r="A864" s="661"/>
      <c r="B864" s="663" t="s">
        <v>8397</v>
      </c>
      <c r="C864" s="657" t="s">
        <v>8398</v>
      </c>
      <c r="D864" s="657" t="s">
        <v>8521</v>
      </c>
      <c r="E864" s="663" t="s">
        <v>8522</v>
      </c>
      <c r="F864" s="658">
        <v>0.1</v>
      </c>
      <c r="G864" s="658">
        <v>0</v>
      </c>
      <c r="H864" s="664"/>
      <c r="I864" s="664">
        <f t="shared" si="15"/>
        <v>0</v>
      </c>
      <c r="J864" s="661"/>
    </row>
    <row r="865" spans="1:10" ht="18.75" customHeight="1">
      <c r="A865" s="661"/>
      <c r="B865" s="663" t="s">
        <v>8397</v>
      </c>
      <c r="C865" s="657" t="s">
        <v>8398</v>
      </c>
      <c r="D865" s="657" t="s">
        <v>1255</v>
      </c>
      <c r="E865" s="663" t="s">
        <v>1256</v>
      </c>
      <c r="F865" s="658">
        <v>0.1</v>
      </c>
      <c r="G865" s="658">
        <v>0</v>
      </c>
      <c r="H865" s="664">
        <v>75800</v>
      </c>
      <c r="I865" s="664">
        <f t="shared" si="15"/>
        <v>68910</v>
      </c>
      <c r="J865" s="661"/>
    </row>
    <row r="866" spans="1:10" ht="18.75" customHeight="1">
      <c r="A866" s="661"/>
      <c r="B866" s="663" t="s">
        <v>8397</v>
      </c>
      <c r="C866" s="657" t="s">
        <v>8398</v>
      </c>
      <c r="D866" s="657" t="s">
        <v>8523</v>
      </c>
      <c r="E866" s="663" t="s">
        <v>8524</v>
      </c>
      <c r="F866" s="658">
        <v>0.1</v>
      </c>
      <c r="G866" s="658">
        <v>0</v>
      </c>
      <c r="H866" s="664"/>
      <c r="I866" s="664">
        <f t="shared" si="15"/>
        <v>0</v>
      </c>
      <c r="J866" s="661"/>
    </row>
    <row r="867" spans="1:10" ht="18.75" customHeight="1">
      <c r="A867" s="661"/>
      <c r="B867" s="663" t="s">
        <v>8397</v>
      </c>
      <c r="C867" s="657" t="s">
        <v>8398</v>
      </c>
      <c r="D867" s="657" t="s">
        <v>1257</v>
      </c>
      <c r="E867" s="663" t="s">
        <v>1258</v>
      </c>
      <c r="F867" s="658">
        <v>0.1</v>
      </c>
      <c r="G867" s="658">
        <v>0</v>
      </c>
      <c r="H867" s="664">
        <v>90100</v>
      </c>
      <c r="I867" s="664">
        <f t="shared" si="15"/>
        <v>81910</v>
      </c>
      <c r="J867" s="661"/>
    </row>
    <row r="868" spans="1:10" ht="18.75" customHeight="1">
      <c r="A868" s="661"/>
      <c r="B868" s="663" t="s">
        <v>8397</v>
      </c>
      <c r="C868" s="657" t="s">
        <v>8398</v>
      </c>
      <c r="D868" s="657" t="s">
        <v>8525</v>
      </c>
      <c r="E868" s="663" t="s">
        <v>8526</v>
      </c>
      <c r="F868" s="658">
        <v>0.1</v>
      </c>
      <c r="G868" s="658">
        <v>0</v>
      </c>
      <c r="H868" s="664"/>
      <c r="I868" s="664">
        <f t="shared" si="15"/>
        <v>0</v>
      </c>
      <c r="J868" s="661"/>
    </row>
    <row r="869" spans="1:10" ht="18.75" customHeight="1">
      <c r="A869" s="661"/>
      <c r="B869" s="663" t="s">
        <v>8397</v>
      </c>
      <c r="C869" s="657" t="s">
        <v>8398</v>
      </c>
      <c r="D869" s="657" t="s">
        <v>8527</v>
      </c>
      <c r="E869" s="663" t="s">
        <v>8528</v>
      </c>
      <c r="F869" s="658">
        <v>0.1</v>
      </c>
      <c r="G869" s="658">
        <v>0</v>
      </c>
      <c r="H869" s="664"/>
      <c r="I869" s="664">
        <f t="shared" si="15"/>
        <v>0</v>
      </c>
      <c r="J869" s="661"/>
    </row>
    <row r="870" spans="1:10" ht="18.75" customHeight="1">
      <c r="A870" s="661"/>
      <c r="B870" s="663" t="s">
        <v>8397</v>
      </c>
      <c r="C870" s="657" t="s">
        <v>8398</v>
      </c>
      <c r="D870" s="657" t="s">
        <v>1260</v>
      </c>
      <c r="E870" s="663" t="s">
        <v>8529</v>
      </c>
      <c r="F870" s="658">
        <v>0.1</v>
      </c>
      <c r="G870" s="658">
        <v>0</v>
      </c>
      <c r="H870" s="664">
        <v>112800</v>
      </c>
      <c r="I870" s="664">
        <f t="shared" si="15"/>
        <v>102550</v>
      </c>
      <c r="J870" s="661"/>
    </row>
    <row r="871" spans="1:10" ht="18.75" customHeight="1">
      <c r="A871" s="661"/>
      <c r="B871" s="663" t="s">
        <v>8397</v>
      </c>
      <c r="C871" s="657" t="s">
        <v>8398</v>
      </c>
      <c r="D871" s="657" t="s">
        <v>8530</v>
      </c>
      <c r="E871" s="663" t="s">
        <v>8531</v>
      </c>
      <c r="F871" s="658">
        <v>0.1</v>
      </c>
      <c r="G871" s="658">
        <v>0</v>
      </c>
      <c r="H871" s="664"/>
      <c r="I871" s="664">
        <f t="shared" si="15"/>
        <v>0</v>
      </c>
      <c r="J871" s="661"/>
    </row>
    <row r="872" spans="1:10" ht="18.75" customHeight="1">
      <c r="A872" s="661"/>
      <c r="B872" s="663" t="s">
        <v>8397</v>
      </c>
      <c r="C872" s="657" t="s">
        <v>8398</v>
      </c>
      <c r="D872" s="657" t="s">
        <v>1263</v>
      </c>
      <c r="E872" s="663" t="s">
        <v>1264</v>
      </c>
      <c r="F872" s="658">
        <v>0.1</v>
      </c>
      <c r="G872" s="658">
        <v>0</v>
      </c>
      <c r="H872" s="664">
        <v>162900</v>
      </c>
      <c r="I872" s="664">
        <f t="shared" si="15"/>
        <v>148090</v>
      </c>
      <c r="J872" s="661"/>
    </row>
    <row r="873" spans="1:10" ht="18.75" customHeight="1">
      <c r="A873" s="661"/>
      <c r="B873" s="663" t="s">
        <v>8397</v>
      </c>
      <c r="C873" s="657" t="s">
        <v>8398</v>
      </c>
      <c r="D873" s="657" t="s">
        <v>8532</v>
      </c>
      <c r="E873" s="663" t="s">
        <v>8533</v>
      </c>
      <c r="F873" s="658">
        <v>0.1</v>
      </c>
      <c r="G873" s="658">
        <v>0</v>
      </c>
      <c r="H873" s="664"/>
      <c r="I873" s="664">
        <f t="shared" si="15"/>
        <v>0</v>
      </c>
      <c r="J873" s="661"/>
    </row>
    <row r="874" spans="1:10" ht="18.75" customHeight="1">
      <c r="A874" s="661"/>
      <c r="B874" s="663" t="s">
        <v>8397</v>
      </c>
      <c r="C874" s="657" t="s">
        <v>8398</v>
      </c>
      <c r="D874" s="657" t="s">
        <v>8534</v>
      </c>
      <c r="E874" s="663" t="s">
        <v>8535</v>
      </c>
      <c r="F874" s="658">
        <v>0.1</v>
      </c>
      <c r="G874" s="658">
        <v>0</v>
      </c>
      <c r="H874" s="664"/>
      <c r="I874" s="664">
        <f t="shared" si="15"/>
        <v>0</v>
      </c>
      <c r="J874" s="661"/>
    </row>
    <row r="875" spans="1:10" ht="18.75" customHeight="1">
      <c r="A875" s="661"/>
      <c r="B875" s="663" t="s">
        <v>8397</v>
      </c>
      <c r="C875" s="657" t="s">
        <v>8398</v>
      </c>
      <c r="D875" s="657" t="s">
        <v>8536</v>
      </c>
      <c r="E875" s="663" t="s">
        <v>8537</v>
      </c>
      <c r="F875" s="658">
        <v>0.1</v>
      </c>
      <c r="G875" s="658">
        <v>0</v>
      </c>
      <c r="H875" s="664"/>
      <c r="I875" s="664">
        <f t="shared" si="15"/>
        <v>0</v>
      </c>
      <c r="J875" s="661"/>
    </row>
    <row r="876" spans="1:10" ht="18.75" customHeight="1">
      <c r="A876" s="661"/>
      <c r="B876" s="663" t="s">
        <v>8397</v>
      </c>
      <c r="C876" s="657" t="s">
        <v>8398</v>
      </c>
      <c r="D876" s="657" t="s">
        <v>8538</v>
      </c>
      <c r="E876" s="663" t="s">
        <v>8539</v>
      </c>
      <c r="F876" s="658">
        <v>0.1</v>
      </c>
      <c r="G876" s="658">
        <v>0</v>
      </c>
      <c r="H876" s="664"/>
      <c r="I876" s="664">
        <f t="shared" si="15"/>
        <v>0</v>
      </c>
      <c r="J876" s="661"/>
    </row>
    <row r="877" spans="1:10" ht="18.75" customHeight="1">
      <c r="A877" s="661"/>
      <c r="B877" s="663" t="s">
        <v>8397</v>
      </c>
      <c r="C877" s="657" t="s">
        <v>8398</v>
      </c>
      <c r="D877" s="657" t="s">
        <v>8540</v>
      </c>
      <c r="E877" s="663" t="s">
        <v>8541</v>
      </c>
      <c r="F877" s="658">
        <v>0.1</v>
      </c>
      <c r="G877" s="658">
        <v>0</v>
      </c>
      <c r="H877" s="664"/>
      <c r="I877" s="664">
        <f t="shared" si="15"/>
        <v>0</v>
      </c>
      <c r="J877" s="661"/>
    </row>
    <row r="878" spans="1:10" ht="18.75" customHeight="1">
      <c r="A878" s="661"/>
      <c r="B878" s="663" t="s">
        <v>8397</v>
      </c>
      <c r="C878" s="657" t="s">
        <v>8398</v>
      </c>
      <c r="D878" s="657" t="s">
        <v>8542</v>
      </c>
      <c r="E878" s="663" t="s">
        <v>8543</v>
      </c>
      <c r="F878" s="658">
        <v>0.1</v>
      </c>
      <c r="G878" s="658">
        <v>0</v>
      </c>
      <c r="H878" s="664"/>
      <c r="I878" s="664">
        <f t="shared" si="15"/>
        <v>0</v>
      </c>
      <c r="J878" s="661"/>
    </row>
    <row r="879" spans="1:10" ht="18.75" customHeight="1">
      <c r="A879" s="661"/>
      <c r="B879" s="663" t="s">
        <v>8397</v>
      </c>
      <c r="C879" s="657" t="s">
        <v>8398</v>
      </c>
      <c r="D879" s="657" t="s">
        <v>8544</v>
      </c>
      <c r="E879" s="663" t="s">
        <v>8545</v>
      </c>
      <c r="F879" s="658">
        <v>0.1</v>
      </c>
      <c r="G879" s="658">
        <v>0</v>
      </c>
      <c r="H879" s="664"/>
      <c r="I879" s="664">
        <f t="shared" si="15"/>
        <v>0</v>
      </c>
      <c r="J879" s="661"/>
    </row>
    <row r="880" spans="1:10" ht="18.75" customHeight="1">
      <c r="A880" s="661"/>
      <c r="B880" s="663" t="s">
        <v>8397</v>
      </c>
      <c r="C880" s="657" t="s">
        <v>8398</v>
      </c>
      <c r="D880" s="657" t="s">
        <v>8546</v>
      </c>
      <c r="E880" s="663" t="s">
        <v>8547</v>
      </c>
      <c r="F880" s="658">
        <v>0.1</v>
      </c>
      <c r="G880" s="658">
        <v>0</v>
      </c>
      <c r="H880" s="664"/>
      <c r="I880" s="664">
        <f t="shared" si="15"/>
        <v>0</v>
      </c>
      <c r="J880" s="661"/>
    </row>
    <row r="881" spans="1:10" ht="18.75" customHeight="1">
      <c r="A881" s="661"/>
      <c r="B881" s="663" t="s">
        <v>8397</v>
      </c>
      <c r="C881" s="657" t="s">
        <v>8398</v>
      </c>
      <c r="D881" s="657" t="s">
        <v>8548</v>
      </c>
      <c r="E881" s="663" t="s">
        <v>8549</v>
      </c>
      <c r="F881" s="658">
        <v>0.1</v>
      </c>
      <c r="G881" s="658">
        <v>0</v>
      </c>
      <c r="H881" s="664"/>
      <c r="I881" s="664">
        <f t="shared" si="15"/>
        <v>0</v>
      </c>
      <c r="J881" s="661"/>
    </row>
    <row r="882" spans="1:10" ht="18.75" customHeight="1">
      <c r="A882" s="661"/>
      <c r="B882" s="663" t="s">
        <v>8397</v>
      </c>
      <c r="C882" s="657" t="s">
        <v>8398</v>
      </c>
      <c r="D882" s="657" t="s">
        <v>8550</v>
      </c>
      <c r="E882" s="663" t="s">
        <v>8551</v>
      </c>
      <c r="F882" s="658">
        <v>0.1</v>
      </c>
      <c r="G882" s="658">
        <v>0</v>
      </c>
      <c r="H882" s="664"/>
      <c r="I882" s="664">
        <f t="shared" si="15"/>
        <v>0</v>
      </c>
      <c r="J882" s="661"/>
    </row>
    <row r="883" spans="1:10" ht="18.75" customHeight="1">
      <c r="A883" s="661"/>
      <c r="B883" s="663" t="s">
        <v>8397</v>
      </c>
      <c r="C883" s="657" t="s">
        <v>8398</v>
      </c>
      <c r="D883" s="657" t="s">
        <v>1265</v>
      </c>
      <c r="E883" s="663" t="s">
        <v>2173</v>
      </c>
      <c r="F883" s="658">
        <v>0.1</v>
      </c>
      <c r="G883" s="658">
        <v>0</v>
      </c>
      <c r="H883" s="664">
        <v>129400</v>
      </c>
      <c r="I883" s="664">
        <f t="shared" si="15"/>
        <v>117640</v>
      </c>
      <c r="J883" s="661"/>
    </row>
    <row r="884" spans="1:10" ht="18.75" customHeight="1">
      <c r="A884" s="661"/>
      <c r="B884" s="663" t="s">
        <v>8397</v>
      </c>
      <c r="C884" s="657" t="s">
        <v>8398</v>
      </c>
      <c r="D884" s="657" t="s">
        <v>8552</v>
      </c>
      <c r="E884" s="663" t="s">
        <v>8553</v>
      </c>
      <c r="F884" s="658">
        <v>0.1</v>
      </c>
      <c r="G884" s="658">
        <v>0</v>
      </c>
      <c r="H884" s="664"/>
      <c r="I884" s="664">
        <f t="shared" si="15"/>
        <v>0</v>
      </c>
      <c r="J884" s="661"/>
    </row>
    <row r="885" spans="1:10" ht="18.75" customHeight="1">
      <c r="A885" s="661"/>
      <c r="B885" s="663" t="s">
        <v>8397</v>
      </c>
      <c r="C885" s="657" t="s">
        <v>8398</v>
      </c>
      <c r="D885" s="657" t="s">
        <v>8554</v>
      </c>
      <c r="E885" s="663" t="s">
        <v>8555</v>
      </c>
      <c r="F885" s="658">
        <v>0.1</v>
      </c>
      <c r="G885" s="658">
        <v>0</v>
      </c>
      <c r="H885" s="664"/>
      <c r="I885" s="664">
        <f t="shared" si="15"/>
        <v>0</v>
      </c>
      <c r="J885" s="661"/>
    </row>
    <row r="886" spans="1:10" ht="18.75" customHeight="1">
      <c r="A886" s="661"/>
      <c r="B886" s="663" t="s">
        <v>8397</v>
      </c>
      <c r="C886" s="657" t="s">
        <v>8398</v>
      </c>
      <c r="D886" s="657" t="s">
        <v>8556</v>
      </c>
      <c r="E886" s="663" t="s">
        <v>8557</v>
      </c>
      <c r="F886" s="658">
        <v>0.1</v>
      </c>
      <c r="G886" s="658">
        <v>0</v>
      </c>
      <c r="H886" s="664"/>
      <c r="I886" s="664">
        <f t="shared" si="15"/>
        <v>0</v>
      </c>
      <c r="J886" s="661"/>
    </row>
    <row r="887" spans="1:10" ht="18.75" customHeight="1">
      <c r="A887" s="661"/>
      <c r="B887" s="663" t="s">
        <v>8397</v>
      </c>
      <c r="C887" s="657" t="s">
        <v>8398</v>
      </c>
      <c r="D887" s="657" t="s">
        <v>8558</v>
      </c>
      <c r="E887" s="663" t="s">
        <v>8559</v>
      </c>
      <c r="F887" s="658">
        <v>0.1</v>
      </c>
      <c r="G887" s="658">
        <v>0</v>
      </c>
      <c r="H887" s="664"/>
      <c r="I887" s="664">
        <f t="shared" si="15"/>
        <v>0</v>
      </c>
      <c r="J887" s="661"/>
    </row>
    <row r="888" spans="1:10" ht="18.75" customHeight="1">
      <c r="A888" s="661"/>
      <c r="B888" s="663" t="s">
        <v>8397</v>
      </c>
      <c r="C888" s="657" t="s">
        <v>8398</v>
      </c>
      <c r="D888" s="657" t="s">
        <v>1267</v>
      </c>
      <c r="E888" s="663" t="s">
        <v>8560</v>
      </c>
      <c r="F888" s="658">
        <v>0.1</v>
      </c>
      <c r="G888" s="658">
        <v>0</v>
      </c>
      <c r="H888" s="664">
        <v>195600</v>
      </c>
      <c r="I888" s="664">
        <f t="shared" si="15"/>
        <v>177820</v>
      </c>
      <c r="J888" s="661"/>
    </row>
    <row r="889" spans="1:10" ht="18.75" customHeight="1">
      <c r="A889" s="661"/>
      <c r="B889" s="663" t="s">
        <v>8397</v>
      </c>
      <c r="C889" s="657" t="s">
        <v>8398</v>
      </c>
      <c r="D889" s="657" t="s">
        <v>8561</v>
      </c>
      <c r="E889" s="663" t="s">
        <v>8562</v>
      </c>
      <c r="F889" s="658">
        <v>0.1</v>
      </c>
      <c r="G889" s="658">
        <v>0</v>
      </c>
      <c r="H889" s="664"/>
      <c r="I889" s="664">
        <f t="shared" si="15"/>
        <v>0</v>
      </c>
      <c r="J889" s="661"/>
    </row>
    <row r="890" spans="1:10" ht="18.75" customHeight="1">
      <c r="A890" s="661"/>
      <c r="B890" s="663" t="s">
        <v>8397</v>
      </c>
      <c r="C890" s="657" t="s">
        <v>8398</v>
      </c>
      <c r="D890" s="657" t="s">
        <v>8563</v>
      </c>
      <c r="E890" s="663" t="s">
        <v>8564</v>
      </c>
      <c r="F890" s="658">
        <v>0.1</v>
      </c>
      <c r="G890" s="658">
        <v>0</v>
      </c>
      <c r="H890" s="664"/>
      <c r="I890" s="664">
        <f t="shared" si="15"/>
        <v>0</v>
      </c>
      <c r="J890" s="661"/>
    </row>
    <row r="891" spans="1:10" ht="18.75" customHeight="1">
      <c r="A891" s="661"/>
      <c r="B891" s="663" t="s">
        <v>8397</v>
      </c>
      <c r="C891" s="657" t="s">
        <v>8398</v>
      </c>
      <c r="D891" s="657" t="s">
        <v>8565</v>
      </c>
      <c r="E891" s="663" t="s">
        <v>8566</v>
      </c>
      <c r="F891" s="658">
        <v>0.1</v>
      </c>
      <c r="G891" s="658">
        <v>0</v>
      </c>
      <c r="H891" s="664"/>
      <c r="I891" s="664">
        <f t="shared" si="15"/>
        <v>0</v>
      </c>
      <c r="J891" s="661"/>
    </row>
    <row r="892" spans="1:10" ht="18.75" customHeight="1">
      <c r="A892" s="661"/>
      <c r="B892" s="663" t="s">
        <v>8397</v>
      </c>
      <c r="C892" s="657" t="s">
        <v>8398</v>
      </c>
      <c r="D892" s="657" t="s">
        <v>8567</v>
      </c>
      <c r="E892" s="663" t="s">
        <v>8568</v>
      </c>
      <c r="F892" s="658">
        <v>0.1</v>
      </c>
      <c r="G892" s="658">
        <v>0</v>
      </c>
      <c r="H892" s="664"/>
      <c r="I892" s="664">
        <f t="shared" si="15"/>
        <v>0</v>
      </c>
      <c r="J892" s="661"/>
    </row>
    <row r="893" spans="1:10" ht="18.75" customHeight="1">
      <c r="A893" s="661"/>
      <c r="B893" s="663" t="s">
        <v>8397</v>
      </c>
      <c r="C893" s="657" t="s">
        <v>8398</v>
      </c>
      <c r="D893" s="657" t="s">
        <v>8569</v>
      </c>
      <c r="E893" s="663" t="s">
        <v>8570</v>
      </c>
      <c r="F893" s="658">
        <v>0.1</v>
      </c>
      <c r="G893" s="658">
        <v>0</v>
      </c>
      <c r="H893" s="664"/>
      <c r="I893" s="664">
        <f t="shared" si="15"/>
        <v>0</v>
      </c>
      <c r="J893" s="661"/>
    </row>
    <row r="894" spans="1:10" ht="18.75" customHeight="1">
      <c r="A894" s="661"/>
      <c r="B894" s="663" t="s">
        <v>8397</v>
      </c>
      <c r="C894" s="657" t="s">
        <v>8398</v>
      </c>
      <c r="D894" s="657" t="s">
        <v>8571</v>
      </c>
      <c r="E894" s="663" t="s">
        <v>8572</v>
      </c>
      <c r="F894" s="658">
        <v>0.1</v>
      </c>
      <c r="G894" s="658">
        <v>0</v>
      </c>
      <c r="H894" s="664"/>
      <c r="I894" s="664">
        <f t="shared" si="15"/>
        <v>0</v>
      </c>
      <c r="J894" s="661"/>
    </row>
    <row r="895" spans="1:10" ht="18.75" customHeight="1">
      <c r="A895" s="661"/>
      <c r="B895" s="663" t="s">
        <v>8397</v>
      </c>
      <c r="C895" s="657" t="s">
        <v>8398</v>
      </c>
      <c r="D895" s="657" t="s">
        <v>1269</v>
      </c>
      <c r="E895" s="663" t="s">
        <v>1270</v>
      </c>
      <c r="F895" s="658">
        <v>0.1</v>
      </c>
      <c r="G895" s="658">
        <v>0</v>
      </c>
      <c r="H895" s="664">
        <v>285200</v>
      </c>
      <c r="I895" s="664">
        <f t="shared" si="15"/>
        <v>259270</v>
      </c>
      <c r="J895" s="661"/>
    </row>
    <row r="896" spans="1:10" ht="18.75" customHeight="1">
      <c r="A896" s="661"/>
      <c r="B896" s="663" t="s">
        <v>8397</v>
      </c>
      <c r="C896" s="657" t="s">
        <v>8398</v>
      </c>
      <c r="D896" s="657" t="s">
        <v>8573</v>
      </c>
      <c r="E896" s="663" t="s">
        <v>8574</v>
      </c>
      <c r="F896" s="658">
        <v>0.1</v>
      </c>
      <c r="G896" s="658">
        <v>0</v>
      </c>
      <c r="H896" s="664"/>
      <c r="I896" s="664">
        <f t="shared" si="15"/>
        <v>0</v>
      </c>
      <c r="J896" s="661"/>
    </row>
    <row r="897" spans="1:10" ht="18.75" customHeight="1">
      <c r="A897" s="661"/>
      <c r="B897" s="663" t="s">
        <v>8397</v>
      </c>
      <c r="C897" s="657" t="s">
        <v>8398</v>
      </c>
      <c r="D897" s="657" t="s">
        <v>8575</v>
      </c>
      <c r="E897" s="663" t="s">
        <v>8576</v>
      </c>
      <c r="F897" s="658">
        <v>0.1</v>
      </c>
      <c r="G897" s="658">
        <v>0</v>
      </c>
      <c r="H897" s="664"/>
      <c r="I897" s="664">
        <f t="shared" si="15"/>
        <v>0</v>
      </c>
      <c r="J897" s="661"/>
    </row>
    <row r="898" spans="1:10" ht="18.75" customHeight="1">
      <c r="A898" s="661"/>
      <c r="B898" s="663" t="s">
        <v>8397</v>
      </c>
      <c r="C898" s="657" t="s">
        <v>8398</v>
      </c>
      <c r="D898" s="657" t="s">
        <v>8577</v>
      </c>
      <c r="E898" s="663" t="s">
        <v>8578</v>
      </c>
      <c r="F898" s="658">
        <v>0.1</v>
      </c>
      <c r="G898" s="658">
        <v>0</v>
      </c>
      <c r="H898" s="664"/>
      <c r="I898" s="664">
        <f t="shared" si="15"/>
        <v>0</v>
      </c>
      <c r="J898" s="661"/>
    </row>
    <row r="899" spans="1:10" ht="18.75" customHeight="1">
      <c r="A899" s="661"/>
      <c r="B899" s="663" t="s">
        <v>8397</v>
      </c>
      <c r="C899" s="657" t="s">
        <v>8398</v>
      </c>
      <c r="D899" s="657" t="s">
        <v>8579</v>
      </c>
      <c r="E899" s="663" t="s">
        <v>8580</v>
      </c>
      <c r="F899" s="658">
        <v>0.1</v>
      </c>
      <c r="G899" s="658">
        <v>0</v>
      </c>
      <c r="H899" s="664"/>
      <c r="I899" s="664">
        <f t="shared" si="15"/>
        <v>0</v>
      </c>
      <c r="J899" s="661"/>
    </row>
    <row r="900" spans="1:10" ht="18.75" customHeight="1">
      <c r="A900" s="661"/>
      <c r="B900" s="663" t="s">
        <v>8397</v>
      </c>
      <c r="C900" s="657" t="s">
        <v>8398</v>
      </c>
      <c r="D900" s="657" t="s">
        <v>8581</v>
      </c>
      <c r="E900" s="663" t="s">
        <v>8582</v>
      </c>
      <c r="F900" s="658">
        <v>0.1</v>
      </c>
      <c r="G900" s="658">
        <v>0</v>
      </c>
      <c r="H900" s="664"/>
      <c r="I900" s="664">
        <f t="shared" si="15"/>
        <v>0</v>
      </c>
      <c r="J900" s="661"/>
    </row>
    <row r="901" spans="1:10" ht="18.75" customHeight="1">
      <c r="A901" s="661"/>
      <c r="B901" s="663" t="s">
        <v>8397</v>
      </c>
      <c r="C901" s="657" t="s">
        <v>8398</v>
      </c>
      <c r="D901" s="657" t="s">
        <v>8583</v>
      </c>
      <c r="E901" s="663" t="s">
        <v>8584</v>
      </c>
      <c r="F901" s="658">
        <v>0.1</v>
      </c>
      <c r="G901" s="658">
        <v>0</v>
      </c>
      <c r="H901" s="664"/>
      <c r="I901" s="664">
        <f t="shared" si="15"/>
        <v>0</v>
      </c>
      <c r="J901" s="661"/>
    </row>
    <row r="902" spans="1:10" ht="18.75" customHeight="1">
      <c r="A902" s="661"/>
      <c r="B902" s="663" t="s">
        <v>8397</v>
      </c>
      <c r="C902" s="657" t="s">
        <v>8398</v>
      </c>
      <c r="D902" s="657" t="s">
        <v>8585</v>
      </c>
      <c r="E902" s="663" t="s">
        <v>8586</v>
      </c>
      <c r="F902" s="658">
        <v>0.1</v>
      </c>
      <c r="G902" s="658">
        <v>0</v>
      </c>
      <c r="H902" s="664"/>
      <c r="I902" s="664">
        <f t="shared" si="15"/>
        <v>0</v>
      </c>
      <c r="J902" s="661"/>
    </row>
    <row r="903" spans="1:10" ht="18.75" customHeight="1">
      <c r="A903" s="661"/>
      <c r="B903" s="663" t="s">
        <v>8397</v>
      </c>
      <c r="C903" s="657" t="s">
        <v>8398</v>
      </c>
      <c r="D903" s="657" t="s">
        <v>8587</v>
      </c>
      <c r="E903" s="663" t="s">
        <v>8588</v>
      </c>
      <c r="F903" s="658">
        <v>0.1</v>
      </c>
      <c r="G903" s="658">
        <v>0</v>
      </c>
      <c r="H903" s="664"/>
      <c r="I903" s="664">
        <f t="shared" si="15"/>
        <v>0</v>
      </c>
      <c r="J903" s="661"/>
    </row>
    <row r="904" spans="1:10" ht="18.75" customHeight="1">
      <c r="A904" s="661"/>
      <c r="B904" s="663" t="s">
        <v>8397</v>
      </c>
      <c r="C904" s="657" t="s">
        <v>8398</v>
      </c>
      <c r="D904" s="657" t="s">
        <v>8589</v>
      </c>
      <c r="E904" s="663" t="s">
        <v>8590</v>
      </c>
      <c r="F904" s="658">
        <v>0.1</v>
      </c>
      <c r="G904" s="658">
        <v>0</v>
      </c>
      <c r="H904" s="664"/>
      <c r="I904" s="664">
        <f t="shared" si="15"/>
        <v>0</v>
      </c>
      <c r="J904" s="661"/>
    </row>
    <row r="905" spans="1:10" ht="18.75" customHeight="1">
      <c r="A905" s="661"/>
      <c r="B905" s="663" t="s">
        <v>8397</v>
      </c>
      <c r="C905" s="657" t="s">
        <v>8398</v>
      </c>
      <c r="D905" s="657" t="s">
        <v>8591</v>
      </c>
      <c r="E905" s="663" t="s">
        <v>8592</v>
      </c>
      <c r="F905" s="658">
        <v>0.1</v>
      </c>
      <c r="G905" s="658">
        <v>0</v>
      </c>
      <c r="H905" s="664"/>
      <c r="I905" s="664">
        <f t="shared" si="15"/>
        <v>0</v>
      </c>
      <c r="J905" s="661"/>
    </row>
    <row r="906" spans="1:10" ht="18.75" customHeight="1">
      <c r="A906" s="661"/>
      <c r="B906" s="663" t="s">
        <v>8397</v>
      </c>
      <c r="C906" s="657" t="s">
        <v>8398</v>
      </c>
      <c r="D906" s="657" t="s">
        <v>1271</v>
      </c>
      <c r="E906" s="663" t="s">
        <v>2185</v>
      </c>
      <c r="F906" s="658">
        <v>0.1</v>
      </c>
      <c r="G906" s="658">
        <v>0</v>
      </c>
      <c r="H906" s="664">
        <v>207800</v>
      </c>
      <c r="I906" s="664">
        <f t="shared" si="15"/>
        <v>188910</v>
      </c>
      <c r="J906" s="661"/>
    </row>
    <row r="907" spans="1:10" ht="18.75" customHeight="1">
      <c r="A907" s="661"/>
      <c r="B907" s="663" t="s">
        <v>8397</v>
      </c>
      <c r="C907" s="657" t="s">
        <v>8398</v>
      </c>
      <c r="D907" s="657" t="s">
        <v>8593</v>
      </c>
      <c r="E907" s="663" t="s">
        <v>8594</v>
      </c>
      <c r="F907" s="658">
        <v>0.1</v>
      </c>
      <c r="G907" s="658">
        <v>0</v>
      </c>
      <c r="H907" s="664"/>
      <c r="I907" s="664">
        <f t="shared" si="15"/>
        <v>0</v>
      </c>
      <c r="J907" s="661"/>
    </row>
    <row r="908" spans="1:10" ht="18.75" customHeight="1">
      <c r="A908" s="661"/>
      <c r="B908" s="663" t="s">
        <v>8397</v>
      </c>
      <c r="C908" s="657" t="s">
        <v>8398</v>
      </c>
      <c r="D908" s="657" t="s">
        <v>8595</v>
      </c>
      <c r="E908" s="663" t="s">
        <v>8596</v>
      </c>
      <c r="F908" s="658">
        <v>0.1</v>
      </c>
      <c r="G908" s="658">
        <v>0</v>
      </c>
      <c r="H908" s="664"/>
      <c r="I908" s="664">
        <f t="shared" si="15"/>
        <v>0</v>
      </c>
      <c r="J908" s="661"/>
    </row>
    <row r="909" spans="1:10" ht="18.75" customHeight="1">
      <c r="A909" s="661"/>
      <c r="B909" s="663" t="s">
        <v>8397</v>
      </c>
      <c r="C909" s="657" t="s">
        <v>8398</v>
      </c>
      <c r="D909" s="657" t="s">
        <v>1274</v>
      </c>
      <c r="E909" s="663" t="s">
        <v>2188</v>
      </c>
      <c r="F909" s="658">
        <v>0.1</v>
      </c>
      <c r="G909" s="658">
        <v>0</v>
      </c>
      <c r="H909" s="664">
        <v>267900</v>
      </c>
      <c r="I909" s="664">
        <f t="shared" si="15"/>
        <v>243550</v>
      </c>
      <c r="J909" s="661"/>
    </row>
    <row r="910" spans="1:10" ht="18.75" customHeight="1">
      <c r="A910" s="661"/>
      <c r="B910" s="663" t="s">
        <v>8397</v>
      </c>
      <c r="C910" s="657" t="s">
        <v>8398</v>
      </c>
      <c r="D910" s="657" t="s">
        <v>8597</v>
      </c>
      <c r="E910" s="663" t="s">
        <v>8598</v>
      </c>
      <c r="F910" s="658">
        <v>0.1</v>
      </c>
      <c r="G910" s="658">
        <v>0</v>
      </c>
      <c r="H910" s="664"/>
      <c r="I910" s="664">
        <f t="shared" si="15"/>
        <v>0</v>
      </c>
      <c r="J910" s="661"/>
    </row>
    <row r="911" spans="1:10" ht="18.75" customHeight="1">
      <c r="A911" s="661"/>
      <c r="B911" s="663" t="s">
        <v>8397</v>
      </c>
      <c r="C911" s="657" t="s">
        <v>8398</v>
      </c>
      <c r="D911" s="657" t="s">
        <v>1276</v>
      </c>
      <c r="E911" s="663" t="s">
        <v>2191</v>
      </c>
      <c r="F911" s="658">
        <v>0.1</v>
      </c>
      <c r="G911" s="658">
        <v>0</v>
      </c>
      <c r="H911" s="664">
        <v>385000</v>
      </c>
      <c r="I911" s="664">
        <f t="shared" si="15"/>
        <v>350000</v>
      </c>
      <c r="J911" s="661"/>
    </row>
    <row r="912" spans="1:10" ht="18.75" customHeight="1">
      <c r="A912" s="661"/>
      <c r="B912" s="663" t="s">
        <v>8397</v>
      </c>
      <c r="C912" s="657" t="s">
        <v>8398</v>
      </c>
      <c r="D912" s="657" t="s">
        <v>8599</v>
      </c>
      <c r="E912" s="663" t="s">
        <v>8600</v>
      </c>
      <c r="F912" s="658">
        <v>0.1</v>
      </c>
      <c r="G912" s="658">
        <v>0</v>
      </c>
      <c r="H912" s="664"/>
      <c r="I912" s="664">
        <f t="shared" si="15"/>
        <v>0</v>
      </c>
      <c r="J912" s="661"/>
    </row>
    <row r="913" spans="1:10" ht="18.75" customHeight="1">
      <c r="A913" s="661"/>
      <c r="B913" s="663" t="s">
        <v>8397</v>
      </c>
      <c r="C913" s="657" t="s">
        <v>8398</v>
      </c>
      <c r="D913" s="657" t="s">
        <v>8601</v>
      </c>
      <c r="E913" s="663" t="s">
        <v>8602</v>
      </c>
      <c r="F913" s="658">
        <v>0.1</v>
      </c>
      <c r="G913" s="658">
        <v>0</v>
      </c>
      <c r="H913" s="664"/>
      <c r="I913" s="664">
        <f t="shared" si="15"/>
        <v>0</v>
      </c>
      <c r="J913" s="661"/>
    </row>
    <row r="914" spans="1:10" ht="18.75" customHeight="1">
      <c r="A914" s="661"/>
      <c r="B914" s="663" t="s">
        <v>8397</v>
      </c>
      <c r="C914" s="657" t="s">
        <v>8398</v>
      </c>
      <c r="D914" s="657" t="s">
        <v>8603</v>
      </c>
      <c r="E914" s="663" t="s">
        <v>8604</v>
      </c>
      <c r="F914" s="658">
        <v>0.1</v>
      </c>
      <c r="G914" s="658">
        <v>0</v>
      </c>
      <c r="H914" s="664"/>
      <c r="I914" s="664">
        <f t="shared" si="15"/>
        <v>0</v>
      </c>
      <c r="J914" s="661"/>
    </row>
    <row r="915" spans="1:10" ht="18.75" customHeight="1">
      <c r="A915" s="661"/>
      <c r="B915" s="663" t="s">
        <v>8397</v>
      </c>
      <c r="C915" s="657" t="s">
        <v>8398</v>
      </c>
      <c r="D915" s="657" t="s">
        <v>1278</v>
      </c>
      <c r="E915" s="663" t="s">
        <v>1279</v>
      </c>
      <c r="F915" s="658">
        <v>0.1</v>
      </c>
      <c r="G915" s="658">
        <v>0</v>
      </c>
      <c r="H915" s="664">
        <v>426900</v>
      </c>
      <c r="I915" s="664">
        <f t="shared" si="15"/>
        <v>388090</v>
      </c>
      <c r="J915" s="661"/>
    </row>
    <row r="916" spans="1:10" ht="18.75" customHeight="1">
      <c r="A916" s="661"/>
      <c r="B916" s="663" t="s">
        <v>8397</v>
      </c>
      <c r="C916" s="657" t="s">
        <v>8398</v>
      </c>
      <c r="D916" s="657" t="s">
        <v>8605</v>
      </c>
      <c r="E916" s="663" t="s">
        <v>8606</v>
      </c>
      <c r="F916" s="658">
        <v>0.1</v>
      </c>
      <c r="G916" s="658">
        <v>0</v>
      </c>
      <c r="H916" s="664"/>
      <c r="I916" s="664">
        <f t="shared" si="15"/>
        <v>0</v>
      </c>
      <c r="J916" s="661"/>
    </row>
    <row r="917" spans="1:10" ht="18.75" customHeight="1">
      <c r="A917" s="661"/>
      <c r="B917" s="663" t="s">
        <v>8397</v>
      </c>
      <c r="C917" s="657" t="s">
        <v>8398</v>
      </c>
      <c r="D917" s="657" t="s">
        <v>1280</v>
      </c>
      <c r="E917" s="663" t="s">
        <v>2197</v>
      </c>
      <c r="F917" s="658">
        <v>0.1</v>
      </c>
      <c r="G917" s="658">
        <v>0</v>
      </c>
      <c r="H917" s="664">
        <v>574400</v>
      </c>
      <c r="I917" s="664">
        <f t="shared" si="15"/>
        <v>522180</v>
      </c>
      <c r="J917" s="661"/>
    </row>
    <row r="918" spans="1:10" ht="18.75" customHeight="1">
      <c r="A918" s="661"/>
      <c r="B918" s="663" t="s">
        <v>8397</v>
      </c>
      <c r="C918" s="657" t="s">
        <v>8398</v>
      </c>
      <c r="D918" s="657" t="s">
        <v>8607</v>
      </c>
      <c r="E918" s="663" t="s">
        <v>8608</v>
      </c>
      <c r="F918" s="658">
        <v>0.1</v>
      </c>
      <c r="G918" s="658">
        <v>0</v>
      </c>
      <c r="H918" s="664"/>
      <c r="I918" s="664">
        <f t="shared" si="15"/>
        <v>0</v>
      </c>
      <c r="J918" s="661"/>
    </row>
    <row r="919" spans="1:10" ht="18.75" customHeight="1">
      <c r="A919" s="661"/>
      <c r="B919" s="663" t="s">
        <v>8397</v>
      </c>
      <c r="C919" s="657" t="s">
        <v>8398</v>
      </c>
      <c r="D919" s="657" t="s">
        <v>8609</v>
      </c>
      <c r="E919" s="663" t="s">
        <v>8610</v>
      </c>
      <c r="F919" s="658">
        <v>0.1</v>
      </c>
      <c r="G919" s="658">
        <v>0</v>
      </c>
      <c r="H919" s="664"/>
      <c r="I919" s="664">
        <f t="shared" si="15"/>
        <v>0</v>
      </c>
      <c r="J919" s="661"/>
    </row>
    <row r="920" spans="1:10" ht="18.75" customHeight="1">
      <c r="A920" s="661"/>
      <c r="B920" s="663" t="s">
        <v>8397</v>
      </c>
      <c r="C920" s="657" t="s">
        <v>8398</v>
      </c>
      <c r="D920" s="657" t="s">
        <v>8611</v>
      </c>
      <c r="E920" s="663" t="s">
        <v>8612</v>
      </c>
      <c r="F920" s="658">
        <v>0.1</v>
      </c>
      <c r="G920" s="658">
        <v>0</v>
      </c>
      <c r="H920" s="664"/>
      <c r="I920" s="664">
        <f t="shared" si="15"/>
        <v>0</v>
      </c>
      <c r="J920" s="661"/>
    </row>
    <row r="921" spans="1:10" ht="18.75" customHeight="1">
      <c r="A921" s="661"/>
      <c r="B921" s="663" t="s">
        <v>8397</v>
      </c>
      <c r="C921" s="657" t="s">
        <v>8398</v>
      </c>
      <c r="D921" s="657" t="s">
        <v>8613</v>
      </c>
      <c r="E921" s="663" t="s">
        <v>8614</v>
      </c>
      <c r="F921" s="658">
        <v>0.1</v>
      </c>
      <c r="G921" s="658">
        <v>0</v>
      </c>
      <c r="H921" s="664"/>
      <c r="I921" s="664">
        <f t="shared" si="15"/>
        <v>0</v>
      </c>
      <c r="J921" s="661"/>
    </row>
    <row r="922" spans="1:10" ht="18.75" customHeight="1">
      <c r="A922" s="661"/>
      <c r="B922" s="663" t="s">
        <v>8397</v>
      </c>
      <c r="C922" s="657" t="s">
        <v>8398</v>
      </c>
      <c r="D922" s="657" t="s">
        <v>8615</v>
      </c>
      <c r="E922" s="663" t="s">
        <v>8616</v>
      </c>
      <c r="F922" s="658">
        <v>0.1</v>
      </c>
      <c r="G922" s="658">
        <v>0</v>
      </c>
      <c r="H922" s="664"/>
      <c r="I922" s="664">
        <f t="shared" si="15"/>
        <v>0</v>
      </c>
      <c r="J922" s="661"/>
    </row>
    <row r="923" spans="1:10" ht="18.75" customHeight="1">
      <c r="A923" s="661"/>
      <c r="B923" s="663" t="s">
        <v>8397</v>
      </c>
      <c r="C923" s="657" t="s">
        <v>8398</v>
      </c>
      <c r="D923" s="657" t="s">
        <v>8617</v>
      </c>
      <c r="E923" s="663" t="s">
        <v>8618</v>
      </c>
      <c r="F923" s="658">
        <v>0.1</v>
      </c>
      <c r="G923" s="658">
        <v>0</v>
      </c>
      <c r="H923" s="664"/>
      <c r="I923" s="664">
        <f t="shared" si="15"/>
        <v>0</v>
      </c>
      <c r="J923" s="661"/>
    </row>
    <row r="924" spans="1:10" ht="18.75" customHeight="1">
      <c r="A924" s="661"/>
      <c r="B924" s="663" t="s">
        <v>8397</v>
      </c>
      <c r="C924" s="657" t="s">
        <v>8398</v>
      </c>
      <c r="D924" s="657" t="s">
        <v>8619</v>
      </c>
      <c r="E924" s="663" t="s">
        <v>8620</v>
      </c>
      <c r="F924" s="658">
        <v>0.1</v>
      </c>
      <c r="G924" s="658">
        <v>0</v>
      </c>
      <c r="H924" s="664"/>
      <c r="I924" s="664">
        <f t="shared" si="15"/>
        <v>0</v>
      </c>
      <c r="J924" s="661"/>
    </row>
    <row r="925" spans="1:10" ht="18.75" customHeight="1">
      <c r="A925" s="661"/>
      <c r="B925" s="663" t="s">
        <v>8397</v>
      </c>
      <c r="C925" s="657" t="s">
        <v>8398</v>
      </c>
      <c r="D925" s="657" t="s">
        <v>8621</v>
      </c>
      <c r="E925" s="663" t="s">
        <v>8622</v>
      </c>
      <c r="F925" s="658">
        <v>0.1</v>
      </c>
      <c r="G925" s="658">
        <v>0</v>
      </c>
      <c r="H925" s="664"/>
      <c r="I925" s="664">
        <f t="shared" si="15"/>
        <v>0</v>
      </c>
      <c r="J925" s="661"/>
    </row>
    <row r="926" spans="1:10" ht="18.75" customHeight="1">
      <c r="A926" s="661"/>
      <c r="B926" s="663" t="s">
        <v>8397</v>
      </c>
      <c r="C926" s="657" t="s">
        <v>8398</v>
      </c>
      <c r="D926" s="657" t="s">
        <v>8623</v>
      </c>
      <c r="E926" s="663" t="s">
        <v>8624</v>
      </c>
      <c r="F926" s="658">
        <v>0.1</v>
      </c>
      <c r="G926" s="658">
        <v>0</v>
      </c>
      <c r="H926" s="664"/>
      <c r="I926" s="664">
        <f t="shared" si="15"/>
        <v>0</v>
      </c>
      <c r="J926" s="661"/>
    </row>
    <row r="927" spans="1:10" ht="18.75" customHeight="1">
      <c r="A927" s="661"/>
      <c r="B927" s="663" t="s">
        <v>8397</v>
      </c>
      <c r="C927" s="657" t="s">
        <v>8398</v>
      </c>
      <c r="D927" s="657" t="s">
        <v>8625</v>
      </c>
      <c r="E927" s="663" t="s">
        <v>8626</v>
      </c>
      <c r="F927" s="658">
        <v>0.1</v>
      </c>
      <c r="G927" s="658">
        <v>0</v>
      </c>
      <c r="H927" s="664"/>
      <c r="I927" s="664">
        <f t="shared" si="15"/>
        <v>0</v>
      </c>
      <c r="J927" s="661"/>
    </row>
    <row r="928" spans="1:10" ht="18.75" customHeight="1">
      <c r="A928" s="661"/>
      <c r="B928" s="663" t="s">
        <v>8397</v>
      </c>
      <c r="C928" s="657" t="s">
        <v>8398</v>
      </c>
      <c r="D928" s="657" t="s">
        <v>8627</v>
      </c>
      <c r="E928" s="663" t="s">
        <v>8628</v>
      </c>
      <c r="F928" s="658">
        <v>0.1</v>
      </c>
      <c r="G928" s="658">
        <v>0</v>
      </c>
      <c r="H928" s="664"/>
      <c r="I928" s="664">
        <f t="shared" si="15"/>
        <v>0</v>
      </c>
      <c r="J928" s="661"/>
    </row>
    <row r="929" spans="1:10" ht="18.75" customHeight="1">
      <c r="A929" s="661"/>
      <c r="B929" s="663" t="s">
        <v>8397</v>
      </c>
      <c r="C929" s="657" t="s">
        <v>8398</v>
      </c>
      <c r="D929" s="657" t="s">
        <v>8629</v>
      </c>
      <c r="E929" s="663" t="s">
        <v>8630</v>
      </c>
      <c r="F929" s="658">
        <v>0.1</v>
      </c>
      <c r="G929" s="658">
        <v>0</v>
      </c>
      <c r="H929" s="664"/>
      <c r="I929" s="664">
        <f t="shared" si="15"/>
        <v>0</v>
      </c>
      <c r="J929" s="661"/>
    </row>
    <row r="930" spans="1:10" ht="18.75" customHeight="1">
      <c r="A930" s="661"/>
      <c r="B930" s="663" t="s">
        <v>8397</v>
      </c>
      <c r="C930" s="657" t="s">
        <v>8398</v>
      </c>
      <c r="D930" s="657" t="s">
        <v>8631</v>
      </c>
      <c r="E930" s="663" t="s">
        <v>8632</v>
      </c>
      <c r="F930" s="658">
        <v>0.1</v>
      </c>
      <c r="G930" s="658">
        <v>0</v>
      </c>
      <c r="H930" s="664"/>
      <c r="I930" s="664">
        <f t="shared" si="15"/>
        <v>0</v>
      </c>
      <c r="J930" s="661"/>
    </row>
    <row r="931" spans="1:10" ht="18.75" customHeight="1">
      <c r="A931" s="661"/>
      <c r="B931" s="663" t="s">
        <v>8397</v>
      </c>
      <c r="C931" s="657" t="s">
        <v>8398</v>
      </c>
      <c r="D931" s="657" t="s">
        <v>8633</v>
      </c>
      <c r="E931" s="663" t="s">
        <v>8634</v>
      </c>
      <c r="F931" s="658">
        <v>0.1</v>
      </c>
      <c r="G931" s="658">
        <v>0</v>
      </c>
      <c r="H931" s="664"/>
      <c r="I931" s="664">
        <f t="shared" si="15"/>
        <v>0</v>
      </c>
      <c r="J931" s="661"/>
    </row>
    <row r="932" spans="1:10" ht="18.75" customHeight="1">
      <c r="A932" s="661"/>
      <c r="B932" s="663" t="s">
        <v>8397</v>
      </c>
      <c r="C932" s="657" t="s">
        <v>8398</v>
      </c>
      <c r="D932" s="657" t="s">
        <v>8635</v>
      </c>
      <c r="E932" s="663" t="s">
        <v>8636</v>
      </c>
      <c r="F932" s="658">
        <v>0.1</v>
      </c>
      <c r="G932" s="658">
        <v>0</v>
      </c>
      <c r="H932" s="664"/>
      <c r="I932" s="664">
        <f t="shared" si="15"/>
        <v>0</v>
      </c>
      <c r="J932" s="661"/>
    </row>
    <row r="933" spans="1:10" ht="18.75" customHeight="1">
      <c r="A933" s="661"/>
      <c r="B933" s="663" t="s">
        <v>8397</v>
      </c>
      <c r="C933" s="657" t="s">
        <v>8398</v>
      </c>
      <c r="D933" s="657" t="s">
        <v>8637</v>
      </c>
      <c r="E933" s="663" t="s">
        <v>8638</v>
      </c>
      <c r="F933" s="658">
        <v>0.1</v>
      </c>
      <c r="G933" s="658">
        <v>0</v>
      </c>
      <c r="H933" s="664"/>
      <c r="I933" s="664">
        <f t="shared" si="15"/>
        <v>0</v>
      </c>
      <c r="J933" s="661"/>
    </row>
    <row r="934" spans="1:10" ht="18.75" customHeight="1">
      <c r="A934" s="661"/>
      <c r="B934" s="663" t="s">
        <v>8397</v>
      </c>
      <c r="C934" s="657" t="s">
        <v>8398</v>
      </c>
      <c r="D934" s="657" t="s">
        <v>1283</v>
      </c>
      <c r="E934" s="663" t="s">
        <v>2195</v>
      </c>
      <c r="F934" s="658">
        <v>0.1</v>
      </c>
      <c r="G934" s="658">
        <v>0</v>
      </c>
      <c r="H934" s="664">
        <v>476300</v>
      </c>
      <c r="I934" s="664">
        <f t="shared" si="15"/>
        <v>433000</v>
      </c>
      <c r="J934" s="661"/>
    </row>
    <row r="935" spans="1:10" ht="18.75" customHeight="1">
      <c r="A935" s="661"/>
      <c r="B935" s="663" t="s">
        <v>8397</v>
      </c>
      <c r="C935" s="657" t="s">
        <v>8398</v>
      </c>
      <c r="D935" s="657" t="s">
        <v>8639</v>
      </c>
      <c r="E935" s="663" t="s">
        <v>8640</v>
      </c>
      <c r="F935" s="658">
        <v>0.1</v>
      </c>
      <c r="G935" s="658">
        <v>0</v>
      </c>
      <c r="H935" s="664"/>
      <c r="I935" s="664">
        <f t="shared" si="15"/>
        <v>0</v>
      </c>
      <c r="J935" s="661"/>
    </row>
    <row r="936" spans="1:10" ht="18.75" customHeight="1">
      <c r="A936" s="661"/>
      <c r="B936" s="663" t="s">
        <v>8397</v>
      </c>
      <c r="C936" s="657" t="s">
        <v>8398</v>
      </c>
      <c r="D936" s="657" t="s">
        <v>8641</v>
      </c>
      <c r="E936" s="663" t="s">
        <v>8642</v>
      </c>
      <c r="F936" s="658">
        <v>0.1</v>
      </c>
      <c r="G936" s="658">
        <v>0</v>
      </c>
      <c r="H936" s="664"/>
      <c r="I936" s="664">
        <f t="shared" si="15"/>
        <v>0</v>
      </c>
      <c r="J936" s="661"/>
    </row>
    <row r="937" spans="1:10" ht="18.75" customHeight="1">
      <c r="A937" s="661"/>
      <c r="B937" s="663" t="s">
        <v>8397</v>
      </c>
      <c r="C937" s="657" t="s">
        <v>8398</v>
      </c>
      <c r="D937" s="657" t="s">
        <v>8643</v>
      </c>
      <c r="E937" s="663" t="s">
        <v>8644</v>
      </c>
      <c r="F937" s="658">
        <v>0.1</v>
      </c>
      <c r="G937" s="658">
        <v>0</v>
      </c>
      <c r="H937" s="664"/>
      <c r="I937" s="664">
        <f t="shared" si="15"/>
        <v>0</v>
      </c>
      <c r="J937" s="661"/>
    </row>
    <row r="938" spans="1:10" ht="18.75" customHeight="1">
      <c r="A938" s="661"/>
      <c r="B938" s="663" t="s">
        <v>8397</v>
      </c>
      <c r="C938" s="657" t="s">
        <v>8398</v>
      </c>
      <c r="D938" s="657" t="s">
        <v>8645</v>
      </c>
      <c r="E938" s="663" t="s">
        <v>8646</v>
      </c>
      <c r="F938" s="658">
        <v>0.1</v>
      </c>
      <c r="G938" s="658">
        <v>0</v>
      </c>
      <c r="H938" s="664"/>
      <c r="I938" s="664">
        <f t="shared" si="15"/>
        <v>0</v>
      </c>
      <c r="J938" s="661"/>
    </row>
    <row r="939" spans="1:10" ht="18.75" customHeight="1">
      <c r="A939" s="661"/>
      <c r="B939" s="663" t="s">
        <v>1338</v>
      </c>
      <c r="C939" s="657" t="s">
        <v>8398</v>
      </c>
      <c r="D939" s="657" t="s">
        <v>8647</v>
      </c>
      <c r="E939" s="663" t="s">
        <v>8648</v>
      </c>
      <c r="F939" s="658">
        <v>0.1</v>
      </c>
      <c r="G939" s="658">
        <v>0</v>
      </c>
      <c r="H939" s="664"/>
      <c r="I939" s="664">
        <f t="shared" si="15"/>
        <v>0</v>
      </c>
      <c r="J939" s="661"/>
    </row>
    <row r="940" spans="1:10" ht="18.75" customHeight="1">
      <c r="A940" s="661"/>
      <c r="B940" s="663" t="s">
        <v>1338</v>
      </c>
      <c r="C940" s="657" t="s">
        <v>8398</v>
      </c>
      <c r="D940" s="657" t="s">
        <v>8649</v>
      </c>
      <c r="E940" s="663" t="s">
        <v>8650</v>
      </c>
      <c r="F940" s="658">
        <v>0.1</v>
      </c>
      <c r="G940" s="658">
        <v>0</v>
      </c>
      <c r="H940" s="664"/>
      <c r="I940" s="664">
        <f t="shared" si="15"/>
        <v>0</v>
      </c>
      <c r="J940" s="661"/>
    </row>
    <row r="941" spans="1:10" ht="18.75" customHeight="1">
      <c r="A941" s="661"/>
      <c r="B941" s="663" t="s">
        <v>1338</v>
      </c>
      <c r="C941" s="657" t="s">
        <v>8398</v>
      </c>
      <c r="D941" s="657" t="s">
        <v>8651</v>
      </c>
      <c r="E941" s="663" t="s">
        <v>8652</v>
      </c>
      <c r="F941" s="658">
        <v>0.1</v>
      </c>
      <c r="G941" s="658">
        <v>0</v>
      </c>
      <c r="H941" s="664"/>
      <c r="I941" s="664">
        <f t="shared" si="15"/>
        <v>0</v>
      </c>
      <c r="J941" s="661"/>
    </row>
    <row r="942" spans="1:10" ht="18.75" customHeight="1">
      <c r="A942" s="661"/>
      <c r="B942" s="663" t="s">
        <v>1338</v>
      </c>
      <c r="C942" s="657" t="s">
        <v>8398</v>
      </c>
      <c r="D942" s="657" t="s">
        <v>8653</v>
      </c>
      <c r="E942" s="663" t="s">
        <v>8654</v>
      </c>
      <c r="F942" s="658">
        <v>0.1</v>
      </c>
      <c r="G942" s="658">
        <v>0</v>
      </c>
      <c r="H942" s="664"/>
      <c r="I942" s="664">
        <f t="shared" si="15"/>
        <v>0</v>
      </c>
      <c r="J942" s="661"/>
    </row>
    <row r="943" spans="1:10" ht="18.75" customHeight="1">
      <c r="A943" s="661"/>
      <c r="B943" s="663" t="s">
        <v>1338</v>
      </c>
      <c r="C943" s="657" t="s">
        <v>8398</v>
      </c>
      <c r="D943" s="657" t="s">
        <v>8655</v>
      </c>
      <c r="E943" s="663" t="s">
        <v>8656</v>
      </c>
      <c r="F943" s="658">
        <v>0.1</v>
      </c>
      <c r="G943" s="658">
        <v>0</v>
      </c>
      <c r="H943" s="664"/>
      <c r="I943" s="664">
        <f t="shared" si="15"/>
        <v>0</v>
      </c>
      <c r="J943" s="661"/>
    </row>
    <row r="944" spans="1:10" ht="18.75" customHeight="1">
      <c r="A944" s="661"/>
      <c r="B944" s="663" t="s">
        <v>1338</v>
      </c>
      <c r="C944" s="657" t="s">
        <v>8398</v>
      </c>
      <c r="D944" s="657" t="s">
        <v>8657</v>
      </c>
      <c r="E944" s="663" t="s">
        <v>8658</v>
      </c>
      <c r="F944" s="658">
        <v>0.1</v>
      </c>
      <c r="G944" s="658">
        <v>0</v>
      </c>
      <c r="H944" s="664"/>
      <c r="I944" s="664">
        <f t="shared" si="15"/>
        <v>0</v>
      </c>
      <c r="J944" s="661"/>
    </row>
    <row r="945" spans="1:10" ht="18.75" customHeight="1">
      <c r="A945" s="661"/>
      <c r="B945" s="663" t="s">
        <v>1338</v>
      </c>
      <c r="C945" s="657" t="s">
        <v>8398</v>
      </c>
      <c r="D945" s="657" t="s">
        <v>8659</v>
      </c>
      <c r="E945" s="663" t="s">
        <v>8660</v>
      </c>
      <c r="F945" s="658">
        <v>0.1</v>
      </c>
      <c r="G945" s="658">
        <v>0</v>
      </c>
      <c r="H945" s="664"/>
      <c r="I945" s="664">
        <f t="shared" si="15"/>
        <v>0</v>
      </c>
      <c r="J945" s="661"/>
    </row>
    <row r="946" spans="1:10" ht="18.75" customHeight="1">
      <c r="A946" s="661"/>
      <c r="B946" s="663" t="s">
        <v>1338</v>
      </c>
      <c r="C946" s="657" t="s">
        <v>8398</v>
      </c>
      <c r="D946" s="657" t="s">
        <v>8661</v>
      </c>
      <c r="E946" s="663" t="s">
        <v>8662</v>
      </c>
      <c r="F946" s="658">
        <v>0.1</v>
      </c>
      <c r="G946" s="658">
        <v>0</v>
      </c>
      <c r="H946" s="664"/>
      <c r="I946" s="664">
        <f t="shared" si="15"/>
        <v>0</v>
      </c>
      <c r="J946" s="661"/>
    </row>
    <row r="947" spans="1:10" ht="18.75" customHeight="1">
      <c r="A947" s="661"/>
      <c r="B947" s="663" t="s">
        <v>1338</v>
      </c>
      <c r="C947" s="657" t="s">
        <v>8398</v>
      </c>
      <c r="D947" s="657" t="s">
        <v>8663</v>
      </c>
      <c r="E947" s="663" t="s">
        <v>8664</v>
      </c>
      <c r="F947" s="658">
        <v>0.1</v>
      </c>
      <c r="G947" s="658">
        <v>0</v>
      </c>
      <c r="H947" s="664"/>
      <c r="I947" s="664">
        <f t="shared" si="15"/>
        <v>0</v>
      </c>
      <c r="J947" s="661"/>
    </row>
    <row r="948" spans="1:10" ht="18.75" customHeight="1">
      <c r="A948" s="661"/>
      <c r="B948" s="663" t="s">
        <v>1338</v>
      </c>
      <c r="C948" s="657" t="s">
        <v>8398</v>
      </c>
      <c r="D948" s="657" t="s">
        <v>8665</v>
      </c>
      <c r="E948" s="663" t="s">
        <v>8666</v>
      </c>
      <c r="F948" s="658">
        <v>0.1</v>
      </c>
      <c r="G948" s="658">
        <v>0</v>
      </c>
      <c r="H948" s="664"/>
      <c r="I948" s="664">
        <f t="shared" si="15"/>
        <v>0</v>
      </c>
      <c r="J948" s="661"/>
    </row>
    <row r="949" spans="1:10" ht="18.75" customHeight="1">
      <c r="A949" s="661"/>
      <c r="B949" s="663" t="s">
        <v>1338</v>
      </c>
      <c r="C949" s="657" t="s">
        <v>8398</v>
      </c>
      <c r="D949" s="657" t="s">
        <v>8667</v>
      </c>
      <c r="E949" s="663" t="s">
        <v>8668</v>
      </c>
      <c r="F949" s="658">
        <v>0.1</v>
      </c>
      <c r="G949" s="658">
        <v>0</v>
      </c>
      <c r="H949" s="664"/>
      <c r="I949" s="664">
        <f t="shared" si="15"/>
        <v>0</v>
      </c>
      <c r="J949" s="661"/>
    </row>
    <row r="950" spans="1:10" ht="18.75" customHeight="1">
      <c r="A950" s="661"/>
      <c r="B950" s="663" t="s">
        <v>1338</v>
      </c>
      <c r="C950" s="657" t="s">
        <v>8398</v>
      </c>
      <c r="D950" s="657" t="s">
        <v>8669</v>
      </c>
      <c r="E950" s="663" t="s">
        <v>8670</v>
      </c>
      <c r="F950" s="658">
        <v>0.1</v>
      </c>
      <c r="G950" s="658">
        <v>0</v>
      </c>
      <c r="H950" s="664"/>
      <c r="I950" s="664">
        <f t="shared" si="15"/>
        <v>0</v>
      </c>
      <c r="J950" s="661"/>
    </row>
    <row r="951" spans="1:10" ht="18.75" customHeight="1">
      <c r="A951" s="661"/>
      <c r="B951" s="663" t="s">
        <v>1338</v>
      </c>
      <c r="C951" s="657" t="s">
        <v>8398</v>
      </c>
      <c r="D951" s="657" t="s">
        <v>8671</v>
      </c>
      <c r="E951" s="663" t="s">
        <v>8672</v>
      </c>
      <c r="F951" s="658">
        <v>0.1</v>
      </c>
      <c r="G951" s="658">
        <v>0</v>
      </c>
      <c r="H951" s="664"/>
      <c r="I951" s="664">
        <f t="shared" si="15"/>
        <v>0</v>
      </c>
      <c r="J951" s="661"/>
    </row>
    <row r="952" spans="1:10" ht="18.75" customHeight="1">
      <c r="A952" s="661"/>
      <c r="B952" s="663" t="s">
        <v>1338</v>
      </c>
      <c r="C952" s="657" t="s">
        <v>8398</v>
      </c>
      <c r="D952" s="657" t="s">
        <v>8673</v>
      </c>
      <c r="E952" s="663" t="s">
        <v>8674</v>
      </c>
      <c r="F952" s="658">
        <v>0.1</v>
      </c>
      <c r="G952" s="658">
        <v>0</v>
      </c>
      <c r="H952" s="664"/>
      <c r="I952" s="664">
        <f t="shared" si="15"/>
        <v>0</v>
      </c>
      <c r="J952" s="661"/>
    </row>
    <row r="953" spans="1:10" ht="18.75" customHeight="1">
      <c r="A953" s="661"/>
      <c r="B953" s="663" t="s">
        <v>1338</v>
      </c>
      <c r="C953" s="657" t="s">
        <v>8398</v>
      </c>
      <c r="D953" s="657" t="s">
        <v>1339</v>
      </c>
      <c r="E953" s="663" t="s">
        <v>1340</v>
      </c>
      <c r="F953" s="658">
        <v>0.1</v>
      </c>
      <c r="G953" s="658">
        <v>0</v>
      </c>
      <c r="H953" s="664">
        <v>17300</v>
      </c>
      <c r="I953" s="664">
        <f t="shared" si="15"/>
        <v>15730</v>
      </c>
      <c r="J953" s="661"/>
    </row>
    <row r="954" spans="1:10" ht="18.75" customHeight="1">
      <c r="A954" s="661"/>
      <c r="B954" s="663" t="s">
        <v>1338</v>
      </c>
      <c r="C954" s="657" t="s">
        <v>8398</v>
      </c>
      <c r="D954" s="657" t="s">
        <v>1341</v>
      </c>
      <c r="E954" s="663" t="s">
        <v>1342</v>
      </c>
      <c r="F954" s="658">
        <v>0.1</v>
      </c>
      <c r="G954" s="658">
        <v>0</v>
      </c>
      <c r="H954" s="664">
        <v>18300</v>
      </c>
      <c r="I954" s="664">
        <f t="shared" si="15"/>
        <v>16640</v>
      </c>
      <c r="J954" s="661"/>
    </row>
    <row r="955" spans="1:10" ht="18.75" customHeight="1">
      <c r="A955" s="661"/>
      <c r="B955" s="663" t="s">
        <v>1338</v>
      </c>
      <c r="C955" s="657" t="s">
        <v>8398</v>
      </c>
      <c r="D955" s="657" t="s">
        <v>1343</v>
      </c>
      <c r="E955" s="663" t="s">
        <v>1344</v>
      </c>
      <c r="F955" s="658">
        <v>0.1</v>
      </c>
      <c r="G955" s="658">
        <v>0</v>
      </c>
      <c r="H955" s="664">
        <v>22100</v>
      </c>
      <c r="I955" s="664">
        <f t="shared" si="15"/>
        <v>20090</v>
      </c>
      <c r="J955" s="661"/>
    </row>
    <row r="956" spans="1:10" ht="18.75" customHeight="1">
      <c r="A956" s="661"/>
      <c r="B956" s="663" t="s">
        <v>1338</v>
      </c>
      <c r="C956" s="657" t="s">
        <v>8398</v>
      </c>
      <c r="D956" s="657" t="s">
        <v>8675</v>
      </c>
      <c r="E956" s="663" t="s">
        <v>8676</v>
      </c>
      <c r="F956" s="658">
        <v>0.1</v>
      </c>
      <c r="G956" s="658">
        <v>0</v>
      </c>
      <c r="H956" s="664"/>
      <c r="I956" s="664">
        <f t="shared" si="15"/>
        <v>0</v>
      </c>
      <c r="J956" s="661"/>
    </row>
    <row r="957" spans="1:10" ht="18.75" customHeight="1">
      <c r="A957" s="661"/>
      <c r="B957" s="663" t="s">
        <v>1338</v>
      </c>
      <c r="C957" s="657" t="s">
        <v>8398</v>
      </c>
      <c r="D957" s="657" t="s">
        <v>8677</v>
      </c>
      <c r="E957" s="663" t="s">
        <v>8678</v>
      </c>
      <c r="F957" s="658">
        <v>0.1</v>
      </c>
      <c r="G957" s="658">
        <v>0</v>
      </c>
      <c r="H957" s="664"/>
      <c r="I957" s="664">
        <f t="shared" si="15"/>
        <v>0</v>
      </c>
      <c r="J957" s="661"/>
    </row>
    <row r="958" spans="1:10" ht="18.75" customHeight="1">
      <c r="A958" s="661"/>
      <c r="B958" s="663" t="s">
        <v>1338</v>
      </c>
      <c r="C958" s="657" t="s">
        <v>8398</v>
      </c>
      <c r="D958" s="657" t="s">
        <v>8679</v>
      </c>
      <c r="E958" s="663" t="s">
        <v>8680</v>
      </c>
      <c r="F958" s="658">
        <v>0.1</v>
      </c>
      <c r="G958" s="658">
        <v>0</v>
      </c>
      <c r="H958" s="664"/>
      <c r="I958" s="664">
        <f t="shared" si="15"/>
        <v>0</v>
      </c>
      <c r="J958" s="661"/>
    </row>
    <row r="959" spans="1:10" ht="18.75" customHeight="1">
      <c r="A959" s="661"/>
      <c r="B959" s="663" t="s">
        <v>1338</v>
      </c>
      <c r="C959" s="657" t="s">
        <v>8398</v>
      </c>
      <c r="D959" s="657" t="s">
        <v>8681</v>
      </c>
      <c r="E959" s="663" t="s">
        <v>8682</v>
      </c>
      <c r="F959" s="658">
        <v>0.1</v>
      </c>
      <c r="G959" s="658">
        <v>0</v>
      </c>
      <c r="H959" s="664"/>
      <c r="I959" s="664">
        <f t="shared" si="15"/>
        <v>0</v>
      </c>
      <c r="J959" s="661"/>
    </row>
    <row r="960" spans="1:10" ht="18.75" customHeight="1">
      <c r="A960" s="661"/>
      <c r="B960" s="663" t="s">
        <v>1338</v>
      </c>
      <c r="C960" s="657" t="s">
        <v>8398</v>
      </c>
      <c r="D960" s="657" t="s">
        <v>8683</v>
      </c>
      <c r="E960" s="663" t="s">
        <v>8684</v>
      </c>
      <c r="F960" s="658">
        <v>0.1</v>
      </c>
      <c r="G960" s="658">
        <v>0</v>
      </c>
      <c r="H960" s="664"/>
      <c r="I960" s="664">
        <f t="shared" si="15"/>
        <v>0</v>
      </c>
      <c r="J960" s="661"/>
    </row>
    <row r="961" spans="1:10" ht="18.75" customHeight="1">
      <c r="A961" s="661"/>
      <c r="B961" s="663" t="s">
        <v>1338</v>
      </c>
      <c r="C961" s="657" t="s">
        <v>8398</v>
      </c>
      <c r="D961" s="657" t="s">
        <v>8685</v>
      </c>
      <c r="E961" s="663" t="s">
        <v>8686</v>
      </c>
      <c r="F961" s="658">
        <v>0.1</v>
      </c>
      <c r="G961" s="658">
        <v>0</v>
      </c>
      <c r="H961" s="664"/>
      <c r="I961" s="664">
        <f t="shared" si="15"/>
        <v>0</v>
      </c>
      <c r="J961" s="661"/>
    </row>
    <row r="962" spans="1:10" ht="18.75" customHeight="1">
      <c r="A962" s="661"/>
      <c r="B962" s="663" t="s">
        <v>1338</v>
      </c>
      <c r="C962" s="657" t="s">
        <v>8398</v>
      </c>
      <c r="D962" s="657" t="s">
        <v>1345</v>
      </c>
      <c r="E962" s="663" t="s">
        <v>1346</v>
      </c>
      <c r="F962" s="658">
        <v>0.1</v>
      </c>
      <c r="G962" s="658">
        <v>0</v>
      </c>
      <c r="H962" s="664">
        <v>9100</v>
      </c>
      <c r="I962" s="664">
        <f t="shared" si="15"/>
        <v>8270</v>
      </c>
      <c r="J962" s="661"/>
    </row>
    <row r="963" spans="1:10" ht="18.75" customHeight="1">
      <c r="A963" s="661"/>
      <c r="B963" s="663" t="s">
        <v>1338</v>
      </c>
      <c r="C963" s="657" t="s">
        <v>8398</v>
      </c>
      <c r="D963" s="657" t="s">
        <v>1347</v>
      </c>
      <c r="E963" s="663" t="s">
        <v>1348</v>
      </c>
      <c r="F963" s="658">
        <v>0.1</v>
      </c>
      <c r="G963" s="658">
        <v>0</v>
      </c>
      <c r="H963" s="664">
        <v>10100</v>
      </c>
      <c r="I963" s="664">
        <f t="shared" si="15"/>
        <v>9180</v>
      </c>
      <c r="J963" s="661"/>
    </row>
    <row r="964" spans="1:10" ht="18.75" customHeight="1">
      <c r="A964" s="661"/>
      <c r="B964" s="663" t="s">
        <v>1338</v>
      </c>
      <c r="C964" s="657" t="s">
        <v>8398</v>
      </c>
      <c r="D964" s="657" t="s">
        <v>8687</v>
      </c>
      <c r="E964" s="663" t="s">
        <v>8688</v>
      </c>
      <c r="F964" s="658">
        <v>0.1</v>
      </c>
      <c r="G964" s="658">
        <v>0</v>
      </c>
      <c r="H964" s="664"/>
      <c r="I964" s="664">
        <f t="shared" si="15"/>
        <v>0</v>
      </c>
      <c r="J964" s="661"/>
    </row>
    <row r="965" spans="1:10" ht="18.75" customHeight="1">
      <c r="A965" s="661"/>
      <c r="B965" s="663" t="s">
        <v>1338</v>
      </c>
      <c r="C965" s="657" t="s">
        <v>8398</v>
      </c>
      <c r="D965" s="657" t="s">
        <v>8689</v>
      </c>
      <c r="E965" s="663" t="s">
        <v>8690</v>
      </c>
      <c r="F965" s="658">
        <v>0.1</v>
      </c>
      <c r="G965" s="658">
        <v>0</v>
      </c>
      <c r="H965" s="664"/>
      <c r="I965" s="664">
        <f t="shared" si="15"/>
        <v>0</v>
      </c>
      <c r="J965" s="661"/>
    </row>
    <row r="966" spans="1:10" ht="18.75" customHeight="1">
      <c r="A966" s="661"/>
      <c r="B966" s="663" t="s">
        <v>1338</v>
      </c>
      <c r="C966" s="657" t="s">
        <v>8398</v>
      </c>
      <c r="D966" s="657" t="s">
        <v>8691</v>
      </c>
      <c r="E966" s="663" t="s">
        <v>8692</v>
      </c>
      <c r="F966" s="658">
        <v>0.1</v>
      </c>
      <c r="G966" s="658">
        <v>0</v>
      </c>
      <c r="H966" s="664"/>
      <c r="I966" s="664">
        <f t="shared" si="15"/>
        <v>0</v>
      </c>
      <c r="J966" s="661"/>
    </row>
    <row r="967" spans="1:10" ht="18.75" customHeight="1">
      <c r="A967" s="661"/>
      <c r="B967" s="663" t="s">
        <v>1338</v>
      </c>
      <c r="C967" s="657" t="s">
        <v>8398</v>
      </c>
      <c r="D967" s="657" t="s">
        <v>8693</v>
      </c>
      <c r="E967" s="663" t="s">
        <v>8694</v>
      </c>
      <c r="F967" s="658">
        <v>0.1</v>
      </c>
      <c r="G967" s="658">
        <v>0</v>
      </c>
      <c r="H967" s="664"/>
      <c r="I967" s="664">
        <f t="shared" si="15"/>
        <v>0</v>
      </c>
      <c r="J967" s="661"/>
    </row>
    <row r="968" spans="1:10" ht="18.75" customHeight="1">
      <c r="A968" s="661"/>
      <c r="B968" s="663" t="s">
        <v>1338</v>
      </c>
      <c r="C968" s="657" t="s">
        <v>8398</v>
      </c>
      <c r="D968" s="657" t="s">
        <v>8695</v>
      </c>
      <c r="E968" s="663" t="s">
        <v>8696</v>
      </c>
      <c r="F968" s="658">
        <v>0.1</v>
      </c>
      <c r="G968" s="658">
        <v>0</v>
      </c>
      <c r="H968" s="664"/>
      <c r="I968" s="664">
        <f t="shared" si="15"/>
        <v>0</v>
      </c>
      <c r="J968" s="661"/>
    </row>
    <row r="969" spans="1:10" ht="18.75" customHeight="1">
      <c r="A969" s="661"/>
      <c r="B969" s="663" t="s">
        <v>1338</v>
      </c>
      <c r="C969" s="657" t="s">
        <v>8398</v>
      </c>
      <c r="D969" s="657" t="s">
        <v>1349</v>
      </c>
      <c r="E969" s="663" t="s">
        <v>1350</v>
      </c>
      <c r="F969" s="658">
        <v>0.1</v>
      </c>
      <c r="G969" s="658">
        <v>0</v>
      </c>
      <c r="H969" s="664">
        <v>25400</v>
      </c>
      <c r="I969" s="664">
        <f t="shared" si="15"/>
        <v>23090</v>
      </c>
      <c r="J969" s="661"/>
    </row>
    <row r="970" spans="1:10" ht="18.75" customHeight="1">
      <c r="A970" s="661"/>
      <c r="B970" s="663" t="s">
        <v>1338</v>
      </c>
      <c r="C970" s="657" t="s">
        <v>8398</v>
      </c>
      <c r="D970" s="657" t="s">
        <v>1351</v>
      </c>
      <c r="E970" s="663" t="s">
        <v>1352</v>
      </c>
      <c r="F970" s="658">
        <v>0.1</v>
      </c>
      <c r="G970" s="658">
        <v>0</v>
      </c>
      <c r="H970" s="664"/>
      <c r="I970" s="664">
        <f t="shared" si="15"/>
        <v>0</v>
      </c>
      <c r="J970" s="661"/>
    </row>
    <row r="971" spans="1:10" ht="18.75" customHeight="1">
      <c r="A971" s="661"/>
      <c r="B971" s="663" t="s">
        <v>1338</v>
      </c>
      <c r="C971" s="657" t="s">
        <v>8398</v>
      </c>
      <c r="D971" s="657" t="s">
        <v>1353</v>
      </c>
      <c r="E971" s="663" t="s">
        <v>1354</v>
      </c>
      <c r="F971" s="658">
        <v>0.1</v>
      </c>
      <c r="G971" s="658">
        <v>0</v>
      </c>
      <c r="H971" s="664">
        <v>29600</v>
      </c>
      <c r="I971" s="664">
        <f t="shared" si="15"/>
        <v>26910</v>
      </c>
      <c r="J971" s="661"/>
    </row>
    <row r="972" spans="1:10" ht="18.75" customHeight="1">
      <c r="A972" s="661"/>
      <c r="B972" s="663" t="s">
        <v>1338</v>
      </c>
      <c r="C972" s="657" t="s">
        <v>8398</v>
      </c>
      <c r="D972" s="657" t="s">
        <v>1355</v>
      </c>
      <c r="E972" s="663" t="s">
        <v>1356</v>
      </c>
      <c r="F972" s="658">
        <v>0.1</v>
      </c>
      <c r="G972" s="658">
        <v>0</v>
      </c>
      <c r="H972" s="664">
        <v>32700</v>
      </c>
      <c r="I972" s="664">
        <f t="shared" si="15"/>
        <v>29730</v>
      </c>
      <c r="J972" s="661"/>
    </row>
    <row r="973" spans="1:10" ht="18.75" customHeight="1">
      <c r="A973" s="661"/>
      <c r="B973" s="663" t="s">
        <v>1338</v>
      </c>
      <c r="C973" s="657" t="s">
        <v>8398</v>
      </c>
      <c r="D973" s="657" t="s">
        <v>8697</v>
      </c>
      <c r="E973" s="663" t="s">
        <v>8698</v>
      </c>
      <c r="F973" s="658">
        <v>0.1</v>
      </c>
      <c r="G973" s="658">
        <v>0</v>
      </c>
      <c r="H973" s="664"/>
      <c r="I973" s="664">
        <f t="shared" si="15"/>
        <v>0</v>
      </c>
      <c r="J973" s="661"/>
    </row>
    <row r="974" spans="1:10" ht="18.75" customHeight="1">
      <c r="A974" s="661"/>
      <c r="B974" s="663" t="s">
        <v>1338</v>
      </c>
      <c r="C974" s="657" t="s">
        <v>8398</v>
      </c>
      <c r="D974" s="657" t="s">
        <v>1357</v>
      </c>
      <c r="E974" s="663" t="s">
        <v>1358</v>
      </c>
      <c r="F974" s="658">
        <v>0.1</v>
      </c>
      <c r="G974" s="658">
        <v>0</v>
      </c>
      <c r="H974" s="664">
        <v>38500</v>
      </c>
      <c r="I974" s="664">
        <f t="shared" si="15"/>
        <v>35000</v>
      </c>
      <c r="J974" s="661"/>
    </row>
    <row r="975" spans="1:10" ht="18.75" customHeight="1">
      <c r="A975" s="661"/>
      <c r="B975" s="663" t="s">
        <v>1338</v>
      </c>
      <c r="C975" s="657" t="s">
        <v>8398</v>
      </c>
      <c r="D975" s="657" t="s">
        <v>8699</v>
      </c>
      <c r="E975" s="663" t="s">
        <v>8700</v>
      </c>
      <c r="F975" s="658">
        <v>0.1</v>
      </c>
      <c r="G975" s="658">
        <v>0</v>
      </c>
      <c r="H975" s="664"/>
      <c r="I975" s="664">
        <f t="shared" si="15"/>
        <v>0</v>
      </c>
      <c r="J975" s="661"/>
    </row>
    <row r="976" spans="1:10" ht="18.75" customHeight="1">
      <c r="A976" s="661"/>
      <c r="B976" s="663" t="s">
        <v>1338</v>
      </c>
      <c r="C976" s="657" t="s">
        <v>8398</v>
      </c>
      <c r="D976" s="657" t="s">
        <v>8701</v>
      </c>
      <c r="E976" s="663" t="s">
        <v>8702</v>
      </c>
      <c r="F976" s="658">
        <v>0.1</v>
      </c>
      <c r="G976" s="658">
        <v>0</v>
      </c>
      <c r="H976" s="664"/>
      <c r="I976" s="664">
        <f t="shared" si="15"/>
        <v>0</v>
      </c>
      <c r="J976" s="661"/>
    </row>
    <row r="977" spans="1:10" ht="18.75" customHeight="1">
      <c r="A977" s="661"/>
      <c r="B977" s="663" t="s">
        <v>1338</v>
      </c>
      <c r="C977" s="657" t="s">
        <v>8398</v>
      </c>
      <c r="D977" s="657" t="s">
        <v>1359</v>
      </c>
      <c r="E977" s="663" t="s">
        <v>1360</v>
      </c>
      <c r="F977" s="658">
        <v>0.1</v>
      </c>
      <c r="G977" s="658">
        <v>0</v>
      </c>
      <c r="H977" s="664">
        <v>50900</v>
      </c>
      <c r="I977" s="664">
        <f t="shared" si="15"/>
        <v>46270</v>
      </c>
      <c r="J977" s="661"/>
    </row>
    <row r="978" spans="1:10" ht="18.75" customHeight="1">
      <c r="A978" s="661"/>
      <c r="B978" s="663" t="s">
        <v>1338</v>
      </c>
      <c r="C978" s="657" t="s">
        <v>8398</v>
      </c>
      <c r="D978" s="657" t="s">
        <v>8703</v>
      </c>
      <c r="E978" s="663" t="s">
        <v>8704</v>
      </c>
      <c r="F978" s="658">
        <v>0.1</v>
      </c>
      <c r="G978" s="658">
        <v>0</v>
      </c>
      <c r="H978" s="664"/>
      <c r="I978" s="664">
        <f t="shared" si="15"/>
        <v>0</v>
      </c>
      <c r="J978" s="661"/>
    </row>
    <row r="979" spans="1:10" ht="18.75" customHeight="1">
      <c r="A979" s="661"/>
      <c r="B979" s="663" t="s">
        <v>1338</v>
      </c>
      <c r="C979" s="657" t="s">
        <v>8398</v>
      </c>
      <c r="D979" s="657" t="s">
        <v>8705</v>
      </c>
      <c r="E979" s="663" t="s">
        <v>8706</v>
      </c>
      <c r="F979" s="658">
        <v>0.1</v>
      </c>
      <c r="G979" s="658">
        <v>0</v>
      </c>
      <c r="H979" s="664"/>
      <c r="I979" s="664">
        <f t="shared" si="15"/>
        <v>0</v>
      </c>
      <c r="J979" s="661"/>
    </row>
    <row r="980" spans="1:10" ht="18.75" customHeight="1">
      <c r="A980" s="661"/>
      <c r="B980" s="663" t="s">
        <v>1338</v>
      </c>
      <c r="C980" s="657" t="s">
        <v>8398</v>
      </c>
      <c r="D980" s="657" t="s">
        <v>1361</v>
      </c>
      <c r="E980" s="663" t="s">
        <v>1362</v>
      </c>
      <c r="F980" s="658">
        <v>0.1</v>
      </c>
      <c r="G980" s="658">
        <v>0</v>
      </c>
      <c r="H980" s="664">
        <v>77400</v>
      </c>
      <c r="I980" s="664">
        <f t="shared" si="15"/>
        <v>70360</v>
      </c>
      <c r="J980" s="661"/>
    </row>
    <row r="981" spans="1:10" ht="18.75" customHeight="1">
      <c r="A981" s="661"/>
      <c r="B981" s="663" t="s">
        <v>1338</v>
      </c>
      <c r="C981" s="657" t="s">
        <v>8398</v>
      </c>
      <c r="D981" s="657" t="s">
        <v>8707</v>
      </c>
      <c r="E981" s="663" t="s">
        <v>8708</v>
      </c>
      <c r="F981" s="658">
        <v>0.1</v>
      </c>
      <c r="G981" s="658">
        <v>0</v>
      </c>
      <c r="H981" s="664"/>
      <c r="I981" s="664">
        <f t="shared" si="15"/>
        <v>0</v>
      </c>
      <c r="J981" s="661"/>
    </row>
    <row r="982" spans="1:10" ht="18.75" customHeight="1">
      <c r="A982" s="661"/>
      <c r="B982" s="663" t="s">
        <v>1338</v>
      </c>
      <c r="C982" s="657" t="s">
        <v>8398</v>
      </c>
      <c r="D982" s="657" t="s">
        <v>8709</v>
      </c>
      <c r="E982" s="663" t="s">
        <v>8710</v>
      </c>
      <c r="F982" s="658">
        <v>0.1</v>
      </c>
      <c r="G982" s="658">
        <v>0</v>
      </c>
      <c r="H982" s="664"/>
      <c r="I982" s="664">
        <f t="shared" si="15"/>
        <v>0</v>
      </c>
      <c r="J982" s="661"/>
    </row>
    <row r="983" spans="1:10" ht="18.75" customHeight="1">
      <c r="A983" s="661"/>
      <c r="B983" s="663" t="s">
        <v>1338</v>
      </c>
      <c r="C983" s="657" t="s">
        <v>8398</v>
      </c>
      <c r="D983" s="657" t="s">
        <v>8711</v>
      </c>
      <c r="E983" s="663" t="s">
        <v>8712</v>
      </c>
      <c r="F983" s="658">
        <v>0.1</v>
      </c>
      <c r="G983" s="658">
        <v>0</v>
      </c>
      <c r="H983" s="664"/>
      <c r="I983" s="664">
        <f t="shared" si="15"/>
        <v>0</v>
      </c>
      <c r="J983" s="661"/>
    </row>
    <row r="984" spans="1:10" ht="18.75" customHeight="1">
      <c r="A984" s="661"/>
      <c r="B984" s="663" t="s">
        <v>1338</v>
      </c>
      <c r="C984" s="657" t="s">
        <v>8398</v>
      </c>
      <c r="D984" s="657" t="s">
        <v>8713</v>
      </c>
      <c r="E984" s="663" t="s">
        <v>8714</v>
      </c>
      <c r="F984" s="658">
        <v>0.1</v>
      </c>
      <c r="G984" s="658">
        <v>0</v>
      </c>
      <c r="H984" s="664"/>
      <c r="I984" s="664">
        <f t="shared" si="15"/>
        <v>0</v>
      </c>
      <c r="J984" s="661"/>
    </row>
    <row r="985" spans="1:10" ht="18.75" customHeight="1">
      <c r="A985" s="661"/>
      <c r="B985" s="663" t="s">
        <v>1338</v>
      </c>
      <c r="C985" s="657" t="s">
        <v>8398</v>
      </c>
      <c r="D985" s="657" t="s">
        <v>8715</v>
      </c>
      <c r="E985" s="663" t="s">
        <v>8716</v>
      </c>
      <c r="F985" s="658">
        <v>0.1</v>
      </c>
      <c r="G985" s="658">
        <v>0</v>
      </c>
      <c r="H985" s="664"/>
      <c r="I985" s="664">
        <f t="shared" si="15"/>
        <v>0</v>
      </c>
      <c r="J985" s="661"/>
    </row>
    <row r="986" spans="1:10" ht="18.75" customHeight="1">
      <c r="A986" s="661"/>
      <c r="B986" s="663" t="s">
        <v>1338</v>
      </c>
      <c r="C986" s="657" t="s">
        <v>8398</v>
      </c>
      <c r="D986" s="657" t="s">
        <v>1363</v>
      </c>
      <c r="E986" s="663" t="s">
        <v>1364</v>
      </c>
      <c r="F986" s="658">
        <v>0.1</v>
      </c>
      <c r="G986" s="658">
        <v>0</v>
      </c>
      <c r="H986" s="664"/>
      <c r="I986" s="664">
        <f t="shared" si="15"/>
        <v>0</v>
      </c>
      <c r="J986" s="661"/>
    </row>
    <row r="987" spans="1:10" ht="18.75" customHeight="1">
      <c r="A987" s="661"/>
      <c r="B987" s="663" t="s">
        <v>1338</v>
      </c>
      <c r="C987" s="657" t="s">
        <v>8398</v>
      </c>
      <c r="D987" s="657" t="s">
        <v>1365</v>
      </c>
      <c r="E987" s="663" t="s">
        <v>1366</v>
      </c>
      <c r="F987" s="658">
        <v>0.1</v>
      </c>
      <c r="G987" s="658">
        <v>0</v>
      </c>
      <c r="H987" s="664"/>
      <c r="I987" s="664">
        <f t="shared" si="15"/>
        <v>0</v>
      </c>
      <c r="J987" s="661"/>
    </row>
    <row r="988" spans="1:10" ht="18.75" customHeight="1">
      <c r="A988" s="661"/>
      <c r="B988" s="663" t="s">
        <v>1338</v>
      </c>
      <c r="C988" s="657" t="s">
        <v>8398</v>
      </c>
      <c r="D988" s="657" t="s">
        <v>1367</v>
      </c>
      <c r="E988" s="663" t="s">
        <v>1368</v>
      </c>
      <c r="F988" s="658">
        <v>0.1</v>
      </c>
      <c r="G988" s="658">
        <v>0</v>
      </c>
      <c r="H988" s="664">
        <v>24400</v>
      </c>
      <c r="I988" s="664">
        <f t="shared" si="15"/>
        <v>22180</v>
      </c>
      <c r="J988" s="661"/>
    </row>
    <row r="989" spans="1:10" ht="18.75" customHeight="1">
      <c r="A989" s="661"/>
      <c r="B989" s="663" t="s">
        <v>1338</v>
      </c>
      <c r="C989" s="657" t="s">
        <v>8398</v>
      </c>
      <c r="D989" s="657" t="s">
        <v>1369</v>
      </c>
      <c r="E989" s="663" t="s">
        <v>1370</v>
      </c>
      <c r="F989" s="658">
        <v>0.1</v>
      </c>
      <c r="G989" s="658">
        <v>0</v>
      </c>
      <c r="H989" s="664"/>
      <c r="I989" s="664">
        <f t="shared" si="15"/>
        <v>0</v>
      </c>
      <c r="J989" s="661"/>
    </row>
    <row r="990" spans="1:10" ht="18.75" customHeight="1">
      <c r="A990" s="661"/>
      <c r="B990" s="663" t="s">
        <v>1338</v>
      </c>
      <c r="C990" s="657" t="s">
        <v>8398</v>
      </c>
      <c r="D990" s="657" t="s">
        <v>1371</v>
      </c>
      <c r="E990" s="663" t="s">
        <v>1372</v>
      </c>
      <c r="F990" s="658">
        <v>0.1</v>
      </c>
      <c r="G990" s="658">
        <v>0</v>
      </c>
      <c r="H990" s="664">
        <v>30600</v>
      </c>
      <c r="I990" s="664">
        <f t="shared" si="15"/>
        <v>27820</v>
      </c>
      <c r="J990" s="661"/>
    </row>
    <row r="991" spans="1:10" ht="18.75" customHeight="1">
      <c r="A991" s="661"/>
      <c r="B991" s="663" t="s">
        <v>1338</v>
      </c>
      <c r="C991" s="657" t="s">
        <v>8398</v>
      </c>
      <c r="D991" s="657" t="s">
        <v>1373</v>
      </c>
      <c r="E991" s="663" t="s">
        <v>1374</v>
      </c>
      <c r="F991" s="658">
        <v>0.1</v>
      </c>
      <c r="G991" s="658">
        <v>0</v>
      </c>
      <c r="H991" s="664">
        <v>31800</v>
      </c>
      <c r="I991" s="664">
        <f t="shared" si="15"/>
        <v>28910</v>
      </c>
      <c r="J991" s="661"/>
    </row>
    <row r="992" spans="1:10" ht="18.75" customHeight="1">
      <c r="A992" s="661"/>
      <c r="B992" s="663" t="s">
        <v>1338</v>
      </c>
      <c r="C992" s="657" t="s">
        <v>8398</v>
      </c>
      <c r="D992" s="657" t="s">
        <v>8717</v>
      </c>
      <c r="E992" s="663" t="s">
        <v>8718</v>
      </c>
      <c r="F992" s="658">
        <v>0.1</v>
      </c>
      <c r="G992" s="658">
        <v>0</v>
      </c>
      <c r="H992" s="664"/>
      <c r="I992" s="664">
        <f t="shared" si="15"/>
        <v>0</v>
      </c>
      <c r="J992" s="661"/>
    </row>
    <row r="993" spans="1:10" ht="18.75" customHeight="1">
      <c r="A993" s="661"/>
      <c r="B993" s="663" t="s">
        <v>1338</v>
      </c>
      <c r="C993" s="657" t="s">
        <v>8398</v>
      </c>
      <c r="D993" s="657" t="s">
        <v>1375</v>
      </c>
      <c r="E993" s="663" t="s">
        <v>1376</v>
      </c>
      <c r="F993" s="658">
        <v>0.1</v>
      </c>
      <c r="G993" s="658">
        <v>0</v>
      </c>
      <c r="H993" s="664">
        <v>41800</v>
      </c>
      <c r="I993" s="664">
        <f t="shared" si="15"/>
        <v>38000</v>
      </c>
      <c r="J993" s="661"/>
    </row>
    <row r="994" spans="1:10" ht="18.75" customHeight="1">
      <c r="A994" s="661"/>
      <c r="B994" s="663" t="s">
        <v>1338</v>
      </c>
      <c r="C994" s="657" t="s">
        <v>8398</v>
      </c>
      <c r="D994" s="657" t="s">
        <v>1377</v>
      </c>
      <c r="E994" s="663" t="s">
        <v>1378</v>
      </c>
      <c r="F994" s="658">
        <v>0.1</v>
      </c>
      <c r="G994" s="658">
        <v>0</v>
      </c>
      <c r="H994" s="664"/>
      <c r="I994" s="664">
        <f t="shared" si="15"/>
        <v>0</v>
      </c>
      <c r="J994" s="661"/>
    </row>
    <row r="995" spans="1:10" ht="18.75" customHeight="1">
      <c r="A995" s="661"/>
      <c r="B995" s="663" t="s">
        <v>1338</v>
      </c>
      <c r="C995" s="657" t="s">
        <v>8398</v>
      </c>
      <c r="D995" s="657" t="s">
        <v>1379</v>
      </c>
      <c r="E995" s="663" t="s">
        <v>1380</v>
      </c>
      <c r="F995" s="658">
        <v>0.1</v>
      </c>
      <c r="G995" s="658">
        <v>0</v>
      </c>
      <c r="H995" s="664">
        <v>46200</v>
      </c>
      <c r="I995" s="664">
        <f t="shared" si="15"/>
        <v>42000</v>
      </c>
      <c r="J995" s="661"/>
    </row>
    <row r="996" spans="1:10" ht="18.75" customHeight="1">
      <c r="A996" s="661"/>
      <c r="B996" s="663" t="s">
        <v>1338</v>
      </c>
      <c r="C996" s="657" t="s">
        <v>8398</v>
      </c>
      <c r="D996" s="657" t="s">
        <v>8719</v>
      </c>
      <c r="E996" s="663" t="s">
        <v>8720</v>
      </c>
      <c r="F996" s="658">
        <v>0.1</v>
      </c>
      <c r="G996" s="658">
        <v>0</v>
      </c>
      <c r="H996" s="664"/>
      <c r="I996" s="664">
        <f t="shared" si="15"/>
        <v>0</v>
      </c>
      <c r="J996" s="661"/>
    </row>
    <row r="997" spans="1:10" ht="18.75" customHeight="1">
      <c r="A997" s="661"/>
      <c r="B997" s="663" t="s">
        <v>1338</v>
      </c>
      <c r="C997" s="657" t="s">
        <v>8398</v>
      </c>
      <c r="D997" s="657" t="s">
        <v>1381</v>
      </c>
      <c r="E997" s="663" t="s">
        <v>1382</v>
      </c>
      <c r="F997" s="658">
        <v>0.1</v>
      </c>
      <c r="G997" s="658">
        <v>0</v>
      </c>
      <c r="H997" s="664">
        <v>51900</v>
      </c>
      <c r="I997" s="664">
        <f t="shared" si="15"/>
        <v>47180</v>
      </c>
      <c r="J997" s="661"/>
    </row>
    <row r="998" spans="1:10" ht="18.75" customHeight="1">
      <c r="A998" s="661"/>
      <c r="B998" s="663" t="s">
        <v>1338</v>
      </c>
      <c r="C998" s="657" t="s">
        <v>8398</v>
      </c>
      <c r="D998" s="657" t="s">
        <v>8721</v>
      </c>
      <c r="E998" s="663" t="s">
        <v>8722</v>
      </c>
      <c r="F998" s="658">
        <v>0.1</v>
      </c>
      <c r="G998" s="658">
        <v>0</v>
      </c>
      <c r="H998" s="664"/>
      <c r="I998" s="664">
        <f t="shared" si="15"/>
        <v>0</v>
      </c>
      <c r="J998" s="661"/>
    </row>
    <row r="999" spans="1:10" ht="18.75" customHeight="1">
      <c r="A999" s="661"/>
      <c r="B999" s="663" t="s">
        <v>1338</v>
      </c>
      <c r="C999" s="657" t="s">
        <v>8398</v>
      </c>
      <c r="D999" s="657" t="s">
        <v>1383</v>
      </c>
      <c r="E999" s="663" t="s">
        <v>1384</v>
      </c>
      <c r="F999" s="658">
        <v>0.1</v>
      </c>
      <c r="G999" s="658">
        <v>0</v>
      </c>
      <c r="H999" s="664">
        <v>61200</v>
      </c>
      <c r="I999" s="664">
        <f t="shared" si="15"/>
        <v>55640</v>
      </c>
      <c r="J999" s="661"/>
    </row>
    <row r="1000" spans="1:10" ht="18.75" customHeight="1">
      <c r="A1000" s="661"/>
      <c r="B1000" s="663" t="s">
        <v>1338</v>
      </c>
      <c r="C1000" s="657" t="s">
        <v>8398</v>
      </c>
      <c r="D1000" s="657" t="s">
        <v>8723</v>
      </c>
      <c r="E1000" s="663" t="s">
        <v>8724</v>
      </c>
      <c r="F1000" s="658">
        <v>0.1</v>
      </c>
      <c r="G1000" s="658">
        <v>0</v>
      </c>
      <c r="H1000" s="664"/>
      <c r="I1000" s="664">
        <f t="shared" si="15"/>
        <v>0</v>
      </c>
      <c r="J1000" s="661"/>
    </row>
    <row r="1001" spans="1:10" ht="18.75" customHeight="1">
      <c r="A1001" s="661"/>
      <c r="B1001" s="663" t="s">
        <v>1338</v>
      </c>
      <c r="C1001" s="657" t="s">
        <v>8398</v>
      </c>
      <c r="D1001" s="657" t="s">
        <v>8725</v>
      </c>
      <c r="E1001" s="663" t="s">
        <v>8726</v>
      </c>
      <c r="F1001" s="658">
        <v>0.1</v>
      </c>
      <c r="G1001" s="658">
        <v>0</v>
      </c>
      <c r="H1001" s="664"/>
      <c r="I1001" s="664">
        <f t="shared" si="15"/>
        <v>0</v>
      </c>
      <c r="J1001" s="661"/>
    </row>
    <row r="1002" spans="1:10" ht="18.75" customHeight="1">
      <c r="A1002" s="661"/>
      <c r="B1002" s="663" t="s">
        <v>1338</v>
      </c>
      <c r="C1002" s="657" t="s">
        <v>8398</v>
      </c>
      <c r="D1002" s="657" t="s">
        <v>1385</v>
      </c>
      <c r="E1002" s="663" t="s">
        <v>1386</v>
      </c>
      <c r="F1002" s="658">
        <v>0.1</v>
      </c>
      <c r="G1002" s="658">
        <v>0</v>
      </c>
      <c r="H1002" s="664">
        <v>92300</v>
      </c>
      <c r="I1002" s="664">
        <f t="shared" si="15"/>
        <v>83910</v>
      </c>
      <c r="J1002" s="661"/>
    </row>
    <row r="1003" spans="1:10" ht="18.75" customHeight="1">
      <c r="A1003" s="661"/>
      <c r="B1003" s="663" t="s">
        <v>1338</v>
      </c>
      <c r="C1003" s="657" t="s">
        <v>8398</v>
      </c>
      <c r="D1003" s="657" t="s">
        <v>8727</v>
      </c>
      <c r="E1003" s="663" t="s">
        <v>8728</v>
      </c>
      <c r="F1003" s="658">
        <v>0.1</v>
      </c>
      <c r="G1003" s="658">
        <v>0</v>
      </c>
      <c r="H1003" s="664"/>
      <c r="I1003" s="664">
        <f t="shared" si="15"/>
        <v>0</v>
      </c>
      <c r="J1003" s="661"/>
    </row>
    <row r="1004" spans="1:10" ht="18.75" customHeight="1">
      <c r="A1004" s="661"/>
      <c r="B1004" s="663" t="s">
        <v>1338</v>
      </c>
      <c r="C1004" s="657" t="s">
        <v>8398</v>
      </c>
      <c r="D1004" s="657" t="s">
        <v>8729</v>
      </c>
      <c r="E1004" s="663" t="s">
        <v>8730</v>
      </c>
      <c r="F1004" s="658">
        <v>0.1</v>
      </c>
      <c r="G1004" s="658">
        <v>0</v>
      </c>
      <c r="H1004" s="664">
        <v>105800</v>
      </c>
      <c r="I1004" s="664">
        <f t="shared" si="15"/>
        <v>96180</v>
      </c>
      <c r="J1004" s="661"/>
    </row>
    <row r="1005" spans="1:10" ht="18.75" customHeight="1">
      <c r="A1005" s="661"/>
      <c r="B1005" s="663" t="s">
        <v>1338</v>
      </c>
      <c r="C1005" s="657" t="s">
        <v>8398</v>
      </c>
      <c r="D1005" s="657" t="s">
        <v>1387</v>
      </c>
      <c r="E1005" s="663" t="s">
        <v>1388</v>
      </c>
      <c r="F1005" s="658">
        <v>0.1</v>
      </c>
      <c r="G1005" s="658">
        <v>0</v>
      </c>
      <c r="H1005" s="664">
        <v>129800</v>
      </c>
      <c r="I1005" s="664">
        <f t="shared" si="15"/>
        <v>118000</v>
      </c>
      <c r="J1005" s="661"/>
    </row>
    <row r="1006" spans="1:10" ht="18.75" customHeight="1">
      <c r="A1006" s="661"/>
      <c r="B1006" s="663" t="s">
        <v>1338</v>
      </c>
      <c r="C1006" s="657" t="s">
        <v>8398</v>
      </c>
      <c r="D1006" s="657" t="s">
        <v>8731</v>
      </c>
      <c r="E1006" s="663" t="s">
        <v>8732</v>
      </c>
      <c r="F1006" s="658">
        <v>0.1</v>
      </c>
      <c r="G1006" s="658">
        <v>0</v>
      </c>
      <c r="H1006" s="664"/>
      <c r="I1006" s="664">
        <f t="shared" si="15"/>
        <v>0</v>
      </c>
      <c r="J1006" s="661"/>
    </row>
    <row r="1007" spans="1:10" ht="18.75" customHeight="1">
      <c r="A1007" s="661"/>
      <c r="B1007" s="663" t="s">
        <v>1338</v>
      </c>
      <c r="C1007" s="657" t="s">
        <v>8398</v>
      </c>
      <c r="D1007" s="657" t="s">
        <v>8733</v>
      </c>
      <c r="E1007" s="663" t="s">
        <v>8734</v>
      </c>
      <c r="F1007" s="658">
        <v>0.1</v>
      </c>
      <c r="G1007" s="658">
        <v>0</v>
      </c>
      <c r="H1007" s="664"/>
      <c r="I1007" s="664">
        <f t="shared" si="15"/>
        <v>0</v>
      </c>
      <c r="J1007" s="661"/>
    </row>
    <row r="1008" spans="1:10" ht="18.75" customHeight="1">
      <c r="A1008" s="661"/>
      <c r="B1008" s="663" t="s">
        <v>1338</v>
      </c>
      <c r="C1008" s="657" t="s">
        <v>8398</v>
      </c>
      <c r="D1008" s="657" t="s">
        <v>8735</v>
      </c>
      <c r="E1008" s="663" t="s">
        <v>8736</v>
      </c>
      <c r="F1008" s="658">
        <v>0.1</v>
      </c>
      <c r="G1008" s="658">
        <v>0</v>
      </c>
      <c r="H1008" s="664"/>
      <c r="I1008" s="664">
        <f t="shared" si="15"/>
        <v>0</v>
      </c>
      <c r="J1008" s="661"/>
    </row>
    <row r="1009" spans="1:10" ht="18.75" customHeight="1">
      <c r="A1009" s="661"/>
      <c r="B1009" s="663" t="s">
        <v>1338</v>
      </c>
      <c r="C1009" s="657" t="s">
        <v>8398</v>
      </c>
      <c r="D1009" s="657" t="s">
        <v>8737</v>
      </c>
      <c r="E1009" s="663" t="s">
        <v>8738</v>
      </c>
      <c r="F1009" s="658">
        <v>0.1</v>
      </c>
      <c r="G1009" s="658">
        <v>0</v>
      </c>
      <c r="H1009" s="664"/>
      <c r="I1009" s="664">
        <f t="shared" si="15"/>
        <v>0</v>
      </c>
      <c r="J1009" s="661"/>
    </row>
    <row r="1010" spans="1:10" ht="18.75" customHeight="1">
      <c r="A1010" s="661"/>
      <c r="B1010" s="663" t="s">
        <v>1338</v>
      </c>
      <c r="C1010" s="657" t="s">
        <v>8398</v>
      </c>
      <c r="D1010" s="657" t="s">
        <v>8739</v>
      </c>
      <c r="E1010" s="663" t="s">
        <v>8740</v>
      </c>
      <c r="F1010" s="658">
        <v>0.1</v>
      </c>
      <c r="G1010" s="658">
        <v>0</v>
      </c>
      <c r="H1010" s="664"/>
      <c r="I1010" s="664">
        <f t="shared" si="15"/>
        <v>0</v>
      </c>
      <c r="J1010" s="661"/>
    </row>
    <row r="1011" spans="1:10" ht="18.75" customHeight="1">
      <c r="A1011" s="661"/>
      <c r="B1011" s="663" t="s">
        <v>1338</v>
      </c>
      <c r="C1011" s="657" t="s">
        <v>8398</v>
      </c>
      <c r="D1011" s="657" t="s">
        <v>8741</v>
      </c>
      <c r="E1011" s="663" t="s">
        <v>8742</v>
      </c>
      <c r="F1011" s="658">
        <v>0.1</v>
      </c>
      <c r="G1011" s="658">
        <v>0</v>
      </c>
      <c r="H1011" s="664"/>
      <c r="I1011" s="664">
        <f t="shared" si="15"/>
        <v>0</v>
      </c>
      <c r="J1011" s="661"/>
    </row>
    <row r="1012" spans="1:10" ht="18.75" customHeight="1">
      <c r="A1012" s="661"/>
      <c r="B1012" s="663" t="s">
        <v>1338</v>
      </c>
      <c r="C1012" s="657" t="s">
        <v>8398</v>
      </c>
      <c r="D1012" s="657" t="s">
        <v>1389</v>
      </c>
      <c r="E1012" s="663" t="s">
        <v>1390</v>
      </c>
      <c r="F1012" s="658">
        <v>0.1</v>
      </c>
      <c r="G1012" s="658">
        <v>0</v>
      </c>
      <c r="H1012" s="664">
        <v>36500</v>
      </c>
      <c r="I1012" s="664">
        <f t="shared" si="15"/>
        <v>33180</v>
      </c>
      <c r="J1012" s="661"/>
    </row>
    <row r="1013" spans="1:10" ht="18.75" customHeight="1">
      <c r="A1013" s="661"/>
      <c r="B1013" s="663" t="s">
        <v>1338</v>
      </c>
      <c r="C1013" s="657" t="s">
        <v>8398</v>
      </c>
      <c r="D1013" s="657" t="s">
        <v>8743</v>
      </c>
      <c r="E1013" s="663" t="s">
        <v>8744</v>
      </c>
      <c r="F1013" s="658">
        <v>0.1</v>
      </c>
      <c r="G1013" s="658">
        <v>0</v>
      </c>
      <c r="H1013" s="664"/>
      <c r="I1013" s="664">
        <f t="shared" si="15"/>
        <v>0</v>
      </c>
      <c r="J1013" s="661"/>
    </row>
    <row r="1014" spans="1:10" ht="18.75" customHeight="1">
      <c r="A1014" s="661"/>
      <c r="B1014" s="663" t="s">
        <v>1338</v>
      </c>
      <c r="C1014" s="657" t="s">
        <v>8398</v>
      </c>
      <c r="D1014" s="657" t="s">
        <v>1391</v>
      </c>
      <c r="E1014" s="663" t="s">
        <v>1392</v>
      </c>
      <c r="F1014" s="658">
        <v>0.1</v>
      </c>
      <c r="G1014" s="658">
        <v>0</v>
      </c>
      <c r="H1014" s="664">
        <v>48100</v>
      </c>
      <c r="I1014" s="664">
        <f t="shared" si="15"/>
        <v>43730</v>
      </c>
      <c r="J1014" s="661"/>
    </row>
    <row r="1015" spans="1:10" ht="18.75" customHeight="1">
      <c r="A1015" s="661"/>
      <c r="B1015" s="663" t="s">
        <v>1338</v>
      </c>
      <c r="C1015" s="657" t="s">
        <v>8398</v>
      </c>
      <c r="D1015" s="657" t="s">
        <v>8745</v>
      </c>
      <c r="E1015" s="663" t="s">
        <v>8746</v>
      </c>
      <c r="F1015" s="658">
        <v>0.1</v>
      </c>
      <c r="G1015" s="658">
        <v>0</v>
      </c>
      <c r="H1015" s="664"/>
      <c r="I1015" s="664">
        <f t="shared" si="15"/>
        <v>0</v>
      </c>
      <c r="J1015" s="661"/>
    </row>
    <row r="1016" spans="1:10" ht="18.75" customHeight="1">
      <c r="A1016" s="661"/>
      <c r="B1016" s="663" t="s">
        <v>1338</v>
      </c>
      <c r="C1016" s="657" t="s">
        <v>8398</v>
      </c>
      <c r="D1016" s="657" t="s">
        <v>8747</v>
      </c>
      <c r="E1016" s="663" t="s">
        <v>8748</v>
      </c>
      <c r="F1016" s="658">
        <v>0.1</v>
      </c>
      <c r="G1016" s="658">
        <v>0</v>
      </c>
      <c r="H1016" s="664"/>
      <c r="I1016" s="664">
        <f t="shared" si="15"/>
        <v>0</v>
      </c>
      <c r="J1016" s="661"/>
    </row>
    <row r="1017" spans="1:10" ht="18.75" customHeight="1">
      <c r="A1017" s="661"/>
      <c r="B1017" s="663" t="s">
        <v>1338</v>
      </c>
      <c r="C1017" s="657" t="s">
        <v>8398</v>
      </c>
      <c r="D1017" s="657" t="s">
        <v>1393</v>
      </c>
      <c r="E1017" s="663" t="s">
        <v>1394</v>
      </c>
      <c r="F1017" s="658">
        <v>0.1</v>
      </c>
      <c r="G1017" s="658">
        <v>0</v>
      </c>
      <c r="H1017" s="664">
        <v>61200</v>
      </c>
      <c r="I1017" s="664">
        <f t="shared" si="15"/>
        <v>55640</v>
      </c>
      <c r="J1017" s="661"/>
    </row>
    <row r="1018" spans="1:10" ht="18.75" customHeight="1">
      <c r="A1018" s="661"/>
      <c r="B1018" s="663" t="s">
        <v>1338</v>
      </c>
      <c r="C1018" s="657" t="s">
        <v>8398</v>
      </c>
      <c r="D1018" s="657" t="s">
        <v>8749</v>
      </c>
      <c r="E1018" s="663" t="s">
        <v>8750</v>
      </c>
      <c r="F1018" s="658">
        <v>0.1</v>
      </c>
      <c r="G1018" s="658">
        <v>0</v>
      </c>
      <c r="H1018" s="664"/>
      <c r="I1018" s="664">
        <f t="shared" si="15"/>
        <v>0</v>
      </c>
      <c r="J1018" s="661"/>
    </row>
    <row r="1019" spans="1:10" ht="18.75" customHeight="1">
      <c r="A1019" s="661"/>
      <c r="B1019" s="663" t="s">
        <v>1338</v>
      </c>
      <c r="C1019" s="657" t="s">
        <v>8398</v>
      </c>
      <c r="D1019" s="657" t="s">
        <v>1395</v>
      </c>
      <c r="E1019" s="663" t="s">
        <v>1396</v>
      </c>
      <c r="F1019" s="658">
        <v>0.1</v>
      </c>
      <c r="G1019" s="658">
        <v>0</v>
      </c>
      <c r="H1019" s="664">
        <v>72300</v>
      </c>
      <c r="I1019" s="664">
        <f t="shared" si="15"/>
        <v>65730</v>
      </c>
      <c r="J1019" s="661"/>
    </row>
    <row r="1020" spans="1:10" ht="18.75" customHeight="1">
      <c r="A1020" s="661"/>
      <c r="B1020" s="663" t="s">
        <v>1338</v>
      </c>
      <c r="C1020" s="657" t="s">
        <v>8398</v>
      </c>
      <c r="D1020" s="657" t="s">
        <v>8751</v>
      </c>
      <c r="E1020" s="663" t="s">
        <v>8752</v>
      </c>
      <c r="F1020" s="658">
        <v>0.1</v>
      </c>
      <c r="G1020" s="658">
        <v>0</v>
      </c>
      <c r="H1020" s="664"/>
      <c r="I1020" s="664">
        <f t="shared" si="15"/>
        <v>0</v>
      </c>
      <c r="J1020" s="661"/>
    </row>
    <row r="1021" spans="1:10" ht="18.75" customHeight="1">
      <c r="A1021" s="661"/>
      <c r="B1021" s="663" t="s">
        <v>1338</v>
      </c>
      <c r="C1021" s="657" t="s">
        <v>8398</v>
      </c>
      <c r="D1021" s="657" t="s">
        <v>8753</v>
      </c>
      <c r="E1021" s="663" t="s">
        <v>8754</v>
      </c>
      <c r="F1021" s="658">
        <v>0.1</v>
      </c>
      <c r="G1021" s="658">
        <v>0</v>
      </c>
      <c r="H1021" s="664"/>
      <c r="I1021" s="664">
        <f t="shared" si="15"/>
        <v>0</v>
      </c>
      <c r="J1021" s="661"/>
    </row>
    <row r="1022" spans="1:10" ht="18.75" customHeight="1">
      <c r="A1022" s="661"/>
      <c r="B1022" s="663" t="s">
        <v>1338</v>
      </c>
      <c r="C1022" s="657" t="s">
        <v>8398</v>
      </c>
      <c r="D1022" s="657" t="s">
        <v>8755</v>
      </c>
      <c r="E1022" s="663" t="s">
        <v>8756</v>
      </c>
      <c r="F1022" s="658">
        <v>0.1</v>
      </c>
      <c r="G1022" s="658">
        <v>0</v>
      </c>
      <c r="H1022" s="664"/>
      <c r="I1022" s="664">
        <f t="shared" si="15"/>
        <v>0</v>
      </c>
      <c r="J1022" s="661"/>
    </row>
    <row r="1023" spans="1:10" ht="18.75" customHeight="1">
      <c r="A1023" s="661"/>
      <c r="B1023" s="663" t="s">
        <v>1338</v>
      </c>
      <c r="C1023" s="657" t="s">
        <v>8398</v>
      </c>
      <c r="D1023" s="657" t="s">
        <v>1397</v>
      </c>
      <c r="E1023" s="663" t="s">
        <v>1398</v>
      </c>
      <c r="F1023" s="658">
        <v>0.1</v>
      </c>
      <c r="G1023" s="658">
        <v>0</v>
      </c>
      <c r="H1023" s="664">
        <v>86600</v>
      </c>
      <c r="I1023" s="664">
        <f t="shared" si="15"/>
        <v>78730</v>
      </c>
      <c r="J1023" s="661"/>
    </row>
    <row r="1024" spans="1:10" ht="18.75" customHeight="1">
      <c r="A1024" s="661"/>
      <c r="B1024" s="663" t="s">
        <v>1338</v>
      </c>
      <c r="C1024" s="657" t="s">
        <v>8398</v>
      </c>
      <c r="D1024" s="657" t="s">
        <v>8757</v>
      </c>
      <c r="E1024" s="663" t="s">
        <v>8758</v>
      </c>
      <c r="F1024" s="658">
        <v>0.1</v>
      </c>
      <c r="G1024" s="658">
        <v>0</v>
      </c>
      <c r="H1024" s="664"/>
      <c r="I1024" s="664">
        <f t="shared" si="15"/>
        <v>0</v>
      </c>
      <c r="J1024" s="661"/>
    </row>
    <row r="1025" spans="1:10" ht="18.75" customHeight="1">
      <c r="A1025" s="661"/>
      <c r="B1025" s="663" t="s">
        <v>1338</v>
      </c>
      <c r="C1025" s="657" t="s">
        <v>8398</v>
      </c>
      <c r="D1025" s="657" t="s">
        <v>8759</v>
      </c>
      <c r="E1025" s="663" t="s">
        <v>8760</v>
      </c>
      <c r="F1025" s="658">
        <v>0.1</v>
      </c>
      <c r="G1025" s="658">
        <v>0</v>
      </c>
      <c r="H1025" s="664"/>
      <c r="I1025" s="664">
        <f t="shared" ref="I1025:I1279" si="16">IF(ISBLANK(H1025),,ROUND(H1025/(1+F1025),-1))</f>
        <v>0</v>
      </c>
      <c r="J1025" s="661"/>
    </row>
    <row r="1026" spans="1:10" ht="18.75" customHeight="1">
      <c r="A1026" s="661"/>
      <c r="B1026" s="663" t="s">
        <v>1338</v>
      </c>
      <c r="C1026" s="657" t="s">
        <v>8398</v>
      </c>
      <c r="D1026" s="657" t="s">
        <v>1399</v>
      </c>
      <c r="E1026" s="663" t="s">
        <v>1400</v>
      </c>
      <c r="F1026" s="658">
        <v>0.1</v>
      </c>
      <c r="G1026" s="658">
        <v>0</v>
      </c>
      <c r="H1026" s="664">
        <v>105800</v>
      </c>
      <c r="I1026" s="664">
        <f t="shared" si="16"/>
        <v>96180</v>
      </c>
      <c r="J1026" s="661"/>
    </row>
    <row r="1027" spans="1:10" ht="18.75" customHeight="1">
      <c r="A1027" s="661"/>
      <c r="B1027" s="663" t="s">
        <v>1338</v>
      </c>
      <c r="C1027" s="657" t="s">
        <v>8398</v>
      </c>
      <c r="D1027" s="657" t="s">
        <v>8761</v>
      </c>
      <c r="E1027" s="663" t="s">
        <v>8762</v>
      </c>
      <c r="F1027" s="658">
        <v>0.1</v>
      </c>
      <c r="G1027" s="658">
        <v>0</v>
      </c>
      <c r="H1027" s="664"/>
      <c r="I1027" s="664">
        <f t="shared" si="16"/>
        <v>0</v>
      </c>
      <c r="J1027" s="661"/>
    </row>
    <row r="1028" spans="1:10" ht="18.75" customHeight="1">
      <c r="A1028" s="661"/>
      <c r="B1028" s="663" t="s">
        <v>1338</v>
      </c>
      <c r="C1028" s="657" t="s">
        <v>8398</v>
      </c>
      <c r="D1028" s="657" t="s">
        <v>1401</v>
      </c>
      <c r="E1028" s="663" t="s">
        <v>1402</v>
      </c>
      <c r="F1028" s="658">
        <v>0.1</v>
      </c>
      <c r="G1028" s="658">
        <v>0</v>
      </c>
      <c r="H1028" s="664">
        <v>128900</v>
      </c>
      <c r="I1028" s="664">
        <f t="shared" si="16"/>
        <v>117180</v>
      </c>
      <c r="J1028" s="661"/>
    </row>
    <row r="1029" spans="1:10" ht="18.75" customHeight="1">
      <c r="A1029" s="661"/>
      <c r="B1029" s="663" t="s">
        <v>1338</v>
      </c>
      <c r="C1029" s="657" t="s">
        <v>8398</v>
      </c>
      <c r="D1029" s="657" t="s">
        <v>1403</v>
      </c>
      <c r="E1029" s="663" t="s">
        <v>1404</v>
      </c>
      <c r="F1029" s="658">
        <v>0.1</v>
      </c>
      <c r="G1029" s="658">
        <v>0</v>
      </c>
      <c r="H1029" s="664">
        <v>153900</v>
      </c>
      <c r="I1029" s="664">
        <f t="shared" si="16"/>
        <v>139910</v>
      </c>
      <c r="J1029" s="661"/>
    </row>
    <row r="1030" spans="1:10" ht="18.75" customHeight="1">
      <c r="A1030" s="661"/>
      <c r="B1030" s="663" t="s">
        <v>1338</v>
      </c>
      <c r="C1030" s="657" t="s">
        <v>8398</v>
      </c>
      <c r="D1030" s="657" t="s">
        <v>8763</v>
      </c>
      <c r="E1030" s="663" t="s">
        <v>8764</v>
      </c>
      <c r="F1030" s="658">
        <v>0.1</v>
      </c>
      <c r="G1030" s="658">
        <v>0</v>
      </c>
      <c r="H1030" s="664"/>
      <c r="I1030" s="664">
        <f t="shared" si="16"/>
        <v>0</v>
      </c>
      <c r="J1030" s="661"/>
    </row>
    <row r="1031" spans="1:10" ht="18.75" customHeight="1">
      <c r="A1031" s="661"/>
      <c r="B1031" s="663" t="s">
        <v>1338</v>
      </c>
      <c r="C1031" s="657" t="s">
        <v>8398</v>
      </c>
      <c r="D1031" s="657" t="s">
        <v>8765</v>
      </c>
      <c r="E1031" s="663" t="s">
        <v>8766</v>
      </c>
      <c r="F1031" s="658">
        <v>0.1</v>
      </c>
      <c r="G1031" s="658">
        <v>0</v>
      </c>
      <c r="H1031" s="664"/>
      <c r="I1031" s="664">
        <f t="shared" si="16"/>
        <v>0</v>
      </c>
      <c r="J1031" s="661"/>
    </row>
    <row r="1032" spans="1:10" ht="18.75" customHeight="1">
      <c r="A1032" s="661"/>
      <c r="B1032" s="663" t="s">
        <v>1338</v>
      </c>
      <c r="C1032" s="657" t="s">
        <v>8398</v>
      </c>
      <c r="D1032" s="657" t="s">
        <v>8767</v>
      </c>
      <c r="E1032" s="663" t="s">
        <v>8768</v>
      </c>
      <c r="F1032" s="658">
        <v>0.1</v>
      </c>
      <c r="G1032" s="658">
        <v>0</v>
      </c>
      <c r="H1032" s="664"/>
      <c r="I1032" s="664">
        <f t="shared" si="16"/>
        <v>0</v>
      </c>
      <c r="J1032" s="661"/>
    </row>
    <row r="1033" spans="1:10" ht="18.75" customHeight="1">
      <c r="A1033" s="661"/>
      <c r="B1033" s="663" t="s">
        <v>1338</v>
      </c>
      <c r="C1033" s="657" t="s">
        <v>8398</v>
      </c>
      <c r="D1033" s="657" t="s">
        <v>8769</v>
      </c>
      <c r="E1033" s="663" t="s">
        <v>8770</v>
      </c>
      <c r="F1033" s="658">
        <v>0.1</v>
      </c>
      <c r="G1033" s="658">
        <v>0</v>
      </c>
      <c r="H1033" s="664"/>
      <c r="I1033" s="664">
        <f t="shared" si="16"/>
        <v>0</v>
      </c>
      <c r="J1033" s="661"/>
    </row>
    <row r="1034" spans="1:10" ht="18.75" customHeight="1">
      <c r="A1034" s="661"/>
      <c r="B1034" s="663" t="s">
        <v>1338</v>
      </c>
      <c r="C1034" s="657" t="s">
        <v>8398</v>
      </c>
      <c r="D1034" s="657" t="s">
        <v>8771</v>
      </c>
      <c r="E1034" s="663" t="s">
        <v>8772</v>
      </c>
      <c r="F1034" s="658">
        <v>0.1</v>
      </c>
      <c r="G1034" s="658">
        <v>0</v>
      </c>
      <c r="H1034" s="664"/>
      <c r="I1034" s="664">
        <f t="shared" si="16"/>
        <v>0</v>
      </c>
      <c r="J1034" s="661"/>
    </row>
    <row r="1035" spans="1:10" ht="18.75" customHeight="1">
      <c r="A1035" s="661"/>
      <c r="B1035" s="663" t="s">
        <v>1338</v>
      </c>
      <c r="C1035" s="657" t="s">
        <v>8398</v>
      </c>
      <c r="D1035" s="657" t="s">
        <v>8773</v>
      </c>
      <c r="E1035" s="663" t="s">
        <v>8774</v>
      </c>
      <c r="F1035" s="658">
        <v>0.1</v>
      </c>
      <c r="G1035" s="658">
        <v>0</v>
      </c>
      <c r="H1035" s="664"/>
      <c r="I1035" s="664">
        <f t="shared" si="16"/>
        <v>0</v>
      </c>
      <c r="J1035" s="661"/>
    </row>
    <row r="1036" spans="1:10" ht="18.75" customHeight="1">
      <c r="A1036" s="661"/>
      <c r="B1036" s="663" t="s">
        <v>1338</v>
      </c>
      <c r="C1036" s="657" t="s">
        <v>8398</v>
      </c>
      <c r="D1036" s="657" t="s">
        <v>8775</v>
      </c>
      <c r="E1036" s="663" t="s">
        <v>8776</v>
      </c>
      <c r="F1036" s="658">
        <v>0.1</v>
      </c>
      <c r="G1036" s="658">
        <v>0</v>
      </c>
      <c r="H1036" s="664"/>
      <c r="I1036" s="664">
        <f t="shared" si="16"/>
        <v>0</v>
      </c>
      <c r="J1036" s="661"/>
    </row>
    <row r="1037" spans="1:10" ht="18.75" customHeight="1">
      <c r="A1037" s="661"/>
      <c r="B1037" s="663" t="s">
        <v>1338</v>
      </c>
      <c r="C1037" s="657" t="s">
        <v>8398</v>
      </c>
      <c r="D1037" s="657" t="s">
        <v>8777</v>
      </c>
      <c r="E1037" s="663" t="s">
        <v>8778</v>
      </c>
      <c r="F1037" s="658">
        <v>0.1</v>
      </c>
      <c r="G1037" s="658">
        <v>0</v>
      </c>
      <c r="H1037" s="664"/>
      <c r="I1037" s="664">
        <f t="shared" si="16"/>
        <v>0</v>
      </c>
      <c r="J1037" s="661"/>
    </row>
    <row r="1038" spans="1:10" ht="18.75" customHeight="1">
      <c r="A1038" s="661"/>
      <c r="B1038" s="663" t="s">
        <v>1338</v>
      </c>
      <c r="C1038" s="657" t="s">
        <v>8398</v>
      </c>
      <c r="D1038" s="657" t="s">
        <v>8779</v>
      </c>
      <c r="E1038" s="663" t="s">
        <v>8780</v>
      </c>
      <c r="F1038" s="658">
        <v>0.1</v>
      </c>
      <c r="G1038" s="658">
        <v>0</v>
      </c>
      <c r="H1038" s="664"/>
      <c r="I1038" s="664">
        <f t="shared" si="16"/>
        <v>0</v>
      </c>
      <c r="J1038" s="661"/>
    </row>
    <row r="1039" spans="1:10" ht="18.75" customHeight="1">
      <c r="A1039" s="661"/>
      <c r="B1039" s="663" t="s">
        <v>1338</v>
      </c>
      <c r="C1039" s="657" t="s">
        <v>8398</v>
      </c>
      <c r="D1039" s="657" t="s">
        <v>8781</v>
      </c>
      <c r="E1039" s="663" t="s">
        <v>8782</v>
      </c>
      <c r="F1039" s="658">
        <v>0.1</v>
      </c>
      <c r="G1039" s="658">
        <v>0</v>
      </c>
      <c r="H1039" s="664"/>
      <c r="I1039" s="664">
        <f t="shared" si="16"/>
        <v>0</v>
      </c>
      <c r="J1039" s="661"/>
    </row>
    <row r="1040" spans="1:10" ht="18.75" customHeight="1">
      <c r="A1040" s="661"/>
      <c r="B1040" s="663" t="s">
        <v>1338</v>
      </c>
      <c r="C1040" s="657" t="s">
        <v>8398</v>
      </c>
      <c r="D1040" s="657" t="s">
        <v>8783</v>
      </c>
      <c r="E1040" s="663" t="s">
        <v>8784</v>
      </c>
      <c r="F1040" s="658">
        <v>0.1</v>
      </c>
      <c r="G1040" s="658">
        <v>0</v>
      </c>
      <c r="H1040" s="664"/>
      <c r="I1040" s="664">
        <f t="shared" si="16"/>
        <v>0</v>
      </c>
      <c r="J1040" s="661"/>
    </row>
    <row r="1041" spans="1:10" ht="18.75" customHeight="1">
      <c r="A1041" s="661"/>
      <c r="B1041" s="663" t="s">
        <v>1338</v>
      </c>
      <c r="C1041" s="657" t="s">
        <v>8398</v>
      </c>
      <c r="D1041" s="657" t="s">
        <v>8785</v>
      </c>
      <c r="E1041" s="663" t="s">
        <v>8786</v>
      </c>
      <c r="F1041" s="658">
        <v>0.1</v>
      </c>
      <c r="G1041" s="658">
        <v>0</v>
      </c>
      <c r="H1041" s="664"/>
      <c r="I1041" s="664">
        <f t="shared" si="16"/>
        <v>0</v>
      </c>
      <c r="J1041" s="661"/>
    </row>
    <row r="1042" spans="1:10" ht="18.75" customHeight="1">
      <c r="A1042" s="661"/>
      <c r="B1042" s="663" t="s">
        <v>1338</v>
      </c>
      <c r="C1042" s="657" t="s">
        <v>8398</v>
      </c>
      <c r="D1042" s="657" t="s">
        <v>8787</v>
      </c>
      <c r="E1042" s="663" t="s">
        <v>8788</v>
      </c>
      <c r="F1042" s="658">
        <v>0.1</v>
      </c>
      <c r="G1042" s="658">
        <v>0</v>
      </c>
      <c r="H1042" s="664"/>
      <c r="I1042" s="664">
        <f t="shared" si="16"/>
        <v>0</v>
      </c>
      <c r="J1042" s="661"/>
    </row>
    <row r="1043" spans="1:10" ht="18.75" customHeight="1">
      <c r="A1043" s="661"/>
      <c r="B1043" s="663" t="s">
        <v>1338</v>
      </c>
      <c r="C1043" s="657" t="s">
        <v>8398</v>
      </c>
      <c r="D1043" s="657" t="s">
        <v>8789</v>
      </c>
      <c r="E1043" s="663" t="s">
        <v>8790</v>
      </c>
      <c r="F1043" s="658">
        <v>0.1</v>
      </c>
      <c r="G1043" s="658">
        <v>0</v>
      </c>
      <c r="H1043" s="664"/>
      <c r="I1043" s="664">
        <f t="shared" si="16"/>
        <v>0</v>
      </c>
      <c r="J1043" s="661"/>
    </row>
    <row r="1044" spans="1:10" ht="18.75" customHeight="1">
      <c r="A1044" s="661"/>
      <c r="B1044" s="663" t="s">
        <v>1338</v>
      </c>
      <c r="C1044" s="657" t="s">
        <v>8398</v>
      </c>
      <c r="D1044" s="657" t="s">
        <v>8791</v>
      </c>
      <c r="E1044" s="663" t="s">
        <v>8792</v>
      </c>
      <c r="F1044" s="658">
        <v>0.1</v>
      </c>
      <c r="G1044" s="658">
        <v>0</v>
      </c>
      <c r="H1044" s="664"/>
      <c r="I1044" s="664">
        <f t="shared" si="16"/>
        <v>0</v>
      </c>
      <c r="J1044" s="661"/>
    </row>
    <row r="1045" spans="1:10" ht="18.75" customHeight="1">
      <c r="A1045" s="661"/>
      <c r="B1045" s="663" t="s">
        <v>1338</v>
      </c>
      <c r="C1045" s="657" t="s">
        <v>8398</v>
      </c>
      <c r="D1045" s="657" t="s">
        <v>8793</v>
      </c>
      <c r="E1045" s="663" t="s">
        <v>8794</v>
      </c>
      <c r="F1045" s="658">
        <v>0.1</v>
      </c>
      <c r="G1045" s="658">
        <v>0</v>
      </c>
      <c r="H1045" s="664"/>
      <c r="I1045" s="664">
        <f t="shared" si="16"/>
        <v>0</v>
      </c>
      <c r="J1045" s="661"/>
    </row>
    <row r="1046" spans="1:10" ht="18.75" customHeight="1">
      <c r="A1046" s="661"/>
      <c r="B1046" s="663" t="s">
        <v>1338</v>
      </c>
      <c r="C1046" s="657" t="s">
        <v>8398</v>
      </c>
      <c r="D1046" s="657" t="s">
        <v>8795</v>
      </c>
      <c r="E1046" s="663" t="s">
        <v>8796</v>
      </c>
      <c r="F1046" s="658">
        <v>0.1</v>
      </c>
      <c r="G1046" s="658">
        <v>0</v>
      </c>
      <c r="H1046" s="664"/>
      <c r="I1046" s="664">
        <f t="shared" si="16"/>
        <v>0</v>
      </c>
      <c r="J1046" s="661"/>
    </row>
    <row r="1047" spans="1:10" ht="18.75" customHeight="1">
      <c r="A1047" s="661"/>
      <c r="B1047" s="663" t="s">
        <v>1338</v>
      </c>
      <c r="C1047" s="657" t="s">
        <v>8398</v>
      </c>
      <c r="D1047" s="657" t="s">
        <v>8797</v>
      </c>
      <c r="E1047" s="663" t="s">
        <v>8798</v>
      </c>
      <c r="F1047" s="658">
        <v>0.1</v>
      </c>
      <c r="G1047" s="658">
        <v>0</v>
      </c>
      <c r="H1047" s="664"/>
      <c r="I1047" s="664">
        <f t="shared" si="16"/>
        <v>0</v>
      </c>
      <c r="J1047" s="661"/>
    </row>
    <row r="1048" spans="1:10" ht="18.75" customHeight="1">
      <c r="A1048" s="661"/>
      <c r="B1048" s="663" t="s">
        <v>1338</v>
      </c>
      <c r="C1048" s="657" t="s">
        <v>8398</v>
      </c>
      <c r="D1048" s="657" t="s">
        <v>8799</v>
      </c>
      <c r="E1048" s="663" t="s">
        <v>8800</v>
      </c>
      <c r="F1048" s="658">
        <v>0.1</v>
      </c>
      <c r="G1048" s="658">
        <v>0</v>
      </c>
      <c r="H1048" s="664"/>
      <c r="I1048" s="664">
        <f t="shared" si="16"/>
        <v>0</v>
      </c>
      <c r="J1048" s="661"/>
    </row>
    <row r="1049" spans="1:10" ht="18.75" customHeight="1">
      <c r="A1049" s="661"/>
      <c r="B1049" s="663" t="s">
        <v>1338</v>
      </c>
      <c r="C1049" s="657" t="s">
        <v>8398</v>
      </c>
      <c r="D1049" s="657" t="s">
        <v>8801</v>
      </c>
      <c r="E1049" s="663" t="s">
        <v>8802</v>
      </c>
      <c r="F1049" s="658">
        <v>0.1</v>
      </c>
      <c r="G1049" s="658">
        <v>0</v>
      </c>
      <c r="H1049" s="664"/>
      <c r="I1049" s="664">
        <f t="shared" si="16"/>
        <v>0</v>
      </c>
      <c r="J1049" s="661"/>
    </row>
    <row r="1050" spans="1:10" ht="18.75" customHeight="1">
      <c r="A1050" s="661"/>
      <c r="B1050" s="663" t="s">
        <v>1338</v>
      </c>
      <c r="C1050" s="657" t="s">
        <v>8398</v>
      </c>
      <c r="D1050" s="657" t="s">
        <v>8803</v>
      </c>
      <c r="E1050" s="663" t="s">
        <v>8804</v>
      </c>
      <c r="F1050" s="658">
        <v>0.1</v>
      </c>
      <c r="G1050" s="658">
        <v>0</v>
      </c>
      <c r="H1050" s="664"/>
      <c r="I1050" s="664">
        <f t="shared" si="16"/>
        <v>0</v>
      </c>
      <c r="J1050" s="661"/>
    </row>
    <row r="1051" spans="1:10" ht="18.75" customHeight="1">
      <c r="A1051" s="661"/>
      <c r="B1051" s="663" t="s">
        <v>1338</v>
      </c>
      <c r="C1051" s="657" t="s">
        <v>8398</v>
      </c>
      <c r="D1051" s="657" t="s">
        <v>8805</v>
      </c>
      <c r="E1051" s="663" t="s">
        <v>8806</v>
      </c>
      <c r="F1051" s="658">
        <v>0.1</v>
      </c>
      <c r="G1051" s="658">
        <v>0</v>
      </c>
      <c r="H1051" s="664"/>
      <c r="I1051" s="664">
        <f t="shared" si="16"/>
        <v>0</v>
      </c>
      <c r="J1051" s="661"/>
    </row>
    <row r="1052" spans="1:10" ht="18.75" customHeight="1">
      <c r="A1052" s="661"/>
      <c r="B1052" s="663" t="s">
        <v>1338</v>
      </c>
      <c r="C1052" s="657" t="s">
        <v>8398</v>
      </c>
      <c r="D1052" s="657" t="s">
        <v>8807</v>
      </c>
      <c r="E1052" s="663" t="s">
        <v>8808</v>
      </c>
      <c r="F1052" s="658">
        <v>0.1</v>
      </c>
      <c r="G1052" s="658">
        <v>0</v>
      </c>
      <c r="H1052" s="664"/>
      <c r="I1052" s="664">
        <f t="shared" si="16"/>
        <v>0</v>
      </c>
      <c r="J1052" s="661"/>
    </row>
    <row r="1053" spans="1:10" ht="18.75" customHeight="1">
      <c r="A1053" s="661"/>
      <c r="B1053" s="663" t="s">
        <v>1338</v>
      </c>
      <c r="C1053" s="657" t="s">
        <v>8398</v>
      </c>
      <c r="D1053" s="657" t="s">
        <v>8809</v>
      </c>
      <c r="E1053" s="663" t="s">
        <v>8810</v>
      </c>
      <c r="F1053" s="658">
        <v>0.1</v>
      </c>
      <c r="G1053" s="658">
        <v>0</v>
      </c>
      <c r="H1053" s="664"/>
      <c r="I1053" s="664">
        <f t="shared" si="16"/>
        <v>0</v>
      </c>
      <c r="J1053" s="661"/>
    </row>
    <row r="1054" spans="1:10" ht="18.75" customHeight="1">
      <c r="A1054" s="661"/>
      <c r="B1054" s="663" t="s">
        <v>1338</v>
      </c>
      <c r="C1054" s="657" t="s">
        <v>8398</v>
      </c>
      <c r="D1054" s="657" t="s">
        <v>1405</v>
      </c>
      <c r="E1054" s="663" t="s">
        <v>1406</v>
      </c>
      <c r="F1054" s="658">
        <v>0.1</v>
      </c>
      <c r="G1054" s="658">
        <v>0</v>
      </c>
      <c r="H1054" s="664">
        <v>476600</v>
      </c>
      <c r="I1054" s="664">
        <f t="shared" si="16"/>
        <v>433270</v>
      </c>
      <c r="J1054" s="661"/>
    </row>
    <row r="1055" spans="1:10" ht="18.75" customHeight="1">
      <c r="A1055" s="661"/>
      <c r="B1055" s="663" t="s">
        <v>1338</v>
      </c>
      <c r="C1055" s="657" t="s">
        <v>8398</v>
      </c>
      <c r="D1055" s="657" t="s">
        <v>8811</v>
      </c>
      <c r="E1055" s="663" t="s">
        <v>8812</v>
      </c>
      <c r="F1055" s="658">
        <v>0.1</v>
      </c>
      <c r="G1055" s="658">
        <v>0</v>
      </c>
      <c r="H1055" s="664"/>
      <c r="I1055" s="664">
        <f t="shared" si="16"/>
        <v>0</v>
      </c>
      <c r="J1055" s="661"/>
    </row>
    <row r="1056" spans="1:10" ht="18.75" customHeight="1">
      <c r="A1056" s="661"/>
      <c r="B1056" s="663" t="s">
        <v>1338</v>
      </c>
      <c r="C1056" s="657" t="s">
        <v>8398</v>
      </c>
      <c r="D1056" s="657" t="s">
        <v>8813</v>
      </c>
      <c r="E1056" s="663" t="s">
        <v>8814</v>
      </c>
      <c r="F1056" s="658">
        <v>0.1</v>
      </c>
      <c r="G1056" s="658">
        <v>0</v>
      </c>
      <c r="H1056" s="664"/>
      <c r="I1056" s="664">
        <f t="shared" si="16"/>
        <v>0</v>
      </c>
      <c r="J1056" s="661"/>
    </row>
    <row r="1057" spans="1:10" ht="18.75" customHeight="1">
      <c r="A1057" s="661"/>
      <c r="B1057" s="663" t="s">
        <v>1338</v>
      </c>
      <c r="C1057" s="657" t="s">
        <v>8398</v>
      </c>
      <c r="D1057" s="657" t="s">
        <v>8815</v>
      </c>
      <c r="E1057" s="663" t="s">
        <v>8816</v>
      </c>
      <c r="F1057" s="658">
        <v>0.1</v>
      </c>
      <c r="G1057" s="658">
        <v>0</v>
      </c>
      <c r="H1057" s="664"/>
      <c r="I1057" s="664">
        <f t="shared" si="16"/>
        <v>0</v>
      </c>
      <c r="J1057" s="661"/>
    </row>
    <row r="1058" spans="1:10" ht="18.75" customHeight="1">
      <c r="A1058" s="661"/>
      <c r="B1058" s="663" t="s">
        <v>1338</v>
      </c>
      <c r="C1058" s="657" t="s">
        <v>8398</v>
      </c>
      <c r="D1058" s="657" t="s">
        <v>8817</v>
      </c>
      <c r="E1058" s="663" t="s">
        <v>8818</v>
      </c>
      <c r="F1058" s="658">
        <v>0.1</v>
      </c>
      <c r="G1058" s="658">
        <v>0</v>
      </c>
      <c r="H1058" s="664"/>
      <c r="I1058" s="664">
        <f t="shared" si="16"/>
        <v>0</v>
      </c>
      <c r="J1058" s="661"/>
    </row>
    <row r="1059" spans="1:10" ht="18.75" customHeight="1">
      <c r="A1059" s="661"/>
      <c r="B1059" s="663" t="s">
        <v>1338</v>
      </c>
      <c r="C1059" s="657" t="s">
        <v>8398</v>
      </c>
      <c r="D1059" s="657" t="s">
        <v>8819</v>
      </c>
      <c r="E1059" s="663" t="s">
        <v>8820</v>
      </c>
      <c r="F1059" s="658">
        <v>0.1</v>
      </c>
      <c r="G1059" s="658">
        <v>0</v>
      </c>
      <c r="H1059" s="664"/>
      <c r="I1059" s="664">
        <f t="shared" si="16"/>
        <v>0</v>
      </c>
      <c r="J1059" s="661"/>
    </row>
    <row r="1060" spans="1:10" ht="18.75" customHeight="1">
      <c r="A1060" s="661"/>
      <c r="B1060" s="663" t="s">
        <v>1338</v>
      </c>
      <c r="C1060" s="657" t="s">
        <v>8398</v>
      </c>
      <c r="D1060" s="657" t="s">
        <v>8821</v>
      </c>
      <c r="E1060" s="663" t="s">
        <v>8822</v>
      </c>
      <c r="F1060" s="658">
        <v>0.1</v>
      </c>
      <c r="G1060" s="658">
        <v>0</v>
      </c>
      <c r="H1060" s="664"/>
      <c r="I1060" s="664">
        <f t="shared" si="16"/>
        <v>0</v>
      </c>
      <c r="J1060" s="661"/>
    </row>
    <row r="1061" spans="1:10" ht="18.75" customHeight="1">
      <c r="A1061" s="661"/>
      <c r="B1061" s="663" t="s">
        <v>1338</v>
      </c>
      <c r="C1061" s="657" t="s">
        <v>8398</v>
      </c>
      <c r="D1061" s="657" t="s">
        <v>8823</v>
      </c>
      <c r="E1061" s="663" t="s">
        <v>8824</v>
      </c>
      <c r="F1061" s="658">
        <v>0.1</v>
      </c>
      <c r="G1061" s="658">
        <v>0</v>
      </c>
      <c r="H1061" s="664"/>
      <c r="I1061" s="664">
        <f t="shared" si="16"/>
        <v>0</v>
      </c>
      <c r="J1061" s="661"/>
    </row>
    <row r="1062" spans="1:10" ht="18.75" customHeight="1">
      <c r="A1062" s="661"/>
      <c r="B1062" s="663" t="s">
        <v>1338</v>
      </c>
      <c r="C1062" s="657" t="s">
        <v>8398</v>
      </c>
      <c r="D1062" s="657" t="s">
        <v>8825</v>
      </c>
      <c r="E1062" s="663" t="s">
        <v>8826</v>
      </c>
      <c r="F1062" s="658">
        <v>0.1</v>
      </c>
      <c r="G1062" s="658">
        <v>0</v>
      </c>
      <c r="H1062" s="664"/>
      <c r="I1062" s="664">
        <f t="shared" si="16"/>
        <v>0</v>
      </c>
      <c r="J1062" s="661"/>
    </row>
    <row r="1063" spans="1:10" ht="18.75" customHeight="1">
      <c r="A1063" s="661"/>
      <c r="B1063" s="663" t="s">
        <v>1338</v>
      </c>
      <c r="C1063" s="657" t="s">
        <v>8398</v>
      </c>
      <c r="D1063" s="657" t="s">
        <v>8827</v>
      </c>
      <c r="E1063" s="663" t="s">
        <v>8828</v>
      </c>
      <c r="F1063" s="658">
        <v>0.1</v>
      </c>
      <c r="G1063" s="658">
        <v>0</v>
      </c>
      <c r="H1063" s="664"/>
      <c r="I1063" s="664">
        <f t="shared" si="16"/>
        <v>0</v>
      </c>
      <c r="J1063" s="661"/>
    </row>
    <row r="1064" spans="1:10" ht="18.75" customHeight="1">
      <c r="A1064" s="661"/>
      <c r="B1064" s="663" t="s">
        <v>1338</v>
      </c>
      <c r="C1064" s="657" t="s">
        <v>8398</v>
      </c>
      <c r="D1064" s="657" t="s">
        <v>8829</v>
      </c>
      <c r="E1064" s="663" t="s">
        <v>8830</v>
      </c>
      <c r="F1064" s="658">
        <v>0.1</v>
      </c>
      <c r="G1064" s="658">
        <v>0</v>
      </c>
      <c r="H1064" s="664"/>
      <c r="I1064" s="664">
        <f t="shared" si="16"/>
        <v>0</v>
      </c>
      <c r="J1064" s="661"/>
    </row>
    <row r="1065" spans="1:10" ht="18.75" customHeight="1">
      <c r="A1065" s="661"/>
      <c r="B1065" s="663" t="s">
        <v>1338</v>
      </c>
      <c r="C1065" s="657" t="s">
        <v>8398</v>
      </c>
      <c r="D1065" s="657" t="s">
        <v>8831</v>
      </c>
      <c r="E1065" s="663" t="s">
        <v>8832</v>
      </c>
      <c r="F1065" s="658">
        <v>0.1</v>
      </c>
      <c r="G1065" s="658">
        <v>0</v>
      </c>
      <c r="H1065" s="664"/>
      <c r="I1065" s="664">
        <f t="shared" si="16"/>
        <v>0</v>
      </c>
      <c r="J1065" s="661"/>
    </row>
    <row r="1066" spans="1:10" ht="18.75" customHeight="1">
      <c r="A1066" s="661"/>
      <c r="B1066" s="663" t="s">
        <v>1338</v>
      </c>
      <c r="C1066" s="657" t="s">
        <v>8398</v>
      </c>
      <c r="D1066" s="657" t="s">
        <v>8833</v>
      </c>
      <c r="E1066" s="663" t="s">
        <v>8834</v>
      </c>
      <c r="F1066" s="658">
        <v>0.1</v>
      </c>
      <c r="G1066" s="658">
        <v>0</v>
      </c>
      <c r="H1066" s="664"/>
      <c r="I1066" s="664">
        <f t="shared" si="16"/>
        <v>0</v>
      </c>
      <c r="J1066" s="661"/>
    </row>
    <row r="1067" spans="1:10" ht="18.75" customHeight="1">
      <c r="A1067" s="661"/>
      <c r="B1067" s="663" t="s">
        <v>1338</v>
      </c>
      <c r="C1067" s="657" t="s">
        <v>8398</v>
      </c>
      <c r="D1067" s="657" t="s">
        <v>8835</v>
      </c>
      <c r="E1067" s="663" t="s">
        <v>8836</v>
      </c>
      <c r="F1067" s="658">
        <v>0.1</v>
      </c>
      <c r="G1067" s="658">
        <v>0</v>
      </c>
      <c r="H1067" s="664"/>
      <c r="I1067" s="664">
        <f t="shared" si="16"/>
        <v>0</v>
      </c>
      <c r="J1067" s="661"/>
    </row>
    <row r="1068" spans="1:10" ht="18.75" customHeight="1">
      <c r="A1068" s="661"/>
      <c r="B1068" s="663" t="s">
        <v>1338</v>
      </c>
      <c r="C1068" s="657" t="s">
        <v>8398</v>
      </c>
      <c r="D1068" s="657" t="s">
        <v>8837</v>
      </c>
      <c r="E1068" s="663" t="s">
        <v>8838</v>
      </c>
      <c r="F1068" s="658">
        <v>0.1</v>
      </c>
      <c r="G1068" s="658">
        <v>0</v>
      </c>
      <c r="H1068" s="664"/>
      <c r="I1068" s="664">
        <f t="shared" si="16"/>
        <v>0</v>
      </c>
      <c r="J1068" s="661"/>
    </row>
    <row r="1069" spans="1:10" ht="18.75" customHeight="1">
      <c r="A1069" s="661"/>
      <c r="B1069" s="663" t="s">
        <v>1338</v>
      </c>
      <c r="C1069" s="657" t="s">
        <v>8398</v>
      </c>
      <c r="D1069" s="657" t="s">
        <v>8839</v>
      </c>
      <c r="E1069" s="663" t="s">
        <v>8840</v>
      </c>
      <c r="F1069" s="658">
        <v>0.1</v>
      </c>
      <c r="G1069" s="658">
        <v>0</v>
      </c>
      <c r="H1069" s="664"/>
      <c r="I1069" s="664">
        <f t="shared" si="16"/>
        <v>0</v>
      </c>
      <c r="J1069" s="661"/>
    </row>
    <row r="1070" spans="1:10" ht="18.75" customHeight="1">
      <c r="A1070" s="661"/>
      <c r="B1070" s="663" t="s">
        <v>1338</v>
      </c>
      <c r="C1070" s="657" t="s">
        <v>8398</v>
      </c>
      <c r="D1070" s="657" t="s">
        <v>8841</v>
      </c>
      <c r="E1070" s="663" t="s">
        <v>8842</v>
      </c>
      <c r="F1070" s="658">
        <v>0.1</v>
      </c>
      <c r="G1070" s="658">
        <v>0</v>
      </c>
      <c r="H1070" s="664"/>
      <c r="I1070" s="664">
        <f t="shared" si="16"/>
        <v>0</v>
      </c>
      <c r="J1070" s="661"/>
    </row>
    <row r="1071" spans="1:10" ht="18.75" customHeight="1">
      <c r="A1071" s="661"/>
      <c r="B1071" s="663" t="s">
        <v>1338</v>
      </c>
      <c r="C1071" s="657" t="s">
        <v>8398</v>
      </c>
      <c r="D1071" s="657" t="s">
        <v>8843</v>
      </c>
      <c r="E1071" s="663" t="s">
        <v>8844</v>
      </c>
      <c r="F1071" s="658">
        <v>0.1</v>
      </c>
      <c r="G1071" s="658">
        <v>0</v>
      </c>
      <c r="H1071" s="664"/>
      <c r="I1071" s="664">
        <f t="shared" si="16"/>
        <v>0</v>
      </c>
      <c r="J1071" s="661"/>
    </row>
    <row r="1072" spans="1:10" ht="18.75" customHeight="1">
      <c r="A1072" s="661"/>
      <c r="B1072" s="663" t="s">
        <v>1338</v>
      </c>
      <c r="C1072" s="657" t="s">
        <v>8398</v>
      </c>
      <c r="D1072" s="657" t="s">
        <v>1407</v>
      </c>
      <c r="E1072" s="663" t="s">
        <v>1408</v>
      </c>
      <c r="F1072" s="658">
        <v>0.1</v>
      </c>
      <c r="G1072" s="658">
        <v>0</v>
      </c>
      <c r="H1072" s="664">
        <v>385000</v>
      </c>
      <c r="I1072" s="664">
        <f t="shared" si="16"/>
        <v>350000</v>
      </c>
      <c r="J1072" s="661"/>
    </row>
    <row r="1073" spans="1:10" ht="18.75" customHeight="1">
      <c r="A1073" s="661"/>
      <c r="B1073" s="663" t="s">
        <v>1338</v>
      </c>
      <c r="C1073" s="657" t="s">
        <v>8398</v>
      </c>
      <c r="D1073" s="657" t="s">
        <v>8845</v>
      </c>
      <c r="E1073" s="663" t="s">
        <v>8846</v>
      </c>
      <c r="F1073" s="658">
        <v>0.1</v>
      </c>
      <c r="G1073" s="658">
        <v>0</v>
      </c>
      <c r="H1073" s="664"/>
      <c r="I1073" s="664">
        <f t="shared" si="16"/>
        <v>0</v>
      </c>
      <c r="J1073" s="661"/>
    </row>
    <row r="1074" spans="1:10" ht="18.75" customHeight="1">
      <c r="A1074" s="661"/>
      <c r="B1074" s="663" t="s">
        <v>1338</v>
      </c>
      <c r="C1074" s="657" t="s">
        <v>8398</v>
      </c>
      <c r="D1074" s="657" t="s">
        <v>8847</v>
      </c>
      <c r="E1074" s="663" t="s">
        <v>8848</v>
      </c>
      <c r="F1074" s="658">
        <v>0.1</v>
      </c>
      <c r="G1074" s="658">
        <v>0</v>
      </c>
      <c r="H1074" s="664"/>
      <c r="I1074" s="664">
        <f t="shared" si="16"/>
        <v>0</v>
      </c>
      <c r="J1074" s="661"/>
    </row>
    <row r="1075" spans="1:10" ht="18.75" customHeight="1">
      <c r="A1075" s="661"/>
      <c r="B1075" s="663" t="s">
        <v>1338</v>
      </c>
      <c r="C1075" s="657" t="s">
        <v>8398</v>
      </c>
      <c r="D1075" s="657" t="s">
        <v>8849</v>
      </c>
      <c r="E1075" s="663" t="s">
        <v>8850</v>
      </c>
      <c r="F1075" s="658">
        <v>0.1</v>
      </c>
      <c r="G1075" s="658">
        <v>0</v>
      </c>
      <c r="H1075" s="664"/>
      <c r="I1075" s="664">
        <f t="shared" si="16"/>
        <v>0</v>
      </c>
      <c r="J1075" s="661"/>
    </row>
    <row r="1076" spans="1:10" ht="18.75" customHeight="1">
      <c r="A1076" s="661"/>
      <c r="B1076" s="663" t="s">
        <v>1338</v>
      </c>
      <c r="C1076" s="657" t="s">
        <v>8398</v>
      </c>
      <c r="D1076" s="657" t="s">
        <v>8851</v>
      </c>
      <c r="E1076" s="663" t="s">
        <v>8852</v>
      </c>
      <c r="F1076" s="658">
        <v>0.1</v>
      </c>
      <c r="G1076" s="658">
        <v>0</v>
      </c>
      <c r="H1076" s="664"/>
      <c r="I1076" s="664">
        <f t="shared" si="16"/>
        <v>0</v>
      </c>
      <c r="J1076" s="661"/>
    </row>
    <row r="1077" spans="1:10" ht="18.75" customHeight="1">
      <c r="A1077" s="661"/>
      <c r="B1077" s="663" t="s">
        <v>1338</v>
      </c>
      <c r="C1077" s="657" t="s">
        <v>8398</v>
      </c>
      <c r="D1077" s="657" t="s">
        <v>1410</v>
      </c>
      <c r="E1077" s="663" t="s">
        <v>1411</v>
      </c>
      <c r="F1077" s="658">
        <v>0.1</v>
      </c>
      <c r="G1077" s="658">
        <v>0</v>
      </c>
      <c r="H1077" s="664">
        <v>542400</v>
      </c>
      <c r="I1077" s="664">
        <f t="shared" si="16"/>
        <v>493090</v>
      </c>
      <c r="J1077" s="661"/>
    </row>
    <row r="1078" spans="1:10" ht="18.75" customHeight="1">
      <c r="A1078" s="661"/>
      <c r="B1078" s="663" t="s">
        <v>1338</v>
      </c>
      <c r="C1078" s="657" t="s">
        <v>8398</v>
      </c>
      <c r="D1078" s="657" t="s">
        <v>8853</v>
      </c>
      <c r="E1078" s="663" t="s">
        <v>8854</v>
      </c>
      <c r="F1078" s="658">
        <v>0.1</v>
      </c>
      <c r="G1078" s="658">
        <v>0</v>
      </c>
      <c r="H1078" s="664"/>
      <c r="I1078" s="664">
        <f t="shared" si="16"/>
        <v>0</v>
      </c>
      <c r="J1078" s="661"/>
    </row>
    <row r="1079" spans="1:10" ht="18.75" customHeight="1">
      <c r="A1079" s="661"/>
      <c r="B1079" s="663" t="s">
        <v>1338</v>
      </c>
      <c r="C1079" s="657" t="s">
        <v>8398</v>
      </c>
      <c r="D1079" s="657" t="s">
        <v>8855</v>
      </c>
      <c r="E1079" s="663" t="s">
        <v>8856</v>
      </c>
      <c r="F1079" s="658">
        <v>0.1</v>
      </c>
      <c r="G1079" s="658">
        <v>0</v>
      </c>
      <c r="H1079" s="664"/>
      <c r="I1079" s="664">
        <f t="shared" si="16"/>
        <v>0</v>
      </c>
      <c r="J1079" s="661"/>
    </row>
    <row r="1080" spans="1:10" ht="18.75" customHeight="1">
      <c r="A1080" s="661"/>
      <c r="B1080" s="663" t="s">
        <v>1338</v>
      </c>
      <c r="C1080" s="657" t="s">
        <v>8398</v>
      </c>
      <c r="D1080" s="657" t="s">
        <v>8857</v>
      </c>
      <c r="E1080" s="663" t="s">
        <v>8858</v>
      </c>
      <c r="F1080" s="658">
        <v>0.1</v>
      </c>
      <c r="G1080" s="658">
        <v>0</v>
      </c>
      <c r="H1080" s="664"/>
      <c r="I1080" s="664">
        <f t="shared" si="16"/>
        <v>0</v>
      </c>
      <c r="J1080" s="661"/>
    </row>
    <row r="1081" spans="1:10" ht="18.75" customHeight="1">
      <c r="A1081" s="661"/>
      <c r="B1081" s="663" t="s">
        <v>1338</v>
      </c>
      <c r="C1081" s="657" t="s">
        <v>8398</v>
      </c>
      <c r="D1081" s="657" t="s">
        <v>8859</v>
      </c>
      <c r="E1081" s="663" t="s">
        <v>8860</v>
      </c>
      <c r="F1081" s="658">
        <v>0.1</v>
      </c>
      <c r="G1081" s="658">
        <v>0</v>
      </c>
      <c r="H1081" s="664"/>
      <c r="I1081" s="664">
        <f t="shared" si="16"/>
        <v>0</v>
      </c>
      <c r="J1081" s="661"/>
    </row>
    <row r="1082" spans="1:10" ht="18.75" customHeight="1">
      <c r="A1082" s="661"/>
      <c r="B1082" s="663" t="s">
        <v>1338</v>
      </c>
      <c r="C1082" s="657" t="s">
        <v>8398</v>
      </c>
      <c r="D1082" s="657" t="s">
        <v>8861</v>
      </c>
      <c r="E1082" s="663" t="s">
        <v>8862</v>
      </c>
      <c r="F1082" s="658">
        <v>0.1</v>
      </c>
      <c r="G1082" s="658">
        <v>0</v>
      </c>
      <c r="H1082" s="664"/>
      <c r="I1082" s="664">
        <f t="shared" si="16"/>
        <v>0</v>
      </c>
      <c r="J1082" s="661"/>
    </row>
    <row r="1083" spans="1:10" ht="18.75" customHeight="1">
      <c r="A1083" s="661"/>
      <c r="B1083" s="663" t="s">
        <v>1338</v>
      </c>
      <c r="C1083" s="657" t="s">
        <v>8398</v>
      </c>
      <c r="D1083" s="657" t="s">
        <v>8863</v>
      </c>
      <c r="E1083" s="663" t="s">
        <v>8864</v>
      </c>
      <c r="F1083" s="658">
        <v>0.1</v>
      </c>
      <c r="G1083" s="658">
        <v>0</v>
      </c>
      <c r="H1083" s="664"/>
      <c r="I1083" s="664">
        <f t="shared" si="16"/>
        <v>0</v>
      </c>
      <c r="J1083" s="661"/>
    </row>
    <row r="1084" spans="1:10" ht="18.75" customHeight="1">
      <c r="A1084" s="661"/>
      <c r="B1084" s="663" t="s">
        <v>1338</v>
      </c>
      <c r="C1084" s="657" t="s">
        <v>8398</v>
      </c>
      <c r="D1084" s="657" t="s">
        <v>8865</v>
      </c>
      <c r="E1084" s="663" t="s">
        <v>8866</v>
      </c>
      <c r="F1084" s="658">
        <v>0.1</v>
      </c>
      <c r="G1084" s="658">
        <v>0</v>
      </c>
      <c r="H1084" s="664"/>
      <c r="I1084" s="664">
        <f t="shared" si="16"/>
        <v>0</v>
      </c>
      <c r="J1084" s="661"/>
    </row>
    <row r="1085" spans="1:10" ht="18.75" customHeight="1">
      <c r="A1085" s="661"/>
      <c r="B1085" s="663" t="s">
        <v>1338</v>
      </c>
      <c r="C1085" s="657" t="s">
        <v>8398</v>
      </c>
      <c r="D1085" s="657" t="s">
        <v>8867</v>
      </c>
      <c r="E1085" s="663" t="s">
        <v>8868</v>
      </c>
      <c r="F1085" s="658">
        <v>0.1</v>
      </c>
      <c r="G1085" s="658">
        <v>0</v>
      </c>
      <c r="H1085" s="664"/>
      <c r="I1085" s="664">
        <f t="shared" si="16"/>
        <v>0</v>
      </c>
      <c r="J1085" s="661"/>
    </row>
    <row r="1086" spans="1:10" ht="18.75" customHeight="1">
      <c r="A1086" s="661"/>
      <c r="B1086" s="663" t="s">
        <v>1338</v>
      </c>
      <c r="C1086" s="657" t="s">
        <v>8398</v>
      </c>
      <c r="D1086" s="657" t="s">
        <v>8869</v>
      </c>
      <c r="E1086" s="663" t="s">
        <v>8870</v>
      </c>
      <c r="F1086" s="658">
        <v>0.1</v>
      </c>
      <c r="G1086" s="658">
        <v>0</v>
      </c>
      <c r="H1086" s="664"/>
      <c r="I1086" s="664">
        <f t="shared" si="16"/>
        <v>0</v>
      </c>
      <c r="J1086" s="661"/>
    </row>
    <row r="1087" spans="1:10" ht="18.75" customHeight="1">
      <c r="A1087" s="661"/>
      <c r="B1087" s="663" t="s">
        <v>1338</v>
      </c>
      <c r="C1087" s="657" t="s">
        <v>8398</v>
      </c>
      <c r="D1087" s="657" t="s">
        <v>8871</v>
      </c>
      <c r="E1087" s="663" t="s">
        <v>8872</v>
      </c>
      <c r="F1087" s="658">
        <v>0.1</v>
      </c>
      <c r="G1087" s="658">
        <v>0</v>
      </c>
      <c r="H1087" s="664"/>
      <c r="I1087" s="664">
        <f t="shared" si="16"/>
        <v>0</v>
      </c>
      <c r="J1087" s="661"/>
    </row>
    <row r="1088" spans="1:10" ht="18.75" customHeight="1">
      <c r="A1088" s="661"/>
      <c r="B1088" s="663" t="s">
        <v>1338</v>
      </c>
      <c r="C1088" s="657" t="s">
        <v>8398</v>
      </c>
      <c r="D1088" s="657" t="s">
        <v>8873</v>
      </c>
      <c r="E1088" s="663" t="s">
        <v>8874</v>
      </c>
      <c r="F1088" s="658">
        <v>0.1</v>
      </c>
      <c r="G1088" s="658">
        <v>0</v>
      </c>
      <c r="H1088" s="664"/>
      <c r="I1088" s="664">
        <f t="shared" si="16"/>
        <v>0</v>
      </c>
      <c r="J1088" s="661"/>
    </row>
    <row r="1089" spans="1:10" ht="18.75" customHeight="1">
      <c r="A1089" s="661"/>
      <c r="B1089" s="663" t="s">
        <v>1338</v>
      </c>
      <c r="C1089" s="657" t="s">
        <v>8398</v>
      </c>
      <c r="D1089" s="657" t="s">
        <v>8875</v>
      </c>
      <c r="E1089" s="663" t="s">
        <v>8876</v>
      </c>
      <c r="F1089" s="658">
        <v>0.1</v>
      </c>
      <c r="G1089" s="658">
        <v>0</v>
      </c>
      <c r="H1089" s="664"/>
      <c r="I1089" s="664">
        <f t="shared" si="16"/>
        <v>0</v>
      </c>
      <c r="J1089" s="661"/>
    </row>
    <row r="1090" spans="1:10" ht="18.75" customHeight="1">
      <c r="A1090" s="661"/>
      <c r="B1090" s="663" t="s">
        <v>1338</v>
      </c>
      <c r="C1090" s="657" t="s">
        <v>8398</v>
      </c>
      <c r="D1090" s="657" t="s">
        <v>8877</v>
      </c>
      <c r="E1090" s="663" t="s">
        <v>8878</v>
      </c>
      <c r="F1090" s="658">
        <v>0.1</v>
      </c>
      <c r="G1090" s="658">
        <v>0</v>
      </c>
      <c r="H1090" s="664"/>
      <c r="I1090" s="664">
        <f t="shared" si="16"/>
        <v>0</v>
      </c>
      <c r="J1090" s="661"/>
    </row>
    <row r="1091" spans="1:10" ht="18.75" customHeight="1">
      <c r="A1091" s="661"/>
      <c r="B1091" s="663" t="s">
        <v>1338</v>
      </c>
      <c r="C1091" s="657" t="s">
        <v>8398</v>
      </c>
      <c r="D1091" s="657" t="s">
        <v>8879</v>
      </c>
      <c r="E1091" s="663" t="s">
        <v>8880</v>
      </c>
      <c r="F1091" s="658">
        <v>0.1</v>
      </c>
      <c r="G1091" s="658">
        <v>0</v>
      </c>
      <c r="H1091" s="664"/>
      <c r="I1091" s="664">
        <f t="shared" si="16"/>
        <v>0</v>
      </c>
      <c r="J1091" s="661"/>
    </row>
    <row r="1092" spans="1:10" ht="18.75" customHeight="1">
      <c r="A1092" s="661"/>
      <c r="B1092" s="663" t="s">
        <v>1338</v>
      </c>
      <c r="C1092" s="657" t="s">
        <v>8398</v>
      </c>
      <c r="D1092" s="657" t="s">
        <v>8881</v>
      </c>
      <c r="E1092" s="663" t="s">
        <v>8882</v>
      </c>
      <c r="F1092" s="658">
        <v>0.1</v>
      </c>
      <c r="G1092" s="658">
        <v>0</v>
      </c>
      <c r="H1092" s="664"/>
      <c r="I1092" s="664">
        <f t="shared" si="16"/>
        <v>0</v>
      </c>
      <c r="J1092" s="661"/>
    </row>
    <row r="1093" spans="1:10" ht="18.75" customHeight="1">
      <c r="A1093" s="661"/>
      <c r="B1093" s="663" t="s">
        <v>1338</v>
      </c>
      <c r="C1093" s="657" t="s">
        <v>8398</v>
      </c>
      <c r="D1093" s="657" t="s">
        <v>8883</v>
      </c>
      <c r="E1093" s="663" t="s">
        <v>8884</v>
      </c>
      <c r="F1093" s="658">
        <v>0.1</v>
      </c>
      <c r="G1093" s="658">
        <v>0</v>
      </c>
      <c r="H1093" s="664"/>
      <c r="I1093" s="664">
        <f t="shared" si="16"/>
        <v>0</v>
      </c>
      <c r="J1093" s="661"/>
    </row>
    <row r="1094" spans="1:10" ht="18.75" customHeight="1">
      <c r="A1094" s="661"/>
      <c r="B1094" s="663" t="s">
        <v>1338</v>
      </c>
      <c r="C1094" s="657" t="s">
        <v>8398</v>
      </c>
      <c r="D1094" s="657" t="s">
        <v>1412</v>
      </c>
      <c r="E1094" s="663" t="s">
        <v>1413</v>
      </c>
      <c r="F1094" s="658">
        <v>0.1</v>
      </c>
      <c r="G1094" s="658">
        <v>0</v>
      </c>
      <c r="H1094" s="664">
        <v>528000</v>
      </c>
      <c r="I1094" s="664">
        <f t="shared" si="16"/>
        <v>480000</v>
      </c>
      <c r="J1094" s="661"/>
    </row>
    <row r="1095" spans="1:10" ht="18.75" customHeight="1">
      <c r="A1095" s="661"/>
      <c r="B1095" s="663" t="s">
        <v>1338</v>
      </c>
      <c r="C1095" s="657" t="s">
        <v>8398</v>
      </c>
      <c r="D1095" s="657" t="s">
        <v>1414</v>
      </c>
      <c r="E1095" s="663" t="s">
        <v>1415</v>
      </c>
      <c r="F1095" s="658">
        <v>0.1</v>
      </c>
      <c r="G1095" s="658">
        <v>0</v>
      </c>
      <c r="H1095" s="664">
        <v>544300</v>
      </c>
      <c r="I1095" s="664">
        <f t="shared" si="16"/>
        <v>494820</v>
      </c>
      <c r="J1095" s="661"/>
    </row>
    <row r="1096" spans="1:10" ht="18.75" customHeight="1">
      <c r="A1096" s="661"/>
      <c r="B1096" s="663" t="s">
        <v>1338</v>
      </c>
      <c r="C1096" s="657" t="s">
        <v>8398</v>
      </c>
      <c r="D1096" s="657" t="s">
        <v>8885</v>
      </c>
      <c r="E1096" s="663" t="s">
        <v>8886</v>
      </c>
      <c r="F1096" s="658">
        <v>0.1</v>
      </c>
      <c r="G1096" s="658">
        <v>0</v>
      </c>
      <c r="H1096" s="664"/>
      <c r="I1096" s="664">
        <f t="shared" si="16"/>
        <v>0</v>
      </c>
      <c r="J1096" s="661"/>
    </row>
    <row r="1097" spans="1:10" ht="18.75" customHeight="1">
      <c r="A1097" s="661"/>
      <c r="B1097" s="663" t="s">
        <v>1338</v>
      </c>
      <c r="C1097" s="657" t="s">
        <v>8398</v>
      </c>
      <c r="D1097" s="657" t="s">
        <v>8887</v>
      </c>
      <c r="E1097" s="663" t="s">
        <v>8888</v>
      </c>
      <c r="F1097" s="658">
        <v>0.1</v>
      </c>
      <c r="G1097" s="658">
        <v>0</v>
      </c>
      <c r="H1097" s="664"/>
      <c r="I1097" s="664">
        <f t="shared" si="16"/>
        <v>0</v>
      </c>
      <c r="J1097" s="661"/>
    </row>
    <row r="1098" spans="1:10" ht="18.75" customHeight="1">
      <c r="A1098" s="661"/>
      <c r="B1098" s="663" t="s">
        <v>1286</v>
      </c>
      <c r="C1098" s="657" t="s">
        <v>8398</v>
      </c>
      <c r="D1098" s="657" t="s">
        <v>8889</v>
      </c>
      <c r="E1098" s="663" t="s">
        <v>8890</v>
      </c>
      <c r="F1098" s="658">
        <v>0.1</v>
      </c>
      <c r="G1098" s="658">
        <v>0</v>
      </c>
      <c r="H1098" s="664"/>
      <c r="I1098" s="664">
        <f t="shared" si="16"/>
        <v>0</v>
      </c>
      <c r="J1098" s="661"/>
    </row>
    <row r="1099" spans="1:10" ht="18.75" customHeight="1">
      <c r="A1099" s="661"/>
      <c r="B1099" s="663" t="s">
        <v>1286</v>
      </c>
      <c r="C1099" s="657" t="s">
        <v>8398</v>
      </c>
      <c r="D1099" s="657" t="s">
        <v>8891</v>
      </c>
      <c r="E1099" s="663" t="s">
        <v>8892</v>
      </c>
      <c r="F1099" s="658">
        <v>0.1</v>
      </c>
      <c r="G1099" s="658">
        <v>0</v>
      </c>
      <c r="H1099" s="664"/>
      <c r="I1099" s="664">
        <f t="shared" si="16"/>
        <v>0</v>
      </c>
      <c r="J1099" s="661"/>
    </row>
    <row r="1100" spans="1:10" ht="18.75" customHeight="1">
      <c r="A1100" s="661"/>
      <c r="B1100" s="663" t="s">
        <v>1286</v>
      </c>
      <c r="C1100" s="657" t="s">
        <v>8398</v>
      </c>
      <c r="D1100" s="657" t="s">
        <v>8893</v>
      </c>
      <c r="E1100" s="663" t="s">
        <v>8894</v>
      </c>
      <c r="F1100" s="658">
        <v>0.1</v>
      </c>
      <c r="G1100" s="658">
        <v>0</v>
      </c>
      <c r="H1100" s="664"/>
      <c r="I1100" s="664">
        <f t="shared" si="16"/>
        <v>0</v>
      </c>
      <c r="J1100" s="661"/>
    </row>
    <row r="1101" spans="1:10" ht="18.75" customHeight="1">
      <c r="A1101" s="661"/>
      <c r="B1101" s="663" t="s">
        <v>1286</v>
      </c>
      <c r="C1101" s="657" t="s">
        <v>8398</v>
      </c>
      <c r="D1101" s="657" t="s">
        <v>8895</v>
      </c>
      <c r="E1101" s="663" t="s">
        <v>8896</v>
      </c>
      <c r="F1101" s="658">
        <v>0.1</v>
      </c>
      <c r="G1101" s="658">
        <v>0</v>
      </c>
      <c r="H1101" s="664"/>
      <c r="I1101" s="664">
        <f t="shared" si="16"/>
        <v>0</v>
      </c>
      <c r="J1101" s="661"/>
    </row>
    <row r="1102" spans="1:10" ht="18.75" customHeight="1">
      <c r="A1102" s="661"/>
      <c r="B1102" s="663" t="s">
        <v>1286</v>
      </c>
      <c r="C1102" s="657" t="s">
        <v>8398</v>
      </c>
      <c r="D1102" s="657" t="s">
        <v>8897</v>
      </c>
      <c r="E1102" s="663" t="s">
        <v>8898</v>
      </c>
      <c r="F1102" s="658">
        <v>0.1</v>
      </c>
      <c r="G1102" s="658">
        <v>0</v>
      </c>
      <c r="H1102" s="664"/>
      <c r="I1102" s="664">
        <f t="shared" si="16"/>
        <v>0</v>
      </c>
      <c r="J1102" s="661"/>
    </row>
    <row r="1103" spans="1:10" ht="18.75" customHeight="1">
      <c r="A1103" s="661"/>
      <c r="B1103" s="663" t="s">
        <v>1286</v>
      </c>
      <c r="C1103" s="657" t="s">
        <v>8398</v>
      </c>
      <c r="D1103" s="657" t="s">
        <v>1287</v>
      </c>
      <c r="E1103" s="663" t="s">
        <v>1288</v>
      </c>
      <c r="F1103" s="658">
        <v>0.1</v>
      </c>
      <c r="G1103" s="658">
        <v>0</v>
      </c>
      <c r="H1103" s="664">
        <v>10100</v>
      </c>
      <c r="I1103" s="664">
        <f t="shared" si="16"/>
        <v>9180</v>
      </c>
      <c r="J1103" s="661"/>
    </row>
    <row r="1104" spans="1:10" ht="18.75" customHeight="1">
      <c r="A1104" s="661"/>
      <c r="B1104" s="663" t="s">
        <v>1286</v>
      </c>
      <c r="C1104" s="657" t="s">
        <v>8398</v>
      </c>
      <c r="D1104" s="657" t="s">
        <v>8899</v>
      </c>
      <c r="E1104" s="663" t="s">
        <v>8900</v>
      </c>
      <c r="F1104" s="658">
        <v>0.1</v>
      </c>
      <c r="G1104" s="658">
        <v>0</v>
      </c>
      <c r="H1104" s="664"/>
      <c r="I1104" s="664">
        <f t="shared" si="16"/>
        <v>0</v>
      </c>
      <c r="J1104" s="661"/>
    </row>
    <row r="1105" spans="1:10" ht="18.75" customHeight="1">
      <c r="A1105" s="661"/>
      <c r="B1105" s="663" t="s">
        <v>1286</v>
      </c>
      <c r="C1105" s="657" t="s">
        <v>8398</v>
      </c>
      <c r="D1105" s="657" t="s">
        <v>1289</v>
      </c>
      <c r="E1105" s="663" t="s">
        <v>8901</v>
      </c>
      <c r="F1105" s="658">
        <v>0.1</v>
      </c>
      <c r="G1105" s="658">
        <v>0</v>
      </c>
      <c r="H1105" s="664">
        <v>13400</v>
      </c>
      <c r="I1105" s="664">
        <f t="shared" si="16"/>
        <v>12180</v>
      </c>
      <c r="J1105" s="661"/>
    </row>
    <row r="1106" spans="1:10" ht="18.75" customHeight="1">
      <c r="A1106" s="661"/>
      <c r="B1106" s="663" t="s">
        <v>1286</v>
      </c>
      <c r="C1106" s="657" t="s">
        <v>8398</v>
      </c>
      <c r="D1106" s="657" t="s">
        <v>8902</v>
      </c>
      <c r="E1106" s="663" t="s">
        <v>8903</v>
      </c>
      <c r="F1106" s="658">
        <v>0.1</v>
      </c>
      <c r="G1106" s="658">
        <v>0</v>
      </c>
      <c r="H1106" s="664"/>
      <c r="I1106" s="664">
        <f t="shared" si="16"/>
        <v>0</v>
      </c>
      <c r="J1106" s="661"/>
    </row>
    <row r="1107" spans="1:10" ht="18.75" customHeight="1">
      <c r="A1107" s="661"/>
      <c r="B1107" s="663" t="s">
        <v>1286</v>
      </c>
      <c r="C1107" s="657" t="s">
        <v>8398</v>
      </c>
      <c r="D1107" s="657" t="s">
        <v>8904</v>
      </c>
      <c r="E1107" s="663" t="s">
        <v>8905</v>
      </c>
      <c r="F1107" s="658">
        <v>0.1</v>
      </c>
      <c r="G1107" s="658">
        <v>0</v>
      </c>
      <c r="H1107" s="664"/>
      <c r="I1107" s="664">
        <f t="shared" si="16"/>
        <v>0</v>
      </c>
      <c r="J1107" s="661"/>
    </row>
    <row r="1108" spans="1:10" ht="18.75" customHeight="1">
      <c r="A1108" s="661"/>
      <c r="B1108" s="663" t="s">
        <v>1286</v>
      </c>
      <c r="C1108" s="657" t="s">
        <v>8398</v>
      </c>
      <c r="D1108" s="657" t="s">
        <v>1291</v>
      </c>
      <c r="E1108" s="663" t="s">
        <v>8906</v>
      </c>
      <c r="F1108" s="658">
        <v>0.1</v>
      </c>
      <c r="G1108" s="658">
        <v>0</v>
      </c>
      <c r="H1108" s="664">
        <v>19400</v>
      </c>
      <c r="I1108" s="664">
        <f t="shared" si="16"/>
        <v>17640</v>
      </c>
      <c r="J1108" s="661"/>
    </row>
    <row r="1109" spans="1:10" ht="18.75" customHeight="1">
      <c r="A1109" s="661"/>
      <c r="B1109" s="663" t="s">
        <v>1286</v>
      </c>
      <c r="C1109" s="657" t="s">
        <v>8398</v>
      </c>
      <c r="D1109" s="657" t="s">
        <v>8907</v>
      </c>
      <c r="E1109" s="663" t="s">
        <v>8908</v>
      </c>
      <c r="F1109" s="658">
        <v>0.1</v>
      </c>
      <c r="G1109" s="658">
        <v>0</v>
      </c>
      <c r="H1109" s="664"/>
      <c r="I1109" s="664">
        <f t="shared" si="16"/>
        <v>0</v>
      </c>
      <c r="J1109" s="661"/>
    </row>
    <row r="1110" spans="1:10" ht="18.75" customHeight="1">
      <c r="A1110" s="661"/>
      <c r="B1110" s="663" t="s">
        <v>1286</v>
      </c>
      <c r="C1110" s="657" t="s">
        <v>8398</v>
      </c>
      <c r="D1110" s="657" t="s">
        <v>8909</v>
      </c>
      <c r="E1110" s="663" t="s">
        <v>8910</v>
      </c>
      <c r="F1110" s="658">
        <v>0.1</v>
      </c>
      <c r="G1110" s="658">
        <v>0</v>
      </c>
      <c r="H1110" s="664"/>
      <c r="I1110" s="664">
        <f t="shared" si="16"/>
        <v>0</v>
      </c>
      <c r="J1110" s="661"/>
    </row>
    <row r="1111" spans="1:10" ht="18.75" customHeight="1">
      <c r="A1111" s="661"/>
      <c r="B1111" s="663" t="s">
        <v>1286</v>
      </c>
      <c r="C1111" s="657" t="s">
        <v>8398</v>
      </c>
      <c r="D1111" s="657" t="s">
        <v>8911</v>
      </c>
      <c r="E1111" s="663" t="s">
        <v>8912</v>
      </c>
      <c r="F1111" s="658">
        <v>0.1</v>
      </c>
      <c r="G1111" s="658">
        <v>0</v>
      </c>
      <c r="H1111" s="664"/>
      <c r="I1111" s="664">
        <f t="shared" si="16"/>
        <v>0</v>
      </c>
      <c r="J1111" s="661"/>
    </row>
    <row r="1112" spans="1:10" ht="18.75" customHeight="1">
      <c r="A1112" s="661"/>
      <c r="B1112" s="663" t="s">
        <v>1286</v>
      </c>
      <c r="C1112" s="657" t="s">
        <v>8398</v>
      </c>
      <c r="D1112" s="657" t="s">
        <v>1293</v>
      </c>
      <c r="E1112" s="663" t="s">
        <v>8913</v>
      </c>
      <c r="F1112" s="658">
        <v>0.1</v>
      </c>
      <c r="G1112" s="658">
        <v>0</v>
      </c>
      <c r="H1112" s="664">
        <v>8000</v>
      </c>
      <c r="I1112" s="664">
        <f t="shared" si="16"/>
        <v>7270</v>
      </c>
      <c r="J1112" s="661"/>
    </row>
    <row r="1113" spans="1:10" ht="18.75" customHeight="1">
      <c r="A1113" s="661"/>
      <c r="B1113" s="663" t="s">
        <v>1286</v>
      </c>
      <c r="C1113" s="657" t="s">
        <v>8398</v>
      </c>
      <c r="D1113" s="657" t="s">
        <v>1295</v>
      </c>
      <c r="E1113" s="663" t="s">
        <v>8914</v>
      </c>
      <c r="F1113" s="658">
        <v>0.1</v>
      </c>
      <c r="G1113" s="658">
        <v>0</v>
      </c>
      <c r="H1113" s="664">
        <v>8800</v>
      </c>
      <c r="I1113" s="664">
        <f t="shared" si="16"/>
        <v>8000</v>
      </c>
      <c r="J1113" s="661"/>
    </row>
    <row r="1114" spans="1:10" ht="18.75" customHeight="1">
      <c r="A1114" s="661"/>
      <c r="B1114" s="663" t="s">
        <v>1286</v>
      </c>
      <c r="C1114" s="657" t="s">
        <v>8398</v>
      </c>
      <c r="D1114" s="657" t="s">
        <v>8915</v>
      </c>
      <c r="E1114" s="663" t="s">
        <v>8916</v>
      </c>
      <c r="F1114" s="658">
        <v>0.1</v>
      </c>
      <c r="G1114" s="658">
        <v>0</v>
      </c>
      <c r="H1114" s="664"/>
      <c r="I1114" s="664">
        <f t="shared" si="16"/>
        <v>0</v>
      </c>
      <c r="J1114" s="661"/>
    </row>
    <row r="1115" spans="1:10" ht="18.75" customHeight="1">
      <c r="A1115" s="661"/>
      <c r="B1115" s="663" t="s">
        <v>1286</v>
      </c>
      <c r="C1115" s="657" t="s">
        <v>8398</v>
      </c>
      <c r="D1115" s="657" t="s">
        <v>8917</v>
      </c>
      <c r="E1115" s="663" t="s">
        <v>8918</v>
      </c>
      <c r="F1115" s="658">
        <v>0.1</v>
      </c>
      <c r="G1115" s="658">
        <v>0</v>
      </c>
      <c r="H1115" s="664"/>
      <c r="I1115" s="664">
        <f t="shared" si="16"/>
        <v>0</v>
      </c>
      <c r="J1115" s="661"/>
    </row>
    <row r="1116" spans="1:10" ht="18.75" customHeight="1">
      <c r="A1116" s="661"/>
      <c r="B1116" s="663" t="s">
        <v>1286</v>
      </c>
      <c r="C1116" s="657" t="s">
        <v>8398</v>
      </c>
      <c r="D1116" s="657" t="s">
        <v>8919</v>
      </c>
      <c r="E1116" s="663" t="s">
        <v>8920</v>
      </c>
      <c r="F1116" s="658">
        <v>0.1</v>
      </c>
      <c r="G1116" s="658">
        <v>0</v>
      </c>
      <c r="H1116" s="664"/>
      <c r="I1116" s="664">
        <f t="shared" si="16"/>
        <v>0</v>
      </c>
      <c r="J1116" s="661"/>
    </row>
    <row r="1117" spans="1:10" ht="18.75" customHeight="1">
      <c r="A1117" s="661"/>
      <c r="B1117" s="663" t="s">
        <v>1286</v>
      </c>
      <c r="C1117" s="657" t="s">
        <v>8398</v>
      </c>
      <c r="D1117" s="657" t="s">
        <v>1298</v>
      </c>
      <c r="E1117" s="663" t="s">
        <v>1299</v>
      </c>
      <c r="F1117" s="658">
        <v>0.1</v>
      </c>
      <c r="G1117" s="658">
        <v>0</v>
      </c>
      <c r="H1117" s="664">
        <v>21300</v>
      </c>
      <c r="I1117" s="664">
        <f t="shared" si="16"/>
        <v>19360</v>
      </c>
      <c r="J1117" s="661"/>
    </row>
    <row r="1118" spans="1:10" ht="18.75" customHeight="1">
      <c r="A1118" s="661"/>
      <c r="B1118" s="663" t="s">
        <v>1286</v>
      </c>
      <c r="C1118" s="657" t="s">
        <v>8398</v>
      </c>
      <c r="D1118" s="657" t="s">
        <v>8921</v>
      </c>
      <c r="E1118" s="663" t="s">
        <v>8922</v>
      </c>
      <c r="F1118" s="658">
        <v>0.1</v>
      </c>
      <c r="G1118" s="658">
        <v>0</v>
      </c>
      <c r="H1118" s="664"/>
      <c r="I1118" s="664">
        <f t="shared" si="16"/>
        <v>0</v>
      </c>
      <c r="J1118" s="661"/>
    </row>
    <row r="1119" spans="1:10" ht="18.75" customHeight="1">
      <c r="A1119" s="661"/>
      <c r="B1119" s="663" t="s">
        <v>1286</v>
      </c>
      <c r="C1119" s="657" t="s">
        <v>8398</v>
      </c>
      <c r="D1119" s="657" t="s">
        <v>1300</v>
      </c>
      <c r="E1119" s="663" t="s">
        <v>1301</v>
      </c>
      <c r="F1119" s="658">
        <v>0.1</v>
      </c>
      <c r="G1119" s="658">
        <v>0</v>
      </c>
      <c r="H1119" s="664">
        <v>25400</v>
      </c>
      <c r="I1119" s="664">
        <f t="shared" si="16"/>
        <v>23090</v>
      </c>
      <c r="J1119" s="661"/>
    </row>
    <row r="1120" spans="1:10" ht="18.75" customHeight="1">
      <c r="A1120" s="661"/>
      <c r="B1120" s="663" t="s">
        <v>1286</v>
      </c>
      <c r="C1120" s="657" t="s">
        <v>8398</v>
      </c>
      <c r="D1120" s="657" t="s">
        <v>8923</v>
      </c>
      <c r="E1120" s="663" t="s">
        <v>8924</v>
      </c>
      <c r="F1120" s="658">
        <v>0.1</v>
      </c>
      <c r="G1120" s="658">
        <v>0</v>
      </c>
      <c r="H1120" s="664"/>
      <c r="I1120" s="664">
        <f t="shared" si="16"/>
        <v>0</v>
      </c>
      <c r="J1120" s="661"/>
    </row>
    <row r="1121" spans="1:10" ht="18.75" customHeight="1">
      <c r="A1121" s="661"/>
      <c r="B1121" s="663" t="s">
        <v>1286</v>
      </c>
      <c r="C1121" s="657" t="s">
        <v>8398</v>
      </c>
      <c r="D1121" s="657" t="s">
        <v>1302</v>
      </c>
      <c r="E1121" s="663" t="s">
        <v>1303</v>
      </c>
      <c r="F1121" s="658">
        <v>0.1</v>
      </c>
      <c r="G1121" s="658">
        <v>0</v>
      </c>
      <c r="H1121" s="664">
        <v>29600</v>
      </c>
      <c r="I1121" s="664">
        <f t="shared" si="16"/>
        <v>26910</v>
      </c>
      <c r="J1121" s="661"/>
    </row>
    <row r="1122" spans="1:10" ht="18.75" customHeight="1">
      <c r="A1122" s="661"/>
      <c r="B1122" s="663" t="s">
        <v>1286</v>
      </c>
      <c r="C1122" s="657" t="s">
        <v>8398</v>
      </c>
      <c r="D1122" s="657" t="s">
        <v>8925</v>
      </c>
      <c r="E1122" s="663" t="s">
        <v>8926</v>
      </c>
      <c r="F1122" s="658">
        <v>0.1</v>
      </c>
      <c r="G1122" s="658">
        <v>0</v>
      </c>
      <c r="H1122" s="664"/>
      <c r="I1122" s="664">
        <f t="shared" si="16"/>
        <v>0</v>
      </c>
      <c r="J1122" s="661"/>
    </row>
    <row r="1123" spans="1:10" ht="18.75" customHeight="1">
      <c r="A1123" s="661"/>
      <c r="B1123" s="663" t="s">
        <v>1286</v>
      </c>
      <c r="C1123" s="657" t="s">
        <v>8398</v>
      </c>
      <c r="D1123" s="657" t="s">
        <v>1304</v>
      </c>
      <c r="E1123" s="663" t="s">
        <v>1305</v>
      </c>
      <c r="F1123" s="658">
        <v>0.1</v>
      </c>
      <c r="G1123" s="658">
        <v>0</v>
      </c>
      <c r="H1123" s="664">
        <v>34700</v>
      </c>
      <c r="I1123" s="664">
        <f t="shared" si="16"/>
        <v>31550</v>
      </c>
      <c r="J1123" s="661"/>
    </row>
    <row r="1124" spans="1:10" ht="18.75" customHeight="1">
      <c r="A1124" s="661"/>
      <c r="B1124" s="663" t="s">
        <v>1286</v>
      </c>
      <c r="C1124" s="657" t="s">
        <v>8398</v>
      </c>
      <c r="D1124" s="657" t="s">
        <v>1306</v>
      </c>
      <c r="E1124" s="663" t="s">
        <v>8927</v>
      </c>
      <c r="F1124" s="658">
        <v>0.1</v>
      </c>
      <c r="G1124" s="658">
        <v>0</v>
      </c>
      <c r="H1124" s="664">
        <v>40700</v>
      </c>
      <c r="I1124" s="664">
        <f t="shared" si="16"/>
        <v>37000</v>
      </c>
      <c r="J1124" s="661"/>
    </row>
    <row r="1125" spans="1:10" ht="18.75" customHeight="1">
      <c r="A1125" s="661"/>
      <c r="B1125" s="663" t="s">
        <v>1286</v>
      </c>
      <c r="C1125" s="657" t="s">
        <v>8398</v>
      </c>
      <c r="D1125" s="657" t="s">
        <v>8928</v>
      </c>
      <c r="E1125" s="663" t="s">
        <v>8929</v>
      </c>
      <c r="F1125" s="658">
        <v>0.1</v>
      </c>
      <c r="G1125" s="658">
        <v>0</v>
      </c>
      <c r="H1125" s="664"/>
      <c r="I1125" s="664">
        <f t="shared" si="16"/>
        <v>0</v>
      </c>
      <c r="J1125" s="661"/>
    </row>
    <row r="1126" spans="1:10" ht="18.75" customHeight="1">
      <c r="A1126" s="661"/>
      <c r="B1126" s="663" t="s">
        <v>1286</v>
      </c>
      <c r="C1126" s="657" t="s">
        <v>8398</v>
      </c>
      <c r="D1126" s="657" t="s">
        <v>1308</v>
      </c>
      <c r="E1126" s="663" t="s">
        <v>8930</v>
      </c>
      <c r="F1126" s="658">
        <v>0.1</v>
      </c>
      <c r="G1126" s="658">
        <v>0</v>
      </c>
      <c r="H1126" s="664">
        <v>50900</v>
      </c>
      <c r="I1126" s="664">
        <f t="shared" si="16"/>
        <v>46270</v>
      </c>
      <c r="J1126" s="661"/>
    </row>
    <row r="1127" spans="1:10" ht="18.75" customHeight="1">
      <c r="A1127" s="661"/>
      <c r="B1127" s="663" t="s">
        <v>1286</v>
      </c>
      <c r="C1127" s="657" t="s">
        <v>8398</v>
      </c>
      <c r="D1127" s="657" t="s">
        <v>8931</v>
      </c>
      <c r="E1127" s="663" t="s">
        <v>8932</v>
      </c>
      <c r="F1127" s="658">
        <v>0.1</v>
      </c>
      <c r="G1127" s="658">
        <v>0</v>
      </c>
      <c r="H1127" s="664"/>
      <c r="I1127" s="664">
        <f t="shared" si="16"/>
        <v>0</v>
      </c>
      <c r="J1127" s="661"/>
    </row>
    <row r="1128" spans="1:10" ht="18.75" customHeight="1">
      <c r="A1128" s="661"/>
      <c r="B1128" s="663" t="s">
        <v>1286</v>
      </c>
      <c r="C1128" s="657" t="s">
        <v>8398</v>
      </c>
      <c r="D1128" s="657" t="s">
        <v>1310</v>
      </c>
      <c r="E1128" s="663" t="s">
        <v>1311</v>
      </c>
      <c r="F1128" s="658">
        <v>0.1</v>
      </c>
      <c r="G1128" s="658">
        <v>0</v>
      </c>
      <c r="H1128" s="664">
        <v>66200</v>
      </c>
      <c r="I1128" s="664">
        <f t="shared" si="16"/>
        <v>60180</v>
      </c>
      <c r="J1128" s="661"/>
    </row>
    <row r="1129" spans="1:10" ht="18.75" customHeight="1">
      <c r="A1129" s="661"/>
      <c r="B1129" s="663" t="s">
        <v>1286</v>
      </c>
      <c r="C1129" s="657" t="s">
        <v>8398</v>
      </c>
      <c r="D1129" s="657" t="s">
        <v>8933</v>
      </c>
      <c r="E1129" s="663" t="s">
        <v>8934</v>
      </c>
      <c r="F1129" s="658">
        <v>0.1</v>
      </c>
      <c r="G1129" s="658">
        <v>0</v>
      </c>
      <c r="H1129" s="664"/>
      <c r="I1129" s="664">
        <f t="shared" si="16"/>
        <v>0</v>
      </c>
      <c r="J1129" s="661"/>
    </row>
    <row r="1130" spans="1:10" ht="18.75" customHeight="1">
      <c r="A1130" s="661"/>
      <c r="B1130" s="663" t="s">
        <v>1286</v>
      </c>
      <c r="C1130" s="657" t="s">
        <v>8398</v>
      </c>
      <c r="D1130" s="657" t="s">
        <v>8935</v>
      </c>
      <c r="E1130" s="663" t="s">
        <v>8936</v>
      </c>
      <c r="F1130" s="658">
        <v>0.1</v>
      </c>
      <c r="G1130" s="658">
        <v>0</v>
      </c>
      <c r="H1130" s="664"/>
      <c r="I1130" s="664">
        <f t="shared" si="16"/>
        <v>0</v>
      </c>
      <c r="J1130" s="661"/>
    </row>
    <row r="1131" spans="1:10" ht="18.75" customHeight="1">
      <c r="A1131" s="661"/>
      <c r="B1131" s="663" t="s">
        <v>1286</v>
      </c>
      <c r="C1131" s="657" t="s">
        <v>8398</v>
      </c>
      <c r="D1131" s="657" t="s">
        <v>8937</v>
      </c>
      <c r="E1131" s="663" t="s">
        <v>8938</v>
      </c>
      <c r="F1131" s="658">
        <v>0.1</v>
      </c>
      <c r="G1131" s="658">
        <v>0</v>
      </c>
      <c r="H1131" s="664"/>
      <c r="I1131" s="664">
        <f t="shared" si="16"/>
        <v>0</v>
      </c>
      <c r="J1131" s="661"/>
    </row>
    <row r="1132" spans="1:10" ht="18.75" customHeight="1">
      <c r="A1132" s="661"/>
      <c r="B1132" s="663" t="s">
        <v>1286</v>
      </c>
      <c r="C1132" s="657" t="s">
        <v>8398</v>
      </c>
      <c r="D1132" s="657" t="s">
        <v>8939</v>
      </c>
      <c r="E1132" s="663" t="s">
        <v>8940</v>
      </c>
      <c r="F1132" s="658">
        <v>0.1</v>
      </c>
      <c r="G1132" s="658">
        <v>0</v>
      </c>
      <c r="H1132" s="664"/>
      <c r="I1132" s="664">
        <f t="shared" si="16"/>
        <v>0</v>
      </c>
      <c r="J1132" s="661"/>
    </row>
    <row r="1133" spans="1:10" ht="18.75" customHeight="1">
      <c r="A1133" s="661"/>
      <c r="B1133" s="663" t="s">
        <v>1286</v>
      </c>
      <c r="C1133" s="657" t="s">
        <v>8398</v>
      </c>
      <c r="D1133" s="657" t="s">
        <v>8941</v>
      </c>
      <c r="E1133" s="663" t="s">
        <v>8942</v>
      </c>
      <c r="F1133" s="658">
        <v>0.1</v>
      </c>
      <c r="G1133" s="658">
        <v>0</v>
      </c>
      <c r="H1133" s="664"/>
      <c r="I1133" s="664">
        <f t="shared" si="16"/>
        <v>0</v>
      </c>
      <c r="J1133" s="661"/>
    </row>
    <row r="1134" spans="1:10" ht="18.75" customHeight="1">
      <c r="A1134" s="661"/>
      <c r="B1134" s="663" t="s">
        <v>1286</v>
      </c>
      <c r="C1134" s="657" t="s">
        <v>8398</v>
      </c>
      <c r="D1134" s="657" t="s">
        <v>1312</v>
      </c>
      <c r="E1134" s="663" t="s">
        <v>8943</v>
      </c>
      <c r="F1134" s="658">
        <v>0.1</v>
      </c>
      <c r="G1134" s="658">
        <v>0</v>
      </c>
      <c r="H1134" s="664">
        <v>17300</v>
      </c>
      <c r="I1134" s="664">
        <f t="shared" si="16"/>
        <v>15730</v>
      </c>
      <c r="J1134" s="661"/>
    </row>
    <row r="1135" spans="1:10" ht="18.75" customHeight="1">
      <c r="A1135" s="661"/>
      <c r="B1135" s="663" t="s">
        <v>1286</v>
      </c>
      <c r="C1135" s="657" t="s">
        <v>8398</v>
      </c>
      <c r="D1135" s="657" t="s">
        <v>8944</v>
      </c>
      <c r="E1135" s="663" t="s">
        <v>8945</v>
      </c>
      <c r="F1135" s="658">
        <v>0.1</v>
      </c>
      <c r="G1135" s="658">
        <v>0</v>
      </c>
      <c r="H1135" s="664">
        <v>17700</v>
      </c>
      <c r="I1135" s="664">
        <f t="shared" si="16"/>
        <v>16090</v>
      </c>
      <c r="J1135" s="661"/>
    </row>
    <row r="1136" spans="1:10" ht="18.75" customHeight="1">
      <c r="A1136" s="661"/>
      <c r="B1136" s="663" t="s">
        <v>1286</v>
      </c>
      <c r="C1136" s="657" t="s">
        <v>8398</v>
      </c>
      <c r="D1136" s="657" t="s">
        <v>1314</v>
      </c>
      <c r="E1136" s="663" t="s">
        <v>1315</v>
      </c>
      <c r="F1136" s="658">
        <v>0.1</v>
      </c>
      <c r="G1136" s="658">
        <v>0</v>
      </c>
      <c r="H1136" s="664">
        <v>24400</v>
      </c>
      <c r="I1136" s="664">
        <f t="shared" si="16"/>
        <v>22180</v>
      </c>
      <c r="J1136" s="661"/>
    </row>
    <row r="1137" spans="1:10" ht="18.75" customHeight="1">
      <c r="A1137" s="661"/>
      <c r="B1137" s="663" t="s">
        <v>1286</v>
      </c>
      <c r="C1137" s="657" t="s">
        <v>8398</v>
      </c>
      <c r="D1137" s="657" t="s">
        <v>1316</v>
      </c>
      <c r="E1137" s="663" t="s">
        <v>8946</v>
      </c>
      <c r="F1137" s="658">
        <v>0.1</v>
      </c>
      <c r="G1137" s="658">
        <v>0</v>
      </c>
      <c r="H1137" s="664">
        <v>23500</v>
      </c>
      <c r="I1137" s="664">
        <f t="shared" si="16"/>
        <v>21360</v>
      </c>
      <c r="J1137" s="661"/>
    </row>
    <row r="1138" spans="1:10" ht="18.75" customHeight="1">
      <c r="A1138" s="661"/>
      <c r="B1138" s="663" t="s">
        <v>1286</v>
      </c>
      <c r="C1138" s="657" t="s">
        <v>8398</v>
      </c>
      <c r="D1138" s="657" t="s">
        <v>8947</v>
      </c>
      <c r="E1138" s="663" t="s">
        <v>8948</v>
      </c>
      <c r="F1138" s="658">
        <v>0.1</v>
      </c>
      <c r="G1138" s="658">
        <v>0</v>
      </c>
      <c r="H1138" s="664">
        <v>25300</v>
      </c>
      <c r="I1138" s="664">
        <f t="shared" si="16"/>
        <v>23000</v>
      </c>
      <c r="J1138" s="661"/>
    </row>
    <row r="1139" spans="1:10" ht="18.75" customHeight="1">
      <c r="A1139" s="661"/>
      <c r="B1139" s="663" t="s">
        <v>1286</v>
      </c>
      <c r="C1139" s="657" t="s">
        <v>8398</v>
      </c>
      <c r="D1139" s="657" t="s">
        <v>1318</v>
      </c>
      <c r="E1139" s="663" t="s">
        <v>1319</v>
      </c>
      <c r="F1139" s="658">
        <v>0.1</v>
      </c>
      <c r="G1139" s="658">
        <v>0</v>
      </c>
      <c r="H1139" s="664">
        <v>33700</v>
      </c>
      <c r="I1139" s="664">
        <f t="shared" si="16"/>
        <v>30640</v>
      </c>
      <c r="J1139" s="661"/>
    </row>
    <row r="1140" spans="1:10" ht="18.75" customHeight="1">
      <c r="A1140" s="661"/>
      <c r="B1140" s="663" t="s">
        <v>1286</v>
      </c>
      <c r="C1140" s="657" t="s">
        <v>8398</v>
      </c>
      <c r="D1140" s="657" t="s">
        <v>8949</v>
      </c>
      <c r="E1140" s="663" t="s">
        <v>8950</v>
      </c>
      <c r="F1140" s="658">
        <v>0.1</v>
      </c>
      <c r="G1140" s="658">
        <v>0</v>
      </c>
      <c r="H1140" s="664"/>
      <c r="I1140" s="664">
        <f t="shared" si="16"/>
        <v>0</v>
      </c>
      <c r="J1140" s="661"/>
    </row>
    <row r="1141" spans="1:10" ht="18.75" customHeight="1">
      <c r="A1141" s="661"/>
      <c r="B1141" s="663" t="s">
        <v>1286</v>
      </c>
      <c r="C1141" s="657" t="s">
        <v>8398</v>
      </c>
      <c r="D1141" s="657" t="s">
        <v>1320</v>
      </c>
      <c r="E1141" s="663" t="s">
        <v>8951</v>
      </c>
      <c r="F1141" s="658">
        <v>0.1</v>
      </c>
      <c r="G1141" s="658">
        <v>0</v>
      </c>
      <c r="H1141" s="664">
        <v>41800</v>
      </c>
      <c r="I1141" s="664">
        <f t="shared" si="16"/>
        <v>38000</v>
      </c>
      <c r="J1141" s="661"/>
    </row>
    <row r="1142" spans="1:10" ht="18.75" customHeight="1">
      <c r="A1142" s="661"/>
      <c r="B1142" s="663" t="s">
        <v>1286</v>
      </c>
      <c r="C1142" s="657" t="s">
        <v>8398</v>
      </c>
      <c r="D1142" s="657" t="s">
        <v>8952</v>
      </c>
      <c r="E1142" s="663" t="s">
        <v>8953</v>
      </c>
      <c r="F1142" s="658">
        <v>0.1</v>
      </c>
      <c r="G1142" s="658">
        <v>0</v>
      </c>
      <c r="H1142" s="664"/>
      <c r="I1142" s="664">
        <f t="shared" si="16"/>
        <v>0</v>
      </c>
      <c r="J1142" s="661"/>
    </row>
    <row r="1143" spans="1:10" ht="18.75" customHeight="1">
      <c r="A1143" s="661"/>
      <c r="B1143" s="663" t="s">
        <v>1286</v>
      </c>
      <c r="C1143" s="657" t="s">
        <v>8398</v>
      </c>
      <c r="D1143" s="657" t="s">
        <v>8954</v>
      </c>
      <c r="E1143" s="663" t="s">
        <v>8955</v>
      </c>
      <c r="F1143" s="658">
        <v>0.1</v>
      </c>
      <c r="G1143" s="658">
        <v>0</v>
      </c>
      <c r="H1143" s="664"/>
      <c r="I1143" s="664">
        <f t="shared" si="16"/>
        <v>0</v>
      </c>
      <c r="J1143" s="661"/>
    </row>
    <row r="1144" spans="1:10" ht="18.75" customHeight="1">
      <c r="A1144" s="661"/>
      <c r="B1144" s="663" t="s">
        <v>1286</v>
      </c>
      <c r="C1144" s="657" t="s">
        <v>8398</v>
      </c>
      <c r="D1144" s="657" t="s">
        <v>8956</v>
      </c>
      <c r="E1144" s="663" t="s">
        <v>8957</v>
      </c>
      <c r="F1144" s="658">
        <v>0.1</v>
      </c>
      <c r="G1144" s="658">
        <v>0</v>
      </c>
      <c r="H1144" s="664"/>
      <c r="I1144" s="664">
        <f t="shared" si="16"/>
        <v>0</v>
      </c>
      <c r="J1144" s="661"/>
    </row>
    <row r="1145" spans="1:10" ht="18.75" customHeight="1">
      <c r="A1145" s="661"/>
      <c r="B1145" s="663" t="s">
        <v>1286</v>
      </c>
      <c r="C1145" s="657" t="s">
        <v>8398</v>
      </c>
      <c r="D1145" s="657" t="s">
        <v>1322</v>
      </c>
      <c r="E1145" s="663" t="s">
        <v>8958</v>
      </c>
      <c r="F1145" s="658">
        <v>0.1</v>
      </c>
      <c r="G1145" s="658">
        <v>0</v>
      </c>
      <c r="H1145" s="664">
        <v>55000</v>
      </c>
      <c r="I1145" s="664">
        <f t="shared" si="16"/>
        <v>50000</v>
      </c>
      <c r="J1145" s="661"/>
    </row>
    <row r="1146" spans="1:10" ht="18.75" customHeight="1">
      <c r="A1146" s="661"/>
      <c r="B1146" s="663" t="s">
        <v>1286</v>
      </c>
      <c r="C1146" s="657" t="s">
        <v>8398</v>
      </c>
      <c r="D1146" s="657" t="s">
        <v>8959</v>
      </c>
      <c r="E1146" s="663" t="s">
        <v>8960</v>
      </c>
      <c r="F1146" s="658">
        <v>0.1</v>
      </c>
      <c r="G1146" s="658">
        <v>0</v>
      </c>
      <c r="H1146" s="664"/>
      <c r="I1146" s="664">
        <f t="shared" si="16"/>
        <v>0</v>
      </c>
      <c r="J1146" s="661"/>
    </row>
    <row r="1147" spans="1:10" ht="18.75" customHeight="1">
      <c r="A1147" s="661"/>
      <c r="B1147" s="663" t="s">
        <v>1286</v>
      </c>
      <c r="C1147" s="657" t="s">
        <v>8398</v>
      </c>
      <c r="D1147" s="657" t="s">
        <v>8961</v>
      </c>
      <c r="E1147" s="663" t="s">
        <v>8962</v>
      </c>
      <c r="F1147" s="658">
        <v>0.1</v>
      </c>
      <c r="G1147" s="658">
        <v>0</v>
      </c>
      <c r="H1147" s="664"/>
      <c r="I1147" s="664">
        <f t="shared" si="16"/>
        <v>0</v>
      </c>
      <c r="J1147" s="661"/>
    </row>
    <row r="1148" spans="1:10" ht="18.75" customHeight="1">
      <c r="A1148" s="661"/>
      <c r="B1148" s="663" t="s">
        <v>1286</v>
      </c>
      <c r="C1148" s="657" t="s">
        <v>8398</v>
      </c>
      <c r="D1148" s="657" t="s">
        <v>8963</v>
      </c>
      <c r="E1148" s="663" t="s">
        <v>8964</v>
      </c>
      <c r="F1148" s="658">
        <v>0.1</v>
      </c>
      <c r="G1148" s="658">
        <v>0</v>
      </c>
      <c r="H1148" s="664">
        <v>80700</v>
      </c>
      <c r="I1148" s="664">
        <f t="shared" si="16"/>
        <v>73360</v>
      </c>
      <c r="J1148" s="661"/>
    </row>
    <row r="1149" spans="1:10" ht="18.75" customHeight="1">
      <c r="A1149" s="661"/>
      <c r="B1149" s="663" t="s">
        <v>1286</v>
      </c>
      <c r="C1149" s="657" t="s">
        <v>8398</v>
      </c>
      <c r="D1149" s="657" t="s">
        <v>8965</v>
      </c>
      <c r="E1149" s="663" t="s">
        <v>8966</v>
      </c>
      <c r="F1149" s="658">
        <v>0.1</v>
      </c>
      <c r="G1149" s="658">
        <v>0</v>
      </c>
      <c r="H1149" s="664"/>
      <c r="I1149" s="664">
        <f t="shared" si="16"/>
        <v>0</v>
      </c>
      <c r="J1149" s="661"/>
    </row>
    <row r="1150" spans="1:10" ht="18.75" customHeight="1">
      <c r="A1150" s="661"/>
      <c r="B1150" s="663" t="s">
        <v>1286</v>
      </c>
      <c r="C1150" s="657" t="s">
        <v>8398</v>
      </c>
      <c r="D1150" s="657" t="s">
        <v>8967</v>
      </c>
      <c r="E1150" s="663" t="s">
        <v>8968</v>
      </c>
      <c r="F1150" s="658">
        <v>0.1</v>
      </c>
      <c r="G1150" s="658">
        <v>0</v>
      </c>
      <c r="H1150" s="664"/>
      <c r="I1150" s="664">
        <f t="shared" si="16"/>
        <v>0</v>
      </c>
      <c r="J1150" s="661"/>
    </row>
    <row r="1151" spans="1:10" ht="18.75" customHeight="1">
      <c r="A1151" s="661"/>
      <c r="B1151" s="663" t="s">
        <v>1286</v>
      </c>
      <c r="C1151" s="657" t="s">
        <v>8398</v>
      </c>
      <c r="D1151" s="657" t="s">
        <v>8969</v>
      </c>
      <c r="E1151" s="663" t="s">
        <v>8970</v>
      </c>
      <c r="F1151" s="658">
        <v>0.1</v>
      </c>
      <c r="G1151" s="658">
        <v>0</v>
      </c>
      <c r="H1151" s="664"/>
      <c r="I1151" s="664">
        <f t="shared" si="16"/>
        <v>0</v>
      </c>
      <c r="J1151" s="661"/>
    </row>
    <row r="1152" spans="1:10" ht="18.75" customHeight="1">
      <c r="A1152" s="661"/>
      <c r="B1152" s="663" t="s">
        <v>1286</v>
      </c>
      <c r="C1152" s="657" t="s">
        <v>8398</v>
      </c>
      <c r="D1152" s="657" t="s">
        <v>8971</v>
      </c>
      <c r="E1152" s="663" t="s">
        <v>8972</v>
      </c>
      <c r="F1152" s="658">
        <v>0.1</v>
      </c>
      <c r="G1152" s="658">
        <v>0</v>
      </c>
      <c r="H1152" s="664"/>
      <c r="I1152" s="664">
        <f t="shared" si="16"/>
        <v>0</v>
      </c>
      <c r="J1152" s="661"/>
    </row>
    <row r="1153" spans="1:10" ht="18.75" customHeight="1">
      <c r="A1153" s="661"/>
      <c r="B1153" s="663" t="s">
        <v>1286</v>
      </c>
      <c r="C1153" s="657" t="s">
        <v>8398</v>
      </c>
      <c r="D1153" s="657" t="s">
        <v>1324</v>
      </c>
      <c r="E1153" s="663" t="s">
        <v>1325</v>
      </c>
      <c r="F1153" s="658">
        <v>0.1</v>
      </c>
      <c r="G1153" s="658">
        <v>0</v>
      </c>
      <c r="H1153" s="664">
        <v>113600</v>
      </c>
      <c r="I1153" s="664">
        <f t="shared" si="16"/>
        <v>103270</v>
      </c>
      <c r="J1153" s="661"/>
    </row>
    <row r="1154" spans="1:10" ht="18.75" customHeight="1">
      <c r="A1154" s="661"/>
      <c r="B1154" s="663" t="s">
        <v>1286</v>
      </c>
      <c r="C1154" s="657" t="s">
        <v>8398</v>
      </c>
      <c r="D1154" s="657" t="s">
        <v>8973</v>
      </c>
      <c r="E1154" s="663" t="s">
        <v>8974</v>
      </c>
      <c r="F1154" s="658">
        <v>0.1</v>
      </c>
      <c r="G1154" s="658">
        <v>0</v>
      </c>
      <c r="H1154" s="664"/>
      <c r="I1154" s="664">
        <f t="shared" si="16"/>
        <v>0</v>
      </c>
      <c r="J1154" s="661"/>
    </row>
    <row r="1155" spans="1:10" ht="18.75" customHeight="1">
      <c r="A1155" s="661"/>
      <c r="B1155" s="663" t="s">
        <v>1286</v>
      </c>
      <c r="C1155" s="657" t="s">
        <v>8398</v>
      </c>
      <c r="D1155" s="657" t="s">
        <v>8975</v>
      </c>
      <c r="E1155" s="663" t="s">
        <v>8976</v>
      </c>
      <c r="F1155" s="658">
        <v>0.1</v>
      </c>
      <c r="G1155" s="658">
        <v>0</v>
      </c>
      <c r="H1155" s="664"/>
      <c r="I1155" s="664">
        <f t="shared" si="16"/>
        <v>0</v>
      </c>
      <c r="J1155" s="661"/>
    </row>
    <row r="1156" spans="1:10" ht="18.75" customHeight="1">
      <c r="A1156" s="661"/>
      <c r="B1156" s="663" t="s">
        <v>1286</v>
      </c>
      <c r="C1156" s="657" t="s">
        <v>8398</v>
      </c>
      <c r="D1156" s="657" t="s">
        <v>8977</v>
      </c>
      <c r="E1156" s="663" t="s">
        <v>8978</v>
      </c>
      <c r="F1156" s="658">
        <v>0.1</v>
      </c>
      <c r="G1156" s="658">
        <v>0</v>
      </c>
      <c r="H1156" s="664"/>
      <c r="I1156" s="664">
        <f t="shared" si="16"/>
        <v>0</v>
      </c>
      <c r="J1156" s="661"/>
    </row>
    <row r="1157" spans="1:10" ht="18.75" customHeight="1">
      <c r="A1157" s="661"/>
      <c r="B1157" s="663" t="s">
        <v>1286</v>
      </c>
      <c r="C1157" s="657" t="s">
        <v>8398</v>
      </c>
      <c r="D1157" s="657" t="s">
        <v>8979</v>
      </c>
      <c r="E1157" s="663" t="s">
        <v>8980</v>
      </c>
      <c r="F1157" s="658">
        <v>0.1</v>
      </c>
      <c r="G1157" s="658">
        <v>0</v>
      </c>
      <c r="H1157" s="664"/>
      <c r="I1157" s="664">
        <f t="shared" si="16"/>
        <v>0</v>
      </c>
      <c r="J1157" s="661"/>
    </row>
    <row r="1158" spans="1:10" ht="18.75" customHeight="1">
      <c r="A1158" s="661"/>
      <c r="B1158" s="663" t="s">
        <v>1286</v>
      </c>
      <c r="C1158" s="657" t="s">
        <v>8398</v>
      </c>
      <c r="D1158" s="657" t="s">
        <v>8981</v>
      </c>
      <c r="E1158" s="663" t="s">
        <v>8982</v>
      </c>
      <c r="F1158" s="658">
        <v>0.1</v>
      </c>
      <c r="G1158" s="658">
        <v>0</v>
      </c>
      <c r="H1158" s="664"/>
      <c r="I1158" s="664">
        <f t="shared" si="16"/>
        <v>0</v>
      </c>
      <c r="J1158" s="661"/>
    </row>
    <row r="1159" spans="1:10" ht="18.75" customHeight="1">
      <c r="A1159" s="661"/>
      <c r="B1159" s="663" t="s">
        <v>1286</v>
      </c>
      <c r="C1159" s="657" t="s">
        <v>8398</v>
      </c>
      <c r="D1159" s="657" t="s">
        <v>8983</v>
      </c>
      <c r="E1159" s="663" t="s">
        <v>8984</v>
      </c>
      <c r="F1159" s="658">
        <v>0.1</v>
      </c>
      <c r="G1159" s="658">
        <v>0</v>
      </c>
      <c r="H1159" s="664"/>
      <c r="I1159" s="664">
        <f t="shared" si="16"/>
        <v>0</v>
      </c>
      <c r="J1159" s="661"/>
    </row>
    <row r="1160" spans="1:10" ht="18.75" customHeight="1">
      <c r="A1160" s="661"/>
      <c r="B1160" s="663" t="s">
        <v>1286</v>
      </c>
      <c r="C1160" s="657" t="s">
        <v>8398</v>
      </c>
      <c r="D1160" s="657" t="s">
        <v>1326</v>
      </c>
      <c r="E1160" s="663" t="s">
        <v>8985</v>
      </c>
      <c r="F1160" s="658">
        <v>0.1</v>
      </c>
      <c r="G1160" s="658">
        <v>0</v>
      </c>
      <c r="H1160" s="664">
        <v>50900</v>
      </c>
      <c r="I1160" s="664">
        <f t="shared" si="16"/>
        <v>46270</v>
      </c>
      <c r="J1160" s="661"/>
    </row>
    <row r="1161" spans="1:10" ht="18.75" customHeight="1">
      <c r="A1161" s="661"/>
      <c r="B1161" s="663" t="s">
        <v>1286</v>
      </c>
      <c r="C1161" s="657" t="s">
        <v>8398</v>
      </c>
      <c r="D1161" s="657" t="s">
        <v>1328</v>
      </c>
      <c r="E1161" s="663" t="s">
        <v>1329</v>
      </c>
      <c r="F1161" s="658">
        <v>0.1</v>
      </c>
      <c r="G1161" s="658">
        <v>0</v>
      </c>
      <c r="H1161" s="664">
        <v>56000</v>
      </c>
      <c r="I1161" s="664">
        <f t="shared" si="16"/>
        <v>50910</v>
      </c>
      <c r="J1161" s="661"/>
    </row>
    <row r="1162" spans="1:10" ht="18.75" customHeight="1">
      <c r="A1162" s="661"/>
      <c r="B1162" s="663" t="s">
        <v>1286</v>
      </c>
      <c r="C1162" s="657" t="s">
        <v>8398</v>
      </c>
      <c r="D1162" s="657" t="s">
        <v>8986</v>
      </c>
      <c r="E1162" s="663" t="s">
        <v>8987</v>
      </c>
      <c r="F1162" s="658">
        <v>0.1</v>
      </c>
      <c r="G1162" s="658">
        <v>0</v>
      </c>
      <c r="H1162" s="664"/>
      <c r="I1162" s="664">
        <f t="shared" si="16"/>
        <v>0</v>
      </c>
      <c r="J1162" s="661"/>
    </row>
    <row r="1163" spans="1:10" ht="18.75" customHeight="1">
      <c r="A1163" s="661"/>
      <c r="B1163" s="663" t="s">
        <v>1286</v>
      </c>
      <c r="C1163" s="657" t="s">
        <v>8398</v>
      </c>
      <c r="D1163" s="657" t="s">
        <v>8988</v>
      </c>
      <c r="E1163" s="663" t="s">
        <v>8989</v>
      </c>
      <c r="F1163" s="658">
        <v>0.1</v>
      </c>
      <c r="G1163" s="658">
        <v>0</v>
      </c>
      <c r="H1163" s="664"/>
      <c r="I1163" s="664">
        <f t="shared" si="16"/>
        <v>0</v>
      </c>
      <c r="J1163" s="661"/>
    </row>
    <row r="1164" spans="1:10" ht="18.75" customHeight="1">
      <c r="A1164" s="661"/>
      <c r="B1164" s="663" t="s">
        <v>1286</v>
      </c>
      <c r="C1164" s="657" t="s">
        <v>8398</v>
      </c>
      <c r="D1164" s="657" t="s">
        <v>8990</v>
      </c>
      <c r="E1164" s="663" t="s">
        <v>8991</v>
      </c>
      <c r="F1164" s="658">
        <v>0.1</v>
      </c>
      <c r="G1164" s="658">
        <v>0</v>
      </c>
      <c r="H1164" s="664"/>
      <c r="I1164" s="664">
        <f t="shared" si="16"/>
        <v>0</v>
      </c>
      <c r="J1164" s="661"/>
    </row>
    <row r="1165" spans="1:10" ht="18.75" customHeight="1">
      <c r="A1165" s="661"/>
      <c r="B1165" s="663" t="s">
        <v>1286</v>
      </c>
      <c r="C1165" s="657" t="s">
        <v>8398</v>
      </c>
      <c r="D1165" s="657" t="s">
        <v>1330</v>
      </c>
      <c r="E1165" s="663" t="s">
        <v>1331</v>
      </c>
      <c r="F1165" s="658">
        <v>0.1</v>
      </c>
      <c r="G1165" s="658">
        <v>0</v>
      </c>
      <c r="H1165" s="664">
        <v>72300</v>
      </c>
      <c r="I1165" s="664">
        <f t="shared" si="16"/>
        <v>65730</v>
      </c>
      <c r="J1165" s="661"/>
    </row>
    <row r="1166" spans="1:10" ht="18.75" customHeight="1">
      <c r="A1166" s="661"/>
      <c r="B1166" s="663" t="s">
        <v>1286</v>
      </c>
      <c r="C1166" s="657" t="s">
        <v>8398</v>
      </c>
      <c r="D1166" s="657" t="s">
        <v>8992</v>
      </c>
      <c r="E1166" s="663" t="s">
        <v>8993</v>
      </c>
      <c r="F1166" s="658">
        <v>0.1</v>
      </c>
      <c r="G1166" s="658">
        <v>0</v>
      </c>
      <c r="H1166" s="664"/>
      <c r="I1166" s="664">
        <f t="shared" si="16"/>
        <v>0</v>
      </c>
      <c r="J1166" s="661"/>
    </row>
    <row r="1167" spans="1:10" ht="18.75" customHeight="1">
      <c r="A1167" s="661"/>
      <c r="B1167" s="663" t="s">
        <v>1286</v>
      </c>
      <c r="C1167" s="657" t="s">
        <v>8398</v>
      </c>
      <c r="D1167" s="657" t="s">
        <v>8994</v>
      </c>
      <c r="E1167" s="663" t="s">
        <v>8995</v>
      </c>
      <c r="F1167" s="658">
        <v>0.1</v>
      </c>
      <c r="G1167" s="658">
        <v>0</v>
      </c>
      <c r="H1167" s="664"/>
      <c r="I1167" s="664">
        <f t="shared" si="16"/>
        <v>0</v>
      </c>
      <c r="J1167" s="661"/>
    </row>
    <row r="1168" spans="1:10" ht="18.75" customHeight="1">
      <c r="A1168" s="661"/>
      <c r="B1168" s="663" t="s">
        <v>1286</v>
      </c>
      <c r="C1168" s="657" t="s">
        <v>8398</v>
      </c>
      <c r="D1168" s="657" t="s">
        <v>8996</v>
      </c>
      <c r="E1168" s="663" t="s">
        <v>8997</v>
      </c>
      <c r="F1168" s="658">
        <v>0.1</v>
      </c>
      <c r="G1168" s="658">
        <v>0</v>
      </c>
      <c r="H1168" s="664"/>
      <c r="I1168" s="664">
        <f t="shared" si="16"/>
        <v>0</v>
      </c>
      <c r="J1168" s="661"/>
    </row>
    <row r="1169" spans="1:10" ht="18.75" customHeight="1">
      <c r="A1169" s="661"/>
      <c r="B1169" s="663" t="s">
        <v>1286</v>
      </c>
      <c r="C1169" s="657" t="s">
        <v>8398</v>
      </c>
      <c r="D1169" s="657" t="s">
        <v>8998</v>
      </c>
      <c r="E1169" s="663" t="s">
        <v>8999</v>
      </c>
      <c r="F1169" s="658">
        <v>0.1</v>
      </c>
      <c r="G1169" s="658">
        <v>0</v>
      </c>
      <c r="H1169" s="664"/>
      <c r="I1169" s="664">
        <f t="shared" si="16"/>
        <v>0</v>
      </c>
      <c r="J1169" s="661"/>
    </row>
    <row r="1170" spans="1:10" ht="18.75" customHeight="1">
      <c r="A1170" s="661"/>
      <c r="B1170" s="663" t="s">
        <v>1286</v>
      </c>
      <c r="C1170" s="657" t="s">
        <v>8398</v>
      </c>
      <c r="D1170" s="657" t="s">
        <v>9000</v>
      </c>
      <c r="E1170" s="663" t="s">
        <v>9001</v>
      </c>
      <c r="F1170" s="658">
        <v>0.1</v>
      </c>
      <c r="G1170" s="658">
        <v>0</v>
      </c>
      <c r="H1170" s="664"/>
      <c r="I1170" s="664">
        <f t="shared" si="16"/>
        <v>0</v>
      </c>
      <c r="J1170" s="661"/>
    </row>
    <row r="1171" spans="1:10" ht="18.75" customHeight="1">
      <c r="A1171" s="661"/>
      <c r="B1171" s="663" t="s">
        <v>1286</v>
      </c>
      <c r="C1171" s="657" t="s">
        <v>8398</v>
      </c>
      <c r="D1171" s="657" t="s">
        <v>9002</v>
      </c>
      <c r="E1171" s="663" t="s">
        <v>9003</v>
      </c>
      <c r="F1171" s="658">
        <v>0.1</v>
      </c>
      <c r="G1171" s="658">
        <v>0</v>
      </c>
      <c r="H1171" s="664"/>
      <c r="I1171" s="664">
        <f t="shared" si="16"/>
        <v>0</v>
      </c>
      <c r="J1171" s="661"/>
    </row>
    <row r="1172" spans="1:10" ht="18.75" customHeight="1">
      <c r="A1172" s="661"/>
      <c r="B1172" s="663" t="s">
        <v>1286</v>
      </c>
      <c r="C1172" s="657" t="s">
        <v>8398</v>
      </c>
      <c r="D1172" s="657" t="s">
        <v>9004</v>
      </c>
      <c r="E1172" s="663" t="s">
        <v>9005</v>
      </c>
      <c r="F1172" s="658">
        <v>0.1</v>
      </c>
      <c r="G1172" s="658">
        <v>0</v>
      </c>
      <c r="H1172" s="664"/>
      <c r="I1172" s="664">
        <f t="shared" si="16"/>
        <v>0</v>
      </c>
      <c r="J1172" s="661"/>
    </row>
    <row r="1173" spans="1:10" ht="18.75" customHeight="1">
      <c r="A1173" s="661"/>
      <c r="B1173" s="663" t="s">
        <v>1286</v>
      </c>
      <c r="C1173" s="657" t="s">
        <v>8398</v>
      </c>
      <c r="D1173" s="657" t="s">
        <v>9006</v>
      </c>
      <c r="E1173" s="663" t="s">
        <v>9007</v>
      </c>
      <c r="F1173" s="658">
        <v>0.1</v>
      </c>
      <c r="G1173" s="658">
        <v>0</v>
      </c>
      <c r="H1173" s="664"/>
      <c r="I1173" s="664">
        <f t="shared" si="16"/>
        <v>0</v>
      </c>
      <c r="J1173" s="661"/>
    </row>
    <row r="1174" spans="1:10" ht="18.75" customHeight="1">
      <c r="A1174" s="661"/>
      <c r="B1174" s="663" t="s">
        <v>1286</v>
      </c>
      <c r="C1174" s="657" t="s">
        <v>8398</v>
      </c>
      <c r="D1174" s="657" t="s">
        <v>9008</v>
      </c>
      <c r="E1174" s="663" t="s">
        <v>9009</v>
      </c>
      <c r="F1174" s="658">
        <v>0.1</v>
      </c>
      <c r="G1174" s="658">
        <v>0</v>
      </c>
      <c r="H1174" s="664"/>
      <c r="I1174" s="664">
        <f t="shared" si="16"/>
        <v>0</v>
      </c>
      <c r="J1174" s="661"/>
    </row>
    <row r="1175" spans="1:10" ht="18.75" customHeight="1">
      <c r="A1175" s="661"/>
      <c r="B1175" s="663" t="s">
        <v>1286</v>
      </c>
      <c r="C1175" s="657" t="s">
        <v>8398</v>
      </c>
      <c r="D1175" s="657" t="s">
        <v>9010</v>
      </c>
      <c r="E1175" s="663" t="s">
        <v>9011</v>
      </c>
      <c r="F1175" s="658">
        <v>0.1</v>
      </c>
      <c r="G1175" s="658">
        <v>0</v>
      </c>
      <c r="H1175" s="664"/>
      <c r="I1175" s="664">
        <f t="shared" si="16"/>
        <v>0</v>
      </c>
      <c r="J1175" s="661"/>
    </row>
    <row r="1176" spans="1:10" ht="18.75" customHeight="1">
      <c r="A1176" s="661"/>
      <c r="B1176" s="663" t="s">
        <v>1286</v>
      </c>
      <c r="C1176" s="657" t="s">
        <v>8398</v>
      </c>
      <c r="D1176" s="657" t="s">
        <v>9012</v>
      </c>
      <c r="E1176" s="663" t="s">
        <v>9013</v>
      </c>
      <c r="F1176" s="658">
        <v>0.1</v>
      </c>
      <c r="G1176" s="658">
        <v>0</v>
      </c>
      <c r="H1176" s="664"/>
      <c r="I1176" s="664">
        <f t="shared" si="16"/>
        <v>0</v>
      </c>
      <c r="J1176" s="661"/>
    </row>
    <row r="1177" spans="1:10" ht="18.75" customHeight="1">
      <c r="A1177" s="661"/>
      <c r="B1177" s="663" t="s">
        <v>1286</v>
      </c>
      <c r="C1177" s="657" t="s">
        <v>8398</v>
      </c>
      <c r="D1177" s="657" t="s">
        <v>9014</v>
      </c>
      <c r="E1177" s="663" t="s">
        <v>9015</v>
      </c>
      <c r="F1177" s="658">
        <v>0.1</v>
      </c>
      <c r="G1177" s="658">
        <v>0</v>
      </c>
      <c r="H1177" s="664"/>
      <c r="I1177" s="664">
        <f t="shared" si="16"/>
        <v>0</v>
      </c>
      <c r="J1177" s="661"/>
    </row>
    <row r="1178" spans="1:10" ht="18.75" customHeight="1">
      <c r="A1178" s="661"/>
      <c r="B1178" s="663" t="s">
        <v>1286</v>
      </c>
      <c r="C1178" s="657" t="s">
        <v>8398</v>
      </c>
      <c r="D1178" s="657" t="s">
        <v>9016</v>
      </c>
      <c r="E1178" s="663" t="s">
        <v>9017</v>
      </c>
      <c r="F1178" s="658">
        <v>0.1</v>
      </c>
      <c r="G1178" s="658">
        <v>0</v>
      </c>
      <c r="H1178" s="664"/>
      <c r="I1178" s="664">
        <f t="shared" si="16"/>
        <v>0</v>
      </c>
      <c r="J1178" s="661"/>
    </row>
    <row r="1179" spans="1:10" ht="18.75" customHeight="1">
      <c r="A1179" s="661"/>
      <c r="B1179" s="663" t="s">
        <v>1286</v>
      </c>
      <c r="C1179" s="657" t="s">
        <v>8398</v>
      </c>
      <c r="D1179" s="657" t="s">
        <v>9018</v>
      </c>
      <c r="E1179" s="663" t="s">
        <v>9019</v>
      </c>
      <c r="F1179" s="658">
        <v>0.1</v>
      </c>
      <c r="G1179" s="658">
        <v>0</v>
      </c>
      <c r="H1179" s="664"/>
      <c r="I1179" s="664">
        <f t="shared" si="16"/>
        <v>0</v>
      </c>
      <c r="J1179" s="661"/>
    </row>
    <row r="1180" spans="1:10" ht="18.75" customHeight="1">
      <c r="A1180" s="661"/>
      <c r="B1180" s="663" t="s">
        <v>1286</v>
      </c>
      <c r="C1180" s="657" t="s">
        <v>8398</v>
      </c>
      <c r="D1180" s="657" t="s">
        <v>9020</v>
      </c>
      <c r="E1180" s="663" t="s">
        <v>9021</v>
      </c>
      <c r="F1180" s="658">
        <v>0.1</v>
      </c>
      <c r="G1180" s="658">
        <v>0</v>
      </c>
      <c r="H1180" s="664"/>
      <c r="I1180" s="664">
        <f t="shared" si="16"/>
        <v>0</v>
      </c>
      <c r="J1180" s="661"/>
    </row>
    <row r="1181" spans="1:10" ht="18.75" customHeight="1">
      <c r="A1181" s="661"/>
      <c r="B1181" s="663" t="s">
        <v>1286</v>
      </c>
      <c r="C1181" s="657" t="s">
        <v>8398</v>
      </c>
      <c r="D1181" s="657" t="s">
        <v>9022</v>
      </c>
      <c r="E1181" s="663" t="s">
        <v>9023</v>
      </c>
      <c r="F1181" s="658">
        <v>0.1</v>
      </c>
      <c r="G1181" s="658">
        <v>0</v>
      </c>
      <c r="H1181" s="664"/>
      <c r="I1181" s="664">
        <f t="shared" si="16"/>
        <v>0</v>
      </c>
      <c r="J1181" s="661"/>
    </row>
    <row r="1182" spans="1:10" ht="18.75" customHeight="1">
      <c r="A1182" s="661"/>
      <c r="B1182" s="663" t="s">
        <v>1286</v>
      </c>
      <c r="C1182" s="657" t="s">
        <v>8398</v>
      </c>
      <c r="D1182" s="657" t="s">
        <v>9024</v>
      </c>
      <c r="E1182" s="663" t="s">
        <v>9025</v>
      </c>
      <c r="F1182" s="658">
        <v>0.1</v>
      </c>
      <c r="G1182" s="658">
        <v>0</v>
      </c>
      <c r="H1182" s="664"/>
      <c r="I1182" s="664">
        <f t="shared" si="16"/>
        <v>0</v>
      </c>
      <c r="J1182" s="661"/>
    </row>
    <row r="1183" spans="1:10" ht="18.75" customHeight="1">
      <c r="A1183" s="661"/>
      <c r="B1183" s="663" t="s">
        <v>1286</v>
      </c>
      <c r="C1183" s="657" t="s">
        <v>8398</v>
      </c>
      <c r="D1183" s="657" t="s">
        <v>9026</v>
      </c>
      <c r="E1183" s="663" t="s">
        <v>9027</v>
      </c>
      <c r="F1183" s="658">
        <v>0.1</v>
      </c>
      <c r="G1183" s="658">
        <v>0</v>
      </c>
      <c r="H1183" s="664"/>
      <c r="I1183" s="664">
        <f t="shared" si="16"/>
        <v>0</v>
      </c>
      <c r="J1183" s="661"/>
    </row>
    <row r="1184" spans="1:10" ht="18.75" customHeight="1">
      <c r="A1184" s="661"/>
      <c r="B1184" s="663" t="s">
        <v>1286</v>
      </c>
      <c r="C1184" s="657" t="s">
        <v>8398</v>
      </c>
      <c r="D1184" s="657" t="s">
        <v>9028</v>
      </c>
      <c r="E1184" s="663" t="s">
        <v>9029</v>
      </c>
      <c r="F1184" s="658">
        <v>0.1</v>
      </c>
      <c r="G1184" s="658">
        <v>0</v>
      </c>
      <c r="H1184" s="664"/>
      <c r="I1184" s="664">
        <f t="shared" si="16"/>
        <v>0</v>
      </c>
      <c r="J1184" s="661"/>
    </row>
    <row r="1185" spans="1:10" ht="18.75" customHeight="1">
      <c r="A1185" s="661"/>
      <c r="B1185" s="663" t="s">
        <v>1286</v>
      </c>
      <c r="C1185" s="657" t="s">
        <v>8398</v>
      </c>
      <c r="D1185" s="657" t="s">
        <v>9030</v>
      </c>
      <c r="E1185" s="663" t="s">
        <v>9031</v>
      </c>
      <c r="F1185" s="658">
        <v>0.1</v>
      </c>
      <c r="G1185" s="658">
        <v>0</v>
      </c>
      <c r="H1185" s="664"/>
      <c r="I1185" s="664">
        <f t="shared" si="16"/>
        <v>0</v>
      </c>
      <c r="J1185" s="661"/>
    </row>
    <row r="1186" spans="1:10" ht="18.75" customHeight="1">
      <c r="A1186" s="661"/>
      <c r="B1186" s="663" t="s">
        <v>1286</v>
      </c>
      <c r="C1186" s="657" t="s">
        <v>8398</v>
      </c>
      <c r="D1186" s="657" t="s">
        <v>9032</v>
      </c>
      <c r="E1186" s="663" t="s">
        <v>9033</v>
      </c>
      <c r="F1186" s="658">
        <v>0.1</v>
      </c>
      <c r="G1186" s="658">
        <v>0</v>
      </c>
      <c r="H1186" s="664"/>
      <c r="I1186" s="664">
        <f t="shared" si="16"/>
        <v>0</v>
      </c>
      <c r="J1186" s="661"/>
    </row>
    <row r="1187" spans="1:10" ht="18.75" customHeight="1">
      <c r="A1187" s="661"/>
      <c r="B1187" s="663" t="s">
        <v>1286</v>
      </c>
      <c r="C1187" s="657" t="s">
        <v>8398</v>
      </c>
      <c r="D1187" s="657" t="s">
        <v>9034</v>
      </c>
      <c r="E1187" s="663" t="s">
        <v>9035</v>
      </c>
      <c r="F1187" s="658">
        <v>0.1</v>
      </c>
      <c r="G1187" s="658">
        <v>0</v>
      </c>
      <c r="H1187" s="664"/>
      <c r="I1187" s="664">
        <f t="shared" si="16"/>
        <v>0</v>
      </c>
      <c r="J1187" s="661"/>
    </row>
    <row r="1188" spans="1:10" ht="18.75" customHeight="1">
      <c r="A1188" s="661"/>
      <c r="B1188" s="663" t="s">
        <v>1286</v>
      </c>
      <c r="C1188" s="657" t="s">
        <v>8398</v>
      </c>
      <c r="D1188" s="657" t="s">
        <v>9036</v>
      </c>
      <c r="E1188" s="663" t="s">
        <v>9037</v>
      </c>
      <c r="F1188" s="658">
        <v>0.1</v>
      </c>
      <c r="G1188" s="658">
        <v>0</v>
      </c>
      <c r="H1188" s="664"/>
      <c r="I1188" s="664">
        <f t="shared" si="16"/>
        <v>0</v>
      </c>
      <c r="J1188" s="661"/>
    </row>
    <row r="1189" spans="1:10" ht="18.75" customHeight="1">
      <c r="A1189" s="661"/>
      <c r="B1189" s="663" t="s">
        <v>1286</v>
      </c>
      <c r="C1189" s="657" t="s">
        <v>8398</v>
      </c>
      <c r="D1189" s="657" t="s">
        <v>1332</v>
      </c>
      <c r="E1189" s="663" t="s">
        <v>1333</v>
      </c>
      <c r="F1189" s="658">
        <v>0.1</v>
      </c>
      <c r="G1189" s="658">
        <v>0</v>
      </c>
      <c r="H1189" s="664"/>
      <c r="I1189" s="664">
        <f t="shared" si="16"/>
        <v>0</v>
      </c>
      <c r="J1189" s="661"/>
    </row>
    <row r="1190" spans="1:10" ht="18.75" customHeight="1">
      <c r="A1190" s="661"/>
      <c r="B1190" s="663" t="s">
        <v>1286</v>
      </c>
      <c r="C1190" s="657" t="s">
        <v>8398</v>
      </c>
      <c r="D1190" s="657" t="s">
        <v>9038</v>
      </c>
      <c r="E1190" s="663" t="s">
        <v>9039</v>
      </c>
      <c r="F1190" s="658">
        <v>0.1</v>
      </c>
      <c r="G1190" s="658">
        <v>0</v>
      </c>
      <c r="H1190" s="664"/>
      <c r="I1190" s="664">
        <f t="shared" si="16"/>
        <v>0</v>
      </c>
      <c r="J1190" s="661"/>
    </row>
    <row r="1191" spans="1:10" ht="18.75" customHeight="1">
      <c r="A1191" s="661"/>
      <c r="B1191" s="663" t="s">
        <v>1286</v>
      </c>
      <c r="C1191" s="657" t="s">
        <v>8398</v>
      </c>
      <c r="D1191" s="657" t="s">
        <v>9040</v>
      </c>
      <c r="E1191" s="663" t="s">
        <v>9041</v>
      </c>
      <c r="F1191" s="658">
        <v>0.1</v>
      </c>
      <c r="G1191" s="658">
        <v>0</v>
      </c>
      <c r="H1191" s="664"/>
      <c r="I1191" s="664">
        <f t="shared" si="16"/>
        <v>0</v>
      </c>
      <c r="J1191" s="661"/>
    </row>
    <row r="1192" spans="1:10" ht="18.75" customHeight="1">
      <c r="A1192" s="661"/>
      <c r="B1192" s="663" t="s">
        <v>1286</v>
      </c>
      <c r="C1192" s="657" t="s">
        <v>8398</v>
      </c>
      <c r="D1192" s="657" t="s">
        <v>9042</v>
      </c>
      <c r="E1192" s="663" t="s">
        <v>9043</v>
      </c>
      <c r="F1192" s="658">
        <v>0.1</v>
      </c>
      <c r="G1192" s="658">
        <v>0</v>
      </c>
      <c r="H1192" s="664"/>
      <c r="I1192" s="664">
        <f t="shared" si="16"/>
        <v>0</v>
      </c>
      <c r="J1192" s="661"/>
    </row>
    <row r="1193" spans="1:10" ht="18.75" customHeight="1">
      <c r="A1193" s="661"/>
      <c r="B1193" s="663" t="s">
        <v>1286</v>
      </c>
      <c r="C1193" s="657" t="s">
        <v>8398</v>
      </c>
      <c r="D1193" s="657" t="s">
        <v>9044</v>
      </c>
      <c r="E1193" s="663" t="s">
        <v>9045</v>
      </c>
      <c r="F1193" s="658">
        <v>0.1</v>
      </c>
      <c r="G1193" s="658">
        <v>0</v>
      </c>
      <c r="H1193" s="664"/>
      <c r="I1193" s="664">
        <f t="shared" si="16"/>
        <v>0</v>
      </c>
      <c r="J1193" s="661"/>
    </row>
    <row r="1194" spans="1:10" ht="18.75" customHeight="1">
      <c r="A1194" s="661"/>
      <c r="B1194" s="663" t="s">
        <v>1286</v>
      </c>
      <c r="C1194" s="657" t="s">
        <v>8398</v>
      </c>
      <c r="D1194" s="657" t="s">
        <v>1334</v>
      </c>
      <c r="E1194" s="663" t="s">
        <v>1335</v>
      </c>
      <c r="F1194" s="658">
        <v>0.1</v>
      </c>
      <c r="G1194" s="658">
        <v>0</v>
      </c>
      <c r="H1194" s="664"/>
      <c r="I1194" s="664">
        <f t="shared" si="16"/>
        <v>0</v>
      </c>
      <c r="J1194" s="661"/>
    </row>
    <row r="1195" spans="1:10" ht="18.75" customHeight="1">
      <c r="A1195" s="661"/>
      <c r="B1195" s="663" t="s">
        <v>1286</v>
      </c>
      <c r="C1195" s="657" t="s">
        <v>8398</v>
      </c>
      <c r="D1195" s="657" t="s">
        <v>9046</v>
      </c>
      <c r="E1195" s="663" t="s">
        <v>9047</v>
      </c>
      <c r="F1195" s="658">
        <v>0.1</v>
      </c>
      <c r="G1195" s="658">
        <v>0</v>
      </c>
      <c r="H1195" s="664"/>
      <c r="I1195" s="664">
        <f t="shared" si="16"/>
        <v>0</v>
      </c>
      <c r="J1195" s="661"/>
    </row>
    <row r="1196" spans="1:10" ht="18.75" customHeight="1">
      <c r="A1196" s="661"/>
      <c r="B1196" s="663" t="s">
        <v>1286</v>
      </c>
      <c r="C1196" s="657" t="s">
        <v>8398</v>
      </c>
      <c r="D1196" s="657" t="s">
        <v>9048</v>
      </c>
      <c r="E1196" s="663" t="s">
        <v>9049</v>
      </c>
      <c r="F1196" s="658">
        <v>0.1</v>
      </c>
      <c r="G1196" s="658">
        <v>0</v>
      </c>
      <c r="H1196" s="664"/>
      <c r="I1196" s="664">
        <f t="shared" si="16"/>
        <v>0</v>
      </c>
      <c r="J1196" s="661"/>
    </row>
    <row r="1197" spans="1:10" ht="18.75" customHeight="1">
      <c r="A1197" s="661"/>
      <c r="B1197" s="663" t="s">
        <v>1286</v>
      </c>
      <c r="C1197" s="657" t="s">
        <v>8398</v>
      </c>
      <c r="D1197" s="657" t="s">
        <v>9050</v>
      </c>
      <c r="E1197" s="663" t="s">
        <v>9051</v>
      </c>
      <c r="F1197" s="658">
        <v>0.1</v>
      </c>
      <c r="G1197" s="658">
        <v>0</v>
      </c>
      <c r="H1197" s="664"/>
      <c r="I1197" s="664">
        <f t="shared" si="16"/>
        <v>0</v>
      </c>
      <c r="J1197" s="661"/>
    </row>
    <row r="1198" spans="1:10" ht="18.75" customHeight="1">
      <c r="A1198" s="661"/>
      <c r="B1198" s="663" t="s">
        <v>1286</v>
      </c>
      <c r="C1198" s="657" t="s">
        <v>8398</v>
      </c>
      <c r="D1198" s="657" t="s">
        <v>9052</v>
      </c>
      <c r="E1198" s="663" t="s">
        <v>9053</v>
      </c>
      <c r="F1198" s="658">
        <v>0.1</v>
      </c>
      <c r="G1198" s="658">
        <v>0</v>
      </c>
      <c r="H1198" s="664"/>
      <c r="I1198" s="664">
        <f t="shared" si="16"/>
        <v>0</v>
      </c>
      <c r="J1198" s="661"/>
    </row>
    <row r="1199" spans="1:10" ht="18.75" customHeight="1">
      <c r="A1199" s="661"/>
      <c r="B1199" s="663" t="s">
        <v>1286</v>
      </c>
      <c r="C1199" s="657" t="s">
        <v>8398</v>
      </c>
      <c r="D1199" s="657" t="s">
        <v>9054</v>
      </c>
      <c r="E1199" s="663" t="s">
        <v>9055</v>
      </c>
      <c r="F1199" s="658">
        <v>0.1</v>
      </c>
      <c r="G1199" s="658">
        <v>0</v>
      </c>
      <c r="H1199" s="664"/>
      <c r="I1199" s="664">
        <f t="shared" si="16"/>
        <v>0</v>
      </c>
      <c r="J1199" s="661"/>
    </row>
    <row r="1200" spans="1:10" ht="18.75" customHeight="1">
      <c r="A1200" s="661"/>
      <c r="B1200" s="663" t="s">
        <v>1286</v>
      </c>
      <c r="C1200" s="657" t="s">
        <v>8398</v>
      </c>
      <c r="D1200" s="657" t="s">
        <v>9056</v>
      </c>
      <c r="E1200" s="663" t="s">
        <v>9057</v>
      </c>
      <c r="F1200" s="658">
        <v>0.1</v>
      </c>
      <c r="G1200" s="658">
        <v>0</v>
      </c>
      <c r="H1200" s="664"/>
      <c r="I1200" s="664">
        <f t="shared" si="16"/>
        <v>0</v>
      </c>
      <c r="J1200" s="661"/>
    </row>
    <row r="1201" spans="1:10" ht="18.75" customHeight="1">
      <c r="A1201" s="661"/>
      <c r="B1201" s="663" t="s">
        <v>1286</v>
      </c>
      <c r="C1201" s="657" t="s">
        <v>8398</v>
      </c>
      <c r="D1201" s="657" t="s">
        <v>9058</v>
      </c>
      <c r="E1201" s="663" t="s">
        <v>9059</v>
      </c>
      <c r="F1201" s="658">
        <v>0.1</v>
      </c>
      <c r="G1201" s="658">
        <v>0</v>
      </c>
      <c r="H1201" s="664"/>
      <c r="I1201" s="664">
        <f t="shared" si="16"/>
        <v>0</v>
      </c>
      <c r="J1201" s="661"/>
    </row>
    <row r="1202" spans="1:10" ht="18.75" customHeight="1">
      <c r="A1202" s="661"/>
      <c r="B1202" s="663" t="s">
        <v>1286</v>
      </c>
      <c r="C1202" s="657" t="s">
        <v>8398</v>
      </c>
      <c r="D1202" s="657" t="s">
        <v>9060</v>
      </c>
      <c r="E1202" s="663" t="s">
        <v>9061</v>
      </c>
      <c r="F1202" s="658">
        <v>0.1</v>
      </c>
      <c r="G1202" s="658">
        <v>0</v>
      </c>
      <c r="H1202" s="664"/>
      <c r="I1202" s="664">
        <f t="shared" si="16"/>
        <v>0</v>
      </c>
      <c r="J1202" s="661"/>
    </row>
    <row r="1203" spans="1:10" ht="18.75" customHeight="1">
      <c r="A1203" s="661"/>
      <c r="B1203" s="663" t="s">
        <v>1286</v>
      </c>
      <c r="C1203" s="657" t="s">
        <v>8398</v>
      </c>
      <c r="D1203" s="657" t="s">
        <v>9062</v>
      </c>
      <c r="E1203" s="663" t="s">
        <v>9063</v>
      </c>
      <c r="F1203" s="658">
        <v>0.1</v>
      </c>
      <c r="G1203" s="658">
        <v>0</v>
      </c>
      <c r="H1203" s="664"/>
      <c r="I1203" s="664">
        <f t="shared" si="16"/>
        <v>0</v>
      </c>
      <c r="J1203" s="661"/>
    </row>
    <row r="1204" spans="1:10" ht="18.75" customHeight="1">
      <c r="A1204" s="661"/>
      <c r="B1204" s="663" t="s">
        <v>1286</v>
      </c>
      <c r="C1204" s="657" t="s">
        <v>8398</v>
      </c>
      <c r="D1204" s="657" t="s">
        <v>9064</v>
      </c>
      <c r="E1204" s="663" t="s">
        <v>9065</v>
      </c>
      <c r="F1204" s="658">
        <v>0.1</v>
      </c>
      <c r="G1204" s="658">
        <v>0</v>
      </c>
      <c r="H1204" s="664"/>
      <c r="I1204" s="664">
        <f t="shared" si="16"/>
        <v>0</v>
      </c>
      <c r="J1204" s="661"/>
    </row>
    <row r="1205" spans="1:10" ht="18.75" customHeight="1">
      <c r="A1205" s="661"/>
      <c r="B1205" s="663" t="s">
        <v>1286</v>
      </c>
      <c r="C1205" s="657" t="s">
        <v>8398</v>
      </c>
      <c r="D1205" s="657" t="s">
        <v>9066</v>
      </c>
      <c r="E1205" s="663" t="s">
        <v>9067</v>
      </c>
      <c r="F1205" s="658">
        <v>0.1</v>
      </c>
      <c r="G1205" s="658">
        <v>0</v>
      </c>
      <c r="H1205" s="664"/>
      <c r="I1205" s="664">
        <f t="shared" si="16"/>
        <v>0</v>
      </c>
      <c r="J1205" s="661"/>
    </row>
    <row r="1206" spans="1:10" ht="18.75" customHeight="1">
      <c r="A1206" s="661"/>
      <c r="B1206" s="663" t="s">
        <v>1286</v>
      </c>
      <c r="C1206" s="657" t="s">
        <v>8398</v>
      </c>
      <c r="D1206" s="657" t="s">
        <v>9068</v>
      </c>
      <c r="E1206" s="663" t="s">
        <v>9069</v>
      </c>
      <c r="F1206" s="658">
        <v>0.1</v>
      </c>
      <c r="G1206" s="658">
        <v>0</v>
      </c>
      <c r="H1206" s="664"/>
      <c r="I1206" s="664">
        <f t="shared" si="16"/>
        <v>0</v>
      </c>
      <c r="J1206" s="661"/>
    </row>
    <row r="1207" spans="1:10" ht="18.75" customHeight="1">
      <c r="A1207" s="661"/>
      <c r="B1207" s="663" t="s">
        <v>1286</v>
      </c>
      <c r="C1207" s="657" t="s">
        <v>8398</v>
      </c>
      <c r="D1207" s="657" t="s">
        <v>9070</v>
      </c>
      <c r="E1207" s="663" t="s">
        <v>9071</v>
      </c>
      <c r="F1207" s="658">
        <v>0.1</v>
      </c>
      <c r="G1207" s="658">
        <v>0</v>
      </c>
      <c r="H1207" s="664"/>
      <c r="I1207" s="664">
        <f t="shared" si="16"/>
        <v>0</v>
      </c>
      <c r="J1207" s="661"/>
    </row>
    <row r="1208" spans="1:10" ht="18.75" customHeight="1">
      <c r="A1208" s="661"/>
      <c r="B1208" s="663" t="s">
        <v>1286</v>
      </c>
      <c r="C1208" s="657" t="s">
        <v>8398</v>
      </c>
      <c r="D1208" s="657" t="s">
        <v>9072</v>
      </c>
      <c r="E1208" s="663" t="s">
        <v>9073</v>
      </c>
      <c r="F1208" s="658">
        <v>0.1</v>
      </c>
      <c r="G1208" s="658">
        <v>0</v>
      </c>
      <c r="H1208" s="664"/>
      <c r="I1208" s="664">
        <f t="shared" si="16"/>
        <v>0</v>
      </c>
      <c r="J1208" s="661"/>
    </row>
    <row r="1209" spans="1:10" ht="18.75" customHeight="1">
      <c r="A1209" s="661"/>
      <c r="B1209" s="663" t="s">
        <v>1286</v>
      </c>
      <c r="C1209" s="657" t="s">
        <v>8398</v>
      </c>
      <c r="D1209" s="657" t="s">
        <v>9074</v>
      </c>
      <c r="E1209" s="663" t="s">
        <v>9075</v>
      </c>
      <c r="F1209" s="658">
        <v>0.1</v>
      </c>
      <c r="G1209" s="658">
        <v>0</v>
      </c>
      <c r="H1209" s="664"/>
      <c r="I1209" s="664">
        <f t="shared" si="16"/>
        <v>0</v>
      </c>
      <c r="J1209" s="661"/>
    </row>
    <row r="1210" spans="1:10" ht="18.75" customHeight="1">
      <c r="A1210" s="661"/>
      <c r="B1210" s="663" t="s">
        <v>1286</v>
      </c>
      <c r="C1210" s="657" t="s">
        <v>8398</v>
      </c>
      <c r="D1210" s="657" t="s">
        <v>9076</v>
      </c>
      <c r="E1210" s="663" t="s">
        <v>9077</v>
      </c>
      <c r="F1210" s="658">
        <v>0.1</v>
      </c>
      <c r="G1210" s="658">
        <v>0</v>
      </c>
      <c r="H1210" s="664"/>
      <c r="I1210" s="664">
        <f t="shared" si="16"/>
        <v>0</v>
      </c>
      <c r="J1210" s="661"/>
    </row>
    <row r="1211" spans="1:10" ht="18.75" customHeight="1">
      <c r="A1211" s="661"/>
      <c r="B1211" s="663" t="s">
        <v>1286</v>
      </c>
      <c r="C1211" s="657" t="s">
        <v>8398</v>
      </c>
      <c r="D1211" s="657" t="s">
        <v>9078</v>
      </c>
      <c r="E1211" s="663" t="s">
        <v>9079</v>
      </c>
      <c r="F1211" s="658">
        <v>0.1</v>
      </c>
      <c r="G1211" s="658">
        <v>0</v>
      </c>
      <c r="H1211" s="664"/>
      <c r="I1211" s="664">
        <f t="shared" si="16"/>
        <v>0</v>
      </c>
      <c r="J1211" s="661"/>
    </row>
    <row r="1212" spans="1:10" ht="18.75" customHeight="1">
      <c r="A1212" s="661"/>
      <c r="B1212" s="663" t="s">
        <v>1286</v>
      </c>
      <c r="C1212" s="657" t="s">
        <v>8398</v>
      </c>
      <c r="D1212" s="657" t="s">
        <v>9080</v>
      </c>
      <c r="E1212" s="663" t="s">
        <v>9081</v>
      </c>
      <c r="F1212" s="658">
        <v>0.1</v>
      </c>
      <c r="G1212" s="658">
        <v>0</v>
      </c>
      <c r="H1212" s="664"/>
      <c r="I1212" s="664">
        <f t="shared" si="16"/>
        <v>0</v>
      </c>
      <c r="J1212" s="661"/>
    </row>
    <row r="1213" spans="1:10" ht="18.75" customHeight="1">
      <c r="A1213" s="661"/>
      <c r="B1213" s="663" t="s">
        <v>1286</v>
      </c>
      <c r="C1213" s="657" t="s">
        <v>8398</v>
      </c>
      <c r="D1213" s="657" t="s">
        <v>9082</v>
      </c>
      <c r="E1213" s="663" t="s">
        <v>9083</v>
      </c>
      <c r="F1213" s="658">
        <v>0.1</v>
      </c>
      <c r="G1213" s="658">
        <v>0</v>
      </c>
      <c r="H1213" s="664"/>
      <c r="I1213" s="664">
        <f t="shared" si="16"/>
        <v>0</v>
      </c>
      <c r="J1213" s="661"/>
    </row>
    <row r="1214" spans="1:10" ht="18.75" customHeight="1">
      <c r="A1214" s="661"/>
      <c r="B1214" s="663" t="s">
        <v>1286</v>
      </c>
      <c r="C1214" s="657" t="s">
        <v>8398</v>
      </c>
      <c r="D1214" s="657" t="s">
        <v>9084</v>
      </c>
      <c r="E1214" s="663" t="s">
        <v>9085</v>
      </c>
      <c r="F1214" s="658">
        <v>0.1</v>
      </c>
      <c r="G1214" s="658">
        <v>0</v>
      </c>
      <c r="H1214" s="664"/>
      <c r="I1214" s="664">
        <f t="shared" si="16"/>
        <v>0</v>
      </c>
      <c r="J1214" s="661"/>
    </row>
    <row r="1215" spans="1:10" ht="18.75" customHeight="1">
      <c r="A1215" s="661"/>
      <c r="B1215" s="663" t="s">
        <v>1286</v>
      </c>
      <c r="C1215" s="657" t="s">
        <v>8398</v>
      </c>
      <c r="D1215" s="657" t="s">
        <v>9086</v>
      </c>
      <c r="E1215" s="663" t="s">
        <v>9087</v>
      </c>
      <c r="F1215" s="658">
        <v>0.1</v>
      </c>
      <c r="G1215" s="658">
        <v>0</v>
      </c>
      <c r="H1215" s="664"/>
      <c r="I1215" s="664">
        <f t="shared" si="16"/>
        <v>0</v>
      </c>
      <c r="J1215" s="661"/>
    </row>
    <row r="1216" spans="1:10" ht="18.75" customHeight="1">
      <c r="A1216" s="661"/>
      <c r="B1216" s="663" t="s">
        <v>1286</v>
      </c>
      <c r="C1216" s="657" t="s">
        <v>8398</v>
      </c>
      <c r="D1216" s="657" t="s">
        <v>9088</v>
      </c>
      <c r="E1216" s="663" t="s">
        <v>9089</v>
      </c>
      <c r="F1216" s="658">
        <v>0.1</v>
      </c>
      <c r="G1216" s="658">
        <v>0</v>
      </c>
      <c r="H1216" s="664"/>
      <c r="I1216" s="664">
        <f t="shared" si="16"/>
        <v>0</v>
      </c>
      <c r="J1216" s="661"/>
    </row>
    <row r="1217" spans="1:10" ht="18.75" customHeight="1">
      <c r="A1217" s="661"/>
      <c r="B1217" s="663" t="s">
        <v>1286</v>
      </c>
      <c r="C1217" s="657" t="s">
        <v>8398</v>
      </c>
      <c r="D1217" s="657" t="s">
        <v>9090</v>
      </c>
      <c r="E1217" s="663" t="s">
        <v>9091</v>
      </c>
      <c r="F1217" s="658">
        <v>0.1</v>
      </c>
      <c r="G1217" s="658">
        <v>0</v>
      </c>
      <c r="H1217" s="664"/>
      <c r="I1217" s="664">
        <f t="shared" si="16"/>
        <v>0</v>
      </c>
      <c r="J1217" s="661"/>
    </row>
    <row r="1218" spans="1:10" ht="18.75" customHeight="1">
      <c r="A1218" s="661"/>
      <c r="B1218" s="663" t="s">
        <v>1286</v>
      </c>
      <c r="C1218" s="657" t="s">
        <v>8398</v>
      </c>
      <c r="D1218" s="657" t="s">
        <v>9092</v>
      </c>
      <c r="E1218" s="663" t="s">
        <v>9093</v>
      </c>
      <c r="F1218" s="658">
        <v>0.1</v>
      </c>
      <c r="G1218" s="658">
        <v>0</v>
      </c>
      <c r="H1218" s="664"/>
      <c r="I1218" s="664">
        <f t="shared" si="16"/>
        <v>0</v>
      </c>
      <c r="J1218" s="661"/>
    </row>
    <row r="1219" spans="1:10" ht="18.75" customHeight="1">
      <c r="A1219" s="661"/>
      <c r="B1219" s="663" t="s">
        <v>1286</v>
      </c>
      <c r="C1219" s="657" t="s">
        <v>8398</v>
      </c>
      <c r="D1219" s="657" t="s">
        <v>9094</v>
      </c>
      <c r="E1219" s="663" t="s">
        <v>9095</v>
      </c>
      <c r="F1219" s="658">
        <v>0.1</v>
      </c>
      <c r="G1219" s="658">
        <v>0</v>
      </c>
      <c r="H1219" s="664"/>
      <c r="I1219" s="664">
        <f t="shared" si="16"/>
        <v>0</v>
      </c>
      <c r="J1219" s="661"/>
    </row>
    <row r="1220" spans="1:10" ht="18.75" customHeight="1">
      <c r="A1220" s="661"/>
      <c r="B1220" s="663" t="s">
        <v>1286</v>
      </c>
      <c r="C1220" s="657" t="s">
        <v>8398</v>
      </c>
      <c r="D1220" s="657" t="s">
        <v>9096</v>
      </c>
      <c r="E1220" s="663" t="s">
        <v>9097</v>
      </c>
      <c r="F1220" s="658">
        <v>0.1</v>
      </c>
      <c r="G1220" s="658">
        <v>0</v>
      </c>
      <c r="H1220" s="664"/>
      <c r="I1220" s="664">
        <f t="shared" si="16"/>
        <v>0</v>
      </c>
      <c r="J1220" s="661"/>
    </row>
    <row r="1221" spans="1:10" ht="18.75" customHeight="1">
      <c r="A1221" s="661"/>
      <c r="B1221" s="663" t="s">
        <v>1286</v>
      </c>
      <c r="C1221" s="657" t="s">
        <v>8398</v>
      </c>
      <c r="D1221" s="657" t="s">
        <v>9098</v>
      </c>
      <c r="E1221" s="663" t="s">
        <v>9099</v>
      </c>
      <c r="F1221" s="658">
        <v>0.1</v>
      </c>
      <c r="G1221" s="658">
        <v>0</v>
      </c>
      <c r="H1221" s="664"/>
      <c r="I1221" s="664">
        <f t="shared" si="16"/>
        <v>0</v>
      </c>
      <c r="J1221" s="661"/>
    </row>
    <row r="1222" spans="1:10" ht="18.75" customHeight="1">
      <c r="A1222" s="661"/>
      <c r="B1222" s="663" t="s">
        <v>1286</v>
      </c>
      <c r="C1222" s="657" t="s">
        <v>8398</v>
      </c>
      <c r="D1222" s="657" t="s">
        <v>9100</v>
      </c>
      <c r="E1222" s="663" t="s">
        <v>9101</v>
      </c>
      <c r="F1222" s="658">
        <v>0.1</v>
      </c>
      <c r="G1222" s="658">
        <v>0</v>
      </c>
      <c r="H1222" s="664"/>
      <c r="I1222" s="664">
        <f t="shared" si="16"/>
        <v>0</v>
      </c>
      <c r="J1222" s="661"/>
    </row>
    <row r="1223" spans="1:10" ht="18.75" customHeight="1">
      <c r="A1223" s="661"/>
      <c r="B1223" s="663" t="s">
        <v>1286</v>
      </c>
      <c r="C1223" s="657" t="s">
        <v>8398</v>
      </c>
      <c r="D1223" s="657" t="s">
        <v>9102</v>
      </c>
      <c r="E1223" s="663" t="s">
        <v>9103</v>
      </c>
      <c r="F1223" s="658">
        <v>0.1</v>
      </c>
      <c r="G1223" s="658">
        <v>0</v>
      </c>
      <c r="H1223" s="664"/>
      <c r="I1223" s="664">
        <f t="shared" si="16"/>
        <v>0</v>
      </c>
      <c r="J1223" s="661"/>
    </row>
    <row r="1224" spans="1:10" ht="18.75" customHeight="1">
      <c r="A1224" s="661"/>
      <c r="B1224" s="663" t="s">
        <v>1286</v>
      </c>
      <c r="C1224" s="657" t="s">
        <v>8398</v>
      </c>
      <c r="D1224" s="657" t="s">
        <v>9104</v>
      </c>
      <c r="E1224" s="663" t="s">
        <v>9105</v>
      </c>
      <c r="F1224" s="658">
        <v>0.1</v>
      </c>
      <c r="G1224" s="658">
        <v>0</v>
      </c>
      <c r="H1224" s="664"/>
      <c r="I1224" s="664">
        <f t="shared" si="16"/>
        <v>0</v>
      </c>
      <c r="J1224" s="661"/>
    </row>
    <row r="1225" spans="1:10" ht="18.75" customHeight="1">
      <c r="A1225" s="661"/>
      <c r="B1225" s="663" t="s">
        <v>1286</v>
      </c>
      <c r="C1225" s="657" t="s">
        <v>8398</v>
      </c>
      <c r="D1225" s="657" t="s">
        <v>9106</v>
      </c>
      <c r="E1225" s="663" t="s">
        <v>9107</v>
      </c>
      <c r="F1225" s="658">
        <v>0.1</v>
      </c>
      <c r="G1225" s="658">
        <v>0</v>
      </c>
      <c r="H1225" s="664"/>
      <c r="I1225" s="664">
        <f t="shared" si="16"/>
        <v>0</v>
      </c>
      <c r="J1225" s="661"/>
    </row>
    <row r="1226" spans="1:10" ht="18.75" customHeight="1">
      <c r="A1226" s="661"/>
      <c r="B1226" s="663" t="s">
        <v>1286</v>
      </c>
      <c r="C1226" s="657" t="s">
        <v>8398</v>
      </c>
      <c r="D1226" s="657" t="s">
        <v>9108</v>
      </c>
      <c r="E1226" s="663" t="s">
        <v>9109</v>
      </c>
      <c r="F1226" s="658">
        <v>0.1</v>
      </c>
      <c r="G1226" s="658">
        <v>0</v>
      </c>
      <c r="H1226" s="664"/>
      <c r="I1226" s="664">
        <f t="shared" si="16"/>
        <v>0</v>
      </c>
      <c r="J1226" s="661"/>
    </row>
    <row r="1227" spans="1:10" ht="18.75" customHeight="1">
      <c r="A1227" s="661"/>
      <c r="B1227" s="663" t="s">
        <v>1286</v>
      </c>
      <c r="C1227" s="657" t="s">
        <v>8398</v>
      </c>
      <c r="D1227" s="657" t="s">
        <v>9110</v>
      </c>
      <c r="E1227" s="663" t="s">
        <v>9111</v>
      </c>
      <c r="F1227" s="658">
        <v>0.1</v>
      </c>
      <c r="G1227" s="658">
        <v>0</v>
      </c>
      <c r="H1227" s="664"/>
      <c r="I1227" s="664">
        <f t="shared" si="16"/>
        <v>0</v>
      </c>
      <c r="J1227" s="661"/>
    </row>
    <row r="1228" spans="1:10" ht="18.75" customHeight="1">
      <c r="A1228" s="661"/>
      <c r="B1228" s="663" t="s">
        <v>1286</v>
      </c>
      <c r="C1228" s="657" t="s">
        <v>8398</v>
      </c>
      <c r="D1228" s="657" t="s">
        <v>9112</v>
      </c>
      <c r="E1228" s="663" t="s">
        <v>9113</v>
      </c>
      <c r="F1228" s="658">
        <v>0.1</v>
      </c>
      <c r="G1228" s="658">
        <v>0</v>
      </c>
      <c r="H1228" s="664"/>
      <c r="I1228" s="664">
        <f t="shared" si="16"/>
        <v>0</v>
      </c>
      <c r="J1228" s="661"/>
    </row>
    <row r="1229" spans="1:10" ht="18.75" customHeight="1">
      <c r="A1229" s="661"/>
      <c r="B1229" s="663" t="s">
        <v>1286</v>
      </c>
      <c r="C1229" s="657" t="s">
        <v>8398</v>
      </c>
      <c r="D1229" s="657" t="s">
        <v>9114</v>
      </c>
      <c r="E1229" s="663" t="s">
        <v>9115</v>
      </c>
      <c r="F1229" s="658">
        <v>0.1</v>
      </c>
      <c r="G1229" s="658">
        <v>0</v>
      </c>
      <c r="H1229" s="664"/>
      <c r="I1229" s="664">
        <f t="shared" si="16"/>
        <v>0</v>
      </c>
      <c r="J1229" s="661"/>
    </row>
    <row r="1230" spans="1:10" ht="18.75" customHeight="1">
      <c r="A1230" s="661"/>
      <c r="B1230" s="663" t="s">
        <v>1286</v>
      </c>
      <c r="C1230" s="657" t="s">
        <v>8398</v>
      </c>
      <c r="D1230" s="657" t="s">
        <v>9116</v>
      </c>
      <c r="E1230" s="663" t="s">
        <v>9117</v>
      </c>
      <c r="F1230" s="658">
        <v>0.1</v>
      </c>
      <c r="G1230" s="658">
        <v>0</v>
      </c>
      <c r="H1230" s="664"/>
      <c r="I1230" s="664">
        <f t="shared" si="16"/>
        <v>0</v>
      </c>
      <c r="J1230" s="661"/>
    </row>
    <row r="1231" spans="1:10" ht="18.75" customHeight="1">
      <c r="A1231" s="661"/>
      <c r="B1231" s="663" t="s">
        <v>1286</v>
      </c>
      <c r="C1231" s="657" t="s">
        <v>8398</v>
      </c>
      <c r="D1231" s="657" t="s">
        <v>9118</v>
      </c>
      <c r="E1231" s="663" t="s">
        <v>9119</v>
      </c>
      <c r="F1231" s="658">
        <v>0.1</v>
      </c>
      <c r="G1231" s="658">
        <v>0</v>
      </c>
      <c r="H1231" s="664"/>
      <c r="I1231" s="664">
        <f t="shared" si="16"/>
        <v>0</v>
      </c>
      <c r="J1231" s="661"/>
    </row>
    <row r="1232" spans="1:10" ht="18.75" customHeight="1">
      <c r="A1232" s="661"/>
      <c r="B1232" s="663" t="s">
        <v>1286</v>
      </c>
      <c r="C1232" s="657" t="s">
        <v>8398</v>
      </c>
      <c r="D1232" s="657" t="s">
        <v>9120</v>
      </c>
      <c r="E1232" s="663" t="s">
        <v>9121</v>
      </c>
      <c r="F1232" s="658">
        <v>0.1</v>
      </c>
      <c r="G1232" s="658">
        <v>0</v>
      </c>
      <c r="H1232" s="664"/>
      <c r="I1232" s="664">
        <f t="shared" si="16"/>
        <v>0</v>
      </c>
      <c r="J1232" s="661"/>
    </row>
    <row r="1233" spans="1:10" ht="18.75" customHeight="1">
      <c r="A1233" s="661"/>
      <c r="B1233" s="663" t="s">
        <v>1286</v>
      </c>
      <c r="C1233" s="657" t="s">
        <v>8398</v>
      </c>
      <c r="D1233" s="657" t="s">
        <v>9122</v>
      </c>
      <c r="E1233" s="663" t="s">
        <v>9123</v>
      </c>
      <c r="F1233" s="658">
        <v>0.1</v>
      </c>
      <c r="G1233" s="658">
        <v>0</v>
      </c>
      <c r="H1233" s="664"/>
      <c r="I1233" s="664">
        <f t="shared" si="16"/>
        <v>0</v>
      </c>
      <c r="J1233" s="661"/>
    </row>
    <row r="1234" spans="1:10" ht="18.75" customHeight="1">
      <c r="A1234" s="661"/>
      <c r="B1234" s="663" t="s">
        <v>1286</v>
      </c>
      <c r="C1234" s="657" t="s">
        <v>8398</v>
      </c>
      <c r="D1234" s="657" t="s">
        <v>9124</v>
      </c>
      <c r="E1234" s="663" t="s">
        <v>9125</v>
      </c>
      <c r="F1234" s="658">
        <v>0.1</v>
      </c>
      <c r="G1234" s="658">
        <v>0</v>
      </c>
      <c r="H1234" s="664"/>
      <c r="I1234" s="664">
        <f t="shared" si="16"/>
        <v>0</v>
      </c>
      <c r="J1234" s="661"/>
    </row>
    <row r="1235" spans="1:10" ht="18.75" customHeight="1">
      <c r="A1235" s="661"/>
      <c r="B1235" s="663" t="s">
        <v>1286</v>
      </c>
      <c r="C1235" s="657" t="s">
        <v>8398</v>
      </c>
      <c r="D1235" s="657" t="s">
        <v>9126</v>
      </c>
      <c r="E1235" s="663" t="s">
        <v>9127</v>
      </c>
      <c r="F1235" s="658">
        <v>0.1</v>
      </c>
      <c r="G1235" s="658">
        <v>0</v>
      </c>
      <c r="H1235" s="664"/>
      <c r="I1235" s="664">
        <f t="shared" si="16"/>
        <v>0</v>
      </c>
      <c r="J1235" s="661"/>
    </row>
    <row r="1236" spans="1:10" ht="18.75" customHeight="1">
      <c r="A1236" s="661"/>
      <c r="B1236" s="663" t="s">
        <v>1286</v>
      </c>
      <c r="C1236" s="657" t="s">
        <v>8398</v>
      </c>
      <c r="D1236" s="657" t="s">
        <v>1336</v>
      </c>
      <c r="E1236" s="663" t="s">
        <v>9128</v>
      </c>
      <c r="F1236" s="658">
        <v>0.1</v>
      </c>
      <c r="G1236" s="658">
        <v>0</v>
      </c>
      <c r="H1236" s="664">
        <v>476300</v>
      </c>
      <c r="I1236" s="664">
        <f t="shared" si="16"/>
        <v>433000</v>
      </c>
      <c r="J1236" s="661"/>
    </row>
    <row r="1237" spans="1:10" ht="18.75" customHeight="1">
      <c r="A1237" s="661"/>
      <c r="B1237" s="663" t="s">
        <v>1286</v>
      </c>
      <c r="C1237" s="657" t="s">
        <v>8398</v>
      </c>
      <c r="D1237" s="657" t="s">
        <v>9129</v>
      </c>
      <c r="E1237" s="663" t="s">
        <v>9130</v>
      </c>
      <c r="F1237" s="658">
        <v>0.1</v>
      </c>
      <c r="G1237" s="658">
        <v>0</v>
      </c>
      <c r="H1237" s="664"/>
      <c r="I1237" s="664">
        <f t="shared" si="16"/>
        <v>0</v>
      </c>
      <c r="J1237" s="661"/>
    </row>
    <row r="1238" spans="1:10" ht="18.75" customHeight="1">
      <c r="A1238" s="661"/>
      <c r="B1238" s="663" t="s">
        <v>1286</v>
      </c>
      <c r="C1238" s="657" t="s">
        <v>8398</v>
      </c>
      <c r="D1238" s="657" t="s">
        <v>9131</v>
      </c>
      <c r="E1238" s="663" t="s">
        <v>9132</v>
      </c>
      <c r="F1238" s="658">
        <v>0.1</v>
      </c>
      <c r="G1238" s="658">
        <v>0</v>
      </c>
      <c r="H1238" s="664"/>
      <c r="I1238" s="664">
        <f t="shared" si="16"/>
        <v>0</v>
      </c>
      <c r="J1238" s="661"/>
    </row>
    <row r="1239" spans="1:10" ht="18.75" customHeight="1">
      <c r="A1239" s="661"/>
      <c r="B1239" s="663" t="s">
        <v>1286</v>
      </c>
      <c r="C1239" s="657" t="s">
        <v>8398</v>
      </c>
      <c r="D1239" s="657" t="s">
        <v>9133</v>
      </c>
      <c r="E1239" s="663" t="s">
        <v>9134</v>
      </c>
      <c r="F1239" s="658">
        <v>0.1</v>
      </c>
      <c r="G1239" s="658">
        <v>0</v>
      </c>
      <c r="H1239" s="664"/>
      <c r="I1239" s="664">
        <f t="shared" si="16"/>
        <v>0</v>
      </c>
      <c r="J1239" s="661"/>
    </row>
    <row r="1240" spans="1:10" ht="18.75" customHeight="1">
      <c r="A1240" s="661"/>
      <c r="B1240" s="663" t="s">
        <v>1286</v>
      </c>
      <c r="C1240" s="657" t="s">
        <v>8398</v>
      </c>
      <c r="D1240" s="657" t="s">
        <v>9135</v>
      </c>
      <c r="E1240" s="663" t="s">
        <v>9136</v>
      </c>
      <c r="F1240" s="658">
        <v>0.1</v>
      </c>
      <c r="G1240" s="658">
        <v>0</v>
      </c>
      <c r="H1240" s="664"/>
      <c r="I1240" s="664">
        <f t="shared" si="16"/>
        <v>0</v>
      </c>
      <c r="J1240" s="661"/>
    </row>
    <row r="1241" spans="1:10" ht="18.75" customHeight="1">
      <c r="A1241" s="661"/>
      <c r="B1241" s="663" t="s">
        <v>681</v>
      </c>
      <c r="C1241" s="657" t="s">
        <v>9137</v>
      </c>
      <c r="D1241" s="657" t="s">
        <v>682</v>
      </c>
      <c r="E1241" s="663" t="s">
        <v>683</v>
      </c>
      <c r="F1241" s="658">
        <v>0.1</v>
      </c>
      <c r="G1241" s="658">
        <v>0</v>
      </c>
      <c r="H1241" s="664">
        <v>12000</v>
      </c>
      <c r="I1241" s="664">
        <f t="shared" si="16"/>
        <v>10910</v>
      </c>
      <c r="J1241" s="661"/>
    </row>
    <row r="1242" spans="1:10" ht="18.75" customHeight="1">
      <c r="A1242" s="661"/>
      <c r="B1242" s="663" t="s">
        <v>681</v>
      </c>
      <c r="C1242" s="657" t="s">
        <v>9137</v>
      </c>
      <c r="D1242" s="657" t="s">
        <v>688</v>
      </c>
      <c r="E1242" s="663" t="s">
        <v>689</v>
      </c>
      <c r="F1242" s="658">
        <v>0.1</v>
      </c>
      <c r="G1242" s="658">
        <v>0</v>
      </c>
      <c r="H1242" s="664">
        <v>14000</v>
      </c>
      <c r="I1242" s="664">
        <f t="shared" si="16"/>
        <v>12730</v>
      </c>
      <c r="J1242" s="661"/>
    </row>
    <row r="1243" spans="1:10" ht="18.75" customHeight="1">
      <c r="A1243" s="661"/>
      <c r="B1243" s="663" t="s">
        <v>681</v>
      </c>
      <c r="C1243" s="657" t="s">
        <v>9137</v>
      </c>
      <c r="D1243" s="657" t="s">
        <v>690</v>
      </c>
      <c r="E1243" s="663" t="s">
        <v>691</v>
      </c>
      <c r="F1243" s="658">
        <v>0.1</v>
      </c>
      <c r="G1243" s="658">
        <v>0</v>
      </c>
      <c r="H1243" s="664">
        <v>17100</v>
      </c>
      <c r="I1243" s="664">
        <f t="shared" si="16"/>
        <v>15550</v>
      </c>
      <c r="J1243" s="661"/>
    </row>
    <row r="1244" spans="1:10" ht="18.75" customHeight="1">
      <c r="A1244" s="661"/>
      <c r="B1244" s="663" t="s">
        <v>681</v>
      </c>
      <c r="C1244" s="657" t="s">
        <v>9137</v>
      </c>
      <c r="D1244" s="657" t="s">
        <v>692</v>
      </c>
      <c r="E1244" s="663" t="s">
        <v>693</v>
      </c>
      <c r="F1244" s="658">
        <v>0.1</v>
      </c>
      <c r="G1244" s="658">
        <v>0</v>
      </c>
      <c r="H1244" s="664">
        <v>19000</v>
      </c>
      <c r="I1244" s="664">
        <f t="shared" si="16"/>
        <v>17270</v>
      </c>
      <c r="J1244" s="661"/>
    </row>
    <row r="1245" spans="1:10" ht="18.75" customHeight="1">
      <c r="A1245" s="661"/>
      <c r="B1245" s="663" t="s">
        <v>681</v>
      </c>
      <c r="C1245" s="657" t="s">
        <v>9137</v>
      </c>
      <c r="D1245" s="657" t="s">
        <v>694</v>
      </c>
      <c r="E1245" s="663" t="s">
        <v>695</v>
      </c>
      <c r="F1245" s="658">
        <v>0.1</v>
      </c>
      <c r="G1245" s="658">
        <v>0</v>
      </c>
      <c r="H1245" s="664">
        <v>21000</v>
      </c>
      <c r="I1245" s="664">
        <f t="shared" si="16"/>
        <v>19090</v>
      </c>
      <c r="J1245" s="661"/>
    </row>
    <row r="1246" spans="1:10" ht="18.75" customHeight="1">
      <c r="A1246" s="661"/>
      <c r="B1246" s="663" t="s">
        <v>681</v>
      </c>
      <c r="C1246" s="657" t="s">
        <v>9137</v>
      </c>
      <c r="D1246" s="657" t="s">
        <v>696</v>
      </c>
      <c r="E1246" s="663" t="s">
        <v>697</v>
      </c>
      <c r="F1246" s="658">
        <v>0.1</v>
      </c>
      <c r="G1246" s="658">
        <v>0</v>
      </c>
      <c r="H1246" s="664">
        <v>22000</v>
      </c>
      <c r="I1246" s="664">
        <f t="shared" si="16"/>
        <v>20000</v>
      </c>
      <c r="J1246" s="661"/>
    </row>
    <row r="1247" spans="1:10" ht="18.75" customHeight="1">
      <c r="A1247" s="661"/>
      <c r="B1247" s="663" t="s">
        <v>681</v>
      </c>
      <c r="C1247" s="657" t="s">
        <v>9137</v>
      </c>
      <c r="D1247" s="657" t="s">
        <v>698</v>
      </c>
      <c r="E1247" s="663" t="s">
        <v>699</v>
      </c>
      <c r="F1247" s="658">
        <v>0.1</v>
      </c>
      <c r="G1247" s="658">
        <v>0</v>
      </c>
      <c r="H1247" s="664">
        <v>22000</v>
      </c>
      <c r="I1247" s="664">
        <f t="shared" si="16"/>
        <v>20000</v>
      </c>
      <c r="J1247" s="661"/>
    </row>
    <row r="1248" spans="1:10" ht="18.75" customHeight="1">
      <c r="A1248" s="661"/>
      <c r="B1248" s="663" t="s">
        <v>681</v>
      </c>
      <c r="C1248" s="657" t="s">
        <v>9138</v>
      </c>
      <c r="D1248" s="657" t="s">
        <v>700</v>
      </c>
      <c r="E1248" s="663" t="s">
        <v>701</v>
      </c>
      <c r="F1248" s="658">
        <v>0.1</v>
      </c>
      <c r="G1248" s="658">
        <v>0</v>
      </c>
      <c r="H1248" s="664">
        <v>26000</v>
      </c>
      <c r="I1248" s="664">
        <f t="shared" si="16"/>
        <v>23640</v>
      </c>
      <c r="J1248" s="661"/>
    </row>
    <row r="1249" spans="1:10" ht="18.75" customHeight="1">
      <c r="A1249" s="661"/>
      <c r="B1249" s="663" t="s">
        <v>681</v>
      </c>
      <c r="C1249" s="657" t="s">
        <v>9137</v>
      </c>
      <c r="D1249" s="657" t="s">
        <v>702</v>
      </c>
      <c r="E1249" s="663" t="s">
        <v>703</v>
      </c>
      <c r="F1249" s="658">
        <v>0.1</v>
      </c>
      <c r="G1249" s="658">
        <v>0</v>
      </c>
      <c r="H1249" s="664">
        <v>30000</v>
      </c>
      <c r="I1249" s="664">
        <f t="shared" si="16"/>
        <v>27270</v>
      </c>
      <c r="J1249" s="661"/>
    </row>
    <row r="1250" spans="1:10" ht="18.75" customHeight="1">
      <c r="A1250" s="661"/>
      <c r="B1250" s="663" t="s">
        <v>681</v>
      </c>
      <c r="C1250" s="657" t="s">
        <v>9137</v>
      </c>
      <c r="D1250" s="657" t="s">
        <v>704</v>
      </c>
      <c r="E1250" s="663" t="s">
        <v>705</v>
      </c>
      <c r="F1250" s="658">
        <v>0.1</v>
      </c>
      <c r="G1250" s="658">
        <v>0</v>
      </c>
      <c r="H1250" s="664">
        <v>33000</v>
      </c>
      <c r="I1250" s="664">
        <f t="shared" si="16"/>
        <v>30000</v>
      </c>
      <c r="J1250" s="661"/>
    </row>
    <row r="1251" spans="1:10" ht="18.75" customHeight="1">
      <c r="A1251" s="661"/>
      <c r="B1251" s="663" t="s">
        <v>681</v>
      </c>
      <c r="C1251" s="657" t="s">
        <v>9137</v>
      </c>
      <c r="D1251" s="657" t="s">
        <v>706</v>
      </c>
      <c r="E1251" s="663" t="s">
        <v>707</v>
      </c>
      <c r="F1251" s="658">
        <v>0.1</v>
      </c>
      <c r="G1251" s="658">
        <v>0</v>
      </c>
      <c r="H1251" s="664">
        <v>40000</v>
      </c>
      <c r="I1251" s="664">
        <f t="shared" si="16"/>
        <v>36360</v>
      </c>
      <c r="J1251" s="661"/>
    </row>
    <row r="1252" spans="1:10" ht="18.75" customHeight="1">
      <c r="A1252" s="661"/>
      <c r="B1252" s="663" t="s">
        <v>681</v>
      </c>
      <c r="C1252" s="657" t="s">
        <v>9137</v>
      </c>
      <c r="D1252" s="657" t="s">
        <v>708</v>
      </c>
      <c r="E1252" s="663" t="s">
        <v>709</v>
      </c>
      <c r="F1252" s="658">
        <v>0.1</v>
      </c>
      <c r="G1252" s="658">
        <v>0</v>
      </c>
      <c r="H1252" s="664">
        <v>43000</v>
      </c>
      <c r="I1252" s="664">
        <f t="shared" si="16"/>
        <v>39090</v>
      </c>
      <c r="J1252" s="661"/>
    </row>
    <row r="1253" spans="1:10" ht="18.75" customHeight="1">
      <c r="A1253" s="661"/>
      <c r="B1253" s="663" t="s">
        <v>681</v>
      </c>
      <c r="C1253" s="657" t="s">
        <v>9137</v>
      </c>
      <c r="D1253" s="657" t="s">
        <v>710</v>
      </c>
      <c r="E1253" s="663" t="s">
        <v>711</v>
      </c>
      <c r="F1253" s="658">
        <v>0.1</v>
      </c>
      <c r="G1253" s="658">
        <v>0</v>
      </c>
      <c r="H1253" s="664">
        <v>49000</v>
      </c>
      <c r="I1253" s="664">
        <f t="shared" si="16"/>
        <v>44550</v>
      </c>
      <c r="J1253" s="661"/>
    </row>
    <row r="1254" spans="1:10" ht="18.75" customHeight="1">
      <c r="A1254" s="661"/>
      <c r="B1254" s="663" t="s">
        <v>681</v>
      </c>
      <c r="C1254" s="657" t="s">
        <v>9137</v>
      </c>
      <c r="D1254" s="657" t="s">
        <v>712</v>
      </c>
      <c r="E1254" s="663" t="s">
        <v>713</v>
      </c>
      <c r="F1254" s="658">
        <v>0.1</v>
      </c>
      <c r="G1254" s="658">
        <v>0</v>
      </c>
      <c r="H1254" s="664">
        <v>57000</v>
      </c>
      <c r="I1254" s="664">
        <f t="shared" si="16"/>
        <v>51820</v>
      </c>
      <c r="J1254" s="661"/>
    </row>
    <row r="1255" spans="1:10" ht="18.75" customHeight="1">
      <c r="A1255" s="661"/>
      <c r="B1255" s="663" t="s">
        <v>681</v>
      </c>
      <c r="C1255" s="657" t="s">
        <v>9138</v>
      </c>
      <c r="D1255" s="657" t="s">
        <v>714</v>
      </c>
      <c r="E1255" s="663" t="s">
        <v>715</v>
      </c>
      <c r="F1255" s="658">
        <v>0.1</v>
      </c>
      <c r="G1255" s="658">
        <v>0</v>
      </c>
      <c r="H1255" s="664">
        <v>18000</v>
      </c>
      <c r="I1255" s="664">
        <f t="shared" si="16"/>
        <v>16360</v>
      </c>
      <c r="J1255" s="661"/>
    </row>
    <row r="1256" spans="1:10" ht="18.75" customHeight="1">
      <c r="A1256" s="661"/>
      <c r="B1256" s="663" t="s">
        <v>681</v>
      </c>
      <c r="C1256" s="657" t="s">
        <v>9138</v>
      </c>
      <c r="D1256" s="657" t="s">
        <v>717</v>
      </c>
      <c r="E1256" s="663" t="s">
        <v>718</v>
      </c>
      <c r="F1256" s="658">
        <v>0.1</v>
      </c>
      <c r="G1256" s="658">
        <v>0</v>
      </c>
      <c r="H1256" s="664">
        <v>20000</v>
      </c>
      <c r="I1256" s="664">
        <f t="shared" si="16"/>
        <v>18180</v>
      </c>
      <c r="J1256" s="661"/>
    </row>
    <row r="1257" spans="1:10" ht="18.75" customHeight="1">
      <c r="A1257" s="661"/>
      <c r="B1257" s="663" t="s">
        <v>681</v>
      </c>
      <c r="C1257" s="657" t="s">
        <v>9138</v>
      </c>
      <c r="D1257" s="657" t="s">
        <v>719</v>
      </c>
      <c r="E1257" s="663" t="s">
        <v>720</v>
      </c>
      <c r="F1257" s="658">
        <v>0.1</v>
      </c>
      <c r="G1257" s="658">
        <v>0</v>
      </c>
      <c r="H1257" s="664">
        <v>21000</v>
      </c>
      <c r="I1257" s="664">
        <f t="shared" si="16"/>
        <v>19090</v>
      </c>
      <c r="J1257" s="661"/>
    </row>
    <row r="1258" spans="1:10" ht="18.75" customHeight="1">
      <c r="A1258" s="661"/>
      <c r="B1258" s="663" t="s">
        <v>681</v>
      </c>
      <c r="C1258" s="657" t="s">
        <v>9138</v>
      </c>
      <c r="D1258" s="657" t="s">
        <v>721</v>
      </c>
      <c r="E1258" s="663" t="s">
        <v>722</v>
      </c>
      <c r="F1258" s="658">
        <v>0.1</v>
      </c>
      <c r="G1258" s="658">
        <v>0</v>
      </c>
      <c r="H1258" s="664">
        <v>23000</v>
      </c>
      <c r="I1258" s="664">
        <f t="shared" si="16"/>
        <v>20910</v>
      </c>
      <c r="J1258" s="661"/>
    </row>
    <row r="1259" spans="1:10" ht="18.75" customHeight="1">
      <c r="A1259" s="661"/>
      <c r="B1259" s="663" t="s">
        <v>681</v>
      </c>
      <c r="C1259" s="657" t="s">
        <v>9137</v>
      </c>
      <c r="D1259" s="657" t="s">
        <v>723</v>
      </c>
      <c r="E1259" s="663" t="s">
        <v>724</v>
      </c>
      <c r="F1259" s="658">
        <v>0.1</v>
      </c>
      <c r="G1259" s="658">
        <v>0</v>
      </c>
      <c r="H1259" s="664">
        <v>28100</v>
      </c>
      <c r="I1259" s="664">
        <f t="shared" si="16"/>
        <v>25550</v>
      </c>
      <c r="J1259" s="661"/>
    </row>
    <row r="1260" spans="1:10" ht="18.75" customHeight="1">
      <c r="A1260" s="661"/>
      <c r="B1260" s="663" t="s">
        <v>681</v>
      </c>
      <c r="C1260" s="657" t="s">
        <v>9139</v>
      </c>
      <c r="D1260" s="657" t="s">
        <v>725</v>
      </c>
      <c r="E1260" s="663" t="s">
        <v>726</v>
      </c>
      <c r="F1260" s="658">
        <v>0.1</v>
      </c>
      <c r="G1260" s="658">
        <v>0</v>
      </c>
      <c r="H1260" s="664">
        <v>30000</v>
      </c>
      <c r="I1260" s="664">
        <f t="shared" si="16"/>
        <v>27270</v>
      </c>
      <c r="J1260" s="661"/>
    </row>
    <row r="1261" spans="1:10" ht="18.75" customHeight="1">
      <c r="A1261" s="661"/>
      <c r="B1261" s="663" t="s">
        <v>681</v>
      </c>
      <c r="C1261" s="657" t="s">
        <v>9137</v>
      </c>
      <c r="D1261" s="657" t="s">
        <v>727</v>
      </c>
      <c r="E1261" s="663" t="s">
        <v>728</v>
      </c>
      <c r="F1261" s="658">
        <v>0.1</v>
      </c>
      <c r="G1261" s="658">
        <v>0</v>
      </c>
      <c r="H1261" s="664">
        <v>34000</v>
      </c>
      <c r="I1261" s="664">
        <f t="shared" si="16"/>
        <v>30910</v>
      </c>
      <c r="J1261" s="661"/>
    </row>
    <row r="1262" spans="1:10" ht="18.75" customHeight="1">
      <c r="A1262" s="661"/>
      <c r="B1262" s="663" t="s">
        <v>681</v>
      </c>
      <c r="C1262" s="657" t="s">
        <v>9139</v>
      </c>
      <c r="D1262" s="657" t="s">
        <v>729</v>
      </c>
      <c r="E1262" s="663" t="s">
        <v>730</v>
      </c>
      <c r="F1262" s="658">
        <v>0.1</v>
      </c>
      <c r="G1262" s="658">
        <v>0</v>
      </c>
      <c r="H1262" s="664">
        <v>35000</v>
      </c>
      <c r="I1262" s="664">
        <f t="shared" si="16"/>
        <v>31820</v>
      </c>
      <c r="J1262" s="661"/>
    </row>
    <row r="1263" spans="1:10" ht="18.75" customHeight="1">
      <c r="A1263" s="661"/>
      <c r="B1263" s="663" t="s">
        <v>681</v>
      </c>
      <c r="C1263" s="657" t="s">
        <v>9137</v>
      </c>
      <c r="D1263" s="657" t="s">
        <v>731</v>
      </c>
      <c r="E1263" s="663" t="s">
        <v>732</v>
      </c>
      <c r="F1263" s="658">
        <v>0.1</v>
      </c>
      <c r="G1263" s="658">
        <v>0</v>
      </c>
      <c r="H1263" s="664">
        <v>41000</v>
      </c>
      <c r="I1263" s="664">
        <f t="shared" si="16"/>
        <v>37270</v>
      </c>
      <c r="J1263" s="661"/>
    </row>
    <row r="1264" spans="1:10" ht="18.75" customHeight="1">
      <c r="A1264" s="661"/>
      <c r="B1264" s="663" t="s">
        <v>681</v>
      </c>
      <c r="C1264" s="657" t="s">
        <v>9139</v>
      </c>
      <c r="D1264" s="657" t="s">
        <v>733</v>
      </c>
      <c r="E1264" s="663" t="s">
        <v>734</v>
      </c>
      <c r="F1264" s="658">
        <v>0.1</v>
      </c>
      <c r="G1264" s="658">
        <v>0</v>
      </c>
      <c r="H1264" s="664">
        <v>42000</v>
      </c>
      <c r="I1264" s="664">
        <f t="shared" si="16"/>
        <v>38180</v>
      </c>
      <c r="J1264" s="661"/>
    </row>
    <row r="1265" spans="1:10" ht="18.75" customHeight="1">
      <c r="A1265" s="661"/>
      <c r="B1265" s="663" t="s">
        <v>681</v>
      </c>
      <c r="C1265" s="657" t="s">
        <v>9139</v>
      </c>
      <c r="D1265" s="657" t="s">
        <v>9140</v>
      </c>
      <c r="E1265" s="663" t="s">
        <v>9141</v>
      </c>
      <c r="F1265" s="658">
        <v>0.1</v>
      </c>
      <c r="G1265" s="658">
        <v>0</v>
      </c>
      <c r="H1265" s="664"/>
      <c r="I1265" s="664">
        <f t="shared" si="16"/>
        <v>0</v>
      </c>
      <c r="J1265" s="661"/>
    </row>
    <row r="1266" spans="1:10" ht="18.75" customHeight="1">
      <c r="A1266" s="661"/>
      <c r="B1266" s="663" t="s">
        <v>681</v>
      </c>
      <c r="C1266" s="657" t="s">
        <v>9138</v>
      </c>
      <c r="D1266" s="657" t="s">
        <v>735</v>
      </c>
      <c r="E1266" s="663" t="s">
        <v>736</v>
      </c>
      <c r="F1266" s="658">
        <v>0.1</v>
      </c>
      <c r="G1266" s="658">
        <v>0</v>
      </c>
      <c r="H1266" s="664">
        <v>54000</v>
      </c>
      <c r="I1266" s="664">
        <f t="shared" si="16"/>
        <v>49090</v>
      </c>
      <c r="J1266" s="661"/>
    </row>
    <row r="1267" spans="1:10" ht="18.75" customHeight="1">
      <c r="A1267" s="661"/>
      <c r="B1267" s="663" t="s">
        <v>681</v>
      </c>
      <c r="C1267" s="657" t="s">
        <v>9138</v>
      </c>
      <c r="D1267" s="657" t="s">
        <v>9142</v>
      </c>
      <c r="E1267" s="663" t="s">
        <v>9143</v>
      </c>
      <c r="F1267" s="658">
        <v>0.1</v>
      </c>
      <c r="G1267" s="658">
        <v>0</v>
      </c>
      <c r="H1267" s="664"/>
      <c r="I1267" s="664">
        <f t="shared" si="16"/>
        <v>0</v>
      </c>
      <c r="J1267" s="661"/>
    </row>
    <row r="1268" spans="1:10" ht="18.75" customHeight="1">
      <c r="A1268" s="661"/>
      <c r="B1268" s="663" t="s">
        <v>681</v>
      </c>
      <c r="C1268" s="657" t="s">
        <v>9139</v>
      </c>
      <c r="D1268" s="657" t="s">
        <v>737</v>
      </c>
      <c r="E1268" s="663" t="s">
        <v>738</v>
      </c>
      <c r="F1268" s="658">
        <v>0.1</v>
      </c>
      <c r="G1268" s="658">
        <v>0</v>
      </c>
      <c r="H1268" s="664">
        <v>59000</v>
      </c>
      <c r="I1268" s="664">
        <f t="shared" si="16"/>
        <v>53640</v>
      </c>
      <c r="J1268" s="661"/>
    </row>
    <row r="1269" spans="1:10" ht="18.75" customHeight="1">
      <c r="A1269" s="661"/>
      <c r="B1269" s="663" t="s">
        <v>681</v>
      </c>
      <c r="C1269" s="657" t="s">
        <v>9137</v>
      </c>
      <c r="D1269" s="657" t="s">
        <v>9144</v>
      </c>
      <c r="E1269" s="663" t="s">
        <v>9145</v>
      </c>
      <c r="F1269" s="658">
        <v>0.1</v>
      </c>
      <c r="G1269" s="658">
        <v>0</v>
      </c>
      <c r="H1269" s="664"/>
      <c r="I1269" s="664">
        <f t="shared" si="16"/>
        <v>0</v>
      </c>
      <c r="J1269" s="661"/>
    </row>
    <row r="1270" spans="1:10" ht="18.75" customHeight="1">
      <c r="A1270" s="661"/>
      <c r="B1270" s="663" t="s">
        <v>681</v>
      </c>
      <c r="C1270" s="657" t="s">
        <v>9137</v>
      </c>
      <c r="D1270" s="657" t="s">
        <v>739</v>
      </c>
      <c r="E1270" s="663" t="s">
        <v>740</v>
      </c>
      <c r="F1270" s="658">
        <v>0.1</v>
      </c>
      <c r="G1270" s="658">
        <v>0</v>
      </c>
      <c r="H1270" s="664">
        <v>62000</v>
      </c>
      <c r="I1270" s="664">
        <f t="shared" si="16"/>
        <v>56360</v>
      </c>
      <c r="J1270" s="661"/>
    </row>
    <row r="1271" spans="1:10" ht="18.75" customHeight="1">
      <c r="A1271" s="661"/>
      <c r="B1271" s="663" t="s">
        <v>681</v>
      </c>
      <c r="C1271" s="657" t="s">
        <v>9137</v>
      </c>
      <c r="D1271" s="657" t="s">
        <v>9146</v>
      </c>
      <c r="E1271" s="663" t="s">
        <v>9147</v>
      </c>
      <c r="F1271" s="658">
        <v>0.1</v>
      </c>
      <c r="G1271" s="658">
        <v>0</v>
      </c>
      <c r="H1271" s="664"/>
      <c r="I1271" s="664">
        <f t="shared" si="16"/>
        <v>0</v>
      </c>
      <c r="J1271" s="661"/>
    </row>
    <row r="1272" spans="1:10" ht="18.75" customHeight="1">
      <c r="A1272" s="661"/>
      <c r="B1272" s="663" t="s">
        <v>681</v>
      </c>
      <c r="C1272" s="657" t="s">
        <v>9139</v>
      </c>
      <c r="D1272" s="657" t="s">
        <v>741</v>
      </c>
      <c r="E1272" s="663" t="s">
        <v>742</v>
      </c>
      <c r="F1272" s="658">
        <v>0.1</v>
      </c>
      <c r="G1272" s="658">
        <v>0</v>
      </c>
      <c r="H1272" s="664">
        <v>68000</v>
      </c>
      <c r="I1272" s="664">
        <f t="shared" si="16"/>
        <v>61820</v>
      </c>
      <c r="J1272" s="661"/>
    </row>
    <row r="1273" spans="1:10" ht="18.75" customHeight="1">
      <c r="A1273" s="661"/>
      <c r="B1273" s="663" t="s">
        <v>681</v>
      </c>
      <c r="C1273" s="657" t="s">
        <v>9137</v>
      </c>
      <c r="D1273" s="657" t="s">
        <v>9148</v>
      </c>
      <c r="E1273" s="663" t="s">
        <v>9149</v>
      </c>
      <c r="F1273" s="658">
        <v>0.1</v>
      </c>
      <c r="G1273" s="658">
        <v>0</v>
      </c>
      <c r="H1273" s="664"/>
      <c r="I1273" s="664">
        <f t="shared" si="16"/>
        <v>0</v>
      </c>
      <c r="J1273" s="661"/>
    </row>
    <row r="1274" spans="1:10" ht="18.75" customHeight="1">
      <c r="A1274" s="661"/>
      <c r="B1274" s="663" t="s">
        <v>681</v>
      </c>
      <c r="C1274" s="657" t="s">
        <v>9137</v>
      </c>
      <c r="D1274" s="657" t="s">
        <v>743</v>
      </c>
      <c r="E1274" s="663" t="s">
        <v>744</v>
      </c>
      <c r="F1274" s="658">
        <v>0.1</v>
      </c>
      <c r="G1274" s="658">
        <v>0</v>
      </c>
      <c r="H1274" s="664">
        <v>95000</v>
      </c>
      <c r="I1274" s="664">
        <f t="shared" si="16"/>
        <v>86360</v>
      </c>
      <c r="J1274" s="661"/>
    </row>
    <row r="1275" spans="1:10" ht="18.75" customHeight="1">
      <c r="A1275" s="661"/>
      <c r="B1275" s="663" t="s">
        <v>681</v>
      </c>
      <c r="C1275" s="657" t="s">
        <v>9137</v>
      </c>
      <c r="D1275" s="657" t="s">
        <v>9150</v>
      </c>
      <c r="E1275" s="663" t="s">
        <v>9151</v>
      </c>
      <c r="F1275" s="658">
        <v>0.1</v>
      </c>
      <c r="G1275" s="658">
        <v>0</v>
      </c>
      <c r="H1275" s="664"/>
      <c r="I1275" s="664">
        <f t="shared" si="16"/>
        <v>0</v>
      </c>
      <c r="J1275" s="661"/>
    </row>
    <row r="1276" spans="1:10" ht="18.75" customHeight="1">
      <c r="A1276" s="661"/>
      <c r="B1276" s="663" t="s">
        <v>681</v>
      </c>
      <c r="C1276" s="657" t="s">
        <v>9138</v>
      </c>
      <c r="D1276" s="657" t="s">
        <v>745</v>
      </c>
      <c r="E1276" s="663" t="s">
        <v>746</v>
      </c>
      <c r="F1276" s="658">
        <v>0.1</v>
      </c>
      <c r="G1276" s="658">
        <v>0</v>
      </c>
      <c r="H1276" s="664">
        <v>111200</v>
      </c>
      <c r="I1276" s="664">
        <f t="shared" si="16"/>
        <v>101090</v>
      </c>
      <c r="J1276" s="661"/>
    </row>
    <row r="1277" spans="1:10" ht="18.75" customHeight="1">
      <c r="A1277" s="661"/>
      <c r="B1277" s="663" t="s">
        <v>681</v>
      </c>
      <c r="C1277" s="657" t="s">
        <v>9138</v>
      </c>
      <c r="D1277" s="657" t="s">
        <v>9152</v>
      </c>
      <c r="E1277" s="663" t="s">
        <v>9153</v>
      </c>
      <c r="F1277" s="658">
        <v>0.1</v>
      </c>
      <c r="G1277" s="658">
        <v>0</v>
      </c>
      <c r="H1277" s="664"/>
      <c r="I1277" s="664">
        <f t="shared" si="16"/>
        <v>0</v>
      </c>
      <c r="J1277" s="661"/>
    </row>
    <row r="1278" spans="1:10" ht="18.75" customHeight="1">
      <c r="A1278" s="661"/>
      <c r="B1278" s="663" t="s">
        <v>681</v>
      </c>
      <c r="C1278" s="657" t="s">
        <v>9138</v>
      </c>
      <c r="D1278" s="657" t="s">
        <v>9154</v>
      </c>
      <c r="E1278" s="663" t="s">
        <v>9155</v>
      </c>
      <c r="F1278" s="658">
        <v>0.1</v>
      </c>
      <c r="G1278" s="658">
        <v>0</v>
      </c>
      <c r="H1278" s="664"/>
      <c r="I1278" s="664">
        <f t="shared" si="16"/>
        <v>0</v>
      </c>
      <c r="J1278" s="661"/>
    </row>
    <row r="1279" spans="1:10" ht="18.75" customHeight="1">
      <c r="A1279" s="661"/>
      <c r="B1279" s="663" t="s">
        <v>681</v>
      </c>
      <c r="C1279" s="657" t="s">
        <v>9138</v>
      </c>
      <c r="D1279" s="657" t="s">
        <v>747</v>
      </c>
      <c r="E1279" s="663" t="s">
        <v>748</v>
      </c>
      <c r="F1279" s="658">
        <v>0.1</v>
      </c>
      <c r="G1279" s="658">
        <v>0</v>
      </c>
      <c r="H1279" s="664">
        <v>133400</v>
      </c>
      <c r="I1279" s="664">
        <f t="shared" si="16"/>
        <v>121270</v>
      </c>
      <c r="J1279" s="661"/>
    </row>
    <row r="1280" spans="1:10" ht="18.75" customHeight="1">
      <c r="A1280" s="661"/>
      <c r="B1280" s="663" t="s">
        <v>681</v>
      </c>
      <c r="C1280" s="657" t="s">
        <v>9138</v>
      </c>
      <c r="D1280" s="657" t="s">
        <v>9156</v>
      </c>
      <c r="E1280" s="663" t="s">
        <v>9157</v>
      </c>
      <c r="F1280" s="658">
        <v>0.1</v>
      </c>
      <c r="G1280" s="658">
        <v>0</v>
      </c>
      <c r="H1280" s="664"/>
      <c r="I1280" s="664">
        <f t="shared" ref="I1280:I1534" si="17">IF(ISBLANK(H1280),,ROUND(H1280/(1+F1280),-1))</f>
        <v>0</v>
      </c>
      <c r="J1280" s="661"/>
    </row>
    <row r="1281" spans="1:10" ht="18.75" customHeight="1">
      <c r="A1281" s="661"/>
      <c r="B1281" s="663" t="s">
        <v>681</v>
      </c>
      <c r="C1281" s="657" t="s">
        <v>9138</v>
      </c>
      <c r="D1281" s="657" t="s">
        <v>9158</v>
      </c>
      <c r="E1281" s="663" t="s">
        <v>9159</v>
      </c>
      <c r="F1281" s="658">
        <v>0.1</v>
      </c>
      <c r="G1281" s="658">
        <v>0</v>
      </c>
      <c r="H1281" s="664"/>
      <c r="I1281" s="664">
        <f t="shared" si="17"/>
        <v>0</v>
      </c>
      <c r="J1281" s="661"/>
    </row>
    <row r="1282" spans="1:10" ht="18.75" customHeight="1">
      <c r="A1282" s="661"/>
      <c r="B1282" s="663" t="s">
        <v>681</v>
      </c>
      <c r="C1282" s="657" t="s">
        <v>9138</v>
      </c>
      <c r="D1282" s="657" t="s">
        <v>9160</v>
      </c>
      <c r="E1282" s="663" t="s">
        <v>9161</v>
      </c>
      <c r="F1282" s="658">
        <v>0.1</v>
      </c>
      <c r="G1282" s="658">
        <v>0</v>
      </c>
      <c r="H1282" s="664"/>
      <c r="I1282" s="664">
        <f t="shared" si="17"/>
        <v>0</v>
      </c>
      <c r="J1282" s="661"/>
    </row>
    <row r="1283" spans="1:10" ht="18.75" customHeight="1">
      <c r="A1283" s="661"/>
      <c r="B1283" s="663" t="s">
        <v>681</v>
      </c>
      <c r="C1283" s="657" t="s">
        <v>9138</v>
      </c>
      <c r="D1283" s="657" t="s">
        <v>9162</v>
      </c>
      <c r="E1283" s="663" t="s">
        <v>9163</v>
      </c>
      <c r="F1283" s="658">
        <v>0.1</v>
      </c>
      <c r="G1283" s="658">
        <v>0</v>
      </c>
      <c r="H1283" s="664"/>
      <c r="I1283" s="664">
        <f t="shared" si="17"/>
        <v>0</v>
      </c>
      <c r="J1283" s="661"/>
    </row>
    <row r="1284" spans="1:10" ht="18.75" customHeight="1">
      <c r="A1284" s="661"/>
      <c r="B1284" s="663" t="s">
        <v>681</v>
      </c>
      <c r="C1284" s="657" t="s">
        <v>9138</v>
      </c>
      <c r="D1284" s="657" t="s">
        <v>9164</v>
      </c>
      <c r="E1284" s="663" t="s">
        <v>9165</v>
      </c>
      <c r="F1284" s="658">
        <v>0.1</v>
      </c>
      <c r="G1284" s="658">
        <v>0</v>
      </c>
      <c r="H1284" s="664"/>
      <c r="I1284" s="664">
        <f t="shared" si="17"/>
        <v>0</v>
      </c>
      <c r="J1284" s="661"/>
    </row>
    <row r="1285" spans="1:10" ht="18.75" customHeight="1">
      <c r="A1285" s="661"/>
      <c r="B1285" s="663" t="s">
        <v>681</v>
      </c>
      <c r="C1285" s="657" t="s">
        <v>9137</v>
      </c>
      <c r="D1285" s="657" t="s">
        <v>749</v>
      </c>
      <c r="E1285" s="663" t="s">
        <v>750</v>
      </c>
      <c r="F1285" s="658">
        <v>0.1</v>
      </c>
      <c r="G1285" s="658">
        <v>0</v>
      </c>
      <c r="H1285" s="664">
        <v>163400</v>
      </c>
      <c r="I1285" s="664">
        <f t="shared" si="17"/>
        <v>148550</v>
      </c>
      <c r="J1285" s="661"/>
    </row>
    <row r="1286" spans="1:10" ht="18.75" customHeight="1">
      <c r="A1286" s="661"/>
      <c r="B1286" s="663" t="s">
        <v>681</v>
      </c>
      <c r="C1286" s="657" t="s">
        <v>9137</v>
      </c>
      <c r="D1286" s="657" t="s">
        <v>9166</v>
      </c>
      <c r="E1286" s="663" t="s">
        <v>9167</v>
      </c>
      <c r="F1286" s="658">
        <v>0.1</v>
      </c>
      <c r="G1286" s="658">
        <v>0</v>
      </c>
      <c r="H1286" s="664"/>
      <c r="I1286" s="664">
        <f t="shared" si="17"/>
        <v>0</v>
      </c>
      <c r="J1286" s="661"/>
    </row>
    <row r="1287" spans="1:10" ht="18.75" customHeight="1">
      <c r="A1287" s="661"/>
      <c r="B1287" s="663" t="s">
        <v>681</v>
      </c>
      <c r="C1287" s="657" t="s">
        <v>9137</v>
      </c>
      <c r="D1287" s="657" t="s">
        <v>9168</v>
      </c>
      <c r="E1287" s="663" t="s">
        <v>9169</v>
      </c>
      <c r="F1287" s="658">
        <v>0.1</v>
      </c>
      <c r="G1287" s="658">
        <v>0</v>
      </c>
      <c r="H1287" s="664"/>
      <c r="I1287" s="664">
        <f t="shared" si="17"/>
        <v>0</v>
      </c>
      <c r="J1287" s="661"/>
    </row>
    <row r="1288" spans="1:10" ht="18.75" customHeight="1">
      <c r="A1288" s="661"/>
      <c r="B1288" s="663" t="s">
        <v>681</v>
      </c>
      <c r="C1288" s="657" t="s">
        <v>9137</v>
      </c>
      <c r="D1288" s="657" t="s">
        <v>9170</v>
      </c>
      <c r="E1288" s="663" t="s">
        <v>9171</v>
      </c>
      <c r="F1288" s="658">
        <v>0.1</v>
      </c>
      <c r="G1288" s="658">
        <v>0</v>
      </c>
      <c r="H1288" s="664"/>
      <c r="I1288" s="664">
        <f t="shared" si="17"/>
        <v>0</v>
      </c>
      <c r="J1288" s="661"/>
    </row>
    <row r="1289" spans="1:10" ht="18.75" customHeight="1">
      <c r="A1289" s="661"/>
      <c r="B1289" s="663" t="s">
        <v>681</v>
      </c>
      <c r="C1289" s="657" t="s">
        <v>9137</v>
      </c>
      <c r="D1289" s="657" t="s">
        <v>9172</v>
      </c>
      <c r="E1289" s="663" t="s">
        <v>9173</v>
      </c>
      <c r="F1289" s="658">
        <v>0.1</v>
      </c>
      <c r="G1289" s="658">
        <v>0</v>
      </c>
      <c r="H1289" s="664"/>
      <c r="I1289" s="664">
        <f t="shared" si="17"/>
        <v>0</v>
      </c>
      <c r="J1289" s="661"/>
    </row>
    <row r="1290" spans="1:10" ht="18.75" customHeight="1">
      <c r="A1290" s="661"/>
      <c r="B1290" s="663" t="s">
        <v>681</v>
      </c>
      <c r="C1290" s="657" t="s">
        <v>9139</v>
      </c>
      <c r="D1290" s="657" t="s">
        <v>751</v>
      </c>
      <c r="E1290" s="663" t="s">
        <v>752</v>
      </c>
      <c r="F1290" s="658">
        <v>0.1</v>
      </c>
      <c r="G1290" s="658">
        <v>0</v>
      </c>
      <c r="H1290" s="664">
        <v>32000</v>
      </c>
      <c r="I1290" s="664">
        <f t="shared" si="17"/>
        <v>29090</v>
      </c>
      <c r="J1290" s="661"/>
    </row>
    <row r="1291" spans="1:10" ht="18.75" customHeight="1">
      <c r="A1291" s="661"/>
      <c r="B1291" s="663" t="s">
        <v>681</v>
      </c>
      <c r="C1291" s="657" t="s">
        <v>9139</v>
      </c>
      <c r="D1291" s="657" t="s">
        <v>753</v>
      </c>
      <c r="E1291" s="663" t="s">
        <v>754</v>
      </c>
      <c r="F1291" s="658">
        <v>0.1</v>
      </c>
      <c r="G1291" s="658">
        <v>0</v>
      </c>
      <c r="H1291" s="664">
        <v>34000</v>
      </c>
      <c r="I1291" s="664">
        <f t="shared" si="17"/>
        <v>30910</v>
      </c>
      <c r="J1291" s="661"/>
    </row>
    <row r="1292" spans="1:10" ht="18.75" customHeight="1">
      <c r="A1292" s="661"/>
      <c r="B1292" s="663" t="s">
        <v>681</v>
      </c>
      <c r="C1292" s="657" t="s">
        <v>9139</v>
      </c>
      <c r="D1292" s="657" t="s">
        <v>755</v>
      </c>
      <c r="E1292" s="663" t="s">
        <v>756</v>
      </c>
      <c r="F1292" s="658">
        <v>0.1</v>
      </c>
      <c r="G1292" s="658">
        <v>0</v>
      </c>
      <c r="H1292" s="664">
        <v>38000</v>
      </c>
      <c r="I1292" s="664">
        <f t="shared" si="17"/>
        <v>34550</v>
      </c>
      <c r="J1292" s="661"/>
    </row>
    <row r="1293" spans="1:10" ht="18.75" customHeight="1">
      <c r="A1293" s="661"/>
      <c r="B1293" s="663" t="s">
        <v>681</v>
      </c>
      <c r="C1293" s="657" t="s">
        <v>9139</v>
      </c>
      <c r="D1293" s="657" t="s">
        <v>757</v>
      </c>
      <c r="E1293" s="663" t="s">
        <v>758</v>
      </c>
      <c r="F1293" s="658">
        <v>0.1</v>
      </c>
      <c r="G1293" s="658">
        <v>0</v>
      </c>
      <c r="H1293" s="664">
        <v>42000</v>
      </c>
      <c r="I1293" s="664">
        <f t="shared" si="17"/>
        <v>38180</v>
      </c>
      <c r="J1293" s="661"/>
    </row>
    <row r="1294" spans="1:10" ht="18.75" customHeight="1">
      <c r="A1294" s="661"/>
      <c r="B1294" s="663" t="s">
        <v>681</v>
      </c>
      <c r="C1294" s="657" t="s">
        <v>9139</v>
      </c>
      <c r="D1294" s="657" t="s">
        <v>759</v>
      </c>
      <c r="E1294" s="663" t="s">
        <v>760</v>
      </c>
      <c r="F1294" s="658">
        <v>0.1</v>
      </c>
      <c r="G1294" s="658">
        <v>0</v>
      </c>
      <c r="H1294" s="664">
        <v>47000</v>
      </c>
      <c r="I1294" s="664">
        <f t="shared" si="17"/>
        <v>42730</v>
      </c>
      <c r="J1294" s="661"/>
    </row>
    <row r="1295" spans="1:10" ht="18.75" customHeight="1">
      <c r="A1295" s="661"/>
      <c r="B1295" s="663" t="s">
        <v>681</v>
      </c>
      <c r="C1295" s="657" t="s">
        <v>9139</v>
      </c>
      <c r="D1295" s="657" t="s">
        <v>761</v>
      </c>
      <c r="E1295" s="663" t="s">
        <v>762</v>
      </c>
      <c r="F1295" s="658">
        <v>0.1</v>
      </c>
      <c r="G1295" s="658">
        <v>0</v>
      </c>
      <c r="H1295" s="664">
        <v>51000</v>
      </c>
      <c r="I1295" s="664">
        <f t="shared" si="17"/>
        <v>46360</v>
      </c>
      <c r="J1295" s="661"/>
    </row>
    <row r="1296" spans="1:10" ht="18.75" customHeight="1">
      <c r="A1296" s="661"/>
      <c r="B1296" s="663" t="s">
        <v>681</v>
      </c>
      <c r="C1296" s="657" t="s">
        <v>9138</v>
      </c>
      <c r="D1296" s="657" t="s">
        <v>763</v>
      </c>
      <c r="E1296" s="663" t="s">
        <v>764</v>
      </c>
      <c r="F1296" s="658">
        <v>0.1</v>
      </c>
      <c r="G1296" s="658">
        <v>0</v>
      </c>
      <c r="H1296" s="664">
        <v>56000</v>
      </c>
      <c r="I1296" s="664">
        <f t="shared" si="17"/>
        <v>50910</v>
      </c>
      <c r="J1296" s="661"/>
    </row>
    <row r="1297" spans="1:10" ht="18.75" customHeight="1">
      <c r="A1297" s="661"/>
      <c r="B1297" s="663" t="s">
        <v>681</v>
      </c>
      <c r="C1297" s="657" t="s">
        <v>9139</v>
      </c>
      <c r="D1297" s="657" t="s">
        <v>765</v>
      </c>
      <c r="E1297" s="663" t="s">
        <v>766</v>
      </c>
      <c r="F1297" s="658">
        <v>0.1</v>
      </c>
      <c r="G1297" s="658">
        <v>0</v>
      </c>
      <c r="H1297" s="664">
        <v>61100</v>
      </c>
      <c r="I1297" s="664">
        <f t="shared" si="17"/>
        <v>55550</v>
      </c>
      <c r="J1297" s="661"/>
    </row>
    <row r="1298" spans="1:10" ht="18.75" customHeight="1">
      <c r="A1298" s="661"/>
      <c r="B1298" s="663" t="s">
        <v>681</v>
      </c>
      <c r="C1298" s="657" t="s">
        <v>9138</v>
      </c>
      <c r="D1298" s="657" t="s">
        <v>767</v>
      </c>
      <c r="E1298" s="663" t="s">
        <v>768</v>
      </c>
      <c r="F1298" s="658">
        <v>0.1</v>
      </c>
      <c r="G1298" s="658">
        <v>0</v>
      </c>
      <c r="H1298" s="664">
        <v>67000</v>
      </c>
      <c r="I1298" s="664">
        <f t="shared" si="17"/>
        <v>60910</v>
      </c>
      <c r="J1298" s="661"/>
    </row>
    <row r="1299" spans="1:10" ht="18.75" customHeight="1">
      <c r="A1299" s="661"/>
      <c r="B1299" s="663" t="s">
        <v>681</v>
      </c>
      <c r="C1299" s="657" t="s">
        <v>9139</v>
      </c>
      <c r="D1299" s="657" t="s">
        <v>769</v>
      </c>
      <c r="E1299" s="663" t="s">
        <v>770</v>
      </c>
      <c r="F1299" s="658">
        <v>0.1</v>
      </c>
      <c r="G1299" s="658">
        <v>0</v>
      </c>
      <c r="H1299" s="664">
        <v>77000</v>
      </c>
      <c r="I1299" s="664">
        <f t="shared" si="17"/>
        <v>70000</v>
      </c>
      <c r="J1299" s="661"/>
    </row>
    <row r="1300" spans="1:10" ht="18.75" customHeight="1">
      <c r="A1300" s="661"/>
      <c r="B1300" s="663" t="s">
        <v>681</v>
      </c>
      <c r="C1300" s="657" t="s">
        <v>9137</v>
      </c>
      <c r="D1300" s="657" t="s">
        <v>771</v>
      </c>
      <c r="E1300" s="663" t="s">
        <v>772</v>
      </c>
      <c r="F1300" s="658">
        <v>0.1</v>
      </c>
      <c r="G1300" s="658">
        <v>0</v>
      </c>
      <c r="H1300" s="664">
        <v>82500</v>
      </c>
      <c r="I1300" s="664">
        <f t="shared" si="17"/>
        <v>75000</v>
      </c>
      <c r="J1300" s="661"/>
    </row>
    <row r="1301" spans="1:10" ht="18.75" customHeight="1">
      <c r="A1301" s="661"/>
      <c r="B1301" s="663" t="s">
        <v>681</v>
      </c>
      <c r="C1301" s="657" t="s">
        <v>9139</v>
      </c>
      <c r="D1301" s="657" t="s">
        <v>773</v>
      </c>
      <c r="E1301" s="663" t="s">
        <v>774</v>
      </c>
      <c r="F1301" s="658">
        <v>0.1</v>
      </c>
      <c r="G1301" s="658">
        <v>0</v>
      </c>
      <c r="H1301" s="664">
        <v>89000</v>
      </c>
      <c r="I1301" s="664">
        <f t="shared" si="17"/>
        <v>80910</v>
      </c>
      <c r="J1301" s="661"/>
    </row>
    <row r="1302" spans="1:10" ht="18.75" customHeight="1">
      <c r="A1302" s="661"/>
      <c r="B1302" s="663" t="s">
        <v>681</v>
      </c>
      <c r="C1302" s="657" t="s">
        <v>9139</v>
      </c>
      <c r="D1302" s="657" t="s">
        <v>9174</v>
      </c>
      <c r="E1302" s="663" t="s">
        <v>9175</v>
      </c>
      <c r="F1302" s="658">
        <v>0.1</v>
      </c>
      <c r="G1302" s="658">
        <v>0</v>
      </c>
      <c r="H1302" s="664"/>
      <c r="I1302" s="664">
        <f t="shared" si="17"/>
        <v>0</v>
      </c>
      <c r="J1302" s="661"/>
    </row>
    <row r="1303" spans="1:10" ht="18.75" customHeight="1">
      <c r="A1303" s="661"/>
      <c r="B1303" s="663" t="s">
        <v>681</v>
      </c>
      <c r="C1303" s="657" t="s">
        <v>9138</v>
      </c>
      <c r="D1303" s="657" t="s">
        <v>775</v>
      </c>
      <c r="E1303" s="663" t="s">
        <v>776</v>
      </c>
      <c r="F1303" s="658">
        <v>0.1</v>
      </c>
      <c r="G1303" s="658">
        <v>0</v>
      </c>
      <c r="H1303" s="664">
        <v>104500</v>
      </c>
      <c r="I1303" s="664">
        <f t="shared" si="17"/>
        <v>95000</v>
      </c>
      <c r="J1303" s="661"/>
    </row>
    <row r="1304" spans="1:10" ht="18.75" customHeight="1">
      <c r="A1304" s="661"/>
      <c r="B1304" s="663" t="s">
        <v>681</v>
      </c>
      <c r="C1304" s="657" t="s">
        <v>9137</v>
      </c>
      <c r="D1304" s="657" t="s">
        <v>9176</v>
      </c>
      <c r="E1304" s="663" t="s">
        <v>9177</v>
      </c>
      <c r="F1304" s="658">
        <v>0.1</v>
      </c>
      <c r="G1304" s="658">
        <v>0</v>
      </c>
      <c r="H1304" s="664">
        <v>111700</v>
      </c>
      <c r="I1304" s="664">
        <f t="shared" si="17"/>
        <v>101550</v>
      </c>
      <c r="J1304" s="661"/>
    </row>
    <row r="1305" spans="1:10" ht="18.75" customHeight="1">
      <c r="A1305" s="661"/>
      <c r="B1305" s="663" t="s">
        <v>681</v>
      </c>
      <c r="C1305" s="657" t="s">
        <v>9137</v>
      </c>
      <c r="D1305" s="657" t="s">
        <v>777</v>
      </c>
      <c r="E1305" s="663" t="s">
        <v>778</v>
      </c>
      <c r="F1305" s="658">
        <v>0.1</v>
      </c>
      <c r="G1305" s="658">
        <v>0</v>
      </c>
      <c r="H1305" s="664">
        <v>118800</v>
      </c>
      <c r="I1305" s="664">
        <f t="shared" si="17"/>
        <v>108000</v>
      </c>
      <c r="J1305" s="661"/>
    </row>
    <row r="1306" spans="1:10" ht="18.75" customHeight="1">
      <c r="A1306" s="661"/>
      <c r="B1306" s="663" t="s">
        <v>681</v>
      </c>
      <c r="C1306" s="657" t="s">
        <v>9137</v>
      </c>
      <c r="D1306" s="657" t="s">
        <v>9178</v>
      </c>
      <c r="E1306" s="663" t="s">
        <v>9179</v>
      </c>
      <c r="F1306" s="658">
        <v>0.1</v>
      </c>
      <c r="G1306" s="658">
        <v>0</v>
      </c>
      <c r="H1306" s="664"/>
      <c r="I1306" s="664">
        <f t="shared" si="17"/>
        <v>0</v>
      </c>
      <c r="J1306" s="661"/>
    </row>
    <row r="1307" spans="1:10" ht="18.75" customHeight="1">
      <c r="A1307" s="661"/>
      <c r="B1307" s="663" t="s">
        <v>681</v>
      </c>
      <c r="C1307" s="657" t="s">
        <v>9138</v>
      </c>
      <c r="D1307" s="657" t="s">
        <v>779</v>
      </c>
      <c r="E1307" s="663" t="s">
        <v>780</v>
      </c>
      <c r="F1307" s="658">
        <v>0.1</v>
      </c>
      <c r="G1307" s="658">
        <v>0</v>
      </c>
      <c r="H1307" s="664">
        <v>127600</v>
      </c>
      <c r="I1307" s="664">
        <f t="shared" si="17"/>
        <v>116000</v>
      </c>
      <c r="J1307" s="661"/>
    </row>
    <row r="1308" spans="1:10" ht="18.75" customHeight="1">
      <c r="A1308" s="661"/>
      <c r="B1308" s="663" t="s">
        <v>681</v>
      </c>
      <c r="C1308" s="657" t="s">
        <v>9138</v>
      </c>
      <c r="D1308" s="657" t="s">
        <v>9180</v>
      </c>
      <c r="E1308" s="663" t="s">
        <v>9181</v>
      </c>
      <c r="F1308" s="658">
        <v>0.1</v>
      </c>
      <c r="G1308" s="658">
        <v>0</v>
      </c>
      <c r="H1308" s="664"/>
      <c r="I1308" s="664">
        <f t="shared" si="17"/>
        <v>0</v>
      </c>
      <c r="J1308" s="661"/>
    </row>
    <row r="1309" spans="1:10" ht="18.75" customHeight="1">
      <c r="A1309" s="661"/>
      <c r="B1309" s="663" t="s">
        <v>681</v>
      </c>
      <c r="C1309" s="657" t="s">
        <v>9137</v>
      </c>
      <c r="D1309" s="657" t="s">
        <v>781</v>
      </c>
      <c r="E1309" s="663" t="s">
        <v>782</v>
      </c>
      <c r="F1309" s="658">
        <v>0.1</v>
      </c>
      <c r="G1309" s="658">
        <v>0</v>
      </c>
      <c r="H1309" s="664">
        <v>137500</v>
      </c>
      <c r="I1309" s="664">
        <f t="shared" si="17"/>
        <v>125000</v>
      </c>
      <c r="J1309" s="661"/>
    </row>
    <row r="1310" spans="1:10" ht="18.75" customHeight="1">
      <c r="A1310" s="661"/>
      <c r="B1310" s="663" t="s">
        <v>681</v>
      </c>
      <c r="C1310" s="657" t="s">
        <v>9138</v>
      </c>
      <c r="D1310" s="657" t="s">
        <v>9182</v>
      </c>
      <c r="E1310" s="663" t="s">
        <v>9183</v>
      </c>
      <c r="F1310" s="658">
        <v>0.1</v>
      </c>
      <c r="G1310" s="658">
        <v>0</v>
      </c>
      <c r="H1310" s="664"/>
      <c r="I1310" s="664">
        <f t="shared" si="17"/>
        <v>0</v>
      </c>
      <c r="J1310" s="661"/>
    </row>
    <row r="1311" spans="1:10" ht="18.75" customHeight="1">
      <c r="A1311" s="661"/>
      <c r="B1311" s="663" t="s">
        <v>681</v>
      </c>
      <c r="C1311" s="657" t="s">
        <v>9138</v>
      </c>
      <c r="D1311" s="657" t="s">
        <v>783</v>
      </c>
      <c r="E1311" s="663" t="s">
        <v>784</v>
      </c>
      <c r="F1311" s="658">
        <v>0.1</v>
      </c>
      <c r="G1311" s="658">
        <v>0</v>
      </c>
      <c r="H1311" s="664">
        <v>163900</v>
      </c>
      <c r="I1311" s="664">
        <f t="shared" si="17"/>
        <v>149000</v>
      </c>
      <c r="J1311" s="661"/>
    </row>
    <row r="1312" spans="1:10" ht="18.75" customHeight="1">
      <c r="A1312" s="661"/>
      <c r="B1312" s="663" t="s">
        <v>681</v>
      </c>
      <c r="C1312" s="657" t="s">
        <v>9138</v>
      </c>
      <c r="D1312" s="657" t="s">
        <v>9184</v>
      </c>
      <c r="E1312" s="663" t="s">
        <v>9185</v>
      </c>
      <c r="F1312" s="658">
        <v>0.1</v>
      </c>
      <c r="G1312" s="658">
        <v>0</v>
      </c>
      <c r="H1312" s="664"/>
      <c r="I1312" s="664">
        <f t="shared" si="17"/>
        <v>0</v>
      </c>
      <c r="J1312" s="661"/>
    </row>
    <row r="1313" spans="1:10" ht="18.75" customHeight="1">
      <c r="A1313" s="661"/>
      <c r="B1313" s="663" t="s">
        <v>681</v>
      </c>
      <c r="C1313" s="657" t="s">
        <v>9138</v>
      </c>
      <c r="D1313" s="657" t="s">
        <v>9186</v>
      </c>
      <c r="E1313" s="663" t="s">
        <v>9187</v>
      </c>
      <c r="F1313" s="658">
        <v>0.1</v>
      </c>
      <c r="G1313" s="658">
        <v>0</v>
      </c>
      <c r="H1313" s="664"/>
      <c r="I1313" s="664">
        <f t="shared" si="17"/>
        <v>0</v>
      </c>
      <c r="J1313" s="661"/>
    </row>
    <row r="1314" spans="1:10" ht="18.75" customHeight="1">
      <c r="A1314" s="661"/>
      <c r="B1314" s="663" t="s">
        <v>681</v>
      </c>
      <c r="C1314" s="657" t="s">
        <v>9138</v>
      </c>
      <c r="D1314" s="657" t="s">
        <v>785</v>
      </c>
      <c r="E1314" s="663" t="s">
        <v>786</v>
      </c>
      <c r="F1314" s="658">
        <v>0.1</v>
      </c>
      <c r="G1314" s="658">
        <v>0</v>
      </c>
      <c r="H1314" s="664">
        <v>184800</v>
      </c>
      <c r="I1314" s="664">
        <f t="shared" si="17"/>
        <v>168000</v>
      </c>
      <c r="J1314" s="661"/>
    </row>
    <row r="1315" spans="1:10" ht="18.75" customHeight="1">
      <c r="A1315" s="661"/>
      <c r="B1315" s="663" t="s">
        <v>681</v>
      </c>
      <c r="C1315" s="657" t="s">
        <v>9138</v>
      </c>
      <c r="D1315" s="657" t="s">
        <v>9188</v>
      </c>
      <c r="E1315" s="663" t="s">
        <v>9189</v>
      </c>
      <c r="F1315" s="658">
        <v>0.1</v>
      </c>
      <c r="G1315" s="658">
        <v>0</v>
      </c>
      <c r="H1315" s="664"/>
      <c r="I1315" s="664">
        <f t="shared" si="17"/>
        <v>0</v>
      </c>
      <c r="J1315" s="661"/>
    </row>
    <row r="1316" spans="1:10" ht="18.75" customHeight="1">
      <c r="A1316" s="661"/>
      <c r="B1316" s="663" t="s">
        <v>681</v>
      </c>
      <c r="C1316" s="657" t="s">
        <v>9138</v>
      </c>
      <c r="D1316" s="657" t="s">
        <v>9190</v>
      </c>
      <c r="E1316" s="663" t="s">
        <v>9191</v>
      </c>
      <c r="F1316" s="658">
        <v>0.1</v>
      </c>
      <c r="G1316" s="658">
        <v>0</v>
      </c>
      <c r="H1316" s="664"/>
      <c r="I1316" s="664">
        <f t="shared" si="17"/>
        <v>0</v>
      </c>
      <c r="J1316" s="661"/>
    </row>
    <row r="1317" spans="1:10" ht="18.75" customHeight="1">
      <c r="A1317" s="661"/>
      <c r="B1317" s="663" t="s">
        <v>681</v>
      </c>
      <c r="C1317" s="657" t="s">
        <v>9138</v>
      </c>
      <c r="D1317" s="657" t="s">
        <v>9192</v>
      </c>
      <c r="E1317" s="663" t="s">
        <v>9193</v>
      </c>
      <c r="F1317" s="658">
        <v>0.1</v>
      </c>
      <c r="G1317" s="658">
        <v>0</v>
      </c>
      <c r="H1317" s="664"/>
      <c r="I1317" s="664">
        <f t="shared" si="17"/>
        <v>0</v>
      </c>
      <c r="J1317" s="661"/>
    </row>
    <row r="1318" spans="1:10" ht="18.75" customHeight="1">
      <c r="A1318" s="661"/>
      <c r="B1318" s="663" t="s">
        <v>681</v>
      </c>
      <c r="C1318" s="657" t="s">
        <v>9138</v>
      </c>
      <c r="D1318" s="657" t="s">
        <v>9194</v>
      </c>
      <c r="E1318" s="663" t="s">
        <v>9195</v>
      </c>
      <c r="F1318" s="658">
        <v>0.1</v>
      </c>
      <c r="G1318" s="658">
        <v>0</v>
      </c>
      <c r="H1318" s="664"/>
      <c r="I1318" s="664">
        <f t="shared" si="17"/>
        <v>0</v>
      </c>
      <c r="J1318" s="661"/>
    </row>
    <row r="1319" spans="1:10" ht="18.75" customHeight="1">
      <c r="A1319" s="661"/>
      <c r="B1319" s="663" t="s">
        <v>681</v>
      </c>
      <c r="C1319" s="657" t="s">
        <v>9138</v>
      </c>
      <c r="D1319" s="657" t="s">
        <v>9196</v>
      </c>
      <c r="E1319" s="663" t="s">
        <v>9197</v>
      </c>
      <c r="F1319" s="658">
        <v>0.1</v>
      </c>
      <c r="G1319" s="658">
        <v>0</v>
      </c>
      <c r="H1319" s="664"/>
      <c r="I1319" s="664">
        <f t="shared" si="17"/>
        <v>0</v>
      </c>
      <c r="J1319" s="661"/>
    </row>
    <row r="1320" spans="1:10" ht="18.75" customHeight="1">
      <c r="A1320" s="661"/>
      <c r="B1320" s="663" t="s">
        <v>681</v>
      </c>
      <c r="C1320" s="657" t="s">
        <v>9137</v>
      </c>
      <c r="D1320" s="657" t="s">
        <v>787</v>
      </c>
      <c r="E1320" s="663" t="s">
        <v>788</v>
      </c>
      <c r="F1320" s="658">
        <v>0.1</v>
      </c>
      <c r="G1320" s="658">
        <v>0</v>
      </c>
      <c r="H1320" s="664">
        <v>260700</v>
      </c>
      <c r="I1320" s="664">
        <f t="shared" si="17"/>
        <v>237000</v>
      </c>
      <c r="J1320" s="661"/>
    </row>
    <row r="1321" spans="1:10" ht="18.75" customHeight="1">
      <c r="A1321" s="661"/>
      <c r="B1321" s="663" t="s">
        <v>681</v>
      </c>
      <c r="C1321" s="657" t="s">
        <v>9137</v>
      </c>
      <c r="D1321" s="657" t="s">
        <v>9198</v>
      </c>
      <c r="E1321" s="663" t="s">
        <v>9199</v>
      </c>
      <c r="F1321" s="658">
        <v>0.1</v>
      </c>
      <c r="G1321" s="658">
        <v>0</v>
      </c>
      <c r="H1321" s="664"/>
      <c r="I1321" s="664">
        <f t="shared" si="17"/>
        <v>0</v>
      </c>
      <c r="J1321" s="661"/>
    </row>
    <row r="1322" spans="1:10" ht="18.75" customHeight="1">
      <c r="A1322" s="661"/>
      <c r="B1322" s="663" t="s">
        <v>681</v>
      </c>
      <c r="C1322" s="657" t="s">
        <v>9137</v>
      </c>
      <c r="D1322" s="657" t="s">
        <v>9200</v>
      </c>
      <c r="E1322" s="663" t="s">
        <v>9201</v>
      </c>
      <c r="F1322" s="658">
        <v>0.1</v>
      </c>
      <c r="G1322" s="658">
        <v>0</v>
      </c>
      <c r="H1322" s="664"/>
      <c r="I1322" s="664">
        <f t="shared" si="17"/>
        <v>0</v>
      </c>
      <c r="J1322" s="661"/>
    </row>
    <row r="1323" spans="1:10" ht="18.75" customHeight="1">
      <c r="A1323" s="661"/>
      <c r="B1323" s="663" t="s">
        <v>681</v>
      </c>
      <c r="C1323" s="657" t="s">
        <v>9137</v>
      </c>
      <c r="D1323" s="657" t="s">
        <v>789</v>
      </c>
      <c r="E1323" s="663" t="s">
        <v>790</v>
      </c>
      <c r="F1323" s="658">
        <v>0.1</v>
      </c>
      <c r="G1323" s="658">
        <v>0</v>
      </c>
      <c r="H1323" s="664"/>
      <c r="I1323" s="664">
        <f t="shared" si="17"/>
        <v>0</v>
      </c>
      <c r="J1323" s="661"/>
    </row>
    <row r="1324" spans="1:10" ht="18.75" customHeight="1">
      <c r="A1324" s="661"/>
      <c r="B1324" s="663" t="s">
        <v>681</v>
      </c>
      <c r="C1324" s="657" t="s">
        <v>9137</v>
      </c>
      <c r="D1324" s="657" t="s">
        <v>9202</v>
      </c>
      <c r="E1324" s="663" t="s">
        <v>9203</v>
      </c>
      <c r="F1324" s="658">
        <v>0.1</v>
      </c>
      <c r="G1324" s="658">
        <v>0</v>
      </c>
      <c r="H1324" s="664"/>
      <c r="I1324" s="664">
        <f t="shared" si="17"/>
        <v>0</v>
      </c>
      <c r="J1324" s="661"/>
    </row>
    <row r="1325" spans="1:10" ht="18.75" customHeight="1">
      <c r="A1325" s="661"/>
      <c r="B1325" s="663" t="s">
        <v>681</v>
      </c>
      <c r="C1325" s="657" t="s">
        <v>9138</v>
      </c>
      <c r="D1325" s="657" t="s">
        <v>9204</v>
      </c>
      <c r="E1325" s="663" t="s">
        <v>9205</v>
      </c>
      <c r="F1325" s="658">
        <v>0.1</v>
      </c>
      <c r="G1325" s="658">
        <v>0</v>
      </c>
      <c r="H1325" s="664"/>
      <c r="I1325" s="664">
        <f t="shared" si="17"/>
        <v>0</v>
      </c>
      <c r="J1325" s="661"/>
    </row>
    <row r="1326" spans="1:10" ht="18.75" customHeight="1">
      <c r="A1326" s="661"/>
      <c r="B1326" s="663" t="s">
        <v>681</v>
      </c>
      <c r="C1326" s="657" t="s">
        <v>9138</v>
      </c>
      <c r="D1326" s="657" t="s">
        <v>791</v>
      </c>
      <c r="E1326" s="663" t="s">
        <v>792</v>
      </c>
      <c r="F1326" s="658">
        <v>0.1</v>
      </c>
      <c r="G1326" s="658">
        <v>0</v>
      </c>
      <c r="H1326" s="664">
        <v>65000</v>
      </c>
      <c r="I1326" s="664">
        <f t="shared" si="17"/>
        <v>59090</v>
      </c>
      <c r="J1326" s="661"/>
    </row>
    <row r="1327" spans="1:10" ht="18.75" customHeight="1">
      <c r="A1327" s="661"/>
      <c r="B1327" s="663" t="s">
        <v>681</v>
      </c>
      <c r="C1327" s="657" t="s">
        <v>9138</v>
      </c>
      <c r="D1327" s="657" t="s">
        <v>793</v>
      </c>
      <c r="E1327" s="663" t="s">
        <v>794</v>
      </c>
      <c r="F1327" s="658">
        <v>0.1</v>
      </c>
      <c r="G1327" s="658">
        <v>0</v>
      </c>
      <c r="H1327" s="664">
        <v>72100</v>
      </c>
      <c r="I1327" s="664">
        <f t="shared" si="17"/>
        <v>65550</v>
      </c>
      <c r="J1327" s="661"/>
    </row>
    <row r="1328" spans="1:10" ht="18.75" customHeight="1">
      <c r="A1328" s="661"/>
      <c r="B1328" s="663" t="s">
        <v>681</v>
      </c>
      <c r="C1328" s="657" t="s">
        <v>9138</v>
      </c>
      <c r="D1328" s="657" t="s">
        <v>795</v>
      </c>
      <c r="E1328" s="663" t="s">
        <v>796</v>
      </c>
      <c r="F1328" s="658">
        <v>0.1</v>
      </c>
      <c r="G1328" s="658">
        <v>0</v>
      </c>
      <c r="H1328" s="664">
        <v>79000</v>
      </c>
      <c r="I1328" s="664">
        <f t="shared" si="17"/>
        <v>71820</v>
      </c>
      <c r="J1328" s="661"/>
    </row>
    <row r="1329" spans="1:10" ht="18.75" customHeight="1">
      <c r="A1329" s="661"/>
      <c r="B1329" s="663" t="s">
        <v>681</v>
      </c>
      <c r="C1329" s="657" t="s">
        <v>9138</v>
      </c>
      <c r="D1329" s="657" t="s">
        <v>797</v>
      </c>
      <c r="E1329" s="663" t="s">
        <v>798</v>
      </c>
      <c r="F1329" s="658">
        <v>0.1</v>
      </c>
      <c r="G1329" s="658">
        <v>0</v>
      </c>
      <c r="H1329" s="664">
        <v>84000</v>
      </c>
      <c r="I1329" s="664">
        <f t="shared" si="17"/>
        <v>76360</v>
      </c>
      <c r="J1329" s="661"/>
    </row>
    <row r="1330" spans="1:10" ht="18.75" customHeight="1">
      <c r="A1330" s="661"/>
      <c r="B1330" s="663" t="s">
        <v>681</v>
      </c>
      <c r="C1330" s="657" t="s">
        <v>9138</v>
      </c>
      <c r="D1330" s="657" t="s">
        <v>799</v>
      </c>
      <c r="E1330" s="663" t="s">
        <v>800</v>
      </c>
      <c r="F1330" s="658">
        <v>0.1</v>
      </c>
      <c r="G1330" s="658">
        <v>0</v>
      </c>
      <c r="H1330" s="664">
        <v>93000</v>
      </c>
      <c r="I1330" s="664">
        <f t="shared" si="17"/>
        <v>84550</v>
      </c>
      <c r="J1330" s="661"/>
    </row>
    <row r="1331" spans="1:10" ht="18.75" customHeight="1">
      <c r="A1331" s="661"/>
      <c r="B1331" s="663" t="s">
        <v>681</v>
      </c>
      <c r="C1331" s="657" t="s">
        <v>9138</v>
      </c>
      <c r="D1331" s="657" t="s">
        <v>801</v>
      </c>
      <c r="E1331" s="663" t="s">
        <v>802</v>
      </c>
      <c r="F1331" s="658">
        <v>0.1</v>
      </c>
      <c r="G1331" s="658">
        <v>0</v>
      </c>
      <c r="H1331" s="664">
        <v>103000</v>
      </c>
      <c r="I1331" s="664">
        <f t="shared" si="17"/>
        <v>93640</v>
      </c>
      <c r="J1331" s="661"/>
    </row>
    <row r="1332" spans="1:10" ht="18.75" customHeight="1">
      <c r="A1332" s="661"/>
      <c r="B1332" s="663" t="s">
        <v>681</v>
      </c>
      <c r="C1332" s="657" t="s">
        <v>9139</v>
      </c>
      <c r="D1332" s="657" t="s">
        <v>803</v>
      </c>
      <c r="E1332" s="663" t="s">
        <v>804</v>
      </c>
      <c r="F1332" s="658">
        <v>0.1</v>
      </c>
      <c r="G1332" s="658">
        <v>0</v>
      </c>
      <c r="H1332" s="664">
        <v>108000</v>
      </c>
      <c r="I1332" s="664">
        <f t="shared" si="17"/>
        <v>98180</v>
      </c>
      <c r="J1332" s="661"/>
    </row>
    <row r="1333" spans="1:10" ht="18.75" customHeight="1">
      <c r="A1333" s="661"/>
      <c r="B1333" s="663" t="s">
        <v>681</v>
      </c>
      <c r="C1333" s="657" t="s">
        <v>9138</v>
      </c>
      <c r="D1333" s="657" t="s">
        <v>805</v>
      </c>
      <c r="E1333" s="663" t="s">
        <v>806</v>
      </c>
      <c r="F1333" s="658">
        <v>0.1</v>
      </c>
      <c r="G1333" s="658">
        <v>0</v>
      </c>
      <c r="H1333" s="664">
        <v>116100</v>
      </c>
      <c r="I1333" s="664">
        <f t="shared" si="17"/>
        <v>105550</v>
      </c>
      <c r="J1333" s="661"/>
    </row>
    <row r="1334" spans="1:10" ht="18.75" customHeight="1">
      <c r="A1334" s="661"/>
      <c r="B1334" s="663" t="s">
        <v>681</v>
      </c>
      <c r="C1334" s="657" t="s">
        <v>9139</v>
      </c>
      <c r="D1334" s="657" t="s">
        <v>807</v>
      </c>
      <c r="E1334" s="663" t="s">
        <v>808</v>
      </c>
      <c r="F1334" s="658">
        <v>0.1</v>
      </c>
      <c r="G1334" s="658">
        <v>0</v>
      </c>
      <c r="H1334" s="664">
        <v>122000</v>
      </c>
      <c r="I1334" s="664">
        <f t="shared" si="17"/>
        <v>110910</v>
      </c>
      <c r="J1334" s="661"/>
    </row>
    <row r="1335" spans="1:10" ht="18.75" customHeight="1">
      <c r="A1335" s="661"/>
      <c r="B1335" s="663" t="s">
        <v>681</v>
      </c>
      <c r="C1335" s="657" t="s">
        <v>9138</v>
      </c>
      <c r="D1335" s="657" t="s">
        <v>809</v>
      </c>
      <c r="E1335" s="663" t="s">
        <v>810</v>
      </c>
      <c r="F1335" s="658">
        <v>0.1</v>
      </c>
      <c r="G1335" s="658">
        <v>0</v>
      </c>
      <c r="H1335" s="664">
        <v>130000</v>
      </c>
      <c r="I1335" s="664">
        <f t="shared" si="17"/>
        <v>118180</v>
      </c>
      <c r="J1335" s="661"/>
    </row>
    <row r="1336" spans="1:10" ht="18.75" customHeight="1">
      <c r="A1336" s="661"/>
      <c r="B1336" s="663" t="s">
        <v>681</v>
      </c>
      <c r="C1336" s="657" t="s">
        <v>9139</v>
      </c>
      <c r="D1336" s="657" t="s">
        <v>811</v>
      </c>
      <c r="E1336" s="663" t="s">
        <v>812</v>
      </c>
      <c r="F1336" s="658">
        <v>0.1</v>
      </c>
      <c r="G1336" s="658">
        <v>0</v>
      </c>
      <c r="H1336" s="664">
        <v>137000</v>
      </c>
      <c r="I1336" s="664">
        <f t="shared" si="17"/>
        <v>124550</v>
      </c>
      <c r="J1336" s="661"/>
    </row>
    <row r="1337" spans="1:10" ht="18.75" customHeight="1">
      <c r="A1337" s="661"/>
      <c r="B1337" s="663" t="s">
        <v>681</v>
      </c>
      <c r="C1337" s="657" t="s">
        <v>9139</v>
      </c>
      <c r="D1337" s="657" t="s">
        <v>9206</v>
      </c>
      <c r="E1337" s="663" t="s">
        <v>9207</v>
      </c>
      <c r="F1337" s="658">
        <v>0.1</v>
      </c>
      <c r="G1337" s="658">
        <v>0</v>
      </c>
      <c r="H1337" s="664"/>
      <c r="I1337" s="664">
        <f t="shared" si="17"/>
        <v>0</v>
      </c>
      <c r="J1337" s="661"/>
    </row>
    <row r="1338" spans="1:10" ht="18.75" customHeight="1">
      <c r="A1338" s="661"/>
      <c r="B1338" s="663" t="s">
        <v>681</v>
      </c>
      <c r="C1338" s="657" t="s">
        <v>9138</v>
      </c>
      <c r="D1338" s="657" t="s">
        <v>813</v>
      </c>
      <c r="E1338" s="663" t="s">
        <v>814</v>
      </c>
      <c r="F1338" s="658">
        <v>0.1</v>
      </c>
      <c r="G1338" s="658">
        <v>0</v>
      </c>
      <c r="H1338" s="664">
        <v>143000</v>
      </c>
      <c r="I1338" s="664">
        <f t="shared" si="17"/>
        <v>130000</v>
      </c>
      <c r="J1338" s="661"/>
    </row>
    <row r="1339" spans="1:10" ht="18.75" customHeight="1">
      <c r="A1339" s="661"/>
      <c r="B1339" s="663" t="s">
        <v>681</v>
      </c>
      <c r="C1339" s="657" t="s">
        <v>9137</v>
      </c>
      <c r="D1339" s="657" t="s">
        <v>815</v>
      </c>
      <c r="E1339" s="663" t="s">
        <v>816</v>
      </c>
      <c r="F1339" s="658">
        <v>0.1</v>
      </c>
      <c r="G1339" s="658">
        <v>0</v>
      </c>
      <c r="H1339" s="664">
        <v>156000</v>
      </c>
      <c r="I1339" s="664">
        <f t="shared" si="17"/>
        <v>141820</v>
      </c>
      <c r="J1339" s="661"/>
    </row>
    <row r="1340" spans="1:10" ht="18.75" customHeight="1">
      <c r="A1340" s="661"/>
      <c r="B1340" s="663" t="s">
        <v>681</v>
      </c>
      <c r="C1340" s="657" t="s">
        <v>9137</v>
      </c>
      <c r="D1340" s="657" t="s">
        <v>9208</v>
      </c>
      <c r="E1340" s="663" t="s">
        <v>9209</v>
      </c>
      <c r="F1340" s="658">
        <v>0.1</v>
      </c>
      <c r="G1340" s="658">
        <v>0</v>
      </c>
      <c r="H1340" s="664"/>
      <c r="I1340" s="664">
        <f t="shared" si="17"/>
        <v>0</v>
      </c>
      <c r="J1340" s="661"/>
    </row>
    <row r="1341" spans="1:10" ht="18.75" customHeight="1">
      <c r="A1341" s="661"/>
      <c r="B1341" s="663" t="s">
        <v>681</v>
      </c>
      <c r="C1341" s="657" t="s">
        <v>9137</v>
      </c>
      <c r="D1341" s="657" t="s">
        <v>817</v>
      </c>
      <c r="E1341" s="663" t="s">
        <v>818</v>
      </c>
      <c r="F1341" s="658">
        <v>0.1</v>
      </c>
      <c r="G1341" s="658">
        <v>0</v>
      </c>
      <c r="H1341" s="664">
        <v>187000</v>
      </c>
      <c r="I1341" s="664">
        <f t="shared" si="17"/>
        <v>170000</v>
      </c>
      <c r="J1341" s="661"/>
    </row>
    <row r="1342" spans="1:10" ht="18.75" customHeight="1">
      <c r="A1342" s="661"/>
      <c r="B1342" s="663" t="s">
        <v>681</v>
      </c>
      <c r="C1342" s="657" t="s">
        <v>9137</v>
      </c>
      <c r="D1342" s="657" t="s">
        <v>9210</v>
      </c>
      <c r="E1342" s="663" t="s">
        <v>9211</v>
      </c>
      <c r="F1342" s="658">
        <v>0.1</v>
      </c>
      <c r="G1342" s="658">
        <v>0</v>
      </c>
      <c r="H1342" s="664"/>
      <c r="I1342" s="664">
        <f t="shared" si="17"/>
        <v>0</v>
      </c>
      <c r="J1342" s="661"/>
    </row>
    <row r="1343" spans="1:10" ht="18.75" customHeight="1">
      <c r="A1343" s="661"/>
      <c r="B1343" s="663" t="s">
        <v>681</v>
      </c>
      <c r="C1343" s="657" t="s">
        <v>9137</v>
      </c>
      <c r="D1343" s="657" t="s">
        <v>819</v>
      </c>
      <c r="E1343" s="663" t="s">
        <v>820</v>
      </c>
      <c r="F1343" s="658">
        <v>0.1</v>
      </c>
      <c r="G1343" s="658">
        <v>0</v>
      </c>
      <c r="H1343" s="664">
        <v>199000</v>
      </c>
      <c r="I1343" s="664">
        <f t="shared" si="17"/>
        <v>180910</v>
      </c>
      <c r="J1343" s="661"/>
    </row>
    <row r="1344" spans="1:10" ht="18.75" customHeight="1">
      <c r="A1344" s="661"/>
      <c r="B1344" s="663" t="s">
        <v>681</v>
      </c>
      <c r="C1344" s="657" t="s">
        <v>9138</v>
      </c>
      <c r="D1344" s="657" t="s">
        <v>9212</v>
      </c>
      <c r="E1344" s="663" t="s">
        <v>9213</v>
      </c>
      <c r="F1344" s="658">
        <v>0.1</v>
      </c>
      <c r="G1344" s="658">
        <v>0</v>
      </c>
      <c r="H1344" s="664"/>
      <c r="I1344" s="664">
        <f t="shared" si="17"/>
        <v>0</v>
      </c>
      <c r="J1344" s="661"/>
    </row>
    <row r="1345" spans="1:10" ht="18.75" customHeight="1">
      <c r="A1345" s="661"/>
      <c r="B1345" s="663" t="s">
        <v>681</v>
      </c>
      <c r="C1345" s="657" t="s">
        <v>9138</v>
      </c>
      <c r="D1345" s="657" t="s">
        <v>821</v>
      </c>
      <c r="E1345" s="663" t="s">
        <v>822</v>
      </c>
      <c r="F1345" s="658">
        <v>0.1</v>
      </c>
      <c r="G1345" s="658">
        <v>0</v>
      </c>
      <c r="H1345" s="664">
        <v>239000</v>
      </c>
      <c r="I1345" s="664">
        <f t="shared" si="17"/>
        <v>217270</v>
      </c>
      <c r="J1345" s="661"/>
    </row>
    <row r="1346" spans="1:10" ht="18.75" customHeight="1">
      <c r="A1346" s="661"/>
      <c r="B1346" s="663" t="s">
        <v>681</v>
      </c>
      <c r="C1346" s="657" t="s">
        <v>9137</v>
      </c>
      <c r="D1346" s="657" t="s">
        <v>823</v>
      </c>
      <c r="E1346" s="663" t="s">
        <v>824</v>
      </c>
      <c r="F1346" s="658">
        <v>0.1</v>
      </c>
      <c r="G1346" s="658">
        <v>0</v>
      </c>
      <c r="H1346" s="664">
        <v>245000</v>
      </c>
      <c r="I1346" s="664">
        <f t="shared" si="17"/>
        <v>222730</v>
      </c>
      <c r="J1346" s="661"/>
    </row>
    <row r="1347" spans="1:10" ht="18.75" customHeight="1">
      <c r="A1347" s="661"/>
      <c r="B1347" s="663" t="s">
        <v>681</v>
      </c>
      <c r="C1347" s="657" t="s">
        <v>9137</v>
      </c>
      <c r="D1347" s="657" t="s">
        <v>9214</v>
      </c>
      <c r="E1347" s="663" t="s">
        <v>9215</v>
      </c>
      <c r="F1347" s="658">
        <v>0.1</v>
      </c>
      <c r="G1347" s="658">
        <v>0</v>
      </c>
      <c r="H1347" s="664"/>
      <c r="I1347" s="664">
        <f t="shared" si="17"/>
        <v>0</v>
      </c>
      <c r="J1347" s="661"/>
    </row>
    <row r="1348" spans="1:10" ht="18.75" customHeight="1">
      <c r="A1348" s="661"/>
      <c r="B1348" s="663" t="s">
        <v>681</v>
      </c>
      <c r="C1348" s="657" t="s">
        <v>9137</v>
      </c>
      <c r="D1348" s="657" t="s">
        <v>825</v>
      </c>
      <c r="E1348" s="663" t="s">
        <v>826</v>
      </c>
      <c r="F1348" s="658">
        <v>0.1</v>
      </c>
      <c r="G1348" s="658">
        <v>0</v>
      </c>
      <c r="H1348" s="664">
        <v>260000</v>
      </c>
      <c r="I1348" s="664">
        <f t="shared" si="17"/>
        <v>236360</v>
      </c>
      <c r="J1348" s="661"/>
    </row>
    <row r="1349" spans="1:10" ht="18.75" customHeight="1">
      <c r="A1349" s="661"/>
      <c r="B1349" s="663" t="s">
        <v>681</v>
      </c>
      <c r="C1349" s="657" t="s">
        <v>9137</v>
      </c>
      <c r="D1349" s="657" t="s">
        <v>9216</v>
      </c>
      <c r="E1349" s="663" t="s">
        <v>9217</v>
      </c>
      <c r="F1349" s="658">
        <v>0.1</v>
      </c>
      <c r="G1349" s="658">
        <v>0</v>
      </c>
      <c r="H1349" s="664"/>
      <c r="I1349" s="664">
        <f t="shared" si="17"/>
        <v>0</v>
      </c>
      <c r="J1349" s="661"/>
    </row>
    <row r="1350" spans="1:10" ht="18.75" customHeight="1">
      <c r="A1350" s="661"/>
      <c r="B1350" s="663" t="s">
        <v>681</v>
      </c>
      <c r="C1350" s="657" t="s">
        <v>9137</v>
      </c>
      <c r="D1350" s="657" t="s">
        <v>9218</v>
      </c>
      <c r="E1350" s="663" t="s">
        <v>9219</v>
      </c>
      <c r="F1350" s="658">
        <v>0.1</v>
      </c>
      <c r="G1350" s="658">
        <v>0</v>
      </c>
      <c r="H1350" s="664"/>
      <c r="I1350" s="664">
        <f t="shared" si="17"/>
        <v>0</v>
      </c>
      <c r="J1350" s="661"/>
    </row>
    <row r="1351" spans="1:10" ht="18.75" customHeight="1">
      <c r="A1351" s="661"/>
      <c r="B1351" s="663" t="s">
        <v>681</v>
      </c>
      <c r="C1351" s="657" t="s">
        <v>9137</v>
      </c>
      <c r="D1351" s="657" t="s">
        <v>9220</v>
      </c>
      <c r="E1351" s="663" t="s">
        <v>9221</v>
      </c>
      <c r="F1351" s="658">
        <v>0.1</v>
      </c>
      <c r="G1351" s="658">
        <v>0</v>
      </c>
      <c r="H1351" s="664"/>
      <c r="I1351" s="664">
        <f t="shared" si="17"/>
        <v>0</v>
      </c>
      <c r="J1351" s="661"/>
    </row>
    <row r="1352" spans="1:10" ht="18.75" customHeight="1">
      <c r="A1352" s="661"/>
      <c r="B1352" s="663" t="s">
        <v>681</v>
      </c>
      <c r="C1352" s="657" t="s">
        <v>9137</v>
      </c>
      <c r="D1352" s="657" t="s">
        <v>9222</v>
      </c>
      <c r="E1352" s="663" t="s">
        <v>9223</v>
      </c>
      <c r="F1352" s="658">
        <v>0.1</v>
      </c>
      <c r="G1352" s="658">
        <v>0</v>
      </c>
      <c r="H1352" s="664"/>
      <c r="I1352" s="664">
        <f t="shared" si="17"/>
        <v>0</v>
      </c>
      <c r="J1352" s="661"/>
    </row>
    <row r="1353" spans="1:10" ht="18.75" customHeight="1">
      <c r="A1353" s="661"/>
      <c r="B1353" s="663" t="s">
        <v>681</v>
      </c>
      <c r="C1353" s="657" t="s">
        <v>9137</v>
      </c>
      <c r="D1353" s="657" t="s">
        <v>9224</v>
      </c>
      <c r="E1353" s="663" t="s">
        <v>828</v>
      </c>
      <c r="F1353" s="658">
        <v>0.1</v>
      </c>
      <c r="G1353" s="658">
        <v>0</v>
      </c>
      <c r="H1353" s="664">
        <v>297000</v>
      </c>
      <c r="I1353" s="664">
        <f t="shared" si="17"/>
        <v>270000</v>
      </c>
      <c r="J1353" s="661"/>
    </row>
    <row r="1354" spans="1:10" ht="18.75" customHeight="1">
      <c r="A1354" s="661"/>
      <c r="B1354" s="663" t="s">
        <v>681</v>
      </c>
      <c r="C1354" s="657" t="s">
        <v>9137</v>
      </c>
      <c r="D1354" s="657" t="s">
        <v>829</v>
      </c>
      <c r="E1354" s="663" t="s">
        <v>830</v>
      </c>
      <c r="F1354" s="658">
        <v>0.1</v>
      </c>
      <c r="G1354" s="658">
        <v>0</v>
      </c>
      <c r="H1354" s="664">
        <v>309000</v>
      </c>
      <c r="I1354" s="664">
        <f t="shared" si="17"/>
        <v>280910</v>
      </c>
      <c r="J1354" s="661"/>
    </row>
    <row r="1355" spans="1:10" ht="18.75" customHeight="1">
      <c r="A1355" s="661"/>
      <c r="B1355" s="663" t="s">
        <v>681</v>
      </c>
      <c r="C1355" s="657" t="s">
        <v>9137</v>
      </c>
      <c r="D1355" s="657" t="s">
        <v>9225</v>
      </c>
      <c r="E1355" s="663" t="s">
        <v>9226</v>
      </c>
      <c r="F1355" s="658">
        <v>0.1</v>
      </c>
      <c r="G1355" s="658">
        <v>0</v>
      </c>
      <c r="H1355" s="664"/>
      <c r="I1355" s="664">
        <f t="shared" si="17"/>
        <v>0</v>
      </c>
      <c r="J1355" s="661"/>
    </row>
    <row r="1356" spans="1:10" ht="18.75" customHeight="1">
      <c r="A1356" s="661"/>
      <c r="B1356" s="663" t="s">
        <v>681</v>
      </c>
      <c r="C1356" s="657" t="s">
        <v>9137</v>
      </c>
      <c r="D1356" s="657" t="s">
        <v>9227</v>
      </c>
      <c r="E1356" s="663" t="s">
        <v>9228</v>
      </c>
      <c r="F1356" s="658">
        <v>0.1</v>
      </c>
      <c r="G1356" s="658">
        <v>0</v>
      </c>
      <c r="H1356" s="664"/>
      <c r="I1356" s="664">
        <f t="shared" si="17"/>
        <v>0</v>
      </c>
      <c r="J1356" s="661"/>
    </row>
    <row r="1357" spans="1:10" ht="18.75" customHeight="1">
      <c r="A1357" s="661"/>
      <c r="B1357" s="663" t="s">
        <v>681</v>
      </c>
      <c r="C1357" s="657" t="s">
        <v>9137</v>
      </c>
      <c r="D1357" s="657" t="s">
        <v>831</v>
      </c>
      <c r="E1357" s="663" t="s">
        <v>832</v>
      </c>
      <c r="F1357" s="658">
        <v>0.1</v>
      </c>
      <c r="G1357" s="658">
        <v>0</v>
      </c>
      <c r="H1357" s="664">
        <v>388000</v>
      </c>
      <c r="I1357" s="664">
        <f t="shared" si="17"/>
        <v>352730</v>
      </c>
      <c r="J1357" s="661"/>
    </row>
    <row r="1358" spans="1:10" ht="18.75" customHeight="1">
      <c r="A1358" s="661"/>
      <c r="B1358" s="663" t="s">
        <v>681</v>
      </c>
      <c r="C1358" s="657" t="s">
        <v>9137</v>
      </c>
      <c r="D1358" s="657" t="s">
        <v>9229</v>
      </c>
      <c r="E1358" s="663" t="s">
        <v>9230</v>
      </c>
      <c r="F1358" s="658">
        <v>0.1</v>
      </c>
      <c r="G1358" s="658">
        <v>0</v>
      </c>
      <c r="H1358" s="664"/>
      <c r="I1358" s="664">
        <f t="shared" si="17"/>
        <v>0</v>
      </c>
      <c r="J1358" s="661"/>
    </row>
    <row r="1359" spans="1:10" ht="18.75" customHeight="1">
      <c r="A1359" s="661"/>
      <c r="B1359" s="663" t="s">
        <v>681</v>
      </c>
      <c r="C1359" s="657" t="s">
        <v>9137</v>
      </c>
      <c r="D1359" s="657" t="s">
        <v>9231</v>
      </c>
      <c r="E1359" s="663" t="s">
        <v>9232</v>
      </c>
      <c r="F1359" s="658">
        <v>0.1</v>
      </c>
      <c r="G1359" s="658">
        <v>0</v>
      </c>
      <c r="H1359" s="664"/>
      <c r="I1359" s="664">
        <f t="shared" si="17"/>
        <v>0</v>
      </c>
      <c r="J1359" s="661"/>
    </row>
    <row r="1360" spans="1:10" ht="18.75" customHeight="1">
      <c r="A1360" s="661"/>
      <c r="B1360" s="663" t="s">
        <v>681</v>
      </c>
      <c r="C1360" s="657" t="s">
        <v>9137</v>
      </c>
      <c r="D1360" s="657" t="s">
        <v>9233</v>
      </c>
      <c r="E1360" s="663" t="s">
        <v>9234</v>
      </c>
      <c r="F1360" s="658">
        <v>0.1</v>
      </c>
      <c r="G1360" s="658">
        <v>0</v>
      </c>
      <c r="H1360" s="664"/>
      <c r="I1360" s="664">
        <f t="shared" si="17"/>
        <v>0</v>
      </c>
      <c r="J1360" s="661"/>
    </row>
    <row r="1361" spans="1:10" ht="18.75" customHeight="1">
      <c r="A1361" s="661"/>
      <c r="B1361" s="663" t="s">
        <v>681</v>
      </c>
      <c r="C1361" s="657" t="s">
        <v>9137</v>
      </c>
      <c r="D1361" s="657" t="s">
        <v>833</v>
      </c>
      <c r="E1361" s="663" t="s">
        <v>834</v>
      </c>
      <c r="F1361" s="658">
        <v>0.1</v>
      </c>
      <c r="G1361" s="658">
        <v>0</v>
      </c>
      <c r="H1361" s="664">
        <v>116100</v>
      </c>
      <c r="I1361" s="664">
        <f t="shared" si="17"/>
        <v>105550</v>
      </c>
      <c r="J1361" s="661"/>
    </row>
    <row r="1362" spans="1:10" ht="18.75" customHeight="1">
      <c r="A1362" s="661"/>
      <c r="B1362" s="663" t="s">
        <v>681</v>
      </c>
      <c r="C1362" s="657" t="s">
        <v>9137</v>
      </c>
      <c r="D1362" s="657" t="s">
        <v>835</v>
      </c>
      <c r="E1362" s="663" t="s">
        <v>836</v>
      </c>
      <c r="F1362" s="658">
        <v>0.1</v>
      </c>
      <c r="G1362" s="658">
        <v>0</v>
      </c>
      <c r="H1362" s="664">
        <v>122000</v>
      </c>
      <c r="I1362" s="664">
        <f t="shared" si="17"/>
        <v>110910</v>
      </c>
      <c r="J1362" s="661"/>
    </row>
    <row r="1363" spans="1:10" ht="18.75" customHeight="1">
      <c r="A1363" s="661"/>
      <c r="B1363" s="663" t="s">
        <v>681</v>
      </c>
      <c r="C1363" s="657" t="s">
        <v>9137</v>
      </c>
      <c r="D1363" s="657" t="s">
        <v>837</v>
      </c>
      <c r="E1363" s="663" t="s">
        <v>838</v>
      </c>
      <c r="F1363" s="658">
        <v>0.1</v>
      </c>
      <c r="G1363" s="658">
        <v>0</v>
      </c>
      <c r="H1363" s="664">
        <v>128000</v>
      </c>
      <c r="I1363" s="664">
        <f t="shared" si="17"/>
        <v>116360</v>
      </c>
      <c r="J1363" s="661"/>
    </row>
    <row r="1364" spans="1:10" ht="18.75" customHeight="1">
      <c r="A1364" s="661"/>
      <c r="B1364" s="663" t="s">
        <v>681</v>
      </c>
      <c r="C1364" s="657" t="s">
        <v>9137</v>
      </c>
      <c r="D1364" s="657" t="s">
        <v>839</v>
      </c>
      <c r="E1364" s="663" t="s">
        <v>840</v>
      </c>
      <c r="F1364" s="658">
        <v>0.1</v>
      </c>
      <c r="G1364" s="658">
        <v>0</v>
      </c>
      <c r="H1364" s="664">
        <v>134000</v>
      </c>
      <c r="I1364" s="664">
        <f t="shared" si="17"/>
        <v>121820</v>
      </c>
      <c r="J1364" s="661"/>
    </row>
    <row r="1365" spans="1:10" ht="18.75" customHeight="1">
      <c r="A1365" s="661"/>
      <c r="B1365" s="663" t="s">
        <v>681</v>
      </c>
      <c r="C1365" s="657" t="s">
        <v>9137</v>
      </c>
      <c r="D1365" s="657" t="s">
        <v>841</v>
      </c>
      <c r="E1365" s="663" t="s">
        <v>842</v>
      </c>
      <c r="F1365" s="658">
        <v>0.1</v>
      </c>
      <c r="G1365" s="658">
        <v>0</v>
      </c>
      <c r="H1365" s="664">
        <v>137000</v>
      </c>
      <c r="I1365" s="664">
        <f t="shared" si="17"/>
        <v>124550</v>
      </c>
      <c r="J1365" s="661"/>
    </row>
    <row r="1366" spans="1:10" ht="18.75" customHeight="1">
      <c r="A1366" s="661"/>
      <c r="B1366" s="663" t="s">
        <v>681</v>
      </c>
      <c r="C1366" s="657" t="s">
        <v>9137</v>
      </c>
      <c r="D1366" s="657" t="s">
        <v>843</v>
      </c>
      <c r="E1366" s="663" t="s">
        <v>844</v>
      </c>
      <c r="F1366" s="658">
        <v>0.1</v>
      </c>
      <c r="G1366" s="658">
        <v>0</v>
      </c>
      <c r="H1366" s="664">
        <v>148000</v>
      </c>
      <c r="I1366" s="664">
        <f t="shared" si="17"/>
        <v>134550</v>
      </c>
      <c r="J1366" s="661"/>
    </row>
    <row r="1367" spans="1:10" ht="18.75" customHeight="1">
      <c r="A1367" s="661"/>
      <c r="B1367" s="663" t="s">
        <v>681</v>
      </c>
      <c r="C1367" s="657" t="s">
        <v>9137</v>
      </c>
      <c r="D1367" s="657" t="s">
        <v>845</v>
      </c>
      <c r="E1367" s="663" t="s">
        <v>846</v>
      </c>
      <c r="F1367" s="658">
        <v>0.1</v>
      </c>
      <c r="G1367" s="658">
        <v>0</v>
      </c>
      <c r="H1367" s="664">
        <v>163000</v>
      </c>
      <c r="I1367" s="664">
        <f t="shared" si="17"/>
        <v>148180</v>
      </c>
      <c r="J1367" s="661"/>
    </row>
    <row r="1368" spans="1:10" ht="18.75" customHeight="1">
      <c r="A1368" s="661"/>
      <c r="B1368" s="663" t="s">
        <v>681</v>
      </c>
      <c r="C1368" s="657" t="s">
        <v>9137</v>
      </c>
      <c r="D1368" s="657" t="s">
        <v>847</v>
      </c>
      <c r="E1368" s="663" t="s">
        <v>848</v>
      </c>
      <c r="F1368" s="658">
        <v>0.1</v>
      </c>
      <c r="G1368" s="658">
        <v>0</v>
      </c>
      <c r="H1368" s="664">
        <v>165000</v>
      </c>
      <c r="I1368" s="664">
        <f t="shared" si="17"/>
        <v>150000</v>
      </c>
      <c r="J1368" s="661"/>
    </row>
    <row r="1369" spans="1:10" ht="18.75" customHeight="1">
      <c r="A1369" s="661"/>
      <c r="B1369" s="663" t="s">
        <v>681</v>
      </c>
      <c r="C1369" s="657" t="s">
        <v>9137</v>
      </c>
      <c r="D1369" s="657" t="s">
        <v>9235</v>
      </c>
      <c r="E1369" s="663" t="s">
        <v>9236</v>
      </c>
      <c r="F1369" s="658">
        <v>0.1</v>
      </c>
      <c r="G1369" s="658">
        <v>0</v>
      </c>
      <c r="H1369" s="664"/>
      <c r="I1369" s="664">
        <f t="shared" si="17"/>
        <v>0</v>
      </c>
      <c r="J1369" s="661"/>
    </row>
    <row r="1370" spans="1:10" ht="18.75" customHeight="1">
      <c r="A1370" s="661"/>
      <c r="B1370" s="663" t="s">
        <v>681</v>
      </c>
      <c r="C1370" s="657" t="s">
        <v>9137</v>
      </c>
      <c r="D1370" s="657" t="s">
        <v>849</v>
      </c>
      <c r="E1370" s="663" t="s">
        <v>850</v>
      </c>
      <c r="F1370" s="658">
        <v>0.1</v>
      </c>
      <c r="G1370" s="658">
        <v>0</v>
      </c>
      <c r="H1370" s="664">
        <v>196000</v>
      </c>
      <c r="I1370" s="664">
        <f t="shared" si="17"/>
        <v>178180</v>
      </c>
      <c r="J1370" s="661"/>
    </row>
    <row r="1371" spans="1:10" ht="18.75" customHeight="1">
      <c r="A1371" s="661"/>
      <c r="B1371" s="663" t="s">
        <v>681</v>
      </c>
      <c r="C1371" s="657" t="s">
        <v>9137</v>
      </c>
      <c r="D1371" s="657" t="s">
        <v>9237</v>
      </c>
      <c r="E1371" s="663" t="s">
        <v>9238</v>
      </c>
      <c r="F1371" s="658">
        <v>0.1</v>
      </c>
      <c r="G1371" s="658">
        <v>0</v>
      </c>
      <c r="H1371" s="664"/>
      <c r="I1371" s="664">
        <f t="shared" si="17"/>
        <v>0</v>
      </c>
      <c r="J1371" s="661"/>
    </row>
    <row r="1372" spans="1:10" ht="18.75" customHeight="1">
      <c r="A1372" s="661"/>
      <c r="B1372" s="663" t="s">
        <v>681</v>
      </c>
      <c r="C1372" s="657" t="s">
        <v>9137</v>
      </c>
      <c r="D1372" s="657" t="s">
        <v>851</v>
      </c>
      <c r="E1372" s="663" t="s">
        <v>852</v>
      </c>
      <c r="F1372" s="658">
        <v>0.1</v>
      </c>
      <c r="G1372" s="658">
        <v>0</v>
      </c>
      <c r="H1372" s="664">
        <v>209000</v>
      </c>
      <c r="I1372" s="664">
        <f t="shared" si="17"/>
        <v>190000</v>
      </c>
      <c r="J1372" s="661"/>
    </row>
    <row r="1373" spans="1:10" ht="18.75" customHeight="1">
      <c r="A1373" s="661"/>
      <c r="B1373" s="663" t="s">
        <v>681</v>
      </c>
      <c r="C1373" s="657" t="s">
        <v>9137</v>
      </c>
      <c r="D1373" s="657" t="s">
        <v>9239</v>
      </c>
      <c r="E1373" s="663" t="s">
        <v>9240</v>
      </c>
      <c r="F1373" s="658">
        <v>0.1</v>
      </c>
      <c r="G1373" s="658">
        <v>0</v>
      </c>
      <c r="H1373" s="664"/>
      <c r="I1373" s="664">
        <f t="shared" si="17"/>
        <v>0</v>
      </c>
      <c r="J1373" s="661"/>
    </row>
    <row r="1374" spans="1:10" ht="18.75" customHeight="1">
      <c r="A1374" s="661"/>
      <c r="B1374" s="663" t="s">
        <v>681</v>
      </c>
      <c r="C1374" s="657" t="s">
        <v>9137</v>
      </c>
      <c r="D1374" s="657" t="s">
        <v>853</v>
      </c>
      <c r="E1374" s="663" t="s">
        <v>854</v>
      </c>
      <c r="F1374" s="658">
        <v>0.1</v>
      </c>
      <c r="G1374" s="658">
        <v>0</v>
      </c>
      <c r="H1374" s="664">
        <v>226100</v>
      </c>
      <c r="I1374" s="664">
        <f t="shared" si="17"/>
        <v>205550</v>
      </c>
      <c r="J1374" s="661"/>
    </row>
    <row r="1375" spans="1:10" ht="18.75" customHeight="1">
      <c r="A1375" s="661"/>
      <c r="B1375" s="663" t="s">
        <v>681</v>
      </c>
      <c r="C1375" s="657" t="s">
        <v>9137</v>
      </c>
      <c r="D1375" s="657" t="s">
        <v>9241</v>
      </c>
      <c r="E1375" s="663" t="s">
        <v>9242</v>
      </c>
      <c r="F1375" s="658">
        <v>0.1</v>
      </c>
      <c r="G1375" s="658">
        <v>0</v>
      </c>
      <c r="H1375" s="664"/>
      <c r="I1375" s="664">
        <f t="shared" si="17"/>
        <v>0</v>
      </c>
      <c r="J1375" s="661"/>
    </row>
    <row r="1376" spans="1:10" ht="18.75" customHeight="1">
      <c r="A1376" s="661"/>
      <c r="B1376" s="663" t="s">
        <v>681</v>
      </c>
      <c r="C1376" s="657" t="s">
        <v>9137</v>
      </c>
      <c r="D1376" s="657" t="s">
        <v>855</v>
      </c>
      <c r="E1376" s="663" t="s">
        <v>856</v>
      </c>
      <c r="F1376" s="658">
        <v>0.1</v>
      </c>
      <c r="G1376" s="658">
        <v>0</v>
      </c>
      <c r="H1376" s="664">
        <v>240000</v>
      </c>
      <c r="I1376" s="664">
        <f t="shared" si="17"/>
        <v>218180</v>
      </c>
      <c r="J1376" s="661"/>
    </row>
    <row r="1377" spans="1:10" ht="18.75" customHeight="1">
      <c r="A1377" s="661"/>
      <c r="B1377" s="663" t="s">
        <v>681</v>
      </c>
      <c r="C1377" s="657" t="s">
        <v>9137</v>
      </c>
      <c r="D1377" s="657" t="s">
        <v>9243</v>
      </c>
      <c r="E1377" s="663" t="s">
        <v>9244</v>
      </c>
      <c r="F1377" s="658">
        <v>0.1</v>
      </c>
      <c r="G1377" s="658">
        <v>0</v>
      </c>
      <c r="H1377" s="664"/>
      <c r="I1377" s="664">
        <f t="shared" si="17"/>
        <v>0</v>
      </c>
      <c r="J1377" s="661"/>
    </row>
    <row r="1378" spans="1:10" ht="18.75" customHeight="1">
      <c r="A1378" s="661"/>
      <c r="B1378" s="663" t="s">
        <v>681</v>
      </c>
      <c r="C1378" s="657" t="s">
        <v>9137</v>
      </c>
      <c r="D1378" s="657" t="s">
        <v>857</v>
      </c>
      <c r="E1378" s="663" t="s">
        <v>858</v>
      </c>
      <c r="F1378" s="658">
        <v>0.1</v>
      </c>
      <c r="G1378" s="658">
        <v>0</v>
      </c>
      <c r="H1378" s="664">
        <v>268000</v>
      </c>
      <c r="I1378" s="664">
        <f t="shared" si="17"/>
        <v>243640</v>
      </c>
      <c r="J1378" s="661"/>
    </row>
    <row r="1379" spans="1:10" ht="18.75" customHeight="1">
      <c r="A1379" s="661"/>
      <c r="B1379" s="663" t="s">
        <v>681</v>
      </c>
      <c r="C1379" s="657" t="s">
        <v>9137</v>
      </c>
      <c r="D1379" s="657" t="s">
        <v>9245</v>
      </c>
      <c r="E1379" s="663" t="s">
        <v>9246</v>
      </c>
      <c r="F1379" s="658">
        <v>0.1</v>
      </c>
      <c r="G1379" s="658">
        <v>0</v>
      </c>
      <c r="H1379" s="664"/>
      <c r="I1379" s="664">
        <f t="shared" si="17"/>
        <v>0</v>
      </c>
      <c r="J1379" s="661"/>
    </row>
    <row r="1380" spans="1:10" ht="18.75" customHeight="1">
      <c r="A1380" s="661"/>
      <c r="B1380" s="663" t="s">
        <v>681</v>
      </c>
      <c r="C1380" s="657" t="s">
        <v>9137</v>
      </c>
      <c r="D1380" s="657" t="s">
        <v>859</v>
      </c>
      <c r="E1380" s="663" t="s">
        <v>860</v>
      </c>
      <c r="F1380" s="658">
        <v>0.1</v>
      </c>
      <c r="G1380" s="658">
        <v>0</v>
      </c>
      <c r="H1380" s="664">
        <v>311000</v>
      </c>
      <c r="I1380" s="664">
        <f t="shared" si="17"/>
        <v>282730</v>
      </c>
      <c r="J1380" s="661"/>
    </row>
    <row r="1381" spans="1:10" ht="18.75" customHeight="1">
      <c r="A1381" s="661"/>
      <c r="B1381" s="663" t="s">
        <v>681</v>
      </c>
      <c r="C1381" s="657" t="s">
        <v>9137</v>
      </c>
      <c r="D1381" s="657" t="s">
        <v>861</v>
      </c>
      <c r="E1381" s="663" t="s">
        <v>862</v>
      </c>
      <c r="F1381" s="658">
        <v>0.1</v>
      </c>
      <c r="G1381" s="658">
        <v>0</v>
      </c>
      <c r="H1381" s="664">
        <v>320000</v>
      </c>
      <c r="I1381" s="664">
        <f t="shared" si="17"/>
        <v>290910</v>
      </c>
      <c r="J1381" s="661"/>
    </row>
    <row r="1382" spans="1:10" ht="18.75" customHeight="1">
      <c r="A1382" s="661"/>
      <c r="B1382" s="663" t="s">
        <v>681</v>
      </c>
      <c r="C1382" s="657" t="s">
        <v>9137</v>
      </c>
      <c r="D1382" s="657" t="s">
        <v>9247</v>
      </c>
      <c r="E1382" s="663" t="s">
        <v>9248</v>
      </c>
      <c r="F1382" s="658">
        <v>0.1</v>
      </c>
      <c r="G1382" s="658">
        <v>0</v>
      </c>
      <c r="H1382" s="664"/>
      <c r="I1382" s="664">
        <f t="shared" si="17"/>
        <v>0</v>
      </c>
      <c r="J1382" s="661"/>
    </row>
    <row r="1383" spans="1:10" ht="18.75" customHeight="1">
      <c r="A1383" s="661"/>
      <c r="B1383" s="663" t="s">
        <v>681</v>
      </c>
      <c r="C1383" s="657" t="s">
        <v>9137</v>
      </c>
      <c r="D1383" s="657" t="s">
        <v>863</v>
      </c>
      <c r="E1383" s="663" t="s">
        <v>864</v>
      </c>
      <c r="F1383" s="658">
        <v>0.1</v>
      </c>
      <c r="G1383" s="658">
        <v>0</v>
      </c>
      <c r="H1383" s="664">
        <v>338000</v>
      </c>
      <c r="I1383" s="664">
        <f t="shared" si="17"/>
        <v>307270</v>
      </c>
      <c r="J1383" s="661"/>
    </row>
    <row r="1384" spans="1:10" ht="18.75" customHeight="1">
      <c r="A1384" s="661"/>
      <c r="B1384" s="663" t="s">
        <v>681</v>
      </c>
      <c r="C1384" s="657" t="s">
        <v>9137</v>
      </c>
      <c r="D1384" s="657" t="s">
        <v>9249</v>
      </c>
      <c r="E1384" s="663" t="s">
        <v>9250</v>
      </c>
      <c r="F1384" s="658">
        <v>0.1</v>
      </c>
      <c r="G1384" s="658">
        <v>0</v>
      </c>
      <c r="H1384" s="664"/>
      <c r="I1384" s="664">
        <f t="shared" si="17"/>
        <v>0</v>
      </c>
      <c r="J1384" s="661"/>
    </row>
    <row r="1385" spans="1:10" ht="18.75" customHeight="1">
      <c r="A1385" s="661"/>
      <c r="B1385" s="663" t="s">
        <v>681</v>
      </c>
      <c r="C1385" s="657" t="s">
        <v>9137</v>
      </c>
      <c r="D1385" s="657" t="s">
        <v>9251</v>
      </c>
      <c r="E1385" s="663" t="s">
        <v>9252</v>
      </c>
      <c r="F1385" s="658">
        <v>0.1</v>
      </c>
      <c r="G1385" s="658">
        <v>0</v>
      </c>
      <c r="H1385" s="664"/>
      <c r="I1385" s="664">
        <f t="shared" si="17"/>
        <v>0</v>
      </c>
      <c r="J1385" s="661"/>
    </row>
    <row r="1386" spans="1:10" ht="18.75" customHeight="1">
      <c r="A1386" s="661"/>
      <c r="B1386" s="663" t="s">
        <v>681</v>
      </c>
      <c r="C1386" s="657" t="s">
        <v>9137</v>
      </c>
      <c r="D1386" s="657" t="s">
        <v>9253</v>
      </c>
      <c r="E1386" s="663" t="s">
        <v>9254</v>
      </c>
      <c r="F1386" s="658">
        <v>0.1</v>
      </c>
      <c r="G1386" s="658">
        <v>0</v>
      </c>
      <c r="H1386" s="664"/>
      <c r="I1386" s="664">
        <f t="shared" si="17"/>
        <v>0</v>
      </c>
      <c r="J1386" s="661"/>
    </row>
    <row r="1387" spans="1:10" ht="18.75" customHeight="1">
      <c r="A1387" s="661"/>
      <c r="B1387" s="663" t="s">
        <v>681</v>
      </c>
      <c r="C1387" s="657" t="s">
        <v>9137</v>
      </c>
      <c r="D1387" s="657" t="s">
        <v>9255</v>
      </c>
      <c r="E1387" s="663" t="s">
        <v>9256</v>
      </c>
      <c r="F1387" s="658">
        <v>0.1</v>
      </c>
      <c r="G1387" s="658">
        <v>0</v>
      </c>
      <c r="H1387" s="664"/>
      <c r="I1387" s="664">
        <f t="shared" si="17"/>
        <v>0</v>
      </c>
      <c r="J1387" s="661"/>
    </row>
    <row r="1388" spans="1:10" ht="18.75" customHeight="1">
      <c r="A1388" s="661"/>
      <c r="B1388" s="663" t="s">
        <v>681</v>
      </c>
      <c r="C1388" s="657" t="s">
        <v>9137</v>
      </c>
      <c r="D1388" s="657" t="s">
        <v>865</v>
      </c>
      <c r="E1388" s="663" t="s">
        <v>866</v>
      </c>
      <c r="F1388" s="658">
        <v>0.1</v>
      </c>
      <c r="G1388" s="658">
        <v>0</v>
      </c>
      <c r="H1388" s="664">
        <v>445000</v>
      </c>
      <c r="I1388" s="664">
        <f t="shared" si="17"/>
        <v>404550</v>
      </c>
      <c r="J1388" s="661"/>
    </row>
    <row r="1389" spans="1:10" ht="18.75" customHeight="1">
      <c r="A1389" s="661"/>
      <c r="B1389" s="663" t="s">
        <v>681</v>
      </c>
      <c r="C1389" s="657" t="s">
        <v>9137</v>
      </c>
      <c r="D1389" s="657" t="s">
        <v>867</v>
      </c>
      <c r="E1389" s="663" t="s">
        <v>868</v>
      </c>
      <c r="F1389" s="658">
        <v>0.1</v>
      </c>
      <c r="G1389" s="658">
        <v>0</v>
      </c>
      <c r="H1389" s="664">
        <v>458000</v>
      </c>
      <c r="I1389" s="664">
        <f t="shared" si="17"/>
        <v>416360</v>
      </c>
      <c r="J1389" s="661"/>
    </row>
    <row r="1390" spans="1:10" ht="18.75" customHeight="1">
      <c r="A1390" s="661"/>
      <c r="B1390" s="663" t="s">
        <v>681</v>
      </c>
      <c r="C1390" s="657" t="s">
        <v>9137</v>
      </c>
      <c r="D1390" s="657" t="s">
        <v>9257</v>
      </c>
      <c r="E1390" s="663" t="s">
        <v>9258</v>
      </c>
      <c r="F1390" s="658">
        <v>0.1</v>
      </c>
      <c r="G1390" s="658">
        <v>0</v>
      </c>
      <c r="H1390" s="664"/>
      <c r="I1390" s="664">
        <f t="shared" si="17"/>
        <v>0</v>
      </c>
      <c r="J1390" s="661"/>
    </row>
    <row r="1391" spans="1:10" ht="18.75" customHeight="1">
      <c r="A1391" s="661"/>
      <c r="B1391" s="663" t="s">
        <v>681</v>
      </c>
      <c r="C1391" s="657" t="s">
        <v>9137</v>
      </c>
      <c r="D1391" s="657" t="s">
        <v>9259</v>
      </c>
      <c r="E1391" s="663" t="s">
        <v>9260</v>
      </c>
      <c r="F1391" s="658">
        <v>0.1</v>
      </c>
      <c r="G1391" s="658">
        <v>0</v>
      </c>
      <c r="H1391" s="664"/>
      <c r="I1391" s="664">
        <f t="shared" si="17"/>
        <v>0</v>
      </c>
      <c r="J1391" s="661"/>
    </row>
    <row r="1392" spans="1:10" ht="18.75" customHeight="1">
      <c r="A1392" s="661"/>
      <c r="B1392" s="663" t="s">
        <v>681</v>
      </c>
      <c r="C1392" s="657" t="s">
        <v>9137</v>
      </c>
      <c r="D1392" s="657" t="s">
        <v>869</v>
      </c>
      <c r="E1392" s="663" t="s">
        <v>870</v>
      </c>
      <c r="F1392" s="658">
        <v>0.1</v>
      </c>
      <c r="G1392" s="658">
        <v>0</v>
      </c>
      <c r="H1392" s="664">
        <v>525000</v>
      </c>
      <c r="I1392" s="664">
        <f t="shared" si="17"/>
        <v>477270</v>
      </c>
      <c r="J1392" s="661"/>
    </row>
    <row r="1393" spans="1:10" ht="18.75" customHeight="1">
      <c r="A1393" s="661"/>
      <c r="B1393" s="663" t="s">
        <v>681</v>
      </c>
      <c r="C1393" s="657" t="s">
        <v>9137</v>
      </c>
      <c r="D1393" s="657" t="s">
        <v>9261</v>
      </c>
      <c r="E1393" s="663" t="s">
        <v>9262</v>
      </c>
      <c r="F1393" s="658">
        <v>0.1</v>
      </c>
      <c r="G1393" s="658">
        <v>0</v>
      </c>
      <c r="H1393" s="664"/>
      <c r="I1393" s="664">
        <f t="shared" si="17"/>
        <v>0</v>
      </c>
      <c r="J1393" s="661"/>
    </row>
    <row r="1394" spans="1:10" ht="18.75" customHeight="1">
      <c r="A1394" s="661"/>
      <c r="B1394" s="663" t="s">
        <v>681</v>
      </c>
      <c r="C1394" s="657" t="s">
        <v>9137</v>
      </c>
      <c r="D1394" s="657" t="s">
        <v>9263</v>
      </c>
      <c r="E1394" s="663" t="s">
        <v>9264</v>
      </c>
      <c r="F1394" s="658">
        <v>0.1</v>
      </c>
      <c r="G1394" s="658">
        <v>0</v>
      </c>
      <c r="H1394" s="664"/>
      <c r="I1394" s="664">
        <f t="shared" si="17"/>
        <v>0</v>
      </c>
      <c r="J1394" s="661"/>
    </row>
    <row r="1395" spans="1:10" ht="18.75" customHeight="1">
      <c r="A1395" s="661"/>
      <c r="B1395" s="663" t="s">
        <v>681</v>
      </c>
      <c r="C1395" s="657" t="s">
        <v>9137</v>
      </c>
      <c r="D1395" s="657" t="s">
        <v>9265</v>
      </c>
      <c r="E1395" s="663" t="s">
        <v>9266</v>
      </c>
      <c r="F1395" s="658">
        <v>0.1</v>
      </c>
      <c r="G1395" s="658">
        <v>0</v>
      </c>
      <c r="H1395" s="664"/>
      <c r="I1395" s="664">
        <f t="shared" si="17"/>
        <v>0</v>
      </c>
      <c r="J1395" s="661"/>
    </row>
    <row r="1396" spans="1:10" ht="18.75" customHeight="1">
      <c r="A1396" s="661"/>
      <c r="B1396" s="663" t="s">
        <v>681</v>
      </c>
      <c r="C1396" s="657" t="s">
        <v>9137</v>
      </c>
      <c r="D1396" s="657" t="s">
        <v>9267</v>
      </c>
      <c r="E1396" s="663" t="s">
        <v>9268</v>
      </c>
      <c r="F1396" s="658">
        <v>0.1</v>
      </c>
      <c r="G1396" s="658">
        <v>0</v>
      </c>
      <c r="H1396" s="664"/>
      <c r="I1396" s="664">
        <f t="shared" si="17"/>
        <v>0</v>
      </c>
      <c r="J1396" s="661"/>
    </row>
    <row r="1397" spans="1:10" ht="18.75" customHeight="1">
      <c r="A1397" s="661"/>
      <c r="B1397" s="663" t="s">
        <v>681</v>
      </c>
      <c r="C1397" s="657" t="s">
        <v>9137</v>
      </c>
      <c r="D1397" s="657" t="s">
        <v>873</v>
      </c>
      <c r="E1397" s="663" t="s">
        <v>874</v>
      </c>
      <c r="F1397" s="658">
        <v>0.1</v>
      </c>
      <c r="G1397" s="658">
        <v>0</v>
      </c>
      <c r="H1397" s="664">
        <v>162000</v>
      </c>
      <c r="I1397" s="664">
        <f t="shared" si="17"/>
        <v>147270</v>
      </c>
      <c r="J1397" s="661"/>
    </row>
    <row r="1398" spans="1:10" ht="18.75" customHeight="1">
      <c r="A1398" s="661"/>
      <c r="B1398" s="663" t="s">
        <v>681</v>
      </c>
      <c r="C1398" s="657" t="s">
        <v>9137</v>
      </c>
      <c r="D1398" s="657" t="s">
        <v>875</v>
      </c>
      <c r="E1398" s="663" t="s">
        <v>876</v>
      </c>
      <c r="F1398" s="658">
        <v>0.1</v>
      </c>
      <c r="G1398" s="658">
        <v>0</v>
      </c>
      <c r="H1398" s="664">
        <v>172000</v>
      </c>
      <c r="I1398" s="664">
        <f t="shared" si="17"/>
        <v>156360</v>
      </c>
      <c r="J1398" s="661"/>
    </row>
    <row r="1399" spans="1:10" ht="18.75" customHeight="1">
      <c r="A1399" s="661"/>
      <c r="B1399" s="663" t="s">
        <v>681</v>
      </c>
      <c r="C1399" s="657" t="s">
        <v>9137</v>
      </c>
      <c r="D1399" s="657" t="s">
        <v>877</v>
      </c>
      <c r="E1399" s="663" t="s">
        <v>878</v>
      </c>
      <c r="F1399" s="658">
        <v>0.1</v>
      </c>
      <c r="G1399" s="658">
        <v>0</v>
      </c>
      <c r="H1399" s="664">
        <v>185000</v>
      </c>
      <c r="I1399" s="664">
        <f t="shared" si="17"/>
        <v>168180</v>
      </c>
      <c r="J1399" s="661"/>
    </row>
    <row r="1400" spans="1:10" ht="18.75" customHeight="1">
      <c r="A1400" s="661"/>
      <c r="B1400" s="663" t="s">
        <v>681</v>
      </c>
      <c r="C1400" s="657" t="s">
        <v>9137</v>
      </c>
      <c r="D1400" s="657" t="s">
        <v>879</v>
      </c>
      <c r="E1400" s="663" t="s">
        <v>880</v>
      </c>
      <c r="F1400" s="658">
        <v>0.1</v>
      </c>
      <c r="G1400" s="658">
        <v>0</v>
      </c>
      <c r="H1400" s="664">
        <v>200000</v>
      </c>
      <c r="I1400" s="664">
        <f t="shared" si="17"/>
        <v>181820</v>
      </c>
      <c r="J1400" s="661"/>
    </row>
    <row r="1401" spans="1:10" ht="18.75" customHeight="1">
      <c r="A1401" s="661"/>
      <c r="B1401" s="663" t="s">
        <v>681</v>
      </c>
      <c r="C1401" s="657" t="s">
        <v>9137</v>
      </c>
      <c r="D1401" s="657" t="s">
        <v>881</v>
      </c>
      <c r="E1401" s="663" t="s">
        <v>882</v>
      </c>
      <c r="F1401" s="658">
        <v>0.1</v>
      </c>
      <c r="G1401" s="658">
        <v>0</v>
      </c>
      <c r="H1401" s="664">
        <v>224000</v>
      </c>
      <c r="I1401" s="664">
        <f t="shared" si="17"/>
        <v>203640</v>
      </c>
      <c r="J1401" s="661"/>
    </row>
    <row r="1402" spans="1:10" ht="18.75" customHeight="1">
      <c r="A1402" s="661"/>
      <c r="B1402" s="663" t="s">
        <v>681</v>
      </c>
      <c r="C1402" s="657" t="s">
        <v>9137</v>
      </c>
      <c r="D1402" s="657" t="s">
        <v>883</v>
      </c>
      <c r="E1402" s="663" t="s">
        <v>884</v>
      </c>
      <c r="F1402" s="658">
        <v>0.1</v>
      </c>
      <c r="G1402" s="658">
        <v>0</v>
      </c>
      <c r="H1402" s="664">
        <v>228000</v>
      </c>
      <c r="I1402" s="664">
        <f t="shared" si="17"/>
        <v>207270</v>
      </c>
      <c r="J1402" s="661"/>
    </row>
    <row r="1403" spans="1:10" ht="18.75" customHeight="1">
      <c r="A1403" s="661"/>
      <c r="B1403" s="663" t="s">
        <v>681</v>
      </c>
      <c r="C1403" s="657" t="s">
        <v>9137</v>
      </c>
      <c r="D1403" s="657" t="s">
        <v>885</v>
      </c>
      <c r="E1403" s="663" t="s">
        <v>886</v>
      </c>
      <c r="F1403" s="658">
        <v>0.1</v>
      </c>
      <c r="G1403" s="658">
        <v>0</v>
      </c>
      <c r="H1403" s="664">
        <v>233000</v>
      </c>
      <c r="I1403" s="664">
        <f t="shared" si="17"/>
        <v>211820</v>
      </c>
      <c r="J1403" s="661"/>
    </row>
    <row r="1404" spans="1:10" ht="18.75" customHeight="1">
      <c r="A1404" s="661"/>
      <c r="B1404" s="663" t="s">
        <v>681</v>
      </c>
      <c r="C1404" s="657" t="s">
        <v>9137</v>
      </c>
      <c r="D1404" s="657" t="s">
        <v>9269</v>
      </c>
      <c r="E1404" s="663" t="s">
        <v>9270</v>
      </c>
      <c r="F1404" s="658">
        <v>0.1</v>
      </c>
      <c r="G1404" s="658">
        <v>0</v>
      </c>
      <c r="H1404" s="664"/>
      <c r="I1404" s="664">
        <f t="shared" si="17"/>
        <v>0</v>
      </c>
      <c r="J1404" s="661"/>
    </row>
    <row r="1405" spans="1:10" ht="18.75" customHeight="1">
      <c r="A1405" s="661"/>
      <c r="B1405" s="663" t="s">
        <v>681</v>
      </c>
      <c r="C1405" s="657" t="s">
        <v>9137</v>
      </c>
      <c r="D1405" s="657" t="s">
        <v>887</v>
      </c>
      <c r="E1405" s="663" t="s">
        <v>888</v>
      </c>
      <c r="F1405" s="658">
        <v>0.1</v>
      </c>
      <c r="G1405" s="658">
        <v>0</v>
      </c>
      <c r="H1405" s="664">
        <v>246000</v>
      </c>
      <c r="I1405" s="664">
        <f t="shared" si="17"/>
        <v>223640</v>
      </c>
      <c r="J1405" s="661"/>
    </row>
    <row r="1406" spans="1:10" ht="18.75" customHeight="1">
      <c r="A1406" s="661"/>
      <c r="B1406" s="663" t="s">
        <v>681</v>
      </c>
      <c r="C1406" s="657" t="s">
        <v>9137</v>
      </c>
      <c r="D1406" s="657" t="s">
        <v>9271</v>
      </c>
      <c r="E1406" s="663" t="s">
        <v>9272</v>
      </c>
      <c r="F1406" s="658">
        <v>0.1</v>
      </c>
      <c r="G1406" s="658">
        <v>0</v>
      </c>
      <c r="H1406" s="664"/>
      <c r="I1406" s="664">
        <f t="shared" si="17"/>
        <v>0</v>
      </c>
      <c r="J1406" s="661"/>
    </row>
    <row r="1407" spans="1:10" ht="18.75" customHeight="1">
      <c r="A1407" s="661"/>
      <c r="B1407" s="663" t="s">
        <v>681</v>
      </c>
      <c r="C1407" s="657" t="s">
        <v>9137</v>
      </c>
      <c r="D1407" s="657" t="s">
        <v>889</v>
      </c>
      <c r="E1407" s="663" t="s">
        <v>890</v>
      </c>
      <c r="F1407" s="658">
        <v>0.1</v>
      </c>
      <c r="G1407" s="658">
        <v>0</v>
      </c>
      <c r="H1407" s="664">
        <v>252000</v>
      </c>
      <c r="I1407" s="664">
        <f t="shared" si="17"/>
        <v>229090</v>
      </c>
      <c r="J1407" s="661"/>
    </row>
    <row r="1408" spans="1:10" ht="18.75" customHeight="1">
      <c r="A1408" s="661"/>
      <c r="B1408" s="663" t="s">
        <v>681</v>
      </c>
      <c r="C1408" s="657" t="s">
        <v>9137</v>
      </c>
      <c r="D1408" s="657" t="s">
        <v>9273</v>
      </c>
      <c r="E1408" s="663" t="s">
        <v>9274</v>
      </c>
      <c r="F1408" s="658">
        <v>0.1</v>
      </c>
      <c r="G1408" s="658">
        <v>0</v>
      </c>
      <c r="H1408" s="664"/>
      <c r="I1408" s="664">
        <f t="shared" si="17"/>
        <v>0</v>
      </c>
      <c r="J1408" s="661"/>
    </row>
    <row r="1409" spans="1:10" ht="18.75" customHeight="1">
      <c r="A1409" s="661"/>
      <c r="B1409" s="663" t="s">
        <v>681</v>
      </c>
      <c r="C1409" s="657" t="s">
        <v>9137</v>
      </c>
      <c r="D1409" s="657" t="s">
        <v>891</v>
      </c>
      <c r="E1409" s="663" t="s">
        <v>892</v>
      </c>
      <c r="F1409" s="658">
        <v>0.1</v>
      </c>
      <c r="G1409" s="658">
        <v>0</v>
      </c>
      <c r="H1409" s="664">
        <v>283000</v>
      </c>
      <c r="I1409" s="664">
        <f t="shared" si="17"/>
        <v>257270</v>
      </c>
      <c r="J1409" s="661"/>
    </row>
    <row r="1410" spans="1:10" ht="18.75" customHeight="1">
      <c r="A1410" s="661"/>
      <c r="B1410" s="663" t="s">
        <v>681</v>
      </c>
      <c r="C1410" s="657" t="s">
        <v>9137</v>
      </c>
      <c r="D1410" s="657" t="s">
        <v>9275</v>
      </c>
      <c r="E1410" s="663" t="s">
        <v>9276</v>
      </c>
      <c r="F1410" s="658">
        <v>0.1</v>
      </c>
      <c r="G1410" s="658">
        <v>0</v>
      </c>
      <c r="H1410" s="664"/>
      <c r="I1410" s="664">
        <f t="shared" si="17"/>
        <v>0</v>
      </c>
      <c r="J1410" s="661"/>
    </row>
    <row r="1411" spans="1:10" ht="18.75" customHeight="1">
      <c r="A1411" s="661"/>
      <c r="B1411" s="663" t="s">
        <v>681</v>
      </c>
      <c r="C1411" s="657" t="s">
        <v>9137</v>
      </c>
      <c r="D1411" s="657" t="s">
        <v>893</v>
      </c>
      <c r="E1411" s="663" t="s">
        <v>894</v>
      </c>
      <c r="F1411" s="658">
        <v>0.1</v>
      </c>
      <c r="G1411" s="658">
        <v>0</v>
      </c>
      <c r="H1411" s="664">
        <v>300000</v>
      </c>
      <c r="I1411" s="664">
        <f t="shared" si="17"/>
        <v>272730</v>
      </c>
      <c r="J1411" s="661"/>
    </row>
    <row r="1412" spans="1:10" ht="18.75" customHeight="1">
      <c r="A1412" s="661"/>
      <c r="B1412" s="663" t="s">
        <v>681</v>
      </c>
      <c r="C1412" s="657" t="s">
        <v>9137</v>
      </c>
      <c r="D1412" s="657" t="s">
        <v>9277</v>
      </c>
      <c r="E1412" s="663" t="s">
        <v>9278</v>
      </c>
      <c r="F1412" s="658">
        <v>0.1</v>
      </c>
      <c r="G1412" s="658">
        <v>0</v>
      </c>
      <c r="H1412" s="664"/>
      <c r="I1412" s="664">
        <f t="shared" si="17"/>
        <v>0</v>
      </c>
      <c r="J1412" s="661"/>
    </row>
    <row r="1413" spans="1:10" ht="18.75" customHeight="1">
      <c r="A1413" s="661"/>
      <c r="B1413" s="663" t="s">
        <v>681</v>
      </c>
      <c r="C1413" s="657" t="s">
        <v>9137</v>
      </c>
      <c r="D1413" s="657" t="s">
        <v>895</v>
      </c>
      <c r="E1413" s="663" t="s">
        <v>896</v>
      </c>
      <c r="F1413" s="658">
        <v>0.1</v>
      </c>
      <c r="G1413" s="658">
        <v>0</v>
      </c>
      <c r="H1413" s="664">
        <v>321000</v>
      </c>
      <c r="I1413" s="664">
        <f t="shared" si="17"/>
        <v>291820</v>
      </c>
      <c r="J1413" s="661"/>
    </row>
    <row r="1414" spans="1:10" ht="18.75" customHeight="1">
      <c r="A1414" s="661"/>
      <c r="B1414" s="663" t="s">
        <v>681</v>
      </c>
      <c r="C1414" s="657" t="s">
        <v>9137</v>
      </c>
      <c r="D1414" s="657" t="s">
        <v>9279</v>
      </c>
      <c r="E1414" s="663" t="s">
        <v>9280</v>
      </c>
      <c r="F1414" s="658">
        <v>0.1</v>
      </c>
      <c r="G1414" s="658">
        <v>0</v>
      </c>
      <c r="H1414" s="664"/>
      <c r="I1414" s="664">
        <f t="shared" si="17"/>
        <v>0</v>
      </c>
      <c r="J1414" s="661"/>
    </row>
    <row r="1415" spans="1:10" ht="18.75" customHeight="1">
      <c r="A1415" s="661"/>
      <c r="B1415" s="663" t="s">
        <v>681</v>
      </c>
      <c r="C1415" s="657" t="s">
        <v>9137</v>
      </c>
      <c r="D1415" s="657" t="s">
        <v>897</v>
      </c>
      <c r="E1415" s="663" t="s">
        <v>898</v>
      </c>
      <c r="F1415" s="658">
        <v>0.1</v>
      </c>
      <c r="G1415" s="658">
        <v>0</v>
      </c>
      <c r="H1415" s="664">
        <v>373000</v>
      </c>
      <c r="I1415" s="664">
        <f t="shared" si="17"/>
        <v>339090</v>
      </c>
      <c r="J1415" s="661"/>
    </row>
    <row r="1416" spans="1:10" ht="18.75" customHeight="1">
      <c r="A1416" s="661"/>
      <c r="B1416" s="663" t="s">
        <v>681</v>
      </c>
      <c r="C1416" s="657" t="s">
        <v>9137</v>
      </c>
      <c r="D1416" s="657" t="s">
        <v>9281</v>
      </c>
      <c r="E1416" s="663" t="s">
        <v>9282</v>
      </c>
      <c r="F1416" s="658">
        <v>0.1</v>
      </c>
      <c r="G1416" s="658">
        <v>0</v>
      </c>
      <c r="H1416" s="664"/>
      <c r="I1416" s="664">
        <f t="shared" si="17"/>
        <v>0</v>
      </c>
      <c r="J1416" s="661"/>
    </row>
    <row r="1417" spans="1:10" ht="18.75" customHeight="1">
      <c r="A1417" s="661"/>
      <c r="B1417" s="663" t="s">
        <v>681</v>
      </c>
      <c r="C1417" s="657" t="s">
        <v>9137</v>
      </c>
      <c r="D1417" s="657" t="s">
        <v>9283</v>
      </c>
      <c r="E1417" s="663" t="s">
        <v>9284</v>
      </c>
      <c r="F1417" s="658">
        <v>0.1</v>
      </c>
      <c r="G1417" s="658">
        <v>0</v>
      </c>
      <c r="H1417" s="664"/>
      <c r="I1417" s="664">
        <f t="shared" si="17"/>
        <v>0</v>
      </c>
      <c r="J1417" s="661"/>
    </row>
    <row r="1418" spans="1:10" ht="18.75" customHeight="1">
      <c r="A1418" s="661"/>
      <c r="B1418" s="663" t="s">
        <v>681</v>
      </c>
      <c r="C1418" s="657" t="s">
        <v>9137</v>
      </c>
      <c r="D1418" s="657" t="s">
        <v>899</v>
      </c>
      <c r="E1418" s="663" t="s">
        <v>900</v>
      </c>
      <c r="F1418" s="658">
        <v>0.1</v>
      </c>
      <c r="G1418" s="658">
        <v>0</v>
      </c>
      <c r="H1418" s="664">
        <v>416000</v>
      </c>
      <c r="I1418" s="664">
        <f t="shared" si="17"/>
        <v>378180</v>
      </c>
      <c r="J1418" s="661"/>
    </row>
    <row r="1419" spans="1:10" ht="18.75" customHeight="1">
      <c r="A1419" s="661"/>
      <c r="B1419" s="663" t="s">
        <v>681</v>
      </c>
      <c r="C1419" s="657" t="s">
        <v>9137</v>
      </c>
      <c r="D1419" s="657" t="s">
        <v>9285</v>
      </c>
      <c r="E1419" s="663" t="s">
        <v>9286</v>
      </c>
      <c r="F1419" s="658">
        <v>0.1</v>
      </c>
      <c r="G1419" s="658">
        <v>0</v>
      </c>
      <c r="H1419" s="664"/>
      <c r="I1419" s="664">
        <f t="shared" si="17"/>
        <v>0</v>
      </c>
      <c r="J1419" s="661"/>
    </row>
    <row r="1420" spans="1:10" ht="18.75" customHeight="1">
      <c r="A1420" s="661"/>
      <c r="B1420" s="663" t="s">
        <v>681</v>
      </c>
      <c r="C1420" s="657" t="s">
        <v>9137</v>
      </c>
      <c r="D1420" s="657" t="s">
        <v>9287</v>
      </c>
      <c r="E1420" s="663" t="s">
        <v>9288</v>
      </c>
      <c r="F1420" s="658">
        <v>0.1</v>
      </c>
      <c r="G1420" s="658">
        <v>0</v>
      </c>
      <c r="H1420" s="664"/>
      <c r="I1420" s="664">
        <f t="shared" si="17"/>
        <v>0</v>
      </c>
      <c r="J1420" s="661"/>
    </row>
    <row r="1421" spans="1:10" ht="18.75" customHeight="1">
      <c r="A1421" s="661"/>
      <c r="B1421" s="663" t="s">
        <v>681</v>
      </c>
      <c r="C1421" s="657" t="s">
        <v>9137</v>
      </c>
      <c r="D1421" s="657" t="s">
        <v>9289</v>
      </c>
      <c r="E1421" s="663" t="s">
        <v>9290</v>
      </c>
      <c r="F1421" s="658">
        <v>0.1</v>
      </c>
      <c r="G1421" s="658">
        <v>0</v>
      </c>
      <c r="H1421" s="664"/>
      <c r="I1421" s="664">
        <f t="shared" si="17"/>
        <v>0</v>
      </c>
      <c r="J1421" s="661"/>
    </row>
    <row r="1422" spans="1:10" ht="18.75" customHeight="1">
      <c r="A1422" s="661"/>
      <c r="B1422" s="663" t="s">
        <v>681</v>
      </c>
      <c r="C1422" s="657" t="s">
        <v>9137</v>
      </c>
      <c r="D1422" s="657" t="s">
        <v>9291</v>
      </c>
      <c r="E1422" s="663" t="s">
        <v>9292</v>
      </c>
      <c r="F1422" s="658">
        <v>0.1</v>
      </c>
      <c r="G1422" s="658">
        <v>0</v>
      </c>
      <c r="H1422" s="664"/>
      <c r="I1422" s="664">
        <f t="shared" si="17"/>
        <v>0</v>
      </c>
      <c r="J1422" s="661"/>
    </row>
    <row r="1423" spans="1:10" ht="18.75" customHeight="1">
      <c r="A1423" s="661"/>
      <c r="B1423" s="663" t="s">
        <v>681</v>
      </c>
      <c r="C1423" s="657" t="s">
        <v>9137</v>
      </c>
      <c r="D1423" s="657" t="s">
        <v>901</v>
      </c>
      <c r="E1423" s="663" t="s">
        <v>902</v>
      </c>
      <c r="F1423" s="658">
        <v>0.1</v>
      </c>
      <c r="G1423" s="658">
        <v>0</v>
      </c>
      <c r="H1423" s="664">
        <v>513000</v>
      </c>
      <c r="I1423" s="664">
        <f t="shared" si="17"/>
        <v>466360</v>
      </c>
      <c r="J1423" s="661"/>
    </row>
    <row r="1424" spans="1:10" ht="18.75" customHeight="1">
      <c r="A1424" s="661"/>
      <c r="B1424" s="663" t="s">
        <v>681</v>
      </c>
      <c r="C1424" s="657" t="s">
        <v>9137</v>
      </c>
      <c r="D1424" s="657" t="s">
        <v>903</v>
      </c>
      <c r="E1424" s="663" t="s">
        <v>904</v>
      </c>
      <c r="F1424" s="658">
        <v>0.1</v>
      </c>
      <c r="G1424" s="658">
        <v>0</v>
      </c>
      <c r="H1424" s="664">
        <v>533000</v>
      </c>
      <c r="I1424" s="664">
        <f t="shared" si="17"/>
        <v>484550</v>
      </c>
      <c r="J1424" s="661"/>
    </row>
    <row r="1425" spans="1:10" ht="18.75" customHeight="1">
      <c r="A1425" s="661"/>
      <c r="B1425" s="663" t="s">
        <v>681</v>
      </c>
      <c r="C1425" s="657" t="s">
        <v>9137</v>
      </c>
      <c r="D1425" s="657" t="s">
        <v>9293</v>
      </c>
      <c r="E1425" s="663" t="s">
        <v>9294</v>
      </c>
      <c r="F1425" s="658">
        <v>0.1</v>
      </c>
      <c r="G1425" s="658">
        <v>0</v>
      </c>
      <c r="H1425" s="664"/>
      <c r="I1425" s="664">
        <f t="shared" si="17"/>
        <v>0</v>
      </c>
      <c r="J1425" s="661"/>
    </row>
    <row r="1426" spans="1:10" ht="18.75" customHeight="1">
      <c r="A1426" s="661"/>
      <c r="B1426" s="663" t="s">
        <v>681</v>
      </c>
      <c r="C1426" s="657" t="s">
        <v>9137</v>
      </c>
      <c r="D1426" s="657" t="s">
        <v>9295</v>
      </c>
      <c r="E1426" s="663" t="s">
        <v>9296</v>
      </c>
      <c r="F1426" s="658">
        <v>0.1</v>
      </c>
      <c r="G1426" s="658">
        <v>0</v>
      </c>
      <c r="H1426" s="664"/>
      <c r="I1426" s="664">
        <f t="shared" si="17"/>
        <v>0</v>
      </c>
      <c r="J1426" s="661"/>
    </row>
    <row r="1427" spans="1:10" ht="18.75" customHeight="1">
      <c r="A1427" s="661"/>
      <c r="B1427" s="663" t="s">
        <v>681</v>
      </c>
      <c r="C1427" s="657" t="s">
        <v>9137</v>
      </c>
      <c r="D1427" s="657" t="s">
        <v>905</v>
      </c>
      <c r="E1427" s="663" t="s">
        <v>906</v>
      </c>
      <c r="F1427" s="658">
        <v>0.1</v>
      </c>
      <c r="G1427" s="658">
        <v>0</v>
      </c>
      <c r="H1427" s="664">
        <v>622100</v>
      </c>
      <c r="I1427" s="664">
        <f t="shared" si="17"/>
        <v>565550</v>
      </c>
      <c r="J1427" s="661"/>
    </row>
    <row r="1428" spans="1:10" ht="18.75" customHeight="1">
      <c r="A1428" s="661"/>
      <c r="B1428" s="663" t="s">
        <v>681</v>
      </c>
      <c r="C1428" s="657" t="s">
        <v>9137</v>
      </c>
      <c r="D1428" s="657" t="s">
        <v>9297</v>
      </c>
      <c r="E1428" s="663" t="s">
        <v>9298</v>
      </c>
      <c r="F1428" s="658">
        <v>0.1</v>
      </c>
      <c r="G1428" s="658">
        <v>0</v>
      </c>
      <c r="H1428" s="664"/>
      <c r="I1428" s="664">
        <f t="shared" si="17"/>
        <v>0</v>
      </c>
      <c r="J1428" s="661"/>
    </row>
    <row r="1429" spans="1:10" ht="18.75" customHeight="1">
      <c r="A1429" s="661"/>
      <c r="B1429" s="663" t="s">
        <v>681</v>
      </c>
      <c r="C1429" s="657" t="s">
        <v>9137</v>
      </c>
      <c r="D1429" s="657" t="s">
        <v>9299</v>
      </c>
      <c r="E1429" s="663" t="s">
        <v>9300</v>
      </c>
      <c r="F1429" s="658">
        <v>0.1</v>
      </c>
      <c r="G1429" s="658">
        <v>0</v>
      </c>
      <c r="H1429" s="664"/>
      <c r="I1429" s="664">
        <f t="shared" si="17"/>
        <v>0</v>
      </c>
      <c r="J1429" s="661"/>
    </row>
    <row r="1430" spans="1:10" ht="18.75" customHeight="1">
      <c r="A1430" s="661"/>
      <c r="B1430" s="663" t="s">
        <v>681</v>
      </c>
      <c r="C1430" s="657" t="s">
        <v>9137</v>
      </c>
      <c r="D1430" s="657" t="s">
        <v>9301</v>
      </c>
      <c r="E1430" s="663" t="s">
        <v>9302</v>
      </c>
      <c r="F1430" s="658">
        <v>0.1</v>
      </c>
      <c r="G1430" s="658">
        <v>0</v>
      </c>
      <c r="H1430" s="664"/>
      <c r="I1430" s="664">
        <f t="shared" si="17"/>
        <v>0</v>
      </c>
      <c r="J1430" s="661"/>
    </row>
    <row r="1431" spans="1:10" ht="18.75" customHeight="1">
      <c r="A1431" s="661"/>
      <c r="B1431" s="663" t="s">
        <v>681</v>
      </c>
      <c r="C1431" s="657" t="s">
        <v>9137</v>
      </c>
      <c r="D1431" s="657" t="s">
        <v>9303</v>
      </c>
      <c r="E1431" s="663" t="s">
        <v>9304</v>
      </c>
      <c r="F1431" s="658">
        <v>0.1</v>
      </c>
      <c r="G1431" s="658">
        <v>0</v>
      </c>
      <c r="H1431" s="664"/>
      <c r="I1431" s="664">
        <f t="shared" si="17"/>
        <v>0</v>
      </c>
      <c r="J1431" s="661"/>
    </row>
    <row r="1432" spans="1:10" ht="18.75" customHeight="1">
      <c r="A1432" s="661"/>
      <c r="B1432" s="663" t="s">
        <v>681</v>
      </c>
      <c r="C1432" s="657" t="s">
        <v>9137</v>
      </c>
      <c r="D1432" s="657" t="s">
        <v>909</v>
      </c>
      <c r="E1432" s="663" t="s">
        <v>910</v>
      </c>
      <c r="F1432" s="658">
        <v>0.1</v>
      </c>
      <c r="G1432" s="658">
        <v>0</v>
      </c>
      <c r="H1432" s="664">
        <v>272000</v>
      </c>
      <c r="I1432" s="664">
        <f t="shared" si="17"/>
        <v>247270</v>
      </c>
      <c r="J1432" s="661"/>
    </row>
    <row r="1433" spans="1:10" ht="18.75" customHeight="1">
      <c r="A1433" s="661"/>
      <c r="B1433" s="663" t="s">
        <v>681</v>
      </c>
      <c r="C1433" s="657" t="s">
        <v>9137</v>
      </c>
      <c r="D1433" s="657" t="s">
        <v>911</v>
      </c>
      <c r="E1433" s="663" t="s">
        <v>912</v>
      </c>
      <c r="F1433" s="658">
        <v>0.1</v>
      </c>
      <c r="G1433" s="658">
        <v>0</v>
      </c>
      <c r="H1433" s="664">
        <v>276000</v>
      </c>
      <c r="I1433" s="664">
        <f t="shared" si="17"/>
        <v>250910</v>
      </c>
      <c r="J1433" s="661"/>
    </row>
    <row r="1434" spans="1:10" ht="18.75" customHeight="1">
      <c r="A1434" s="661"/>
      <c r="B1434" s="663" t="s">
        <v>681</v>
      </c>
      <c r="C1434" s="657" t="s">
        <v>9137</v>
      </c>
      <c r="D1434" s="657" t="s">
        <v>913</v>
      </c>
      <c r="E1434" s="663" t="s">
        <v>914</v>
      </c>
      <c r="F1434" s="658">
        <v>0.1</v>
      </c>
      <c r="G1434" s="658">
        <v>0</v>
      </c>
      <c r="H1434" s="664">
        <v>321000</v>
      </c>
      <c r="I1434" s="664">
        <f t="shared" si="17"/>
        <v>291820</v>
      </c>
      <c r="J1434" s="661"/>
    </row>
    <row r="1435" spans="1:10" ht="18.75" customHeight="1">
      <c r="A1435" s="661"/>
      <c r="B1435" s="663" t="s">
        <v>681</v>
      </c>
      <c r="C1435" s="657" t="s">
        <v>9137</v>
      </c>
      <c r="D1435" s="657" t="s">
        <v>915</v>
      </c>
      <c r="E1435" s="663" t="s">
        <v>916</v>
      </c>
      <c r="F1435" s="658">
        <v>0.1</v>
      </c>
      <c r="G1435" s="658">
        <v>0</v>
      </c>
      <c r="H1435" s="664">
        <v>339000</v>
      </c>
      <c r="I1435" s="664">
        <f t="shared" si="17"/>
        <v>308180</v>
      </c>
      <c r="J1435" s="661"/>
    </row>
    <row r="1436" spans="1:10" ht="18.75" customHeight="1">
      <c r="A1436" s="661"/>
      <c r="B1436" s="663" t="s">
        <v>681</v>
      </c>
      <c r="C1436" s="657" t="s">
        <v>9137</v>
      </c>
      <c r="D1436" s="657" t="s">
        <v>917</v>
      </c>
      <c r="E1436" s="663" t="s">
        <v>918</v>
      </c>
      <c r="F1436" s="658">
        <v>0.1</v>
      </c>
      <c r="G1436" s="658">
        <v>0</v>
      </c>
      <c r="H1436" s="664">
        <v>348000</v>
      </c>
      <c r="I1436" s="664">
        <f t="shared" si="17"/>
        <v>316360</v>
      </c>
      <c r="J1436" s="661"/>
    </row>
    <row r="1437" spans="1:10" ht="18.75" customHeight="1">
      <c r="A1437" s="661"/>
      <c r="B1437" s="663" t="s">
        <v>681</v>
      </c>
      <c r="C1437" s="657" t="s">
        <v>9137</v>
      </c>
      <c r="D1437" s="657" t="s">
        <v>919</v>
      </c>
      <c r="E1437" s="663" t="s">
        <v>920</v>
      </c>
      <c r="F1437" s="658">
        <v>0.1</v>
      </c>
      <c r="G1437" s="658">
        <v>0</v>
      </c>
      <c r="H1437" s="664">
        <v>356000</v>
      </c>
      <c r="I1437" s="664">
        <f t="shared" si="17"/>
        <v>323640</v>
      </c>
      <c r="J1437" s="661"/>
    </row>
    <row r="1438" spans="1:10" ht="18.75" customHeight="1">
      <c r="A1438" s="661"/>
      <c r="B1438" s="663" t="s">
        <v>681</v>
      </c>
      <c r="C1438" s="657" t="s">
        <v>9137</v>
      </c>
      <c r="D1438" s="657" t="s">
        <v>9305</v>
      </c>
      <c r="E1438" s="663" t="s">
        <v>9306</v>
      </c>
      <c r="F1438" s="658">
        <v>0.1</v>
      </c>
      <c r="G1438" s="658">
        <v>0</v>
      </c>
      <c r="H1438" s="664"/>
      <c r="I1438" s="664">
        <f t="shared" si="17"/>
        <v>0</v>
      </c>
      <c r="J1438" s="661"/>
    </row>
    <row r="1439" spans="1:10" ht="18.75" customHeight="1">
      <c r="A1439" s="661"/>
      <c r="B1439" s="663" t="s">
        <v>681</v>
      </c>
      <c r="C1439" s="657" t="s">
        <v>9137</v>
      </c>
      <c r="D1439" s="657" t="s">
        <v>921</v>
      </c>
      <c r="E1439" s="663" t="s">
        <v>922</v>
      </c>
      <c r="F1439" s="658">
        <v>0.1</v>
      </c>
      <c r="G1439" s="658">
        <v>0</v>
      </c>
      <c r="H1439" s="664">
        <v>374000</v>
      </c>
      <c r="I1439" s="664">
        <f t="shared" si="17"/>
        <v>340000</v>
      </c>
      <c r="J1439" s="661"/>
    </row>
    <row r="1440" spans="1:10" ht="18.75" customHeight="1">
      <c r="A1440" s="661"/>
      <c r="B1440" s="663" t="s">
        <v>681</v>
      </c>
      <c r="C1440" s="657" t="s">
        <v>9137</v>
      </c>
      <c r="D1440" s="657" t="s">
        <v>9307</v>
      </c>
      <c r="E1440" s="663" t="s">
        <v>9308</v>
      </c>
      <c r="F1440" s="658">
        <v>0.1</v>
      </c>
      <c r="G1440" s="658">
        <v>0</v>
      </c>
      <c r="H1440" s="664"/>
      <c r="I1440" s="664">
        <f t="shared" si="17"/>
        <v>0</v>
      </c>
      <c r="J1440" s="661"/>
    </row>
    <row r="1441" spans="1:10" ht="18.75" customHeight="1">
      <c r="A1441" s="661"/>
      <c r="B1441" s="663" t="s">
        <v>681</v>
      </c>
      <c r="C1441" s="657" t="s">
        <v>9137</v>
      </c>
      <c r="D1441" s="657" t="s">
        <v>923</v>
      </c>
      <c r="E1441" s="663" t="s">
        <v>924</v>
      </c>
      <c r="F1441" s="658">
        <v>0.1</v>
      </c>
      <c r="G1441" s="658">
        <v>0</v>
      </c>
      <c r="H1441" s="664">
        <v>410000</v>
      </c>
      <c r="I1441" s="664">
        <f t="shared" si="17"/>
        <v>372730</v>
      </c>
      <c r="J1441" s="661"/>
    </row>
    <row r="1442" spans="1:10" ht="18.75" customHeight="1">
      <c r="A1442" s="661"/>
      <c r="B1442" s="663" t="s">
        <v>681</v>
      </c>
      <c r="C1442" s="657" t="s">
        <v>9137</v>
      </c>
      <c r="D1442" s="657" t="s">
        <v>9309</v>
      </c>
      <c r="E1442" s="663" t="s">
        <v>9310</v>
      </c>
      <c r="F1442" s="658">
        <v>0.1</v>
      </c>
      <c r="G1442" s="658">
        <v>0</v>
      </c>
      <c r="H1442" s="664"/>
      <c r="I1442" s="664">
        <f t="shared" si="17"/>
        <v>0</v>
      </c>
      <c r="J1442" s="661"/>
    </row>
    <row r="1443" spans="1:10" ht="18.75" customHeight="1">
      <c r="A1443" s="661"/>
      <c r="B1443" s="663" t="s">
        <v>681</v>
      </c>
      <c r="C1443" s="657" t="s">
        <v>9137</v>
      </c>
      <c r="D1443" s="657" t="s">
        <v>925</v>
      </c>
      <c r="E1443" s="663" t="s">
        <v>926</v>
      </c>
      <c r="F1443" s="658">
        <v>0.1</v>
      </c>
      <c r="G1443" s="658">
        <v>0</v>
      </c>
      <c r="H1443" s="664">
        <v>470000</v>
      </c>
      <c r="I1443" s="664">
        <f t="shared" si="17"/>
        <v>427270</v>
      </c>
      <c r="J1443" s="661"/>
    </row>
    <row r="1444" spans="1:10" ht="18.75" customHeight="1">
      <c r="A1444" s="661"/>
      <c r="B1444" s="663" t="s">
        <v>681</v>
      </c>
      <c r="C1444" s="657" t="s">
        <v>9137</v>
      </c>
      <c r="D1444" s="657" t="s">
        <v>9311</v>
      </c>
      <c r="E1444" s="663" t="s">
        <v>9312</v>
      </c>
      <c r="F1444" s="658">
        <v>0.1</v>
      </c>
      <c r="G1444" s="658">
        <v>0</v>
      </c>
      <c r="H1444" s="664"/>
      <c r="I1444" s="664">
        <f t="shared" si="17"/>
        <v>0</v>
      </c>
      <c r="J1444" s="661"/>
    </row>
    <row r="1445" spans="1:10" ht="18.75" customHeight="1">
      <c r="A1445" s="661"/>
      <c r="B1445" s="663" t="s">
        <v>681</v>
      </c>
      <c r="C1445" s="657" t="s">
        <v>9137</v>
      </c>
      <c r="D1445" s="657" t="s">
        <v>927</v>
      </c>
      <c r="E1445" s="663" t="s">
        <v>928</v>
      </c>
      <c r="F1445" s="658">
        <v>0.1</v>
      </c>
      <c r="G1445" s="658">
        <v>0</v>
      </c>
      <c r="H1445" s="664">
        <v>509000</v>
      </c>
      <c r="I1445" s="664">
        <f t="shared" si="17"/>
        <v>462730</v>
      </c>
      <c r="J1445" s="661"/>
    </row>
    <row r="1446" spans="1:10" ht="18.75" customHeight="1">
      <c r="A1446" s="661"/>
      <c r="B1446" s="663" t="s">
        <v>681</v>
      </c>
      <c r="C1446" s="657" t="s">
        <v>9137</v>
      </c>
      <c r="D1446" s="657" t="s">
        <v>9313</v>
      </c>
      <c r="E1446" s="663" t="s">
        <v>9314</v>
      </c>
      <c r="F1446" s="658">
        <v>0.1</v>
      </c>
      <c r="G1446" s="658">
        <v>0</v>
      </c>
      <c r="H1446" s="664"/>
      <c r="I1446" s="664">
        <f t="shared" si="17"/>
        <v>0</v>
      </c>
      <c r="J1446" s="661"/>
    </row>
    <row r="1447" spans="1:10" ht="18.75" customHeight="1">
      <c r="A1447" s="661"/>
      <c r="B1447" s="663" t="s">
        <v>681</v>
      </c>
      <c r="C1447" s="657" t="s">
        <v>9137</v>
      </c>
      <c r="D1447" s="657" t="s">
        <v>929</v>
      </c>
      <c r="E1447" s="663" t="s">
        <v>930</v>
      </c>
      <c r="F1447" s="658">
        <v>0.1</v>
      </c>
      <c r="G1447" s="658">
        <v>0</v>
      </c>
      <c r="H1447" s="664">
        <v>526000</v>
      </c>
      <c r="I1447" s="664">
        <f t="shared" si="17"/>
        <v>478180</v>
      </c>
      <c r="J1447" s="661"/>
    </row>
    <row r="1448" spans="1:10" ht="18.75" customHeight="1">
      <c r="A1448" s="661"/>
      <c r="B1448" s="663" t="s">
        <v>681</v>
      </c>
      <c r="C1448" s="657" t="s">
        <v>9137</v>
      </c>
      <c r="D1448" s="657" t="s">
        <v>9315</v>
      </c>
      <c r="E1448" s="663" t="s">
        <v>9316</v>
      </c>
      <c r="F1448" s="658">
        <v>0.1</v>
      </c>
      <c r="G1448" s="658">
        <v>0</v>
      </c>
      <c r="H1448" s="664"/>
      <c r="I1448" s="664">
        <f t="shared" si="17"/>
        <v>0</v>
      </c>
      <c r="J1448" s="661"/>
    </row>
    <row r="1449" spans="1:10" ht="18.75" customHeight="1">
      <c r="A1449" s="661"/>
      <c r="B1449" s="663" t="s">
        <v>681</v>
      </c>
      <c r="C1449" s="657" t="s">
        <v>9137</v>
      </c>
      <c r="D1449" s="657" t="s">
        <v>931</v>
      </c>
      <c r="E1449" s="663" t="s">
        <v>932</v>
      </c>
      <c r="F1449" s="658">
        <v>0.1</v>
      </c>
      <c r="G1449" s="658">
        <v>0</v>
      </c>
      <c r="H1449" s="664">
        <v>613000</v>
      </c>
      <c r="I1449" s="664">
        <f t="shared" si="17"/>
        <v>557270</v>
      </c>
      <c r="J1449" s="661"/>
    </row>
    <row r="1450" spans="1:10" ht="18.75" customHeight="1">
      <c r="A1450" s="661"/>
      <c r="B1450" s="663" t="s">
        <v>681</v>
      </c>
      <c r="C1450" s="657" t="s">
        <v>9137</v>
      </c>
      <c r="D1450" s="657" t="s">
        <v>9317</v>
      </c>
      <c r="E1450" s="663" t="s">
        <v>9318</v>
      </c>
      <c r="F1450" s="658">
        <v>0.1</v>
      </c>
      <c r="G1450" s="658">
        <v>0</v>
      </c>
      <c r="H1450" s="664"/>
      <c r="I1450" s="664">
        <f t="shared" si="17"/>
        <v>0</v>
      </c>
      <c r="J1450" s="661"/>
    </row>
    <row r="1451" spans="1:10" ht="18.75" customHeight="1">
      <c r="A1451" s="661"/>
      <c r="B1451" s="663" t="s">
        <v>681</v>
      </c>
      <c r="C1451" s="657" t="s">
        <v>9137</v>
      </c>
      <c r="D1451" s="657" t="s">
        <v>9319</v>
      </c>
      <c r="E1451" s="663" t="s">
        <v>9320</v>
      </c>
      <c r="F1451" s="658">
        <v>0.1</v>
      </c>
      <c r="G1451" s="658">
        <v>0</v>
      </c>
      <c r="H1451" s="664"/>
      <c r="I1451" s="664">
        <f t="shared" si="17"/>
        <v>0</v>
      </c>
      <c r="J1451" s="661"/>
    </row>
    <row r="1452" spans="1:10" ht="18.75" customHeight="1">
      <c r="A1452" s="661"/>
      <c r="B1452" s="663" t="s">
        <v>681</v>
      </c>
      <c r="C1452" s="657" t="s">
        <v>9137</v>
      </c>
      <c r="D1452" s="657" t="s">
        <v>933</v>
      </c>
      <c r="E1452" s="663" t="s">
        <v>934</v>
      </c>
      <c r="F1452" s="658">
        <v>0.1</v>
      </c>
      <c r="G1452" s="658">
        <v>0</v>
      </c>
      <c r="H1452" s="664">
        <v>794000</v>
      </c>
      <c r="I1452" s="664">
        <f t="shared" si="17"/>
        <v>721820</v>
      </c>
      <c r="J1452" s="661"/>
    </row>
    <row r="1453" spans="1:10" ht="18.75" customHeight="1">
      <c r="A1453" s="661"/>
      <c r="B1453" s="663" t="s">
        <v>681</v>
      </c>
      <c r="C1453" s="657" t="s">
        <v>9137</v>
      </c>
      <c r="D1453" s="657" t="s">
        <v>9321</v>
      </c>
      <c r="E1453" s="663" t="s">
        <v>9322</v>
      </c>
      <c r="F1453" s="658">
        <v>0.1</v>
      </c>
      <c r="G1453" s="658">
        <v>0</v>
      </c>
      <c r="H1453" s="664"/>
      <c r="I1453" s="664">
        <f t="shared" si="17"/>
        <v>0</v>
      </c>
      <c r="J1453" s="661"/>
    </row>
    <row r="1454" spans="1:10" ht="18.75" customHeight="1">
      <c r="A1454" s="661"/>
      <c r="B1454" s="663" t="s">
        <v>681</v>
      </c>
      <c r="C1454" s="657" t="s">
        <v>9137</v>
      </c>
      <c r="D1454" s="657" t="s">
        <v>9323</v>
      </c>
      <c r="E1454" s="663" t="s">
        <v>9324</v>
      </c>
      <c r="F1454" s="658">
        <v>0.1</v>
      </c>
      <c r="G1454" s="658">
        <v>0</v>
      </c>
      <c r="H1454" s="664"/>
      <c r="I1454" s="664">
        <f t="shared" si="17"/>
        <v>0</v>
      </c>
      <c r="J1454" s="661"/>
    </row>
    <row r="1455" spans="1:10" ht="18.75" customHeight="1">
      <c r="A1455" s="661"/>
      <c r="B1455" s="663" t="s">
        <v>681</v>
      </c>
      <c r="C1455" s="657" t="s">
        <v>9137</v>
      </c>
      <c r="D1455" s="657" t="s">
        <v>9325</v>
      </c>
      <c r="E1455" s="663" t="s">
        <v>9326</v>
      </c>
      <c r="F1455" s="658">
        <v>0.1</v>
      </c>
      <c r="G1455" s="658">
        <v>0</v>
      </c>
      <c r="H1455" s="664"/>
      <c r="I1455" s="664">
        <f t="shared" si="17"/>
        <v>0</v>
      </c>
      <c r="J1455" s="661"/>
    </row>
    <row r="1456" spans="1:10" ht="18.75" customHeight="1">
      <c r="A1456" s="661"/>
      <c r="B1456" s="663" t="s">
        <v>681</v>
      </c>
      <c r="C1456" s="657" t="s">
        <v>9137</v>
      </c>
      <c r="D1456" s="657" t="s">
        <v>9327</v>
      </c>
      <c r="E1456" s="663" t="s">
        <v>9328</v>
      </c>
      <c r="F1456" s="658">
        <v>0.1</v>
      </c>
      <c r="G1456" s="658">
        <v>0</v>
      </c>
      <c r="H1456" s="664"/>
      <c r="I1456" s="664">
        <f t="shared" si="17"/>
        <v>0</v>
      </c>
      <c r="J1456" s="661"/>
    </row>
    <row r="1457" spans="1:10" ht="18.75" customHeight="1">
      <c r="A1457" s="661"/>
      <c r="B1457" s="663" t="s">
        <v>681</v>
      </c>
      <c r="C1457" s="657" t="s">
        <v>9137</v>
      </c>
      <c r="D1457" s="657" t="s">
        <v>935</v>
      </c>
      <c r="E1457" s="663" t="s">
        <v>936</v>
      </c>
      <c r="F1457" s="658">
        <v>0.1</v>
      </c>
      <c r="G1457" s="658">
        <v>0</v>
      </c>
      <c r="H1457" s="664">
        <v>896000</v>
      </c>
      <c r="I1457" s="664">
        <f t="shared" si="17"/>
        <v>814550</v>
      </c>
      <c r="J1457" s="661"/>
    </row>
    <row r="1458" spans="1:10" ht="18.75" customHeight="1">
      <c r="A1458" s="661"/>
      <c r="B1458" s="663" t="s">
        <v>681</v>
      </c>
      <c r="C1458" s="657" t="s">
        <v>9137</v>
      </c>
      <c r="D1458" s="657" t="s">
        <v>937</v>
      </c>
      <c r="E1458" s="663" t="s">
        <v>938</v>
      </c>
      <c r="F1458" s="658">
        <v>0.1</v>
      </c>
      <c r="G1458" s="658">
        <v>0</v>
      </c>
      <c r="H1458" s="664">
        <v>939000</v>
      </c>
      <c r="I1458" s="664">
        <f t="shared" si="17"/>
        <v>853640</v>
      </c>
      <c r="J1458" s="661"/>
    </row>
    <row r="1459" spans="1:10" ht="18.75" customHeight="1">
      <c r="A1459" s="661"/>
      <c r="B1459" s="663" t="s">
        <v>681</v>
      </c>
      <c r="C1459" s="657" t="s">
        <v>9137</v>
      </c>
      <c r="D1459" s="657" t="s">
        <v>9329</v>
      </c>
      <c r="E1459" s="663" t="s">
        <v>9330</v>
      </c>
      <c r="F1459" s="658">
        <v>0.1</v>
      </c>
      <c r="G1459" s="658">
        <v>0</v>
      </c>
      <c r="H1459" s="664"/>
      <c r="I1459" s="664">
        <f t="shared" si="17"/>
        <v>0</v>
      </c>
      <c r="J1459" s="661"/>
    </row>
    <row r="1460" spans="1:10" ht="18.75" customHeight="1">
      <c r="A1460" s="661"/>
      <c r="B1460" s="663" t="s">
        <v>681</v>
      </c>
      <c r="C1460" s="657" t="s">
        <v>9137</v>
      </c>
      <c r="D1460" s="657" t="s">
        <v>9331</v>
      </c>
      <c r="E1460" s="663" t="s">
        <v>9332</v>
      </c>
      <c r="F1460" s="658">
        <v>0.1</v>
      </c>
      <c r="G1460" s="658">
        <v>0</v>
      </c>
      <c r="H1460" s="664"/>
      <c r="I1460" s="664">
        <f t="shared" si="17"/>
        <v>0</v>
      </c>
      <c r="J1460" s="661"/>
    </row>
    <row r="1461" spans="1:10" ht="18.75" customHeight="1">
      <c r="A1461" s="661"/>
      <c r="B1461" s="663" t="s">
        <v>681</v>
      </c>
      <c r="C1461" s="657" t="s">
        <v>9137</v>
      </c>
      <c r="D1461" s="657" t="s">
        <v>939</v>
      </c>
      <c r="E1461" s="663" t="s">
        <v>940</v>
      </c>
      <c r="F1461" s="658">
        <v>0.1</v>
      </c>
      <c r="G1461" s="658">
        <v>0</v>
      </c>
      <c r="H1461" s="664">
        <v>1060000</v>
      </c>
      <c r="I1461" s="664">
        <f t="shared" si="17"/>
        <v>963640</v>
      </c>
      <c r="J1461" s="661"/>
    </row>
    <row r="1462" spans="1:10" ht="18.75" customHeight="1">
      <c r="A1462" s="661"/>
      <c r="B1462" s="663" t="s">
        <v>681</v>
      </c>
      <c r="C1462" s="657" t="s">
        <v>9137</v>
      </c>
      <c r="D1462" s="657" t="s">
        <v>9333</v>
      </c>
      <c r="E1462" s="663" t="s">
        <v>9334</v>
      </c>
      <c r="F1462" s="658">
        <v>0.1</v>
      </c>
      <c r="G1462" s="658">
        <v>0</v>
      </c>
      <c r="H1462" s="664"/>
      <c r="I1462" s="664">
        <f t="shared" si="17"/>
        <v>0</v>
      </c>
      <c r="J1462" s="661"/>
    </row>
    <row r="1463" spans="1:10" ht="18.75" customHeight="1">
      <c r="A1463" s="661"/>
      <c r="B1463" s="663" t="s">
        <v>943</v>
      </c>
      <c r="C1463" s="657" t="s">
        <v>9137</v>
      </c>
      <c r="D1463" s="657" t="s">
        <v>944</v>
      </c>
      <c r="E1463" s="663" t="s">
        <v>945</v>
      </c>
      <c r="F1463" s="658">
        <v>0.1</v>
      </c>
      <c r="G1463" s="658">
        <v>0</v>
      </c>
      <c r="H1463" s="664">
        <v>13000</v>
      </c>
      <c r="I1463" s="664">
        <f t="shared" si="17"/>
        <v>11820</v>
      </c>
      <c r="J1463" s="661"/>
    </row>
    <row r="1464" spans="1:10" ht="18.75" customHeight="1">
      <c r="A1464" s="661"/>
      <c r="B1464" s="663" t="s">
        <v>943</v>
      </c>
      <c r="C1464" s="657" t="s">
        <v>9137</v>
      </c>
      <c r="D1464" s="657" t="s">
        <v>946</v>
      </c>
      <c r="E1464" s="663" t="s">
        <v>947</v>
      </c>
      <c r="F1464" s="658">
        <v>0.1</v>
      </c>
      <c r="G1464" s="658">
        <v>0</v>
      </c>
      <c r="H1464" s="664">
        <v>15300</v>
      </c>
      <c r="I1464" s="664">
        <f t="shared" si="17"/>
        <v>13910</v>
      </c>
      <c r="J1464" s="661"/>
    </row>
    <row r="1465" spans="1:10" ht="18.75" customHeight="1">
      <c r="A1465" s="661"/>
      <c r="B1465" s="663" t="s">
        <v>943</v>
      </c>
      <c r="C1465" s="657" t="s">
        <v>9137</v>
      </c>
      <c r="D1465" s="657" t="s">
        <v>948</v>
      </c>
      <c r="E1465" s="663" t="s">
        <v>949</v>
      </c>
      <c r="F1465" s="658">
        <v>0.1</v>
      </c>
      <c r="G1465" s="658">
        <v>0</v>
      </c>
      <c r="H1465" s="664">
        <v>18700</v>
      </c>
      <c r="I1465" s="664">
        <f t="shared" si="17"/>
        <v>17000</v>
      </c>
      <c r="J1465" s="661"/>
    </row>
    <row r="1466" spans="1:10" ht="18.75" customHeight="1">
      <c r="A1466" s="661"/>
      <c r="B1466" s="663" t="s">
        <v>943</v>
      </c>
      <c r="C1466" s="657" t="s">
        <v>9137</v>
      </c>
      <c r="D1466" s="657" t="s">
        <v>950</v>
      </c>
      <c r="E1466" s="663" t="s">
        <v>951</v>
      </c>
      <c r="F1466" s="658">
        <v>0.1</v>
      </c>
      <c r="G1466" s="658">
        <v>0</v>
      </c>
      <c r="H1466" s="664">
        <v>20900</v>
      </c>
      <c r="I1466" s="664">
        <f t="shared" si="17"/>
        <v>19000</v>
      </c>
      <c r="J1466" s="661"/>
    </row>
    <row r="1467" spans="1:10" ht="18.75" customHeight="1">
      <c r="A1467" s="661"/>
      <c r="B1467" s="663" t="s">
        <v>943</v>
      </c>
      <c r="C1467" s="657" t="s">
        <v>9137</v>
      </c>
      <c r="D1467" s="657" t="s">
        <v>952</v>
      </c>
      <c r="E1467" s="663" t="s">
        <v>953</v>
      </c>
      <c r="F1467" s="658">
        <v>0.1</v>
      </c>
      <c r="G1467" s="658">
        <v>0</v>
      </c>
      <c r="H1467" s="664">
        <v>23100</v>
      </c>
      <c r="I1467" s="664">
        <f t="shared" si="17"/>
        <v>21000</v>
      </c>
      <c r="J1467" s="661"/>
    </row>
    <row r="1468" spans="1:10" ht="18.75" customHeight="1">
      <c r="A1468" s="661"/>
      <c r="B1468" s="663" t="s">
        <v>943</v>
      </c>
      <c r="C1468" s="657" t="s">
        <v>9137</v>
      </c>
      <c r="D1468" s="657" t="s">
        <v>954</v>
      </c>
      <c r="E1468" s="663" t="s">
        <v>955</v>
      </c>
      <c r="F1468" s="658">
        <v>0.1</v>
      </c>
      <c r="G1468" s="658">
        <v>0</v>
      </c>
      <c r="H1468" s="664">
        <v>24100</v>
      </c>
      <c r="I1468" s="664">
        <f t="shared" si="17"/>
        <v>21910</v>
      </c>
      <c r="J1468" s="661"/>
    </row>
    <row r="1469" spans="1:10" ht="18.75" customHeight="1">
      <c r="A1469" s="661"/>
      <c r="B1469" s="663" t="s">
        <v>943</v>
      </c>
      <c r="C1469" s="657" t="s">
        <v>9137</v>
      </c>
      <c r="D1469" s="657" t="s">
        <v>956</v>
      </c>
      <c r="E1469" s="663" t="s">
        <v>957</v>
      </c>
      <c r="F1469" s="658">
        <v>0.1</v>
      </c>
      <c r="G1469" s="658">
        <v>0</v>
      </c>
      <c r="H1469" s="664">
        <v>24100</v>
      </c>
      <c r="I1469" s="664">
        <f t="shared" si="17"/>
        <v>21910</v>
      </c>
      <c r="J1469" s="661"/>
    </row>
    <row r="1470" spans="1:10" ht="18.75" customHeight="1">
      <c r="A1470" s="661"/>
      <c r="B1470" s="663" t="s">
        <v>943</v>
      </c>
      <c r="C1470" s="657" t="s">
        <v>9137</v>
      </c>
      <c r="D1470" s="657" t="s">
        <v>958</v>
      </c>
      <c r="E1470" s="663" t="s">
        <v>959</v>
      </c>
      <c r="F1470" s="658">
        <v>0.1</v>
      </c>
      <c r="G1470" s="658">
        <v>0</v>
      </c>
      <c r="H1470" s="664">
        <v>28400</v>
      </c>
      <c r="I1470" s="664">
        <f t="shared" si="17"/>
        <v>25820</v>
      </c>
      <c r="J1470" s="661"/>
    </row>
    <row r="1471" spans="1:10" ht="18.75" customHeight="1">
      <c r="A1471" s="661"/>
      <c r="B1471" s="663" t="s">
        <v>943</v>
      </c>
      <c r="C1471" s="657" t="s">
        <v>9137</v>
      </c>
      <c r="D1471" s="657" t="s">
        <v>960</v>
      </c>
      <c r="E1471" s="663" t="s">
        <v>961</v>
      </c>
      <c r="F1471" s="658">
        <v>0.1</v>
      </c>
      <c r="G1471" s="658">
        <v>0</v>
      </c>
      <c r="H1471" s="664">
        <v>32800</v>
      </c>
      <c r="I1471" s="664">
        <f t="shared" si="17"/>
        <v>29820</v>
      </c>
      <c r="J1471" s="661"/>
    </row>
    <row r="1472" spans="1:10" ht="18.75" customHeight="1">
      <c r="A1472" s="661"/>
      <c r="B1472" s="663" t="s">
        <v>943</v>
      </c>
      <c r="C1472" s="657" t="s">
        <v>9137</v>
      </c>
      <c r="D1472" s="657" t="s">
        <v>962</v>
      </c>
      <c r="E1472" s="663" t="s">
        <v>963</v>
      </c>
      <c r="F1472" s="658">
        <v>0.1</v>
      </c>
      <c r="G1472" s="658">
        <v>0</v>
      </c>
      <c r="H1472" s="664">
        <v>36200</v>
      </c>
      <c r="I1472" s="664">
        <f t="shared" si="17"/>
        <v>32910</v>
      </c>
      <c r="J1472" s="661"/>
    </row>
    <row r="1473" spans="1:10" ht="18.75" customHeight="1">
      <c r="A1473" s="661"/>
      <c r="B1473" s="663" t="s">
        <v>943</v>
      </c>
      <c r="C1473" s="657" t="s">
        <v>9137</v>
      </c>
      <c r="D1473" s="657" t="s">
        <v>964</v>
      </c>
      <c r="E1473" s="663" t="s">
        <v>965</v>
      </c>
      <c r="F1473" s="658">
        <v>0.1</v>
      </c>
      <c r="G1473" s="658">
        <v>0</v>
      </c>
      <c r="H1473" s="664">
        <v>44000</v>
      </c>
      <c r="I1473" s="664">
        <f t="shared" si="17"/>
        <v>40000</v>
      </c>
      <c r="J1473" s="661"/>
    </row>
    <row r="1474" spans="1:10" ht="18.75" customHeight="1">
      <c r="A1474" s="661"/>
      <c r="B1474" s="663" t="s">
        <v>943</v>
      </c>
      <c r="C1474" s="657" t="s">
        <v>9137</v>
      </c>
      <c r="D1474" s="657" t="s">
        <v>966</v>
      </c>
      <c r="E1474" s="663" t="s">
        <v>967</v>
      </c>
      <c r="F1474" s="658">
        <v>0.1</v>
      </c>
      <c r="G1474" s="658">
        <v>0</v>
      </c>
      <c r="H1474" s="664">
        <v>46900</v>
      </c>
      <c r="I1474" s="664">
        <f t="shared" si="17"/>
        <v>42640</v>
      </c>
      <c r="J1474" s="661"/>
    </row>
    <row r="1475" spans="1:10" ht="18.75" customHeight="1">
      <c r="A1475" s="661"/>
      <c r="B1475" s="663" t="s">
        <v>943</v>
      </c>
      <c r="C1475" s="657" t="s">
        <v>9137</v>
      </c>
      <c r="D1475" s="657" t="s">
        <v>968</v>
      </c>
      <c r="E1475" s="663" t="s">
        <v>969</v>
      </c>
      <c r="F1475" s="658">
        <v>0.1</v>
      </c>
      <c r="G1475" s="658">
        <v>0</v>
      </c>
      <c r="H1475" s="664">
        <v>53100</v>
      </c>
      <c r="I1475" s="664">
        <f t="shared" si="17"/>
        <v>48270</v>
      </c>
      <c r="J1475" s="661"/>
    </row>
    <row r="1476" spans="1:10" ht="18.75" customHeight="1">
      <c r="A1476" s="661"/>
      <c r="B1476" s="663" t="s">
        <v>943</v>
      </c>
      <c r="C1476" s="657" t="s">
        <v>9137</v>
      </c>
      <c r="D1476" s="657" t="s">
        <v>970</v>
      </c>
      <c r="E1476" s="663" t="s">
        <v>971</v>
      </c>
      <c r="F1476" s="658">
        <v>0.1</v>
      </c>
      <c r="G1476" s="658">
        <v>0</v>
      </c>
      <c r="H1476" s="664">
        <v>62200</v>
      </c>
      <c r="I1476" s="664">
        <f t="shared" si="17"/>
        <v>56550</v>
      </c>
      <c r="J1476" s="661"/>
    </row>
    <row r="1477" spans="1:10" ht="18.75" customHeight="1">
      <c r="A1477" s="661"/>
      <c r="B1477" s="663" t="s">
        <v>943</v>
      </c>
      <c r="C1477" s="657" t="s">
        <v>9137</v>
      </c>
      <c r="D1477" s="657" t="s">
        <v>972</v>
      </c>
      <c r="E1477" s="663" t="s">
        <v>973</v>
      </c>
      <c r="F1477" s="658">
        <v>0.1</v>
      </c>
      <c r="G1477" s="658">
        <v>0</v>
      </c>
      <c r="H1477" s="664">
        <v>19800</v>
      </c>
      <c r="I1477" s="664">
        <f t="shared" si="17"/>
        <v>18000</v>
      </c>
      <c r="J1477" s="661"/>
    </row>
    <row r="1478" spans="1:10" ht="18.75" customHeight="1">
      <c r="A1478" s="661"/>
      <c r="B1478" s="663" t="s">
        <v>943</v>
      </c>
      <c r="C1478" s="657" t="s">
        <v>9137</v>
      </c>
      <c r="D1478" s="657" t="s">
        <v>974</v>
      </c>
      <c r="E1478" s="663" t="s">
        <v>975</v>
      </c>
      <c r="F1478" s="658">
        <v>0.1</v>
      </c>
      <c r="G1478" s="658">
        <v>0</v>
      </c>
      <c r="H1478" s="664">
        <v>22000</v>
      </c>
      <c r="I1478" s="664">
        <f t="shared" si="17"/>
        <v>20000</v>
      </c>
      <c r="J1478" s="661"/>
    </row>
    <row r="1479" spans="1:10" ht="18.75" customHeight="1">
      <c r="A1479" s="661"/>
      <c r="B1479" s="663" t="s">
        <v>943</v>
      </c>
      <c r="C1479" s="657" t="s">
        <v>9137</v>
      </c>
      <c r="D1479" s="657" t="s">
        <v>976</v>
      </c>
      <c r="E1479" s="663" t="s">
        <v>977</v>
      </c>
      <c r="F1479" s="658">
        <v>0.1</v>
      </c>
      <c r="G1479" s="658">
        <v>0</v>
      </c>
      <c r="H1479" s="664">
        <v>23100</v>
      </c>
      <c r="I1479" s="664">
        <f t="shared" si="17"/>
        <v>21000</v>
      </c>
      <c r="J1479" s="661"/>
    </row>
    <row r="1480" spans="1:10" ht="18.75" customHeight="1">
      <c r="A1480" s="661"/>
      <c r="B1480" s="663" t="s">
        <v>943</v>
      </c>
      <c r="C1480" s="657" t="s">
        <v>9137</v>
      </c>
      <c r="D1480" s="657" t="s">
        <v>978</v>
      </c>
      <c r="E1480" s="663" t="s">
        <v>979</v>
      </c>
      <c r="F1480" s="658">
        <v>0.1</v>
      </c>
      <c r="G1480" s="658">
        <v>0</v>
      </c>
      <c r="H1480" s="664">
        <v>25300</v>
      </c>
      <c r="I1480" s="664">
        <f t="shared" si="17"/>
        <v>23000</v>
      </c>
      <c r="J1480" s="661"/>
    </row>
    <row r="1481" spans="1:10" ht="18.75" customHeight="1">
      <c r="A1481" s="661"/>
      <c r="B1481" s="663" t="s">
        <v>943</v>
      </c>
      <c r="C1481" s="657" t="s">
        <v>9137</v>
      </c>
      <c r="D1481" s="657" t="s">
        <v>980</v>
      </c>
      <c r="E1481" s="663" t="s">
        <v>981</v>
      </c>
      <c r="F1481" s="658">
        <v>0.1</v>
      </c>
      <c r="G1481" s="658">
        <v>0</v>
      </c>
      <c r="H1481" s="664">
        <v>30800</v>
      </c>
      <c r="I1481" s="664">
        <f t="shared" si="17"/>
        <v>28000</v>
      </c>
      <c r="J1481" s="661"/>
    </row>
    <row r="1482" spans="1:10" ht="18.75" customHeight="1">
      <c r="A1482" s="661"/>
      <c r="B1482" s="663" t="s">
        <v>943</v>
      </c>
      <c r="C1482" s="657" t="s">
        <v>9137</v>
      </c>
      <c r="D1482" s="657" t="s">
        <v>982</v>
      </c>
      <c r="E1482" s="663" t="s">
        <v>983</v>
      </c>
      <c r="F1482" s="658">
        <v>0.1</v>
      </c>
      <c r="G1482" s="658">
        <v>0</v>
      </c>
      <c r="H1482" s="664">
        <v>33000</v>
      </c>
      <c r="I1482" s="664">
        <f t="shared" si="17"/>
        <v>30000</v>
      </c>
      <c r="J1482" s="661"/>
    </row>
    <row r="1483" spans="1:10" ht="18.75" customHeight="1">
      <c r="A1483" s="661"/>
      <c r="B1483" s="663" t="s">
        <v>943</v>
      </c>
      <c r="C1483" s="657" t="s">
        <v>9137</v>
      </c>
      <c r="D1483" s="657" t="s">
        <v>984</v>
      </c>
      <c r="E1483" s="663" t="s">
        <v>985</v>
      </c>
      <c r="F1483" s="658">
        <v>0.1</v>
      </c>
      <c r="G1483" s="658">
        <v>0</v>
      </c>
      <c r="H1483" s="664">
        <v>37400</v>
      </c>
      <c r="I1483" s="664">
        <f t="shared" si="17"/>
        <v>34000</v>
      </c>
      <c r="J1483" s="661"/>
    </row>
    <row r="1484" spans="1:10" ht="18.75" customHeight="1">
      <c r="A1484" s="661"/>
      <c r="B1484" s="663" t="s">
        <v>943</v>
      </c>
      <c r="C1484" s="657" t="s">
        <v>9137</v>
      </c>
      <c r="D1484" s="657" t="s">
        <v>986</v>
      </c>
      <c r="E1484" s="663" t="s">
        <v>987</v>
      </c>
      <c r="F1484" s="658">
        <v>0.1</v>
      </c>
      <c r="G1484" s="658">
        <v>0</v>
      </c>
      <c r="H1484" s="664">
        <v>38500</v>
      </c>
      <c r="I1484" s="664">
        <f t="shared" si="17"/>
        <v>35000</v>
      </c>
      <c r="J1484" s="661"/>
    </row>
    <row r="1485" spans="1:10" ht="18.75" customHeight="1">
      <c r="A1485" s="661"/>
      <c r="B1485" s="663" t="s">
        <v>943</v>
      </c>
      <c r="C1485" s="657" t="s">
        <v>9137</v>
      </c>
      <c r="D1485" s="657" t="s">
        <v>988</v>
      </c>
      <c r="E1485" s="663" t="s">
        <v>989</v>
      </c>
      <c r="F1485" s="658">
        <v>0.1</v>
      </c>
      <c r="G1485" s="658">
        <v>0</v>
      </c>
      <c r="H1485" s="664">
        <v>45100</v>
      </c>
      <c r="I1485" s="664">
        <f t="shared" si="17"/>
        <v>41000</v>
      </c>
      <c r="J1485" s="661"/>
    </row>
    <row r="1486" spans="1:10" ht="18.75" customHeight="1">
      <c r="A1486" s="661"/>
      <c r="B1486" s="663" t="s">
        <v>943</v>
      </c>
      <c r="C1486" s="657" t="s">
        <v>9137</v>
      </c>
      <c r="D1486" s="657" t="s">
        <v>990</v>
      </c>
      <c r="E1486" s="663" t="s">
        <v>991</v>
      </c>
      <c r="F1486" s="658">
        <v>0.1</v>
      </c>
      <c r="G1486" s="658">
        <v>0</v>
      </c>
      <c r="H1486" s="664">
        <v>46200</v>
      </c>
      <c r="I1486" s="664">
        <f t="shared" si="17"/>
        <v>42000</v>
      </c>
      <c r="J1486" s="661"/>
    </row>
    <row r="1487" spans="1:10" ht="18.75" customHeight="1">
      <c r="A1487" s="661"/>
      <c r="B1487" s="663" t="s">
        <v>943</v>
      </c>
      <c r="C1487" s="657" t="s">
        <v>9137</v>
      </c>
      <c r="D1487" s="657" t="s">
        <v>9335</v>
      </c>
      <c r="E1487" s="663" t="s">
        <v>9336</v>
      </c>
      <c r="F1487" s="658">
        <v>0.1</v>
      </c>
      <c r="G1487" s="658">
        <v>0</v>
      </c>
      <c r="H1487" s="664"/>
      <c r="I1487" s="664">
        <f t="shared" si="17"/>
        <v>0</v>
      </c>
      <c r="J1487" s="661"/>
    </row>
    <row r="1488" spans="1:10" ht="18.75" customHeight="1">
      <c r="A1488" s="661"/>
      <c r="B1488" s="663" t="s">
        <v>943</v>
      </c>
      <c r="C1488" s="657" t="s">
        <v>9137</v>
      </c>
      <c r="D1488" s="657" t="s">
        <v>992</v>
      </c>
      <c r="E1488" s="663" t="s">
        <v>993</v>
      </c>
      <c r="F1488" s="658">
        <v>0.1</v>
      </c>
      <c r="G1488" s="658">
        <v>0</v>
      </c>
      <c r="H1488" s="664">
        <v>59400</v>
      </c>
      <c r="I1488" s="664">
        <f t="shared" si="17"/>
        <v>54000</v>
      </c>
      <c r="J1488" s="661"/>
    </row>
    <row r="1489" spans="1:10" ht="18.75" customHeight="1">
      <c r="A1489" s="661"/>
      <c r="B1489" s="663" t="s">
        <v>943</v>
      </c>
      <c r="C1489" s="657" t="s">
        <v>9137</v>
      </c>
      <c r="D1489" s="657" t="s">
        <v>9337</v>
      </c>
      <c r="E1489" s="663" t="s">
        <v>9338</v>
      </c>
      <c r="F1489" s="658">
        <v>0.1</v>
      </c>
      <c r="G1489" s="658">
        <v>0</v>
      </c>
      <c r="H1489" s="664"/>
      <c r="I1489" s="664">
        <f t="shared" si="17"/>
        <v>0</v>
      </c>
      <c r="J1489" s="661"/>
    </row>
    <row r="1490" spans="1:10" ht="18.75" customHeight="1">
      <c r="A1490" s="661"/>
      <c r="B1490" s="663" t="s">
        <v>943</v>
      </c>
      <c r="C1490" s="657" t="s">
        <v>9137</v>
      </c>
      <c r="D1490" s="657" t="s">
        <v>994</v>
      </c>
      <c r="E1490" s="663" t="s">
        <v>995</v>
      </c>
      <c r="F1490" s="658">
        <v>0.1</v>
      </c>
      <c r="G1490" s="658">
        <v>0</v>
      </c>
      <c r="H1490" s="664">
        <v>64900</v>
      </c>
      <c r="I1490" s="664">
        <f t="shared" si="17"/>
        <v>59000</v>
      </c>
      <c r="J1490" s="661"/>
    </row>
    <row r="1491" spans="1:10" ht="18.75" customHeight="1">
      <c r="A1491" s="661"/>
      <c r="B1491" s="663" t="s">
        <v>943</v>
      </c>
      <c r="C1491" s="657" t="s">
        <v>9137</v>
      </c>
      <c r="D1491" s="657" t="s">
        <v>9339</v>
      </c>
      <c r="E1491" s="663" t="s">
        <v>9340</v>
      </c>
      <c r="F1491" s="658">
        <v>0.1</v>
      </c>
      <c r="G1491" s="658">
        <v>0</v>
      </c>
      <c r="H1491" s="664"/>
      <c r="I1491" s="664">
        <f t="shared" si="17"/>
        <v>0</v>
      </c>
      <c r="J1491" s="661"/>
    </row>
    <row r="1492" spans="1:10" ht="18.75" customHeight="1">
      <c r="A1492" s="661"/>
      <c r="B1492" s="663" t="s">
        <v>943</v>
      </c>
      <c r="C1492" s="657" t="s">
        <v>9137</v>
      </c>
      <c r="D1492" s="657" t="s">
        <v>996</v>
      </c>
      <c r="E1492" s="663" t="s">
        <v>997</v>
      </c>
      <c r="F1492" s="658">
        <v>0.1</v>
      </c>
      <c r="G1492" s="658">
        <v>0</v>
      </c>
      <c r="H1492" s="664">
        <v>68200</v>
      </c>
      <c r="I1492" s="664">
        <f t="shared" si="17"/>
        <v>62000</v>
      </c>
      <c r="J1492" s="661"/>
    </row>
    <row r="1493" spans="1:10" ht="18.75" customHeight="1">
      <c r="A1493" s="661"/>
      <c r="B1493" s="663" t="s">
        <v>943</v>
      </c>
      <c r="C1493" s="657" t="s">
        <v>9137</v>
      </c>
      <c r="D1493" s="657" t="s">
        <v>9341</v>
      </c>
      <c r="E1493" s="663" t="s">
        <v>9342</v>
      </c>
      <c r="F1493" s="658">
        <v>0.1</v>
      </c>
      <c r="G1493" s="658">
        <v>0</v>
      </c>
      <c r="H1493" s="664"/>
      <c r="I1493" s="664">
        <f t="shared" si="17"/>
        <v>0</v>
      </c>
      <c r="J1493" s="661"/>
    </row>
    <row r="1494" spans="1:10" ht="18.75" customHeight="1">
      <c r="A1494" s="661"/>
      <c r="B1494" s="663" t="s">
        <v>943</v>
      </c>
      <c r="C1494" s="657" t="s">
        <v>9137</v>
      </c>
      <c r="D1494" s="657" t="s">
        <v>998</v>
      </c>
      <c r="E1494" s="663" t="s">
        <v>999</v>
      </c>
      <c r="F1494" s="658">
        <v>0.1</v>
      </c>
      <c r="G1494" s="658">
        <v>0</v>
      </c>
      <c r="H1494" s="664">
        <v>74800</v>
      </c>
      <c r="I1494" s="664">
        <f t="shared" si="17"/>
        <v>68000</v>
      </c>
      <c r="J1494" s="661"/>
    </row>
    <row r="1495" spans="1:10" ht="18.75" customHeight="1">
      <c r="A1495" s="661"/>
      <c r="B1495" s="663" t="s">
        <v>943</v>
      </c>
      <c r="C1495" s="657" t="s">
        <v>9137</v>
      </c>
      <c r="D1495" s="657" t="s">
        <v>9343</v>
      </c>
      <c r="E1495" s="663" t="s">
        <v>9344</v>
      </c>
      <c r="F1495" s="658">
        <v>0.1</v>
      </c>
      <c r="G1495" s="658">
        <v>0</v>
      </c>
      <c r="H1495" s="664"/>
      <c r="I1495" s="664">
        <f t="shared" si="17"/>
        <v>0</v>
      </c>
      <c r="J1495" s="661"/>
    </row>
    <row r="1496" spans="1:10" ht="18.75" customHeight="1">
      <c r="A1496" s="661"/>
      <c r="B1496" s="663" t="s">
        <v>943</v>
      </c>
      <c r="C1496" s="657" t="s">
        <v>9137</v>
      </c>
      <c r="D1496" s="657" t="s">
        <v>1000</v>
      </c>
      <c r="E1496" s="663" t="s">
        <v>1001</v>
      </c>
      <c r="F1496" s="658">
        <v>0.1</v>
      </c>
      <c r="G1496" s="658">
        <v>0</v>
      </c>
      <c r="H1496" s="664">
        <v>104500</v>
      </c>
      <c r="I1496" s="664">
        <f t="shared" si="17"/>
        <v>95000</v>
      </c>
      <c r="J1496" s="661"/>
    </row>
    <row r="1497" spans="1:10" ht="18.75" customHeight="1">
      <c r="A1497" s="661"/>
      <c r="B1497" s="663" t="s">
        <v>943</v>
      </c>
      <c r="C1497" s="657" t="s">
        <v>9137</v>
      </c>
      <c r="D1497" s="657" t="s">
        <v>9345</v>
      </c>
      <c r="E1497" s="663" t="s">
        <v>9346</v>
      </c>
      <c r="F1497" s="658">
        <v>0.1</v>
      </c>
      <c r="G1497" s="658">
        <v>0</v>
      </c>
      <c r="H1497" s="664"/>
      <c r="I1497" s="664">
        <f t="shared" si="17"/>
        <v>0</v>
      </c>
      <c r="J1497" s="661"/>
    </row>
    <row r="1498" spans="1:10" ht="18.75" customHeight="1">
      <c r="A1498" s="661"/>
      <c r="B1498" s="663" t="s">
        <v>943</v>
      </c>
      <c r="C1498" s="657" t="s">
        <v>9137</v>
      </c>
      <c r="D1498" s="657" t="s">
        <v>1002</v>
      </c>
      <c r="E1498" s="663" t="s">
        <v>1003</v>
      </c>
      <c r="F1498" s="658">
        <v>0.1</v>
      </c>
      <c r="G1498" s="658">
        <v>0</v>
      </c>
      <c r="H1498" s="664">
        <v>122400</v>
      </c>
      <c r="I1498" s="664">
        <f t="shared" si="17"/>
        <v>111270</v>
      </c>
      <c r="J1498" s="661"/>
    </row>
    <row r="1499" spans="1:10" ht="18.75" customHeight="1">
      <c r="A1499" s="661"/>
      <c r="B1499" s="663" t="s">
        <v>943</v>
      </c>
      <c r="C1499" s="657" t="s">
        <v>9137</v>
      </c>
      <c r="D1499" s="657" t="s">
        <v>9347</v>
      </c>
      <c r="E1499" s="663" t="s">
        <v>9348</v>
      </c>
      <c r="F1499" s="658">
        <v>0.1</v>
      </c>
      <c r="G1499" s="658">
        <v>0</v>
      </c>
      <c r="H1499" s="664"/>
      <c r="I1499" s="664">
        <f t="shared" si="17"/>
        <v>0</v>
      </c>
      <c r="J1499" s="661"/>
    </row>
    <row r="1500" spans="1:10" ht="18.75" customHeight="1">
      <c r="A1500" s="661"/>
      <c r="B1500" s="663" t="s">
        <v>943</v>
      </c>
      <c r="C1500" s="657" t="s">
        <v>9137</v>
      </c>
      <c r="D1500" s="657" t="s">
        <v>9349</v>
      </c>
      <c r="E1500" s="663" t="s">
        <v>9350</v>
      </c>
      <c r="F1500" s="658">
        <v>0.1</v>
      </c>
      <c r="G1500" s="658">
        <v>0</v>
      </c>
      <c r="H1500" s="664"/>
      <c r="I1500" s="664">
        <f t="shared" si="17"/>
        <v>0</v>
      </c>
      <c r="J1500" s="661"/>
    </row>
    <row r="1501" spans="1:10" ht="18.75" customHeight="1">
      <c r="A1501" s="661"/>
      <c r="B1501" s="663" t="s">
        <v>943</v>
      </c>
      <c r="C1501" s="657" t="s">
        <v>9137</v>
      </c>
      <c r="D1501" s="657" t="s">
        <v>1004</v>
      </c>
      <c r="E1501" s="663" t="s">
        <v>1005</v>
      </c>
      <c r="F1501" s="658">
        <v>0.1</v>
      </c>
      <c r="G1501" s="658">
        <v>0</v>
      </c>
      <c r="H1501" s="664">
        <v>146700</v>
      </c>
      <c r="I1501" s="664">
        <f t="shared" si="17"/>
        <v>133360</v>
      </c>
      <c r="J1501" s="661"/>
    </row>
    <row r="1502" spans="1:10" ht="18.75" customHeight="1">
      <c r="A1502" s="661"/>
      <c r="B1502" s="663" t="s">
        <v>943</v>
      </c>
      <c r="C1502" s="657" t="s">
        <v>9137</v>
      </c>
      <c r="D1502" s="657" t="s">
        <v>9351</v>
      </c>
      <c r="E1502" s="663" t="s">
        <v>9352</v>
      </c>
      <c r="F1502" s="658">
        <v>0.1</v>
      </c>
      <c r="G1502" s="658">
        <v>0</v>
      </c>
      <c r="H1502" s="664"/>
      <c r="I1502" s="664">
        <f t="shared" si="17"/>
        <v>0</v>
      </c>
      <c r="J1502" s="661"/>
    </row>
    <row r="1503" spans="1:10" ht="18.75" customHeight="1">
      <c r="A1503" s="661"/>
      <c r="B1503" s="663" t="s">
        <v>943</v>
      </c>
      <c r="C1503" s="657" t="s">
        <v>9137</v>
      </c>
      <c r="D1503" s="657" t="s">
        <v>9353</v>
      </c>
      <c r="E1503" s="663" t="s">
        <v>9354</v>
      </c>
      <c r="F1503" s="658">
        <v>0.1</v>
      </c>
      <c r="G1503" s="658">
        <v>0</v>
      </c>
      <c r="H1503" s="664"/>
      <c r="I1503" s="664">
        <f t="shared" si="17"/>
        <v>0</v>
      </c>
      <c r="J1503" s="661"/>
    </row>
    <row r="1504" spans="1:10" ht="18.75" customHeight="1">
      <c r="A1504" s="661"/>
      <c r="B1504" s="663" t="s">
        <v>943</v>
      </c>
      <c r="C1504" s="657" t="s">
        <v>9137</v>
      </c>
      <c r="D1504" s="657" t="s">
        <v>9355</v>
      </c>
      <c r="E1504" s="663" t="s">
        <v>9356</v>
      </c>
      <c r="F1504" s="658">
        <v>0.1</v>
      </c>
      <c r="G1504" s="658">
        <v>0</v>
      </c>
      <c r="H1504" s="664"/>
      <c r="I1504" s="664">
        <f t="shared" si="17"/>
        <v>0</v>
      </c>
      <c r="J1504" s="661"/>
    </row>
    <row r="1505" spans="1:10" ht="18.75" customHeight="1">
      <c r="A1505" s="661"/>
      <c r="B1505" s="663" t="s">
        <v>943</v>
      </c>
      <c r="C1505" s="657" t="s">
        <v>9137</v>
      </c>
      <c r="D1505" s="657" t="s">
        <v>9357</v>
      </c>
      <c r="E1505" s="663" t="s">
        <v>9358</v>
      </c>
      <c r="F1505" s="658">
        <v>0.1</v>
      </c>
      <c r="G1505" s="658">
        <v>0</v>
      </c>
      <c r="H1505" s="664"/>
      <c r="I1505" s="664">
        <f t="shared" si="17"/>
        <v>0</v>
      </c>
      <c r="J1505" s="661"/>
    </row>
    <row r="1506" spans="1:10" ht="18.75" customHeight="1">
      <c r="A1506" s="661"/>
      <c r="B1506" s="663" t="s">
        <v>943</v>
      </c>
      <c r="C1506" s="657" t="s">
        <v>9137</v>
      </c>
      <c r="D1506" s="657" t="s">
        <v>9359</v>
      </c>
      <c r="E1506" s="663" t="s">
        <v>9360</v>
      </c>
      <c r="F1506" s="658">
        <v>0.1</v>
      </c>
      <c r="G1506" s="658">
        <v>0</v>
      </c>
      <c r="H1506" s="664"/>
      <c r="I1506" s="664">
        <f t="shared" si="17"/>
        <v>0</v>
      </c>
      <c r="J1506" s="661"/>
    </row>
    <row r="1507" spans="1:10" ht="18.75" customHeight="1">
      <c r="A1507" s="661"/>
      <c r="B1507" s="663" t="s">
        <v>943</v>
      </c>
      <c r="C1507" s="657" t="s">
        <v>9137</v>
      </c>
      <c r="D1507" s="657" t="s">
        <v>1006</v>
      </c>
      <c r="E1507" s="663" t="s">
        <v>1007</v>
      </c>
      <c r="F1507" s="658">
        <v>0.1</v>
      </c>
      <c r="G1507" s="658">
        <v>0</v>
      </c>
      <c r="H1507" s="664">
        <v>179600</v>
      </c>
      <c r="I1507" s="664">
        <f t="shared" si="17"/>
        <v>163270</v>
      </c>
      <c r="J1507" s="661"/>
    </row>
    <row r="1508" spans="1:10" ht="18.75" customHeight="1">
      <c r="A1508" s="661"/>
      <c r="B1508" s="663" t="s">
        <v>943</v>
      </c>
      <c r="C1508" s="657" t="s">
        <v>9137</v>
      </c>
      <c r="D1508" s="657" t="s">
        <v>9361</v>
      </c>
      <c r="E1508" s="663" t="s">
        <v>9362</v>
      </c>
      <c r="F1508" s="658">
        <v>0.1</v>
      </c>
      <c r="G1508" s="658">
        <v>0</v>
      </c>
      <c r="H1508" s="664"/>
      <c r="I1508" s="664">
        <f t="shared" si="17"/>
        <v>0</v>
      </c>
      <c r="J1508" s="661"/>
    </row>
    <row r="1509" spans="1:10" ht="18.75" customHeight="1">
      <c r="A1509" s="661"/>
      <c r="B1509" s="663" t="s">
        <v>943</v>
      </c>
      <c r="C1509" s="657" t="s">
        <v>9137</v>
      </c>
      <c r="D1509" s="657" t="s">
        <v>9363</v>
      </c>
      <c r="E1509" s="663" t="s">
        <v>9364</v>
      </c>
      <c r="F1509" s="658">
        <v>0.1</v>
      </c>
      <c r="G1509" s="658">
        <v>0</v>
      </c>
      <c r="H1509" s="664"/>
      <c r="I1509" s="664">
        <f t="shared" si="17"/>
        <v>0</v>
      </c>
      <c r="J1509" s="661"/>
    </row>
    <row r="1510" spans="1:10" ht="18.75" customHeight="1">
      <c r="A1510" s="661"/>
      <c r="B1510" s="663" t="s">
        <v>943</v>
      </c>
      <c r="C1510" s="657" t="s">
        <v>9137</v>
      </c>
      <c r="D1510" s="657" t="s">
        <v>9365</v>
      </c>
      <c r="E1510" s="663" t="s">
        <v>9366</v>
      </c>
      <c r="F1510" s="658">
        <v>0.1</v>
      </c>
      <c r="G1510" s="658">
        <v>0</v>
      </c>
      <c r="H1510" s="664"/>
      <c r="I1510" s="664">
        <f t="shared" si="17"/>
        <v>0</v>
      </c>
      <c r="J1510" s="661"/>
    </row>
    <row r="1511" spans="1:10" ht="18.75" customHeight="1">
      <c r="A1511" s="661"/>
      <c r="B1511" s="663" t="s">
        <v>943</v>
      </c>
      <c r="C1511" s="657" t="s">
        <v>9137</v>
      </c>
      <c r="D1511" s="657" t="s">
        <v>9367</v>
      </c>
      <c r="E1511" s="663" t="s">
        <v>9368</v>
      </c>
      <c r="F1511" s="658">
        <v>0.1</v>
      </c>
      <c r="G1511" s="658">
        <v>0</v>
      </c>
      <c r="H1511" s="664"/>
      <c r="I1511" s="664">
        <f t="shared" si="17"/>
        <v>0</v>
      </c>
      <c r="J1511" s="661"/>
    </row>
    <row r="1512" spans="1:10" ht="18.75" customHeight="1">
      <c r="A1512" s="661"/>
      <c r="B1512" s="663" t="s">
        <v>943</v>
      </c>
      <c r="C1512" s="657" t="s">
        <v>9137</v>
      </c>
      <c r="D1512" s="657" t="s">
        <v>1008</v>
      </c>
      <c r="E1512" s="663" t="s">
        <v>1009</v>
      </c>
      <c r="F1512" s="658">
        <v>0.1</v>
      </c>
      <c r="G1512" s="658">
        <v>0</v>
      </c>
      <c r="H1512" s="664">
        <v>35200</v>
      </c>
      <c r="I1512" s="664">
        <f t="shared" si="17"/>
        <v>32000</v>
      </c>
      <c r="J1512" s="661"/>
    </row>
    <row r="1513" spans="1:10" ht="18.75" customHeight="1">
      <c r="A1513" s="661"/>
      <c r="B1513" s="663" t="s">
        <v>943</v>
      </c>
      <c r="C1513" s="657" t="s">
        <v>9137</v>
      </c>
      <c r="D1513" s="657" t="s">
        <v>1010</v>
      </c>
      <c r="E1513" s="663" t="s">
        <v>1011</v>
      </c>
      <c r="F1513" s="658">
        <v>0.1</v>
      </c>
      <c r="G1513" s="658">
        <v>0</v>
      </c>
      <c r="H1513" s="664">
        <v>37400</v>
      </c>
      <c r="I1513" s="664">
        <f t="shared" si="17"/>
        <v>34000</v>
      </c>
      <c r="J1513" s="661"/>
    </row>
    <row r="1514" spans="1:10" ht="18.75" customHeight="1">
      <c r="A1514" s="661"/>
      <c r="B1514" s="663" t="s">
        <v>943</v>
      </c>
      <c r="C1514" s="657" t="s">
        <v>9137</v>
      </c>
      <c r="D1514" s="657" t="s">
        <v>1012</v>
      </c>
      <c r="E1514" s="663" t="s">
        <v>1013</v>
      </c>
      <c r="F1514" s="658">
        <v>0.1</v>
      </c>
      <c r="G1514" s="658">
        <v>0</v>
      </c>
      <c r="H1514" s="664">
        <v>41800</v>
      </c>
      <c r="I1514" s="664">
        <f t="shared" si="17"/>
        <v>38000</v>
      </c>
      <c r="J1514" s="661"/>
    </row>
    <row r="1515" spans="1:10" ht="18.75" customHeight="1">
      <c r="A1515" s="661"/>
      <c r="B1515" s="663" t="s">
        <v>943</v>
      </c>
      <c r="C1515" s="657" t="s">
        <v>9137</v>
      </c>
      <c r="D1515" s="657" t="s">
        <v>1014</v>
      </c>
      <c r="E1515" s="663" t="s">
        <v>1015</v>
      </c>
      <c r="F1515" s="658">
        <v>0.1</v>
      </c>
      <c r="G1515" s="658">
        <v>0</v>
      </c>
      <c r="H1515" s="664">
        <v>46200</v>
      </c>
      <c r="I1515" s="664">
        <f t="shared" si="17"/>
        <v>42000</v>
      </c>
      <c r="J1515" s="661"/>
    </row>
    <row r="1516" spans="1:10" ht="18.75" customHeight="1">
      <c r="A1516" s="661"/>
      <c r="B1516" s="663" t="s">
        <v>943</v>
      </c>
      <c r="C1516" s="657" t="s">
        <v>9137</v>
      </c>
      <c r="D1516" s="657" t="s">
        <v>1016</v>
      </c>
      <c r="E1516" s="663" t="s">
        <v>1017</v>
      </c>
      <c r="F1516" s="658">
        <v>0.1</v>
      </c>
      <c r="G1516" s="658">
        <v>0</v>
      </c>
      <c r="H1516" s="664">
        <v>51700</v>
      </c>
      <c r="I1516" s="664">
        <f t="shared" si="17"/>
        <v>47000</v>
      </c>
      <c r="J1516" s="661"/>
    </row>
    <row r="1517" spans="1:10" ht="18.75" customHeight="1">
      <c r="A1517" s="661"/>
      <c r="B1517" s="663" t="s">
        <v>943</v>
      </c>
      <c r="C1517" s="657" t="s">
        <v>9137</v>
      </c>
      <c r="D1517" s="657" t="s">
        <v>1018</v>
      </c>
      <c r="E1517" s="663" t="s">
        <v>1019</v>
      </c>
      <c r="F1517" s="658">
        <v>0.1</v>
      </c>
      <c r="G1517" s="658">
        <v>0</v>
      </c>
      <c r="H1517" s="664">
        <v>56100</v>
      </c>
      <c r="I1517" s="664">
        <f t="shared" si="17"/>
        <v>51000</v>
      </c>
      <c r="J1517" s="661"/>
    </row>
    <row r="1518" spans="1:10" ht="18.75" customHeight="1">
      <c r="A1518" s="661"/>
      <c r="B1518" s="663" t="s">
        <v>943</v>
      </c>
      <c r="C1518" s="657" t="s">
        <v>9137</v>
      </c>
      <c r="D1518" s="657" t="s">
        <v>1020</v>
      </c>
      <c r="E1518" s="663" t="s">
        <v>1021</v>
      </c>
      <c r="F1518" s="658">
        <v>0.1</v>
      </c>
      <c r="G1518" s="658">
        <v>0</v>
      </c>
      <c r="H1518" s="664">
        <v>61600</v>
      </c>
      <c r="I1518" s="664">
        <f t="shared" si="17"/>
        <v>56000</v>
      </c>
      <c r="J1518" s="661"/>
    </row>
    <row r="1519" spans="1:10" ht="18.75" customHeight="1">
      <c r="A1519" s="661"/>
      <c r="B1519" s="663" t="s">
        <v>943</v>
      </c>
      <c r="C1519" s="657" t="s">
        <v>9137</v>
      </c>
      <c r="D1519" s="657" t="s">
        <v>1022</v>
      </c>
      <c r="E1519" s="663" t="s">
        <v>1023</v>
      </c>
      <c r="F1519" s="658">
        <v>0.1</v>
      </c>
      <c r="G1519" s="658">
        <v>0</v>
      </c>
      <c r="H1519" s="664">
        <v>67100</v>
      </c>
      <c r="I1519" s="664">
        <f t="shared" si="17"/>
        <v>61000</v>
      </c>
      <c r="J1519" s="661"/>
    </row>
    <row r="1520" spans="1:10" ht="18.75" customHeight="1">
      <c r="A1520" s="661"/>
      <c r="B1520" s="663" t="s">
        <v>943</v>
      </c>
      <c r="C1520" s="657" t="s">
        <v>9137</v>
      </c>
      <c r="D1520" s="657" t="s">
        <v>1024</v>
      </c>
      <c r="E1520" s="663" t="s">
        <v>1025</v>
      </c>
      <c r="F1520" s="658">
        <v>0.1</v>
      </c>
      <c r="G1520" s="658">
        <v>0</v>
      </c>
      <c r="H1520" s="664">
        <v>73700</v>
      </c>
      <c r="I1520" s="664">
        <f t="shared" si="17"/>
        <v>67000</v>
      </c>
      <c r="J1520" s="661"/>
    </row>
    <row r="1521" spans="1:10" ht="18.75" customHeight="1">
      <c r="A1521" s="661"/>
      <c r="B1521" s="663" t="s">
        <v>943</v>
      </c>
      <c r="C1521" s="657" t="s">
        <v>9137</v>
      </c>
      <c r="D1521" s="657" t="s">
        <v>1026</v>
      </c>
      <c r="E1521" s="663" t="s">
        <v>1027</v>
      </c>
      <c r="F1521" s="658">
        <v>0.1</v>
      </c>
      <c r="G1521" s="658">
        <v>0</v>
      </c>
      <c r="H1521" s="664">
        <v>84700</v>
      </c>
      <c r="I1521" s="664">
        <f t="shared" si="17"/>
        <v>77000</v>
      </c>
      <c r="J1521" s="661"/>
    </row>
    <row r="1522" spans="1:10" ht="18.75" customHeight="1">
      <c r="A1522" s="661"/>
      <c r="B1522" s="663" t="s">
        <v>943</v>
      </c>
      <c r="C1522" s="657" t="s">
        <v>9137</v>
      </c>
      <c r="D1522" s="657" t="s">
        <v>9369</v>
      </c>
      <c r="E1522" s="663" t="s">
        <v>9370</v>
      </c>
      <c r="F1522" s="658">
        <v>0.1</v>
      </c>
      <c r="G1522" s="658">
        <v>0</v>
      </c>
      <c r="H1522" s="664"/>
      <c r="I1522" s="664">
        <f t="shared" si="17"/>
        <v>0</v>
      </c>
      <c r="J1522" s="661"/>
    </row>
    <row r="1523" spans="1:10" ht="18.75" customHeight="1">
      <c r="A1523" s="661"/>
      <c r="B1523" s="663" t="s">
        <v>943</v>
      </c>
      <c r="C1523" s="657" t="s">
        <v>9137</v>
      </c>
      <c r="D1523" s="657" t="s">
        <v>1028</v>
      </c>
      <c r="E1523" s="663" t="s">
        <v>1029</v>
      </c>
      <c r="F1523" s="658">
        <v>0.1</v>
      </c>
      <c r="G1523" s="658">
        <v>0</v>
      </c>
      <c r="H1523" s="664">
        <v>97900</v>
      </c>
      <c r="I1523" s="664">
        <f t="shared" si="17"/>
        <v>89000</v>
      </c>
      <c r="J1523" s="661"/>
    </row>
    <row r="1524" spans="1:10" ht="18.75" customHeight="1">
      <c r="A1524" s="661"/>
      <c r="B1524" s="663" t="s">
        <v>943</v>
      </c>
      <c r="C1524" s="657" t="s">
        <v>9137</v>
      </c>
      <c r="D1524" s="657" t="s">
        <v>9371</v>
      </c>
      <c r="E1524" s="663" t="s">
        <v>9372</v>
      </c>
      <c r="F1524" s="658">
        <v>0.1</v>
      </c>
      <c r="G1524" s="658">
        <v>0</v>
      </c>
      <c r="H1524" s="664"/>
      <c r="I1524" s="664">
        <f t="shared" si="17"/>
        <v>0</v>
      </c>
      <c r="J1524" s="661"/>
    </row>
    <row r="1525" spans="1:10" ht="18.75" customHeight="1">
      <c r="A1525" s="661"/>
      <c r="B1525" s="663" t="s">
        <v>943</v>
      </c>
      <c r="C1525" s="657" t="s">
        <v>9137</v>
      </c>
      <c r="D1525" s="657" t="s">
        <v>1030</v>
      </c>
      <c r="E1525" s="663" t="s">
        <v>1031</v>
      </c>
      <c r="F1525" s="658">
        <v>0.1</v>
      </c>
      <c r="G1525" s="658">
        <v>0</v>
      </c>
      <c r="H1525" s="664">
        <v>115000</v>
      </c>
      <c r="I1525" s="664">
        <f t="shared" si="17"/>
        <v>104550</v>
      </c>
      <c r="J1525" s="661"/>
    </row>
    <row r="1526" spans="1:10" ht="18.75" customHeight="1">
      <c r="A1526" s="661"/>
      <c r="B1526" s="663" t="s">
        <v>943</v>
      </c>
      <c r="C1526" s="657" t="s">
        <v>9137</v>
      </c>
      <c r="D1526" s="657" t="s">
        <v>9373</v>
      </c>
      <c r="E1526" s="663" t="s">
        <v>9374</v>
      </c>
      <c r="F1526" s="658">
        <v>0.1</v>
      </c>
      <c r="G1526" s="658">
        <v>0</v>
      </c>
      <c r="H1526" s="664"/>
      <c r="I1526" s="664">
        <f t="shared" si="17"/>
        <v>0</v>
      </c>
      <c r="J1526" s="661"/>
    </row>
    <row r="1527" spans="1:10" ht="18.75" customHeight="1">
      <c r="A1527" s="661"/>
      <c r="B1527" s="663" t="s">
        <v>943</v>
      </c>
      <c r="C1527" s="657" t="s">
        <v>9137</v>
      </c>
      <c r="D1527" s="657" t="s">
        <v>1032</v>
      </c>
      <c r="E1527" s="663" t="s">
        <v>1033</v>
      </c>
      <c r="F1527" s="658">
        <v>0.1</v>
      </c>
      <c r="G1527" s="658">
        <v>0</v>
      </c>
      <c r="H1527" s="664">
        <v>130700</v>
      </c>
      <c r="I1527" s="664">
        <f t="shared" si="17"/>
        <v>118820</v>
      </c>
      <c r="J1527" s="661"/>
    </row>
    <row r="1528" spans="1:10" ht="18.75" customHeight="1">
      <c r="A1528" s="661"/>
      <c r="B1528" s="663" t="s">
        <v>943</v>
      </c>
      <c r="C1528" s="657" t="s">
        <v>9137</v>
      </c>
      <c r="D1528" s="657" t="s">
        <v>9375</v>
      </c>
      <c r="E1528" s="663" t="s">
        <v>9376</v>
      </c>
      <c r="F1528" s="658">
        <v>0.1</v>
      </c>
      <c r="G1528" s="658">
        <v>0</v>
      </c>
      <c r="H1528" s="664"/>
      <c r="I1528" s="664">
        <f t="shared" si="17"/>
        <v>0</v>
      </c>
      <c r="J1528" s="661"/>
    </row>
    <row r="1529" spans="1:10" ht="18.75" customHeight="1">
      <c r="A1529" s="661"/>
      <c r="B1529" s="663" t="s">
        <v>943</v>
      </c>
      <c r="C1529" s="657" t="s">
        <v>9137</v>
      </c>
      <c r="D1529" s="657" t="s">
        <v>1034</v>
      </c>
      <c r="E1529" s="663" t="s">
        <v>1035</v>
      </c>
      <c r="F1529" s="658">
        <v>0.1</v>
      </c>
      <c r="G1529" s="658">
        <v>0</v>
      </c>
      <c r="H1529" s="664">
        <v>140400</v>
      </c>
      <c r="I1529" s="664">
        <f t="shared" si="17"/>
        <v>127640</v>
      </c>
      <c r="J1529" s="661"/>
    </row>
    <row r="1530" spans="1:10" ht="18.75" customHeight="1">
      <c r="A1530" s="661"/>
      <c r="B1530" s="663" t="s">
        <v>943</v>
      </c>
      <c r="C1530" s="657" t="s">
        <v>9137</v>
      </c>
      <c r="D1530" s="657" t="s">
        <v>9377</v>
      </c>
      <c r="E1530" s="663" t="s">
        <v>9378</v>
      </c>
      <c r="F1530" s="658">
        <v>0.1</v>
      </c>
      <c r="G1530" s="658">
        <v>0</v>
      </c>
      <c r="H1530" s="664"/>
      <c r="I1530" s="664">
        <f t="shared" si="17"/>
        <v>0</v>
      </c>
      <c r="J1530" s="661"/>
    </row>
    <row r="1531" spans="1:10" ht="18.75" customHeight="1">
      <c r="A1531" s="661"/>
      <c r="B1531" s="663" t="s">
        <v>943</v>
      </c>
      <c r="C1531" s="657" t="s">
        <v>9137</v>
      </c>
      <c r="D1531" s="657" t="s">
        <v>1036</v>
      </c>
      <c r="E1531" s="663" t="s">
        <v>1037</v>
      </c>
      <c r="F1531" s="658">
        <v>0.1</v>
      </c>
      <c r="G1531" s="658">
        <v>0</v>
      </c>
      <c r="H1531" s="664">
        <v>151300</v>
      </c>
      <c r="I1531" s="664">
        <f t="shared" si="17"/>
        <v>137550</v>
      </c>
      <c r="J1531" s="661"/>
    </row>
    <row r="1532" spans="1:10" ht="18.75" customHeight="1">
      <c r="A1532" s="661"/>
      <c r="B1532" s="663" t="s">
        <v>943</v>
      </c>
      <c r="C1532" s="657" t="s">
        <v>9137</v>
      </c>
      <c r="D1532" s="657" t="s">
        <v>9379</v>
      </c>
      <c r="E1532" s="663" t="s">
        <v>9380</v>
      </c>
      <c r="F1532" s="658">
        <v>0.1</v>
      </c>
      <c r="G1532" s="658">
        <v>0</v>
      </c>
      <c r="H1532" s="664"/>
      <c r="I1532" s="664">
        <f t="shared" si="17"/>
        <v>0</v>
      </c>
      <c r="J1532" s="661"/>
    </row>
    <row r="1533" spans="1:10" ht="18.75" customHeight="1">
      <c r="A1533" s="661"/>
      <c r="B1533" s="663" t="s">
        <v>943</v>
      </c>
      <c r="C1533" s="657" t="s">
        <v>9137</v>
      </c>
      <c r="D1533" s="657" t="s">
        <v>1038</v>
      </c>
      <c r="E1533" s="663" t="s">
        <v>1039</v>
      </c>
      <c r="F1533" s="658">
        <v>0.1</v>
      </c>
      <c r="G1533" s="658">
        <v>0</v>
      </c>
      <c r="H1533" s="664">
        <v>180300</v>
      </c>
      <c r="I1533" s="664">
        <f t="shared" si="17"/>
        <v>163910</v>
      </c>
      <c r="J1533" s="661"/>
    </row>
    <row r="1534" spans="1:10" ht="18.75" customHeight="1">
      <c r="A1534" s="661"/>
      <c r="B1534" s="663" t="s">
        <v>943</v>
      </c>
      <c r="C1534" s="657" t="s">
        <v>9137</v>
      </c>
      <c r="D1534" s="657" t="s">
        <v>9381</v>
      </c>
      <c r="E1534" s="663" t="s">
        <v>9382</v>
      </c>
      <c r="F1534" s="658">
        <v>0.1</v>
      </c>
      <c r="G1534" s="658">
        <v>0</v>
      </c>
      <c r="H1534" s="664"/>
      <c r="I1534" s="664">
        <f t="shared" si="17"/>
        <v>0</v>
      </c>
      <c r="J1534" s="661"/>
    </row>
    <row r="1535" spans="1:10" ht="18.75" customHeight="1">
      <c r="A1535" s="661"/>
      <c r="B1535" s="663" t="s">
        <v>943</v>
      </c>
      <c r="C1535" s="657" t="s">
        <v>9137</v>
      </c>
      <c r="D1535" s="657" t="s">
        <v>9383</v>
      </c>
      <c r="E1535" s="663" t="s">
        <v>9384</v>
      </c>
      <c r="F1535" s="658">
        <v>0.1</v>
      </c>
      <c r="G1535" s="658">
        <v>0</v>
      </c>
      <c r="H1535" s="664"/>
      <c r="I1535" s="664">
        <f t="shared" ref="I1535:I1692" si="18">IF(ISBLANK(H1535),,ROUND(H1535/(1+F1535),-1))</f>
        <v>0</v>
      </c>
      <c r="J1535" s="661"/>
    </row>
    <row r="1536" spans="1:10" ht="18.75" customHeight="1">
      <c r="A1536" s="661"/>
      <c r="B1536" s="663" t="s">
        <v>943</v>
      </c>
      <c r="C1536" s="657" t="s">
        <v>9137</v>
      </c>
      <c r="D1536" s="657" t="s">
        <v>1040</v>
      </c>
      <c r="E1536" s="663" t="s">
        <v>1041</v>
      </c>
      <c r="F1536" s="658">
        <v>0.1</v>
      </c>
      <c r="G1536" s="658">
        <v>0</v>
      </c>
      <c r="H1536" s="664">
        <v>203300</v>
      </c>
      <c r="I1536" s="664">
        <f t="shared" si="18"/>
        <v>184820</v>
      </c>
      <c r="J1536" s="661"/>
    </row>
    <row r="1537" spans="1:10" ht="18.75" customHeight="1">
      <c r="A1537" s="661"/>
      <c r="B1537" s="663" t="s">
        <v>943</v>
      </c>
      <c r="C1537" s="657" t="s">
        <v>9137</v>
      </c>
      <c r="D1537" s="657" t="s">
        <v>9385</v>
      </c>
      <c r="E1537" s="663" t="s">
        <v>9386</v>
      </c>
      <c r="F1537" s="658">
        <v>0.1</v>
      </c>
      <c r="G1537" s="658">
        <v>0</v>
      </c>
      <c r="H1537" s="664"/>
      <c r="I1537" s="664">
        <f t="shared" si="18"/>
        <v>0</v>
      </c>
      <c r="J1537" s="661"/>
    </row>
    <row r="1538" spans="1:10" ht="18.75" customHeight="1">
      <c r="A1538" s="661"/>
      <c r="B1538" s="663" t="s">
        <v>943</v>
      </c>
      <c r="C1538" s="657" t="s">
        <v>9137</v>
      </c>
      <c r="D1538" s="657" t="s">
        <v>9387</v>
      </c>
      <c r="E1538" s="663" t="s">
        <v>9388</v>
      </c>
      <c r="F1538" s="658">
        <v>0.1</v>
      </c>
      <c r="G1538" s="658">
        <v>0</v>
      </c>
      <c r="H1538" s="664"/>
      <c r="I1538" s="664">
        <f t="shared" si="18"/>
        <v>0</v>
      </c>
      <c r="J1538" s="661"/>
    </row>
    <row r="1539" spans="1:10" ht="18.75" customHeight="1">
      <c r="A1539" s="661"/>
      <c r="B1539" s="663" t="s">
        <v>943</v>
      </c>
      <c r="C1539" s="657" t="s">
        <v>9137</v>
      </c>
      <c r="D1539" s="657" t="s">
        <v>9389</v>
      </c>
      <c r="E1539" s="663" t="s">
        <v>9390</v>
      </c>
      <c r="F1539" s="658">
        <v>0.1</v>
      </c>
      <c r="G1539" s="658">
        <v>0</v>
      </c>
      <c r="H1539" s="664"/>
      <c r="I1539" s="664">
        <f t="shared" si="18"/>
        <v>0</v>
      </c>
      <c r="J1539" s="661"/>
    </row>
    <row r="1540" spans="1:10" ht="18.75" customHeight="1">
      <c r="A1540" s="661"/>
      <c r="B1540" s="663" t="s">
        <v>943</v>
      </c>
      <c r="C1540" s="657" t="s">
        <v>9137</v>
      </c>
      <c r="D1540" s="657" t="s">
        <v>9391</v>
      </c>
      <c r="E1540" s="663" t="s">
        <v>9392</v>
      </c>
      <c r="F1540" s="658">
        <v>0.1</v>
      </c>
      <c r="G1540" s="658">
        <v>0</v>
      </c>
      <c r="H1540" s="664"/>
      <c r="I1540" s="664">
        <f t="shared" si="18"/>
        <v>0</v>
      </c>
      <c r="J1540" s="661"/>
    </row>
    <row r="1541" spans="1:10" ht="18.75" customHeight="1">
      <c r="A1541" s="661"/>
      <c r="B1541" s="663" t="s">
        <v>943</v>
      </c>
      <c r="C1541" s="657" t="s">
        <v>9137</v>
      </c>
      <c r="D1541" s="657" t="s">
        <v>9393</v>
      </c>
      <c r="E1541" s="663" t="s">
        <v>9394</v>
      </c>
      <c r="F1541" s="658">
        <v>0.1</v>
      </c>
      <c r="G1541" s="658">
        <v>0</v>
      </c>
      <c r="H1541" s="664"/>
      <c r="I1541" s="664">
        <f t="shared" si="18"/>
        <v>0</v>
      </c>
      <c r="J1541" s="661"/>
    </row>
    <row r="1542" spans="1:10" ht="18.75" customHeight="1">
      <c r="A1542" s="661"/>
      <c r="B1542" s="663" t="s">
        <v>943</v>
      </c>
      <c r="C1542" s="657" t="s">
        <v>9137</v>
      </c>
      <c r="D1542" s="657" t="s">
        <v>1042</v>
      </c>
      <c r="E1542" s="663" t="s">
        <v>1043</v>
      </c>
      <c r="F1542" s="658">
        <v>0.1</v>
      </c>
      <c r="G1542" s="658">
        <v>0</v>
      </c>
      <c r="H1542" s="664">
        <v>286800</v>
      </c>
      <c r="I1542" s="664">
        <f t="shared" si="18"/>
        <v>260730</v>
      </c>
      <c r="J1542" s="661"/>
    </row>
    <row r="1543" spans="1:10" ht="18.75" customHeight="1">
      <c r="A1543" s="661"/>
      <c r="B1543" s="663" t="s">
        <v>943</v>
      </c>
      <c r="C1543" s="657" t="s">
        <v>9137</v>
      </c>
      <c r="D1543" s="657" t="s">
        <v>9395</v>
      </c>
      <c r="E1543" s="663" t="s">
        <v>9396</v>
      </c>
      <c r="F1543" s="658">
        <v>0.1</v>
      </c>
      <c r="G1543" s="658">
        <v>0</v>
      </c>
      <c r="H1543" s="664"/>
      <c r="I1543" s="664">
        <f t="shared" si="18"/>
        <v>0</v>
      </c>
      <c r="J1543" s="661"/>
    </row>
    <row r="1544" spans="1:10" ht="18.75" customHeight="1">
      <c r="A1544" s="661"/>
      <c r="B1544" s="663" t="s">
        <v>943</v>
      </c>
      <c r="C1544" s="657" t="s">
        <v>9137</v>
      </c>
      <c r="D1544" s="657" t="s">
        <v>9397</v>
      </c>
      <c r="E1544" s="663" t="s">
        <v>9398</v>
      </c>
      <c r="F1544" s="658">
        <v>0.1</v>
      </c>
      <c r="G1544" s="658">
        <v>0</v>
      </c>
      <c r="H1544" s="664"/>
      <c r="I1544" s="664">
        <f t="shared" si="18"/>
        <v>0</v>
      </c>
      <c r="J1544" s="661"/>
    </row>
    <row r="1545" spans="1:10" ht="18.75" customHeight="1">
      <c r="A1545" s="661"/>
      <c r="B1545" s="663" t="s">
        <v>943</v>
      </c>
      <c r="C1545" s="657" t="s">
        <v>9137</v>
      </c>
      <c r="D1545" s="657" t="s">
        <v>9399</v>
      </c>
      <c r="E1545" s="663" t="s">
        <v>9400</v>
      </c>
      <c r="F1545" s="658">
        <v>0.1</v>
      </c>
      <c r="G1545" s="658">
        <v>0</v>
      </c>
      <c r="H1545" s="664"/>
      <c r="I1545" s="664">
        <f t="shared" si="18"/>
        <v>0</v>
      </c>
      <c r="J1545" s="661"/>
    </row>
    <row r="1546" spans="1:10" ht="18.75" customHeight="1">
      <c r="A1546" s="661"/>
      <c r="B1546" s="663" t="s">
        <v>943</v>
      </c>
      <c r="C1546" s="657" t="s">
        <v>9137</v>
      </c>
      <c r="D1546" s="657" t="s">
        <v>9401</v>
      </c>
      <c r="E1546" s="663" t="s">
        <v>9402</v>
      </c>
      <c r="F1546" s="658">
        <v>0.1</v>
      </c>
      <c r="G1546" s="658">
        <v>0</v>
      </c>
      <c r="H1546" s="664"/>
      <c r="I1546" s="664">
        <f t="shared" si="18"/>
        <v>0</v>
      </c>
      <c r="J1546" s="661"/>
    </row>
    <row r="1547" spans="1:10" ht="18.75" customHeight="1">
      <c r="A1547" s="661"/>
      <c r="B1547" s="663" t="s">
        <v>943</v>
      </c>
      <c r="C1547" s="657" t="s">
        <v>9137</v>
      </c>
      <c r="D1547" s="657" t="s">
        <v>9403</v>
      </c>
      <c r="E1547" s="663" t="s">
        <v>9404</v>
      </c>
      <c r="F1547" s="658">
        <v>0.1</v>
      </c>
      <c r="G1547" s="658">
        <v>0</v>
      </c>
      <c r="H1547" s="664"/>
      <c r="I1547" s="664">
        <f t="shared" si="18"/>
        <v>0</v>
      </c>
      <c r="J1547" s="661"/>
    </row>
    <row r="1548" spans="1:10" ht="18.75" customHeight="1">
      <c r="A1548" s="661"/>
      <c r="B1548" s="663" t="s">
        <v>943</v>
      </c>
      <c r="C1548" s="657" t="s">
        <v>9137</v>
      </c>
      <c r="D1548" s="657" t="s">
        <v>1044</v>
      </c>
      <c r="E1548" s="663" t="s">
        <v>1045</v>
      </c>
      <c r="F1548" s="658">
        <v>0.1</v>
      </c>
      <c r="G1548" s="658">
        <v>0</v>
      </c>
      <c r="H1548" s="664">
        <v>71500</v>
      </c>
      <c r="I1548" s="664">
        <f t="shared" si="18"/>
        <v>65000</v>
      </c>
      <c r="J1548" s="661"/>
    </row>
    <row r="1549" spans="1:10" ht="18.75" customHeight="1">
      <c r="A1549" s="661"/>
      <c r="B1549" s="663" t="s">
        <v>943</v>
      </c>
      <c r="C1549" s="657" t="s">
        <v>9137</v>
      </c>
      <c r="D1549" s="657" t="s">
        <v>1046</v>
      </c>
      <c r="E1549" s="663" t="s">
        <v>1047</v>
      </c>
      <c r="F1549" s="658">
        <v>0.1</v>
      </c>
      <c r="G1549" s="658">
        <v>0</v>
      </c>
      <c r="H1549" s="664">
        <v>79200</v>
      </c>
      <c r="I1549" s="664">
        <f t="shared" si="18"/>
        <v>72000</v>
      </c>
      <c r="J1549" s="661"/>
    </row>
    <row r="1550" spans="1:10" ht="18.75" customHeight="1">
      <c r="A1550" s="661"/>
      <c r="B1550" s="663" t="s">
        <v>943</v>
      </c>
      <c r="C1550" s="657" t="s">
        <v>9137</v>
      </c>
      <c r="D1550" s="657" t="s">
        <v>1048</v>
      </c>
      <c r="E1550" s="663" t="s">
        <v>1049</v>
      </c>
      <c r="F1550" s="658">
        <v>0.1</v>
      </c>
      <c r="G1550" s="658">
        <v>0</v>
      </c>
      <c r="H1550" s="664">
        <v>86900</v>
      </c>
      <c r="I1550" s="664">
        <f t="shared" si="18"/>
        <v>79000</v>
      </c>
      <c r="J1550" s="661"/>
    </row>
    <row r="1551" spans="1:10" ht="18.75" customHeight="1">
      <c r="A1551" s="661"/>
      <c r="B1551" s="663" t="s">
        <v>943</v>
      </c>
      <c r="C1551" s="657" t="s">
        <v>9137</v>
      </c>
      <c r="D1551" s="657" t="s">
        <v>1050</v>
      </c>
      <c r="E1551" s="663" t="s">
        <v>1051</v>
      </c>
      <c r="F1551" s="658">
        <v>0.1</v>
      </c>
      <c r="G1551" s="658">
        <v>0</v>
      </c>
      <c r="H1551" s="664">
        <v>92400</v>
      </c>
      <c r="I1551" s="664">
        <f t="shared" si="18"/>
        <v>84000</v>
      </c>
      <c r="J1551" s="661"/>
    </row>
    <row r="1552" spans="1:10" ht="18.75" customHeight="1">
      <c r="A1552" s="661"/>
      <c r="B1552" s="663" t="s">
        <v>943</v>
      </c>
      <c r="C1552" s="657" t="s">
        <v>9137</v>
      </c>
      <c r="D1552" s="657" t="s">
        <v>1052</v>
      </c>
      <c r="E1552" s="663" t="s">
        <v>1053</v>
      </c>
      <c r="F1552" s="658">
        <v>0.1</v>
      </c>
      <c r="G1552" s="658">
        <v>0</v>
      </c>
      <c r="H1552" s="664">
        <v>102300</v>
      </c>
      <c r="I1552" s="664">
        <f t="shared" si="18"/>
        <v>93000</v>
      </c>
      <c r="J1552" s="661"/>
    </row>
    <row r="1553" spans="1:10" ht="18.75" customHeight="1">
      <c r="A1553" s="661"/>
      <c r="B1553" s="663" t="s">
        <v>943</v>
      </c>
      <c r="C1553" s="657" t="s">
        <v>9137</v>
      </c>
      <c r="D1553" s="657" t="s">
        <v>1054</v>
      </c>
      <c r="E1553" s="663" t="s">
        <v>1055</v>
      </c>
      <c r="F1553" s="658">
        <v>0.1</v>
      </c>
      <c r="G1553" s="658">
        <v>0</v>
      </c>
      <c r="H1553" s="664">
        <v>113300</v>
      </c>
      <c r="I1553" s="664">
        <f t="shared" si="18"/>
        <v>103000</v>
      </c>
      <c r="J1553" s="661"/>
    </row>
    <row r="1554" spans="1:10" ht="18.75" customHeight="1">
      <c r="A1554" s="661"/>
      <c r="B1554" s="663" t="s">
        <v>943</v>
      </c>
      <c r="C1554" s="657" t="s">
        <v>9137</v>
      </c>
      <c r="D1554" s="657" t="s">
        <v>1056</v>
      </c>
      <c r="E1554" s="663" t="s">
        <v>1057</v>
      </c>
      <c r="F1554" s="658">
        <v>0.1</v>
      </c>
      <c r="G1554" s="658">
        <v>0</v>
      </c>
      <c r="H1554" s="664">
        <v>118800</v>
      </c>
      <c r="I1554" s="664">
        <f t="shared" si="18"/>
        <v>108000</v>
      </c>
      <c r="J1554" s="661"/>
    </row>
    <row r="1555" spans="1:10" ht="18.75" customHeight="1">
      <c r="A1555" s="661"/>
      <c r="B1555" s="663" t="s">
        <v>943</v>
      </c>
      <c r="C1555" s="657" t="s">
        <v>9137</v>
      </c>
      <c r="D1555" s="657" t="s">
        <v>1058</v>
      </c>
      <c r="E1555" s="663" t="s">
        <v>1059</v>
      </c>
      <c r="F1555" s="658">
        <v>0.1</v>
      </c>
      <c r="G1555" s="658">
        <v>0</v>
      </c>
      <c r="H1555" s="664">
        <v>127600</v>
      </c>
      <c r="I1555" s="664">
        <f t="shared" si="18"/>
        <v>116000</v>
      </c>
      <c r="J1555" s="661"/>
    </row>
    <row r="1556" spans="1:10" ht="18.75" customHeight="1">
      <c r="A1556" s="661"/>
      <c r="B1556" s="663" t="s">
        <v>943</v>
      </c>
      <c r="C1556" s="657" t="s">
        <v>9137</v>
      </c>
      <c r="D1556" s="657" t="s">
        <v>1060</v>
      </c>
      <c r="E1556" s="663" t="s">
        <v>1061</v>
      </c>
      <c r="F1556" s="658">
        <v>0.1</v>
      </c>
      <c r="G1556" s="658">
        <v>0</v>
      </c>
      <c r="H1556" s="664">
        <v>134200</v>
      </c>
      <c r="I1556" s="664">
        <f t="shared" si="18"/>
        <v>122000</v>
      </c>
      <c r="J1556" s="661"/>
    </row>
    <row r="1557" spans="1:10" ht="18.75" customHeight="1">
      <c r="A1557" s="661"/>
      <c r="B1557" s="663" t="s">
        <v>943</v>
      </c>
      <c r="C1557" s="657" t="s">
        <v>9137</v>
      </c>
      <c r="D1557" s="657" t="s">
        <v>1062</v>
      </c>
      <c r="E1557" s="663" t="s">
        <v>1063</v>
      </c>
      <c r="F1557" s="658">
        <v>0.1</v>
      </c>
      <c r="G1557" s="658">
        <v>0</v>
      </c>
      <c r="H1557" s="664">
        <v>143000</v>
      </c>
      <c r="I1557" s="664">
        <f t="shared" si="18"/>
        <v>130000</v>
      </c>
      <c r="J1557" s="661"/>
    </row>
    <row r="1558" spans="1:10" ht="18.75" customHeight="1">
      <c r="A1558" s="661"/>
      <c r="B1558" s="663" t="s">
        <v>943</v>
      </c>
      <c r="C1558" s="657" t="s">
        <v>9137</v>
      </c>
      <c r="D1558" s="657" t="s">
        <v>1064</v>
      </c>
      <c r="E1558" s="663" t="s">
        <v>1065</v>
      </c>
      <c r="F1558" s="658">
        <v>0.1</v>
      </c>
      <c r="G1558" s="658">
        <v>0</v>
      </c>
      <c r="H1558" s="664">
        <v>150700</v>
      </c>
      <c r="I1558" s="664">
        <f t="shared" si="18"/>
        <v>137000</v>
      </c>
      <c r="J1558" s="661"/>
    </row>
    <row r="1559" spans="1:10" ht="18.75" customHeight="1">
      <c r="A1559" s="661"/>
      <c r="B1559" s="663" t="s">
        <v>943</v>
      </c>
      <c r="C1559" s="657" t="s">
        <v>9137</v>
      </c>
      <c r="D1559" s="657" t="s">
        <v>9405</v>
      </c>
      <c r="E1559" s="663" t="s">
        <v>9406</v>
      </c>
      <c r="F1559" s="658">
        <v>0.1</v>
      </c>
      <c r="G1559" s="658">
        <v>0</v>
      </c>
      <c r="H1559" s="664"/>
      <c r="I1559" s="664">
        <f t="shared" si="18"/>
        <v>0</v>
      </c>
      <c r="J1559" s="661"/>
    </row>
    <row r="1560" spans="1:10" ht="18.75" customHeight="1">
      <c r="A1560" s="661"/>
      <c r="B1560" s="663" t="s">
        <v>943</v>
      </c>
      <c r="C1560" s="657" t="s">
        <v>9137</v>
      </c>
      <c r="D1560" s="657" t="s">
        <v>1066</v>
      </c>
      <c r="E1560" s="663" t="s">
        <v>1067</v>
      </c>
      <c r="F1560" s="658">
        <v>0.1</v>
      </c>
      <c r="G1560" s="658">
        <v>0</v>
      </c>
      <c r="H1560" s="664">
        <v>157300</v>
      </c>
      <c r="I1560" s="664">
        <f t="shared" si="18"/>
        <v>143000</v>
      </c>
      <c r="J1560" s="661"/>
    </row>
    <row r="1561" spans="1:10" ht="18.75" customHeight="1">
      <c r="A1561" s="661"/>
      <c r="B1561" s="663" t="s">
        <v>943</v>
      </c>
      <c r="C1561" s="657" t="s">
        <v>9137</v>
      </c>
      <c r="D1561" s="657" t="s">
        <v>1068</v>
      </c>
      <c r="E1561" s="663" t="s">
        <v>1069</v>
      </c>
      <c r="F1561" s="658">
        <v>0.1</v>
      </c>
      <c r="G1561" s="658">
        <v>0</v>
      </c>
      <c r="H1561" s="664">
        <v>171600</v>
      </c>
      <c r="I1561" s="664">
        <f t="shared" si="18"/>
        <v>156000</v>
      </c>
      <c r="J1561" s="661"/>
    </row>
    <row r="1562" spans="1:10" ht="18.75" customHeight="1">
      <c r="A1562" s="661"/>
      <c r="B1562" s="663" t="s">
        <v>943</v>
      </c>
      <c r="C1562" s="657" t="s">
        <v>9137</v>
      </c>
      <c r="D1562" s="657" t="s">
        <v>9407</v>
      </c>
      <c r="E1562" s="663" t="s">
        <v>9408</v>
      </c>
      <c r="F1562" s="658">
        <v>0.1</v>
      </c>
      <c r="G1562" s="658">
        <v>0</v>
      </c>
      <c r="H1562" s="664"/>
      <c r="I1562" s="664">
        <f t="shared" si="18"/>
        <v>0</v>
      </c>
      <c r="J1562" s="661"/>
    </row>
    <row r="1563" spans="1:10" ht="18.75" customHeight="1">
      <c r="A1563" s="661"/>
      <c r="B1563" s="663" t="s">
        <v>943</v>
      </c>
      <c r="C1563" s="657" t="s">
        <v>9137</v>
      </c>
      <c r="D1563" s="657" t="s">
        <v>1070</v>
      </c>
      <c r="E1563" s="663" t="s">
        <v>1071</v>
      </c>
      <c r="F1563" s="658">
        <v>0.1</v>
      </c>
      <c r="G1563" s="658">
        <v>0</v>
      </c>
      <c r="H1563" s="664">
        <v>205700</v>
      </c>
      <c r="I1563" s="664">
        <f t="shared" si="18"/>
        <v>187000</v>
      </c>
      <c r="J1563" s="661"/>
    </row>
    <row r="1564" spans="1:10" ht="18.75" customHeight="1">
      <c r="A1564" s="661"/>
      <c r="B1564" s="663" t="s">
        <v>943</v>
      </c>
      <c r="C1564" s="657" t="s">
        <v>9137</v>
      </c>
      <c r="D1564" s="657" t="s">
        <v>9409</v>
      </c>
      <c r="E1564" s="663" t="s">
        <v>9410</v>
      </c>
      <c r="F1564" s="658">
        <v>0.1</v>
      </c>
      <c r="G1564" s="658">
        <v>0</v>
      </c>
      <c r="H1564" s="664"/>
      <c r="I1564" s="664">
        <f t="shared" si="18"/>
        <v>0</v>
      </c>
      <c r="J1564" s="661"/>
    </row>
    <row r="1565" spans="1:10" ht="18.75" customHeight="1">
      <c r="A1565" s="661"/>
      <c r="B1565" s="663" t="s">
        <v>943</v>
      </c>
      <c r="C1565" s="657" t="s">
        <v>9137</v>
      </c>
      <c r="D1565" s="657" t="s">
        <v>1072</v>
      </c>
      <c r="E1565" s="663" t="s">
        <v>1073</v>
      </c>
      <c r="F1565" s="658">
        <v>0.1</v>
      </c>
      <c r="G1565" s="658">
        <v>0</v>
      </c>
      <c r="H1565" s="664">
        <v>218900</v>
      </c>
      <c r="I1565" s="664">
        <f t="shared" si="18"/>
        <v>199000</v>
      </c>
      <c r="J1565" s="661"/>
    </row>
    <row r="1566" spans="1:10" ht="18.75" customHeight="1">
      <c r="A1566" s="661"/>
      <c r="B1566" s="663" t="s">
        <v>943</v>
      </c>
      <c r="C1566" s="657" t="s">
        <v>9137</v>
      </c>
      <c r="D1566" s="657" t="s">
        <v>9411</v>
      </c>
      <c r="E1566" s="663" t="s">
        <v>9412</v>
      </c>
      <c r="F1566" s="658">
        <v>0.1</v>
      </c>
      <c r="G1566" s="658">
        <v>0</v>
      </c>
      <c r="H1566" s="664"/>
      <c r="I1566" s="664">
        <f t="shared" si="18"/>
        <v>0</v>
      </c>
      <c r="J1566" s="661"/>
    </row>
    <row r="1567" spans="1:10" ht="18.75" customHeight="1">
      <c r="A1567" s="661"/>
      <c r="B1567" s="663" t="s">
        <v>943</v>
      </c>
      <c r="C1567" s="657" t="s">
        <v>9137</v>
      </c>
      <c r="D1567" s="657" t="s">
        <v>1074</v>
      </c>
      <c r="E1567" s="663" t="s">
        <v>1075</v>
      </c>
      <c r="F1567" s="658">
        <v>0.1</v>
      </c>
      <c r="G1567" s="658">
        <v>0</v>
      </c>
      <c r="H1567" s="664">
        <v>262900</v>
      </c>
      <c r="I1567" s="664">
        <f t="shared" si="18"/>
        <v>239000</v>
      </c>
      <c r="J1567" s="661"/>
    </row>
    <row r="1568" spans="1:10" ht="18.75" customHeight="1">
      <c r="A1568" s="661"/>
      <c r="B1568" s="663" t="s">
        <v>943</v>
      </c>
      <c r="C1568" s="657" t="s">
        <v>9137</v>
      </c>
      <c r="D1568" s="657" t="s">
        <v>1076</v>
      </c>
      <c r="E1568" s="663" t="s">
        <v>1077</v>
      </c>
      <c r="F1568" s="658">
        <v>0.1</v>
      </c>
      <c r="G1568" s="658">
        <v>0</v>
      </c>
      <c r="H1568" s="664">
        <v>269500</v>
      </c>
      <c r="I1568" s="664">
        <f t="shared" si="18"/>
        <v>245000</v>
      </c>
      <c r="J1568" s="661"/>
    </row>
    <row r="1569" spans="1:10" ht="18.75" customHeight="1">
      <c r="A1569" s="661"/>
      <c r="B1569" s="663" t="s">
        <v>943</v>
      </c>
      <c r="C1569" s="657" t="s">
        <v>9137</v>
      </c>
      <c r="D1569" s="657" t="s">
        <v>9413</v>
      </c>
      <c r="E1569" s="663" t="s">
        <v>9414</v>
      </c>
      <c r="F1569" s="658">
        <v>0.1</v>
      </c>
      <c r="G1569" s="658">
        <v>0</v>
      </c>
      <c r="H1569" s="664"/>
      <c r="I1569" s="664">
        <f t="shared" si="18"/>
        <v>0</v>
      </c>
      <c r="J1569" s="661"/>
    </row>
    <row r="1570" spans="1:10" ht="18.75" customHeight="1">
      <c r="A1570" s="661"/>
      <c r="B1570" s="663" t="s">
        <v>943</v>
      </c>
      <c r="C1570" s="657" t="s">
        <v>9137</v>
      </c>
      <c r="D1570" s="657" t="s">
        <v>1078</v>
      </c>
      <c r="E1570" s="663" t="s">
        <v>1079</v>
      </c>
      <c r="F1570" s="658">
        <v>0.1</v>
      </c>
      <c r="G1570" s="658">
        <v>0</v>
      </c>
      <c r="H1570" s="664">
        <v>286000</v>
      </c>
      <c r="I1570" s="664">
        <f t="shared" si="18"/>
        <v>260000</v>
      </c>
      <c r="J1570" s="661"/>
    </row>
    <row r="1571" spans="1:10" ht="18.75" customHeight="1">
      <c r="A1571" s="661"/>
      <c r="B1571" s="663" t="s">
        <v>943</v>
      </c>
      <c r="C1571" s="657" t="s">
        <v>9137</v>
      </c>
      <c r="D1571" s="657" t="s">
        <v>9415</v>
      </c>
      <c r="E1571" s="663" t="s">
        <v>9416</v>
      </c>
      <c r="F1571" s="658">
        <v>0.1</v>
      </c>
      <c r="G1571" s="658">
        <v>0</v>
      </c>
      <c r="H1571" s="664"/>
      <c r="I1571" s="664">
        <f t="shared" si="18"/>
        <v>0</v>
      </c>
      <c r="J1571" s="661"/>
    </row>
    <row r="1572" spans="1:10" ht="18.75" customHeight="1">
      <c r="A1572" s="661"/>
      <c r="B1572" s="663" t="s">
        <v>943</v>
      </c>
      <c r="C1572" s="657" t="s">
        <v>9137</v>
      </c>
      <c r="D1572" s="657" t="s">
        <v>9417</v>
      </c>
      <c r="E1572" s="663" t="s">
        <v>9418</v>
      </c>
      <c r="F1572" s="658">
        <v>0.1</v>
      </c>
      <c r="G1572" s="658">
        <v>0</v>
      </c>
      <c r="H1572" s="664"/>
      <c r="I1572" s="664">
        <f t="shared" si="18"/>
        <v>0</v>
      </c>
      <c r="J1572" s="661"/>
    </row>
    <row r="1573" spans="1:10" ht="18.75" customHeight="1">
      <c r="A1573" s="661"/>
      <c r="B1573" s="663" t="s">
        <v>943</v>
      </c>
      <c r="C1573" s="657" t="s">
        <v>9137</v>
      </c>
      <c r="D1573" s="657" t="s">
        <v>9419</v>
      </c>
      <c r="E1573" s="663" t="s">
        <v>9420</v>
      </c>
      <c r="F1573" s="658">
        <v>0.1</v>
      </c>
      <c r="G1573" s="658">
        <v>0</v>
      </c>
      <c r="H1573" s="664"/>
      <c r="I1573" s="664">
        <f t="shared" si="18"/>
        <v>0</v>
      </c>
      <c r="J1573" s="661"/>
    </row>
    <row r="1574" spans="1:10" ht="18.75" customHeight="1">
      <c r="A1574" s="661"/>
      <c r="B1574" s="663" t="s">
        <v>943</v>
      </c>
      <c r="C1574" s="657" t="s">
        <v>9137</v>
      </c>
      <c r="D1574" s="657" t="s">
        <v>9421</v>
      </c>
      <c r="E1574" s="663" t="s">
        <v>9422</v>
      </c>
      <c r="F1574" s="658">
        <v>0.1</v>
      </c>
      <c r="G1574" s="658">
        <v>0</v>
      </c>
      <c r="H1574" s="664"/>
      <c r="I1574" s="664">
        <f t="shared" si="18"/>
        <v>0</v>
      </c>
      <c r="J1574" s="661"/>
    </row>
    <row r="1575" spans="1:10" ht="18.75" customHeight="1">
      <c r="A1575" s="661"/>
      <c r="B1575" s="663" t="s">
        <v>943</v>
      </c>
      <c r="C1575" s="657" t="s">
        <v>9137</v>
      </c>
      <c r="D1575" s="657" t="s">
        <v>1080</v>
      </c>
      <c r="E1575" s="663" t="s">
        <v>1081</v>
      </c>
      <c r="F1575" s="658">
        <v>0.1</v>
      </c>
      <c r="G1575" s="658">
        <v>0</v>
      </c>
      <c r="H1575" s="664">
        <v>326700</v>
      </c>
      <c r="I1575" s="664">
        <f t="shared" si="18"/>
        <v>297000</v>
      </c>
      <c r="J1575" s="661"/>
    </row>
    <row r="1576" spans="1:10" ht="18.75" customHeight="1">
      <c r="A1576" s="661"/>
      <c r="B1576" s="663" t="s">
        <v>943</v>
      </c>
      <c r="C1576" s="657" t="s">
        <v>9137</v>
      </c>
      <c r="D1576" s="657" t="s">
        <v>1082</v>
      </c>
      <c r="E1576" s="663" t="s">
        <v>1083</v>
      </c>
      <c r="F1576" s="658">
        <v>0.1</v>
      </c>
      <c r="G1576" s="658">
        <v>0</v>
      </c>
      <c r="H1576" s="664">
        <v>339900</v>
      </c>
      <c r="I1576" s="664">
        <f t="shared" si="18"/>
        <v>309000</v>
      </c>
      <c r="J1576" s="661"/>
    </row>
    <row r="1577" spans="1:10" ht="18.75" customHeight="1">
      <c r="A1577" s="661"/>
      <c r="B1577" s="663" t="s">
        <v>943</v>
      </c>
      <c r="C1577" s="657" t="s">
        <v>9137</v>
      </c>
      <c r="D1577" s="657" t="s">
        <v>9423</v>
      </c>
      <c r="E1577" s="663" t="s">
        <v>9424</v>
      </c>
      <c r="F1577" s="658">
        <v>0.1</v>
      </c>
      <c r="G1577" s="658">
        <v>0</v>
      </c>
      <c r="H1577" s="664"/>
      <c r="I1577" s="664">
        <f t="shared" si="18"/>
        <v>0</v>
      </c>
      <c r="J1577" s="661"/>
    </row>
    <row r="1578" spans="1:10" ht="18.75" customHeight="1">
      <c r="A1578" s="661"/>
      <c r="B1578" s="663" t="s">
        <v>943</v>
      </c>
      <c r="C1578" s="657" t="s">
        <v>9137</v>
      </c>
      <c r="D1578" s="657" t="s">
        <v>9425</v>
      </c>
      <c r="E1578" s="663" t="s">
        <v>9426</v>
      </c>
      <c r="F1578" s="658">
        <v>0.1</v>
      </c>
      <c r="G1578" s="658">
        <v>0</v>
      </c>
      <c r="H1578" s="664"/>
      <c r="I1578" s="664">
        <f t="shared" si="18"/>
        <v>0</v>
      </c>
      <c r="J1578" s="661"/>
    </row>
    <row r="1579" spans="1:10" ht="18.75" customHeight="1">
      <c r="A1579" s="661"/>
      <c r="B1579" s="663" t="s">
        <v>943</v>
      </c>
      <c r="C1579" s="657" t="s">
        <v>9137</v>
      </c>
      <c r="D1579" s="657" t="s">
        <v>1084</v>
      </c>
      <c r="E1579" s="663" t="s">
        <v>1085</v>
      </c>
      <c r="F1579" s="658">
        <v>0.1</v>
      </c>
      <c r="G1579" s="658">
        <v>0</v>
      </c>
      <c r="H1579" s="664">
        <v>426800</v>
      </c>
      <c r="I1579" s="664">
        <f t="shared" si="18"/>
        <v>388000</v>
      </c>
      <c r="J1579" s="661"/>
    </row>
    <row r="1580" spans="1:10" ht="18.75" customHeight="1">
      <c r="A1580" s="661"/>
      <c r="B1580" s="663" t="s">
        <v>943</v>
      </c>
      <c r="C1580" s="657" t="s">
        <v>9137</v>
      </c>
      <c r="D1580" s="657" t="s">
        <v>9427</v>
      </c>
      <c r="E1580" s="663" t="s">
        <v>9428</v>
      </c>
      <c r="F1580" s="658">
        <v>0.1</v>
      </c>
      <c r="G1580" s="658">
        <v>0</v>
      </c>
      <c r="H1580" s="664"/>
      <c r="I1580" s="664">
        <f t="shared" si="18"/>
        <v>0</v>
      </c>
      <c r="J1580" s="661"/>
    </row>
    <row r="1581" spans="1:10" ht="18.75" customHeight="1">
      <c r="A1581" s="661"/>
      <c r="B1581" s="663" t="s">
        <v>943</v>
      </c>
      <c r="C1581" s="657" t="s">
        <v>9137</v>
      </c>
      <c r="D1581" s="657" t="s">
        <v>9429</v>
      </c>
      <c r="E1581" s="663" t="s">
        <v>9430</v>
      </c>
      <c r="F1581" s="658">
        <v>0.1</v>
      </c>
      <c r="G1581" s="658">
        <v>0</v>
      </c>
      <c r="H1581" s="664"/>
      <c r="I1581" s="664">
        <f t="shared" si="18"/>
        <v>0</v>
      </c>
      <c r="J1581" s="661"/>
    </row>
    <row r="1582" spans="1:10" ht="18.75" customHeight="1">
      <c r="A1582" s="661"/>
      <c r="B1582" s="663" t="s">
        <v>943</v>
      </c>
      <c r="C1582" s="657" t="s">
        <v>9137</v>
      </c>
      <c r="D1582" s="657" t="s">
        <v>9431</v>
      </c>
      <c r="E1582" s="663" t="s">
        <v>9432</v>
      </c>
      <c r="F1582" s="658">
        <v>0.1</v>
      </c>
      <c r="G1582" s="658">
        <v>0</v>
      </c>
      <c r="H1582" s="664"/>
      <c r="I1582" s="664">
        <f t="shared" si="18"/>
        <v>0</v>
      </c>
      <c r="J1582" s="661"/>
    </row>
    <row r="1583" spans="1:10" ht="18.75" customHeight="1">
      <c r="A1583" s="661"/>
      <c r="B1583" s="663" t="s">
        <v>943</v>
      </c>
      <c r="C1583" s="657" t="s">
        <v>9137</v>
      </c>
      <c r="D1583" s="657" t="s">
        <v>1086</v>
      </c>
      <c r="E1583" s="663" t="s">
        <v>1087</v>
      </c>
      <c r="F1583" s="658">
        <v>0.1</v>
      </c>
      <c r="G1583" s="658">
        <v>0</v>
      </c>
      <c r="H1583" s="664">
        <v>127600</v>
      </c>
      <c r="I1583" s="664">
        <f t="shared" si="18"/>
        <v>116000</v>
      </c>
      <c r="J1583" s="661"/>
    </row>
    <row r="1584" spans="1:10" ht="18.75" customHeight="1">
      <c r="A1584" s="661"/>
      <c r="B1584" s="663" t="s">
        <v>943</v>
      </c>
      <c r="C1584" s="657" t="s">
        <v>9137</v>
      </c>
      <c r="D1584" s="657" t="s">
        <v>1088</v>
      </c>
      <c r="E1584" s="663" t="s">
        <v>1089</v>
      </c>
      <c r="F1584" s="658">
        <v>0.1</v>
      </c>
      <c r="G1584" s="658">
        <v>0</v>
      </c>
      <c r="H1584" s="664">
        <v>134200</v>
      </c>
      <c r="I1584" s="664">
        <f t="shared" si="18"/>
        <v>122000</v>
      </c>
      <c r="J1584" s="661"/>
    </row>
    <row r="1585" spans="1:10" ht="18.75" customHeight="1">
      <c r="A1585" s="661"/>
      <c r="B1585" s="663" t="s">
        <v>336</v>
      </c>
      <c r="C1585" s="657" t="s">
        <v>9433</v>
      </c>
      <c r="D1585" s="657" t="s">
        <v>9434</v>
      </c>
      <c r="E1585" s="663" t="s">
        <v>9435</v>
      </c>
      <c r="F1585" s="658">
        <v>0.1</v>
      </c>
      <c r="G1585" s="658">
        <v>0</v>
      </c>
      <c r="H1585" s="664">
        <v>6600</v>
      </c>
      <c r="I1585" s="664">
        <f t="shared" si="18"/>
        <v>6000</v>
      </c>
      <c r="J1585" s="661"/>
    </row>
    <row r="1586" spans="1:10" ht="18.75" customHeight="1">
      <c r="A1586" s="661"/>
      <c r="B1586" s="663" t="s">
        <v>336</v>
      </c>
      <c r="C1586" s="657" t="s">
        <v>9433</v>
      </c>
      <c r="D1586" s="657" t="s">
        <v>9436</v>
      </c>
      <c r="E1586" s="663" t="s">
        <v>9437</v>
      </c>
      <c r="F1586" s="658">
        <v>0.1</v>
      </c>
      <c r="G1586" s="658">
        <v>0</v>
      </c>
      <c r="H1586" s="664">
        <v>7200</v>
      </c>
      <c r="I1586" s="664">
        <f t="shared" si="18"/>
        <v>6550</v>
      </c>
      <c r="J1586" s="661"/>
    </row>
    <row r="1587" spans="1:10" ht="18.75" customHeight="1">
      <c r="A1587" s="661"/>
      <c r="B1587" s="663" t="s">
        <v>336</v>
      </c>
      <c r="C1587" s="657" t="s">
        <v>9433</v>
      </c>
      <c r="D1587" s="657" t="s">
        <v>9438</v>
      </c>
      <c r="E1587" s="663" t="s">
        <v>9439</v>
      </c>
      <c r="F1587" s="658">
        <v>0.1</v>
      </c>
      <c r="G1587" s="658">
        <v>0</v>
      </c>
      <c r="H1587" s="664"/>
      <c r="I1587" s="664">
        <f t="shared" si="18"/>
        <v>0</v>
      </c>
      <c r="J1587" s="661"/>
    </row>
    <row r="1588" spans="1:10" ht="18.75" customHeight="1">
      <c r="A1588" s="661"/>
      <c r="B1588" s="663" t="s">
        <v>9440</v>
      </c>
      <c r="C1588" s="657" t="s">
        <v>9441</v>
      </c>
      <c r="D1588" s="657" t="s">
        <v>9442</v>
      </c>
      <c r="E1588" s="663" t="s">
        <v>9443</v>
      </c>
      <c r="F1588" s="658">
        <v>0.1</v>
      </c>
      <c r="G1588" s="658">
        <v>0</v>
      </c>
      <c r="H1588" s="664">
        <v>6100</v>
      </c>
      <c r="I1588" s="664">
        <f t="shared" si="18"/>
        <v>5550</v>
      </c>
      <c r="J1588" s="661"/>
    </row>
    <row r="1589" spans="1:10" ht="18.75" customHeight="1">
      <c r="A1589" s="661"/>
      <c r="B1589" s="663" t="s">
        <v>9440</v>
      </c>
      <c r="C1589" s="657" t="s">
        <v>9441</v>
      </c>
      <c r="D1589" s="657" t="s">
        <v>2158</v>
      </c>
      <c r="E1589" s="663" t="s">
        <v>9444</v>
      </c>
      <c r="F1589" s="658">
        <v>0.1</v>
      </c>
      <c r="G1589" s="658">
        <v>0</v>
      </c>
      <c r="H1589" s="664">
        <v>4100</v>
      </c>
      <c r="I1589" s="664">
        <f t="shared" si="18"/>
        <v>3730</v>
      </c>
      <c r="J1589" s="661"/>
    </row>
    <row r="1590" spans="1:10" ht="18.75" customHeight="1">
      <c r="A1590" s="661"/>
      <c r="B1590" s="663" t="s">
        <v>9440</v>
      </c>
      <c r="C1590" s="657" t="s">
        <v>9441</v>
      </c>
      <c r="D1590" s="657" t="s">
        <v>2160</v>
      </c>
      <c r="E1590" s="663" t="s">
        <v>9445</v>
      </c>
      <c r="F1590" s="658">
        <v>0.1</v>
      </c>
      <c r="G1590" s="658">
        <v>0</v>
      </c>
      <c r="H1590" s="664">
        <v>5100</v>
      </c>
      <c r="I1590" s="664">
        <f t="shared" si="18"/>
        <v>4640</v>
      </c>
      <c r="J1590" s="661"/>
    </row>
    <row r="1591" spans="1:10" ht="18.75" customHeight="1">
      <c r="A1591" s="661"/>
      <c r="B1591" s="663" t="s">
        <v>9440</v>
      </c>
      <c r="C1591" s="657" t="s">
        <v>9441</v>
      </c>
      <c r="D1591" s="657" t="s">
        <v>2162</v>
      </c>
      <c r="E1591" s="663" t="s">
        <v>9446</v>
      </c>
      <c r="F1591" s="658">
        <v>0.1</v>
      </c>
      <c r="G1591" s="658">
        <v>0</v>
      </c>
      <c r="H1591" s="664">
        <v>6200</v>
      </c>
      <c r="I1591" s="664">
        <f t="shared" si="18"/>
        <v>5640</v>
      </c>
      <c r="J1591" s="661"/>
    </row>
    <row r="1592" spans="1:10" ht="18.75" customHeight="1">
      <c r="A1592" s="661"/>
      <c r="B1592" s="663" t="s">
        <v>9440</v>
      </c>
      <c r="C1592" s="657" t="s">
        <v>9441</v>
      </c>
      <c r="D1592" s="657" t="s">
        <v>9447</v>
      </c>
      <c r="E1592" s="663" t="s">
        <v>9448</v>
      </c>
      <c r="F1592" s="658">
        <v>0.1</v>
      </c>
      <c r="G1592" s="658">
        <v>0</v>
      </c>
      <c r="H1592" s="664">
        <v>9000</v>
      </c>
      <c r="I1592" s="664">
        <f t="shared" si="18"/>
        <v>8180</v>
      </c>
      <c r="J1592" s="661"/>
    </row>
    <row r="1593" spans="1:10" ht="18.75" customHeight="1">
      <c r="A1593" s="661"/>
      <c r="B1593" s="663" t="s">
        <v>943</v>
      </c>
      <c r="C1593" s="657" t="s">
        <v>9137</v>
      </c>
      <c r="D1593" s="657" t="s">
        <v>1090</v>
      </c>
      <c r="E1593" s="663" t="s">
        <v>1091</v>
      </c>
      <c r="F1593" s="658">
        <v>0.1</v>
      </c>
      <c r="G1593" s="658">
        <v>0</v>
      </c>
      <c r="H1593" s="664">
        <v>140800</v>
      </c>
      <c r="I1593" s="664">
        <f t="shared" si="18"/>
        <v>128000</v>
      </c>
      <c r="J1593" s="661"/>
    </row>
    <row r="1594" spans="1:10" ht="18.75" customHeight="1">
      <c r="A1594" s="661"/>
      <c r="B1594" s="663" t="s">
        <v>943</v>
      </c>
      <c r="C1594" s="657" t="s">
        <v>9137</v>
      </c>
      <c r="D1594" s="657" t="s">
        <v>1092</v>
      </c>
      <c r="E1594" s="663" t="s">
        <v>1093</v>
      </c>
      <c r="F1594" s="658">
        <v>0.1</v>
      </c>
      <c r="G1594" s="658">
        <v>0</v>
      </c>
      <c r="H1594" s="664">
        <v>147400</v>
      </c>
      <c r="I1594" s="664">
        <f t="shared" si="18"/>
        <v>134000</v>
      </c>
      <c r="J1594" s="661"/>
    </row>
    <row r="1595" spans="1:10" ht="18.75" customHeight="1">
      <c r="A1595" s="661"/>
      <c r="B1595" s="663" t="s">
        <v>943</v>
      </c>
      <c r="C1595" s="657" t="s">
        <v>9137</v>
      </c>
      <c r="D1595" s="657" t="s">
        <v>1094</v>
      </c>
      <c r="E1595" s="663" t="s">
        <v>1095</v>
      </c>
      <c r="F1595" s="658">
        <v>0.1</v>
      </c>
      <c r="G1595" s="658">
        <v>0</v>
      </c>
      <c r="H1595" s="664">
        <v>150700</v>
      </c>
      <c r="I1595" s="664">
        <f t="shared" si="18"/>
        <v>137000</v>
      </c>
      <c r="J1595" s="661"/>
    </row>
    <row r="1596" spans="1:10" ht="18.75" customHeight="1">
      <c r="A1596" s="661"/>
      <c r="B1596" s="663" t="s">
        <v>943</v>
      </c>
      <c r="C1596" s="657" t="s">
        <v>9137</v>
      </c>
      <c r="D1596" s="657" t="s">
        <v>1096</v>
      </c>
      <c r="E1596" s="663" t="s">
        <v>1097</v>
      </c>
      <c r="F1596" s="658">
        <v>0.1</v>
      </c>
      <c r="G1596" s="658">
        <v>0</v>
      </c>
      <c r="H1596" s="664">
        <v>162800</v>
      </c>
      <c r="I1596" s="664">
        <f t="shared" si="18"/>
        <v>148000</v>
      </c>
      <c r="J1596" s="661"/>
    </row>
    <row r="1597" spans="1:10" ht="18.75" customHeight="1">
      <c r="A1597" s="661"/>
      <c r="B1597" s="663" t="s">
        <v>943</v>
      </c>
      <c r="C1597" s="657" t="s">
        <v>9137</v>
      </c>
      <c r="D1597" s="657" t="s">
        <v>1098</v>
      </c>
      <c r="E1597" s="663" t="s">
        <v>1099</v>
      </c>
      <c r="F1597" s="658">
        <v>0.1</v>
      </c>
      <c r="G1597" s="658">
        <v>0</v>
      </c>
      <c r="H1597" s="664">
        <v>179300</v>
      </c>
      <c r="I1597" s="664">
        <f t="shared" si="18"/>
        <v>163000</v>
      </c>
      <c r="J1597" s="661"/>
    </row>
    <row r="1598" spans="1:10" ht="18.75" customHeight="1">
      <c r="A1598" s="661"/>
      <c r="B1598" s="663" t="s">
        <v>943</v>
      </c>
      <c r="C1598" s="657" t="s">
        <v>9137</v>
      </c>
      <c r="D1598" s="657" t="s">
        <v>1100</v>
      </c>
      <c r="E1598" s="663" t="s">
        <v>1101</v>
      </c>
      <c r="F1598" s="658">
        <v>0.1</v>
      </c>
      <c r="G1598" s="658">
        <v>0</v>
      </c>
      <c r="H1598" s="664">
        <v>181500</v>
      </c>
      <c r="I1598" s="664">
        <f t="shared" si="18"/>
        <v>165000</v>
      </c>
      <c r="J1598" s="661"/>
    </row>
    <row r="1599" spans="1:10" ht="18.75" customHeight="1">
      <c r="A1599" s="661"/>
      <c r="B1599" s="663" t="s">
        <v>943</v>
      </c>
      <c r="C1599" s="657" t="s">
        <v>9137</v>
      </c>
      <c r="D1599" s="657" t="s">
        <v>9449</v>
      </c>
      <c r="E1599" s="663" t="s">
        <v>9450</v>
      </c>
      <c r="F1599" s="658">
        <v>0.1</v>
      </c>
      <c r="G1599" s="658">
        <v>0</v>
      </c>
      <c r="H1599" s="664"/>
      <c r="I1599" s="664">
        <f t="shared" si="18"/>
        <v>0</v>
      </c>
      <c r="J1599" s="661"/>
    </row>
    <row r="1600" spans="1:10" ht="18.75" customHeight="1">
      <c r="A1600" s="661"/>
      <c r="B1600" s="663" t="s">
        <v>943</v>
      </c>
      <c r="C1600" s="657" t="s">
        <v>9137</v>
      </c>
      <c r="D1600" s="657" t="s">
        <v>1102</v>
      </c>
      <c r="E1600" s="663" t="s">
        <v>1103</v>
      </c>
      <c r="F1600" s="658">
        <v>0.1</v>
      </c>
      <c r="G1600" s="658">
        <v>0</v>
      </c>
      <c r="H1600" s="664">
        <v>215600</v>
      </c>
      <c r="I1600" s="664">
        <f t="shared" si="18"/>
        <v>196000</v>
      </c>
      <c r="J1600" s="661"/>
    </row>
    <row r="1601" spans="1:10" ht="18.75" customHeight="1">
      <c r="A1601" s="661"/>
      <c r="B1601" s="663" t="s">
        <v>943</v>
      </c>
      <c r="C1601" s="657" t="s">
        <v>9137</v>
      </c>
      <c r="D1601" s="657" t="s">
        <v>9451</v>
      </c>
      <c r="E1601" s="663" t="s">
        <v>9452</v>
      </c>
      <c r="F1601" s="658">
        <v>0.1</v>
      </c>
      <c r="G1601" s="658">
        <v>0</v>
      </c>
      <c r="H1601" s="664"/>
      <c r="I1601" s="664">
        <f t="shared" si="18"/>
        <v>0</v>
      </c>
      <c r="J1601" s="661"/>
    </row>
    <row r="1602" spans="1:10" ht="18.75" customHeight="1">
      <c r="A1602" s="661"/>
      <c r="B1602" s="663" t="s">
        <v>943</v>
      </c>
      <c r="C1602" s="657" t="s">
        <v>9137</v>
      </c>
      <c r="D1602" s="657" t="s">
        <v>1104</v>
      </c>
      <c r="E1602" s="663" t="s">
        <v>1105</v>
      </c>
      <c r="F1602" s="658">
        <v>0.1</v>
      </c>
      <c r="G1602" s="658">
        <v>0</v>
      </c>
      <c r="H1602" s="664">
        <v>229900</v>
      </c>
      <c r="I1602" s="664">
        <f t="shared" si="18"/>
        <v>209000</v>
      </c>
      <c r="J1602" s="661"/>
    </row>
    <row r="1603" spans="1:10" ht="18.75" customHeight="1">
      <c r="A1603" s="661"/>
      <c r="B1603" s="663" t="s">
        <v>943</v>
      </c>
      <c r="C1603" s="657" t="s">
        <v>9137</v>
      </c>
      <c r="D1603" s="657" t="s">
        <v>9453</v>
      </c>
      <c r="E1603" s="663" t="s">
        <v>9454</v>
      </c>
      <c r="F1603" s="658">
        <v>0.1</v>
      </c>
      <c r="G1603" s="658">
        <v>0</v>
      </c>
      <c r="H1603" s="664"/>
      <c r="I1603" s="664">
        <f t="shared" si="18"/>
        <v>0</v>
      </c>
      <c r="J1603" s="661"/>
    </row>
    <row r="1604" spans="1:10" ht="18.75" customHeight="1">
      <c r="A1604" s="661"/>
      <c r="B1604" s="663" t="s">
        <v>943</v>
      </c>
      <c r="C1604" s="657" t="s">
        <v>9137</v>
      </c>
      <c r="D1604" s="657" t="s">
        <v>1106</v>
      </c>
      <c r="E1604" s="663" t="s">
        <v>1107</v>
      </c>
      <c r="F1604" s="658">
        <v>0.1</v>
      </c>
      <c r="G1604" s="658">
        <v>0</v>
      </c>
      <c r="H1604" s="664">
        <v>248600</v>
      </c>
      <c r="I1604" s="664">
        <f t="shared" si="18"/>
        <v>226000</v>
      </c>
      <c r="J1604" s="661"/>
    </row>
    <row r="1605" spans="1:10" ht="18.75" customHeight="1">
      <c r="A1605" s="661"/>
      <c r="B1605" s="663" t="s">
        <v>943</v>
      </c>
      <c r="C1605" s="657" t="s">
        <v>9137</v>
      </c>
      <c r="D1605" s="657" t="s">
        <v>9455</v>
      </c>
      <c r="E1605" s="663" t="s">
        <v>9456</v>
      </c>
      <c r="F1605" s="658">
        <v>0.1</v>
      </c>
      <c r="G1605" s="658">
        <v>0</v>
      </c>
      <c r="H1605" s="664"/>
      <c r="I1605" s="664">
        <f t="shared" si="18"/>
        <v>0</v>
      </c>
      <c r="J1605" s="661"/>
    </row>
    <row r="1606" spans="1:10" ht="18.75" customHeight="1">
      <c r="A1606" s="661"/>
      <c r="B1606" s="663" t="s">
        <v>943</v>
      </c>
      <c r="C1606" s="657" t="s">
        <v>9137</v>
      </c>
      <c r="D1606" s="657" t="s">
        <v>1108</v>
      </c>
      <c r="E1606" s="663" t="s">
        <v>1109</v>
      </c>
      <c r="F1606" s="658">
        <v>0.1</v>
      </c>
      <c r="G1606" s="658">
        <v>0</v>
      </c>
      <c r="H1606" s="664">
        <v>264000</v>
      </c>
      <c r="I1606" s="664">
        <f t="shared" si="18"/>
        <v>240000</v>
      </c>
      <c r="J1606" s="661"/>
    </row>
    <row r="1607" spans="1:10" ht="18.75" customHeight="1">
      <c r="A1607" s="661"/>
      <c r="B1607" s="663" t="s">
        <v>943</v>
      </c>
      <c r="C1607" s="657" t="s">
        <v>9137</v>
      </c>
      <c r="D1607" s="657" t="s">
        <v>9457</v>
      </c>
      <c r="E1607" s="663" t="s">
        <v>9458</v>
      </c>
      <c r="F1607" s="658">
        <v>0.1</v>
      </c>
      <c r="G1607" s="658">
        <v>0</v>
      </c>
      <c r="H1607" s="664"/>
      <c r="I1607" s="664">
        <f t="shared" si="18"/>
        <v>0</v>
      </c>
      <c r="J1607" s="661"/>
    </row>
    <row r="1608" spans="1:10" ht="18.75" customHeight="1">
      <c r="A1608" s="661"/>
      <c r="B1608" s="663" t="s">
        <v>943</v>
      </c>
      <c r="C1608" s="657" t="s">
        <v>9137</v>
      </c>
      <c r="D1608" s="657" t="s">
        <v>1110</v>
      </c>
      <c r="E1608" s="663" t="s">
        <v>1111</v>
      </c>
      <c r="F1608" s="658">
        <v>0.1</v>
      </c>
      <c r="G1608" s="658">
        <v>0</v>
      </c>
      <c r="H1608" s="664">
        <v>294800</v>
      </c>
      <c r="I1608" s="664">
        <f t="shared" si="18"/>
        <v>268000</v>
      </c>
      <c r="J1608" s="661"/>
    </row>
    <row r="1609" spans="1:10" ht="18.75" customHeight="1">
      <c r="A1609" s="661"/>
      <c r="B1609" s="663" t="s">
        <v>943</v>
      </c>
      <c r="C1609" s="657" t="s">
        <v>9137</v>
      </c>
      <c r="D1609" s="657" t="s">
        <v>9459</v>
      </c>
      <c r="E1609" s="663" t="s">
        <v>9460</v>
      </c>
      <c r="F1609" s="658">
        <v>0.1</v>
      </c>
      <c r="G1609" s="658">
        <v>0</v>
      </c>
      <c r="H1609" s="664"/>
      <c r="I1609" s="664">
        <f t="shared" si="18"/>
        <v>0</v>
      </c>
      <c r="J1609" s="661"/>
    </row>
    <row r="1610" spans="1:10" ht="18.75" customHeight="1">
      <c r="A1610" s="661"/>
      <c r="B1610" s="663" t="s">
        <v>943</v>
      </c>
      <c r="C1610" s="657" t="s">
        <v>9137</v>
      </c>
      <c r="D1610" s="657" t="s">
        <v>1112</v>
      </c>
      <c r="E1610" s="663" t="s">
        <v>1113</v>
      </c>
      <c r="F1610" s="658">
        <v>0.1</v>
      </c>
      <c r="G1610" s="658">
        <v>0</v>
      </c>
      <c r="H1610" s="664">
        <v>342100</v>
      </c>
      <c r="I1610" s="664">
        <f t="shared" si="18"/>
        <v>311000</v>
      </c>
      <c r="J1610" s="661"/>
    </row>
    <row r="1611" spans="1:10" ht="18.75" customHeight="1">
      <c r="A1611" s="661"/>
      <c r="B1611" s="663" t="s">
        <v>943</v>
      </c>
      <c r="C1611" s="657" t="s">
        <v>9137</v>
      </c>
      <c r="D1611" s="657" t="s">
        <v>1114</v>
      </c>
      <c r="E1611" s="663" t="s">
        <v>1115</v>
      </c>
      <c r="F1611" s="658">
        <v>0.1</v>
      </c>
      <c r="G1611" s="658">
        <v>0</v>
      </c>
      <c r="H1611" s="664">
        <v>352000</v>
      </c>
      <c r="I1611" s="664">
        <f t="shared" si="18"/>
        <v>320000</v>
      </c>
      <c r="J1611" s="661"/>
    </row>
    <row r="1612" spans="1:10" ht="18.75" customHeight="1">
      <c r="A1612" s="661"/>
      <c r="B1612" s="663" t="s">
        <v>943</v>
      </c>
      <c r="C1612" s="657" t="s">
        <v>9137</v>
      </c>
      <c r="D1612" s="657" t="s">
        <v>9461</v>
      </c>
      <c r="E1612" s="663" t="s">
        <v>9462</v>
      </c>
      <c r="F1612" s="658">
        <v>0.1</v>
      </c>
      <c r="G1612" s="658">
        <v>0</v>
      </c>
      <c r="H1612" s="664"/>
      <c r="I1612" s="664">
        <f t="shared" si="18"/>
        <v>0</v>
      </c>
      <c r="J1612" s="661"/>
    </row>
    <row r="1613" spans="1:10" ht="18.75" customHeight="1">
      <c r="A1613" s="661"/>
      <c r="B1613" s="663" t="s">
        <v>943</v>
      </c>
      <c r="C1613" s="657" t="s">
        <v>9137</v>
      </c>
      <c r="D1613" s="657" t="s">
        <v>1116</v>
      </c>
      <c r="E1613" s="663" t="s">
        <v>1117</v>
      </c>
      <c r="F1613" s="658">
        <v>0.1</v>
      </c>
      <c r="G1613" s="658">
        <v>0</v>
      </c>
      <c r="H1613" s="664">
        <v>371800</v>
      </c>
      <c r="I1613" s="664">
        <f t="shared" si="18"/>
        <v>338000</v>
      </c>
      <c r="J1613" s="661"/>
    </row>
    <row r="1614" spans="1:10" ht="18.75" customHeight="1">
      <c r="A1614" s="661"/>
      <c r="B1614" s="663" t="s">
        <v>943</v>
      </c>
      <c r="C1614" s="657" t="s">
        <v>9137</v>
      </c>
      <c r="D1614" s="657" t="s">
        <v>9463</v>
      </c>
      <c r="E1614" s="663" t="s">
        <v>9464</v>
      </c>
      <c r="F1614" s="658">
        <v>0.1</v>
      </c>
      <c r="G1614" s="658">
        <v>0</v>
      </c>
      <c r="H1614" s="664"/>
      <c r="I1614" s="664">
        <f t="shared" si="18"/>
        <v>0</v>
      </c>
      <c r="J1614" s="661"/>
    </row>
    <row r="1615" spans="1:10" ht="18.75" customHeight="1">
      <c r="A1615" s="661"/>
      <c r="B1615" s="663" t="s">
        <v>943</v>
      </c>
      <c r="C1615" s="657" t="s">
        <v>9137</v>
      </c>
      <c r="D1615" s="657" t="s">
        <v>9465</v>
      </c>
      <c r="E1615" s="663" t="s">
        <v>9466</v>
      </c>
      <c r="F1615" s="658">
        <v>0.1</v>
      </c>
      <c r="G1615" s="658">
        <v>0</v>
      </c>
      <c r="H1615" s="664"/>
      <c r="I1615" s="664">
        <f t="shared" si="18"/>
        <v>0</v>
      </c>
      <c r="J1615" s="661"/>
    </row>
    <row r="1616" spans="1:10" ht="18.75" customHeight="1">
      <c r="A1616" s="661"/>
      <c r="B1616" s="663" t="s">
        <v>943</v>
      </c>
      <c r="C1616" s="657" t="s">
        <v>9137</v>
      </c>
      <c r="D1616" s="657" t="s">
        <v>9467</v>
      </c>
      <c r="E1616" s="663" t="s">
        <v>9468</v>
      </c>
      <c r="F1616" s="658">
        <v>0.1</v>
      </c>
      <c r="G1616" s="658">
        <v>0</v>
      </c>
      <c r="H1616" s="664"/>
      <c r="I1616" s="664">
        <f t="shared" si="18"/>
        <v>0</v>
      </c>
      <c r="J1616" s="661"/>
    </row>
    <row r="1617" spans="1:10" ht="18.75" customHeight="1">
      <c r="A1617" s="661"/>
      <c r="B1617" s="663" t="s">
        <v>943</v>
      </c>
      <c r="C1617" s="657" t="s">
        <v>9137</v>
      </c>
      <c r="D1617" s="657" t="s">
        <v>9469</v>
      </c>
      <c r="E1617" s="663" t="s">
        <v>9470</v>
      </c>
      <c r="F1617" s="658">
        <v>0.1</v>
      </c>
      <c r="G1617" s="658">
        <v>0</v>
      </c>
      <c r="H1617" s="664"/>
      <c r="I1617" s="664">
        <f t="shared" si="18"/>
        <v>0</v>
      </c>
      <c r="J1617" s="661"/>
    </row>
    <row r="1618" spans="1:10" ht="18.75" customHeight="1">
      <c r="A1618" s="661"/>
      <c r="B1618" s="663" t="s">
        <v>943</v>
      </c>
      <c r="C1618" s="657" t="s">
        <v>9137</v>
      </c>
      <c r="D1618" s="657" t="s">
        <v>1118</v>
      </c>
      <c r="E1618" s="663" t="s">
        <v>1119</v>
      </c>
      <c r="F1618" s="658">
        <v>0.1</v>
      </c>
      <c r="G1618" s="658">
        <v>0</v>
      </c>
      <c r="H1618" s="664">
        <v>489500</v>
      </c>
      <c r="I1618" s="664">
        <f t="shared" si="18"/>
        <v>445000</v>
      </c>
      <c r="J1618" s="661"/>
    </row>
    <row r="1619" spans="1:10" ht="18.75" customHeight="1">
      <c r="A1619" s="661"/>
      <c r="B1619" s="663" t="s">
        <v>943</v>
      </c>
      <c r="C1619" s="657" t="s">
        <v>9137</v>
      </c>
      <c r="D1619" s="657" t="s">
        <v>1120</v>
      </c>
      <c r="E1619" s="663" t="s">
        <v>1121</v>
      </c>
      <c r="F1619" s="658">
        <v>0.1</v>
      </c>
      <c r="G1619" s="658">
        <v>0</v>
      </c>
      <c r="H1619" s="664">
        <v>503800</v>
      </c>
      <c r="I1619" s="664">
        <f t="shared" si="18"/>
        <v>458000</v>
      </c>
      <c r="J1619" s="661"/>
    </row>
    <row r="1620" spans="1:10" ht="18.75" customHeight="1">
      <c r="A1620" s="661"/>
      <c r="B1620" s="663" t="s">
        <v>943</v>
      </c>
      <c r="C1620" s="657" t="s">
        <v>9137</v>
      </c>
      <c r="D1620" s="657" t="s">
        <v>9471</v>
      </c>
      <c r="E1620" s="663" t="s">
        <v>9472</v>
      </c>
      <c r="F1620" s="658">
        <v>0.1</v>
      </c>
      <c r="G1620" s="658">
        <v>0</v>
      </c>
      <c r="H1620" s="664"/>
      <c r="I1620" s="664">
        <f t="shared" si="18"/>
        <v>0</v>
      </c>
      <c r="J1620" s="661"/>
    </row>
    <row r="1621" spans="1:10" ht="18.75" customHeight="1">
      <c r="A1621" s="661"/>
      <c r="B1621" s="663" t="s">
        <v>943</v>
      </c>
      <c r="C1621" s="657" t="s">
        <v>9137</v>
      </c>
      <c r="D1621" s="657" t="s">
        <v>9473</v>
      </c>
      <c r="E1621" s="663" t="s">
        <v>9474</v>
      </c>
      <c r="F1621" s="658">
        <v>0.1</v>
      </c>
      <c r="G1621" s="658">
        <v>0</v>
      </c>
      <c r="H1621" s="664"/>
      <c r="I1621" s="664">
        <f t="shared" si="18"/>
        <v>0</v>
      </c>
      <c r="J1621" s="661"/>
    </row>
    <row r="1622" spans="1:10" ht="18.75" customHeight="1">
      <c r="A1622" s="661"/>
      <c r="B1622" s="663" t="s">
        <v>943</v>
      </c>
      <c r="C1622" s="657" t="s">
        <v>9137</v>
      </c>
      <c r="D1622" s="657" t="s">
        <v>1122</v>
      </c>
      <c r="E1622" s="663" t="s">
        <v>1123</v>
      </c>
      <c r="F1622" s="658">
        <v>0.1</v>
      </c>
      <c r="G1622" s="658">
        <v>0</v>
      </c>
      <c r="H1622" s="664">
        <v>577500</v>
      </c>
      <c r="I1622" s="664">
        <f t="shared" si="18"/>
        <v>525000</v>
      </c>
      <c r="J1622" s="661"/>
    </row>
    <row r="1623" spans="1:10" ht="18.75" customHeight="1">
      <c r="A1623" s="661"/>
      <c r="B1623" s="663" t="s">
        <v>943</v>
      </c>
      <c r="C1623" s="657" t="s">
        <v>9137</v>
      </c>
      <c r="D1623" s="657" t="s">
        <v>9475</v>
      </c>
      <c r="E1623" s="663" t="s">
        <v>9476</v>
      </c>
      <c r="F1623" s="658">
        <v>0.1</v>
      </c>
      <c r="G1623" s="658">
        <v>0</v>
      </c>
      <c r="H1623" s="664"/>
      <c r="I1623" s="664">
        <f t="shared" si="18"/>
        <v>0</v>
      </c>
      <c r="J1623" s="661"/>
    </row>
    <row r="1624" spans="1:10" ht="18.75" customHeight="1">
      <c r="A1624" s="661"/>
      <c r="B1624" s="663" t="s">
        <v>943</v>
      </c>
      <c r="C1624" s="657" t="s">
        <v>9137</v>
      </c>
      <c r="D1624" s="657" t="s">
        <v>9477</v>
      </c>
      <c r="E1624" s="663" t="s">
        <v>9478</v>
      </c>
      <c r="F1624" s="658">
        <v>0.1</v>
      </c>
      <c r="G1624" s="658">
        <v>0</v>
      </c>
      <c r="H1624" s="664"/>
      <c r="I1624" s="664">
        <f t="shared" si="18"/>
        <v>0</v>
      </c>
      <c r="J1624" s="661"/>
    </row>
    <row r="1625" spans="1:10" ht="18.75" customHeight="1">
      <c r="A1625" s="661"/>
      <c r="B1625" s="663" t="s">
        <v>943</v>
      </c>
      <c r="C1625" s="657" t="s">
        <v>9137</v>
      </c>
      <c r="D1625" s="657" t="s">
        <v>9479</v>
      </c>
      <c r="E1625" s="663" t="s">
        <v>9480</v>
      </c>
      <c r="F1625" s="658">
        <v>0.1</v>
      </c>
      <c r="G1625" s="658">
        <v>0</v>
      </c>
      <c r="H1625" s="664"/>
      <c r="I1625" s="664">
        <f t="shared" si="18"/>
        <v>0</v>
      </c>
      <c r="J1625" s="661"/>
    </row>
    <row r="1626" spans="1:10" ht="18.75" customHeight="1">
      <c r="A1626" s="661"/>
      <c r="B1626" s="663" t="s">
        <v>943</v>
      </c>
      <c r="C1626" s="657" t="s">
        <v>9137</v>
      </c>
      <c r="D1626" s="657" t="s">
        <v>9481</v>
      </c>
      <c r="E1626" s="663" t="s">
        <v>9482</v>
      </c>
      <c r="F1626" s="658">
        <v>0.1</v>
      </c>
      <c r="G1626" s="658">
        <v>0</v>
      </c>
      <c r="H1626" s="664"/>
      <c r="I1626" s="664">
        <f t="shared" si="18"/>
        <v>0</v>
      </c>
      <c r="J1626" s="661"/>
    </row>
    <row r="1627" spans="1:10" ht="18.75" customHeight="1">
      <c r="A1627" s="661"/>
      <c r="B1627" s="663" t="s">
        <v>943</v>
      </c>
      <c r="C1627" s="657" t="s">
        <v>9137</v>
      </c>
      <c r="D1627" s="657" t="s">
        <v>1124</v>
      </c>
      <c r="E1627" s="663" t="s">
        <v>1125</v>
      </c>
      <c r="F1627" s="658">
        <v>0.1</v>
      </c>
      <c r="G1627" s="658">
        <v>0</v>
      </c>
      <c r="H1627" s="664">
        <v>178200</v>
      </c>
      <c r="I1627" s="664">
        <f t="shared" si="18"/>
        <v>162000</v>
      </c>
      <c r="J1627" s="661"/>
    </row>
    <row r="1628" spans="1:10" ht="18.75" customHeight="1">
      <c r="A1628" s="661"/>
      <c r="B1628" s="663" t="s">
        <v>943</v>
      </c>
      <c r="C1628" s="657" t="s">
        <v>9137</v>
      </c>
      <c r="D1628" s="657" t="s">
        <v>1126</v>
      </c>
      <c r="E1628" s="663" t="s">
        <v>1127</v>
      </c>
      <c r="F1628" s="658">
        <v>0.1</v>
      </c>
      <c r="G1628" s="658">
        <v>0</v>
      </c>
      <c r="H1628" s="664">
        <v>189200</v>
      </c>
      <c r="I1628" s="664">
        <f t="shared" si="18"/>
        <v>172000</v>
      </c>
      <c r="J1628" s="661"/>
    </row>
    <row r="1629" spans="1:10" ht="18.75" customHeight="1">
      <c r="A1629" s="661"/>
      <c r="B1629" s="663" t="s">
        <v>943</v>
      </c>
      <c r="C1629" s="657" t="s">
        <v>9137</v>
      </c>
      <c r="D1629" s="657" t="s">
        <v>1128</v>
      </c>
      <c r="E1629" s="663" t="s">
        <v>1129</v>
      </c>
      <c r="F1629" s="658">
        <v>0.1</v>
      </c>
      <c r="G1629" s="658">
        <v>0</v>
      </c>
      <c r="H1629" s="664">
        <v>203500</v>
      </c>
      <c r="I1629" s="664">
        <f t="shared" si="18"/>
        <v>185000</v>
      </c>
      <c r="J1629" s="661"/>
    </row>
    <row r="1630" spans="1:10" ht="18.75" customHeight="1">
      <c r="A1630" s="661"/>
      <c r="B1630" s="663" t="s">
        <v>943</v>
      </c>
      <c r="C1630" s="657" t="s">
        <v>9137</v>
      </c>
      <c r="D1630" s="657" t="s">
        <v>1130</v>
      </c>
      <c r="E1630" s="663" t="s">
        <v>1131</v>
      </c>
      <c r="F1630" s="658">
        <v>0.1</v>
      </c>
      <c r="G1630" s="658">
        <v>0</v>
      </c>
      <c r="H1630" s="664">
        <v>220000</v>
      </c>
      <c r="I1630" s="664">
        <f t="shared" si="18"/>
        <v>200000</v>
      </c>
      <c r="J1630" s="661"/>
    </row>
    <row r="1631" spans="1:10" ht="18.75" customHeight="1">
      <c r="A1631" s="661"/>
      <c r="B1631" s="663" t="s">
        <v>943</v>
      </c>
      <c r="C1631" s="657" t="s">
        <v>9137</v>
      </c>
      <c r="D1631" s="657" t="s">
        <v>1132</v>
      </c>
      <c r="E1631" s="663" t="s">
        <v>1133</v>
      </c>
      <c r="F1631" s="658">
        <v>0.1</v>
      </c>
      <c r="G1631" s="658">
        <v>0</v>
      </c>
      <c r="H1631" s="664">
        <v>246400</v>
      </c>
      <c r="I1631" s="664">
        <f t="shared" si="18"/>
        <v>224000</v>
      </c>
      <c r="J1631" s="661"/>
    </row>
    <row r="1632" spans="1:10" ht="18.75" customHeight="1">
      <c r="A1632" s="661"/>
      <c r="B1632" s="663" t="s">
        <v>943</v>
      </c>
      <c r="C1632" s="657" t="s">
        <v>9137</v>
      </c>
      <c r="D1632" s="657" t="s">
        <v>1134</v>
      </c>
      <c r="E1632" s="663" t="s">
        <v>1135</v>
      </c>
      <c r="F1632" s="658">
        <v>0.1</v>
      </c>
      <c r="G1632" s="658">
        <v>0</v>
      </c>
      <c r="H1632" s="664">
        <v>250800</v>
      </c>
      <c r="I1632" s="664">
        <f t="shared" si="18"/>
        <v>228000</v>
      </c>
      <c r="J1632" s="661"/>
    </row>
    <row r="1633" spans="1:10" ht="18.75" customHeight="1">
      <c r="A1633" s="661"/>
      <c r="B1633" s="663" t="s">
        <v>943</v>
      </c>
      <c r="C1633" s="657" t="s">
        <v>9137</v>
      </c>
      <c r="D1633" s="657" t="s">
        <v>1136</v>
      </c>
      <c r="E1633" s="663" t="s">
        <v>1137</v>
      </c>
      <c r="F1633" s="658">
        <v>0.1</v>
      </c>
      <c r="G1633" s="658">
        <v>0</v>
      </c>
      <c r="H1633" s="664">
        <v>256300</v>
      </c>
      <c r="I1633" s="664">
        <f t="shared" si="18"/>
        <v>233000</v>
      </c>
      <c r="J1633" s="661"/>
    </row>
    <row r="1634" spans="1:10" ht="18.75" customHeight="1">
      <c r="A1634" s="661"/>
      <c r="B1634" s="663" t="s">
        <v>943</v>
      </c>
      <c r="C1634" s="657" t="s">
        <v>9137</v>
      </c>
      <c r="D1634" s="657" t="s">
        <v>9483</v>
      </c>
      <c r="E1634" s="663" t="s">
        <v>9484</v>
      </c>
      <c r="F1634" s="658">
        <v>0.1</v>
      </c>
      <c r="G1634" s="658">
        <v>0</v>
      </c>
      <c r="H1634" s="664"/>
      <c r="I1634" s="664">
        <f t="shared" si="18"/>
        <v>0</v>
      </c>
      <c r="J1634" s="661"/>
    </row>
    <row r="1635" spans="1:10" ht="18.75" customHeight="1">
      <c r="A1635" s="661"/>
      <c r="B1635" s="663" t="s">
        <v>943</v>
      </c>
      <c r="C1635" s="657" t="s">
        <v>9137</v>
      </c>
      <c r="D1635" s="657" t="s">
        <v>1138</v>
      </c>
      <c r="E1635" s="663" t="s">
        <v>1139</v>
      </c>
      <c r="F1635" s="658">
        <v>0.1</v>
      </c>
      <c r="G1635" s="658">
        <v>0</v>
      </c>
      <c r="H1635" s="664">
        <v>270600</v>
      </c>
      <c r="I1635" s="664">
        <f t="shared" si="18"/>
        <v>246000</v>
      </c>
      <c r="J1635" s="661"/>
    </row>
    <row r="1636" spans="1:10" ht="18.75" customHeight="1">
      <c r="A1636" s="661"/>
      <c r="B1636" s="663" t="s">
        <v>943</v>
      </c>
      <c r="C1636" s="657" t="s">
        <v>9137</v>
      </c>
      <c r="D1636" s="657" t="s">
        <v>9485</v>
      </c>
      <c r="E1636" s="663" t="s">
        <v>9486</v>
      </c>
      <c r="F1636" s="658">
        <v>0.1</v>
      </c>
      <c r="G1636" s="658">
        <v>0</v>
      </c>
      <c r="H1636" s="664"/>
      <c r="I1636" s="664">
        <f t="shared" si="18"/>
        <v>0</v>
      </c>
      <c r="J1636" s="661"/>
    </row>
    <row r="1637" spans="1:10" ht="18.75" customHeight="1">
      <c r="A1637" s="661"/>
      <c r="B1637" s="663" t="s">
        <v>943</v>
      </c>
      <c r="C1637" s="657" t="s">
        <v>9137</v>
      </c>
      <c r="D1637" s="657" t="s">
        <v>1140</v>
      </c>
      <c r="E1637" s="663" t="s">
        <v>1141</v>
      </c>
      <c r="F1637" s="658">
        <v>0.1</v>
      </c>
      <c r="G1637" s="658">
        <v>0</v>
      </c>
      <c r="H1637" s="664">
        <v>277200</v>
      </c>
      <c r="I1637" s="664">
        <f t="shared" si="18"/>
        <v>252000</v>
      </c>
      <c r="J1637" s="661"/>
    </row>
    <row r="1638" spans="1:10" ht="18.75" customHeight="1">
      <c r="A1638" s="661"/>
      <c r="B1638" s="663" t="s">
        <v>943</v>
      </c>
      <c r="C1638" s="657" t="s">
        <v>9137</v>
      </c>
      <c r="D1638" s="657" t="s">
        <v>9487</v>
      </c>
      <c r="E1638" s="663" t="s">
        <v>9488</v>
      </c>
      <c r="F1638" s="658">
        <v>0.1</v>
      </c>
      <c r="G1638" s="658">
        <v>0</v>
      </c>
      <c r="H1638" s="664"/>
      <c r="I1638" s="664">
        <f t="shared" si="18"/>
        <v>0</v>
      </c>
      <c r="J1638" s="661"/>
    </row>
    <row r="1639" spans="1:10" ht="18.75" customHeight="1">
      <c r="A1639" s="661"/>
      <c r="B1639" s="663" t="s">
        <v>943</v>
      </c>
      <c r="C1639" s="657" t="s">
        <v>9137</v>
      </c>
      <c r="D1639" s="657" t="s">
        <v>1142</v>
      </c>
      <c r="E1639" s="663" t="s">
        <v>1143</v>
      </c>
      <c r="F1639" s="658">
        <v>0.1</v>
      </c>
      <c r="G1639" s="658">
        <v>0</v>
      </c>
      <c r="H1639" s="664">
        <v>311300</v>
      </c>
      <c r="I1639" s="664">
        <f t="shared" si="18"/>
        <v>283000</v>
      </c>
      <c r="J1639" s="661"/>
    </row>
    <row r="1640" spans="1:10" ht="18.75" customHeight="1">
      <c r="A1640" s="661"/>
      <c r="B1640" s="663" t="s">
        <v>943</v>
      </c>
      <c r="C1640" s="657" t="s">
        <v>9137</v>
      </c>
      <c r="D1640" s="657" t="s">
        <v>9489</v>
      </c>
      <c r="E1640" s="663" t="s">
        <v>9490</v>
      </c>
      <c r="F1640" s="658">
        <v>0.1</v>
      </c>
      <c r="G1640" s="658">
        <v>0</v>
      </c>
      <c r="H1640" s="664"/>
      <c r="I1640" s="664">
        <f t="shared" si="18"/>
        <v>0</v>
      </c>
      <c r="J1640" s="661"/>
    </row>
    <row r="1641" spans="1:10" ht="18.75" customHeight="1">
      <c r="A1641" s="661"/>
      <c r="B1641" s="663" t="s">
        <v>943</v>
      </c>
      <c r="C1641" s="657" t="s">
        <v>9137</v>
      </c>
      <c r="D1641" s="657" t="s">
        <v>1144</v>
      </c>
      <c r="E1641" s="663" t="s">
        <v>1145</v>
      </c>
      <c r="F1641" s="658">
        <v>0.1</v>
      </c>
      <c r="G1641" s="658">
        <v>0</v>
      </c>
      <c r="H1641" s="664">
        <v>330000</v>
      </c>
      <c r="I1641" s="664">
        <f t="shared" si="18"/>
        <v>300000</v>
      </c>
      <c r="J1641" s="661"/>
    </row>
    <row r="1642" spans="1:10" ht="18.75" customHeight="1">
      <c r="A1642" s="661"/>
      <c r="B1642" s="663" t="s">
        <v>943</v>
      </c>
      <c r="C1642" s="657" t="s">
        <v>9137</v>
      </c>
      <c r="D1642" s="657" t="s">
        <v>9491</v>
      </c>
      <c r="E1642" s="663" t="s">
        <v>9492</v>
      </c>
      <c r="F1642" s="658">
        <v>0.1</v>
      </c>
      <c r="G1642" s="658">
        <v>0</v>
      </c>
      <c r="H1642" s="664"/>
      <c r="I1642" s="664">
        <f t="shared" si="18"/>
        <v>0</v>
      </c>
      <c r="J1642" s="661"/>
    </row>
    <row r="1643" spans="1:10" ht="18.75" customHeight="1">
      <c r="A1643" s="661"/>
      <c r="B1643" s="663" t="s">
        <v>943</v>
      </c>
      <c r="C1643" s="657" t="s">
        <v>9137</v>
      </c>
      <c r="D1643" s="657" t="s">
        <v>1146</v>
      </c>
      <c r="E1643" s="663" t="s">
        <v>1147</v>
      </c>
      <c r="F1643" s="658">
        <v>0.1</v>
      </c>
      <c r="G1643" s="658">
        <v>0</v>
      </c>
      <c r="H1643" s="664">
        <v>353100</v>
      </c>
      <c r="I1643" s="664">
        <f t="shared" si="18"/>
        <v>321000</v>
      </c>
      <c r="J1643" s="661"/>
    </row>
    <row r="1644" spans="1:10" ht="18.75" customHeight="1">
      <c r="A1644" s="661"/>
      <c r="B1644" s="663" t="s">
        <v>943</v>
      </c>
      <c r="C1644" s="657" t="s">
        <v>9137</v>
      </c>
      <c r="D1644" s="657" t="s">
        <v>9493</v>
      </c>
      <c r="E1644" s="663" t="s">
        <v>9494</v>
      </c>
      <c r="F1644" s="658">
        <v>0.1</v>
      </c>
      <c r="G1644" s="658">
        <v>0</v>
      </c>
      <c r="H1644" s="664"/>
      <c r="I1644" s="664">
        <f t="shared" si="18"/>
        <v>0</v>
      </c>
      <c r="J1644" s="661"/>
    </row>
    <row r="1645" spans="1:10" ht="18.75" customHeight="1">
      <c r="A1645" s="661"/>
      <c r="B1645" s="663" t="s">
        <v>943</v>
      </c>
      <c r="C1645" s="657" t="s">
        <v>9137</v>
      </c>
      <c r="D1645" s="657" t="s">
        <v>1148</v>
      </c>
      <c r="E1645" s="663" t="s">
        <v>1149</v>
      </c>
      <c r="F1645" s="658">
        <v>0.1</v>
      </c>
      <c r="G1645" s="658">
        <v>0</v>
      </c>
      <c r="H1645" s="664">
        <v>410300</v>
      </c>
      <c r="I1645" s="664">
        <f t="shared" si="18"/>
        <v>373000</v>
      </c>
      <c r="J1645" s="661"/>
    </row>
    <row r="1646" spans="1:10" ht="18.75" customHeight="1">
      <c r="A1646" s="661"/>
      <c r="B1646" s="663" t="s">
        <v>943</v>
      </c>
      <c r="C1646" s="657" t="s">
        <v>9137</v>
      </c>
      <c r="D1646" s="657" t="s">
        <v>9495</v>
      </c>
      <c r="E1646" s="663" t="s">
        <v>9496</v>
      </c>
      <c r="F1646" s="658">
        <v>0.1</v>
      </c>
      <c r="G1646" s="658">
        <v>0</v>
      </c>
      <c r="H1646" s="664"/>
      <c r="I1646" s="664">
        <f t="shared" si="18"/>
        <v>0</v>
      </c>
      <c r="J1646" s="661"/>
    </row>
    <row r="1647" spans="1:10" ht="18.75" customHeight="1">
      <c r="A1647" s="661"/>
      <c r="B1647" s="663" t="s">
        <v>943</v>
      </c>
      <c r="C1647" s="657" t="s">
        <v>9137</v>
      </c>
      <c r="D1647" s="657" t="s">
        <v>9497</v>
      </c>
      <c r="E1647" s="663" t="s">
        <v>9498</v>
      </c>
      <c r="F1647" s="658">
        <v>0.1</v>
      </c>
      <c r="G1647" s="658">
        <v>0</v>
      </c>
      <c r="H1647" s="664"/>
      <c r="I1647" s="664">
        <f t="shared" si="18"/>
        <v>0</v>
      </c>
      <c r="J1647" s="661"/>
    </row>
    <row r="1648" spans="1:10" ht="18.75" customHeight="1">
      <c r="A1648" s="661"/>
      <c r="B1648" s="663" t="s">
        <v>943</v>
      </c>
      <c r="C1648" s="657" t="s">
        <v>9137</v>
      </c>
      <c r="D1648" s="657" t="s">
        <v>1150</v>
      </c>
      <c r="E1648" s="663" t="s">
        <v>1151</v>
      </c>
      <c r="F1648" s="658">
        <v>0.1</v>
      </c>
      <c r="G1648" s="658">
        <v>0</v>
      </c>
      <c r="H1648" s="664">
        <v>457600</v>
      </c>
      <c r="I1648" s="664">
        <f t="shared" si="18"/>
        <v>416000</v>
      </c>
      <c r="J1648" s="661"/>
    </row>
    <row r="1649" spans="1:10" ht="18.75" customHeight="1">
      <c r="A1649" s="661"/>
      <c r="B1649" s="663" t="s">
        <v>943</v>
      </c>
      <c r="C1649" s="657" t="s">
        <v>9137</v>
      </c>
      <c r="D1649" s="657" t="s">
        <v>9499</v>
      </c>
      <c r="E1649" s="663" t="s">
        <v>9500</v>
      </c>
      <c r="F1649" s="658">
        <v>0.1</v>
      </c>
      <c r="G1649" s="658">
        <v>0</v>
      </c>
      <c r="H1649" s="664"/>
      <c r="I1649" s="664">
        <f t="shared" si="18"/>
        <v>0</v>
      </c>
      <c r="J1649" s="661"/>
    </row>
    <row r="1650" spans="1:10" ht="18.75" customHeight="1">
      <c r="A1650" s="661"/>
      <c r="B1650" s="663" t="s">
        <v>943</v>
      </c>
      <c r="C1650" s="657" t="s">
        <v>9137</v>
      </c>
      <c r="D1650" s="657" t="s">
        <v>9501</v>
      </c>
      <c r="E1650" s="663" t="s">
        <v>9502</v>
      </c>
      <c r="F1650" s="658">
        <v>0.1</v>
      </c>
      <c r="G1650" s="658">
        <v>0</v>
      </c>
      <c r="H1650" s="664"/>
      <c r="I1650" s="664">
        <f t="shared" si="18"/>
        <v>0</v>
      </c>
      <c r="J1650" s="661"/>
    </row>
    <row r="1651" spans="1:10" ht="18.75" customHeight="1">
      <c r="A1651" s="661"/>
      <c r="B1651" s="663" t="s">
        <v>943</v>
      </c>
      <c r="C1651" s="657" t="s">
        <v>9137</v>
      </c>
      <c r="D1651" s="657" t="s">
        <v>9503</v>
      </c>
      <c r="E1651" s="663" t="s">
        <v>9504</v>
      </c>
      <c r="F1651" s="658">
        <v>0.1</v>
      </c>
      <c r="G1651" s="658">
        <v>0</v>
      </c>
      <c r="H1651" s="664"/>
      <c r="I1651" s="664">
        <f t="shared" si="18"/>
        <v>0</v>
      </c>
      <c r="J1651" s="661"/>
    </row>
    <row r="1652" spans="1:10" ht="18.75" customHeight="1">
      <c r="A1652" s="661"/>
      <c r="B1652" s="663" t="s">
        <v>943</v>
      </c>
      <c r="C1652" s="657" t="s">
        <v>9137</v>
      </c>
      <c r="D1652" s="657" t="s">
        <v>9505</v>
      </c>
      <c r="E1652" s="663" t="s">
        <v>9506</v>
      </c>
      <c r="F1652" s="658">
        <v>0.1</v>
      </c>
      <c r="G1652" s="658">
        <v>0</v>
      </c>
      <c r="H1652" s="664"/>
      <c r="I1652" s="664">
        <f t="shared" si="18"/>
        <v>0</v>
      </c>
      <c r="J1652" s="661"/>
    </row>
    <row r="1653" spans="1:10" ht="18.75" customHeight="1">
      <c r="A1653" s="661"/>
      <c r="B1653" s="663" t="s">
        <v>943</v>
      </c>
      <c r="C1653" s="657" t="s">
        <v>9137</v>
      </c>
      <c r="D1653" s="657" t="s">
        <v>1152</v>
      </c>
      <c r="E1653" s="663" t="s">
        <v>1153</v>
      </c>
      <c r="F1653" s="658">
        <v>0.1</v>
      </c>
      <c r="G1653" s="658">
        <v>0</v>
      </c>
      <c r="H1653" s="664">
        <v>564300</v>
      </c>
      <c r="I1653" s="664">
        <f t="shared" si="18"/>
        <v>513000</v>
      </c>
      <c r="J1653" s="661"/>
    </row>
    <row r="1654" spans="1:10" ht="18.75" customHeight="1">
      <c r="A1654" s="661"/>
      <c r="B1654" s="663" t="s">
        <v>943</v>
      </c>
      <c r="C1654" s="657" t="s">
        <v>9137</v>
      </c>
      <c r="D1654" s="657" t="s">
        <v>1154</v>
      </c>
      <c r="E1654" s="663" t="s">
        <v>1155</v>
      </c>
      <c r="F1654" s="658">
        <v>0.1</v>
      </c>
      <c r="G1654" s="658">
        <v>0</v>
      </c>
      <c r="H1654" s="664">
        <v>586300</v>
      </c>
      <c r="I1654" s="664">
        <f t="shared" si="18"/>
        <v>533000</v>
      </c>
      <c r="J1654" s="661"/>
    </row>
    <row r="1655" spans="1:10" ht="18.75" customHeight="1">
      <c r="A1655" s="661"/>
      <c r="B1655" s="663" t="s">
        <v>943</v>
      </c>
      <c r="C1655" s="657" t="s">
        <v>9137</v>
      </c>
      <c r="D1655" s="657" t="s">
        <v>9507</v>
      </c>
      <c r="E1655" s="663" t="s">
        <v>9508</v>
      </c>
      <c r="F1655" s="658">
        <v>0.1</v>
      </c>
      <c r="G1655" s="658">
        <v>0</v>
      </c>
      <c r="H1655" s="664"/>
      <c r="I1655" s="664">
        <f t="shared" si="18"/>
        <v>0</v>
      </c>
      <c r="J1655" s="661"/>
    </row>
    <row r="1656" spans="1:10" ht="18.75" customHeight="1">
      <c r="A1656" s="661"/>
      <c r="B1656" s="663" t="s">
        <v>943</v>
      </c>
      <c r="C1656" s="657" t="s">
        <v>9137</v>
      </c>
      <c r="D1656" s="657" t="s">
        <v>9509</v>
      </c>
      <c r="E1656" s="663" t="s">
        <v>9510</v>
      </c>
      <c r="F1656" s="658">
        <v>0.1</v>
      </c>
      <c r="G1656" s="658">
        <v>0</v>
      </c>
      <c r="H1656" s="664"/>
      <c r="I1656" s="664">
        <f t="shared" si="18"/>
        <v>0</v>
      </c>
      <c r="J1656" s="661"/>
    </row>
    <row r="1657" spans="1:10" ht="18.75" customHeight="1">
      <c r="A1657" s="661"/>
      <c r="B1657" s="663" t="s">
        <v>943</v>
      </c>
      <c r="C1657" s="657" t="s">
        <v>9137</v>
      </c>
      <c r="D1657" s="657" t="s">
        <v>1156</v>
      </c>
      <c r="E1657" s="663" t="s">
        <v>1157</v>
      </c>
      <c r="F1657" s="658">
        <v>0.1</v>
      </c>
      <c r="G1657" s="658">
        <v>0</v>
      </c>
      <c r="H1657" s="664">
        <v>684200</v>
      </c>
      <c r="I1657" s="664">
        <f t="shared" si="18"/>
        <v>622000</v>
      </c>
      <c r="J1657" s="661"/>
    </row>
    <row r="1658" spans="1:10" ht="18.75" customHeight="1">
      <c r="A1658" s="661"/>
      <c r="B1658" s="663" t="s">
        <v>943</v>
      </c>
      <c r="C1658" s="657" t="s">
        <v>9137</v>
      </c>
      <c r="D1658" s="657" t="s">
        <v>9511</v>
      </c>
      <c r="E1658" s="663" t="s">
        <v>9512</v>
      </c>
      <c r="F1658" s="658">
        <v>0.1</v>
      </c>
      <c r="G1658" s="658">
        <v>0</v>
      </c>
      <c r="H1658" s="664"/>
      <c r="I1658" s="664">
        <f t="shared" si="18"/>
        <v>0</v>
      </c>
      <c r="J1658" s="661"/>
    </row>
    <row r="1659" spans="1:10" ht="18.75" customHeight="1">
      <c r="A1659" s="661"/>
      <c r="B1659" s="663" t="s">
        <v>943</v>
      </c>
      <c r="C1659" s="657" t="s">
        <v>9137</v>
      </c>
      <c r="D1659" s="657" t="s">
        <v>9513</v>
      </c>
      <c r="E1659" s="663" t="s">
        <v>9514</v>
      </c>
      <c r="F1659" s="658">
        <v>0.1</v>
      </c>
      <c r="G1659" s="658">
        <v>0</v>
      </c>
      <c r="H1659" s="664"/>
      <c r="I1659" s="664">
        <f t="shared" si="18"/>
        <v>0</v>
      </c>
      <c r="J1659" s="661"/>
    </row>
    <row r="1660" spans="1:10" ht="18.75" customHeight="1">
      <c r="A1660" s="661"/>
      <c r="B1660" s="663" t="s">
        <v>943</v>
      </c>
      <c r="C1660" s="657" t="s">
        <v>9137</v>
      </c>
      <c r="D1660" s="657" t="s">
        <v>9515</v>
      </c>
      <c r="E1660" s="663" t="s">
        <v>9516</v>
      </c>
      <c r="F1660" s="658">
        <v>0.1</v>
      </c>
      <c r="G1660" s="658">
        <v>0</v>
      </c>
      <c r="H1660" s="664"/>
      <c r="I1660" s="664">
        <f t="shared" si="18"/>
        <v>0</v>
      </c>
      <c r="J1660" s="661"/>
    </row>
    <row r="1661" spans="1:10" ht="18.75" customHeight="1">
      <c r="A1661" s="661"/>
      <c r="B1661" s="663" t="s">
        <v>943</v>
      </c>
      <c r="C1661" s="657" t="s">
        <v>9137</v>
      </c>
      <c r="D1661" s="657" t="s">
        <v>9517</v>
      </c>
      <c r="E1661" s="663" t="s">
        <v>9518</v>
      </c>
      <c r="F1661" s="658">
        <v>0.1</v>
      </c>
      <c r="G1661" s="658">
        <v>0</v>
      </c>
      <c r="H1661" s="664"/>
      <c r="I1661" s="664">
        <f t="shared" si="18"/>
        <v>0</v>
      </c>
      <c r="J1661" s="661"/>
    </row>
    <row r="1662" spans="1:10" ht="18.75" customHeight="1">
      <c r="A1662" s="661"/>
      <c r="B1662" s="663" t="s">
        <v>943</v>
      </c>
      <c r="C1662" s="657" t="s">
        <v>9137</v>
      </c>
      <c r="D1662" s="657" t="s">
        <v>1158</v>
      </c>
      <c r="E1662" s="663" t="s">
        <v>1159</v>
      </c>
      <c r="F1662" s="658">
        <v>0.1</v>
      </c>
      <c r="G1662" s="658">
        <v>0</v>
      </c>
      <c r="H1662" s="664">
        <v>299200</v>
      </c>
      <c r="I1662" s="664">
        <f t="shared" si="18"/>
        <v>272000</v>
      </c>
      <c r="J1662" s="661"/>
    </row>
    <row r="1663" spans="1:10" ht="18.75" customHeight="1">
      <c r="A1663" s="661"/>
      <c r="B1663" s="663" t="s">
        <v>943</v>
      </c>
      <c r="C1663" s="657" t="s">
        <v>9137</v>
      </c>
      <c r="D1663" s="657" t="s">
        <v>1160</v>
      </c>
      <c r="E1663" s="663" t="s">
        <v>1161</v>
      </c>
      <c r="F1663" s="658">
        <v>0.1</v>
      </c>
      <c r="G1663" s="658">
        <v>0</v>
      </c>
      <c r="H1663" s="664">
        <v>303600</v>
      </c>
      <c r="I1663" s="664">
        <f t="shared" si="18"/>
        <v>276000</v>
      </c>
      <c r="J1663" s="661"/>
    </row>
    <row r="1664" spans="1:10" ht="18.75" customHeight="1">
      <c r="A1664" s="661"/>
      <c r="B1664" s="663" t="s">
        <v>943</v>
      </c>
      <c r="C1664" s="657" t="s">
        <v>9137</v>
      </c>
      <c r="D1664" s="657" t="s">
        <v>1162</v>
      </c>
      <c r="E1664" s="663" t="s">
        <v>1163</v>
      </c>
      <c r="F1664" s="658">
        <v>0.1</v>
      </c>
      <c r="G1664" s="658">
        <v>0</v>
      </c>
      <c r="H1664" s="664">
        <v>353100</v>
      </c>
      <c r="I1664" s="664">
        <f t="shared" si="18"/>
        <v>321000</v>
      </c>
      <c r="J1664" s="661"/>
    </row>
    <row r="1665" spans="1:10" ht="18.75" customHeight="1">
      <c r="A1665" s="661"/>
      <c r="B1665" s="663" t="s">
        <v>943</v>
      </c>
      <c r="C1665" s="657" t="s">
        <v>9137</v>
      </c>
      <c r="D1665" s="657" t="s">
        <v>1164</v>
      </c>
      <c r="E1665" s="663" t="s">
        <v>1165</v>
      </c>
      <c r="F1665" s="658">
        <v>0.1</v>
      </c>
      <c r="G1665" s="658">
        <v>0</v>
      </c>
      <c r="H1665" s="664">
        <v>372900</v>
      </c>
      <c r="I1665" s="664">
        <f t="shared" si="18"/>
        <v>339000</v>
      </c>
      <c r="J1665" s="661"/>
    </row>
    <row r="1666" spans="1:10" ht="18.75" customHeight="1">
      <c r="A1666" s="661"/>
      <c r="B1666" s="663" t="s">
        <v>943</v>
      </c>
      <c r="C1666" s="657" t="s">
        <v>9137</v>
      </c>
      <c r="D1666" s="657" t="s">
        <v>1166</v>
      </c>
      <c r="E1666" s="663" t="s">
        <v>1167</v>
      </c>
      <c r="F1666" s="658">
        <v>0.1</v>
      </c>
      <c r="G1666" s="658">
        <v>0</v>
      </c>
      <c r="H1666" s="664">
        <v>382800</v>
      </c>
      <c r="I1666" s="664">
        <f t="shared" si="18"/>
        <v>348000</v>
      </c>
      <c r="J1666" s="661"/>
    </row>
    <row r="1667" spans="1:10" ht="18.75" customHeight="1">
      <c r="A1667" s="661"/>
      <c r="B1667" s="663" t="s">
        <v>943</v>
      </c>
      <c r="C1667" s="657" t="s">
        <v>9137</v>
      </c>
      <c r="D1667" s="657" t="s">
        <v>1168</v>
      </c>
      <c r="E1667" s="663" t="s">
        <v>1169</v>
      </c>
      <c r="F1667" s="658">
        <v>0.1</v>
      </c>
      <c r="G1667" s="658">
        <v>0</v>
      </c>
      <c r="H1667" s="664">
        <v>391600</v>
      </c>
      <c r="I1667" s="664">
        <f t="shared" si="18"/>
        <v>356000</v>
      </c>
      <c r="J1667" s="661"/>
    </row>
    <row r="1668" spans="1:10" ht="18.75" customHeight="1">
      <c r="A1668" s="661"/>
      <c r="B1668" s="663" t="s">
        <v>943</v>
      </c>
      <c r="C1668" s="657" t="s">
        <v>9137</v>
      </c>
      <c r="D1668" s="657" t="s">
        <v>9519</v>
      </c>
      <c r="E1668" s="663" t="s">
        <v>9520</v>
      </c>
      <c r="F1668" s="658">
        <v>0.1</v>
      </c>
      <c r="G1668" s="658">
        <v>0</v>
      </c>
      <c r="H1668" s="664"/>
      <c r="I1668" s="664">
        <f t="shared" si="18"/>
        <v>0</v>
      </c>
      <c r="J1668" s="661"/>
    </row>
    <row r="1669" spans="1:10" ht="18.75" customHeight="1">
      <c r="A1669" s="661"/>
      <c r="B1669" s="663" t="s">
        <v>943</v>
      </c>
      <c r="C1669" s="657" t="s">
        <v>9137</v>
      </c>
      <c r="D1669" s="657" t="s">
        <v>1170</v>
      </c>
      <c r="E1669" s="663" t="s">
        <v>1171</v>
      </c>
      <c r="F1669" s="658">
        <v>0.1</v>
      </c>
      <c r="G1669" s="658">
        <v>0</v>
      </c>
      <c r="H1669" s="664">
        <v>411400</v>
      </c>
      <c r="I1669" s="664">
        <f t="shared" si="18"/>
        <v>374000</v>
      </c>
      <c r="J1669" s="661"/>
    </row>
    <row r="1670" spans="1:10" ht="18.75" customHeight="1">
      <c r="A1670" s="661"/>
      <c r="B1670" s="663" t="s">
        <v>943</v>
      </c>
      <c r="C1670" s="657" t="s">
        <v>9137</v>
      </c>
      <c r="D1670" s="657" t="s">
        <v>9521</v>
      </c>
      <c r="E1670" s="663" t="s">
        <v>9522</v>
      </c>
      <c r="F1670" s="658">
        <v>0.1</v>
      </c>
      <c r="G1670" s="658">
        <v>0</v>
      </c>
      <c r="H1670" s="664"/>
      <c r="I1670" s="664">
        <f t="shared" si="18"/>
        <v>0</v>
      </c>
      <c r="J1670" s="661"/>
    </row>
    <row r="1671" spans="1:10" ht="18.75" customHeight="1">
      <c r="A1671" s="661"/>
      <c r="B1671" s="663" t="s">
        <v>943</v>
      </c>
      <c r="C1671" s="657" t="s">
        <v>9137</v>
      </c>
      <c r="D1671" s="657" t="s">
        <v>1172</v>
      </c>
      <c r="E1671" s="663" t="s">
        <v>1173</v>
      </c>
      <c r="F1671" s="658">
        <v>0.1</v>
      </c>
      <c r="G1671" s="658">
        <v>0</v>
      </c>
      <c r="H1671" s="664">
        <v>451000</v>
      </c>
      <c r="I1671" s="664">
        <f t="shared" si="18"/>
        <v>410000</v>
      </c>
      <c r="J1671" s="661"/>
    </row>
    <row r="1672" spans="1:10" ht="18.75" customHeight="1">
      <c r="A1672" s="661"/>
      <c r="B1672" s="663" t="s">
        <v>943</v>
      </c>
      <c r="C1672" s="657" t="s">
        <v>9137</v>
      </c>
      <c r="D1672" s="657" t="s">
        <v>9523</v>
      </c>
      <c r="E1672" s="663" t="s">
        <v>9524</v>
      </c>
      <c r="F1672" s="658">
        <v>0.1</v>
      </c>
      <c r="G1672" s="658">
        <v>0</v>
      </c>
      <c r="H1672" s="664"/>
      <c r="I1672" s="664">
        <f t="shared" si="18"/>
        <v>0</v>
      </c>
      <c r="J1672" s="661"/>
    </row>
    <row r="1673" spans="1:10" ht="18.75" customHeight="1">
      <c r="A1673" s="661"/>
      <c r="B1673" s="663" t="s">
        <v>943</v>
      </c>
      <c r="C1673" s="657" t="s">
        <v>9137</v>
      </c>
      <c r="D1673" s="657" t="s">
        <v>1174</v>
      </c>
      <c r="E1673" s="663" t="s">
        <v>1175</v>
      </c>
      <c r="F1673" s="658">
        <v>0.1</v>
      </c>
      <c r="G1673" s="658">
        <v>0</v>
      </c>
      <c r="H1673" s="664">
        <v>517000</v>
      </c>
      <c r="I1673" s="664">
        <f t="shared" si="18"/>
        <v>470000</v>
      </c>
      <c r="J1673" s="661"/>
    </row>
    <row r="1674" spans="1:10" ht="18.75" customHeight="1">
      <c r="A1674" s="661"/>
      <c r="B1674" s="663" t="s">
        <v>943</v>
      </c>
      <c r="C1674" s="657" t="s">
        <v>9137</v>
      </c>
      <c r="D1674" s="657" t="s">
        <v>9525</v>
      </c>
      <c r="E1674" s="663" t="s">
        <v>9526</v>
      </c>
      <c r="F1674" s="658">
        <v>0.1</v>
      </c>
      <c r="G1674" s="658">
        <v>0</v>
      </c>
      <c r="H1674" s="664"/>
      <c r="I1674" s="664">
        <f t="shared" si="18"/>
        <v>0</v>
      </c>
      <c r="J1674" s="661"/>
    </row>
    <row r="1675" spans="1:10" ht="18.75" customHeight="1">
      <c r="A1675" s="661"/>
      <c r="B1675" s="663" t="s">
        <v>943</v>
      </c>
      <c r="C1675" s="657" t="s">
        <v>9137</v>
      </c>
      <c r="D1675" s="657" t="s">
        <v>1176</v>
      </c>
      <c r="E1675" s="663" t="s">
        <v>1177</v>
      </c>
      <c r="F1675" s="658">
        <v>0.1</v>
      </c>
      <c r="G1675" s="658">
        <v>0</v>
      </c>
      <c r="H1675" s="664">
        <v>559900</v>
      </c>
      <c r="I1675" s="664">
        <f t="shared" si="18"/>
        <v>509000</v>
      </c>
      <c r="J1675" s="661"/>
    </row>
    <row r="1676" spans="1:10" ht="18.75" customHeight="1">
      <c r="A1676" s="661"/>
      <c r="B1676" s="663" t="s">
        <v>943</v>
      </c>
      <c r="C1676" s="657" t="s">
        <v>9137</v>
      </c>
      <c r="D1676" s="657" t="s">
        <v>9527</v>
      </c>
      <c r="E1676" s="663" t="s">
        <v>9528</v>
      </c>
      <c r="F1676" s="658">
        <v>0.1</v>
      </c>
      <c r="G1676" s="658">
        <v>0</v>
      </c>
      <c r="H1676" s="664"/>
      <c r="I1676" s="664">
        <f t="shared" si="18"/>
        <v>0</v>
      </c>
      <c r="J1676" s="661"/>
    </row>
    <row r="1677" spans="1:10" ht="18.75" customHeight="1">
      <c r="A1677" s="661"/>
      <c r="B1677" s="663" t="s">
        <v>943</v>
      </c>
      <c r="C1677" s="657" t="s">
        <v>9137</v>
      </c>
      <c r="D1677" s="657" t="s">
        <v>1178</v>
      </c>
      <c r="E1677" s="663" t="s">
        <v>1179</v>
      </c>
      <c r="F1677" s="658">
        <v>0.1</v>
      </c>
      <c r="G1677" s="658">
        <v>0</v>
      </c>
      <c r="H1677" s="664">
        <v>578600</v>
      </c>
      <c r="I1677" s="664">
        <f t="shared" si="18"/>
        <v>526000</v>
      </c>
      <c r="J1677" s="661"/>
    </row>
    <row r="1678" spans="1:10" ht="18.75" customHeight="1">
      <c r="A1678" s="661"/>
      <c r="B1678" s="663" t="s">
        <v>943</v>
      </c>
      <c r="C1678" s="657" t="s">
        <v>9137</v>
      </c>
      <c r="D1678" s="657" t="s">
        <v>9529</v>
      </c>
      <c r="E1678" s="663" t="s">
        <v>9530</v>
      </c>
      <c r="F1678" s="658">
        <v>0.1</v>
      </c>
      <c r="G1678" s="658">
        <v>0</v>
      </c>
      <c r="H1678" s="664"/>
      <c r="I1678" s="664">
        <f t="shared" si="18"/>
        <v>0</v>
      </c>
      <c r="J1678" s="661"/>
    </row>
    <row r="1679" spans="1:10" ht="18.75" customHeight="1">
      <c r="A1679" s="661"/>
      <c r="B1679" s="663" t="s">
        <v>943</v>
      </c>
      <c r="C1679" s="657" t="s">
        <v>9137</v>
      </c>
      <c r="D1679" s="657" t="s">
        <v>1180</v>
      </c>
      <c r="E1679" s="663" t="s">
        <v>1181</v>
      </c>
      <c r="F1679" s="658">
        <v>0.1</v>
      </c>
      <c r="G1679" s="658">
        <v>0</v>
      </c>
      <c r="H1679" s="664">
        <v>674300</v>
      </c>
      <c r="I1679" s="664">
        <f t="shared" si="18"/>
        <v>613000</v>
      </c>
      <c r="J1679" s="661"/>
    </row>
    <row r="1680" spans="1:10" ht="18.75" customHeight="1">
      <c r="A1680" s="661"/>
      <c r="B1680" s="663" t="s">
        <v>943</v>
      </c>
      <c r="C1680" s="657" t="s">
        <v>9137</v>
      </c>
      <c r="D1680" s="657" t="s">
        <v>9531</v>
      </c>
      <c r="E1680" s="663" t="s">
        <v>9532</v>
      </c>
      <c r="F1680" s="658">
        <v>0.1</v>
      </c>
      <c r="G1680" s="658">
        <v>0</v>
      </c>
      <c r="H1680" s="664"/>
      <c r="I1680" s="664">
        <f t="shared" si="18"/>
        <v>0</v>
      </c>
      <c r="J1680" s="661"/>
    </row>
    <row r="1681" spans="1:10" ht="18.75" customHeight="1">
      <c r="A1681" s="661"/>
      <c r="B1681" s="663" t="s">
        <v>943</v>
      </c>
      <c r="C1681" s="657" t="s">
        <v>9137</v>
      </c>
      <c r="D1681" s="657" t="s">
        <v>9533</v>
      </c>
      <c r="E1681" s="663" t="s">
        <v>9534</v>
      </c>
      <c r="F1681" s="658">
        <v>0.1</v>
      </c>
      <c r="G1681" s="658">
        <v>0</v>
      </c>
      <c r="H1681" s="664"/>
      <c r="I1681" s="664">
        <f t="shared" si="18"/>
        <v>0</v>
      </c>
      <c r="J1681" s="661"/>
    </row>
    <row r="1682" spans="1:10" ht="18.75" customHeight="1">
      <c r="A1682" s="661"/>
      <c r="B1682" s="663" t="s">
        <v>943</v>
      </c>
      <c r="C1682" s="657" t="s">
        <v>9137</v>
      </c>
      <c r="D1682" s="657" t="s">
        <v>1182</v>
      </c>
      <c r="E1682" s="663" t="s">
        <v>1183</v>
      </c>
      <c r="F1682" s="658">
        <v>0.1</v>
      </c>
      <c r="G1682" s="658">
        <v>0</v>
      </c>
      <c r="H1682" s="664">
        <v>873400</v>
      </c>
      <c r="I1682" s="664">
        <f t="shared" si="18"/>
        <v>794000</v>
      </c>
      <c r="J1682" s="661"/>
    </row>
    <row r="1683" spans="1:10" ht="18.75" customHeight="1">
      <c r="A1683" s="661"/>
      <c r="B1683" s="663" t="s">
        <v>943</v>
      </c>
      <c r="C1683" s="657" t="s">
        <v>9137</v>
      </c>
      <c r="D1683" s="657" t="s">
        <v>9535</v>
      </c>
      <c r="E1683" s="663" t="s">
        <v>9536</v>
      </c>
      <c r="F1683" s="658">
        <v>0.1</v>
      </c>
      <c r="G1683" s="658">
        <v>0</v>
      </c>
      <c r="H1683" s="664"/>
      <c r="I1683" s="664">
        <f t="shared" si="18"/>
        <v>0</v>
      </c>
      <c r="J1683" s="661"/>
    </row>
    <row r="1684" spans="1:10" ht="18.75" customHeight="1">
      <c r="A1684" s="661"/>
      <c r="B1684" s="663" t="s">
        <v>943</v>
      </c>
      <c r="C1684" s="657" t="s">
        <v>9137</v>
      </c>
      <c r="D1684" s="657" t="s">
        <v>9537</v>
      </c>
      <c r="E1684" s="663" t="s">
        <v>9538</v>
      </c>
      <c r="F1684" s="658">
        <v>0.1</v>
      </c>
      <c r="G1684" s="658">
        <v>0</v>
      </c>
      <c r="H1684" s="664"/>
      <c r="I1684" s="664">
        <f t="shared" si="18"/>
        <v>0</v>
      </c>
      <c r="J1684" s="661"/>
    </row>
    <row r="1685" spans="1:10" ht="18.75" customHeight="1">
      <c r="A1685" s="661"/>
      <c r="B1685" s="663" t="s">
        <v>943</v>
      </c>
      <c r="C1685" s="657" t="s">
        <v>9137</v>
      </c>
      <c r="D1685" s="657" t="s">
        <v>9539</v>
      </c>
      <c r="E1685" s="663" t="s">
        <v>9540</v>
      </c>
      <c r="F1685" s="658">
        <v>0.1</v>
      </c>
      <c r="G1685" s="658">
        <v>0</v>
      </c>
      <c r="H1685" s="664"/>
      <c r="I1685" s="664">
        <f t="shared" si="18"/>
        <v>0</v>
      </c>
      <c r="J1685" s="661"/>
    </row>
    <row r="1686" spans="1:10" ht="18.75" customHeight="1">
      <c r="A1686" s="661"/>
      <c r="B1686" s="663" t="s">
        <v>943</v>
      </c>
      <c r="C1686" s="657" t="s">
        <v>9137</v>
      </c>
      <c r="D1686" s="657" t="s">
        <v>9541</v>
      </c>
      <c r="E1686" s="663" t="s">
        <v>9542</v>
      </c>
      <c r="F1686" s="658">
        <v>0.1</v>
      </c>
      <c r="G1686" s="658">
        <v>0</v>
      </c>
      <c r="H1686" s="664"/>
      <c r="I1686" s="664">
        <f t="shared" si="18"/>
        <v>0</v>
      </c>
      <c r="J1686" s="661"/>
    </row>
    <row r="1687" spans="1:10" ht="18.75" customHeight="1">
      <c r="A1687" s="661"/>
      <c r="B1687" s="663" t="s">
        <v>943</v>
      </c>
      <c r="C1687" s="657" t="s">
        <v>9137</v>
      </c>
      <c r="D1687" s="657" t="s">
        <v>1184</v>
      </c>
      <c r="E1687" s="663" t="s">
        <v>1185</v>
      </c>
      <c r="F1687" s="658">
        <v>0.1</v>
      </c>
      <c r="G1687" s="658">
        <v>0</v>
      </c>
      <c r="H1687" s="664">
        <v>985600</v>
      </c>
      <c r="I1687" s="664">
        <f t="shared" si="18"/>
        <v>896000</v>
      </c>
      <c r="J1687" s="661"/>
    </row>
    <row r="1688" spans="1:10" ht="18.75" customHeight="1">
      <c r="A1688" s="661"/>
      <c r="B1688" s="663" t="s">
        <v>943</v>
      </c>
      <c r="C1688" s="657" t="s">
        <v>9137</v>
      </c>
      <c r="D1688" s="657" t="s">
        <v>1186</v>
      </c>
      <c r="E1688" s="663" t="s">
        <v>1187</v>
      </c>
      <c r="F1688" s="658">
        <v>0.1</v>
      </c>
      <c r="G1688" s="658">
        <v>0</v>
      </c>
      <c r="H1688" s="664">
        <v>1032900</v>
      </c>
      <c r="I1688" s="664">
        <f t="shared" si="18"/>
        <v>939000</v>
      </c>
      <c r="J1688" s="661"/>
    </row>
    <row r="1689" spans="1:10" ht="18.75" customHeight="1">
      <c r="A1689" s="661"/>
      <c r="B1689" s="663" t="s">
        <v>943</v>
      </c>
      <c r="C1689" s="657" t="s">
        <v>9137</v>
      </c>
      <c r="D1689" s="657" t="s">
        <v>9543</v>
      </c>
      <c r="E1689" s="663" t="s">
        <v>9544</v>
      </c>
      <c r="F1689" s="658">
        <v>0.1</v>
      </c>
      <c r="G1689" s="658">
        <v>0</v>
      </c>
      <c r="H1689" s="664"/>
      <c r="I1689" s="664">
        <f t="shared" si="18"/>
        <v>0</v>
      </c>
      <c r="J1689" s="661"/>
    </row>
    <row r="1690" spans="1:10" ht="18.75" customHeight="1">
      <c r="A1690" s="661"/>
      <c r="B1690" s="663" t="s">
        <v>943</v>
      </c>
      <c r="C1690" s="657" t="s">
        <v>9137</v>
      </c>
      <c r="D1690" s="657" t="s">
        <v>9545</v>
      </c>
      <c r="E1690" s="663" t="s">
        <v>9546</v>
      </c>
      <c r="F1690" s="658">
        <v>0.1</v>
      </c>
      <c r="G1690" s="658">
        <v>0</v>
      </c>
      <c r="H1690" s="664"/>
      <c r="I1690" s="664">
        <f t="shared" si="18"/>
        <v>0</v>
      </c>
      <c r="J1690" s="661"/>
    </row>
    <row r="1691" spans="1:10" ht="18.75" customHeight="1">
      <c r="A1691" s="661"/>
      <c r="B1691" s="663" t="s">
        <v>943</v>
      </c>
      <c r="C1691" s="657" t="s">
        <v>9137</v>
      </c>
      <c r="D1691" s="657" t="s">
        <v>1188</v>
      </c>
      <c r="E1691" s="663" t="s">
        <v>1189</v>
      </c>
      <c r="F1691" s="658">
        <v>0.1</v>
      </c>
      <c r="G1691" s="658">
        <v>0</v>
      </c>
      <c r="H1691" s="664">
        <v>1166000</v>
      </c>
      <c r="I1691" s="664">
        <f t="shared" si="18"/>
        <v>1060000</v>
      </c>
      <c r="J1691" s="661"/>
    </row>
    <row r="1692" spans="1:10" ht="18.75" customHeight="1">
      <c r="A1692" s="661"/>
      <c r="B1692" s="663" t="s">
        <v>943</v>
      </c>
      <c r="C1692" s="657" t="s">
        <v>9137</v>
      </c>
      <c r="D1692" s="657" t="s">
        <v>9547</v>
      </c>
      <c r="E1692" s="663" t="s">
        <v>9548</v>
      </c>
      <c r="F1692" s="658">
        <v>0.1</v>
      </c>
      <c r="G1692" s="658">
        <v>0</v>
      </c>
      <c r="H1692" s="664"/>
      <c r="I1692" s="664">
        <f t="shared" si="18"/>
        <v>0</v>
      </c>
      <c r="J1692" s="661"/>
    </row>
  </sheetData>
  <autoFilter ref="A4:K4" xr:uid="{00000000-0001-0000-1100-000000000000}"/>
  <mergeCells count="1">
    <mergeCell ref="A1:J2"/>
  </mergeCell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J328"/>
  <sheetViews>
    <sheetView showGridLines="0" workbookViewId="0">
      <pane ySplit="4" topLeftCell="A5" activePane="bottomLeft" state="frozen"/>
      <selection pane="bottomLeft" activeCell="A4" sqref="A4"/>
    </sheetView>
  </sheetViews>
  <sheetFormatPr defaultColWidth="12.5703125" defaultRowHeight="15" customHeight="1"/>
  <cols>
    <col min="1" max="1" width="5.42578125" customWidth="1"/>
    <col min="2" max="2" width="34.5703125" customWidth="1"/>
    <col min="3" max="3" width="20" customWidth="1"/>
    <col min="4" max="4" width="27.5703125" customWidth="1"/>
    <col min="5" max="5" width="55.42578125" customWidth="1"/>
    <col min="6" max="6" width="16" customWidth="1"/>
    <col min="7" max="7" width="11.42578125" customWidth="1"/>
    <col min="8" max="9" width="15" customWidth="1"/>
    <col min="10" max="10" width="5.28515625" customWidth="1"/>
  </cols>
  <sheetData>
    <row r="1" spans="1:10" ht="12.75" customHeight="1">
      <c r="A1" s="882" t="s">
        <v>7103</v>
      </c>
      <c r="B1" s="704"/>
      <c r="C1" s="704"/>
      <c r="D1" s="704"/>
      <c r="E1" s="704"/>
      <c r="F1" s="704"/>
      <c r="G1" s="704"/>
      <c r="H1" s="704"/>
      <c r="I1" s="704"/>
      <c r="J1" s="705"/>
    </row>
    <row r="2" spans="1:10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8"/>
    </row>
    <row r="3" spans="1:10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</row>
    <row r="4" spans="1:10" ht="21" customHeight="1">
      <c r="A4" s="661"/>
      <c r="B4" s="655" t="s">
        <v>673</v>
      </c>
      <c r="C4" s="655" t="s">
        <v>3925</v>
      </c>
      <c r="D4" s="662" t="s">
        <v>674</v>
      </c>
      <c r="E4" s="662" t="s">
        <v>675</v>
      </c>
      <c r="F4" s="655" t="s">
        <v>3926</v>
      </c>
      <c r="G4" s="655" t="s">
        <v>3927</v>
      </c>
      <c r="H4" s="662" t="s">
        <v>80</v>
      </c>
      <c r="I4" s="662" t="s">
        <v>81</v>
      </c>
      <c r="J4" s="661"/>
    </row>
    <row r="5" spans="1:10" ht="18.75" customHeight="1">
      <c r="A5" s="661"/>
      <c r="B5" s="657" t="s">
        <v>7104</v>
      </c>
      <c r="C5" s="657" t="s">
        <v>9549</v>
      </c>
      <c r="D5" s="663" t="s">
        <v>9550</v>
      </c>
      <c r="E5" s="663" t="s">
        <v>9551</v>
      </c>
      <c r="F5" s="658">
        <v>0.1</v>
      </c>
      <c r="G5" s="658">
        <v>0</v>
      </c>
      <c r="H5" s="664">
        <v>2064500</v>
      </c>
      <c r="I5" s="664">
        <f t="shared" ref="I5:I259" si="0">IF(ISBLANK(H5),,ROUND(H5/(1+F5),-2))</f>
        <v>1876800</v>
      </c>
      <c r="J5" s="661"/>
    </row>
    <row r="6" spans="1:10" ht="18.75" customHeight="1">
      <c r="A6" s="661"/>
      <c r="B6" s="659" t="s">
        <v>7104</v>
      </c>
      <c r="C6" s="659" t="s">
        <v>9549</v>
      </c>
      <c r="D6" s="665" t="s">
        <v>9552</v>
      </c>
      <c r="E6" s="665" t="s">
        <v>9553</v>
      </c>
      <c r="F6" s="660">
        <v>0.1</v>
      </c>
      <c r="G6" s="660">
        <v>0</v>
      </c>
      <c r="H6" s="666">
        <v>4319000</v>
      </c>
      <c r="I6" s="666">
        <f t="shared" si="0"/>
        <v>3926400</v>
      </c>
      <c r="J6" s="661"/>
    </row>
    <row r="7" spans="1:10" ht="18.75" customHeight="1">
      <c r="A7" s="661"/>
      <c r="B7" s="657" t="s">
        <v>7104</v>
      </c>
      <c r="C7" s="657" t="s">
        <v>9549</v>
      </c>
      <c r="D7" s="663" t="s">
        <v>9554</v>
      </c>
      <c r="E7" s="663" t="s">
        <v>9555</v>
      </c>
      <c r="F7" s="658">
        <v>0.1</v>
      </c>
      <c r="G7" s="658">
        <v>0</v>
      </c>
      <c r="H7" s="664">
        <v>3288500</v>
      </c>
      <c r="I7" s="664">
        <f t="shared" si="0"/>
        <v>2989500</v>
      </c>
      <c r="J7" s="661"/>
    </row>
    <row r="8" spans="1:10" ht="18.75" customHeight="1">
      <c r="A8" s="661"/>
      <c r="B8" s="659" t="s">
        <v>7104</v>
      </c>
      <c r="C8" s="659" t="s">
        <v>9549</v>
      </c>
      <c r="D8" s="665" t="s">
        <v>9556</v>
      </c>
      <c r="E8" s="665" t="s">
        <v>9557</v>
      </c>
      <c r="F8" s="660">
        <v>0.1</v>
      </c>
      <c r="G8" s="660">
        <v>0</v>
      </c>
      <c r="H8" s="666">
        <v>5543000</v>
      </c>
      <c r="I8" s="666">
        <f t="shared" si="0"/>
        <v>5039100</v>
      </c>
      <c r="J8" s="661"/>
    </row>
    <row r="9" spans="1:10" ht="18.75" customHeight="1">
      <c r="A9" s="661"/>
      <c r="B9" s="657" t="s">
        <v>7104</v>
      </c>
      <c r="C9" s="657" t="s">
        <v>9549</v>
      </c>
      <c r="D9" s="663" t="s">
        <v>9558</v>
      </c>
      <c r="E9" s="663" t="s">
        <v>9559</v>
      </c>
      <c r="F9" s="658">
        <v>0.1</v>
      </c>
      <c r="G9" s="658">
        <v>0</v>
      </c>
      <c r="H9" s="664">
        <v>4512300</v>
      </c>
      <c r="I9" s="664">
        <f t="shared" si="0"/>
        <v>4102100</v>
      </c>
      <c r="J9" s="661"/>
    </row>
    <row r="10" spans="1:10" ht="18.75" customHeight="1">
      <c r="A10" s="661"/>
      <c r="B10" s="659" t="s">
        <v>7104</v>
      </c>
      <c r="C10" s="659" t="s">
        <v>9560</v>
      </c>
      <c r="D10" s="665" t="s">
        <v>9561</v>
      </c>
      <c r="E10" s="665" t="s">
        <v>9562</v>
      </c>
      <c r="F10" s="660">
        <v>0.1</v>
      </c>
      <c r="G10" s="660">
        <v>0</v>
      </c>
      <c r="H10" s="666">
        <v>2426500</v>
      </c>
      <c r="I10" s="666">
        <f t="shared" si="0"/>
        <v>2205900</v>
      </c>
      <c r="J10" s="661"/>
    </row>
    <row r="11" spans="1:10" ht="18.75" customHeight="1">
      <c r="A11" s="661"/>
      <c r="B11" s="657" t="s">
        <v>7104</v>
      </c>
      <c r="C11" s="657" t="s">
        <v>9549</v>
      </c>
      <c r="D11" s="663" t="s">
        <v>9563</v>
      </c>
      <c r="E11" s="663" t="s">
        <v>9564</v>
      </c>
      <c r="F11" s="658">
        <v>0.1</v>
      </c>
      <c r="G11" s="658">
        <v>0</v>
      </c>
      <c r="H11" s="664">
        <v>4399200</v>
      </c>
      <c r="I11" s="664">
        <f t="shared" si="0"/>
        <v>3999300</v>
      </c>
      <c r="J11" s="661"/>
    </row>
    <row r="12" spans="1:10" ht="18.75" customHeight="1">
      <c r="A12" s="661"/>
      <c r="B12" s="659" t="s">
        <v>7104</v>
      </c>
      <c r="C12" s="659" t="s">
        <v>9560</v>
      </c>
      <c r="D12" s="665" t="s">
        <v>9565</v>
      </c>
      <c r="E12" s="665" t="s">
        <v>9566</v>
      </c>
      <c r="F12" s="660">
        <v>0.1</v>
      </c>
      <c r="G12" s="660">
        <v>0</v>
      </c>
      <c r="H12" s="666">
        <v>3497300</v>
      </c>
      <c r="I12" s="666">
        <f t="shared" si="0"/>
        <v>3179400</v>
      </c>
      <c r="J12" s="661"/>
    </row>
    <row r="13" spans="1:10" ht="18.75" customHeight="1">
      <c r="A13" s="661"/>
      <c r="B13" s="657" t="s">
        <v>7104</v>
      </c>
      <c r="C13" s="657" t="s">
        <v>9549</v>
      </c>
      <c r="D13" s="663" t="s">
        <v>9567</v>
      </c>
      <c r="E13" s="663" t="s">
        <v>9568</v>
      </c>
      <c r="F13" s="658">
        <v>0.1</v>
      </c>
      <c r="G13" s="658">
        <v>0</v>
      </c>
      <c r="H13" s="664">
        <v>5470100</v>
      </c>
      <c r="I13" s="664">
        <f t="shared" si="0"/>
        <v>4972800</v>
      </c>
      <c r="J13" s="661"/>
    </row>
    <row r="14" spans="1:10" ht="18.75" customHeight="1">
      <c r="A14" s="661"/>
      <c r="B14" s="659" t="s">
        <v>7104</v>
      </c>
      <c r="C14" s="659" t="s">
        <v>9549</v>
      </c>
      <c r="D14" s="665" t="s">
        <v>9569</v>
      </c>
      <c r="E14" s="665" t="s">
        <v>9570</v>
      </c>
      <c r="F14" s="660">
        <v>0.1</v>
      </c>
      <c r="G14" s="660">
        <v>0</v>
      </c>
      <c r="H14" s="666">
        <v>4568300</v>
      </c>
      <c r="I14" s="666">
        <f t="shared" si="0"/>
        <v>4153000</v>
      </c>
      <c r="J14" s="661"/>
    </row>
    <row r="15" spans="1:10" ht="18.75" customHeight="1">
      <c r="A15" s="661"/>
      <c r="B15" s="657" t="s">
        <v>7104</v>
      </c>
      <c r="C15" s="657" t="s">
        <v>9560</v>
      </c>
      <c r="D15" s="663" t="s">
        <v>9571</v>
      </c>
      <c r="E15" s="663" t="s">
        <v>9572</v>
      </c>
      <c r="F15" s="658">
        <v>0.1</v>
      </c>
      <c r="G15" s="658">
        <v>0</v>
      </c>
      <c r="H15" s="664">
        <v>2160000</v>
      </c>
      <c r="I15" s="664">
        <f t="shared" si="0"/>
        <v>1963600</v>
      </c>
      <c r="J15" s="661"/>
    </row>
    <row r="16" spans="1:10" ht="18.75" customHeight="1">
      <c r="A16" s="661"/>
      <c r="B16" s="659" t="s">
        <v>7104</v>
      </c>
      <c r="C16" s="659" t="s">
        <v>9573</v>
      </c>
      <c r="D16" s="665" t="s">
        <v>9574</v>
      </c>
      <c r="E16" s="665" t="s">
        <v>9575</v>
      </c>
      <c r="F16" s="660">
        <v>0.1</v>
      </c>
      <c r="G16" s="660">
        <v>0</v>
      </c>
      <c r="H16" s="666">
        <v>3569100</v>
      </c>
      <c r="I16" s="666">
        <f t="shared" si="0"/>
        <v>3244600</v>
      </c>
      <c r="J16" s="661"/>
    </row>
    <row r="17" spans="1:10" ht="18.75" customHeight="1">
      <c r="A17" s="661"/>
      <c r="B17" s="657" t="s">
        <v>7104</v>
      </c>
      <c r="C17" s="657" t="s">
        <v>9560</v>
      </c>
      <c r="D17" s="663" t="s">
        <v>9576</v>
      </c>
      <c r="E17" s="663" t="s">
        <v>9577</v>
      </c>
      <c r="F17" s="658">
        <v>0.1</v>
      </c>
      <c r="G17" s="658">
        <v>0</v>
      </c>
      <c r="H17" s="664">
        <v>2924900</v>
      </c>
      <c r="I17" s="664">
        <f t="shared" si="0"/>
        <v>2659000</v>
      </c>
      <c r="J17" s="661"/>
    </row>
    <row r="18" spans="1:10" ht="18.75" customHeight="1">
      <c r="A18" s="661"/>
      <c r="B18" s="659" t="s">
        <v>7104</v>
      </c>
      <c r="C18" s="659" t="s">
        <v>9549</v>
      </c>
      <c r="D18" s="665" t="s">
        <v>9578</v>
      </c>
      <c r="E18" s="665" t="s">
        <v>9579</v>
      </c>
      <c r="F18" s="660">
        <v>0.1</v>
      </c>
      <c r="G18" s="660">
        <v>0</v>
      </c>
      <c r="H18" s="666">
        <v>4334000</v>
      </c>
      <c r="I18" s="666">
        <f t="shared" si="0"/>
        <v>3940000</v>
      </c>
      <c r="J18" s="661"/>
    </row>
    <row r="19" spans="1:10" ht="18.75" customHeight="1">
      <c r="A19" s="661"/>
      <c r="B19" s="657" t="s">
        <v>7104</v>
      </c>
      <c r="C19" s="657" t="s">
        <v>9549</v>
      </c>
      <c r="D19" s="663" t="s">
        <v>9580</v>
      </c>
      <c r="E19" s="663" t="s">
        <v>9581</v>
      </c>
      <c r="F19" s="658">
        <v>0.1</v>
      </c>
      <c r="G19" s="658">
        <v>0</v>
      </c>
      <c r="H19" s="664">
        <v>3689800</v>
      </c>
      <c r="I19" s="664">
        <f t="shared" si="0"/>
        <v>3354400</v>
      </c>
      <c r="J19" s="661"/>
    </row>
    <row r="20" spans="1:10" ht="18.75" customHeight="1">
      <c r="A20" s="661"/>
      <c r="B20" s="659" t="s">
        <v>7104</v>
      </c>
      <c r="C20" s="659" t="s">
        <v>9560</v>
      </c>
      <c r="D20" s="665" t="s">
        <v>9582</v>
      </c>
      <c r="E20" s="665" t="s">
        <v>9583</v>
      </c>
      <c r="F20" s="660">
        <v>0.1</v>
      </c>
      <c r="G20" s="660">
        <v>0</v>
      </c>
      <c r="H20" s="666">
        <v>2521300</v>
      </c>
      <c r="I20" s="666">
        <f t="shared" si="0"/>
        <v>2292100</v>
      </c>
      <c r="J20" s="661"/>
    </row>
    <row r="21" spans="1:10" ht="18.75" customHeight="1">
      <c r="A21" s="661"/>
      <c r="B21" s="657" t="s">
        <v>7104</v>
      </c>
      <c r="C21" s="657" t="s">
        <v>9549</v>
      </c>
      <c r="D21" s="663" t="s">
        <v>9584</v>
      </c>
      <c r="E21" s="663" t="s">
        <v>9585</v>
      </c>
      <c r="F21" s="658">
        <v>0.1</v>
      </c>
      <c r="G21" s="658">
        <v>0</v>
      </c>
      <c r="H21" s="664">
        <v>3836500</v>
      </c>
      <c r="I21" s="664">
        <f t="shared" si="0"/>
        <v>3487700</v>
      </c>
      <c r="J21" s="661"/>
    </row>
    <row r="22" spans="1:10" ht="18.75" customHeight="1">
      <c r="A22" s="661"/>
      <c r="B22" s="659" t="s">
        <v>7104</v>
      </c>
      <c r="C22" s="659" t="s">
        <v>9560</v>
      </c>
      <c r="D22" s="665" t="s">
        <v>9586</v>
      </c>
      <c r="E22" s="665" t="s">
        <v>9587</v>
      </c>
      <c r="F22" s="660">
        <v>0.1</v>
      </c>
      <c r="G22" s="660">
        <v>0</v>
      </c>
      <c r="H22" s="666">
        <v>3235300</v>
      </c>
      <c r="I22" s="666">
        <f t="shared" si="0"/>
        <v>2941200</v>
      </c>
      <c r="J22" s="661"/>
    </row>
    <row r="23" spans="1:10" ht="18.75" customHeight="1">
      <c r="A23" s="661"/>
      <c r="B23" s="657" t="s">
        <v>7104</v>
      </c>
      <c r="C23" s="657" t="s">
        <v>9549</v>
      </c>
      <c r="D23" s="663" t="s">
        <v>9588</v>
      </c>
      <c r="E23" s="663" t="s">
        <v>9589</v>
      </c>
      <c r="F23" s="658">
        <v>0.1</v>
      </c>
      <c r="G23" s="658">
        <v>0</v>
      </c>
      <c r="H23" s="664">
        <v>4550500</v>
      </c>
      <c r="I23" s="664">
        <f t="shared" si="0"/>
        <v>4136800</v>
      </c>
      <c r="J23" s="661"/>
    </row>
    <row r="24" spans="1:10" ht="18.75" customHeight="1">
      <c r="A24" s="661"/>
      <c r="B24" s="659" t="s">
        <v>7104</v>
      </c>
      <c r="C24" s="659" t="s">
        <v>9549</v>
      </c>
      <c r="D24" s="665" t="s">
        <v>9590</v>
      </c>
      <c r="E24" s="665" t="s">
        <v>9591</v>
      </c>
      <c r="F24" s="660">
        <v>0.1</v>
      </c>
      <c r="G24" s="660">
        <v>0</v>
      </c>
      <c r="H24" s="666">
        <v>3949200</v>
      </c>
      <c r="I24" s="666">
        <f t="shared" si="0"/>
        <v>3590200</v>
      </c>
      <c r="J24" s="661"/>
    </row>
    <row r="25" spans="1:10" ht="18.75" customHeight="1">
      <c r="A25" s="661"/>
      <c r="B25" s="657" t="s">
        <v>7104</v>
      </c>
      <c r="C25" s="657" t="s">
        <v>9560</v>
      </c>
      <c r="D25" s="663" t="s">
        <v>9592</v>
      </c>
      <c r="E25" s="663" t="s">
        <v>9593</v>
      </c>
      <c r="F25" s="658">
        <v>0.1</v>
      </c>
      <c r="G25" s="658">
        <v>0</v>
      </c>
      <c r="H25" s="664">
        <v>1921600</v>
      </c>
      <c r="I25" s="664">
        <f t="shared" si="0"/>
        <v>1746900</v>
      </c>
      <c r="J25" s="661"/>
    </row>
    <row r="26" spans="1:10" ht="18.75" customHeight="1">
      <c r="A26" s="661"/>
      <c r="B26" s="659" t="s">
        <v>7104</v>
      </c>
      <c r="C26" s="659" t="s">
        <v>9549</v>
      </c>
      <c r="D26" s="665" t="s">
        <v>9594</v>
      </c>
      <c r="E26" s="665" t="s">
        <v>9595</v>
      </c>
      <c r="F26" s="660">
        <v>0.1</v>
      </c>
      <c r="G26" s="660">
        <v>0</v>
      </c>
      <c r="H26" s="666">
        <v>2767100</v>
      </c>
      <c r="I26" s="666">
        <f t="shared" si="0"/>
        <v>2515500</v>
      </c>
      <c r="J26" s="661"/>
    </row>
    <row r="27" spans="1:10" ht="18.75" customHeight="1">
      <c r="A27" s="661"/>
      <c r="B27" s="657" t="s">
        <v>7104</v>
      </c>
      <c r="C27" s="657" t="s">
        <v>9560</v>
      </c>
      <c r="D27" s="663" t="s">
        <v>9596</v>
      </c>
      <c r="E27" s="663" t="s">
        <v>9597</v>
      </c>
      <c r="F27" s="658">
        <v>0.1</v>
      </c>
      <c r="G27" s="658">
        <v>0</v>
      </c>
      <c r="H27" s="664">
        <v>2380600</v>
      </c>
      <c r="I27" s="664">
        <f t="shared" si="0"/>
        <v>2164200</v>
      </c>
      <c r="J27" s="661"/>
    </row>
    <row r="28" spans="1:10" ht="18.75" customHeight="1">
      <c r="A28" s="661"/>
      <c r="B28" s="659" t="s">
        <v>7104</v>
      </c>
      <c r="C28" s="659" t="s">
        <v>9549</v>
      </c>
      <c r="D28" s="665" t="s">
        <v>9598</v>
      </c>
      <c r="E28" s="665" t="s">
        <v>9599</v>
      </c>
      <c r="F28" s="660">
        <v>0.1</v>
      </c>
      <c r="G28" s="660">
        <v>0</v>
      </c>
      <c r="H28" s="666">
        <v>3226100</v>
      </c>
      <c r="I28" s="666">
        <f t="shared" si="0"/>
        <v>2932800</v>
      </c>
      <c r="J28" s="661"/>
    </row>
    <row r="29" spans="1:10" ht="18.75" customHeight="1">
      <c r="A29" s="661"/>
      <c r="B29" s="657" t="s">
        <v>7104</v>
      </c>
      <c r="C29" s="657" t="s">
        <v>9549</v>
      </c>
      <c r="D29" s="663" t="s">
        <v>9600</v>
      </c>
      <c r="E29" s="663" t="s">
        <v>9601</v>
      </c>
      <c r="F29" s="658">
        <v>0.1</v>
      </c>
      <c r="G29" s="658">
        <v>0</v>
      </c>
      <c r="H29" s="664">
        <v>2839500</v>
      </c>
      <c r="I29" s="664">
        <f t="shared" si="0"/>
        <v>2581400</v>
      </c>
      <c r="J29" s="661"/>
    </row>
    <row r="30" spans="1:10" ht="18.75" customHeight="1">
      <c r="A30" s="661"/>
      <c r="B30" s="659" t="s">
        <v>7104</v>
      </c>
      <c r="C30" s="659" t="s">
        <v>9560</v>
      </c>
      <c r="D30" s="665" t="s">
        <v>9602</v>
      </c>
      <c r="E30" s="665" t="s">
        <v>9603</v>
      </c>
      <c r="F30" s="660">
        <v>0.1</v>
      </c>
      <c r="G30" s="660">
        <v>0</v>
      </c>
      <c r="H30" s="666">
        <v>2131100</v>
      </c>
      <c r="I30" s="666">
        <f t="shared" si="0"/>
        <v>1937400</v>
      </c>
      <c r="J30" s="661"/>
    </row>
    <row r="31" spans="1:10" ht="18.75" customHeight="1">
      <c r="A31" s="661"/>
      <c r="B31" s="657" t="s">
        <v>7104</v>
      </c>
      <c r="C31" s="657" t="s">
        <v>9573</v>
      </c>
      <c r="D31" s="663" t="s">
        <v>9604</v>
      </c>
      <c r="E31" s="663" t="s">
        <v>9605</v>
      </c>
      <c r="F31" s="658">
        <v>0.1</v>
      </c>
      <c r="G31" s="658">
        <v>0</v>
      </c>
      <c r="H31" s="664">
        <v>2882700</v>
      </c>
      <c r="I31" s="664">
        <f t="shared" si="0"/>
        <v>2620600</v>
      </c>
      <c r="J31" s="661"/>
    </row>
    <row r="32" spans="1:10" ht="18.75" customHeight="1">
      <c r="A32" s="661"/>
      <c r="B32" s="659" t="s">
        <v>7104</v>
      </c>
      <c r="C32" s="659" t="s">
        <v>9560</v>
      </c>
      <c r="D32" s="665" t="s">
        <v>9606</v>
      </c>
      <c r="E32" s="665" t="s">
        <v>9607</v>
      </c>
      <c r="F32" s="660">
        <v>0.1</v>
      </c>
      <c r="G32" s="660">
        <v>0</v>
      </c>
      <c r="H32" s="666">
        <v>2539000</v>
      </c>
      <c r="I32" s="666">
        <f t="shared" si="0"/>
        <v>2308200</v>
      </c>
      <c r="J32" s="661"/>
    </row>
    <row r="33" spans="1:10" ht="18.75" customHeight="1">
      <c r="A33" s="661"/>
      <c r="B33" s="657" t="s">
        <v>7104</v>
      </c>
      <c r="C33" s="657" t="s">
        <v>9549</v>
      </c>
      <c r="D33" s="663" t="s">
        <v>9608</v>
      </c>
      <c r="E33" s="663" t="s">
        <v>9609</v>
      </c>
      <c r="F33" s="658">
        <v>0.1</v>
      </c>
      <c r="G33" s="658">
        <v>0</v>
      </c>
      <c r="H33" s="664">
        <v>3290500</v>
      </c>
      <c r="I33" s="664">
        <f t="shared" si="0"/>
        <v>2991400</v>
      </c>
      <c r="J33" s="661"/>
    </row>
    <row r="34" spans="1:10" ht="18.75" customHeight="1">
      <c r="A34" s="661"/>
      <c r="B34" s="659" t="s">
        <v>7104</v>
      </c>
      <c r="C34" s="659" t="s">
        <v>9549</v>
      </c>
      <c r="D34" s="665" t="s">
        <v>9610</v>
      </c>
      <c r="E34" s="665" t="s">
        <v>9611</v>
      </c>
      <c r="F34" s="660">
        <v>0.1</v>
      </c>
      <c r="G34" s="660">
        <v>0</v>
      </c>
      <c r="H34" s="666">
        <v>2947000</v>
      </c>
      <c r="I34" s="666">
        <f t="shared" si="0"/>
        <v>2679100</v>
      </c>
      <c r="J34" s="661"/>
    </row>
    <row r="35" spans="1:10" ht="18.75" customHeight="1">
      <c r="A35" s="661"/>
      <c r="B35" s="657" t="s">
        <v>7104</v>
      </c>
      <c r="C35" s="657" t="s">
        <v>9560</v>
      </c>
      <c r="D35" s="663" t="s">
        <v>9612</v>
      </c>
      <c r="E35" s="663" t="s">
        <v>9613</v>
      </c>
      <c r="F35" s="658">
        <v>0.1</v>
      </c>
      <c r="G35" s="658">
        <v>0</v>
      </c>
      <c r="H35" s="664">
        <v>2207800</v>
      </c>
      <c r="I35" s="664">
        <f t="shared" si="0"/>
        <v>2007100</v>
      </c>
      <c r="J35" s="661"/>
    </row>
    <row r="36" spans="1:10" ht="18.75" customHeight="1">
      <c r="A36" s="661"/>
      <c r="B36" s="659" t="s">
        <v>7104</v>
      </c>
      <c r="C36" s="659" t="s">
        <v>9549</v>
      </c>
      <c r="D36" s="665" t="s">
        <v>9614</v>
      </c>
      <c r="E36" s="665" t="s">
        <v>9615</v>
      </c>
      <c r="F36" s="660">
        <v>0.1</v>
      </c>
      <c r="G36" s="660">
        <v>0</v>
      </c>
      <c r="H36" s="666">
        <v>2771500</v>
      </c>
      <c r="I36" s="666">
        <f t="shared" si="0"/>
        <v>2519500</v>
      </c>
      <c r="J36" s="661"/>
    </row>
    <row r="37" spans="1:10" ht="18.75" customHeight="1">
      <c r="A37" s="661"/>
      <c r="B37" s="657" t="s">
        <v>7104</v>
      </c>
      <c r="C37" s="657" t="s">
        <v>9549</v>
      </c>
      <c r="D37" s="663" t="s">
        <v>9616</v>
      </c>
      <c r="E37" s="663" t="s">
        <v>9617</v>
      </c>
      <c r="F37" s="658">
        <v>0.1</v>
      </c>
      <c r="G37" s="658">
        <v>0</v>
      </c>
      <c r="H37" s="664">
        <v>2513800</v>
      </c>
      <c r="I37" s="664">
        <f t="shared" si="0"/>
        <v>2285300</v>
      </c>
      <c r="J37" s="661"/>
    </row>
    <row r="38" spans="1:10" ht="18.75" customHeight="1">
      <c r="A38" s="661"/>
      <c r="B38" s="659" t="s">
        <v>7104</v>
      </c>
      <c r="C38" s="659" t="s">
        <v>9549</v>
      </c>
      <c r="D38" s="665" t="s">
        <v>9618</v>
      </c>
      <c r="E38" s="665" t="s">
        <v>9619</v>
      </c>
      <c r="F38" s="660">
        <v>0.1</v>
      </c>
      <c r="G38" s="660">
        <v>0</v>
      </c>
      <c r="H38" s="666">
        <v>3077500</v>
      </c>
      <c r="I38" s="666">
        <f t="shared" si="0"/>
        <v>2797700</v>
      </c>
      <c r="J38" s="661"/>
    </row>
    <row r="39" spans="1:10" ht="18.75" customHeight="1">
      <c r="A39" s="661"/>
      <c r="B39" s="657" t="s">
        <v>7104</v>
      </c>
      <c r="C39" s="657" t="s">
        <v>9549</v>
      </c>
      <c r="D39" s="663" t="s">
        <v>9620</v>
      </c>
      <c r="E39" s="663" t="s">
        <v>9621</v>
      </c>
      <c r="F39" s="658">
        <v>0.1</v>
      </c>
      <c r="G39" s="658">
        <v>0</v>
      </c>
      <c r="H39" s="664">
        <v>2819900</v>
      </c>
      <c r="I39" s="664">
        <f t="shared" si="0"/>
        <v>2563500</v>
      </c>
      <c r="J39" s="661"/>
    </row>
    <row r="40" spans="1:10" ht="18.75" customHeight="1">
      <c r="A40" s="661"/>
      <c r="B40" s="659" t="s">
        <v>7104</v>
      </c>
      <c r="C40" s="659" t="s">
        <v>9560</v>
      </c>
      <c r="D40" s="665" t="s">
        <v>9622</v>
      </c>
      <c r="E40" s="665" t="s">
        <v>9623</v>
      </c>
      <c r="F40" s="660">
        <v>0.1</v>
      </c>
      <c r="G40" s="660">
        <v>0</v>
      </c>
      <c r="H40" s="666">
        <v>2374000</v>
      </c>
      <c r="I40" s="666">
        <f t="shared" si="0"/>
        <v>2158200</v>
      </c>
      <c r="J40" s="661"/>
    </row>
    <row r="41" spans="1:10" ht="18.75" customHeight="1">
      <c r="A41" s="661"/>
      <c r="B41" s="657" t="s">
        <v>7104</v>
      </c>
      <c r="C41" s="657" t="s">
        <v>9549</v>
      </c>
      <c r="D41" s="663" t="s">
        <v>9624</v>
      </c>
      <c r="E41" s="663" t="s">
        <v>9625</v>
      </c>
      <c r="F41" s="658">
        <v>0.1</v>
      </c>
      <c r="G41" s="658">
        <v>0</v>
      </c>
      <c r="H41" s="664">
        <v>2843700</v>
      </c>
      <c r="I41" s="664">
        <f t="shared" si="0"/>
        <v>2585200</v>
      </c>
      <c r="J41" s="661"/>
    </row>
    <row r="42" spans="1:10" ht="18.75" customHeight="1">
      <c r="A42" s="661"/>
      <c r="B42" s="659" t="s">
        <v>7104</v>
      </c>
      <c r="C42" s="659" t="s">
        <v>9549</v>
      </c>
      <c r="D42" s="665" t="s">
        <v>9626</v>
      </c>
      <c r="E42" s="665" t="s">
        <v>9627</v>
      </c>
      <c r="F42" s="660">
        <v>0.1</v>
      </c>
      <c r="G42" s="660">
        <v>0</v>
      </c>
      <c r="H42" s="666">
        <v>2629000</v>
      </c>
      <c r="I42" s="666">
        <f t="shared" si="0"/>
        <v>2390000</v>
      </c>
      <c r="J42" s="661"/>
    </row>
    <row r="43" spans="1:10" ht="18.75" customHeight="1">
      <c r="A43" s="661"/>
      <c r="B43" s="657" t="s">
        <v>7104</v>
      </c>
      <c r="C43" s="657" t="s">
        <v>9549</v>
      </c>
      <c r="D43" s="663" t="s">
        <v>9628</v>
      </c>
      <c r="E43" s="663" t="s">
        <v>9629</v>
      </c>
      <c r="F43" s="658">
        <v>0.1</v>
      </c>
      <c r="G43" s="658">
        <v>0</v>
      </c>
      <c r="H43" s="664">
        <v>3098700</v>
      </c>
      <c r="I43" s="664">
        <f t="shared" si="0"/>
        <v>2817000</v>
      </c>
      <c r="J43" s="661"/>
    </row>
    <row r="44" spans="1:10" ht="18.75" customHeight="1">
      <c r="A44" s="661"/>
      <c r="B44" s="659" t="s">
        <v>7104</v>
      </c>
      <c r="C44" s="659" t="s">
        <v>9549</v>
      </c>
      <c r="D44" s="665" t="s">
        <v>9630</v>
      </c>
      <c r="E44" s="665" t="s">
        <v>9631</v>
      </c>
      <c r="F44" s="660">
        <v>0.1</v>
      </c>
      <c r="G44" s="660">
        <v>0</v>
      </c>
      <c r="H44" s="666">
        <v>2884000</v>
      </c>
      <c r="I44" s="666">
        <f t="shared" si="0"/>
        <v>2621800</v>
      </c>
      <c r="J44" s="661"/>
    </row>
    <row r="45" spans="1:10" ht="18.75" customHeight="1">
      <c r="A45" s="661"/>
      <c r="B45" s="657" t="s">
        <v>7104</v>
      </c>
      <c r="C45" s="657" t="s">
        <v>9560</v>
      </c>
      <c r="D45" s="663" t="s">
        <v>9632</v>
      </c>
      <c r="E45" s="663" t="s">
        <v>9633</v>
      </c>
      <c r="F45" s="658">
        <v>0.1</v>
      </c>
      <c r="G45" s="658">
        <v>0</v>
      </c>
      <c r="H45" s="664">
        <v>2404400</v>
      </c>
      <c r="I45" s="664">
        <f t="shared" si="0"/>
        <v>2185800</v>
      </c>
      <c r="J45" s="661"/>
    </row>
    <row r="46" spans="1:10" ht="18.75" customHeight="1">
      <c r="A46" s="661"/>
      <c r="B46" s="659" t="s">
        <v>7104</v>
      </c>
      <c r="C46" s="659" t="s">
        <v>9549</v>
      </c>
      <c r="D46" s="665" t="s">
        <v>9634</v>
      </c>
      <c r="E46" s="665" t="s">
        <v>9635</v>
      </c>
      <c r="F46" s="660">
        <v>0.1</v>
      </c>
      <c r="G46" s="660">
        <v>0</v>
      </c>
      <c r="H46" s="666">
        <v>2780100</v>
      </c>
      <c r="I46" s="666">
        <f t="shared" si="0"/>
        <v>2527400</v>
      </c>
      <c r="J46" s="661"/>
    </row>
    <row r="47" spans="1:10" ht="18.75" customHeight="1">
      <c r="A47" s="661"/>
      <c r="B47" s="657" t="s">
        <v>7104</v>
      </c>
      <c r="C47" s="657" t="s">
        <v>9549</v>
      </c>
      <c r="D47" s="663" t="s">
        <v>9636</v>
      </c>
      <c r="E47" s="663" t="s">
        <v>9637</v>
      </c>
      <c r="F47" s="658">
        <v>0.1</v>
      </c>
      <c r="G47" s="658">
        <v>0</v>
      </c>
      <c r="H47" s="664">
        <v>2608300</v>
      </c>
      <c r="I47" s="664">
        <f t="shared" si="0"/>
        <v>2371200</v>
      </c>
      <c r="J47" s="661"/>
    </row>
    <row r="48" spans="1:10" ht="18.75" customHeight="1">
      <c r="A48" s="661"/>
      <c r="B48" s="659" t="s">
        <v>7104</v>
      </c>
      <c r="C48" s="659" t="s">
        <v>9549</v>
      </c>
      <c r="D48" s="665" t="s">
        <v>9638</v>
      </c>
      <c r="E48" s="665" t="s">
        <v>9639</v>
      </c>
      <c r="F48" s="660">
        <v>0.1</v>
      </c>
      <c r="G48" s="660">
        <v>0</v>
      </c>
      <c r="H48" s="666">
        <v>2984100</v>
      </c>
      <c r="I48" s="666">
        <f t="shared" si="0"/>
        <v>2712800</v>
      </c>
      <c r="J48" s="661"/>
    </row>
    <row r="49" spans="1:10" ht="18.75" customHeight="1">
      <c r="A49" s="661"/>
      <c r="B49" s="657" t="s">
        <v>7104</v>
      </c>
      <c r="C49" s="657" t="s">
        <v>9549</v>
      </c>
      <c r="D49" s="663" t="s">
        <v>9640</v>
      </c>
      <c r="E49" s="663" t="s">
        <v>9641</v>
      </c>
      <c r="F49" s="658">
        <v>0.1</v>
      </c>
      <c r="G49" s="658">
        <v>0</v>
      </c>
      <c r="H49" s="664">
        <v>2812300</v>
      </c>
      <c r="I49" s="664">
        <f t="shared" si="0"/>
        <v>2556600</v>
      </c>
      <c r="J49" s="661"/>
    </row>
    <row r="50" spans="1:10" ht="18.75" customHeight="1">
      <c r="A50" s="661"/>
      <c r="B50" s="659" t="s">
        <v>9642</v>
      </c>
      <c r="C50" s="659" t="s">
        <v>9549</v>
      </c>
      <c r="D50" s="665" t="s">
        <v>9643</v>
      </c>
      <c r="E50" s="665" t="s">
        <v>9644</v>
      </c>
      <c r="F50" s="660">
        <v>0.1</v>
      </c>
      <c r="G50" s="660">
        <v>0</v>
      </c>
      <c r="H50" s="666">
        <v>2412400</v>
      </c>
      <c r="I50" s="666">
        <f t="shared" si="0"/>
        <v>2193100</v>
      </c>
      <c r="J50" s="661"/>
    </row>
    <row r="51" spans="1:10" ht="18.75" customHeight="1">
      <c r="A51" s="661"/>
      <c r="B51" s="657" t="s">
        <v>9642</v>
      </c>
      <c r="C51" s="657" t="s">
        <v>9549</v>
      </c>
      <c r="D51" s="663" t="s">
        <v>9645</v>
      </c>
      <c r="E51" s="663" t="s">
        <v>9646</v>
      </c>
      <c r="F51" s="658">
        <v>0.1</v>
      </c>
      <c r="G51" s="658">
        <v>0</v>
      </c>
      <c r="H51" s="664">
        <v>4667000</v>
      </c>
      <c r="I51" s="664">
        <f t="shared" si="0"/>
        <v>4242700</v>
      </c>
      <c r="J51" s="661"/>
    </row>
    <row r="52" spans="1:10" ht="18.75" customHeight="1">
      <c r="A52" s="661"/>
      <c r="B52" s="659" t="s">
        <v>9642</v>
      </c>
      <c r="C52" s="659" t="s">
        <v>9549</v>
      </c>
      <c r="D52" s="665" t="s">
        <v>9647</v>
      </c>
      <c r="E52" s="665" t="s">
        <v>9648</v>
      </c>
      <c r="F52" s="660">
        <v>0.1</v>
      </c>
      <c r="G52" s="660">
        <v>0</v>
      </c>
      <c r="H52" s="666">
        <v>3636300</v>
      </c>
      <c r="I52" s="666">
        <f t="shared" si="0"/>
        <v>3305700</v>
      </c>
      <c r="J52" s="661"/>
    </row>
    <row r="53" spans="1:10" ht="18.75" customHeight="1">
      <c r="A53" s="661"/>
      <c r="B53" s="657" t="s">
        <v>9642</v>
      </c>
      <c r="C53" s="657" t="s">
        <v>9549</v>
      </c>
      <c r="D53" s="663" t="s">
        <v>9649</v>
      </c>
      <c r="E53" s="663" t="s">
        <v>9650</v>
      </c>
      <c r="F53" s="658">
        <v>0.1</v>
      </c>
      <c r="G53" s="658">
        <v>0</v>
      </c>
      <c r="H53" s="664">
        <v>5890800</v>
      </c>
      <c r="I53" s="664">
        <f t="shared" si="0"/>
        <v>5355300</v>
      </c>
      <c r="J53" s="661"/>
    </row>
    <row r="54" spans="1:10" ht="18.75" customHeight="1">
      <c r="A54" s="661"/>
      <c r="B54" s="659" t="s">
        <v>9642</v>
      </c>
      <c r="C54" s="659" t="s">
        <v>9549</v>
      </c>
      <c r="D54" s="665" t="s">
        <v>9651</v>
      </c>
      <c r="E54" s="665" t="s">
        <v>9652</v>
      </c>
      <c r="F54" s="660">
        <v>0.1</v>
      </c>
      <c r="G54" s="660">
        <v>0</v>
      </c>
      <c r="H54" s="666">
        <v>4860200</v>
      </c>
      <c r="I54" s="666">
        <f t="shared" si="0"/>
        <v>4418400</v>
      </c>
      <c r="J54" s="661"/>
    </row>
    <row r="55" spans="1:10" ht="18.75" customHeight="1">
      <c r="A55" s="661"/>
      <c r="B55" s="657" t="s">
        <v>9642</v>
      </c>
      <c r="C55" s="657" t="s">
        <v>9560</v>
      </c>
      <c r="D55" s="663" t="s">
        <v>9653</v>
      </c>
      <c r="E55" s="663" t="s">
        <v>9654</v>
      </c>
      <c r="F55" s="658">
        <v>0.1</v>
      </c>
      <c r="G55" s="658">
        <v>0</v>
      </c>
      <c r="H55" s="664">
        <v>2956300</v>
      </c>
      <c r="I55" s="664">
        <f t="shared" si="0"/>
        <v>2687500</v>
      </c>
      <c r="J55" s="661"/>
    </row>
    <row r="56" spans="1:10" ht="18.75" customHeight="1">
      <c r="A56" s="661"/>
      <c r="B56" s="659" t="s">
        <v>9642</v>
      </c>
      <c r="C56" s="659" t="s">
        <v>9549</v>
      </c>
      <c r="D56" s="665" t="s">
        <v>9655</v>
      </c>
      <c r="E56" s="665" t="s">
        <v>9656</v>
      </c>
      <c r="F56" s="660">
        <v>0.1</v>
      </c>
      <c r="G56" s="660">
        <v>0</v>
      </c>
      <c r="H56" s="666">
        <v>4929000</v>
      </c>
      <c r="I56" s="666">
        <f t="shared" si="0"/>
        <v>4480900</v>
      </c>
      <c r="J56" s="661"/>
    </row>
    <row r="57" spans="1:10" ht="18.75" customHeight="1">
      <c r="A57" s="661"/>
      <c r="B57" s="657" t="s">
        <v>9642</v>
      </c>
      <c r="C57" s="657" t="s">
        <v>9560</v>
      </c>
      <c r="D57" s="663" t="s">
        <v>9657</v>
      </c>
      <c r="E57" s="663" t="s">
        <v>9658</v>
      </c>
      <c r="F57" s="658">
        <v>0.1</v>
      </c>
      <c r="G57" s="658">
        <v>0</v>
      </c>
      <c r="H57" s="664">
        <v>4027200</v>
      </c>
      <c r="I57" s="664">
        <f t="shared" si="0"/>
        <v>3661100</v>
      </c>
      <c r="J57" s="661"/>
    </row>
    <row r="58" spans="1:10" ht="18.75" customHeight="1">
      <c r="A58" s="661"/>
      <c r="B58" s="659" t="s">
        <v>9642</v>
      </c>
      <c r="C58" s="659" t="s">
        <v>9549</v>
      </c>
      <c r="D58" s="665" t="s">
        <v>9659</v>
      </c>
      <c r="E58" s="665" t="s">
        <v>9660</v>
      </c>
      <c r="F58" s="660">
        <v>0.1</v>
      </c>
      <c r="G58" s="660">
        <v>0</v>
      </c>
      <c r="H58" s="666">
        <v>6000000</v>
      </c>
      <c r="I58" s="666">
        <f t="shared" si="0"/>
        <v>5454500</v>
      </c>
      <c r="J58" s="661"/>
    </row>
    <row r="59" spans="1:10" ht="18.75" customHeight="1">
      <c r="A59" s="661"/>
      <c r="B59" s="657" t="s">
        <v>9642</v>
      </c>
      <c r="C59" s="657" t="s">
        <v>9549</v>
      </c>
      <c r="D59" s="663" t="s">
        <v>9661</v>
      </c>
      <c r="E59" s="663" t="s">
        <v>9662</v>
      </c>
      <c r="F59" s="658">
        <v>0.1</v>
      </c>
      <c r="G59" s="658">
        <v>0</v>
      </c>
      <c r="H59" s="664">
        <v>5098200</v>
      </c>
      <c r="I59" s="664">
        <f t="shared" si="0"/>
        <v>4634700</v>
      </c>
      <c r="J59" s="661"/>
    </row>
    <row r="60" spans="1:10" ht="18.75" customHeight="1">
      <c r="A60" s="661"/>
      <c r="B60" s="659" t="s">
        <v>9642</v>
      </c>
      <c r="C60" s="659" t="s">
        <v>9560</v>
      </c>
      <c r="D60" s="665" t="s">
        <v>9663</v>
      </c>
      <c r="E60" s="665" t="s">
        <v>9664</v>
      </c>
      <c r="F60" s="660">
        <v>0.1</v>
      </c>
      <c r="G60" s="660">
        <v>0</v>
      </c>
      <c r="H60" s="666">
        <v>2478000</v>
      </c>
      <c r="I60" s="666">
        <f t="shared" si="0"/>
        <v>2252700</v>
      </c>
      <c r="J60" s="661"/>
    </row>
    <row r="61" spans="1:10" ht="18.75" customHeight="1">
      <c r="A61" s="661"/>
      <c r="B61" s="657" t="s">
        <v>9642</v>
      </c>
      <c r="C61" s="657" t="s">
        <v>9573</v>
      </c>
      <c r="D61" s="663" t="s">
        <v>9665</v>
      </c>
      <c r="E61" s="663" t="s">
        <v>9666</v>
      </c>
      <c r="F61" s="658">
        <v>0.1</v>
      </c>
      <c r="G61" s="658">
        <v>0</v>
      </c>
      <c r="H61" s="664">
        <v>3887100</v>
      </c>
      <c r="I61" s="664">
        <f t="shared" si="0"/>
        <v>3533700</v>
      </c>
      <c r="J61" s="661"/>
    </row>
    <row r="62" spans="1:10" ht="18.75" customHeight="1">
      <c r="A62" s="661"/>
      <c r="B62" s="659" t="s">
        <v>9642</v>
      </c>
      <c r="C62" s="659" t="s">
        <v>9560</v>
      </c>
      <c r="D62" s="665" t="s">
        <v>9667</v>
      </c>
      <c r="E62" s="665" t="s">
        <v>9668</v>
      </c>
      <c r="F62" s="660">
        <v>0.1</v>
      </c>
      <c r="G62" s="660">
        <v>0</v>
      </c>
      <c r="H62" s="666">
        <v>3242900</v>
      </c>
      <c r="I62" s="666">
        <f t="shared" si="0"/>
        <v>2948100</v>
      </c>
      <c r="J62" s="661"/>
    </row>
    <row r="63" spans="1:10" ht="18.75" customHeight="1">
      <c r="A63" s="661"/>
      <c r="B63" s="657" t="s">
        <v>9642</v>
      </c>
      <c r="C63" s="657" t="s">
        <v>9549</v>
      </c>
      <c r="D63" s="663" t="s">
        <v>9669</v>
      </c>
      <c r="E63" s="663" t="s">
        <v>9670</v>
      </c>
      <c r="F63" s="658">
        <v>0.1</v>
      </c>
      <c r="G63" s="658">
        <v>0</v>
      </c>
      <c r="H63" s="664">
        <v>4652000</v>
      </c>
      <c r="I63" s="664">
        <f t="shared" si="0"/>
        <v>4229100</v>
      </c>
      <c r="J63" s="661"/>
    </row>
    <row r="64" spans="1:10" ht="18.75" customHeight="1">
      <c r="A64" s="661"/>
      <c r="B64" s="659" t="s">
        <v>9642</v>
      </c>
      <c r="C64" s="659" t="s">
        <v>9549</v>
      </c>
      <c r="D64" s="665" t="s">
        <v>9671</v>
      </c>
      <c r="E64" s="665" t="s">
        <v>9672</v>
      </c>
      <c r="F64" s="660">
        <v>0.1</v>
      </c>
      <c r="G64" s="660">
        <v>0</v>
      </c>
      <c r="H64" s="666">
        <v>4007900</v>
      </c>
      <c r="I64" s="666">
        <f t="shared" si="0"/>
        <v>3643500</v>
      </c>
      <c r="J64" s="661"/>
    </row>
    <row r="65" spans="1:10" ht="18.75" customHeight="1">
      <c r="A65" s="661"/>
      <c r="B65" s="657" t="s">
        <v>9642</v>
      </c>
      <c r="C65" s="657" t="s">
        <v>9560</v>
      </c>
      <c r="D65" s="663" t="s">
        <v>9673</v>
      </c>
      <c r="E65" s="663" t="s">
        <v>9674</v>
      </c>
      <c r="F65" s="658">
        <v>0.1</v>
      </c>
      <c r="G65" s="658">
        <v>0</v>
      </c>
      <c r="H65" s="664">
        <v>2874500</v>
      </c>
      <c r="I65" s="664">
        <f t="shared" si="0"/>
        <v>2613200</v>
      </c>
      <c r="J65" s="661"/>
    </row>
    <row r="66" spans="1:10" ht="18.75" customHeight="1">
      <c r="A66" s="661"/>
      <c r="B66" s="659" t="s">
        <v>9642</v>
      </c>
      <c r="C66" s="659" t="s">
        <v>9549</v>
      </c>
      <c r="D66" s="665" t="s">
        <v>9675</v>
      </c>
      <c r="E66" s="665" t="s">
        <v>9676</v>
      </c>
      <c r="F66" s="660">
        <v>0.1</v>
      </c>
      <c r="G66" s="660">
        <v>0</v>
      </c>
      <c r="H66" s="666">
        <v>4189700</v>
      </c>
      <c r="I66" s="666">
        <f t="shared" si="0"/>
        <v>3808800</v>
      </c>
      <c r="J66" s="661"/>
    </row>
    <row r="67" spans="1:10" ht="18.75" customHeight="1">
      <c r="A67" s="661"/>
      <c r="B67" s="657" t="s">
        <v>9642</v>
      </c>
      <c r="C67" s="657" t="s">
        <v>9560</v>
      </c>
      <c r="D67" s="663" t="s">
        <v>9677</v>
      </c>
      <c r="E67" s="663" t="s">
        <v>9678</v>
      </c>
      <c r="F67" s="658">
        <v>0.1</v>
      </c>
      <c r="G67" s="658">
        <v>0</v>
      </c>
      <c r="H67" s="664">
        <v>3588500</v>
      </c>
      <c r="I67" s="664">
        <f t="shared" si="0"/>
        <v>3262300</v>
      </c>
      <c r="J67" s="661"/>
    </row>
    <row r="68" spans="1:10" ht="18.75" customHeight="1">
      <c r="A68" s="661"/>
      <c r="B68" s="659" t="s">
        <v>9642</v>
      </c>
      <c r="C68" s="659" t="s">
        <v>9549</v>
      </c>
      <c r="D68" s="665" t="s">
        <v>9679</v>
      </c>
      <c r="E68" s="665" t="s">
        <v>9680</v>
      </c>
      <c r="F68" s="660">
        <v>0.1</v>
      </c>
      <c r="G68" s="660">
        <v>0</v>
      </c>
      <c r="H68" s="666">
        <v>4903700</v>
      </c>
      <c r="I68" s="666">
        <f t="shared" si="0"/>
        <v>4457900</v>
      </c>
      <c r="J68" s="661"/>
    </row>
    <row r="69" spans="1:10" ht="18.75" customHeight="1">
      <c r="A69" s="661"/>
      <c r="B69" s="657" t="s">
        <v>9642</v>
      </c>
      <c r="C69" s="657" t="s">
        <v>9549</v>
      </c>
      <c r="D69" s="663" t="s">
        <v>9681</v>
      </c>
      <c r="E69" s="663" t="s">
        <v>9682</v>
      </c>
      <c r="F69" s="658">
        <v>0.1</v>
      </c>
      <c r="G69" s="658">
        <v>0</v>
      </c>
      <c r="H69" s="664">
        <v>4302400</v>
      </c>
      <c r="I69" s="664">
        <f t="shared" si="0"/>
        <v>3911300</v>
      </c>
      <c r="J69" s="661"/>
    </row>
    <row r="70" spans="1:10" ht="18.75" customHeight="1">
      <c r="A70" s="661"/>
      <c r="B70" s="659" t="s">
        <v>9642</v>
      </c>
      <c r="C70" s="659" t="s">
        <v>9560</v>
      </c>
      <c r="D70" s="665" t="s">
        <v>9683</v>
      </c>
      <c r="E70" s="665" t="s">
        <v>9684</v>
      </c>
      <c r="F70" s="660">
        <v>0.1</v>
      </c>
      <c r="G70" s="660">
        <v>0</v>
      </c>
      <c r="H70" s="666">
        <v>2391400</v>
      </c>
      <c r="I70" s="666">
        <f t="shared" si="0"/>
        <v>2174000</v>
      </c>
      <c r="J70" s="661"/>
    </row>
    <row r="71" spans="1:10" ht="18.75" customHeight="1">
      <c r="A71" s="661"/>
      <c r="B71" s="657" t="s">
        <v>9642</v>
      </c>
      <c r="C71" s="657" t="s">
        <v>9549</v>
      </c>
      <c r="D71" s="663" t="s">
        <v>9685</v>
      </c>
      <c r="E71" s="663" t="s">
        <v>9686</v>
      </c>
      <c r="F71" s="658">
        <v>0.1</v>
      </c>
      <c r="G71" s="658">
        <v>0</v>
      </c>
      <c r="H71" s="664">
        <v>3236900</v>
      </c>
      <c r="I71" s="664">
        <f t="shared" si="0"/>
        <v>2942600</v>
      </c>
      <c r="J71" s="661"/>
    </row>
    <row r="72" spans="1:10" ht="18.75" customHeight="1">
      <c r="A72" s="661"/>
      <c r="B72" s="659" t="s">
        <v>9642</v>
      </c>
      <c r="C72" s="659" t="s">
        <v>9560</v>
      </c>
      <c r="D72" s="665" t="s">
        <v>9687</v>
      </c>
      <c r="E72" s="665" t="s">
        <v>9688</v>
      </c>
      <c r="F72" s="660">
        <v>0.1</v>
      </c>
      <c r="G72" s="660">
        <v>0</v>
      </c>
      <c r="H72" s="666">
        <v>2850400</v>
      </c>
      <c r="I72" s="666">
        <f t="shared" si="0"/>
        <v>2591300</v>
      </c>
      <c r="J72" s="661"/>
    </row>
    <row r="73" spans="1:10" ht="18.75" customHeight="1">
      <c r="A73" s="661"/>
      <c r="B73" s="657" t="s">
        <v>9642</v>
      </c>
      <c r="C73" s="657" t="s">
        <v>9549</v>
      </c>
      <c r="D73" s="663" t="s">
        <v>9689</v>
      </c>
      <c r="E73" s="663" t="s">
        <v>9690</v>
      </c>
      <c r="F73" s="658">
        <v>0.1</v>
      </c>
      <c r="G73" s="658">
        <v>0</v>
      </c>
      <c r="H73" s="664">
        <v>3695900</v>
      </c>
      <c r="I73" s="664">
        <f t="shared" si="0"/>
        <v>3359900</v>
      </c>
      <c r="J73" s="661"/>
    </row>
    <row r="74" spans="1:10" ht="18.75" customHeight="1">
      <c r="A74" s="661"/>
      <c r="B74" s="659" t="s">
        <v>9642</v>
      </c>
      <c r="C74" s="659" t="s">
        <v>9549</v>
      </c>
      <c r="D74" s="665" t="s">
        <v>9691</v>
      </c>
      <c r="E74" s="665" t="s">
        <v>9692</v>
      </c>
      <c r="F74" s="660">
        <v>0.1</v>
      </c>
      <c r="G74" s="660">
        <v>0</v>
      </c>
      <c r="H74" s="666">
        <v>3309400</v>
      </c>
      <c r="I74" s="666">
        <f t="shared" si="0"/>
        <v>3008500</v>
      </c>
      <c r="J74" s="661"/>
    </row>
    <row r="75" spans="1:10" ht="18.75" customHeight="1">
      <c r="A75" s="661"/>
      <c r="B75" s="657" t="s">
        <v>9642</v>
      </c>
      <c r="C75" s="657" t="s">
        <v>9560</v>
      </c>
      <c r="D75" s="663" t="s">
        <v>9693</v>
      </c>
      <c r="E75" s="663" t="s">
        <v>9694</v>
      </c>
      <c r="F75" s="658">
        <v>0.1</v>
      </c>
      <c r="G75" s="658">
        <v>0</v>
      </c>
      <c r="H75" s="664">
        <v>2837600</v>
      </c>
      <c r="I75" s="664">
        <f t="shared" si="0"/>
        <v>2579600</v>
      </c>
      <c r="J75" s="661"/>
    </row>
    <row r="76" spans="1:10" ht="18.75" customHeight="1">
      <c r="A76" s="661"/>
      <c r="B76" s="659" t="s">
        <v>9642</v>
      </c>
      <c r="C76" s="659" t="s">
        <v>9573</v>
      </c>
      <c r="D76" s="665" t="s">
        <v>9695</v>
      </c>
      <c r="E76" s="665" t="s">
        <v>9696</v>
      </c>
      <c r="F76" s="660">
        <v>0.1</v>
      </c>
      <c r="G76" s="660">
        <v>0</v>
      </c>
      <c r="H76" s="666">
        <v>3589100</v>
      </c>
      <c r="I76" s="666">
        <f t="shared" si="0"/>
        <v>3262800</v>
      </c>
      <c r="J76" s="661"/>
    </row>
    <row r="77" spans="1:10" ht="18.75" customHeight="1">
      <c r="A77" s="661"/>
      <c r="B77" s="657" t="s">
        <v>9642</v>
      </c>
      <c r="C77" s="657" t="s">
        <v>9560</v>
      </c>
      <c r="D77" s="663" t="s">
        <v>9697</v>
      </c>
      <c r="E77" s="663" t="s">
        <v>9698</v>
      </c>
      <c r="F77" s="658">
        <v>0.1</v>
      </c>
      <c r="G77" s="658">
        <v>0</v>
      </c>
      <c r="H77" s="664">
        <v>3245400</v>
      </c>
      <c r="I77" s="664">
        <f t="shared" si="0"/>
        <v>2950400</v>
      </c>
      <c r="J77" s="661"/>
    </row>
    <row r="78" spans="1:10" ht="18.75" customHeight="1">
      <c r="A78" s="661"/>
      <c r="B78" s="659" t="s">
        <v>9642</v>
      </c>
      <c r="C78" s="659" t="s">
        <v>9549</v>
      </c>
      <c r="D78" s="665" t="s">
        <v>9699</v>
      </c>
      <c r="E78" s="665" t="s">
        <v>9700</v>
      </c>
      <c r="F78" s="660">
        <v>0.1</v>
      </c>
      <c r="G78" s="660">
        <v>0</v>
      </c>
      <c r="H78" s="666">
        <v>3997000</v>
      </c>
      <c r="I78" s="666">
        <f t="shared" si="0"/>
        <v>3633600</v>
      </c>
      <c r="J78" s="661"/>
    </row>
    <row r="79" spans="1:10" ht="18.75" customHeight="1">
      <c r="A79" s="661"/>
      <c r="B79" s="657" t="s">
        <v>9642</v>
      </c>
      <c r="C79" s="657" t="s">
        <v>9549</v>
      </c>
      <c r="D79" s="663" t="s">
        <v>9701</v>
      </c>
      <c r="E79" s="663" t="s">
        <v>9702</v>
      </c>
      <c r="F79" s="658">
        <v>0.1</v>
      </c>
      <c r="G79" s="658">
        <v>0</v>
      </c>
      <c r="H79" s="664">
        <v>3653400</v>
      </c>
      <c r="I79" s="664">
        <f t="shared" si="0"/>
        <v>3321300</v>
      </c>
      <c r="J79" s="661"/>
    </row>
    <row r="80" spans="1:10" ht="18.75" customHeight="1">
      <c r="A80" s="661"/>
      <c r="B80" s="659" t="s">
        <v>9642</v>
      </c>
      <c r="C80" s="659" t="s">
        <v>9560</v>
      </c>
      <c r="D80" s="665" t="s">
        <v>9703</v>
      </c>
      <c r="E80" s="665" t="s">
        <v>9704</v>
      </c>
      <c r="F80" s="660">
        <v>0.1</v>
      </c>
      <c r="G80" s="660">
        <v>0</v>
      </c>
      <c r="H80" s="666">
        <v>3118500</v>
      </c>
      <c r="I80" s="666">
        <f t="shared" si="0"/>
        <v>2835000</v>
      </c>
      <c r="J80" s="661"/>
    </row>
    <row r="81" spans="1:10" ht="18.75" customHeight="1">
      <c r="A81" s="661"/>
      <c r="B81" s="657" t="s">
        <v>9642</v>
      </c>
      <c r="C81" s="657" t="s">
        <v>9549</v>
      </c>
      <c r="D81" s="663" t="s">
        <v>9705</v>
      </c>
      <c r="E81" s="663" t="s">
        <v>9706</v>
      </c>
      <c r="F81" s="658">
        <v>0.1</v>
      </c>
      <c r="G81" s="658">
        <v>0</v>
      </c>
      <c r="H81" s="664">
        <v>3682100</v>
      </c>
      <c r="I81" s="664">
        <f t="shared" si="0"/>
        <v>3347400</v>
      </c>
      <c r="J81" s="661"/>
    </row>
    <row r="82" spans="1:10" ht="18.75" customHeight="1">
      <c r="A82" s="661"/>
      <c r="B82" s="659" t="s">
        <v>9642</v>
      </c>
      <c r="C82" s="659" t="s">
        <v>9549</v>
      </c>
      <c r="D82" s="665" t="s">
        <v>9707</v>
      </c>
      <c r="E82" s="665" t="s">
        <v>9708</v>
      </c>
      <c r="F82" s="660">
        <v>0.1</v>
      </c>
      <c r="G82" s="660">
        <v>0</v>
      </c>
      <c r="H82" s="666">
        <v>3424500</v>
      </c>
      <c r="I82" s="666">
        <f t="shared" si="0"/>
        <v>3113200</v>
      </c>
      <c r="J82" s="661"/>
    </row>
    <row r="83" spans="1:10" ht="18.75" customHeight="1">
      <c r="A83" s="661"/>
      <c r="B83" s="657" t="s">
        <v>9642</v>
      </c>
      <c r="C83" s="657" t="s">
        <v>9549</v>
      </c>
      <c r="D83" s="663" t="s">
        <v>9709</v>
      </c>
      <c r="E83" s="663" t="s">
        <v>9710</v>
      </c>
      <c r="F83" s="658">
        <v>0.1</v>
      </c>
      <c r="G83" s="658">
        <v>0</v>
      </c>
      <c r="H83" s="664">
        <v>3988200</v>
      </c>
      <c r="I83" s="664">
        <f t="shared" si="0"/>
        <v>3625600</v>
      </c>
      <c r="J83" s="661"/>
    </row>
    <row r="84" spans="1:10" ht="18.75" customHeight="1">
      <c r="A84" s="661"/>
      <c r="B84" s="659" t="s">
        <v>9642</v>
      </c>
      <c r="C84" s="659" t="s">
        <v>9549</v>
      </c>
      <c r="D84" s="665" t="s">
        <v>9711</v>
      </c>
      <c r="E84" s="665" t="s">
        <v>9712</v>
      </c>
      <c r="F84" s="660">
        <v>0.1</v>
      </c>
      <c r="G84" s="660">
        <v>0</v>
      </c>
      <c r="H84" s="666">
        <v>3730500</v>
      </c>
      <c r="I84" s="666">
        <f t="shared" si="0"/>
        <v>3391400</v>
      </c>
      <c r="J84" s="661"/>
    </row>
    <row r="85" spans="1:10" ht="18.75" customHeight="1">
      <c r="A85" s="661"/>
      <c r="B85" s="657" t="s">
        <v>9642</v>
      </c>
      <c r="C85" s="657" t="s">
        <v>9560</v>
      </c>
      <c r="D85" s="663" t="s">
        <v>9713</v>
      </c>
      <c r="E85" s="663" t="s">
        <v>9714</v>
      </c>
      <c r="F85" s="658">
        <v>0.1</v>
      </c>
      <c r="G85" s="658">
        <v>0</v>
      </c>
      <c r="H85" s="664">
        <v>3116100</v>
      </c>
      <c r="I85" s="664">
        <f t="shared" si="0"/>
        <v>2832800</v>
      </c>
      <c r="J85" s="661"/>
    </row>
    <row r="86" spans="1:10" ht="18.75" customHeight="1">
      <c r="A86" s="661"/>
      <c r="B86" s="659" t="s">
        <v>9642</v>
      </c>
      <c r="C86" s="659" t="s">
        <v>9549</v>
      </c>
      <c r="D86" s="665" t="s">
        <v>9715</v>
      </c>
      <c r="E86" s="665" t="s">
        <v>9716</v>
      </c>
      <c r="F86" s="660">
        <v>0.1</v>
      </c>
      <c r="G86" s="660">
        <v>0</v>
      </c>
      <c r="H86" s="666">
        <v>3585800</v>
      </c>
      <c r="I86" s="666">
        <f t="shared" si="0"/>
        <v>3259800</v>
      </c>
      <c r="J86" s="661"/>
    </row>
    <row r="87" spans="1:10" ht="18.75" customHeight="1">
      <c r="A87" s="661"/>
      <c r="B87" s="657" t="s">
        <v>9642</v>
      </c>
      <c r="C87" s="657" t="s">
        <v>9549</v>
      </c>
      <c r="D87" s="663" t="s">
        <v>9717</v>
      </c>
      <c r="E87" s="663" t="s">
        <v>9718</v>
      </c>
      <c r="F87" s="658">
        <v>0.1</v>
      </c>
      <c r="G87" s="658">
        <v>0</v>
      </c>
      <c r="H87" s="664">
        <v>3371100</v>
      </c>
      <c r="I87" s="664">
        <f t="shared" si="0"/>
        <v>3064600</v>
      </c>
      <c r="J87" s="661"/>
    </row>
    <row r="88" spans="1:10" ht="18.75" customHeight="1">
      <c r="A88" s="661"/>
      <c r="B88" s="659" t="s">
        <v>9642</v>
      </c>
      <c r="C88" s="659" t="s">
        <v>9549</v>
      </c>
      <c r="D88" s="665" t="s">
        <v>9719</v>
      </c>
      <c r="E88" s="665" t="s">
        <v>9720</v>
      </c>
      <c r="F88" s="660">
        <v>0.1</v>
      </c>
      <c r="G88" s="660">
        <v>0</v>
      </c>
      <c r="H88" s="666">
        <v>3840800</v>
      </c>
      <c r="I88" s="666">
        <f t="shared" si="0"/>
        <v>3491600</v>
      </c>
      <c r="J88" s="661"/>
    </row>
    <row r="89" spans="1:10" ht="18.75" customHeight="1">
      <c r="A89" s="661"/>
      <c r="B89" s="657" t="s">
        <v>9642</v>
      </c>
      <c r="C89" s="657" t="s">
        <v>9549</v>
      </c>
      <c r="D89" s="663" t="s">
        <v>9721</v>
      </c>
      <c r="E89" s="663" t="s">
        <v>9722</v>
      </c>
      <c r="F89" s="658">
        <v>0.1</v>
      </c>
      <c r="G89" s="658">
        <v>0</v>
      </c>
      <c r="H89" s="664">
        <v>3626000</v>
      </c>
      <c r="I89" s="664">
        <f t="shared" si="0"/>
        <v>3296400</v>
      </c>
      <c r="J89" s="661"/>
    </row>
    <row r="90" spans="1:10" ht="18.75" customHeight="1">
      <c r="A90" s="661"/>
      <c r="B90" s="659" t="s">
        <v>9642</v>
      </c>
      <c r="C90" s="659" t="s">
        <v>9560</v>
      </c>
      <c r="D90" s="665" t="s">
        <v>9723</v>
      </c>
      <c r="E90" s="665" t="s">
        <v>9724</v>
      </c>
      <c r="F90" s="660">
        <v>0.1</v>
      </c>
      <c r="G90" s="660">
        <v>0</v>
      </c>
      <c r="H90" s="666">
        <v>3785000</v>
      </c>
      <c r="I90" s="666">
        <f t="shared" si="0"/>
        <v>3440900</v>
      </c>
      <c r="J90" s="661"/>
    </row>
    <row r="91" spans="1:10" ht="18.75" customHeight="1">
      <c r="A91" s="661"/>
      <c r="B91" s="657" t="s">
        <v>9642</v>
      </c>
      <c r="C91" s="657" t="s">
        <v>9549</v>
      </c>
      <c r="D91" s="663" t="s">
        <v>9725</v>
      </c>
      <c r="E91" s="663" t="s">
        <v>9726</v>
      </c>
      <c r="F91" s="658">
        <v>0.1</v>
      </c>
      <c r="G91" s="658">
        <v>0</v>
      </c>
      <c r="H91" s="664">
        <v>4160800</v>
      </c>
      <c r="I91" s="664">
        <f t="shared" si="0"/>
        <v>3782500</v>
      </c>
      <c r="J91" s="661"/>
    </row>
    <row r="92" spans="1:10" ht="18.75" customHeight="1">
      <c r="A92" s="661"/>
      <c r="B92" s="659" t="s">
        <v>9642</v>
      </c>
      <c r="C92" s="659" t="s">
        <v>9549</v>
      </c>
      <c r="D92" s="665" t="s">
        <v>9727</v>
      </c>
      <c r="E92" s="665" t="s">
        <v>9728</v>
      </c>
      <c r="F92" s="660">
        <v>0.1</v>
      </c>
      <c r="G92" s="660">
        <v>0</v>
      </c>
      <c r="H92" s="666">
        <v>3988900</v>
      </c>
      <c r="I92" s="666">
        <f t="shared" si="0"/>
        <v>3626300</v>
      </c>
      <c r="J92" s="661"/>
    </row>
    <row r="93" spans="1:10" ht="18.75" customHeight="1">
      <c r="A93" s="661"/>
      <c r="B93" s="657" t="s">
        <v>9642</v>
      </c>
      <c r="C93" s="657" t="s">
        <v>9549</v>
      </c>
      <c r="D93" s="663" t="s">
        <v>9729</v>
      </c>
      <c r="E93" s="663" t="s">
        <v>9730</v>
      </c>
      <c r="F93" s="658">
        <v>0.1</v>
      </c>
      <c r="G93" s="658">
        <v>0</v>
      </c>
      <c r="H93" s="664">
        <v>4364700</v>
      </c>
      <c r="I93" s="664">
        <f t="shared" si="0"/>
        <v>3967900</v>
      </c>
      <c r="J93" s="661"/>
    </row>
    <row r="94" spans="1:10" ht="18.75" customHeight="1">
      <c r="A94" s="661"/>
      <c r="B94" s="659" t="s">
        <v>9642</v>
      </c>
      <c r="C94" s="659" t="s">
        <v>9549</v>
      </c>
      <c r="D94" s="665" t="s">
        <v>9731</v>
      </c>
      <c r="E94" s="665" t="s">
        <v>9732</v>
      </c>
      <c r="F94" s="660">
        <v>0.1</v>
      </c>
      <c r="G94" s="660">
        <v>0</v>
      </c>
      <c r="H94" s="666">
        <v>4193000</v>
      </c>
      <c r="I94" s="666">
        <f t="shared" si="0"/>
        <v>3811800</v>
      </c>
      <c r="J94" s="661"/>
    </row>
    <row r="95" spans="1:10" ht="18.75" customHeight="1">
      <c r="A95" s="661"/>
      <c r="B95" s="657" t="s">
        <v>7104</v>
      </c>
      <c r="C95" s="657" t="s">
        <v>9549</v>
      </c>
      <c r="D95" s="663" t="s">
        <v>9733</v>
      </c>
      <c r="E95" s="663" t="s">
        <v>9734</v>
      </c>
      <c r="F95" s="658">
        <v>0.1</v>
      </c>
      <c r="G95" s="658">
        <v>0</v>
      </c>
      <c r="H95" s="664">
        <v>1974300</v>
      </c>
      <c r="I95" s="664">
        <f t="shared" si="0"/>
        <v>1794800</v>
      </c>
      <c r="J95" s="661"/>
    </row>
    <row r="96" spans="1:10" ht="18.75" customHeight="1">
      <c r="A96" s="661"/>
      <c r="B96" s="659" t="s">
        <v>7104</v>
      </c>
      <c r="C96" s="659" t="s">
        <v>9549</v>
      </c>
      <c r="D96" s="665" t="s">
        <v>9735</v>
      </c>
      <c r="E96" s="665" t="s">
        <v>9736</v>
      </c>
      <c r="F96" s="660">
        <v>0.1</v>
      </c>
      <c r="G96" s="660">
        <v>0</v>
      </c>
      <c r="H96" s="666">
        <v>3144700</v>
      </c>
      <c r="I96" s="666">
        <f t="shared" si="0"/>
        <v>2858800</v>
      </c>
      <c r="J96" s="661"/>
    </row>
    <row r="97" spans="1:10" ht="18.75" customHeight="1">
      <c r="A97" s="661"/>
      <c r="B97" s="657" t="s">
        <v>7104</v>
      </c>
      <c r="C97" s="657" t="s">
        <v>9737</v>
      </c>
      <c r="D97" s="663" t="s">
        <v>9738</v>
      </c>
      <c r="E97" s="663" t="s">
        <v>9739</v>
      </c>
      <c r="F97" s="658">
        <v>0.1</v>
      </c>
      <c r="G97" s="658">
        <v>0</v>
      </c>
      <c r="H97" s="664">
        <v>409500</v>
      </c>
      <c r="I97" s="664">
        <f t="shared" si="0"/>
        <v>372300</v>
      </c>
      <c r="J97" s="661"/>
    </row>
    <row r="98" spans="1:10" ht="18.75" customHeight="1">
      <c r="A98" s="661"/>
      <c r="B98" s="659" t="s">
        <v>7104</v>
      </c>
      <c r="C98" s="659" t="s">
        <v>9737</v>
      </c>
      <c r="D98" s="665" t="s">
        <v>9740</v>
      </c>
      <c r="E98" s="665" t="s">
        <v>9741</v>
      </c>
      <c r="F98" s="660">
        <v>0.1</v>
      </c>
      <c r="G98" s="660">
        <v>0</v>
      </c>
      <c r="H98" s="666">
        <v>1988900</v>
      </c>
      <c r="I98" s="666">
        <f t="shared" si="0"/>
        <v>1808100</v>
      </c>
      <c r="J98" s="661"/>
    </row>
    <row r="99" spans="1:10" ht="18.75" customHeight="1">
      <c r="A99" s="661"/>
      <c r="B99" s="657" t="s">
        <v>7104</v>
      </c>
      <c r="C99" s="657" t="s">
        <v>9737</v>
      </c>
      <c r="D99" s="663" t="s">
        <v>9742</v>
      </c>
      <c r="E99" s="663" t="s">
        <v>9743</v>
      </c>
      <c r="F99" s="658">
        <v>0.1</v>
      </c>
      <c r="G99" s="658">
        <v>0</v>
      </c>
      <c r="H99" s="664">
        <v>3605900</v>
      </c>
      <c r="I99" s="664">
        <f t="shared" si="0"/>
        <v>3278100</v>
      </c>
      <c r="J99" s="661"/>
    </row>
    <row r="100" spans="1:10" ht="18.75" customHeight="1">
      <c r="A100" s="661"/>
      <c r="B100" s="659" t="s">
        <v>7104</v>
      </c>
      <c r="C100" s="659" t="s">
        <v>9737</v>
      </c>
      <c r="D100" s="665" t="s">
        <v>9744</v>
      </c>
      <c r="E100" s="665" t="s">
        <v>9745</v>
      </c>
      <c r="F100" s="660">
        <v>0.1</v>
      </c>
      <c r="G100" s="660">
        <v>0</v>
      </c>
      <c r="H100" s="666">
        <v>2866700</v>
      </c>
      <c r="I100" s="666">
        <f t="shared" si="0"/>
        <v>2606100</v>
      </c>
      <c r="J100" s="661"/>
    </row>
    <row r="101" spans="1:10" ht="18.75" customHeight="1">
      <c r="A101" s="661"/>
      <c r="B101" s="657" t="s">
        <v>7104</v>
      </c>
      <c r="C101" s="657" t="s">
        <v>9737</v>
      </c>
      <c r="D101" s="663" t="s">
        <v>9746</v>
      </c>
      <c r="E101" s="663" t="s">
        <v>9747</v>
      </c>
      <c r="F101" s="658">
        <v>0.1</v>
      </c>
      <c r="G101" s="658">
        <v>0</v>
      </c>
      <c r="H101" s="664">
        <v>4483700</v>
      </c>
      <c r="I101" s="664">
        <f t="shared" si="0"/>
        <v>4076100</v>
      </c>
      <c r="J101" s="661"/>
    </row>
    <row r="102" spans="1:10" ht="18.75" customHeight="1">
      <c r="A102" s="661"/>
      <c r="B102" s="659" t="s">
        <v>7104</v>
      </c>
      <c r="C102" s="659" t="s">
        <v>9737</v>
      </c>
      <c r="D102" s="665" t="s">
        <v>9748</v>
      </c>
      <c r="E102" s="665" t="s">
        <v>9749</v>
      </c>
      <c r="F102" s="660">
        <v>0.1</v>
      </c>
      <c r="G102" s="660">
        <v>0</v>
      </c>
      <c r="H102" s="666">
        <v>3744500</v>
      </c>
      <c r="I102" s="666">
        <f t="shared" si="0"/>
        <v>3404100</v>
      </c>
      <c r="J102" s="661"/>
    </row>
    <row r="103" spans="1:10" ht="18.75" customHeight="1">
      <c r="A103" s="661"/>
      <c r="B103" s="657" t="s">
        <v>7104</v>
      </c>
      <c r="C103" s="657" t="s">
        <v>9549</v>
      </c>
      <c r="D103" s="663" t="s">
        <v>9750</v>
      </c>
      <c r="E103" s="663" t="s">
        <v>9751</v>
      </c>
      <c r="F103" s="658">
        <v>0.1</v>
      </c>
      <c r="G103" s="658">
        <v>0</v>
      </c>
      <c r="H103" s="664">
        <v>292200</v>
      </c>
      <c r="I103" s="664">
        <f t="shared" si="0"/>
        <v>265600</v>
      </c>
      <c r="J103" s="661"/>
    </row>
    <row r="104" spans="1:10" ht="18.75" customHeight="1">
      <c r="A104" s="661"/>
      <c r="B104" s="659" t="s">
        <v>7104</v>
      </c>
      <c r="C104" s="659" t="s">
        <v>9549</v>
      </c>
      <c r="D104" s="665" t="s">
        <v>9752</v>
      </c>
      <c r="E104" s="665" t="s">
        <v>9753</v>
      </c>
      <c r="F104" s="660">
        <v>0.1</v>
      </c>
      <c r="G104" s="660">
        <v>0</v>
      </c>
      <c r="H104" s="666">
        <v>1316200</v>
      </c>
      <c r="I104" s="666">
        <f t="shared" si="0"/>
        <v>1196500</v>
      </c>
      <c r="J104" s="661"/>
    </row>
    <row r="105" spans="1:10" ht="18.75" customHeight="1">
      <c r="A105" s="661"/>
      <c r="B105" s="657" t="s">
        <v>7104</v>
      </c>
      <c r="C105" s="657" t="s">
        <v>9737</v>
      </c>
      <c r="D105" s="663" t="s">
        <v>9754</v>
      </c>
      <c r="E105" s="663" t="s">
        <v>9755</v>
      </c>
      <c r="F105" s="658">
        <v>0.1</v>
      </c>
      <c r="G105" s="658">
        <v>0</v>
      </c>
      <c r="H105" s="664">
        <v>2478600</v>
      </c>
      <c r="I105" s="664">
        <f t="shared" si="0"/>
        <v>2253300</v>
      </c>
      <c r="J105" s="661"/>
    </row>
    <row r="106" spans="1:10" ht="18.75" customHeight="1">
      <c r="A106" s="661"/>
      <c r="B106" s="659" t="s">
        <v>7104</v>
      </c>
      <c r="C106" s="659" t="s">
        <v>9549</v>
      </c>
      <c r="D106" s="665" t="s">
        <v>9756</v>
      </c>
      <c r="E106" s="665" t="s">
        <v>9757</v>
      </c>
      <c r="F106" s="660">
        <v>0.1</v>
      </c>
      <c r="G106" s="660">
        <v>0</v>
      </c>
      <c r="H106" s="666">
        <v>4095600</v>
      </c>
      <c r="I106" s="666">
        <f t="shared" si="0"/>
        <v>3723300</v>
      </c>
      <c r="J106" s="661"/>
    </row>
    <row r="107" spans="1:10" ht="18.75" customHeight="1">
      <c r="A107" s="661"/>
      <c r="B107" s="657" t="s">
        <v>7104</v>
      </c>
      <c r="C107" s="657" t="s">
        <v>9549</v>
      </c>
      <c r="D107" s="663" t="s">
        <v>9758</v>
      </c>
      <c r="E107" s="663" t="s">
        <v>9759</v>
      </c>
      <c r="F107" s="658">
        <v>0.1</v>
      </c>
      <c r="G107" s="658">
        <v>0</v>
      </c>
      <c r="H107" s="664">
        <v>3356400</v>
      </c>
      <c r="I107" s="664">
        <f t="shared" si="0"/>
        <v>3051300</v>
      </c>
      <c r="J107" s="661"/>
    </row>
    <row r="108" spans="1:10" ht="18.75" customHeight="1">
      <c r="A108" s="661"/>
      <c r="B108" s="659" t="s">
        <v>7104</v>
      </c>
      <c r="C108" s="659" t="s">
        <v>9549</v>
      </c>
      <c r="D108" s="665" t="s">
        <v>9760</v>
      </c>
      <c r="E108" s="665" t="s">
        <v>9761</v>
      </c>
      <c r="F108" s="660">
        <v>0.1</v>
      </c>
      <c r="G108" s="660">
        <v>0</v>
      </c>
      <c r="H108" s="666">
        <v>4973400</v>
      </c>
      <c r="I108" s="666">
        <f t="shared" si="0"/>
        <v>4521300</v>
      </c>
      <c r="J108" s="661"/>
    </row>
    <row r="109" spans="1:10" ht="18.75" customHeight="1">
      <c r="A109" s="661"/>
      <c r="B109" s="657" t="s">
        <v>7104</v>
      </c>
      <c r="C109" s="657" t="s">
        <v>9549</v>
      </c>
      <c r="D109" s="663" t="s">
        <v>9762</v>
      </c>
      <c r="E109" s="663" t="s">
        <v>9763</v>
      </c>
      <c r="F109" s="658">
        <v>0.1</v>
      </c>
      <c r="G109" s="658">
        <v>0</v>
      </c>
      <c r="H109" s="664">
        <v>4234200</v>
      </c>
      <c r="I109" s="664">
        <f t="shared" si="0"/>
        <v>3849300</v>
      </c>
      <c r="J109" s="661"/>
    </row>
    <row r="110" spans="1:10" ht="18.75" customHeight="1">
      <c r="A110" s="661"/>
      <c r="B110" s="659" t="s">
        <v>7104</v>
      </c>
      <c r="C110" s="659" t="s">
        <v>9737</v>
      </c>
      <c r="D110" s="665" t="s">
        <v>9764</v>
      </c>
      <c r="E110" s="665" t="s">
        <v>9765</v>
      </c>
      <c r="F110" s="660">
        <v>0.1</v>
      </c>
      <c r="G110" s="660">
        <v>0</v>
      </c>
      <c r="H110" s="666">
        <v>2450100</v>
      </c>
      <c r="I110" s="666">
        <f t="shared" si="0"/>
        <v>2227400</v>
      </c>
      <c r="J110" s="661"/>
    </row>
    <row r="111" spans="1:10" ht="18.75" customHeight="1">
      <c r="A111" s="661"/>
      <c r="B111" s="657" t="s">
        <v>7104</v>
      </c>
      <c r="C111" s="657" t="s">
        <v>9737</v>
      </c>
      <c r="D111" s="663" t="s">
        <v>9766</v>
      </c>
      <c r="E111" s="663" t="s">
        <v>9767</v>
      </c>
      <c r="F111" s="658">
        <v>0.1</v>
      </c>
      <c r="G111" s="658">
        <v>0</v>
      </c>
      <c r="H111" s="664">
        <v>3528100</v>
      </c>
      <c r="I111" s="664">
        <f t="shared" si="0"/>
        <v>3207400</v>
      </c>
      <c r="J111" s="661"/>
    </row>
    <row r="112" spans="1:10" ht="18.75" customHeight="1">
      <c r="A112" s="661"/>
      <c r="B112" s="659" t="s">
        <v>7104</v>
      </c>
      <c r="C112" s="659" t="s">
        <v>9737</v>
      </c>
      <c r="D112" s="665" t="s">
        <v>9768</v>
      </c>
      <c r="E112" s="665" t="s">
        <v>9769</v>
      </c>
      <c r="F112" s="660">
        <v>0.1</v>
      </c>
      <c r="G112" s="660">
        <v>0</v>
      </c>
      <c r="H112" s="666">
        <v>3035300</v>
      </c>
      <c r="I112" s="666">
        <f t="shared" si="0"/>
        <v>2759400</v>
      </c>
      <c r="J112" s="661"/>
    </row>
    <row r="113" spans="1:10" ht="18.75" customHeight="1">
      <c r="A113" s="661"/>
      <c r="B113" s="657" t="s">
        <v>7104</v>
      </c>
      <c r="C113" s="657" t="s">
        <v>9737</v>
      </c>
      <c r="D113" s="663" t="s">
        <v>9770</v>
      </c>
      <c r="E113" s="663" t="s">
        <v>9771</v>
      </c>
      <c r="F113" s="658">
        <v>0.1</v>
      </c>
      <c r="G113" s="658">
        <v>0</v>
      </c>
      <c r="H113" s="664">
        <v>4113300</v>
      </c>
      <c r="I113" s="664">
        <f t="shared" si="0"/>
        <v>3739400</v>
      </c>
      <c r="J113" s="661"/>
    </row>
    <row r="114" spans="1:10" ht="18.75" customHeight="1">
      <c r="A114" s="661"/>
      <c r="B114" s="659" t="s">
        <v>7104</v>
      </c>
      <c r="C114" s="659" t="s">
        <v>9737</v>
      </c>
      <c r="D114" s="665" t="s">
        <v>9772</v>
      </c>
      <c r="E114" s="665" t="s">
        <v>9773</v>
      </c>
      <c r="F114" s="660">
        <v>0.1</v>
      </c>
      <c r="G114" s="660">
        <v>0</v>
      </c>
      <c r="H114" s="666">
        <v>3620500</v>
      </c>
      <c r="I114" s="666">
        <f t="shared" si="0"/>
        <v>3291400</v>
      </c>
      <c r="J114" s="661"/>
    </row>
    <row r="115" spans="1:10" ht="18.75" customHeight="1">
      <c r="A115" s="661"/>
      <c r="B115" s="657" t="s">
        <v>7104</v>
      </c>
      <c r="C115" s="657" t="s">
        <v>9549</v>
      </c>
      <c r="D115" s="663" t="s">
        <v>9774</v>
      </c>
      <c r="E115" s="663" t="s">
        <v>9775</v>
      </c>
      <c r="F115" s="658">
        <v>0.1</v>
      </c>
      <c r="G115" s="658">
        <v>0</v>
      </c>
      <c r="H115" s="664">
        <v>2434700</v>
      </c>
      <c r="I115" s="664">
        <f t="shared" si="0"/>
        <v>2213400</v>
      </c>
      <c r="J115" s="661"/>
    </row>
    <row r="116" spans="1:10" ht="18.75" customHeight="1">
      <c r="A116" s="661"/>
      <c r="B116" s="659" t="s">
        <v>7104</v>
      </c>
      <c r="C116" s="659" t="s">
        <v>9549</v>
      </c>
      <c r="D116" s="665" t="s">
        <v>9776</v>
      </c>
      <c r="E116" s="665" t="s">
        <v>9777</v>
      </c>
      <c r="F116" s="660">
        <v>0.1</v>
      </c>
      <c r="G116" s="660">
        <v>0</v>
      </c>
      <c r="H116" s="666">
        <v>3759500</v>
      </c>
      <c r="I116" s="666">
        <f t="shared" si="0"/>
        <v>3417700</v>
      </c>
      <c r="J116" s="661"/>
    </row>
    <row r="117" spans="1:10" ht="18.75" customHeight="1">
      <c r="A117" s="661"/>
      <c r="B117" s="657" t="s">
        <v>7104</v>
      </c>
      <c r="C117" s="657" t="s">
        <v>9549</v>
      </c>
      <c r="D117" s="663" t="s">
        <v>9778</v>
      </c>
      <c r="E117" s="663" t="s">
        <v>9779</v>
      </c>
      <c r="F117" s="658">
        <v>0.1</v>
      </c>
      <c r="G117" s="658">
        <v>0</v>
      </c>
      <c r="H117" s="664">
        <v>3056900</v>
      </c>
      <c r="I117" s="664">
        <f t="shared" si="0"/>
        <v>2779000</v>
      </c>
      <c r="J117" s="661"/>
    </row>
    <row r="118" spans="1:10" ht="18.75" customHeight="1">
      <c r="A118" s="661"/>
      <c r="B118" s="659" t="s">
        <v>7104</v>
      </c>
      <c r="C118" s="659" t="s">
        <v>9549</v>
      </c>
      <c r="D118" s="665" t="s">
        <v>9780</v>
      </c>
      <c r="E118" s="665" t="s">
        <v>9781</v>
      </c>
      <c r="F118" s="660">
        <v>0.1</v>
      </c>
      <c r="G118" s="660">
        <v>0</v>
      </c>
      <c r="H118" s="666">
        <v>4134900</v>
      </c>
      <c r="I118" s="666">
        <f t="shared" si="0"/>
        <v>3759000</v>
      </c>
      <c r="J118" s="661"/>
    </row>
    <row r="119" spans="1:10" ht="18.75" customHeight="1">
      <c r="A119" s="661"/>
      <c r="B119" s="657" t="s">
        <v>7104</v>
      </c>
      <c r="C119" s="657" t="s">
        <v>9549</v>
      </c>
      <c r="D119" s="663" t="s">
        <v>9782</v>
      </c>
      <c r="E119" s="663" t="s">
        <v>9783</v>
      </c>
      <c r="F119" s="658">
        <v>0.1</v>
      </c>
      <c r="G119" s="658">
        <v>0</v>
      </c>
      <c r="H119" s="664">
        <v>3642100</v>
      </c>
      <c r="I119" s="664">
        <f t="shared" si="0"/>
        <v>3311000</v>
      </c>
      <c r="J119" s="661"/>
    </row>
    <row r="120" spans="1:10" ht="18.75" customHeight="1">
      <c r="A120" s="661"/>
      <c r="B120" s="659" t="s">
        <v>7104</v>
      </c>
      <c r="C120" s="659" t="s">
        <v>9549</v>
      </c>
      <c r="D120" s="665" t="s">
        <v>9784</v>
      </c>
      <c r="E120" s="665" t="s">
        <v>9785</v>
      </c>
      <c r="F120" s="660">
        <v>0.1</v>
      </c>
      <c r="G120" s="660">
        <v>0</v>
      </c>
      <c r="H120" s="666">
        <v>4720100</v>
      </c>
      <c r="I120" s="666">
        <f t="shared" si="0"/>
        <v>4291000</v>
      </c>
      <c r="J120" s="661"/>
    </row>
    <row r="121" spans="1:10" ht="18.75" customHeight="1">
      <c r="A121" s="661"/>
      <c r="B121" s="657" t="s">
        <v>7104</v>
      </c>
      <c r="C121" s="657" t="s">
        <v>9549</v>
      </c>
      <c r="D121" s="663" t="s">
        <v>9786</v>
      </c>
      <c r="E121" s="663" t="s">
        <v>9787</v>
      </c>
      <c r="F121" s="658">
        <v>0.1</v>
      </c>
      <c r="G121" s="658">
        <v>0</v>
      </c>
      <c r="H121" s="664">
        <v>4227300</v>
      </c>
      <c r="I121" s="664">
        <f t="shared" si="0"/>
        <v>3843000</v>
      </c>
      <c r="J121" s="661"/>
    </row>
    <row r="122" spans="1:10" ht="18.75" customHeight="1">
      <c r="A122" s="661"/>
      <c r="B122" s="659" t="s">
        <v>7104</v>
      </c>
      <c r="C122" s="659" t="s">
        <v>9549</v>
      </c>
      <c r="D122" s="665" t="s">
        <v>9788</v>
      </c>
      <c r="E122" s="665" t="s">
        <v>9789</v>
      </c>
      <c r="F122" s="660">
        <v>0.1</v>
      </c>
      <c r="G122" s="660">
        <v>0</v>
      </c>
      <c r="H122" s="666">
        <v>3557100</v>
      </c>
      <c r="I122" s="666">
        <f t="shared" si="0"/>
        <v>3233700</v>
      </c>
      <c r="J122" s="661"/>
    </row>
    <row r="123" spans="1:10" ht="18.75" customHeight="1">
      <c r="A123" s="661"/>
      <c r="B123" s="657" t="s">
        <v>7104</v>
      </c>
      <c r="C123" s="657" t="s">
        <v>9549</v>
      </c>
      <c r="D123" s="663" t="s">
        <v>9790</v>
      </c>
      <c r="E123" s="663" t="s">
        <v>9791</v>
      </c>
      <c r="F123" s="658">
        <v>0.1</v>
      </c>
      <c r="G123" s="658">
        <v>0</v>
      </c>
      <c r="H123" s="664">
        <v>4339700</v>
      </c>
      <c r="I123" s="664">
        <f t="shared" si="0"/>
        <v>3945200</v>
      </c>
      <c r="J123" s="661"/>
    </row>
    <row r="124" spans="1:10" ht="18.75" customHeight="1">
      <c r="A124" s="661"/>
      <c r="B124" s="659" t="s">
        <v>7104</v>
      </c>
      <c r="C124" s="659" t="s">
        <v>9549</v>
      </c>
      <c r="D124" s="665" t="s">
        <v>9792</v>
      </c>
      <c r="E124" s="665" t="s">
        <v>9793</v>
      </c>
      <c r="F124" s="660">
        <v>0.1</v>
      </c>
      <c r="G124" s="660">
        <v>0</v>
      </c>
      <c r="H124" s="666">
        <v>5448500</v>
      </c>
      <c r="I124" s="666">
        <f t="shared" si="0"/>
        <v>4953200</v>
      </c>
      <c r="J124" s="661"/>
    </row>
    <row r="125" spans="1:10" ht="18.75" customHeight="1">
      <c r="A125" s="661"/>
      <c r="B125" s="657" t="s">
        <v>7104</v>
      </c>
      <c r="C125" s="657" t="s">
        <v>9549</v>
      </c>
      <c r="D125" s="663" t="s">
        <v>9794</v>
      </c>
      <c r="E125" s="663" t="s">
        <v>9795</v>
      </c>
      <c r="F125" s="658">
        <v>0.1</v>
      </c>
      <c r="G125" s="658">
        <v>0</v>
      </c>
      <c r="H125" s="664">
        <v>6526500</v>
      </c>
      <c r="I125" s="664">
        <f t="shared" si="0"/>
        <v>5933200</v>
      </c>
      <c r="J125" s="661"/>
    </row>
    <row r="126" spans="1:10" ht="18.75" customHeight="1">
      <c r="A126" s="661"/>
      <c r="B126" s="659" t="s">
        <v>7104</v>
      </c>
      <c r="C126" s="659" t="s">
        <v>9549</v>
      </c>
      <c r="D126" s="665" t="s">
        <v>9796</v>
      </c>
      <c r="E126" s="665" t="s">
        <v>9797</v>
      </c>
      <c r="F126" s="660">
        <v>0.1</v>
      </c>
      <c r="G126" s="660">
        <v>0</v>
      </c>
      <c r="H126" s="666">
        <v>6033700</v>
      </c>
      <c r="I126" s="666">
        <f t="shared" si="0"/>
        <v>5485200</v>
      </c>
      <c r="J126" s="661"/>
    </row>
    <row r="127" spans="1:10" ht="18.75" customHeight="1">
      <c r="A127" s="661"/>
      <c r="B127" s="657" t="s">
        <v>7104</v>
      </c>
      <c r="C127" s="657" t="s">
        <v>9549</v>
      </c>
      <c r="D127" s="663" t="s">
        <v>9798</v>
      </c>
      <c r="E127" s="663" t="s">
        <v>9799</v>
      </c>
      <c r="F127" s="658">
        <v>0.1</v>
      </c>
      <c r="G127" s="658">
        <v>0</v>
      </c>
      <c r="H127" s="664">
        <v>7111700</v>
      </c>
      <c r="I127" s="664">
        <f t="shared" si="0"/>
        <v>6465200</v>
      </c>
      <c r="J127" s="661"/>
    </row>
    <row r="128" spans="1:10" ht="18.75" customHeight="1">
      <c r="A128" s="661"/>
      <c r="B128" s="659" t="s">
        <v>7104</v>
      </c>
      <c r="C128" s="659" t="s">
        <v>9549</v>
      </c>
      <c r="D128" s="665" t="s">
        <v>9800</v>
      </c>
      <c r="E128" s="665" t="s">
        <v>9801</v>
      </c>
      <c r="F128" s="660">
        <v>0.1</v>
      </c>
      <c r="G128" s="660">
        <v>0</v>
      </c>
      <c r="H128" s="666">
        <v>6618900</v>
      </c>
      <c r="I128" s="666">
        <f t="shared" si="0"/>
        <v>6017200</v>
      </c>
      <c r="J128" s="661"/>
    </row>
    <row r="129" spans="1:10" ht="18.75" customHeight="1">
      <c r="A129" s="661"/>
      <c r="B129" s="657" t="s">
        <v>7104</v>
      </c>
      <c r="C129" s="657" t="s">
        <v>9549</v>
      </c>
      <c r="D129" s="663" t="s">
        <v>9802</v>
      </c>
      <c r="E129" s="663" t="s">
        <v>9803</v>
      </c>
      <c r="F129" s="658">
        <v>0.1</v>
      </c>
      <c r="G129" s="658">
        <v>0</v>
      </c>
      <c r="H129" s="664">
        <v>5493800</v>
      </c>
      <c r="I129" s="664">
        <f t="shared" si="0"/>
        <v>4994400</v>
      </c>
      <c r="J129" s="661"/>
    </row>
    <row r="130" spans="1:10" ht="18.75" customHeight="1">
      <c r="A130" s="661"/>
      <c r="B130" s="659" t="s">
        <v>7104</v>
      </c>
      <c r="C130" s="659" t="s">
        <v>9549</v>
      </c>
      <c r="D130" s="665" t="s">
        <v>9804</v>
      </c>
      <c r="E130" s="665" t="s">
        <v>9805</v>
      </c>
      <c r="F130" s="660">
        <v>0.1</v>
      </c>
      <c r="G130" s="660">
        <v>0</v>
      </c>
      <c r="H130" s="666">
        <v>6352500</v>
      </c>
      <c r="I130" s="666">
        <f t="shared" si="0"/>
        <v>5775000</v>
      </c>
      <c r="J130" s="661"/>
    </row>
    <row r="131" spans="1:10" ht="18.75" customHeight="1">
      <c r="A131" s="661"/>
      <c r="B131" s="657" t="s">
        <v>7104</v>
      </c>
      <c r="C131" s="657" t="s">
        <v>9549</v>
      </c>
      <c r="D131" s="663" t="s">
        <v>9806</v>
      </c>
      <c r="E131" s="663" t="s">
        <v>9807</v>
      </c>
      <c r="F131" s="658">
        <v>0.1</v>
      </c>
      <c r="G131" s="658">
        <v>0</v>
      </c>
      <c r="H131" s="664">
        <v>5960000</v>
      </c>
      <c r="I131" s="664">
        <f t="shared" si="0"/>
        <v>5418200</v>
      </c>
      <c r="J131" s="661"/>
    </row>
    <row r="132" spans="1:10" ht="18.75" customHeight="1">
      <c r="A132" s="661"/>
      <c r="B132" s="659" t="s">
        <v>7104</v>
      </c>
      <c r="C132" s="659" t="s">
        <v>9549</v>
      </c>
      <c r="D132" s="665" t="s">
        <v>9808</v>
      </c>
      <c r="E132" s="665" t="s">
        <v>9809</v>
      </c>
      <c r="F132" s="660">
        <v>0.1</v>
      </c>
      <c r="G132" s="660">
        <v>0</v>
      </c>
      <c r="H132" s="666">
        <v>6818600</v>
      </c>
      <c r="I132" s="666">
        <f t="shared" si="0"/>
        <v>6198700</v>
      </c>
      <c r="J132" s="661"/>
    </row>
    <row r="133" spans="1:10" ht="18.75" customHeight="1">
      <c r="A133" s="661"/>
      <c r="B133" s="657" t="s">
        <v>7104</v>
      </c>
      <c r="C133" s="657" t="s">
        <v>9549</v>
      </c>
      <c r="D133" s="663" t="s">
        <v>9810</v>
      </c>
      <c r="E133" s="663" t="s">
        <v>9811</v>
      </c>
      <c r="F133" s="658">
        <v>0.1</v>
      </c>
      <c r="G133" s="658">
        <v>0</v>
      </c>
      <c r="H133" s="664">
        <v>6426100</v>
      </c>
      <c r="I133" s="664">
        <f t="shared" si="0"/>
        <v>5841900</v>
      </c>
      <c r="J133" s="661"/>
    </row>
    <row r="134" spans="1:10" ht="18.75" customHeight="1">
      <c r="A134" s="661"/>
      <c r="B134" s="659" t="s">
        <v>7642</v>
      </c>
      <c r="C134" s="659" t="s">
        <v>9549</v>
      </c>
      <c r="D134" s="665" t="s">
        <v>9812</v>
      </c>
      <c r="E134" s="665" t="s">
        <v>9551</v>
      </c>
      <c r="F134" s="660">
        <v>0.1</v>
      </c>
      <c r="G134" s="660">
        <v>0</v>
      </c>
      <c r="H134" s="666">
        <v>2064500</v>
      </c>
      <c r="I134" s="666">
        <f t="shared" si="0"/>
        <v>1876800</v>
      </c>
      <c r="J134" s="661"/>
    </row>
    <row r="135" spans="1:10" ht="18.75" customHeight="1">
      <c r="A135" s="661"/>
      <c r="B135" s="657" t="s">
        <v>7642</v>
      </c>
      <c r="C135" s="657" t="s">
        <v>9549</v>
      </c>
      <c r="D135" s="663" t="s">
        <v>9813</v>
      </c>
      <c r="E135" s="663" t="s">
        <v>9553</v>
      </c>
      <c r="F135" s="658">
        <v>0.1</v>
      </c>
      <c r="G135" s="658">
        <v>0</v>
      </c>
      <c r="H135" s="664">
        <v>4319000</v>
      </c>
      <c r="I135" s="664">
        <f t="shared" si="0"/>
        <v>3926400</v>
      </c>
      <c r="J135" s="661"/>
    </row>
    <row r="136" spans="1:10" ht="18.75" customHeight="1">
      <c r="A136" s="661"/>
      <c r="B136" s="659" t="s">
        <v>7642</v>
      </c>
      <c r="C136" s="659" t="s">
        <v>9549</v>
      </c>
      <c r="D136" s="665" t="s">
        <v>9814</v>
      </c>
      <c r="E136" s="665" t="s">
        <v>9555</v>
      </c>
      <c r="F136" s="660">
        <v>0.1</v>
      </c>
      <c r="G136" s="660">
        <v>0</v>
      </c>
      <c r="H136" s="666">
        <v>3288500</v>
      </c>
      <c r="I136" s="666">
        <f t="shared" si="0"/>
        <v>2989500</v>
      </c>
      <c r="J136" s="661"/>
    </row>
    <row r="137" spans="1:10" ht="18.75" customHeight="1">
      <c r="A137" s="661"/>
      <c r="B137" s="657" t="s">
        <v>7642</v>
      </c>
      <c r="C137" s="657" t="s">
        <v>9549</v>
      </c>
      <c r="D137" s="663" t="s">
        <v>9815</v>
      </c>
      <c r="E137" s="663" t="s">
        <v>9557</v>
      </c>
      <c r="F137" s="658">
        <v>0.1</v>
      </c>
      <c r="G137" s="658">
        <v>0</v>
      </c>
      <c r="H137" s="664">
        <v>5543000</v>
      </c>
      <c r="I137" s="664">
        <f t="shared" si="0"/>
        <v>5039100</v>
      </c>
      <c r="J137" s="661"/>
    </row>
    <row r="138" spans="1:10" ht="18.75" customHeight="1">
      <c r="A138" s="661"/>
      <c r="B138" s="659" t="s">
        <v>7642</v>
      </c>
      <c r="C138" s="659" t="s">
        <v>9549</v>
      </c>
      <c r="D138" s="665" t="s">
        <v>9816</v>
      </c>
      <c r="E138" s="665" t="s">
        <v>9559</v>
      </c>
      <c r="F138" s="660">
        <v>0.1</v>
      </c>
      <c r="G138" s="660">
        <v>0</v>
      </c>
      <c r="H138" s="666">
        <v>4512300</v>
      </c>
      <c r="I138" s="666">
        <f t="shared" si="0"/>
        <v>4102100</v>
      </c>
      <c r="J138" s="661"/>
    </row>
    <row r="139" spans="1:10" ht="18.75" customHeight="1">
      <c r="A139" s="661"/>
      <c r="B139" s="657" t="s">
        <v>7642</v>
      </c>
      <c r="C139" s="657" t="s">
        <v>9560</v>
      </c>
      <c r="D139" s="663" t="s">
        <v>9817</v>
      </c>
      <c r="E139" s="663" t="s">
        <v>9562</v>
      </c>
      <c r="F139" s="658">
        <v>0.1</v>
      </c>
      <c r="G139" s="658">
        <v>0</v>
      </c>
      <c r="H139" s="664">
        <v>2426500</v>
      </c>
      <c r="I139" s="664">
        <f t="shared" si="0"/>
        <v>2205900</v>
      </c>
      <c r="J139" s="661"/>
    </row>
    <row r="140" spans="1:10" ht="18.75" customHeight="1">
      <c r="A140" s="661"/>
      <c r="B140" s="659" t="s">
        <v>7642</v>
      </c>
      <c r="C140" s="659" t="s">
        <v>9549</v>
      </c>
      <c r="D140" s="665" t="s">
        <v>9818</v>
      </c>
      <c r="E140" s="665" t="s">
        <v>9564</v>
      </c>
      <c r="F140" s="660">
        <v>0.1</v>
      </c>
      <c r="G140" s="660">
        <v>0</v>
      </c>
      <c r="H140" s="666">
        <v>4399200</v>
      </c>
      <c r="I140" s="666">
        <f t="shared" si="0"/>
        <v>3999300</v>
      </c>
      <c r="J140" s="661"/>
    </row>
    <row r="141" spans="1:10" ht="18.75" customHeight="1">
      <c r="A141" s="661"/>
      <c r="B141" s="657" t="s">
        <v>7642</v>
      </c>
      <c r="C141" s="657" t="s">
        <v>9560</v>
      </c>
      <c r="D141" s="663" t="s">
        <v>9819</v>
      </c>
      <c r="E141" s="663" t="s">
        <v>9566</v>
      </c>
      <c r="F141" s="658">
        <v>0.1</v>
      </c>
      <c r="G141" s="658">
        <v>0</v>
      </c>
      <c r="H141" s="664">
        <v>3497300</v>
      </c>
      <c r="I141" s="664">
        <f t="shared" si="0"/>
        <v>3179400</v>
      </c>
      <c r="J141" s="661"/>
    </row>
    <row r="142" spans="1:10" ht="18.75" customHeight="1">
      <c r="A142" s="661"/>
      <c r="B142" s="659" t="s">
        <v>7642</v>
      </c>
      <c r="C142" s="659" t="s">
        <v>9549</v>
      </c>
      <c r="D142" s="665" t="s">
        <v>9820</v>
      </c>
      <c r="E142" s="665" t="s">
        <v>9568</v>
      </c>
      <c r="F142" s="660">
        <v>0.1</v>
      </c>
      <c r="G142" s="660">
        <v>0</v>
      </c>
      <c r="H142" s="666">
        <v>5470100</v>
      </c>
      <c r="I142" s="666">
        <f t="shared" si="0"/>
        <v>4972800</v>
      </c>
      <c r="J142" s="661"/>
    </row>
    <row r="143" spans="1:10" ht="18.75" customHeight="1">
      <c r="A143" s="661"/>
      <c r="B143" s="657" t="s">
        <v>7642</v>
      </c>
      <c r="C143" s="657" t="s">
        <v>9549</v>
      </c>
      <c r="D143" s="663" t="s">
        <v>9821</v>
      </c>
      <c r="E143" s="663" t="s">
        <v>9570</v>
      </c>
      <c r="F143" s="658">
        <v>0.1</v>
      </c>
      <c r="G143" s="658">
        <v>0</v>
      </c>
      <c r="H143" s="664">
        <v>4568300</v>
      </c>
      <c r="I143" s="664">
        <f t="shared" si="0"/>
        <v>4153000</v>
      </c>
      <c r="J143" s="661"/>
    </row>
    <row r="144" spans="1:10" ht="18.75" customHeight="1">
      <c r="A144" s="661"/>
      <c r="B144" s="659" t="s">
        <v>7642</v>
      </c>
      <c r="C144" s="659" t="s">
        <v>9560</v>
      </c>
      <c r="D144" s="665" t="s">
        <v>9822</v>
      </c>
      <c r="E144" s="665" t="s">
        <v>9572</v>
      </c>
      <c r="F144" s="660">
        <v>0.1</v>
      </c>
      <c r="G144" s="660">
        <v>0</v>
      </c>
      <c r="H144" s="666">
        <v>2160000</v>
      </c>
      <c r="I144" s="666">
        <f t="shared" si="0"/>
        <v>1963600</v>
      </c>
      <c r="J144" s="661"/>
    </row>
    <row r="145" spans="1:10" ht="18.75" customHeight="1">
      <c r="A145" s="661"/>
      <c r="B145" s="657" t="s">
        <v>7642</v>
      </c>
      <c r="C145" s="657" t="s">
        <v>9573</v>
      </c>
      <c r="D145" s="663" t="s">
        <v>9823</v>
      </c>
      <c r="E145" s="663" t="s">
        <v>9575</v>
      </c>
      <c r="F145" s="658">
        <v>0.1</v>
      </c>
      <c r="G145" s="658">
        <v>0</v>
      </c>
      <c r="H145" s="664">
        <v>3569100</v>
      </c>
      <c r="I145" s="664">
        <f t="shared" si="0"/>
        <v>3244600</v>
      </c>
      <c r="J145" s="661"/>
    </row>
    <row r="146" spans="1:10" ht="18.75" customHeight="1">
      <c r="A146" s="661"/>
      <c r="B146" s="659" t="s">
        <v>7642</v>
      </c>
      <c r="C146" s="659" t="s">
        <v>9560</v>
      </c>
      <c r="D146" s="665" t="s">
        <v>9824</v>
      </c>
      <c r="E146" s="665" t="s">
        <v>9577</v>
      </c>
      <c r="F146" s="660">
        <v>0.1</v>
      </c>
      <c r="G146" s="660">
        <v>0</v>
      </c>
      <c r="H146" s="666">
        <v>2924900</v>
      </c>
      <c r="I146" s="666">
        <f t="shared" si="0"/>
        <v>2659000</v>
      </c>
      <c r="J146" s="661"/>
    </row>
    <row r="147" spans="1:10" ht="18.75" customHeight="1">
      <c r="A147" s="661"/>
      <c r="B147" s="657" t="s">
        <v>7642</v>
      </c>
      <c r="C147" s="657" t="s">
        <v>9549</v>
      </c>
      <c r="D147" s="663" t="s">
        <v>9825</v>
      </c>
      <c r="E147" s="663" t="s">
        <v>9579</v>
      </c>
      <c r="F147" s="658">
        <v>0.1</v>
      </c>
      <c r="G147" s="658">
        <v>0</v>
      </c>
      <c r="H147" s="664">
        <v>4334000</v>
      </c>
      <c r="I147" s="664">
        <f t="shared" si="0"/>
        <v>3940000</v>
      </c>
      <c r="J147" s="661"/>
    </row>
    <row r="148" spans="1:10" ht="18.75" customHeight="1">
      <c r="A148" s="661"/>
      <c r="B148" s="659" t="s">
        <v>7642</v>
      </c>
      <c r="C148" s="659" t="s">
        <v>9549</v>
      </c>
      <c r="D148" s="665" t="s">
        <v>9826</v>
      </c>
      <c r="E148" s="665" t="s">
        <v>9581</v>
      </c>
      <c r="F148" s="660">
        <v>0.1</v>
      </c>
      <c r="G148" s="660">
        <v>0</v>
      </c>
      <c r="H148" s="666">
        <v>3689800</v>
      </c>
      <c r="I148" s="666">
        <f t="shared" si="0"/>
        <v>3354400</v>
      </c>
      <c r="J148" s="661"/>
    </row>
    <row r="149" spans="1:10" ht="18.75" customHeight="1">
      <c r="A149" s="661"/>
      <c r="B149" s="657" t="s">
        <v>7642</v>
      </c>
      <c r="C149" s="657" t="s">
        <v>9560</v>
      </c>
      <c r="D149" s="663" t="s">
        <v>9827</v>
      </c>
      <c r="E149" s="663" t="s">
        <v>9583</v>
      </c>
      <c r="F149" s="658">
        <v>0.1</v>
      </c>
      <c r="G149" s="658">
        <v>0</v>
      </c>
      <c r="H149" s="664">
        <v>2521300</v>
      </c>
      <c r="I149" s="664">
        <f t="shared" si="0"/>
        <v>2292100</v>
      </c>
      <c r="J149" s="661"/>
    </row>
    <row r="150" spans="1:10" ht="18.75" customHeight="1">
      <c r="A150" s="661"/>
      <c r="B150" s="659" t="s">
        <v>7642</v>
      </c>
      <c r="C150" s="659" t="s">
        <v>9549</v>
      </c>
      <c r="D150" s="665" t="s">
        <v>9828</v>
      </c>
      <c r="E150" s="665" t="s">
        <v>9585</v>
      </c>
      <c r="F150" s="660">
        <v>0.1</v>
      </c>
      <c r="G150" s="660">
        <v>0</v>
      </c>
      <c r="H150" s="666">
        <v>3836500</v>
      </c>
      <c r="I150" s="666">
        <f t="shared" si="0"/>
        <v>3487700</v>
      </c>
      <c r="J150" s="661"/>
    </row>
    <row r="151" spans="1:10" ht="18.75" customHeight="1">
      <c r="A151" s="661"/>
      <c r="B151" s="657" t="s">
        <v>7642</v>
      </c>
      <c r="C151" s="657" t="s">
        <v>9560</v>
      </c>
      <c r="D151" s="663" t="s">
        <v>9829</v>
      </c>
      <c r="E151" s="663" t="s">
        <v>9587</v>
      </c>
      <c r="F151" s="658">
        <v>0.1</v>
      </c>
      <c r="G151" s="658">
        <v>0</v>
      </c>
      <c r="H151" s="664">
        <v>3235300</v>
      </c>
      <c r="I151" s="664">
        <f t="shared" si="0"/>
        <v>2941200</v>
      </c>
      <c r="J151" s="661"/>
    </row>
    <row r="152" spans="1:10" ht="18.75" customHeight="1">
      <c r="A152" s="661"/>
      <c r="B152" s="659" t="s">
        <v>7642</v>
      </c>
      <c r="C152" s="659" t="s">
        <v>9549</v>
      </c>
      <c r="D152" s="665" t="s">
        <v>9830</v>
      </c>
      <c r="E152" s="665" t="s">
        <v>9589</v>
      </c>
      <c r="F152" s="660">
        <v>0.1</v>
      </c>
      <c r="G152" s="660">
        <v>0</v>
      </c>
      <c r="H152" s="666">
        <v>4550500</v>
      </c>
      <c r="I152" s="666">
        <f t="shared" si="0"/>
        <v>4136800</v>
      </c>
      <c r="J152" s="661"/>
    </row>
    <row r="153" spans="1:10" ht="18.75" customHeight="1">
      <c r="A153" s="661"/>
      <c r="B153" s="657" t="s">
        <v>7642</v>
      </c>
      <c r="C153" s="657" t="s">
        <v>9549</v>
      </c>
      <c r="D153" s="663" t="s">
        <v>9831</v>
      </c>
      <c r="E153" s="663" t="s">
        <v>9591</v>
      </c>
      <c r="F153" s="658">
        <v>0.1</v>
      </c>
      <c r="G153" s="658">
        <v>0</v>
      </c>
      <c r="H153" s="664">
        <v>3949200</v>
      </c>
      <c r="I153" s="664">
        <f t="shared" si="0"/>
        <v>3590200</v>
      </c>
      <c r="J153" s="661"/>
    </row>
    <row r="154" spans="1:10" ht="18.75" customHeight="1">
      <c r="A154" s="661"/>
      <c r="B154" s="659" t="s">
        <v>7642</v>
      </c>
      <c r="C154" s="659" t="s">
        <v>9560</v>
      </c>
      <c r="D154" s="665" t="s">
        <v>9832</v>
      </c>
      <c r="E154" s="665" t="s">
        <v>9593</v>
      </c>
      <c r="F154" s="660">
        <v>0.1</v>
      </c>
      <c r="G154" s="660">
        <v>0</v>
      </c>
      <c r="H154" s="666">
        <v>1921600</v>
      </c>
      <c r="I154" s="666">
        <f t="shared" si="0"/>
        <v>1746900</v>
      </c>
      <c r="J154" s="661"/>
    </row>
    <row r="155" spans="1:10" ht="18.75" customHeight="1">
      <c r="A155" s="661"/>
      <c r="B155" s="657" t="s">
        <v>7642</v>
      </c>
      <c r="C155" s="657" t="s">
        <v>9549</v>
      </c>
      <c r="D155" s="663" t="s">
        <v>9833</v>
      </c>
      <c r="E155" s="663" t="s">
        <v>9595</v>
      </c>
      <c r="F155" s="658">
        <v>0.1</v>
      </c>
      <c r="G155" s="658">
        <v>0</v>
      </c>
      <c r="H155" s="664">
        <v>2767100</v>
      </c>
      <c r="I155" s="664">
        <f t="shared" si="0"/>
        <v>2515500</v>
      </c>
      <c r="J155" s="661"/>
    </row>
    <row r="156" spans="1:10" ht="18.75" customHeight="1">
      <c r="A156" s="661"/>
      <c r="B156" s="659" t="s">
        <v>7642</v>
      </c>
      <c r="C156" s="659" t="s">
        <v>9560</v>
      </c>
      <c r="D156" s="665" t="s">
        <v>9834</v>
      </c>
      <c r="E156" s="665" t="s">
        <v>9597</v>
      </c>
      <c r="F156" s="660">
        <v>0.1</v>
      </c>
      <c r="G156" s="660">
        <v>0</v>
      </c>
      <c r="H156" s="666">
        <v>2380600</v>
      </c>
      <c r="I156" s="666">
        <f t="shared" si="0"/>
        <v>2164200</v>
      </c>
      <c r="J156" s="661"/>
    </row>
    <row r="157" spans="1:10" ht="18.75" customHeight="1">
      <c r="A157" s="661"/>
      <c r="B157" s="657" t="s">
        <v>7642</v>
      </c>
      <c r="C157" s="657" t="s">
        <v>9549</v>
      </c>
      <c r="D157" s="663" t="s">
        <v>9835</v>
      </c>
      <c r="E157" s="663" t="s">
        <v>9599</v>
      </c>
      <c r="F157" s="658">
        <v>0.1</v>
      </c>
      <c r="G157" s="658">
        <v>0</v>
      </c>
      <c r="H157" s="664">
        <v>3226100</v>
      </c>
      <c r="I157" s="664">
        <f t="shared" si="0"/>
        <v>2932800</v>
      </c>
      <c r="J157" s="661"/>
    </row>
    <row r="158" spans="1:10" ht="18.75" customHeight="1">
      <c r="A158" s="661"/>
      <c r="B158" s="659" t="s">
        <v>7642</v>
      </c>
      <c r="C158" s="659" t="s">
        <v>9549</v>
      </c>
      <c r="D158" s="665" t="s">
        <v>9836</v>
      </c>
      <c r="E158" s="665" t="s">
        <v>9601</v>
      </c>
      <c r="F158" s="660">
        <v>0.1</v>
      </c>
      <c r="G158" s="660">
        <v>0</v>
      </c>
      <c r="H158" s="666">
        <v>2839500</v>
      </c>
      <c r="I158" s="666">
        <f t="shared" si="0"/>
        <v>2581400</v>
      </c>
      <c r="J158" s="661"/>
    </row>
    <row r="159" spans="1:10" ht="18.75" customHeight="1">
      <c r="A159" s="661"/>
      <c r="B159" s="657" t="s">
        <v>7642</v>
      </c>
      <c r="C159" s="657" t="s">
        <v>9560</v>
      </c>
      <c r="D159" s="663" t="s">
        <v>9837</v>
      </c>
      <c r="E159" s="663" t="s">
        <v>9603</v>
      </c>
      <c r="F159" s="658">
        <v>0.1</v>
      </c>
      <c r="G159" s="658">
        <v>0</v>
      </c>
      <c r="H159" s="664">
        <v>2131100</v>
      </c>
      <c r="I159" s="664">
        <f t="shared" si="0"/>
        <v>1937400</v>
      </c>
      <c r="J159" s="661"/>
    </row>
    <row r="160" spans="1:10" ht="18.75" customHeight="1">
      <c r="A160" s="661"/>
      <c r="B160" s="659" t="s">
        <v>7642</v>
      </c>
      <c r="C160" s="659" t="s">
        <v>9573</v>
      </c>
      <c r="D160" s="665" t="s">
        <v>9838</v>
      </c>
      <c r="E160" s="665" t="s">
        <v>9605</v>
      </c>
      <c r="F160" s="660">
        <v>0.1</v>
      </c>
      <c r="G160" s="660">
        <v>0</v>
      </c>
      <c r="H160" s="666">
        <v>2882700</v>
      </c>
      <c r="I160" s="666">
        <f t="shared" si="0"/>
        <v>2620600</v>
      </c>
      <c r="J160" s="661"/>
    </row>
    <row r="161" spans="1:10" ht="18.75" customHeight="1">
      <c r="A161" s="661"/>
      <c r="B161" s="657" t="s">
        <v>7642</v>
      </c>
      <c r="C161" s="657" t="s">
        <v>9560</v>
      </c>
      <c r="D161" s="663" t="s">
        <v>9839</v>
      </c>
      <c r="E161" s="663" t="s">
        <v>9607</v>
      </c>
      <c r="F161" s="658">
        <v>0.1</v>
      </c>
      <c r="G161" s="658">
        <v>0</v>
      </c>
      <c r="H161" s="664">
        <v>2539000</v>
      </c>
      <c r="I161" s="664">
        <f t="shared" si="0"/>
        <v>2308200</v>
      </c>
      <c r="J161" s="661"/>
    </row>
    <row r="162" spans="1:10" ht="18.75" customHeight="1">
      <c r="A162" s="661"/>
      <c r="B162" s="659" t="s">
        <v>7642</v>
      </c>
      <c r="C162" s="659" t="s">
        <v>9549</v>
      </c>
      <c r="D162" s="665" t="s">
        <v>9840</v>
      </c>
      <c r="E162" s="665" t="s">
        <v>9609</v>
      </c>
      <c r="F162" s="660">
        <v>0.1</v>
      </c>
      <c r="G162" s="660">
        <v>0</v>
      </c>
      <c r="H162" s="666">
        <v>3290500</v>
      </c>
      <c r="I162" s="666">
        <f t="shared" si="0"/>
        <v>2991400</v>
      </c>
      <c r="J162" s="661"/>
    </row>
    <row r="163" spans="1:10" ht="18.75" customHeight="1">
      <c r="A163" s="661"/>
      <c r="B163" s="657" t="s">
        <v>7642</v>
      </c>
      <c r="C163" s="657" t="s">
        <v>9549</v>
      </c>
      <c r="D163" s="663" t="s">
        <v>9841</v>
      </c>
      <c r="E163" s="663" t="s">
        <v>9611</v>
      </c>
      <c r="F163" s="658">
        <v>0.1</v>
      </c>
      <c r="G163" s="658">
        <v>0</v>
      </c>
      <c r="H163" s="664">
        <v>2947000</v>
      </c>
      <c r="I163" s="664">
        <f t="shared" si="0"/>
        <v>2679100</v>
      </c>
      <c r="J163" s="661"/>
    </row>
    <row r="164" spans="1:10" ht="18.75" customHeight="1">
      <c r="A164" s="661"/>
      <c r="B164" s="659" t="s">
        <v>7642</v>
      </c>
      <c r="C164" s="659" t="s">
        <v>9560</v>
      </c>
      <c r="D164" s="665" t="s">
        <v>9842</v>
      </c>
      <c r="E164" s="665" t="s">
        <v>9613</v>
      </c>
      <c r="F164" s="660">
        <v>0.1</v>
      </c>
      <c r="G164" s="660">
        <v>0</v>
      </c>
      <c r="H164" s="666">
        <v>2207800</v>
      </c>
      <c r="I164" s="666">
        <f t="shared" si="0"/>
        <v>2007100</v>
      </c>
      <c r="J164" s="661"/>
    </row>
    <row r="165" spans="1:10" ht="18.75" customHeight="1">
      <c r="A165" s="661"/>
      <c r="B165" s="657" t="s">
        <v>7642</v>
      </c>
      <c r="C165" s="657" t="s">
        <v>9549</v>
      </c>
      <c r="D165" s="663" t="s">
        <v>9843</v>
      </c>
      <c r="E165" s="663" t="s">
        <v>9615</v>
      </c>
      <c r="F165" s="658">
        <v>0.1</v>
      </c>
      <c r="G165" s="658">
        <v>0</v>
      </c>
      <c r="H165" s="664">
        <v>2771500</v>
      </c>
      <c r="I165" s="664">
        <f t="shared" si="0"/>
        <v>2519500</v>
      </c>
      <c r="J165" s="661"/>
    </row>
    <row r="166" spans="1:10" ht="18.75" customHeight="1">
      <c r="A166" s="661"/>
      <c r="B166" s="659" t="s">
        <v>7642</v>
      </c>
      <c r="C166" s="659" t="s">
        <v>9549</v>
      </c>
      <c r="D166" s="665" t="s">
        <v>9844</v>
      </c>
      <c r="E166" s="665" t="s">
        <v>9617</v>
      </c>
      <c r="F166" s="660">
        <v>0.1</v>
      </c>
      <c r="G166" s="660">
        <v>0</v>
      </c>
      <c r="H166" s="666">
        <v>2513800</v>
      </c>
      <c r="I166" s="666">
        <f t="shared" si="0"/>
        <v>2285300</v>
      </c>
      <c r="J166" s="661"/>
    </row>
    <row r="167" spans="1:10" ht="18.75" customHeight="1">
      <c r="A167" s="661"/>
      <c r="B167" s="657" t="s">
        <v>7642</v>
      </c>
      <c r="C167" s="657" t="s">
        <v>9549</v>
      </c>
      <c r="D167" s="663" t="s">
        <v>9845</v>
      </c>
      <c r="E167" s="663" t="s">
        <v>9619</v>
      </c>
      <c r="F167" s="658">
        <v>0.1</v>
      </c>
      <c r="G167" s="658">
        <v>0</v>
      </c>
      <c r="H167" s="664">
        <v>3077500</v>
      </c>
      <c r="I167" s="664">
        <f t="shared" si="0"/>
        <v>2797700</v>
      </c>
      <c r="J167" s="661"/>
    </row>
    <row r="168" spans="1:10" ht="18.75" customHeight="1">
      <c r="A168" s="661"/>
      <c r="B168" s="659" t="s">
        <v>7642</v>
      </c>
      <c r="C168" s="659" t="s">
        <v>9549</v>
      </c>
      <c r="D168" s="665" t="s">
        <v>9846</v>
      </c>
      <c r="E168" s="665" t="s">
        <v>9621</v>
      </c>
      <c r="F168" s="660">
        <v>0.1</v>
      </c>
      <c r="G168" s="660">
        <v>0</v>
      </c>
      <c r="H168" s="666">
        <v>2819900</v>
      </c>
      <c r="I168" s="666">
        <f t="shared" si="0"/>
        <v>2563500</v>
      </c>
      <c r="J168" s="661"/>
    </row>
    <row r="169" spans="1:10" ht="18.75" customHeight="1">
      <c r="A169" s="661"/>
      <c r="B169" s="657" t="s">
        <v>7642</v>
      </c>
      <c r="C169" s="657" t="s">
        <v>9560</v>
      </c>
      <c r="D169" s="663" t="s">
        <v>9847</v>
      </c>
      <c r="E169" s="663" t="s">
        <v>9623</v>
      </c>
      <c r="F169" s="658">
        <v>0.1</v>
      </c>
      <c r="G169" s="658">
        <v>0</v>
      </c>
      <c r="H169" s="664">
        <v>2374000</v>
      </c>
      <c r="I169" s="664">
        <f t="shared" si="0"/>
        <v>2158200</v>
      </c>
      <c r="J169" s="661"/>
    </row>
    <row r="170" spans="1:10" ht="18.75" customHeight="1">
      <c r="A170" s="661"/>
      <c r="B170" s="659" t="s">
        <v>7642</v>
      </c>
      <c r="C170" s="659" t="s">
        <v>9549</v>
      </c>
      <c r="D170" s="665" t="s">
        <v>9848</v>
      </c>
      <c r="E170" s="665" t="s">
        <v>9625</v>
      </c>
      <c r="F170" s="660">
        <v>0.1</v>
      </c>
      <c r="G170" s="660">
        <v>0</v>
      </c>
      <c r="H170" s="666">
        <v>2843700</v>
      </c>
      <c r="I170" s="666">
        <f t="shared" si="0"/>
        <v>2585200</v>
      </c>
      <c r="J170" s="661"/>
    </row>
    <row r="171" spans="1:10" ht="18.75" customHeight="1">
      <c r="A171" s="661"/>
      <c r="B171" s="657" t="s">
        <v>7642</v>
      </c>
      <c r="C171" s="657" t="s">
        <v>9549</v>
      </c>
      <c r="D171" s="663" t="s">
        <v>9849</v>
      </c>
      <c r="E171" s="663" t="s">
        <v>9627</v>
      </c>
      <c r="F171" s="658">
        <v>0.1</v>
      </c>
      <c r="G171" s="658">
        <v>0</v>
      </c>
      <c r="H171" s="664">
        <v>2629000</v>
      </c>
      <c r="I171" s="664">
        <f t="shared" si="0"/>
        <v>2390000</v>
      </c>
      <c r="J171" s="661"/>
    </row>
    <row r="172" spans="1:10" ht="18.75" customHeight="1">
      <c r="A172" s="661"/>
      <c r="B172" s="659" t="s">
        <v>7642</v>
      </c>
      <c r="C172" s="659" t="s">
        <v>9549</v>
      </c>
      <c r="D172" s="665" t="s">
        <v>9850</v>
      </c>
      <c r="E172" s="665" t="s">
        <v>9629</v>
      </c>
      <c r="F172" s="660">
        <v>0.1</v>
      </c>
      <c r="G172" s="660">
        <v>0</v>
      </c>
      <c r="H172" s="666">
        <v>3098700</v>
      </c>
      <c r="I172" s="666">
        <f t="shared" si="0"/>
        <v>2817000</v>
      </c>
      <c r="J172" s="661"/>
    </row>
    <row r="173" spans="1:10" ht="18.75" customHeight="1">
      <c r="A173" s="661"/>
      <c r="B173" s="657" t="s">
        <v>7642</v>
      </c>
      <c r="C173" s="657" t="s">
        <v>9549</v>
      </c>
      <c r="D173" s="663" t="s">
        <v>9851</v>
      </c>
      <c r="E173" s="663" t="s">
        <v>9631</v>
      </c>
      <c r="F173" s="658">
        <v>0.1</v>
      </c>
      <c r="G173" s="658">
        <v>0</v>
      </c>
      <c r="H173" s="664">
        <v>2884000</v>
      </c>
      <c r="I173" s="664">
        <f t="shared" si="0"/>
        <v>2621800</v>
      </c>
      <c r="J173" s="661"/>
    </row>
    <row r="174" spans="1:10" ht="18.75" customHeight="1">
      <c r="A174" s="661"/>
      <c r="B174" s="659" t="s">
        <v>7642</v>
      </c>
      <c r="C174" s="659" t="s">
        <v>9560</v>
      </c>
      <c r="D174" s="665" t="s">
        <v>9852</v>
      </c>
      <c r="E174" s="665" t="s">
        <v>9633</v>
      </c>
      <c r="F174" s="660">
        <v>0.1</v>
      </c>
      <c r="G174" s="660">
        <v>0</v>
      </c>
      <c r="H174" s="666">
        <v>2404400</v>
      </c>
      <c r="I174" s="666">
        <f t="shared" si="0"/>
        <v>2185800</v>
      </c>
      <c r="J174" s="661"/>
    </row>
    <row r="175" spans="1:10" ht="18.75" customHeight="1">
      <c r="A175" s="661"/>
      <c r="B175" s="657" t="s">
        <v>7642</v>
      </c>
      <c r="C175" s="657" t="s">
        <v>9549</v>
      </c>
      <c r="D175" s="663" t="s">
        <v>9853</v>
      </c>
      <c r="E175" s="663" t="s">
        <v>9635</v>
      </c>
      <c r="F175" s="658">
        <v>0.1</v>
      </c>
      <c r="G175" s="658">
        <v>0</v>
      </c>
      <c r="H175" s="664">
        <v>2780100</v>
      </c>
      <c r="I175" s="664">
        <f t="shared" si="0"/>
        <v>2527400</v>
      </c>
      <c r="J175" s="661"/>
    </row>
    <row r="176" spans="1:10" ht="18.75" customHeight="1">
      <c r="A176" s="661"/>
      <c r="B176" s="659" t="s">
        <v>7642</v>
      </c>
      <c r="C176" s="659" t="s">
        <v>9549</v>
      </c>
      <c r="D176" s="665" t="s">
        <v>9854</v>
      </c>
      <c r="E176" s="665" t="s">
        <v>9637</v>
      </c>
      <c r="F176" s="660">
        <v>0.1</v>
      </c>
      <c r="G176" s="660">
        <v>0</v>
      </c>
      <c r="H176" s="666">
        <v>2608300</v>
      </c>
      <c r="I176" s="666">
        <f t="shared" si="0"/>
        <v>2371200</v>
      </c>
      <c r="J176" s="661"/>
    </row>
    <row r="177" spans="1:10" ht="18.75" customHeight="1">
      <c r="A177" s="661"/>
      <c r="B177" s="657" t="s">
        <v>7642</v>
      </c>
      <c r="C177" s="657" t="s">
        <v>9549</v>
      </c>
      <c r="D177" s="663" t="s">
        <v>9855</v>
      </c>
      <c r="E177" s="663" t="s">
        <v>9639</v>
      </c>
      <c r="F177" s="658">
        <v>0.1</v>
      </c>
      <c r="G177" s="658">
        <v>0</v>
      </c>
      <c r="H177" s="664">
        <v>2984100</v>
      </c>
      <c r="I177" s="664">
        <f t="shared" si="0"/>
        <v>2712800</v>
      </c>
      <c r="J177" s="661"/>
    </row>
    <row r="178" spans="1:10" ht="18.75" customHeight="1">
      <c r="A178" s="661"/>
      <c r="B178" s="659" t="s">
        <v>7642</v>
      </c>
      <c r="C178" s="659" t="s">
        <v>9549</v>
      </c>
      <c r="D178" s="665" t="s">
        <v>9856</v>
      </c>
      <c r="E178" s="665" t="s">
        <v>9641</v>
      </c>
      <c r="F178" s="660">
        <v>0.1</v>
      </c>
      <c r="G178" s="660">
        <v>0</v>
      </c>
      <c r="H178" s="666">
        <v>2812300</v>
      </c>
      <c r="I178" s="666">
        <f t="shared" si="0"/>
        <v>2556600</v>
      </c>
      <c r="J178" s="661"/>
    </row>
    <row r="179" spans="1:10" ht="18.75" customHeight="1">
      <c r="A179" s="661"/>
      <c r="B179" s="657" t="s">
        <v>7642</v>
      </c>
      <c r="C179" s="657" t="s">
        <v>9549</v>
      </c>
      <c r="D179" s="663" t="s">
        <v>9857</v>
      </c>
      <c r="E179" s="663" t="s">
        <v>9734</v>
      </c>
      <c r="F179" s="658">
        <v>0.1</v>
      </c>
      <c r="G179" s="658">
        <v>0</v>
      </c>
      <c r="H179" s="664">
        <v>1974300</v>
      </c>
      <c r="I179" s="664">
        <f t="shared" si="0"/>
        <v>1794800</v>
      </c>
      <c r="J179" s="661"/>
    </row>
    <row r="180" spans="1:10" ht="18.75" customHeight="1">
      <c r="A180" s="661"/>
      <c r="B180" s="659" t="s">
        <v>7642</v>
      </c>
      <c r="C180" s="659" t="s">
        <v>9737</v>
      </c>
      <c r="D180" s="665" t="s">
        <v>9858</v>
      </c>
      <c r="E180" s="665" t="s">
        <v>9745</v>
      </c>
      <c r="F180" s="660">
        <v>0.1</v>
      </c>
      <c r="G180" s="660">
        <v>0</v>
      </c>
      <c r="H180" s="666">
        <v>2866700</v>
      </c>
      <c r="I180" s="666">
        <f t="shared" si="0"/>
        <v>2606100</v>
      </c>
      <c r="J180" s="661"/>
    </row>
    <row r="181" spans="1:10" ht="18.75" customHeight="1">
      <c r="A181" s="661"/>
      <c r="B181" s="657" t="s">
        <v>7642</v>
      </c>
      <c r="C181" s="657" t="s">
        <v>9549</v>
      </c>
      <c r="D181" s="663" t="s">
        <v>9859</v>
      </c>
      <c r="E181" s="663" t="s">
        <v>9751</v>
      </c>
      <c r="F181" s="658">
        <v>0.1</v>
      </c>
      <c r="G181" s="658">
        <v>0</v>
      </c>
      <c r="H181" s="664">
        <v>292200</v>
      </c>
      <c r="I181" s="664">
        <f t="shared" si="0"/>
        <v>265600</v>
      </c>
      <c r="J181" s="661"/>
    </row>
    <row r="182" spans="1:10" ht="18.75" customHeight="1">
      <c r="A182" s="661"/>
      <c r="B182" s="659" t="s">
        <v>7642</v>
      </c>
      <c r="C182" s="659" t="s">
        <v>9549</v>
      </c>
      <c r="D182" s="665" t="s">
        <v>9860</v>
      </c>
      <c r="E182" s="665" t="s">
        <v>9753</v>
      </c>
      <c r="F182" s="660">
        <v>0.1</v>
      </c>
      <c r="G182" s="660">
        <v>0</v>
      </c>
      <c r="H182" s="666">
        <v>1316200</v>
      </c>
      <c r="I182" s="666">
        <f t="shared" si="0"/>
        <v>1196500</v>
      </c>
      <c r="J182" s="661"/>
    </row>
    <row r="183" spans="1:10" ht="18.75" customHeight="1">
      <c r="A183" s="661"/>
      <c r="B183" s="657" t="s">
        <v>7642</v>
      </c>
      <c r="C183" s="657" t="s">
        <v>9737</v>
      </c>
      <c r="D183" s="663" t="s">
        <v>9861</v>
      </c>
      <c r="E183" s="663" t="s">
        <v>9755</v>
      </c>
      <c r="F183" s="658">
        <v>0.1</v>
      </c>
      <c r="G183" s="658">
        <v>0</v>
      </c>
      <c r="H183" s="664">
        <v>2478600</v>
      </c>
      <c r="I183" s="664">
        <f t="shared" si="0"/>
        <v>2253300</v>
      </c>
      <c r="J183" s="661"/>
    </row>
    <row r="184" spans="1:10" ht="18.75" customHeight="1">
      <c r="A184" s="661"/>
      <c r="B184" s="659" t="s">
        <v>7642</v>
      </c>
      <c r="C184" s="659" t="s">
        <v>9549</v>
      </c>
      <c r="D184" s="665" t="s">
        <v>9862</v>
      </c>
      <c r="E184" s="665" t="s">
        <v>9757</v>
      </c>
      <c r="F184" s="660">
        <v>0.1</v>
      </c>
      <c r="G184" s="660">
        <v>0</v>
      </c>
      <c r="H184" s="666">
        <v>4095600</v>
      </c>
      <c r="I184" s="666">
        <f t="shared" si="0"/>
        <v>3723300</v>
      </c>
      <c r="J184" s="661"/>
    </row>
    <row r="185" spans="1:10" ht="18.75" customHeight="1">
      <c r="A185" s="661"/>
      <c r="B185" s="657" t="s">
        <v>7642</v>
      </c>
      <c r="C185" s="657" t="s">
        <v>9549</v>
      </c>
      <c r="D185" s="663" t="s">
        <v>9863</v>
      </c>
      <c r="E185" s="663" t="s">
        <v>9759</v>
      </c>
      <c r="F185" s="658">
        <v>0.1</v>
      </c>
      <c r="G185" s="658">
        <v>0</v>
      </c>
      <c r="H185" s="664">
        <v>3356400</v>
      </c>
      <c r="I185" s="664">
        <f t="shared" si="0"/>
        <v>3051300</v>
      </c>
      <c r="J185" s="661"/>
    </row>
    <row r="186" spans="1:10" ht="18.75" customHeight="1">
      <c r="A186" s="661"/>
      <c r="B186" s="659" t="s">
        <v>7642</v>
      </c>
      <c r="C186" s="659" t="s">
        <v>9549</v>
      </c>
      <c r="D186" s="665" t="s">
        <v>9864</v>
      </c>
      <c r="E186" s="665" t="s">
        <v>9761</v>
      </c>
      <c r="F186" s="660">
        <v>0.1</v>
      </c>
      <c r="G186" s="660">
        <v>0</v>
      </c>
      <c r="H186" s="666">
        <v>4973400</v>
      </c>
      <c r="I186" s="666">
        <f t="shared" si="0"/>
        <v>4521300</v>
      </c>
      <c r="J186" s="661"/>
    </row>
    <row r="187" spans="1:10" ht="18.75" customHeight="1">
      <c r="A187" s="661"/>
      <c r="B187" s="657" t="s">
        <v>7642</v>
      </c>
      <c r="C187" s="657" t="s">
        <v>9549</v>
      </c>
      <c r="D187" s="663" t="s">
        <v>9865</v>
      </c>
      <c r="E187" s="663" t="s">
        <v>9763</v>
      </c>
      <c r="F187" s="658">
        <v>0.1</v>
      </c>
      <c r="G187" s="658">
        <v>0</v>
      </c>
      <c r="H187" s="664">
        <v>4234200</v>
      </c>
      <c r="I187" s="664">
        <f t="shared" si="0"/>
        <v>3849300</v>
      </c>
      <c r="J187" s="661"/>
    </row>
    <row r="188" spans="1:10" ht="18.75" customHeight="1">
      <c r="A188" s="661"/>
      <c r="B188" s="659" t="s">
        <v>7642</v>
      </c>
      <c r="C188" s="659" t="s">
        <v>9737</v>
      </c>
      <c r="D188" s="665" t="s">
        <v>9866</v>
      </c>
      <c r="E188" s="665" t="s">
        <v>9867</v>
      </c>
      <c r="F188" s="660">
        <v>0.1</v>
      </c>
      <c r="G188" s="660">
        <v>0</v>
      </c>
      <c r="H188" s="666">
        <v>1951500</v>
      </c>
      <c r="I188" s="666">
        <f t="shared" si="0"/>
        <v>1774100</v>
      </c>
      <c r="J188" s="661"/>
    </row>
    <row r="189" spans="1:10" ht="18.75" customHeight="1">
      <c r="A189" s="661"/>
      <c r="B189" s="657" t="s">
        <v>7642</v>
      </c>
      <c r="C189" s="657" t="s">
        <v>9737</v>
      </c>
      <c r="D189" s="663" t="s">
        <v>9868</v>
      </c>
      <c r="E189" s="663" t="s">
        <v>9869</v>
      </c>
      <c r="F189" s="658">
        <v>0.1</v>
      </c>
      <c r="G189" s="658">
        <v>0</v>
      </c>
      <c r="H189" s="664">
        <v>2810100</v>
      </c>
      <c r="I189" s="664">
        <f t="shared" si="0"/>
        <v>2554600</v>
      </c>
      <c r="J189" s="661"/>
    </row>
    <row r="190" spans="1:10" ht="18.75" customHeight="1">
      <c r="A190" s="661"/>
      <c r="B190" s="659" t="s">
        <v>7642</v>
      </c>
      <c r="C190" s="659" t="s">
        <v>9737</v>
      </c>
      <c r="D190" s="665" t="s">
        <v>9870</v>
      </c>
      <c r="E190" s="665" t="s">
        <v>9871</v>
      </c>
      <c r="F190" s="660">
        <v>0.1</v>
      </c>
      <c r="G190" s="660">
        <v>0</v>
      </c>
      <c r="H190" s="666">
        <v>2417600</v>
      </c>
      <c r="I190" s="666">
        <f t="shared" si="0"/>
        <v>2197800</v>
      </c>
      <c r="J190" s="661"/>
    </row>
    <row r="191" spans="1:10" ht="18.75" customHeight="1">
      <c r="A191" s="661"/>
      <c r="B191" s="657" t="s">
        <v>7642</v>
      </c>
      <c r="C191" s="657" t="s">
        <v>9737</v>
      </c>
      <c r="D191" s="663" t="s">
        <v>9872</v>
      </c>
      <c r="E191" s="663" t="s">
        <v>9873</v>
      </c>
      <c r="F191" s="658">
        <v>0.1</v>
      </c>
      <c r="G191" s="658">
        <v>0</v>
      </c>
      <c r="H191" s="664">
        <v>3276200</v>
      </c>
      <c r="I191" s="664">
        <f t="shared" si="0"/>
        <v>2978400</v>
      </c>
      <c r="J191" s="661"/>
    </row>
    <row r="192" spans="1:10" ht="18.75" customHeight="1">
      <c r="A192" s="661"/>
      <c r="B192" s="659" t="s">
        <v>7642</v>
      </c>
      <c r="C192" s="659" t="s">
        <v>9549</v>
      </c>
      <c r="D192" s="665" t="s">
        <v>9874</v>
      </c>
      <c r="E192" s="665" t="s">
        <v>9765</v>
      </c>
      <c r="F192" s="660">
        <v>0.1</v>
      </c>
      <c r="G192" s="660">
        <v>0</v>
      </c>
      <c r="H192" s="666">
        <v>2450100</v>
      </c>
      <c r="I192" s="666">
        <f t="shared" si="0"/>
        <v>2227400</v>
      </c>
      <c r="J192" s="661"/>
    </row>
    <row r="193" spans="1:10" ht="18.75" customHeight="1">
      <c r="A193" s="661"/>
      <c r="B193" s="657" t="s">
        <v>7642</v>
      </c>
      <c r="C193" s="657" t="s">
        <v>9549</v>
      </c>
      <c r="D193" s="663" t="s">
        <v>9875</v>
      </c>
      <c r="E193" s="663" t="s">
        <v>9769</v>
      </c>
      <c r="F193" s="658">
        <v>0.1</v>
      </c>
      <c r="G193" s="658">
        <v>0</v>
      </c>
      <c r="H193" s="664">
        <v>3035300</v>
      </c>
      <c r="I193" s="664">
        <f t="shared" si="0"/>
        <v>2759400</v>
      </c>
      <c r="J193" s="661"/>
    </row>
    <row r="194" spans="1:10" ht="18.75" customHeight="1">
      <c r="A194" s="661"/>
      <c r="B194" s="659" t="s">
        <v>7642</v>
      </c>
      <c r="C194" s="659" t="s">
        <v>9549</v>
      </c>
      <c r="D194" s="665" t="s">
        <v>9876</v>
      </c>
      <c r="E194" s="665" t="s">
        <v>9877</v>
      </c>
      <c r="F194" s="660">
        <v>0.1</v>
      </c>
      <c r="G194" s="660">
        <v>0</v>
      </c>
      <c r="H194" s="666">
        <v>2239400</v>
      </c>
      <c r="I194" s="666">
        <f t="shared" si="0"/>
        <v>2035800</v>
      </c>
      <c r="J194" s="661"/>
    </row>
    <row r="195" spans="1:10" ht="18.75" customHeight="1">
      <c r="A195" s="661"/>
      <c r="B195" s="657" t="s">
        <v>7642</v>
      </c>
      <c r="C195" s="657" t="s">
        <v>9549</v>
      </c>
      <c r="D195" s="663" t="s">
        <v>9878</v>
      </c>
      <c r="E195" s="663" t="s">
        <v>9879</v>
      </c>
      <c r="F195" s="658">
        <v>0.1</v>
      </c>
      <c r="G195" s="658">
        <v>0</v>
      </c>
      <c r="H195" s="664">
        <v>2774300</v>
      </c>
      <c r="I195" s="664">
        <f t="shared" si="0"/>
        <v>2522100</v>
      </c>
      <c r="J195" s="661"/>
    </row>
    <row r="196" spans="1:10" ht="18.75" customHeight="1">
      <c r="A196" s="661"/>
      <c r="B196" s="659" t="s">
        <v>7642</v>
      </c>
      <c r="C196" s="659" t="s">
        <v>9549</v>
      </c>
      <c r="D196" s="665" t="s">
        <v>9880</v>
      </c>
      <c r="E196" s="665" t="s">
        <v>9775</v>
      </c>
      <c r="F196" s="660">
        <v>0.1</v>
      </c>
      <c r="G196" s="660">
        <v>0</v>
      </c>
      <c r="H196" s="666">
        <v>2434700</v>
      </c>
      <c r="I196" s="666">
        <f t="shared" si="0"/>
        <v>2213400</v>
      </c>
      <c r="J196" s="661"/>
    </row>
    <row r="197" spans="1:10" ht="18.75" customHeight="1">
      <c r="A197" s="661"/>
      <c r="B197" s="657" t="s">
        <v>7642</v>
      </c>
      <c r="C197" s="657" t="s">
        <v>9549</v>
      </c>
      <c r="D197" s="663" t="s">
        <v>9881</v>
      </c>
      <c r="E197" s="663" t="s">
        <v>9779</v>
      </c>
      <c r="F197" s="658">
        <v>0.1</v>
      </c>
      <c r="G197" s="658">
        <v>0</v>
      </c>
      <c r="H197" s="664">
        <v>3056900</v>
      </c>
      <c r="I197" s="664">
        <f t="shared" si="0"/>
        <v>2779000</v>
      </c>
      <c r="J197" s="661"/>
    </row>
    <row r="198" spans="1:10" ht="18.75" customHeight="1">
      <c r="A198" s="661"/>
      <c r="B198" s="659" t="s">
        <v>7642</v>
      </c>
      <c r="C198" s="659" t="s">
        <v>9549</v>
      </c>
      <c r="D198" s="665" t="s">
        <v>9882</v>
      </c>
      <c r="E198" s="665" t="s">
        <v>9785</v>
      </c>
      <c r="F198" s="660">
        <v>0.1</v>
      </c>
      <c r="G198" s="660">
        <v>0</v>
      </c>
      <c r="H198" s="666">
        <v>4720100</v>
      </c>
      <c r="I198" s="666">
        <f t="shared" si="0"/>
        <v>4291000</v>
      </c>
      <c r="J198" s="661"/>
    </row>
    <row r="199" spans="1:10" ht="18.75" customHeight="1">
      <c r="A199" s="661"/>
      <c r="B199" s="657" t="s">
        <v>7642</v>
      </c>
      <c r="C199" s="657" t="s">
        <v>9549</v>
      </c>
      <c r="D199" s="663" t="s">
        <v>9883</v>
      </c>
      <c r="E199" s="663" t="s">
        <v>9787</v>
      </c>
      <c r="F199" s="658">
        <v>0.1</v>
      </c>
      <c r="G199" s="658">
        <v>0</v>
      </c>
      <c r="H199" s="664">
        <v>4227300</v>
      </c>
      <c r="I199" s="664">
        <f t="shared" si="0"/>
        <v>3843000</v>
      </c>
      <c r="J199" s="661"/>
    </row>
    <row r="200" spans="1:10" ht="18.75" customHeight="1">
      <c r="A200" s="661"/>
      <c r="B200" s="659" t="s">
        <v>7642</v>
      </c>
      <c r="C200" s="659" t="s">
        <v>9549</v>
      </c>
      <c r="D200" s="665" t="s">
        <v>9884</v>
      </c>
      <c r="E200" s="665" t="s">
        <v>9789</v>
      </c>
      <c r="F200" s="660">
        <v>0.1</v>
      </c>
      <c r="G200" s="660">
        <v>0</v>
      </c>
      <c r="H200" s="666">
        <v>3557100</v>
      </c>
      <c r="I200" s="666">
        <f t="shared" si="0"/>
        <v>3233700</v>
      </c>
      <c r="J200" s="661"/>
    </row>
    <row r="201" spans="1:10" ht="18.75" customHeight="1">
      <c r="A201" s="661"/>
      <c r="B201" s="657" t="s">
        <v>7642</v>
      </c>
      <c r="C201" s="657" t="s">
        <v>9549</v>
      </c>
      <c r="D201" s="663" t="s">
        <v>9885</v>
      </c>
      <c r="E201" s="663" t="s">
        <v>9791</v>
      </c>
      <c r="F201" s="658">
        <v>0.1</v>
      </c>
      <c r="G201" s="658">
        <v>0</v>
      </c>
      <c r="H201" s="664">
        <v>4339700</v>
      </c>
      <c r="I201" s="664">
        <f t="shared" si="0"/>
        <v>3945200</v>
      </c>
      <c r="J201" s="661"/>
    </row>
    <row r="202" spans="1:10" ht="18.75" customHeight="1">
      <c r="A202" s="661"/>
      <c r="B202" s="659" t="s">
        <v>7642</v>
      </c>
      <c r="C202" s="659" t="s">
        <v>9737</v>
      </c>
      <c r="D202" s="665" t="s">
        <v>9886</v>
      </c>
      <c r="E202" s="665" t="s">
        <v>9797</v>
      </c>
      <c r="F202" s="660">
        <v>0.1</v>
      </c>
      <c r="G202" s="660">
        <v>0</v>
      </c>
      <c r="H202" s="666">
        <v>6033700</v>
      </c>
      <c r="I202" s="666">
        <f t="shared" si="0"/>
        <v>5485200</v>
      </c>
      <c r="J202" s="661"/>
    </row>
    <row r="203" spans="1:10" ht="18.75" customHeight="1">
      <c r="A203" s="661"/>
      <c r="B203" s="657" t="s">
        <v>7642</v>
      </c>
      <c r="C203" s="657" t="s">
        <v>9549</v>
      </c>
      <c r="D203" s="663" t="s">
        <v>9887</v>
      </c>
      <c r="E203" s="663" t="s">
        <v>9793</v>
      </c>
      <c r="F203" s="658">
        <v>0.1</v>
      </c>
      <c r="G203" s="658">
        <v>0</v>
      </c>
      <c r="H203" s="664">
        <v>5448500</v>
      </c>
      <c r="I203" s="664">
        <f t="shared" si="0"/>
        <v>4953200</v>
      </c>
      <c r="J203" s="661"/>
    </row>
    <row r="204" spans="1:10" ht="18.75" customHeight="1">
      <c r="A204" s="661"/>
      <c r="B204" s="659" t="s">
        <v>7642</v>
      </c>
      <c r="C204" s="659" t="s">
        <v>9549</v>
      </c>
      <c r="D204" s="665" t="s">
        <v>9888</v>
      </c>
      <c r="E204" s="665" t="s">
        <v>9889</v>
      </c>
      <c r="F204" s="660">
        <v>0.1</v>
      </c>
      <c r="G204" s="660">
        <v>0</v>
      </c>
      <c r="H204" s="666">
        <v>5493800</v>
      </c>
      <c r="I204" s="666">
        <f t="shared" si="0"/>
        <v>4994400</v>
      </c>
      <c r="J204" s="661"/>
    </row>
    <row r="205" spans="1:10" ht="18.75" customHeight="1">
      <c r="A205" s="661"/>
      <c r="B205" s="657" t="s">
        <v>7642</v>
      </c>
      <c r="C205" s="657" t="s">
        <v>9549</v>
      </c>
      <c r="D205" s="663" t="s">
        <v>9890</v>
      </c>
      <c r="E205" s="663" t="s">
        <v>9891</v>
      </c>
      <c r="F205" s="658">
        <v>0.1</v>
      </c>
      <c r="G205" s="658">
        <v>0</v>
      </c>
      <c r="H205" s="664">
        <v>5960000</v>
      </c>
      <c r="I205" s="664">
        <f t="shared" si="0"/>
        <v>5418200</v>
      </c>
      <c r="J205" s="661"/>
    </row>
    <row r="206" spans="1:10" ht="18.75" customHeight="1">
      <c r="A206" s="661"/>
      <c r="B206" s="659" t="s">
        <v>1286</v>
      </c>
      <c r="C206" s="659" t="s">
        <v>9892</v>
      </c>
      <c r="D206" s="665" t="s">
        <v>2222</v>
      </c>
      <c r="E206" s="665" t="s">
        <v>9893</v>
      </c>
      <c r="F206" s="660">
        <v>0.1</v>
      </c>
      <c r="G206" s="660">
        <v>0</v>
      </c>
      <c r="H206" s="666">
        <v>921900</v>
      </c>
      <c r="I206" s="666">
        <f t="shared" si="0"/>
        <v>838100</v>
      </c>
      <c r="J206" s="661"/>
    </row>
    <row r="207" spans="1:10" ht="18.75" customHeight="1">
      <c r="A207" s="661"/>
      <c r="B207" s="657" t="s">
        <v>1338</v>
      </c>
      <c r="C207" s="657" t="s">
        <v>9892</v>
      </c>
      <c r="D207" s="663" t="s">
        <v>9894</v>
      </c>
      <c r="E207" s="663" t="s">
        <v>9895</v>
      </c>
      <c r="F207" s="658">
        <v>0.1</v>
      </c>
      <c r="G207" s="658">
        <v>0</v>
      </c>
      <c r="H207" s="664">
        <v>1217000</v>
      </c>
      <c r="I207" s="664">
        <f t="shared" si="0"/>
        <v>1106400</v>
      </c>
      <c r="J207" s="661"/>
    </row>
    <row r="208" spans="1:10" ht="18.75" customHeight="1">
      <c r="A208" s="661"/>
      <c r="B208" s="659" t="s">
        <v>1338</v>
      </c>
      <c r="C208" s="659" t="s">
        <v>9892</v>
      </c>
      <c r="D208" s="665" t="s">
        <v>2216</v>
      </c>
      <c r="E208" s="665" t="s">
        <v>2217</v>
      </c>
      <c r="F208" s="660">
        <v>0.1</v>
      </c>
      <c r="G208" s="660">
        <v>0</v>
      </c>
      <c r="H208" s="666">
        <v>600200</v>
      </c>
      <c r="I208" s="666">
        <f t="shared" si="0"/>
        <v>545600</v>
      </c>
      <c r="J208" s="661"/>
    </row>
    <row r="209" spans="1:10" ht="18.75" customHeight="1">
      <c r="A209" s="661"/>
      <c r="B209" s="657" t="s">
        <v>1191</v>
      </c>
      <c r="C209" s="657" t="s">
        <v>9892</v>
      </c>
      <c r="D209" s="663" t="s">
        <v>2214</v>
      </c>
      <c r="E209" s="663" t="s">
        <v>9896</v>
      </c>
      <c r="F209" s="658">
        <v>0.1</v>
      </c>
      <c r="G209" s="658">
        <v>0</v>
      </c>
      <c r="H209" s="664">
        <v>997000</v>
      </c>
      <c r="I209" s="664">
        <f t="shared" si="0"/>
        <v>906400</v>
      </c>
      <c r="J209" s="661"/>
    </row>
    <row r="210" spans="1:10" ht="18.75" customHeight="1">
      <c r="A210" s="661"/>
      <c r="B210" s="659" t="s">
        <v>1191</v>
      </c>
      <c r="C210" s="659" t="s">
        <v>9892</v>
      </c>
      <c r="D210" s="665" t="s">
        <v>9897</v>
      </c>
      <c r="E210" s="665" t="s">
        <v>9898</v>
      </c>
      <c r="F210" s="660">
        <v>0.1</v>
      </c>
      <c r="G210" s="660">
        <v>0</v>
      </c>
      <c r="H210" s="666">
        <v>1009700</v>
      </c>
      <c r="I210" s="666">
        <f t="shared" si="0"/>
        <v>917900</v>
      </c>
      <c r="J210" s="661"/>
    </row>
    <row r="211" spans="1:10" ht="18.75" customHeight="1">
      <c r="A211" s="661"/>
      <c r="B211" s="657" t="s">
        <v>1191</v>
      </c>
      <c r="C211" s="657" t="s">
        <v>9892</v>
      </c>
      <c r="D211" s="663" t="s">
        <v>2218</v>
      </c>
      <c r="E211" s="663" t="s">
        <v>9899</v>
      </c>
      <c r="F211" s="658">
        <v>0.1</v>
      </c>
      <c r="G211" s="658">
        <v>0</v>
      </c>
      <c r="H211" s="664">
        <v>1294700</v>
      </c>
      <c r="I211" s="664">
        <f t="shared" si="0"/>
        <v>1177000</v>
      </c>
      <c r="J211" s="661"/>
    </row>
    <row r="212" spans="1:10" ht="18.75" customHeight="1">
      <c r="A212" s="661"/>
      <c r="B212" s="659" t="s">
        <v>1191</v>
      </c>
      <c r="C212" s="659" t="s">
        <v>9892</v>
      </c>
      <c r="D212" s="665" t="s">
        <v>2220</v>
      </c>
      <c r="E212" s="665" t="s">
        <v>9900</v>
      </c>
      <c r="F212" s="660">
        <v>0.1</v>
      </c>
      <c r="G212" s="660">
        <v>0</v>
      </c>
      <c r="H212" s="666">
        <v>1067300</v>
      </c>
      <c r="I212" s="666">
        <f t="shared" si="0"/>
        <v>970300</v>
      </c>
      <c r="J212" s="661"/>
    </row>
    <row r="213" spans="1:10" ht="18.75" customHeight="1">
      <c r="A213" s="661"/>
      <c r="B213" s="659" t="s">
        <v>1191</v>
      </c>
      <c r="C213" s="659" t="s">
        <v>9892</v>
      </c>
      <c r="D213" s="665" t="s">
        <v>9901</v>
      </c>
      <c r="E213" s="665" t="s">
        <v>9902</v>
      </c>
      <c r="F213" s="660">
        <v>0.1</v>
      </c>
      <c r="G213" s="660">
        <v>0</v>
      </c>
      <c r="H213" s="666">
        <v>1987300</v>
      </c>
      <c r="I213" s="666">
        <f t="shared" si="0"/>
        <v>1806600</v>
      </c>
      <c r="J213" s="661"/>
    </row>
    <row r="214" spans="1:10" ht="18.75" customHeight="1">
      <c r="A214" s="661"/>
      <c r="B214" s="657" t="s">
        <v>943</v>
      </c>
      <c r="C214" s="657" t="s">
        <v>9903</v>
      </c>
      <c r="D214" s="663" t="s">
        <v>1419</v>
      </c>
      <c r="E214" s="663" t="s">
        <v>9904</v>
      </c>
      <c r="F214" s="658">
        <v>0.1</v>
      </c>
      <c r="G214" s="658">
        <v>0</v>
      </c>
      <c r="H214" s="664">
        <v>2127100</v>
      </c>
      <c r="I214" s="664">
        <f t="shared" si="0"/>
        <v>1933700</v>
      </c>
      <c r="J214" s="661"/>
    </row>
    <row r="215" spans="1:10" ht="18.75" customHeight="1">
      <c r="A215" s="661"/>
      <c r="B215" s="659" t="s">
        <v>943</v>
      </c>
      <c r="C215" s="659" t="s">
        <v>9903</v>
      </c>
      <c r="D215" s="665" t="s">
        <v>1425</v>
      </c>
      <c r="E215" s="665" t="s">
        <v>1426</v>
      </c>
      <c r="F215" s="660">
        <v>0.1</v>
      </c>
      <c r="G215" s="660">
        <v>0</v>
      </c>
      <c r="H215" s="666">
        <v>3143500</v>
      </c>
      <c r="I215" s="666">
        <f t="shared" si="0"/>
        <v>2857700</v>
      </c>
      <c r="J215" s="661"/>
    </row>
    <row r="216" spans="1:10" ht="18.75" customHeight="1">
      <c r="A216" s="661"/>
      <c r="B216" s="657" t="s">
        <v>943</v>
      </c>
      <c r="C216" s="657" t="s">
        <v>9903</v>
      </c>
      <c r="D216" s="663" t="s">
        <v>1428</v>
      </c>
      <c r="E216" s="663" t="s">
        <v>1429</v>
      </c>
      <c r="F216" s="658">
        <v>0.1</v>
      </c>
      <c r="G216" s="658">
        <v>0</v>
      </c>
      <c r="H216" s="664">
        <v>3492000</v>
      </c>
      <c r="I216" s="664">
        <f t="shared" si="0"/>
        <v>3174500</v>
      </c>
      <c r="J216" s="661"/>
    </row>
    <row r="217" spans="1:10" ht="18.75" customHeight="1">
      <c r="A217" s="661"/>
      <c r="B217" s="659" t="s">
        <v>943</v>
      </c>
      <c r="C217" s="659" t="s">
        <v>9903</v>
      </c>
      <c r="D217" s="665" t="s">
        <v>1431</v>
      </c>
      <c r="E217" s="665" t="s">
        <v>1432</v>
      </c>
      <c r="F217" s="660">
        <v>0.1</v>
      </c>
      <c r="G217" s="660">
        <v>0</v>
      </c>
      <c r="H217" s="666">
        <v>4159900</v>
      </c>
      <c r="I217" s="666">
        <f t="shared" si="0"/>
        <v>3781700</v>
      </c>
      <c r="J217" s="661"/>
    </row>
    <row r="218" spans="1:10" ht="18.75" customHeight="1">
      <c r="A218" s="661"/>
      <c r="B218" s="657" t="s">
        <v>943</v>
      </c>
      <c r="C218" s="657" t="s">
        <v>9903</v>
      </c>
      <c r="D218" s="663" t="s">
        <v>1434</v>
      </c>
      <c r="E218" s="663" t="s">
        <v>1435</v>
      </c>
      <c r="F218" s="658">
        <v>0.1</v>
      </c>
      <c r="G218" s="658">
        <v>0</v>
      </c>
      <c r="H218" s="664">
        <v>4508400</v>
      </c>
      <c r="I218" s="664">
        <f t="shared" si="0"/>
        <v>4098500</v>
      </c>
      <c r="J218" s="661"/>
    </row>
    <row r="219" spans="1:10" ht="18.75" customHeight="1">
      <c r="A219" s="661"/>
      <c r="B219" s="659" t="s">
        <v>943</v>
      </c>
      <c r="C219" s="659" t="s">
        <v>9903</v>
      </c>
      <c r="D219" s="665" t="s">
        <v>1437</v>
      </c>
      <c r="E219" s="665" t="s">
        <v>9905</v>
      </c>
      <c r="F219" s="660">
        <v>0.1</v>
      </c>
      <c r="G219" s="660">
        <v>0</v>
      </c>
      <c r="H219" s="666">
        <v>2323100</v>
      </c>
      <c r="I219" s="666">
        <f t="shared" si="0"/>
        <v>2111900</v>
      </c>
      <c r="J219" s="661"/>
    </row>
    <row r="220" spans="1:10" ht="18.75" customHeight="1">
      <c r="A220" s="661"/>
      <c r="B220" s="657" t="s">
        <v>943</v>
      </c>
      <c r="C220" s="657" t="s">
        <v>9903</v>
      </c>
      <c r="D220" s="663" t="s">
        <v>1441</v>
      </c>
      <c r="E220" s="663" t="s">
        <v>1442</v>
      </c>
      <c r="F220" s="658">
        <v>0.1</v>
      </c>
      <c r="G220" s="658">
        <v>0</v>
      </c>
      <c r="H220" s="664">
        <v>3016100</v>
      </c>
      <c r="I220" s="664">
        <f t="shared" si="0"/>
        <v>2741900</v>
      </c>
      <c r="J220" s="661"/>
    </row>
    <row r="221" spans="1:10" ht="18.75" customHeight="1">
      <c r="A221" s="661"/>
      <c r="B221" s="659" t="s">
        <v>943</v>
      </c>
      <c r="C221" s="659" t="s">
        <v>9903</v>
      </c>
      <c r="D221" s="665" t="s">
        <v>1443</v>
      </c>
      <c r="E221" s="665" t="s">
        <v>1444</v>
      </c>
      <c r="F221" s="660">
        <v>0.1</v>
      </c>
      <c r="G221" s="660">
        <v>0</v>
      </c>
      <c r="H221" s="666">
        <v>3253700</v>
      </c>
      <c r="I221" s="666">
        <f t="shared" si="0"/>
        <v>2957900</v>
      </c>
      <c r="J221" s="661"/>
    </row>
    <row r="222" spans="1:10" ht="18.75" customHeight="1">
      <c r="A222" s="661"/>
      <c r="B222" s="657" t="s">
        <v>943</v>
      </c>
      <c r="C222" s="657" t="s">
        <v>9903</v>
      </c>
      <c r="D222" s="663" t="s">
        <v>1445</v>
      </c>
      <c r="E222" s="663" t="s">
        <v>1446</v>
      </c>
      <c r="F222" s="658">
        <v>0.1</v>
      </c>
      <c r="G222" s="658">
        <v>0</v>
      </c>
      <c r="H222" s="664">
        <v>3709100</v>
      </c>
      <c r="I222" s="664">
        <f t="shared" si="0"/>
        <v>3371900</v>
      </c>
      <c r="J222" s="661"/>
    </row>
    <row r="223" spans="1:10" ht="18.75" customHeight="1">
      <c r="A223" s="661"/>
      <c r="B223" s="659" t="s">
        <v>943</v>
      </c>
      <c r="C223" s="659" t="s">
        <v>9903</v>
      </c>
      <c r="D223" s="665" t="s">
        <v>1447</v>
      </c>
      <c r="E223" s="665" t="s">
        <v>1448</v>
      </c>
      <c r="F223" s="660">
        <v>0.1</v>
      </c>
      <c r="G223" s="660">
        <v>0</v>
      </c>
      <c r="H223" s="666">
        <v>3946700</v>
      </c>
      <c r="I223" s="666">
        <f t="shared" si="0"/>
        <v>3587900</v>
      </c>
      <c r="J223" s="661"/>
    </row>
    <row r="224" spans="1:10" ht="18.75" customHeight="1">
      <c r="A224" s="661"/>
      <c r="B224" s="657" t="s">
        <v>943</v>
      </c>
      <c r="C224" s="657" t="s">
        <v>9903</v>
      </c>
      <c r="D224" s="663" t="s">
        <v>1449</v>
      </c>
      <c r="E224" s="663" t="s">
        <v>9906</v>
      </c>
      <c r="F224" s="658">
        <v>0.1</v>
      </c>
      <c r="G224" s="658">
        <v>0</v>
      </c>
      <c r="H224" s="664">
        <v>2063700</v>
      </c>
      <c r="I224" s="664">
        <f t="shared" si="0"/>
        <v>1876100</v>
      </c>
      <c r="J224" s="661"/>
    </row>
    <row r="225" spans="1:10" ht="18.75" customHeight="1">
      <c r="A225" s="661"/>
      <c r="B225" s="659" t="s">
        <v>943</v>
      </c>
      <c r="C225" s="659" t="s">
        <v>9903</v>
      </c>
      <c r="D225" s="665" t="s">
        <v>1453</v>
      </c>
      <c r="E225" s="665" t="s">
        <v>1454</v>
      </c>
      <c r="F225" s="660">
        <v>0.1</v>
      </c>
      <c r="G225" s="660">
        <v>0</v>
      </c>
      <c r="H225" s="666">
        <v>2571900</v>
      </c>
      <c r="I225" s="666">
        <f t="shared" si="0"/>
        <v>2338100</v>
      </c>
      <c r="J225" s="661"/>
    </row>
    <row r="226" spans="1:10" ht="18.75" customHeight="1">
      <c r="A226" s="661"/>
      <c r="B226" s="657" t="s">
        <v>943</v>
      </c>
      <c r="C226" s="657" t="s">
        <v>9903</v>
      </c>
      <c r="D226" s="663" t="s">
        <v>1455</v>
      </c>
      <c r="E226" s="663" t="s">
        <v>1456</v>
      </c>
      <c r="F226" s="658">
        <v>0.1</v>
      </c>
      <c r="G226" s="658">
        <v>0</v>
      </c>
      <c r="H226" s="664">
        <v>2746200</v>
      </c>
      <c r="I226" s="664">
        <f t="shared" si="0"/>
        <v>2496500</v>
      </c>
      <c r="J226" s="661"/>
    </row>
    <row r="227" spans="1:10" ht="18.75" customHeight="1">
      <c r="A227" s="661"/>
      <c r="B227" s="659" t="s">
        <v>943</v>
      </c>
      <c r="C227" s="659" t="s">
        <v>9903</v>
      </c>
      <c r="D227" s="665" t="s">
        <v>1457</v>
      </c>
      <c r="E227" s="665" t="s">
        <v>1458</v>
      </c>
      <c r="F227" s="660">
        <v>0.1</v>
      </c>
      <c r="G227" s="660">
        <v>0</v>
      </c>
      <c r="H227" s="666">
        <v>3080100</v>
      </c>
      <c r="I227" s="666">
        <f t="shared" si="0"/>
        <v>2800100</v>
      </c>
      <c r="J227" s="661"/>
    </row>
    <row r="228" spans="1:10" ht="18.75" customHeight="1">
      <c r="A228" s="661"/>
      <c r="B228" s="657" t="s">
        <v>943</v>
      </c>
      <c r="C228" s="657" t="s">
        <v>9903</v>
      </c>
      <c r="D228" s="663" t="s">
        <v>1459</v>
      </c>
      <c r="E228" s="663" t="s">
        <v>1460</v>
      </c>
      <c r="F228" s="658">
        <v>0.1</v>
      </c>
      <c r="G228" s="658">
        <v>0</v>
      </c>
      <c r="H228" s="664">
        <v>3254400</v>
      </c>
      <c r="I228" s="664">
        <f t="shared" si="0"/>
        <v>2958500</v>
      </c>
      <c r="J228" s="661"/>
    </row>
    <row r="229" spans="1:10" ht="18.75" customHeight="1">
      <c r="A229" s="661"/>
      <c r="B229" s="659" t="s">
        <v>943</v>
      </c>
      <c r="C229" s="659" t="s">
        <v>9903</v>
      </c>
      <c r="D229" s="665" t="s">
        <v>1461</v>
      </c>
      <c r="E229" s="665" t="s">
        <v>9907</v>
      </c>
      <c r="F229" s="660">
        <v>0.1</v>
      </c>
      <c r="G229" s="660">
        <v>0</v>
      </c>
      <c r="H229" s="666">
        <v>2469700</v>
      </c>
      <c r="I229" s="666">
        <f t="shared" si="0"/>
        <v>2245200</v>
      </c>
      <c r="J229" s="661"/>
    </row>
    <row r="230" spans="1:10" ht="18.75" customHeight="1">
      <c r="A230" s="661"/>
      <c r="B230" s="657" t="s">
        <v>943</v>
      </c>
      <c r="C230" s="657" t="s">
        <v>9903</v>
      </c>
      <c r="D230" s="663" t="s">
        <v>1465</v>
      </c>
      <c r="E230" s="663" t="s">
        <v>1466</v>
      </c>
      <c r="F230" s="658">
        <v>0.1</v>
      </c>
      <c r="G230" s="658">
        <v>0</v>
      </c>
      <c r="H230" s="664">
        <v>2931700</v>
      </c>
      <c r="I230" s="664">
        <f t="shared" si="0"/>
        <v>2665200</v>
      </c>
      <c r="J230" s="661"/>
    </row>
    <row r="231" spans="1:10" ht="18.75" customHeight="1">
      <c r="A231" s="661"/>
      <c r="B231" s="659" t="s">
        <v>943</v>
      </c>
      <c r="C231" s="659" t="s">
        <v>9903</v>
      </c>
      <c r="D231" s="665" t="s">
        <v>1467</v>
      </c>
      <c r="E231" s="665" t="s">
        <v>1468</v>
      </c>
      <c r="F231" s="660">
        <v>0.1</v>
      </c>
      <c r="G231" s="660">
        <v>0</v>
      </c>
      <c r="H231" s="666">
        <v>3090100</v>
      </c>
      <c r="I231" s="666">
        <f t="shared" si="0"/>
        <v>2809200</v>
      </c>
      <c r="J231" s="661"/>
    </row>
    <row r="232" spans="1:10" ht="18.75" customHeight="1">
      <c r="A232" s="661"/>
      <c r="B232" s="657" t="s">
        <v>943</v>
      </c>
      <c r="C232" s="657" t="s">
        <v>9903</v>
      </c>
      <c r="D232" s="663" t="s">
        <v>1469</v>
      </c>
      <c r="E232" s="663" t="s">
        <v>1470</v>
      </c>
      <c r="F232" s="658">
        <v>0.1</v>
      </c>
      <c r="G232" s="658">
        <v>0</v>
      </c>
      <c r="H232" s="664">
        <v>3393700</v>
      </c>
      <c r="I232" s="664">
        <f t="shared" si="0"/>
        <v>3085200</v>
      </c>
      <c r="J232" s="661"/>
    </row>
    <row r="233" spans="1:10" ht="18.75" customHeight="1">
      <c r="A233" s="661"/>
      <c r="B233" s="659" t="s">
        <v>943</v>
      </c>
      <c r="C233" s="659" t="s">
        <v>9903</v>
      </c>
      <c r="D233" s="665" t="s">
        <v>1471</v>
      </c>
      <c r="E233" s="665" t="s">
        <v>1472</v>
      </c>
      <c r="F233" s="660">
        <v>0.1</v>
      </c>
      <c r="G233" s="660">
        <v>0</v>
      </c>
      <c r="H233" s="666">
        <v>3552100</v>
      </c>
      <c r="I233" s="666">
        <f t="shared" si="0"/>
        <v>3229200</v>
      </c>
      <c r="J233" s="661"/>
    </row>
    <row r="234" spans="1:10" ht="18.75" customHeight="1">
      <c r="A234" s="661"/>
      <c r="B234" s="657" t="s">
        <v>943</v>
      </c>
      <c r="C234" s="657" t="s">
        <v>9903</v>
      </c>
      <c r="D234" s="663" t="s">
        <v>1473</v>
      </c>
      <c r="E234" s="663" t="s">
        <v>9908</v>
      </c>
      <c r="F234" s="658">
        <v>0.1</v>
      </c>
      <c r="G234" s="658">
        <v>0</v>
      </c>
      <c r="H234" s="664">
        <v>1802600</v>
      </c>
      <c r="I234" s="664">
        <f t="shared" si="0"/>
        <v>1638700</v>
      </c>
      <c r="J234" s="661"/>
    </row>
    <row r="235" spans="1:10" ht="18.75" customHeight="1">
      <c r="A235" s="661"/>
      <c r="B235" s="659" t="s">
        <v>943</v>
      </c>
      <c r="C235" s="659" t="s">
        <v>9903</v>
      </c>
      <c r="D235" s="665" t="s">
        <v>1477</v>
      </c>
      <c r="E235" s="665" t="s">
        <v>1478</v>
      </c>
      <c r="F235" s="660">
        <v>0.1</v>
      </c>
      <c r="G235" s="660">
        <v>0</v>
      </c>
      <c r="H235" s="666">
        <v>2126000</v>
      </c>
      <c r="I235" s="666">
        <f t="shared" si="0"/>
        <v>1932700</v>
      </c>
      <c r="J235" s="661"/>
    </row>
    <row r="236" spans="1:10" ht="18.75" customHeight="1">
      <c r="A236" s="661"/>
      <c r="B236" s="657" t="s">
        <v>943</v>
      </c>
      <c r="C236" s="657" t="s">
        <v>9903</v>
      </c>
      <c r="D236" s="663" t="s">
        <v>1479</v>
      </c>
      <c r="E236" s="663" t="s">
        <v>1480</v>
      </c>
      <c r="F236" s="658">
        <v>0.1</v>
      </c>
      <c r="G236" s="658">
        <v>0</v>
      </c>
      <c r="H236" s="664">
        <v>2236900</v>
      </c>
      <c r="I236" s="664">
        <f t="shared" si="0"/>
        <v>2033500</v>
      </c>
      <c r="J236" s="661"/>
    </row>
    <row r="237" spans="1:10" ht="18.75" customHeight="1">
      <c r="A237" s="661"/>
      <c r="B237" s="659" t="s">
        <v>943</v>
      </c>
      <c r="C237" s="659" t="s">
        <v>9903</v>
      </c>
      <c r="D237" s="665" t="s">
        <v>1481</v>
      </c>
      <c r="E237" s="665" t="s">
        <v>1482</v>
      </c>
      <c r="F237" s="660">
        <v>0.1</v>
      </c>
      <c r="G237" s="660">
        <v>0</v>
      </c>
      <c r="H237" s="666">
        <v>2449400</v>
      </c>
      <c r="I237" s="666">
        <f t="shared" si="0"/>
        <v>2226700</v>
      </c>
      <c r="J237" s="661"/>
    </row>
    <row r="238" spans="1:10" ht="18.75" customHeight="1">
      <c r="A238" s="661"/>
      <c r="B238" s="657" t="s">
        <v>943</v>
      </c>
      <c r="C238" s="657" t="s">
        <v>9903</v>
      </c>
      <c r="D238" s="663" t="s">
        <v>1483</v>
      </c>
      <c r="E238" s="663" t="s">
        <v>1484</v>
      </c>
      <c r="F238" s="658">
        <v>0.1</v>
      </c>
      <c r="G238" s="658">
        <v>0</v>
      </c>
      <c r="H238" s="664">
        <v>2560300</v>
      </c>
      <c r="I238" s="664">
        <f t="shared" si="0"/>
        <v>2327500</v>
      </c>
      <c r="J238" s="661"/>
    </row>
    <row r="239" spans="1:10" ht="18.75" customHeight="1">
      <c r="A239" s="661"/>
      <c r="B239" s="659" t="s">
        <v>943</v>
      </c>
      <c r="C239" s="659" t="s">
        <v>9903</v>
      </c>
      <c r="D239" s="665" t="s">
        <v>1485</v>
      </c>
      <c r="E239" s="665" t="s">
        <v>9909</v>
      </c>
      <c r="F239" s="660">
        <v>0.1</v>
      </c>
      <c r="G239" s="660">
        <v>0</v>
      </c>
      <c r="H239" s="666">
        <v>1682700</v>
      </c>
      <c r="I239" s="666">
        <f t="shared" si="0"/>
        <v>1529700</v>
      </c>
      <c r="J239" s="661"/>
    </row>
    <row r="240" spans="1:10" ht="18.75" customHeight="1">
      <c r="A240" s="661"/>
      <c r="B240" s="657" t="s">
        <v>943</v>
      </c>
      <c r="C240" s="657" t="s">
        <v>9903</v>
      </c>
      <c r="D240" s="663" t="s">
        <v>1489</v>
      </c>
      <c r="E240" s="663" t="s">
        <v>1490</v>
      </c>
      <c r="F240" s="658">
        <v>0.1</v>
      </c>
      <c r="G240" s="658">
        <v>0</v>
      </c>
      <c r="H240" s="664">
        <v>1913700</v>
      </c>
      <c r="I240" s="664">
        <f t="shared" si="0"/>
        <v>1739700</v>
      </c>
      <c r="J240" s="661"/>
    </row>
    <row r="241" spans="1:10" ht="18.75" customHeight="1">
      <c r="A241" s="661"/>
      <c r="B241" s="659" t="s">
        <v>943</v>
      </c>
      <c r="C241" s="659" t="s">
        <v>9903</v>
      </c>
      <c r="D241" s="665" t="s">
        <v>1491</v>
      </c>
      <c r="E241" s="665" t="s">
        <v>1492</v>
      </c>
      <c r="F241" s="660">
        <v>0.1</v>
      </c>
      <c r="G241" s="660">
        <v>0</v>
      </c>
      <c r="H241" s="666">
        <v>1992900</v>
      </c>
      <c r="I241" s="666">
        <f t="shared" si="0"/>
        <v>1811700</v>
      </c>
      <c r="J241" s="661"/>
    </row>
    <row r="242" spans="1:10" ht="18.75" customHeight="1">
      <c r="A242" s="661"/>
      <c r="B242" s="657" t="s">
        <v>943</v>
      </c>
      <c r="C242" s="657" t="s">
        <v>9903</v>
      </c>
      <c r="D242" s="663" t="s">
        <v>1493</v>
      </c>
      <c r="E242" s="663" t="s">
        <v>1494</v>
      </c>
      <c r="F242" s="658">
        <v>0.1</v>
      </c>
      <c r="G242" s="658">
        <v>0</v>
      </c>
      <c r="H242" s="664">
        <v>2144700</v>
      </c>
      <c r="I242" s="664">
        <f t="shared" si="0"/>
        <v>1949700</v>
      </c>
      <c r="J242" s="661"/>
    </row>
    <row r="243" spans="1:10" ht="18.75" customHeight="1">
      <c r="A243" s="661"/>
      <c r="B243" s="659" t="s">
        <v>943</v>
      </c>
      <c r="C243" s="659" t="s">
        <v>9903</v>
      </c>
      <c r="D243" s="665" t="s">
        <v>1495</v>
      </c>
      <c r="E243" s="665" t="s">
        <v>1496</v>
      </c>
      <c r="F243" s="660">
        <v>0.1</v>
      </c>
      <c r="G243" s="660">
        <v>0</v>
      </c>
      <c r="H243" s="666">
        <v>2223900</v>
      </c>
      <c r="I243" s="666">
        <f t="shared" si="0"/>
        <v>2021700</v>
      </c>
      <c r="J243" s="661"/>
    </row>
    <row r="244" spans="1:10" ht="18.75" customHeight="1">
      <c r="A244" s="661"/>
      <c r="B244" s="657" t="s">
        <v>943</v>
      </c>
      <c r="C244" s="657" t="s">
        <v>9903</v>
      </c>
      <c r="D244" s="663" t="s">
        <v>1497</v>
      </c>
      <c r="E244" s="663" t="s">
        <v>9910</v>
      </c>
      <c r="F244" s="658">
        <v>0.1</v>
      </c>
      <c r="G244" s="658">
        <v>0</v>
      </c>
      <c r="H244" s="664">
        <v>1991700</v>
      </c>
      <c r="I244" s="664">
        <f t="shared" si="0"/>
        <v>1810600</v>
      </c>
      <c r="J244" s="661"/>
    </row>
    <row r="245" spans="1:10" ht="18.75" customHeight="1">
      <c r="A245" s="661"/>
      <c r="B245" s="659" t="s">
        <v>943</v>
      </c>
      <c r="C245" s="659" t="s">
        <v>9903</v>
      </c>
      <c r="D245" s="665" t="s">
        <v>1501</v>
      </c>
      <c r="E245" s="665" t="s">
        <v>1502</v>
      </c>
      <c r="F245" s="660">
        <v>0.1</v>
      </c>
      <c r="G245" s="660">
        <v>0</v>
      </c>
      <c r="H245" s="666">
        <v>2176500</v>
      </c>
      <c r="I245" s="666">
        <f t="shared" si="0"/>
        <v>1978600</v>
      </c>
      <c r="J245" s="661"/>
    </row>
    <row r="246" spans="1:10" ht="18.75" customHeight="1">
      <c r="A246" s="661"/>
      <c r="B246" s="657" t="s">
        <v>943</v>
      </c>
      <c r="C246" s="657" t="s">
        <v>9903</v>
      </c>
      <c r="D246" s="663" t="s">
        <v>1503</v>
      </c>
      <c r="E246" s="663" t="s">
        <v>1504</v>
      </c>
      <c r="F246" s="658">
        <v>0.1</v>
      </c>
      <c r="G246" s="658">
        <v>0</v>
      </c>
      <c r="H246" s="664">
        <v>2239800</v>
      </c>
      <c r="I246" s="664">
        <f t="shared" si="0"/>
        <v>2036200</v>
      </c>
      <c r="J246" s="661"/>
    </row>
    <row r="247" spans="1:10" ht="18.75" customHeight="1">
      <c r="A247" s="661"/>
      <c r="B247" s="659" t="s">
        <v>943</v>
      </c>
      <c r="C247" s="659" t="s">
        <v>9903</v>
      </c>
      <c r="D247" s="665" t="s">
        <v>1505</v>
      </c>
      <c r="E247" s="665" t="s">
        <v>1506</v>
      </c>
      <c r="F247" s="660">
        <v>0.1</v>
      </c>
      <c r="G247" s="660">
        <v>0</v>
      </c>
      <c r="H247" s="666">
        <v>2361300</v>
      </c>
      <c r="I247" s="666">
        <f t="shared" si="0"/>
        <v>2146600</v>
      </c>
      <c r="J247" s="661"/>
    </row>
    <row r="248" spans="1:10" ht="18.75" customHeight="1">
      <c r="A248" s="661"/>
      <c r="B248" s="657" t="s">
        <v>943</v>
      </c>
      <c r="C248" s="657" t="s">
        <v>9903</v>
      </c>
      <c r="D248" s="663" t="s">
        <v>1507</v>
      </c>
      <c r="E248" s="663" t="s">
        <v>1508</v>
      </c>
      <c r="F248" s="658">
        <v>0.1</v>
      </c>
      <c r="G248" s="658">
        <v>0</v>
      </c>
      <c r="H248" s="664">
        <v>2424600</v>
      </c>
      <c r="I248" s="664">
        <f t="shared" si="0"/>
        <v>2204200</v>
      </c>
      <c r="J248" s="661"/>
    </row>
    <row r="249" spans="1:10" ht="18.75" customHeight="1">
      <c r="A249" s="661"/>
      <c r="B249" s="659" t="s">
        <v>943</v>
      </c>
      <c r="C249" s="659" t="s">
        <v>9903</v>
      </c>
      <c r="D249" s="665" t="s">
        <v>1509</v>
      </c>
      <c r="E249" s="665" t="s">
        <v>9911</v>
      </c>
      <c r="F249" s="660">
        <v>0.1</v>
      </c>
      <c r="G249" s="660">
        <v>0</v>
      </c>
      <c r="H249" s="666">
        <v>1742100</v>
      </c>
      <c r="I249" s="666">
        <f t="shared" si="0"/>
        <v>1583700</v>
      </c>
      <c r="J249" s="661"/>
    </row>
    <row r="250" spans="1:10" ht="18.75" customHeight="1">
      <c r="A250" s="661"/>
      <c r="B250" s="657" t="s">
        <v>943</v>
      </c>
      <c r="C250" s="657" t="s">
        <v>9903</v>
      </c>
      <c r="D250" s="663" t="s">
        <v>1513</v>
      </c>
      <c r="E250" s="663" t="s">
        <v>1514</v>
      </c>
      <c r="F250" s="658">
        <v>0.1</v>
      </c>
      <c r="G250" s="658">
        <v>0</v>
      </c>
      <c r="H250" s="664">
        <v>1880700</v>
      </c>
      <c r="I250" s="664">
        <f t="shared" si="0"/>
        <v>1709700</v>
      </c>
      <c r="J250" s="661"/>
    </row>
    <row r="251" spans="1:10" ht="18.75" customHeight="1">
      <c r="A251" s="661"/>
      <c r="B251" s="659" t="s">
        <v>943</v>
      </c>
      <c r="C251" s="659" t="s">
        <v>9903</v>
      </c>
      <c r="D251" s="665" t="s">
        <v>1515</v>
      </c>
      <c r="E251" s="665" t="s">
        <v>1516</v>
      </c>
      <c r="F251" s="660">
        <v>0.1</v>
      </c>
      <c r="G251" s="660">
        <v>0</v>
      </c>
      <c r="H251" s="666">
        <v>1928200</v>
      </c>
      <c r="I251" s="666">
        <f t="shared" si="0"/>
        <v>1752900</v>
      </c>
      <c r="J251" s="661"/>
    </row>
    <row r="252" spans="1:10" ht="18.75" customHeight="1">
      <c r="A252" s="661"/>
      <c r="B252" s="657" t="s">
        <v>943</v>
      </c>
      <c r="C252" s="657" t="s">
        <v>9903</v>
      </c>
      <c r="D252" s="663" t="s">
        <v>1517</v>
      </c>
      <c r="E252" s="663" t="s">
        <v>1518</v>
      </c>
      <c r="F252" s="658">
        <v>0.1</v>
      </c>
      <c r="G252" s="658">
        <v>0</v>
      </c>
      <c r="H252" s="664">
        <v>2019300</v>
      </c>
      <c r="I252" s="664">
        <f t="shared" si="0"/>
        <v>1835700</v>
      </c>
      <c r="J252" s="661"/>
    </row>
    <row r="253" spans="1:10" ht="18.75" customHeight="1">
      <c r="A253" s="661"/>
      <c r="B253" s="659" t="s">
        <v>943</v>
      </c>
      <c r="C253" s="659" t="s">
        <v>9903</v>
      </c>
      <c r="D253" s="665" t="s">
        <v>1519</v>
      </c>
      <c r="E253" s="665" t="s">
        <v>1520</v>
      </c>
      <c r="F253" s="660">
        <v>0.1</v>
      </c>
      <c r="G253" s="660">
        <v>0</v>
      </c>
      <c r="H253" s="666">
        <v>2066800</v>
      </c>
      <c r="I253" s="666">
        <f t="shared" si="0"/>
        <v>1878900</v>
      </c>
      <c r="J253" s="661"/>
    </row>
    <row r="254" spans="1:10" ht="18.75" customHeight="1">
      <c r="A254" s="661"/>
      <c r="B254" s="657" t="s">
        <v>943</v>
      </c>
      <c r="C254" s="657" t="s">
        <v>9903</v>
      </c>
      <c r="D254" s="663" t="s">
        <v>1521</v>
      </c>
      <c r="E254" s="663" t="s">
        <v>9912</v>
      </c>
      <c r="F254" s="658">
        <v>0.1</v>
      </c>
      <c r="G254" s="658">
        <v>0</v>
      </c>
      <c r="H254" s="664">
        <v>1424600</v>
      </c>
      <c r="I254" s="664">
        <f t="shared" si="0"/>
        <v>1295100</v>
      </c>
      <c r="J254" s="661"/>
    </row>
    <row r="255" spans="1:10" ht="18.75" customHeight="1">
      <c r="A255" s="661"/>
      <c r="B255" s="659" t="s">
        <v>943</v>
      </c>
      <c r="C255" s="659" t="s">
        <v>9903</v>
      </c>
      <c r="D255" s="665" t="s">
        <v>1525</v>
      </c>
      <c r="E255" s="665" t="s">
        <v>1526</v>
      </c>
      <c r="F255" s="660">
        <v>0.1</v>
      </c>
      <c r="G255" s="660">
        <v>0</v>
      </c>
      <c r="H255" s="666">
        <v>1517000</v>
      </c>
      <c r="I255" s="666">
        <f t="shared" si="0"/>
        <v>1379100</v>
      </c>
      <c r="J255" s="661"/>
    </row>
    <row r="256" spans="1:10" ht="18.75" customHeight="1">
      <c r="A256" s="661"/>
      <c r="B256" s="657" t="s">
        <v>943</v>
      </c>
      <c r="C256" s="657" t="s">
        <v>9903</v>
      </c>
      <c r="D256" s="663" t="s">
        <v>1527</v>
      </c>
      <c r="E256" s="663" t="s">
        <v>1528</v>
      </c>
      <c r="F256" s="658">
        <v>0.1</v>
      </c>
      <c r="G256" s="658">
        <v>0</v>
      </c>
      <c r="H256" s="664">
        <v>1548700</v>
      </c>
      <c r="I256" s="664">
        <f t="shared" si="0"/>
        <v>1407900</v>
      </c>
      <c r="J256" s="661"/>
    </row>
    <row r="257" spans="1:10" ht="18.75" customHeight="1">
      <c r="A257" s="661"/>
      <c r="B257" s="659" t="s">
        <v>943</v>
      </c>
      <c r="C257" s="659" t="s">
        <v>9903</v>
      </c>
      <c r="D257" s="665" t="s">
        <v>1529</v>
      </c>
      <c r="E257" s="665" t="s">
        <v>1530</v>
      </c>
      <c r="F257" s="660">
        <v>0.1</v>
      </c>
      <c r="G257" s="660">
        <v>0</v>
      </c>
      <c r="H257" s="666">
        <v>1609400</v>
      </c>
      <c r="I257" s="666">
        <f t="shared" si="0"/>
        <v>1463100</v>
      </c>
      <c r="J257" s="661"/>
    </row>
    <row r="258" spans="1:10" ht="18.75" customHeight="1">
      <c r="A258" s="661"/>
      <c r="B258" s="657" t="s">
        <v>943</v>
      </c>
      <c r="C258" s="657" t="s">
        <v>9903</v>
      </c>
      <c r="D258" s="663" t="s">
        <v>1531</v>
      </c>
      <c r="E258" s="663" t="s">
        <v>1532</v>
      </c>
      <c r="F258" s="658">
        <v>0.1</v>
      </c>
      <c r="G258" s="658">
        <v>0</v>
      </c>
      <c r="H258" s="664">
        <v>1641100</v>
      </c>
      <c r="I258" s="664">
        <f t="shared" si="0"/>
        <v>1491900</v>
      </c>
      <c r="J258" s="661"/>
    </row>
    <row r="259" spans="1:10" ht="18.75" customHeight="1">
      <c r="A259" s="661"/>
      <c r="B259" s="659" t="s">
        <v>1533</v>
      </c>
      <c r="C259" s="659" t="s">
        <v>9903</v>
      </c>
      <c r="D259" s="665" t="s">
        <v>1534</v>
      </c>
      <c r="E259" s="665" t="s">
        <v>1535</v>
      </c>
      <c r="F259" s="660">
        <v>0.1</v>
      </c>
      <c r="G259" s="660">
        <v>0</v>
      </c>
      <c r="H259" s="666">
        <v>1934000</v>
      </c>
      <c r="I259" s="666">
        <f t="shared" si="0"/>
        <v>1758200</v>
      </c>
      <c r="J259" s="661"/>
    </row>
    <row r="260" spans="1:10" ht="18.75" customHeight="1">
      <c r="A260" s="661"/>
      <c r="B260" s="657" t="s">
        <v>1533</v>
      </c>
      <c r="C260" s="657" t="s">
        <v>9903</v>
      </c>
      <c r="D260" s="663" t="s">
        <v>1536</v>
      </c>
      <c r="E260" s="663" t="s">
        <v>1537</v>
      </c>
      <c r="F260" s="658">
        <v>0.1</v>
      </c>
      <c r="G260" s="658">
        <v>0</v>
      </c>
      <c r="H260" s="664">
        <v>2805200</v>
      </c>
      <c r="I260" s="664">
        <f t="shared" ref="I260:I328" si="1">IF(ISBLANK(H260),,ROUND(H260/(1+F260),-2))</f>
        <v>2550200</v>
      </c>
      <c r="J260" s="661"/>
    </row>
    <row r="261" spans="1:10" ht="18.75" customHeight="1">
      <c r="A261" s="661"/>
      <c r="B261" s="659" t="s">
        <v>1533</v>
      </c>
      <c r="C261" s="659" t="s">
        <v>9903</v>
      </c>
      <c r="D261" s="665" t="s">
        <v>1538</v>
      </c>
      <c r="E261" s="665" t="s">
        <v>1539</v>
      </c>
      <c r="F261" s="660">
        <v>0.1</v>
      </c>
      <c r="G261" s="660">
        <v>0</v>
      </c>
      <c r="H261" s="666">
        <v>3095600</v>
      </c>
      <c r="I261" s="666">
        <f t="shared" si="1"/>
        <v>2814200</v>
      </c>
      <c r="J261" s="661"/>
    </row>
    <row r="262" spans="1:10" ht="18.75" customHeight="1">
      <c r="A262" s="661"/>
      <c r="B262" s="657" t="s">
        <v>1533</v>
      </c>
      <c r="C262" s="657" t="s">
        <v>9903</v>
      </c>
      <c r="D262" s="663" t="s">
        <v>1540</v>
      </c>
      <c r="E262" s="663" t="s">
        <v>1541</v>
      </c>
      <c r="F262" s="658">
        <v>0.1</v>
      </c>
      <c r="G262" s="658">
        <v>0</v>
      </c>
      <c r="H262" s="664">
        <v>3676400</v>
      </c>
      <c r="I262" s="664">
        <f t="shared" si="1"/>
        <v>3342200</v>
      </c>
      <c r="J262" s="661"/>
    </row>
    <row r="263" spans="1:10" ht="18.75" customHeight="1">
      <c r="A263" s="661"/>
      <c r="B263" s="659" t="s">
        <v>1533</v>
      </c>
      <c r="C263" s="659" t="s">
        <v>9903</v>
      </c>
      <c r="D263" s="665" t="s">
        <v>1542</v>
      </c>
      <c r="E263" s="665" t="s">
        <v>1543</v>
      </c>
      <c r="F263" s="660">
        <v>0.1</v>
      </c>
      <c r="G263" s="660">
        <v>0</v>
      </c>
      <c r="H263" s="666">
        <v>3966800</v>
      </c>
      <c r="I263" s="666">
        <f t="shared" si="1"/>
        <v>3606200</v>
      </c>
      <c r="J263" s="661"/>
    </row>
    <row r="264" spans="1:10" ht="18.75" customHeight="1">
      <c r="A264" s="661"/>
      <c r="B264" s="657" t="s">
        <v>1533</v>
      </c>
      <c r="C264" s="657" t="s">
        <v>9903</v>
      </c>
      <c r="D264" s="663" t="s">
        <v>1544</v>
      </c>
      <c r="E264" s="663" t="s">
        <v>1545</v>
      </c>
      <c r="F264" s="658">
        <v>0.1</v>
      </c>
      <c r="G264" s="658">
        <v>0</v>
      </c>
      <c r="H264" s="664">
        <v>2110700</v>
      </c>
      <c r="I264" s="664">
        <f t="shared" si="1"/>
        <v>1918800</v>
      </c>
      <c r="J264" s="661"/>
    </row>
    <row r="265" spans="1:10" ht="18.75" customHeight="1">
      <c r="A265" s="661"/>
      <c r="B265" s="659" t="s">
        <v>1533</v>
      </c>
      <c r="C265" s="659" t="s">
        <v>9903</v>
      </c>
      <c r="D265" s="665" t="s">
        <v>1546</v>
      </c>
      <c r="E265" s="665" t="s">
        <v>1547</v>
      </c>
      <c r="F265" s="660">
        <v>0.1</v>
      </c>
      <c r="G265" s="660">
        <v>0</v>
      </c>
      <c r="H265" s="666">
        <v>2704700</v>
      </c>
      <c r="I265" s="666">
        <f t="shared" si="1"/>
        <v>2458800</v>
      </c>
      <c r="J265" s="661"/>
    </row>
    <row r="266" spans="1:10" ht="18.75" customHeight="1">
      <c r="A266" s="661"/>
      <c r="B266" s="657" t="s">
        <v>1533</v>
      </c>
      <c r="C266" s="657" t="s">
        <v>9903</v>
      </c>
      <c r="D266" s="663" t="s">
        <v>1548</v>
      </c>
      <c r="E266" s="663" t="s">
        <v>1549</v>
      </c>
      <c r="F266" s="658">
        <v>0.1</v>
      </c>
      <c r="G266" s="658">
        <v>0</v>
      </c>
      <c r="H266" s="664">
        <v>2902700</v>
      </c>
      <c r="I266" s="664">
        <f t="shared" si="1"/>
        <v>2638800</v>
      </c>
      <c r="J266" s="661"/>
    </row>
    <row r="267" spans="1:10" ht="18.75" customHeight="1">
      <c r="A267" s="661"/>
      <c r="B267" s="659" t="s">
        <v>1533</v>
      </c>
      <c r="C267" s="659" t="s">
        <v>9903</v>
      </c>
      <c r="D267" s="665" t="s">
        <v>1550</v>
      </c>
      <c r="E267" s="665" t="s">
        <v>1551</v>
      </c>
      <c r="F267" s="660">
        <v>0.1</v>
      </c>
      <c r="G267" s="660">
        <v>0</v>
      </c>
      <c r="H267" s="666">
        <v>3298700</v>
      </c>
      <c r="I267" s="666">
        <f t="shared" si="1"/>
        <v>2998800</v>
      </c>
      <c r="J267" s="661"/>
    </row>
    <row r="268" spans="1:10" ht="18.75" customHeight="1">
      <c r="A268" s="661"/>
      <c r="B268" s="657" t="s">
        <v>1533</v>
      </c>
      <c r="C268" s="657" t="s">
        <v>9903</v>
      </c>
      <c r="D268" s="663" t="s">
        <v>1552</v>
      </c>
      <c r="E268" s="663" t="s">
        <v>1553</v>
      </c>
      <c r="F268" s="658">
        <v>0.1</v>
      </c>
      <c r="G268" s="658">
        <v>0</v>
      </c>
      <c r="H268" s="664">
        <v>3496700</v>
      </c>
      <c r="I268" s="664">
        <f t="shared" si="1"/>
        <v>3178800</v>
      </c>
      <c r="J268" s="661"/>
    </row>
    <row r="269" spans="1:10" ht="18.75" customHeight="1">
      <c r="A269" s="661"/>
      <c r="B269" s="659" t="s">
        <v>1533</v>
      </c>
      <c r="C269" s="659" t="s">
        <v>9903</v>
      </c>
      <c r="D269" s="665" t="s">
        <v>1554</v>
      </c>
      <c r="E269" s="665" t="s">
        <v>1555</v>
      </c>
      <c r="F269" s="660">
        <v>0.1</v>
      </c>
      <c r="G269" s="660">
        <v>0</v>
      </c>
      <c r="H269" s="666">
        <v>1875900</v>
      </c>
      <c r="I269" s="666">
        <f t="shared" si="1"/>
        <v>1705400</v>
      </c>
      <c r="J269" s="661"/>
    </row>
    <row r="270" spans="1:10" ht="18.75" customHeight="1">
      <c r="A270" s="661"/>
      <c r="B270" s="657" t="s">
        <v>1533</v>
      </c>
      <c r="C270" s="657" t="s">
        <v>9903</v>
      </c>
      <c r="D270" s="663" t="s">
        <v>1556</v>
      </c>
      <c r="E270" s="663" t="s">
        <v>1557</v>
      </c>
      <c r="F270" s="658">
        <v>0.1</v>
      </c>
      <c r="G270" s="658">
        <v>0</v>
      </c>
      <c r="H270" s="664">
        <v>2311500</v>
      </c>
      <c r="I270" s="664">
        <f t="shared" si="1"/>
        <v>2101400</v>
      </c>
      <c r="J270" s="661"/>
    </row>
    <row r="271" spans="1:10" ht="18.75" customHeight="1">
      <c r="A271" s="661"/>
      <c r="B271" s="659" t="s">
        <v>1533</v>
      </c>
      <c r="C271" s="659" t="s">
        <v>9903</v>
      </c>
      <c r="D271" s="665" t="s">
        <v>1558</v>
      </c>
      <c r="E271" s="665" t="s">
        <v>1559</v>
      </c>
      <c r="F271" s="660">
        <v>0.1</v>
      </c>
      <c r="G271" s="660">
        <v>0</v>
      </c>
      <c r="H271" s="666">
        <v>2456700</v>
      </c>
      <c r="I271" s="666">
        <f t="shared" si="1"/>
        <v>2233400</v>
      </c>
      <c r="J271" s="661"/>
    </row>
    <row r="272" spans="1:10" ht="18.75" customHeight="1">
      <c r="A272" s="661"/>
      <c r="B272" s="657" t="s">
        <v>1533</v>
      </c>
      <c r="C272" s="657" t="s">
        <v>9903</v>
      </c>
      <c r="D272" s="663" t="s">
        <v>1560</v>
      </c>
      <c r="E272" s="663" t="s">
        <v>1561</v>
      </c>
      <c r="F272" s="658">
        <v>0.1</v>
      </c>
      <c r="G272" s="658">
        <v>0</v>
      </c>
      <c r="H272" s="664">
        <v>2747100</v>
      </c>
      <c r="I272" s="664">
        <f t="shared" si="1"/>
        <v>2497400</v>
      </c>
      <c r="J272" s="661"/>
    </row>
    <row r="273" spans="1:10" ht="18.75" customHeight="1">
      <c r="A273" s="661"/>
      <c r="B273" s="659" t="s">
        <v>1533</v>
      </c>
      <c r="C273" s="659" t="s">
        <v>9903</v>
      </c>
      <c r="D273" s="665" t="s">
        <v>1562</v>
      </c>
      <c r="E273" s="665" t="s">
        <v>1563</v>
      </c>
      <c r="F273" s="660">
        <v>0.1</v>
      </c>
      <c r="G273" s="660">
        <v>0</v>
      </c>
      <c r="H273" s="666">
        <v>2892300</v>
      </c>
      <c r="I273" s="666">
        <f t="shared" si="1"/>
        <v>2629400</v>
      </c>
      <c r="J273" s="661"/>
    </row>
    <row r="274" spans="1:10" ht="18.75" customHeight="1">
      <c r="A274" s="661"/>
      <c r="B274" s="657" t="s">
        <v>1533</v>
      </c>
      <c r="C274" s="657" t="s">
        <v>9903</v>
      </c>
      <c r="D274" s="663" t="s">
        <v>1564</v>
      </c>
      <c r="E274" s="663" t="s">
        <v>1565</v>
      </c>
      <c r="F274" s="658">
        <v>0.1</v>
      </c>
      <c r="G274" s="658">
        <v>0</v>
      </c>
      <c r="H274" s="664">
        <v>2242700</v>
      </c>
      <c r="I274" s="664">
        <f t="shared" si="1"/>
        <v>2038800</v>
      </c>
      <c r="J274" s="661"/>
    </row>
    <row r="275" spans="1:10" ht="18.75" customHeight="1">
      <c r="A275" s="661"/>
      <c r="B275" s="659" t="s">
        <v>1533</v>
      </c>
      <c r="C275" s="659" t="s">
        <v>9903</v>
      </c>
      <c r="D275" s="665" t="s">
        <v>1566</v>
      </c>
      <c r="E275" s="665" t="s">
        <v>1567</v>
      </c>
      <c r="F275" s="660">
        <v>0.1</v>
      </c>
      <c r="G275" s="660">
        <v>0</v>
      </c>
      <c r="H275" s="666">
        <v>2638700</v>
      </c>
      <c r="I275" s="666">
        <f t="shared" si="1"/>
        <v>2398800</v>
      </c>
      <c r="J275" s="661"/>
    </row>
    <row r="276" spans="1:10" ht="18.75" customHeight="1">
      <c r="A276" s="661"/>
      <c r="B276" s="657" t="s">
        <v>1533</v>
      </c>
      <c r="C276" s="657" t="s">
        <v>9903</v>
      </c>
      <c r="D276" s="663" t="s">
        <v>1568</v>
      </c>
      <c r="E276" s="663" t="s">
        <v>1569</v>
      </c>
      <c r="F276" s="658">
        <v>0.1</v>
      </c>
      <c r="G276" s="658">
        <v>0</v>
      </c>
      <c r="H276" s="664">
        <v>2770700</v>
      </c>
      <c r="I276" s="664">
        <f t="shared" si="1"/>
        <v>2518800</v>
      </c>
      <c r="J276" s="661"/>
    </row>
    <row r="277" spans="1:10" ht="18.75" customHeight="1">
      <c r="A277" s="661"/>
      <c r="B277" s="659" t="s">
        <v>1533</v>
      </c>
      <c r="C277" s="659" t="s">
        <v>9903</v>
      </c>
      <c r="D277" s="665" t="s">
        <v>1570</v>
      </c>
      <c r="E277" s="665" t="s">
        <v>1571</v>
      </c>
      <c r="F277" s="660">
        <v>0.1</v>
      </c>
      <c r="G277" s="660">
        <v>0</v>
      </c>
      <c r="H277" s="666">
        <v>3034700</v>
      </c>
      <c r="I277" s="666">
        <f t="shared" si="1"/>
        <v>2758800</v>
      </c>
      <c r="J277" s="661"/>
    </row>
    <row r="278" spans="1:10" ht="18.75" customHeight="1">
      <c r="A278" s="661"/>
      <c r="B278" s="657" t="s">
        <v>1533</v>
      </c>
      <c r="C278" s="657" t="s">
        <v>9903</v>
      </c>
      <c r="D278" s="663" t="s">
        <v>1572</v>
      </c>
      <c r="E278" s="663" t="s">
        <v>1573</v>
      </c>
      <c r="F278" s="658">
        <v>0.1</v>
      </c>
      <c r="G278" s="658">
        <v>0</v>
      </c>
      <c r="H278" s="664">
        <v>3166700</v>
      </c>
      <c r="I278" s="664">
        <f t="shared" si="1"/>
        <v>2878800</v>
      </c>
      <c r="J278" s="661"/>
    </row>
    <row r="279" spans="1:10" ht="18.75" customHeight="1">
      <c r="A279" s="661"/>
      <c r="B279" s="659" t="s">
        <v>1533</v>
      </c>
      <c r="C279" s="659" t="s">
        <v>9903</v>
      </c>
      <c r="D279" s="665" t="s">
        <v>1574</v>
      </c>
      <c r="E279" s="665" t="s">
        <v>1575</v>
      </c>
      <c r="F279" s="660">
        <v>0.1</v>
      </c>
      <c r="G279" s="660">
        <v>0</v>
      </c>
      <c r="H279" s="666">
        <v>1642900</v>
      </c>
      <c r="I279" s="666">
        <f t="shared" si="1"/>
        <v>1493500</v>
      </c>
      <c r="J279" s="661"/>
    </row>
    <row r="280" spans="1:10" ht="18.75" customHeight="1">
      <c r="A280" s="661"/>
      <c r="B280" s="657" t="s">
        <v>1533</v>
      </c>
      <c r="C280" s="657" t="s">
        <v>9903</v>
      </c>
      <c r="D280" s="663" t="s">
        <v>1576</v>
      </c>
      <c r="E280" s="663" t="s">
        <v>1577</v>
      </c>
      <c r="F280" s="658">
        <v>0.1</v>
      </c>
      <c r="G280" s="658">
        <v>0</v>
      </c>
      <c r="H280" s="664">
        <v>1920100</v>
      </c>
      <c r="I280" s="664">
        <f t="shared" si="1"/>
        <v>1745500</v>
      </c>
      <c r="J280" s="661"/>
    </row>
    <row r="281" spans="1:10" ht="18.75" customHeight="1">
      <c r="A281" s="661"/>
      <c r="B281" s="659" t="s">
        <v>1533</v>
      </c>
      <c r="C281" s="659" t="s">
        <v>9903</v>
      </c>
      <c r="D281" s="665" t="s">
        <v>1578</v>
      </c>
      <c r="E281" s="665" t="s">
        <v>1579</v>
      </c>
      <c r="F281" s="660">
        <v>0.1</v>
      </c>
      <c r="G281" s="660">
        <v>0</v>
      </c>
      <c r="H281" s="666">
        <v>2012500</v>
      </c>
      <c r="I281" s="666">
        <f t="shared" si="1"/>
        <v>1829500</v>
      </c>
      <c r="J281" s="661"/>
    </row>
    <row r="282" spans="1:10" ht="18.75" customHeight="1">
      <c r="A282" s="661"/>
      <c r="B282" s="657" t="s">
        <v>1533</v>
      </c>
      <c r="C282" s="657" t="s">
        <v>9903</v>
      </c>
      <c r="D282" s="663" t="s">
        <v>1580</v>
      </c>
      <c r="E282" s="663" t="s">
        <v>1581</v>
      </c>
      <c r="F282" s="658">
        <v>0.1</v>
      </c>
      <c r="G282" s="658">
        <v>0</v>
      </c>
      <c r="H282" s="664">
        <v>2197300</v>
      </c>
      <c r="I282" s="664">
        <f t="shared" si="1"/>
        <v>1997500</v>
      </c>
      <c r="J282" s="661"/>
    </row>
    <row r="283" spans="1:10" ht="18.75" customHeight="1">
      <c r="A283" s="661"/>
      <c r="B283" s="659" t="s">
        <v>1533</v>
      </c>
      <c r="C283" s="659" t="s">
        <v>9903</v>
      </c>
      <c r="D283" s="665" t="s">
        <v>1582</v>
      </c>
      <c r="E283" s="665" t="s">
        <v>1583</v>
      </c>
      <c r="F283" s="660">
        <v>0.1</v>
      </c>
      <c r="G283" s="660">
        <v>0</v>
      </c>
      <c r="H283" s="666">
        <v>2289700</v>
      </c>
      <c r="I283" s="666">
        <f t="shared" si="1"/>
        <v>2081500</v>
      </c>
      <c r="J283" s="661"/>
    </row>
    <row r="284" spans="1:10" ht="18.75" customHeight="1">
      <c r="A284" s="661"/>
      <c r="B284" s="657" t="s">
        <v>1533</v>
      </c>
      <c r="C284" s="657" t="s">
        <v>9903</v>
      </c>
      <c r="D284" s="663" t="s">
        <v>1584</v>
      </c>
      <c r="E284" s="663" t="s">
        <v>1585</v>
      </c>
      <c r="F284" s="658">
        <v>0.1</v>
      </c>
      <c r="G284" s="658">
        <v>0</v>
      </c>
      <c r="H284" s="664">
        <v>1533800</v>
      </c>
      <c r="I284" s="664">
        <f t="shared" si="1"/>
        <v>1394400</v>
      </c>
      <c r="J284" s="661"/>
    </row>
    <row r="285" spans="1:10" ht="18.75" customHeight="1">
      <c r="A285" s="661"/>
      <c r="B285" s="659" t="s">
        <v>1533</v>
      </c>
      <c r="C285" s="659" t="s">
        <v>9903</v>
      </c>
      <c r="D285" s="665" t="s">
        <v>1586</v>
      </c>
      <c r="E285" s="665" t="s">
        <v>1587</v>
      </c>
      <c r="F285" s="660">
        <v>0.1</v>
      </c>
      <c r="G285" s="660">
        <v>0</v>
      </c>
      <c r="H285" s="666">
        <v>1731800</v>
      </c>
      <c r="I285" s="666">
        <f t="shared" si="1"/>
        <v>1574400</v>
      </c>
      <c r="J285" s="661"/>
    </row>
    <row r="286" spans="1:10" ht="18.75" customHeight="1">
      <c r="A286" s="661"/>
      <c r="B286" s="657" t="s">
        <v>1533</v>
      </c>
      <c r="C286" s="657" t="s">
        <v>9903</v>
      </c>
      <c r="D286" s="663" t="s">
        <v>1588</v>
      </c>
      <c r="E286" s="663" t="s">
        <v>1589</v>
      </c>
      <c r="F286" s="658">
        <v>0.1</v>
      </c>
      <c r="G286" s="658">
        <v>0</v>
      </c>
      <c r="H286" s="664">
        <v>1797800</v>
      </c>
      <c r="I286" s="664">
        <f t="shared" si="1"/>
        <v>1634400</v>
      </c>
      <c r="J286" s="661"/>
    </row>
    <row r="287" spans="1:10" ht="18.75" customHeight="1">
      <c r="A287" s="661"/>
      <c r="B287" s="659" t="s">
        <v>1533</v>
      </c>
      <c r="C287" s="659" t="s">
        <v>9903</v>
      </c>
      <c r="D287" s="665" t="s">
        <v>1590</v>
      </c>
      <c r="E287" s="665" t="s">
        <v>1591</v>
      </c>
      <c r="F287" s="660">
        <v>0.1</v>
      </c>
      <c r="G287" s="660">
        <v>0</v>
      </c>
      <c r="H287" s="666">
        <v>1929800</v>
      </c>
      <c r="I287" s="666">
        <f t="shared" si="1"/>
        <v>1754400</v>
      </c>
      <c r="J287" s="661"/>
    </row>
    <row r="288" spans="1:10" ht="18.75" customHeight="1">
      <c r="A288" s="661"/>
      <c r="B288" s="657" t="s">
        <v>1533</v>
      </c>
      <c r="C288" s="657" t="s">
        <v>9903</v>
      </c>
      <c r="D288" s="663" t="s">
        <v>1592</v>
      </c>
      <c r="E288" s="663" t="s">
        <v>1593</v>
      </c>
      <c r="F288" s="658">
        <v>0.1</v>
      </c>
      <c r="G288" s="658">
        <v>0</v>
      </c>
      <c r="H288" s="664">
        <v>1995800</v>
      </c>
      <c r="I288" s="664">
        <f t="shared" si="1"/>
        <v>1814400</v>
      </c>
      <c r="J288" s="661"/>
    </row>
    <row r="289" spans="1:10" ht="18.75" customHeight="1">
      <c r="A289" s="661"/>
      <c r="B289" s="659" t="s">
        <v>1533</v>
      </c>
      <c r="C289" s="659" t="s">
        <v>9913</v>
      </c>
      <c r="D289" s="665" t="s">
        <v>1594</v>
      </c>
      <c r="E289" s="665" t="s">
        <v>1595</v>
      </c>
      <c r="F289" s="660">
        <v>0.1</v>
      </c>
      <c r="G289" s="660">
        <v>0</v>
      </c>
      <c r="H289" s="666">
        <v>1812100</v>
      </c>
      <c r="I289" s="666">
        <f t="shared" si="1"/>
        <v>1647400</v>
      </c>
      <c r="J289" s="661"/>
    </row>
    <row r="290" spans="1:10" ht="18.75" customHeight="1">
      <c r="A290" s="661"/>
      <c r="B290" s="657" t="s">
        <v>1533</v>
      </c>
      <c r="C290" s="657" t="s">
        <v>9903</v>
      </c>
      <c r="D290" s="663" t="s">
        <v>1596</v>
      </c>
      <c r="E290" s="663" t="s">
        <v>1597</v>
      </c>
      <c r="F290" s="658">
        <v>0.1</v>
      </c>
      <c r="G290" s="658">
        <v>0</v>
      </c>
      <c r="H290" s="664">
        <v>1970500</v>
      </c>
      <c r="I290" s="664">
        <f t="shared" si="1"/>
        <v>1791400</v>
      </c>
      <c r="J290" s="661"/>
    </row>
    <row r="291" spans="1:10" ht="18.75" customHeight="1">
      <c r="A291" s="661"/>
      <c r="B291" s="659" t="s">
        <v>1533</v>
      </c>
      <c r="C291" s="659" t="s">
        <v>9903</v>
      </c>
      <c r="D291" s="665" t="s">
        <v>1598</v>
      </c>
      <c r="E291" s="665" t="s">
        <v>1599</v>
      </c>
      <c r="F291" s="660">
        <v>0.1</v>
      </c>
      <c r="G291" s="660">
        <v>0</v>
      </c>
      <c r="H291" s="666">
        <v>2023300</v>
      </c>
      <c r="I291" s="666">
        <f t="shared" si="1"/>
        <v>1839400</v>
      </c>
      <c r="J291" s="661"/>
    </row>
    <row r="292" spans="1:10" ht="18.75" customHeight="1">
      <c r="A292" s="661"/>
      <c r="B292" s="657" t="s">
        <v>1533</v>
      </c>
      <c r="C292" s="657" t="s">
        <v>9903</v>
      </c>
      <c r="D292" s="663" t="s">
        <v>1600</v>
      </c>
      <c r="E292" s="663" t="s">
        <v>1601</v>
      </c>
      <c r="F292" s="658">
        <v>0.1</v>
      </c>
      <c r="G292" s="658">
        <v>0</v>
      </c>
      <c r="H292" s="664">
        <v>2128900</v>
      </c>
      <c r="I292" s="664">
        <f t="shared" si="1"/>
        <v>1935400</v>
      </c>
      <c r="J292" s="661"/>
    </row>
    <row r="293" spans="1:10" ht="18.75" customHeight="1">
      <c r="A293" s="661"/>
      <c r="B293" s="659" t="s">
        <v>1533</v>
      </c>
      <c r="C293" s="659" t="s">
        <v>9903</v>
      </c>
      <c r="D293" s="665" t="s">
        <v>1602</v>
      </c>
      <c r="E293" s="665" t="s">
        <v>1603</v>
      </c>
      <c r="F293" s="660">
        <v>0.1</v>
      </c>
      <c r="G293" s="660">
        <v>0</v>
      </c>
      <c r="H293" s="666">
        <v>2181700</v>
      </c>
      <c r="I293" s="666">
        <f t="shared" si="1"/>
        <v>1983400</v>
      </c>
      <c r="J293" s="661"/>
    </row>
    <row r="294" spans="1:10" ht="18.75" customHeight="1">
      <c r="A294" s="661"/>
      <c r="B294" s="657" t="s">
        <v>1533</v>
      </c>
      <c r="C294" s="657" t="s">
        <v>9903</v>
      </c>
      <c r="D294" s="663" t="s">
        <v>1604</v>
      </c>
      <c r="E294" s="663" t="s">
        <v>1605</v>
      </c>
      <c r="F294" s="658">
        <v>0.1</v>
      </c>
      <c r="G294" s="658">
        <v>0</v>
      </c>
      <c r="H294" s="664">
        <v>1586800</v>
      </c>
      <c r="I294" s="664">
        <f t="shared" si="1"/>
        <v>1442500</v>
      </c>
      <c r="J294" s="661"/>
    </row>
    <row r="295" spans="1:10" ht="18.75" customHeight="1">
      <c r="A295" s="661"/>
      <c r="B295" s="659" t="s">
        <v>1533</v>
      </c>
      <c r="C295" s="659" t="s">
        <v>9903</v>
      </c>
      <c r="D295" s="665" t="s">
        <v>1606</v>
      </c>
      <c r="E295" s="665" t="s">
        <v>1607</v>
      </c>
      <c r="F295" s="660">
        <v>0.1</v>
      </c>
      <c r="G295" s="660">
        <v>0</v>
      </c>
      <c r="H295" s="666">
        <v>1705600</v>
      </c>
      <c r="I295" s="666">
        <f t="shared" si="1"/>
        <v>1550500</v>
      </c>
      <c r="J295" s="661"/>
    </row>
    <row r="296" spans="1:10" ht="18.75" customHeight="1">
      <c r="A296" s="661"/>
      <c r="B296" s="657" t="s">
        <v>1533</v>
      </c>
      <c r="C296" s="657" t="s">
        <v>9903</v>
      </c>
      <c r="D296" s="663" t="s">
        <v>1608</v>
      </c>
      <c r="E296" s="663" t="s">
        <v>1609</v>
      </c>
      <c r="F296" s="658">
        <v>0.1</v>
      </c>
      <c r="G296" s="658">
        <v>0</v>
      </c>
      <c r="H296" s="664">
        <v>1745200</v>
      </c>
      <c r="I296" s="664">
        <f t="shared" si="1"/>
        <v>1586500</v>
      </c>
      <c r="J296" s="661"/>
    </row>
    <row r="297" spans="1:10" ht="18.75" customHeight="1">
      <c r="A297" s="661"/>
      <c r="B297" s="659" t="s">
        <v>1533</v>
      </c>
      <c r="C297" s="659" t="s">
        <v>9903</v>
      </c>
      <c r="D297" s="665" t="s">
        <v>1610</v>
      </c>
      <c r="E297" s="665" t="s">
        <v>1611</v>
      </c>
      <c r="F297" s="660">
        <v>0.1</v>
      </c>
      <c r="G297" s="660">
        <v>0</v>
      </c>
      <c r="H297" s="666">
        <v>1824400</v>
      </c>
      <c r="I297" s="666">
        <f t="shared" si="1"/>
        <v>1658500</v>
      </c>
      <c r="J297" s="661"/>
    </row>
    <row r="298" spans="1:10" ht="18.75" customHeight="1">
      <c r="A298" s="661"/>
      <c r="B298" s="657" t="s">
        <v>1533</v>
      </c>
      <c r="C298" s="657" t="s">
        <v>9903</v>
      </c>
      <c r="D298" s="663" t="s">
        <v>1612</v>
      </c>
      <c r="E298" s="663" t="s">
        <v>1613</v>
      </c>
      <c r="F298" s="658">
        <v>0.1</v>
      </c>
      <c r="G298" s="658">
        <v>0</v>
      </c>
      <c r="H298" s="664">
        <v>1864000</v>
      </c>
      <c r="I298" s="664">
        <f t="shared" si="1"/>
        <v>1694500</v>
      </c>
      <c r="J298" s="661"/>
    </row>
    <row r="299" spans="1:10" ht="18.75" customHeight="1">
      <c r="A299" s="661"/>
      <c r="B299" s="659" t="s">
        <v>1533</v>
      </c>
      <c r="C299" s="659" t="s">
        <v>9913</v>
      </c>
      <c r="D299" s="665" t="s">
        <v>1614</v>
      </c>
      <c r="E299" s="665" t="s">
        <v>1615</v>
      </c>
      <c r="F299" s="660">
        <v>0.1</v>
      </c>
      <c r="G299" s="660">
        <v>0</v>
      </c>
      <c r="H299" s="666">
        <v>1301000</v>
      </c>
      <c r="I299" s="666">
        <f t="shared" si="1"/>
        <v>1182700</v>
      </c>
      <c r="J299" s="661"/>
    </row>
    <row r="300" spans="1:10" ht="18.75" customHeight="1">
      <c r="A300" s="661"/>
      <c r="B300" s="657" t="s">
        <v>1533</v>
      </c>
      <c r="C300" s="657" t="s">
        <v>9913</v>
      </c>
      <c r="D300" s="663" t="s">
        <v>1616</v>
      </c>
      <c r="E300" s="663" t="s">
        <v>1617</v>
      </c>
      <c r="F300" s="658">
        <v>0.1</v>
      </c>
      <c r="G300" s="658">
        <v>0</v>
      </c>
      <c r="H300" s="664">
        <v>1380200</v>
      </c>
      <c r="I300" s="664">
        <f t="shared" si="1"/>
        <v>1254700</v>
      </c>
      <c r="J300" s="661"/>
    </row>
    <row r="301" spans="1:10" ht="18.75" customHeight="1">
      <c r="A301" s="661"/>
      <c r="B301" s="659" t="s">
        <v>1533</v>
      </c>
      <c r="C301" s="659" t="s">
        <v>9903</v>
      </c>
      <c r="D301" s="665" t="s">
        <v>1618</v>
      </c>
      <c r="E301" s="665" t="s">
        <v>1619</v>
      </c>
      <c r="F301" s="660">
        <v>0.1</v>
      </c>
      <c r="G301" s="660">
        <v>0</v>
      </c>
      <c r="H301" s="666">
        <v>1406600</v>
      </c>
      <c r="I301" s="666">
        <f t="shared" si="1"/>
        <v>1278700</v>
      </c>
      <c r="J301" s="661"/>
    </row>
    <row r="302" spans="1:10" ht="18.75" customHeight="1">
      <c r="A302" s="661"/>
      <c r="B302" s="657" t="s">
        <v>1533</v>
      </c>
      <c r="C302" s="657" t="s">
        <v>9903</v>
      </c>
      <c r="D302" s="663" t="s">
        <v>1620</v>
      </c>
      <c r="E302" s="663" t="s">
        <v>1621</v>
      </c>
      <c r="F302" s="658">
        <v>0.1</v>
      </c>
      <c r="G302" s="658">
        <v>0</v>
      </c>
      <c r="H302" s="664">
        <v>1459400</v>
      </c>
      <c r="I302" s="664">
        <f t="shared" si="1"/>
        <v>1326700</v>
      </c>
      <c r="J302" s="661"/>
    </row>
    <row r="303" spans="1:10" ht="18.75" customHeight="1">
      <c r="A303" s="661"/>
      <c r="B303" s="659" t="s">
        <v>1533</v>
      </c>
      <c r="C303" s="659" t="s">
        <v>9903</v>
      </c>
      <c r="D303" s="665" t="s">
        <v>1622</v>
      </c>
      <c r="E303" s="665" t="s">
        <v>1623</v>
      </c>
      <c r="F303" s="660">
        <v>0.1</v>
      </c>
      <c r="G303" s="660">
        <v>0</v>
      </c>
      <c r="H303" s="666">
        <v>1485800</v>
      </c>
      <c r="I303" s="666">
        <f t="shared" si="1"/>
        <v>1350700</v>
      </c>
      <c r="J303" s="661"/>
    </row>
    <row r="304" spans="1:10" ht="18.75" customHeight="1">
      <c r="A304" s="661"/>
      <c r="B304" s="657" t="s">
        <v>1624</v>
      </c>
      <c r="C304" s="657" t="s">
        <v>9903</v>
      </c>
      <c r="D304" s="663" t="s">
        <v>1625</v>
      </c>
      <c r="E304" s="663" t="s">
        <v>1626</v>
      </c>
      <c r="F304" s="658">
        <v>0.1</v>
      </c>
      <c r="G304" s="658">
        <v>0</v>
      </c>
      <c r="H304" s="664">
        <v>1918200</v>
      </c>
      <c r="I304" s="664">
        <f t="shared" si="1"/>
        <v>1743800</v>
      </c>
      <c r="J304" s="661"/>
    </row>
    <row r="305" spans="1:10" ht="18.75" customHeight="1">
      <c r="A305" s="661"/>
      <c r="B305" s="659" t="s">
        <v>1624</v>
      </c>
      <c r="C305" s="659" t="s">
        <v>9903</v>
      </c>
      <c r="D305" s="665" t="s">
        <v>1627</v>
      </c>
      <c r="E305" s="665" t="s">
        <v>1628</v>
      </c>
      <c r="F305" s="660">
        <v>0.1</v>
      </c>
      <c r="G305" s="660">
        <v>0</v>
      </c>
      <c r="H305" s="666">
        <v>2512200</v>
      </c>
      <c r="I305" s="666">
        <f t="shared" si="1"/>
        <v>2283800</v>
      </c>
      <c r="J305" s="661"/>
    </row>
    <row r="306" spans="1:10" ht="18.75" customHeight="1">
      <c r="A306" s="661"/>
      <c r="B306" s="657" t="s">
        <v>1624</v>
      </c>
      <c r="C306" s="657" t="s">
        <v>9903</v>
      </c>
      <c r="D306" s="663" t="s">
        <v>1629</v>
      </c>
      <c r="E306" s="663" t="s">
        <v>1630</v>
      </c>
      <c r="F306" s="658">
        <v>0.1</v>
      </c>
      <c r="G306" s="658">
        <v>0</v>
      </c>
      <c r="H306" s="664">
        <v>2710200</v>
      </c>
      <c r="I306" s="664">
        <f t="shared" si="1"/>
        <v>2463800</v>
      </c>
      <c r="J306" s="661"/>
    </row>
    <row r="307" spans="1:10" ht="18.75" customHeight="1">
      <c r="A307" s="661"/>
      <c r="B307" s="659" t="s">
        <v>1624</v>
      </c>
      <c r="C307" s="659" t="s">
        <v>9903</v>
      </c>
      <c r="D307" s="665" t="s">
        <v>1631</v>
      </c>
      <c r="E307" s="665" t="s">
        <v>1632</v>
      </c>
      <c r="F307" s="660">
        <v>0.1</v>
      </c>
      <c r="G307" s="660">
        <v>0</v>
      </c>
      <c r="H307" s="666">
        <v>3106200</v>
      </c>
      <c r="I307" s="666">
        <f t="shared" si="1"/>
        <v>2823800</v>
      </c>
      <c r="J307" s="661"/>
    </row>
    <row r="308" spans="1:10" ht="18.75" customHeight="1">
      <c r="A308" s="661"/>
      <c r="B308" s="657" t="s">
        <v>1624</v>
      </c>
      <c r="C308" s="657" t="s">
        <v>9903</v>
      </c>
      <c r="D308" s="663" t="s">
        <v>1633</v>
      </c>
      <c r="E308" s="663" t="s">
        <v>1634</v>
      </c>
      <c r="F308" s="658">
        <v>0.1</v>
      </c>
      <c r="G308" s="658">
        <v>0</v>
      </c>
      <c r="H308" s="664">
        <v>3304200</v>
      </c>
      <c r="I308" s="664">
        <f t="shared" si="1"/>
        <v>3003800</v>
      </c>
      <c r="J308" s="661"/>
    </row>
    <row r="309" spans="1:10" ht="18.75" customHeight="1">
      <c r="A309" s="661"/>
      <c r="B309" s="659" t="s">
        <v>1624</v>
      </c>
      <c r="C309" s="659" t="s">
        <v>9903</v>
      </c>
      <c r="D309" s="665" t="s">
        <v>1635</v>
      </c>
      <c r="E309" s="665" t="s">
        <v>1636</v>
      </c>
      <c r="F309" s="660">
        <v>0.1</v>
      </c>
      <c r="G309" s="660">
        <v>0</v>
      </c>
      <c r="H309" s="666">
        <v>1707500</v>
      </c>
      <c r="I309" s="666">
        <f t="shared" si="1"/>
        <v>1552300</v>
      </c>
      <c r="J309" s="661"/>
    </row>
    <row r="310" spans="1:10" ht="18.75" customHeight="1">
      <c r="A310" s="661"/>
      <c r="B310" s="657" t="s">
        <v>1624</v>
      </c>
      <c r="C310" s="657" t="s">
        <v>9913</v>
      </c>
      <c r="D310" s="663" t="s">
        <v>1637</v>
      </c>
      <c r="E310" s="663" t="s">
        <v>1638</v>
      </c>
      <c r="F310" s="658">
        <v>0.1</v>
      </c>
      <c r="G310" s="658">
        <v>0</v>
      </c>
      <c r="H310" s="664">
        <v>2143100</v>
      </c>
      <c r="I310" s="664">
        <f t="shared" si="1"/>
        <v>1948300</v>
      </c>
      <c r="J310" s="661"/>
    </row>
    <row r="311" spans="1:10" ht="18.75" customHeight="1">
      <c r="A311" s="661"/>
      <c r="B311" s="659" t="s">
        <v>1624</v>
      </c>
      <c r="C311" s="659" t="s">
        <v>9903</v>
      </c>
      <c r="D311" s="665" t="s">
        <v>1639</v>
      </c>
      <c r="E311" s="665" t="s">
        <v>1640</v>
      </c>
      <c r="F311" s="660">
        <v>0.1</v>
      </c>
      <c r="G311" s="660">
        <v>0</v>
      </c>
      <c r="H311" s="666">
        <v>2288300</v>
      </c>
      <c r="I311" s="666">
        <f t="shared" si="1"/>
        <v>2080300</v>
      </c>
      <c r="J311" s="661"/>
    </row>
    <row r="312" spans="1:10" ht="18.75" customHeight="1">
      <c r="A312" s="661"/>
      <c r="B312" s="657" t="s">
        <v>1624</v>
      </c>
      <c r="C312" s="657" t="s">
        <v>9903</v>
      </c>
      <c r="D312" s="663" t="s">
        <v>1641</v>
      </c>
      <c r="E312" s="663" t="s">
        <v>1642</v>
      </c>
      <c r="F312" s="658">
        <v>0.1</v>
      </c>
      <c r="G312" s="658">
        <v>0</v>
      </c>
      <c r="H312" s="664">
        <v>2578700</v>
      </c>
      <c r="I312" s="664">
        <f t="shared" si="1"/>
        <v>2344300</v>
      </c>
      <c r="J312" s="661"/>
    </row>
    <row r="313" spans="1:10" ht="18.75" customHeight="1">
      <c r="A313" s="661"/>
      <c r="B313" s="659" t="s">
        <v>1624</v>
      </c>
      <c r="C313" s="659" t="s">
        <v>9903</v>
      </c>
      <c r="D313" s="665" t="s">
        <v>1643</v>
      </c>
      <c r="E313" s="665" t="s">
        <v>1644</v>
      </c>
      <c r="F313" s="660">
        <v>0.1</v>
      </c>
      <c r="G313" s="660">
        <v>0</v>
      </c>
      <c r="H313" s="666">
        <v>2723900</v>
      </c>
      <c r="I313" s="666">
        <f t="shared" si="1"/>
        <v>2476300</v>
      </c>
      <c r="J313" s="661"/>
    </row>
    <row r="314" spans="1:10" ht="18.75" customHeight="1">
      <c r="A314" s="661"/>
      <c r="B314" s="657" t="s">
        <v>1624</v>
      </c>
      <c r="C314" s="657" t="s">
        <v>9913</v>
      </c>
      <c r="D314" s="663" t="s">
        <v>1645</v>
      </c>
      <c r="E314" s="663" t="s">
        <v>1646</v>
      </c>
      <c r="F314" s="658">
        <v>0.1</v>
      </c>
      <c r="G314" s="658">
        <v>0</v>
      </c>
      <c r="H314" s="664">
        <v>2004600</v>
      </c>
      <c r="I314" s="664">
        <f t="shared" si="1"/>
        <v>1822400</v>
      </c>
      <c r="J314" s="661"/>
    </row>
    <row r="315" spans="1:10" ht="18.75" customHeight="1">
      <c r="A315" s="661"/>
      <c r="B315" s="659" t="s">
        <v>1624</v>
      </c>
      <c r="C315" s="659" t="s">
        <v>9914</v>
      </c>
      <c r="D315" s="665" t="s">
        <v>1647</v>
      </c>
      <c r="E315" s="665" t="s">
        <v>1648</v>
      </c>
      <c r="F315" s="660">
        <v>0.1</v>
      </c>
      <c r="G315" s="660">
        <v>0</v>
      </c>
      <c r="H315" s="666">
        <v>2400600</v>
      </c>
      <c r="I315" s="666">
        <f t="shared" si="1"/>
        <v>2182400</v>
      </c>
      <c r="J315" s="661"/>
    </row>
    <row r="316" spans="1:10" ht="18.75" customHeight="1">
      <c r="A316" s="661"/>
      <c r="B316" s="657" t="s">
        <v>1624</v>
      </c>
      <c r="C316" s="657" t="s">
        <v>9903</v>
      </c>
      <c r="D316" s="663" t="s">
        <v>1649</v>
      </c>
      <c r="E316" s="663" t="s">
        <v>1650</v>
      </c>
      <c r="F316" s="658">
        <v>0.1</v>
      </c>
      <c r="G316" s="658">
        <v>0</v>
      </c>
      <c r="H316" s="664">
        <v>2532600</v>
      </c>
      <c r="I316" s="664">
        <f t="shared" si="1"/>
        <v>2302400</v>
      </c>
      <c r="J316" s="661"/>
    </row>
    <row r="317" spans="1:10" ht="18.75" customHeight="1">
      <c r="A317" s="661"/>
      <c r="B317" s="659" t="s">
        <v>1624</v>
      </c>
      <c r="C317" s="659" t="s">
        <v>9903</v>
      </c>
      <c r="D317" s="665" t="s">
        <v>1651</v>
      </c>
      <c r="E317" s="665" t="s">
        <v>1652</v>
      </c>
      <c r="F317" s="660">
        <v>0.1</v>
      </c>
      <c r="G317" s="660">
        <v>0</v>
      </c>
      <c r="H317" s="666">
        <v>2796600</v>
      </c>
      <c r="I317" s="666">
        <f t="shared" si="1"/>
        <v>2542400</v>
      </c>
      <c r="J317" s="661"/>
    </row>
    <row r="318" spans="1:10" ht="18.75" customHeight="1">
      <c r="A318" s="661"/>
      <c r="B318" s="657" t="s">
        <v>1624</v>
      </c>
      <c r="C318" s="657" t="s">
        <v>9903</v>
      </c>
      <c r="D318" s="663" t="s">
        <v>1653</v>
      </c>
      <c r="E318" s="663" t="s">
        <v>1654</v>
      </c>
      <c r="F318" s="658">
        <v>0.1</v>
      </c>
      <c r="G318" s="658">
        <v>0</v>
      </c>
      <c r="H318" s="664">
        <v>2928600</v>
      </c>
      <c r="I318" s="664">
        <f t="shared" si="1"/>
        <v>2662400</v>
      </c>
      <c r="J318" s="661"/>
    </row>
    <row r="319" spans="1:10" ht="18.75" customHeight="1">
      <c r="A319" s="661"/>
      <c r="B319" s="659" t="s">
        <v>1624</v>
      </c>
      <c r="C319" s="659" t="s">
        <v>9914</v>
      </c>
      <c r="D319" s="665" t="s">
        <v>1655</v>
      </c>
      <c r="E319" s="665" t="s">
        <v>1656</v>
      </c>
      <c r="F319" s="660">
        <v>0.1</v>
      </c>
      <c r="G319" s="660">
        <v>0</v>
      </c>
      <c r="H319" s="666">
        <v>1498200</v>
      </c>
      <c r="I319" s="666">
        <f t="shared" si="1"/>
        <v>1362000</v>
      </c>
      <c r="J319" s="661"/>
    </row>
    <row r="320" spans="1:10" ht="18.75" customHeight="1">
      <c r="A320" s="661"/>
      <c r="B320" s="657" t="s">
        <v>1624</v>
      </c>
      <c r="C320" s="657" t="s">
        <v>9914</v>
      </c>
      <c r="D320" s="663" t="s">
        <v>1657</v>
      </c>
      <c r="E320" s="663" t="s">
        <v>1658</v>
      </c>
      <c r="F320" s="658">
        <v>0.1</v>
      </c>
      <c r="G320" s="658">
        <v>0</v>
      </c>
      <c r="H320" s="664">
        <v>1775400</v>
      </c>
      <c r="I320" s="664">
        <f t="shared" si="1"/>
        <v>1614000</v>
      </c>
      <c r="J320" s="661"/>
    </row>
    <row r="321" spans="1:10" ht="18.75" customHeight="1">
      <c r="A321" s="661"/>
      <c r="B321" s="659" t="s">
        <v>1624</v>
      </c>
      <c r="C321" s="659" t="s">
        <v>9903</v>
      </c>
      <c r="D321" s="665" t="s">
        <v>1659</v>
      </c>
      <c r="E321" s="665" t="s">
        <v>1660</v>
      </c>
      <c r="F321" s="660">
        <v>0.1</v>
      </c>
      <c r="G321" s="660">
        <v>0</v>
      </c>
      <c r="H321" s="666">
        <v>1867800</v>
      </c>
      <c r="I321" s="666">
        <f t="shared" si="1"/>
        <v>1698000</v>
      </c>
      <c r="J321" s="661"/>
    </row>
    <row r="322" spans="1:10" ht="18.75" customHeight="1">
      <c r="A322" s="661"/>
      <c r="B322" s="657" t="s">
        <v>1624</v>
      </c>
      <c r="C322" s="657" t="s">
        <v>9903</v>
      </c>
      <c r="D322" s="663" t="s">
        <v>1661</v>
      </c>
      <c r="E322" s="663" t="s">
        <v>1662</v>
      </c>
      <c r="F322" s="658">
        <v>0.1</v>
      </c>
      <c r="G322" s="658">
        <v>0</v>
      </c>
      <c r="H322" s="664">
        <v>2052600</v>
      </c>
      <c r="I322" s="664">
        <f t="shared" si="1"/>
        <v>1866000</v>
      </c>
      <c r="J322" s="661"/>
    </row>
    <row r="323" spans="1:10" ht="18.75" customHeight="1">
      <c r="A323" s="661"/>
      <c r="B323" s="659" t="s">
        <v>1624</v>
      </c>
      <c r="C323" s="659" t="s">
        <v>9903</v>
      </c>
      <c r="D323" s="665" t="s">
        <v>1663</v>
      </c>
      <c r="E323" s="665" t="s">
        <v>1664</v>
      </c>
      <c r="F323" s="660">
        <v>0.1</v>
      </c>
      <c r="G323" s="660">
        <v>0</v>
      </c>
      <c r="H323" s="666">
        <v>2145000</v>
      </c>
      <c r="I323" s="666">
        <f t="shared" si="1"/>
        <v>1950000</v>
      </c>
      <c r="J323" s="661"/>
    </row>
    <row r="324" spans="1:10" ht="18.75" customHeight="1">
      <c r="A324" s="661"/>
      <c r="B324" s="657" t="s">
        <v>1624</v>
      </c>
      <c r="C324" s="657" t="s">
        <v>9914</v>
      </c>
      <c r="D324" s="663" t="s">
        <v>1665</v>
      </c>
      <c r="E324" s="663" t="s">
        <v>1666</v>
      </c>
      <c r="F324" s="658">
        <v>0.1</v>
      </c>
      <c r="G324" s="658">
        <v>0</v>
      </c>
      <c r="H324" s="664">
        <v>1368300</v>
      </c>
      <c r="I324" s="664">
        <f t="shared" si="1"/>
        <v>1243900</v>
      </c>
      <c r="J324" s="661"/>
    </row>
    <row r="325" spans="1:10" ht="18.75" customHeight="1">
      <c r="A325" s="661"/>
      <c r="B325" s="659" t="s">
        <v>1624</v>
      </c>
      <c r="C325" s="659" t="s">
        <v>9914</v>
      </c>
      <c r="D325" s="665" t="s">
        <v>1667</v>
      </c>
      <c r="E325" s="665" t="s">
        <v>1668</v>
      </c>
      <c r="F325" s="660">
        <v>0.1</v>
      </c>
      <c r="G325" s="660">
        <v>0</v>
      </c>
      <c r="H325" s="666">
        <v>1566300</v>
      </c>
      <c r="I325" s="666">
        <f t="shared" si="1"/>
        <v>1423900</v>
      </c>
      <c r="J325" s="661"/>
    </row>
    <row r="326" spans="1:10" ht="18.75" customHeight="1">
      <c r="A326" s="661"/>
      <c r="B326" s="657" t="s">
        <v>1624</v>
      </c>
      <c r="C326" s="657" t="s">
        <v>9903</v>
      </c>
      <c r="D326" s="663" t="s">
        <v>1669</v>
      </c>
      <c r="E326" s="663" t="s">
        <v>1670</v>
      </c>
      <c r="F326" s="658">
        <v>0.1</v>
      </c>
      <c r="G326" s="658">
        <v>0</v>
      </c>
      <c r="H326" s="664">
        <v>1632300</v>
      </c>
      <c r="I326" s="664">
        <f t="shared" si="1"/>
        <v>1483900</v>
      </c>
      <c r="J326" s="661"/>
    </row>
    <row r="327" spans="1:10" ht="18.75" customHeight="1">
      <c r="A327" s="661"/>
      <c r="B327" s="659" t="s">
        <v>1624</v>
      </c>
      <c r="C327" s="659" t="s">
        <v>9903</v>
      </c>
      <c r="D327" s="665" t="s">
        <v>1671</v>
      </c>
      <c r="E327" s="665" t="s">
        <v>1672</v>
      </c>
      <c r="F327" s="660">
        <v>0.1</v>
      </c>
      <c r="G327" s="660">
        <v>0</v>
      </c>
      <c r="H327" s="666">
        <v>1764300</v>
      </c>
      <c r="I327" s="666">
        <f t="shared" si="1"/>
        <v>1603900</v>
      </c>
      <c r="J327" s="661"/>
    </row>
    <row r="328" spans="1:10" ht="18.75" customHeight="1">
      <c r="A328" s="661"/>
      <c r="B328" s="657" t="s">
        <v>1624</v>
      </c>
      <c r="C328" s="657" t="s">
        <v>9903</v>
      </c>
      <c r="D328" s="663" t="s">
        <v>1673</v>
      </c>
      <c r="E328" s="663" t="s">
        <v>1674</v>
      </c>
      <c r="F328" s="658">
        <v>0.1</v>
      </c>
      <c r="G328" s="658">
        <v>0</v>
      </c>
      <c r="H328" s="664">
        <v>1830300</v>
      </c>
      <c r="I328" s="664">
        <f t="shared" si="1"/>
        <v>1663900</v>
      </c>
      <c r="J328" s="661"/>
    </row>
  </sheetData>
  <mergeCells count="1">
    <mergeCell ref="A1:J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M45"/>
  <sheetViews>
    <sheetView showGridLines="0" topLeftCell="D1" workbookViewId="0">
      <pane ySplit="4" topLeftCell="A5" activePane="bottomLeft" state="frozen"/>
      <selection pane="bottomLeft" activeCell="E9" sqref="E9"/>
    </sheetView>
  </sheetViews>
  <sheetFormatPr defaultColWidth="12.5703125" defaultRowHeight="15" customHeight="1"/>
  <cols>
    <col min="1" max="1" width="5" customWidth="1"/>
    <col min="2" max="2" width="19" customWidth="1"/>
    <col min="3" max="3" width="16.42578125" customWidth="1"/>
    <col min="4" max="4" width="22.42578125" customWidth="1"/>
    <col min="5" max="5" width="51.42578125" customWidth="1"/>
    <col min="6" max="7" width="17.140625" customWidth="1"/>
    <col min="8" max="8" width="16" customWidth="1"/>
    <col min="9" max="9" width="11.42578125" customWidth="1"/>
    <col min="10" max="12" width="14.140625" customWidth="1"/>
    <col min="13" max="13" width="4.7109375" customWidth="1"/>
  </cols>
  <sheetData>
    <row r="1" spans="1:13" ht="12.75" customHeight="1">
      <c r="A1" s="882" t="s">
        <v>9915</v>
      </c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5"/>
    </row>
    <row r="2" spans="1:13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7"/>
      <c r="K2" s="707"/>
      <c r="L2" s="707"/>
      <c r="M2" s="708"/>
    </row>
    <row r="3" spans="1:13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</row>
    <row r="4" spans="1:13" ht="12.75" customHeight="1">
      <c r="A4" s="661"/>
      <c r="B4" s="655" t="s">
        <v>673</v>
      </c>
      <c r="C4" s="655" t="s">
        <v>3925</v>
      </c>
      <c r="D4" s="662" t="s">
        <v>674</v>
      </c>
      <c r="E4" s="662" t="s">
        <v>675</v>
      </c>
      <c r="F4" s="662" t="s">
        <v>9916</v>
      </c>
      <c r="G4" s="662" t="s">
        <v>1418</v>
      </c>
      <c r="H4" s="655" t="s">
        <v>3926</v>
      </c>
      <c r="I4" s="655" t="s">
        <v>3927</v>
      </c>
      <c r="J4" s="662" t="s">
        <v>80</v>
      </c>
      <c r="K4" s="662" t="s">
        <v>81</v>
      </c>
      <c r="L4" s="662" t="s">
        <v>82</v>
      </c>
      <c r="M4" s="661"/>
    </row>
    <row r="5" spans="1:13" ht="18.75" customHeight="1">
      <c r="A5" s="661"/>
      <c r="B5" s="657" t="s">
        <v>9917</v>
      </c>
      <c r="C5" s="657" t="s">
        <v>9918</v>
      </c>
      <c r="D5" s="663" t="s">
        <v>9919</v>
      </c>
      <c r="E5" s="663" t="s">
        <v>9920</v>
      </c>
      <c r="F5" s="663" t="s">
        <v>9921</v>
      </c>
      <c r="G5" s="663" t="s">
        <v>9922</v>
      </c>
      <c r="H5" s="658">
        <v>0.1</v>
      </c>
      <c r="I5" s="658">
        <v>0</v>
      </c>
      <c r="J5" s="664"/>
      <c r="K5" s="664">
        <f t="shared" ref="K5:K45" si="0">IF(ISBLANK(J5),,ROUND(J5/(1+H5),-1))</f>
        <v>0</v>
      </c>
      <c r="L5" s="663">
        <f t="shared" ref="L5:L45" si="1">IF(ISBLANK(J5),,ROUND(J5*(1-I5),-1))</f>
        <v>0</v>
      </c>
      <c r="M5" s="661"/>
    </row>
    <row r="6" spans="1:13" ht="18.75" customHeight="1">
      <c r="A6" s="661"/>
      <c r="B6" s="657" t="s">
        <v>9917</v>
      </c>
      <c r="C6" s="657" t="s">
        <v>9923</v>
      </c>
      <c r="D6" s="663" t="s">
        <v>385</v>
      </c>
      <c r="E6" s="663" t="s">
        <v>9924</v>
      </c>
      <c r="F6" s="663" t="s">
        <v>351</v>
      </c>
      <c r="G6" s="663" t="s">
        <v>9922</v>
      </c>
      <c r="H6" s="658">
        <v>0.1</v>
      </c>
      <c r="I6" s="658">
        <v>0</v>
      </c>
      <c r="J6" s="664">
        <v>2736800</v>
      </c>
      <c r="K6" s="664">
        <f t="shared" si="0"/>
        <v>2488000</v>
      </c>
      <c r="L6" s="664">
        <f t="shared" si="1"/>
        <v>2736800</v>
      </c>
      <c r="M6" s="661"/>
    </row>
    <row r="7" spans="1:13" ht="18.75" customHeight="1">
      <c r="A7" s="661"/>
      <c r="B7" s="657" t="s">
        <v>9917</v>
      </c>
      <c r="C7" s="657" t="s">
        <v>9925</v>
      </c>
      <c r="D7" s="663" t="s">
        <v>418</v>
      </c>
      <c r="E7" s="663" t="s">
        <v>9926</v>
      </c>
      <c r="F7" s="663" t="s">
        <v>359</v>
      </c>
      <c r="G7" s="663" t="s">
        <v>9922</v>
      </c>
      <c r="H7" s="658">
        <v>0.1</v>
      </c>
      <c r="I7" s="658">
        <v>0</v>
      </c>
      <c r="J7" s="664">
        <v>2990000</v>
      </c>
      <c r="K7" s="664">
        <f t="shared" si="0"/>
        <v>2718180</v>
      </c>
      <c r="L7" s="664">
        <f t="shared" si="1"/>
        <v>2990000</v>
      </c>
      <c r="M7" s="661"/>
    </row>
    <row r="8" spans="1:13" ht="18.75" customHeight="1">
      <c r="A8" s="661"/>
      <c r="B8" s="657" t="s">
        <v>9917</v>
      </c>
      <c r="C8" s="657" t="s">
        <v>9925</v>
      </c>
      <c r="D8" s="663" t="s">
        <v>391</v>
      </c>
      <c r="E8" s="663" t="s">
        <v>9927</v>
      </c>
      <c r="F8" s="663" t="s">
        <v>359</v>
      </c>
      <c r="G8" s="663" t="s">
        <v>9922</v>
      </c>
      <c r="H8" s="658">
        <v>0.1</v>
      </c>
      <c r="I8" s="658">
        <v>0</v>
      </c>
      <c r="J8" s="664">
        <v>2800000</v>
      </c>
      <c r="K8" s="664">
        <f t="shared" si="0"/>
        <v>2545450</v>
      </c>
      <c r="L8" s="664">
        <f t="shared" si="1"/>
        <v>2800000</v>
      </c>
      <c r="M8" s="661"/>
    </row>
    <row r="9" spans="1:13" ht="18.75" customHeight="1">
      <c r="A9" s="661"/>
      <c r="B9" s="657" t="s">
        <v>9917</v>
      </c>
      <c r="C9" s="657" t="s">
        <v>9928</v>
      </c>
      <c r="D9" s="663" t="s">
        <v>393</v>
      </c>
      <c r="E9" s="663" t="s">
        <v>9929</v>
      </c>
      <c r="F9" s="663" t="s">
        <v>364</v>
      </c>
      <c r="G9" s="663" t="s">
        <v>9922</v>
      </c>
      <c r="H9" s="658">
        <v>0.1</v>
      </c>
      <c r="I9" s="658">
        <v>0</v>
      </c>
      <c r="J9" s="664">
        <v>2800000</v>
      </c>
      <c r="K9" s="664">
        <f t="shared" si="0"/>
        <v>2545450</v>
      </c>
      <c r="L9" s="664">
        <f t="shared" si="1"/>
        <v>2800000</v>
      </c>
      <c r="M9" s="661"/>
    </row>
    <row r="10" spans="1:13" ht="18.75" customHeight="1">
      <c r="A10" s="661"/>
      <c r="B10" s="657" t="s">
        <v>9917</v>
      </c>
      <c r="C10" s="657" t="s">
        <v>9930</v>
      </c>
      <c r="D10" s="663" t="s">
        <v>389</v>
      </c>
      <c r="E10" s="663" t="s">
        <v>9931</v>
      </c>
      <c r="F10" s="663" t="s">
        <v>354</v>
      </c>
      <c r="G10" s="663" t="s">
        <v>9922</v>
      </c>
      <c r="H10" s="658">
        <v>0.1</v>
      </c>
      <c r="I10" s="658">
        <v>0</v>
      </c>
      <c r="J10" s="664">
        <v>2480000</v>
      </c>
      <c r="K10" s="664">
        <f t="shared" si="0"/>
        <v>2254550</v>
      </c>
      <c r="L10" s="664">
        <f t="shared" si="1"/>
        <v>2480000</v>
      </c>
      <c r="M10" s="661"/>
    </row>
    <row r="11" spans="1:13" ht="18.75" customHeight="1">
      <c r="A11" s="661"/>
      <c r="B11" s="657" t="s">
        <v>9917</v>
      </c>
      <c r="C11" s="657" t="s">
        <v>9930</v>
      </c>
      <c r="D11" s="663" t="s">
        <v>388</v>
      </c>
      <c r="E11" s="663" t="s">
        <v>9932</v>
      </c>
      <c r="F11" s="663" t="s">
        <v>354</v>
      </c>
      <c r="G11" s="663" t="s">
        <v>9922</v>
      </c>
      <c r="H11" s="658">
        <v>0.1</v>
      </c>
      <c r="I11" s="658">
        <v>0</v>
      </c>
      <c r="J11" s="664">
        <v>3300000</v>
      </c>
      <c r="K11" s="664">
        <f t="shared" si="0"/>
        <v>3000000</v>
      </c>
      <c r="L11" s="664">
        <f t="shared" si="1"/>
        <v>3300000</v>
      </c>
      <c r="M11" s="661"/>
    </row>
    <row r="12" spans="1:13" ht="18.75" customHeight="1">
      <c r="A12" s="661"/>
      <c r="B12" s="657" t="s">
        <v>9933</v>
      </c>
      <c r="C12" s="657" t="s">
        <v>9934</v>
      </c>
      <c r="D12" s="663" t="s">
        <v>9935</v>
      </c>
      <c r="E12" s="663" t="s">
        <v>9936</v>
      </c>
      <c r="F12" s="663" t="s">
        <v>337</v>
      </c>
      <c r="G12" s="663" t="s">
        <v>9922</v>
      </c>
      <c r="H12" s="658">
        <v>0.1</v>
      </c>
      <c r="I12" s="658">
        <v>0</v>
      </c>
      <c r="J12" s="664"/>
      <c r="K12" s="664">
        <f t="shared" si="0"/>
        <v>0</v>
      </c>
      <c r="L12" s="663">
        <f t="shared" si="1"/>
        <v>0</v>
      </c>
      <c r="M12" s="661"/>
    </row>
    <row r="13" spans="1:13" ht="18.75" customHeight="1">
      <c r="A13" s="661"/>
      <c r="B13" s="657" t="s">
        <v>9933</v>
      </c>
      <c r="C13" s="657" t="s">
        <v>9937</v>
      </c>
      <c r="D13" s="663" t="s">
        <v>373</v>
      </c>
      <c r="E13" s="663" t="s">
        <v>9938</v>
      </c>
      <c r="F13" s="663" t="s">
        <v>351</v>
      </c>
      <c r="G13" s="663" t="s">
        <v>9922</v>
      </c>
      <c r="H13" s="658">
        <v>0.1</v>
      </c>
      <c r="I13" s="658">
        <v>0</v>
      </c>
      <c r="J13" s="664">
        <v>1950000</v>
      </c>
      <c r="K13" s="664">
        <f t="shared" si="0"/>
        <v>1772730</v>
      </c>
      <c r="L13" s="664">
        <f t="shared" si="1"/>
        <v>1950000</v>
      </c>
      <c r="M13" s="661"/>
    </row>
    <row r="14" spans="1:13" ht="18.75" customHeight="1">
      <c r="A14" s="661"/>
      <c r="B14" s="657" t="s">
        <v>9933</v>
      </c>
      <c r="C14" s="657" t="s">
        <v>9939</v>
      </c>
      <c r="D14" s="663" t="s">
        <v>414</v>
      </c>
      <c r="E14" s="663" t="s">
        <v>9940</v>
      </c>
      <c r="F14" s="663" t="s">
        <v>359</v>
      </c>
      <c r="G14" s="663" t="s">
        <v>9922</v>
      </c>
      <c r="H14" s="658">
        <v>0.1</v>
      </c>
      <c r="I14" s="658">
        <v>0</v>
      </c>
      <c r="J14" s="664">
        <v>2350000</v>
      </c>
      <c r="K14" s="664">
        <f t="shared" si="0"/>
        <v>2136360</v>
      </c>
      <c r="L14" s="664">
        <f t="shared" si="1"/>
        <v>2350000</v>
      </c>
      <c r="M14" s="661"/>
    </row>
    <row r="15" spans="1:13" ht="18.75" customHeight="1">
      <c r="A15" s="661"/>
      <c r="B15" s="657" t="s">
        <v>9933</v>
      </c>
      <c r="C15" s="657" t="s">
        <v>9939</v>
      </c>
      <c r="D15" s="663" t="s">
        <v>415</v>
      </c>
      <c r="E15" s="663" t="s">
        <v>9941</v>
      </c>
      <c r="F15" s="663" t="s">
        <v>364</v>
      </c>
      <c r="G15" s="663" t="s">
        <v>9922</v>
      </c>
      <c r="H15" s="658">
        <v>0.1</v>
      </c>
      <c r="I15" s="658">
        <v>0</v>
      </c>
      <c r="J15" s="664">
        <v>2220000</v>
      </c>
      <c r="K15" s="664">
        <f t="shared" si="0"/>
        <v>2018180</v>
      </c>
      <c r="L15" s="664">
        <f t="shared" si="1"/>
        <v>2220000</v>
      </c>
      <c r="M15" s="661"/>
    </row>
    <row r="16" spans="1:13" ht="18.75" customHeight="1">
      <c r="A16" s="661"/>
      <c r="B16" s="657" t="s">
        <v>9933</v>
      </c>
      <c r="C16" s="657" t="s">
        <v>9939</v>
      </c>
      <c r="D16" s="663" t="s">
        <v>9942</v>
      </c>
      <c r="E16" s="663" t="s">
        <v>9943</v>
      </c>
      <c r="F16" s="663" t="s">
        <v>354</v>
      </c>
      <c r="G16" s="663" t="s">
        <v>9922</v>
      </c>
      <c r="H16" s="658">
        <v>0.1</v>
      </c>
      <c r="I16" s="658">
        <v>0</v>
      </c>
      <c r="J16" s="664"/>
      <c r="K16" s="664">
        <f t="shared" si="0"/>
        <v>0</v>
      </c>
      <c r="L16" s="663">
        <f t="shared" si="1"/>
        <v>0</v>
      </c>
      <c r="M16" s="661"/>
    </row>
    <row r="17" spans="1:13" ht="18.75" customHeight="1">
      <c r="A17" s="661"/>
      <c r="B17" s="657" t="s">
        <v>9944</v>
      </c>
      <c r="C17" s="657" t="s">
        <v>9945</v>
      </c>
      <c r="D17" s="663" t="s">
        <v>380</v>
      </c>
      <c r="E17" s="663" t="s">
        <v>9946</v>
      </c>
      <c r="F17" s="663" t="s">
        <v>9947</v>
      </c>
      <c r="G17" s="663" t="s">
        <v>9922</v>
      </c>
      <c r="H17" s="658">
        <v>0.1</v>
      </c>
      <c r="I17" s="658">
        <v>0</v>
      </c>
      <c r="J17" s="664">
        <v>2000000</v>
      </c>
      <c r="K17" s="664">
        <f t="shared" si="0"/>
        <v>1818180</v>
      </c>
      <c r="L17" s="664">
        <f t="shared" si="1"/>
        <v>2000000</v>
      </c>
      <c r="M17" s="661"/>
    </row>
    <row r="18" spans="1:13" ht="18.75" customHeight="1">
      <c r="A18" s="661"/>
      <c r="B18" s="657" t="s">
        <v>9948</v>
      </c>
      <c r="C18" s="657" t="s">
        <v>9949</v>
      </c>
      <c r="D18" s="663" t="s">
        <v>433</v>
      </c>
      <c r="E18" s="663" t="s">
        <v>9950</v>
      </c>
      <c r="F18" s="663" t="s">
        <v>351</v>
      </c>
      <c r="G18" s="663" t="s">
        <v>9922</v>
      </c>
      <c r="H18" s="658">
        <v>0.1</v>
      </c>
      <c r="I18" s="658">
        <v>0</v>
      </c>
      <c r="J18" s="664"/>
      <c r="K18" s="664">
        <f t="shared" si="0"/>
        <v>0</v>
      </c>
      <c r="L18" s="663">
        <f t="shared" si="1"/>
        <v>0</v>
      </c>
      <c r="M18" s="661"/>
    </row>
    <row r="19" spans="1:13" ht="18.75" customHeight="1">
      <c r="A19" s="661"/>
      <c r="B19" s="657" t="s">
        <v>9948</v>
      </c>
      <c r="C19" s="657" t="s">
        <v>9949</v>
      </c>
      <c r="D19" s="663" t="s">
        <v>410</v>
      </c>
      <c r="E19" s="663" t="s">
        <v>9951</v>
      </c>
      <c r="F19" s="663" t="s">
        <v>351</v>
      </c>
      <c r="G19" s="663" t="s">
        <v>9952</v>
      </c>
      <c r="H19" s="658">
        <v>0.1</v>
      </c>
      <c r="I19" s="658">
        <v>0</v>
      </c>
      <c r="J19" s="664">
        <v>590000</v>
      </c>
      <c r="K19" s="664">
        <f t="shared" si="0"/>
        <v>536360</v>
      </c>
      <c r="L19" s="664">
        <f t="shared" si="1"/>
        <v>590000</v>
      </c>
      <c r="M19" s="661"/>
    </row>
    <row r="20" spans="1:13" ht="18.75" customHeight="1">
      <c r="A20" s="661"/>
      <c r="B20" s="657" t="s">
        <v>9953</v>
      </c>
      <c r="C20" s="657" t="s">
        <v>9934</v>
      </c>
      <c r="D20" s="663" t="s">
        <v>370</v>
      </c>
      <c r="E20" s="663" t="s">
        <v>9954</v>
      </c>
      <c r="F20" s="663" t="s">
        <v>337</v>
      </c>
      <c r="G20" s="663" t="s">
        <v>9922</v>
      </c>
      <c r="H20" s="658">
        <v>0.1</v>
      </c>
      <c r="I20" s="658">
        <v>0.01</v>
      </c>
      <c r="J20" s="664">
        <v>2255200</v>
      </c>
      <c r="K20" s="664">
        <f t="shared" si="0"/>
        <v>2050180</v>
      </c>
      <c r="L20" s="664">
        <f t="shared" si="1"/>
        <v>2232650</v>
      </c>
      <c r="M20" s="661"/>
    </row>
    <row r="21" spans="1:13" ht="18.75" customHeight="1">
      <c r="A21" s="661"/>
      <c r="B21" s="657" t="s">
        <v>9953</v>
      </c>
      <c r="C21" s="657" t="s">
        <v>9934</v>
      </c>
      <c r="D21" s="663" t="s">
        <v>9955</v>
      </c>
      <c r="E21" s="663" t="s">
        <v>9956</v>
      </c>
      <c r="F21" s="663" t="s">
        <v>337</v>
      </c>
      <c r="G21" s="663" t="s">
        <v>9922</v>
      </c>
      <c r="H21" s="658">
        <v>0.1</v>
      </c>
      <c r="I21" s="658">
        <v>0.01</v>
      </c>
      <c r="J21" s="664"/>
      <c r="K21" s="664">
        <f t="shared" si="0"/>
        <v>0</v>
      </c>
      <c r="L21" s="663">
        <f t="shared" si="1"/>
        <v>0</v>
      </c>
      <c r="M21" s="661"/>
    </row>
    <row r="22" spans="1:13" ht="18.75" customHeight="1">
      <c r="A22" s="661"/>
      <c r="B22" s="657" t="s">
        <v>9953</v>
      </c>
      <c r="C22" s="657" t="s">
        <v>9957</v>
      </c>
      <c r="D22" s="663" t="s">
        <v>379</v>
      </c>
      <c r="E22" s="663" t="s">
        <v>9958</v>
      </c>
      <c r="F22" s="663" t="s">
        <v>364</v>
      </c>
      <c r="G22" s="663" t="s">
        <v>9922</v>
      </c>
      <c r="H22" s="658">
        <v>0.1</v>
      </c>
      <c r="I22" s="658">
        <v>0.01</v>
      </c>
      <c r="J22" s="664">
        <v>2100000</v>
      </c>
      <c r="K22" s="664">
        <f t="shared" si="0"/>
        <v>1909090</v>
      </c>
      <c r="L22" s="664">
        <f t="shared" si="1"/>
        <v>2079000</v>
      </c>
      <c r="M22" s="661"/>
    </row>
    <row r="23" spans="1:13" ht="18.75" customHeight="1">
      <c r="A23" s="661"/>
      <c r="B23" s="657" t="s">
        <v>9953</v>
      </c>
      <c r="C23" s="657" t="s">
        <v>9957</v>
      </c>
      <c r="D23" s="663" t="s">
        <v>378</v>
      </c>
      <c r="E23" s="663" t="s">
        <v>9959</v>
      </c>
      <c r="F23" s="663" t="s">
        <v>354</v>
      </c>
      <c r="G23" s="663" t="s">
        <v>9922</v>
      </c>
      <c r="H23" s="658">
        <v>0.1</v>
      </c>
      <c r="I23" s="658">
        <v>0.01</v>
      </c>
      <c r="J23" s="664">
        <v>1989500</v>
      </c>
      <c r="K23" s="664">
        <f t="shared" si="0"/>
        <v>1808640</v>
      </c>
      <c r="L23" s="664">
        <f t="shared" si="1"/>
        <v>1969610</v>
      </c>
      <c r="M23" s="661"/>
    </row>
    <row r="24" spans="1:13" ht="18.75" customHeight="1">
      <c r="A24" s="661"/>
      <c r="B24" s="657" t="s">
        <v>9960</v>
      </c>
      <c r="C24" s="657" t="s">
        <v>9961</v>
      </c>
      <c r="D24" s="663" t="s">
        <v>9962</v>
      </c>
      <c r="E24" s="663" t="s">
        <v>9963</v>
      </c>
      <c r="F24" s="663" t="s">
        <v>351</v>
      </c>
      <c r="G24" s="663" t="s">
        <v>9922</v>
      </c>
      <c r="H24" s="658">
        <v>0.1</v>
      </c>
      <c r="I24" s="658">
        <v>0</v>
      </c>
      <c r="J24" s="664"/>
      <c r="K24" s="664">
        <f t="shared" si="0"/>
        <v>0</v>
      </c>
      <c r="L24" s="663">
        <f t="shared" si="1"/>
        <v>0</v>
      </c>
      <c r="M24" s="661"/>
    </row>
    <row r="25" spans="1:13" ht="18.75" customHeight="1">
      <c r="A25" s="661"/>
      <c r="B25" s="657" t="s">
        <v>9964</v>
      </c>
      <c r="C25" s="657" t="s">
        <v>9965</v>
      </c>
      <c r="D25" s="663" t="s">
        <v>9966</v>
      </c>
      <c r="E25" s="663" t="s">
        <v>9967</v>
      </c>
      <c r="F25" s="663" t="s">
        <v>351</v>
      </c>
      <c r="G25" s="663" t="s">
        <v>9922</v>
      </c>
      <c r="H25" s="658">
        <v>0.1</v>
      </c>
      <c r="I25" s="658">
        <v>0.02</v>
      </c>
      <c r="J25" s="664"/>
      <c r="K25" s="664">
        <f t="shared" si="0"/>
        <v>0</v>
      </c>
      <c r="L25" s="663">
        <f t="shared" si="1"/>
        <v>0</v>
      </c>
      <c r="M25" s="661"/>
    </row>
    <row r="26" spans="1:13" ht="18.75" customHeight="1">
      <c r="A26" s="661"/>
      <c r="B26" s="657" t="s">
        <v>9964</v>
      </c>
      <c r="C26" s="657" t="s">
        <v>9968</v>
      </c>
      <c r="D26" s="663" t="s">
        <v>377</v>
      </c>
      <c r="E26" s="663" t="s">
        <v>9969</v>
      </c>
      <c r="F26" s="663" t="s">
        <v>337</v>
      </c>
      <c r="G26" s="663" t="s">
        <v>9922</v>
      </c>
      <c r="H26" s="658">
        <v>0.1</v>
      </c>
      <c r="I26" s="658">
        <v>0.02</v>
      </c>
      <c r="J26" s="664">
        <v>1900000</v>
      </c>
      <c r="K26" s="664">
        <f t="shared" si="0"/>
        <v>1727270</v>
      </c>
      <c r="L26" s="664">
        <f t="shared" si="1"/>
        <v>1862000</v>
      </c>
      <c r="M26" s="661"/>
    </row>
    <row r="27" spans="1:13" ht="18.75" customHeight="1">
      <c r="A27" s="661"/>
      <c r="B27" s="657" t="s">
        <v>9964</v>
      </c>
      <c r="C27" s="657" t="s">
        <v>9968</v>
      </c>
      <c r="D27" s="663" t="s">
        <v>9970</v>
      </c>
      <c r="E27" s="663" t="s">
        <v>9971</v>
      </c>
      <c r="F27" s="663" t="s">
        <v>337</v>
      </c>
      <c r="G27" s="663" t="s">
        <v>9922</v>
      </c>
      <c r="H27" s="658">
        <v>0.1</v>
      </c>
      <c r="I27" s="658">
        <v>0.02</v>
      </c>
      <c r="J27" s="664"/>
      <c r="K27" s="664">
        <f t="shared" si="0"/>
        <v>0</v>
      </c>
      <c r="L27" s="663">
        <f t="shared" si="1"/>
        <v>0</v>
      </c>
      <c r="M27" s="661"/>
    </row>
    <row r="28" spans="1:13" ht="18.75" customHeight="1">
      <c r="A28" s="661"/>
      <c r="B28" s="657" t="s">
        <v>9964</v>
      </c>
      <c r="C28" s="657" t="s">
        <v>9972</v>
      </c>
      <c r="D28" s="663" t="s">
        <v>375</v>
      </c>
      <c r="E28" s="663" t="s">
        <v>9973</v>
      </c>
      <c r="F28" s="663" t="s">
        <v>354</v>
      </c>
      <c r="G28" s="663" t="s">
        <v>9922</v>
      </c>
      <c r="H28" s="658">
        <v>0.1</v>
      </c>
      <c r="I28" s="658">
        <v>0.02</v>
      </c>
      <c r="J28" s="664">
        <v>2000000</v>
      </c>
      <c r="K28" s="664">
        <f t="shared" si="0"/>
        <v>1818180</v>
      </c>
      <c r="L28" s="664">
        <f t="shared" si="1"/>
        <v>1960000</v>
      </c>
      <c r="M28" s="661"/>
    </row>
    <row r="29" spans="1:13" ht="18.75" customHeight="1">
      <c r="A29" s="661"/>
      <c r="B29" s="657" t="s">
        <v>458</v>
      </c>
      <c r="C29" s="657" t="s">
        <v>9968</v>
      </c>
      <c r="D29" s="663" t="s">
        <v>334</v>
      </c>
      <c r="E29" s="663" t="s">
        <v>9974</v>
      </c>
      <c r="F29" s="663" t="s">
        <v>337</v>
      </c>
      <c r="G29" s="663" t="s">
        <v>9952</v>
      </c>
      <c r="H29" s="658">
        <v>0.1</v>
      </c>
      <c r="I29" s="658">
        <v>0.03</v>
      </c>
      <c r="J29" s="664">
        <v>505300</v>
      </c>
      <c r="K29" s="664">
        <f t="shared" si="0"/>
        <v>459360</v>
      </c>
      <c r="L29" s="664">
        <f t="shared" si="1"/>
        <v>490140</v>
      </c>
      <c r="M29" s="661"/>
    </row>
    <row r="30" spans="1:13" ht="18.75" customHeight="1">
      <c r="A30" s="661"/>
      <c r="B30" s="657" t="s">
        <v>458</v>
      </c>
      <c r="C30" s="657" t="s">
        <v>9968</v>
      </c>
      <c r="D30" s="663" t="s">
        <v>340</v>
      </c>
      <c r="E30" s="663" t="s">
        <v>9975</v>
      </c>
      <c r="F30" s="663" t="s">
        <v>337</v>
      </c>
      <c r="G30" s="663" t="s">
        <v>9922</v>
      </c>
      <c r="H30" s="658">
        <v>0.1</v>
      </c>
      <c r="I30" s="658">
        <v>0.02</v>
      </c>
      <c r="J30" s="664">
        <v>1831600</v>
      </c>
      <c r="K30" s="664">
        <f t="shared" si="0"/>
        <v>1665090</v>
      </c>
      <c r="L30" s="663">
        <f t="shared" si="1"/>
        <v>1794970</v>
      </c>
      <c r="M30" s="661"/>
    </row>
    <row r="31" spans="1:13" ht="18.75" customHeight="1">
      <c r="A31" s="661"/>
      <c r="B31" s="657" t="s">
        <v>458</v>
      </c>
      <c r="C31" s="657" t="s">
        <v>9976</v>
      </c>
      <c r="D31" s="663" t="s">
        <v>342</v>
      </c>
      <c r="E31" s="663" t="s">
        <v>9977</v>
      </c>
      <c r="F31" s="663" t="s">
        <v>343</v>
      </c>
      <c r="G31" s="663" t="s">
        <v>9952</v>
      </c>
      <c r="H31" s="658">
        <v>0.1</v>
      </c>
      <c r="I31" s="658">
        <v>0.03</v>
      </c>
      <c r="J31" s="664">
        <v>357900</v>
      </c>
      <c r="K31" s="664">
        <f t="shared" si="0"/>
        <v>325360</v>
      </c>
      <c r="L31" s="664">
        <f t="shared" si="1"/>
        <v>347160</v>
      </c>
      <c r="M31" s="661"/>
    </row>
    <row r="32" spans="1:13" ht="18.75" customHeight="1">
      <c r="A32" s="661"/>
      <c r="B32" s="657" t="s">
        <v>458</v>
      </c>
      <c r="C32" s="657" t="s">
        <v>9976</v>
      </c>
      <c r="D32" s="663" t="s">
        <v>344</v>
      </c>
      <c r="E32" s="663" t="s">
        <v>9978</v>
      </c>
      <c r="F32" s="663" t="s">
        <v>343</v>
      </c>
      <c r="G32" s="663" t="s">
        <v>9922</v>
      </c>
      <c r="H32" s="658">
        <v>0.1</v>
      </c>
      <c r="I32" s="658">
        <v>0.02</v>
      </c>
      <c r="J32" s="664">
        <v>715800</v>
      </c>
      <c r="K32" s="664">
        <f t="shared" si="0"/>
        <v>650730</v>
      </c>
      <c r="L32" s="664">
        <f t="shared" si="1"/>
        <v>701480</v>
      </c>
      <c r="M32" s="661"/>
    </row>
    <row r="33" spans="1:13" ht="18.75" customHeight="1">
      <c r="A33" s="661"/>
      <c r="B33" s="657" t="s">
        <v>458</v>
      </c>
      <c r="C33" s="657" t="s">
        <v>9976</v>
      </c>
      <c r="D33" s="663" t="s">
        <v>346</v>
      </c>
      <c r="E33" s="663" t="s">
        <v>9979</v>
      </c>
      <c r="F33" s="663" t="s">
        <v>343</v>
      </c>
      <c r="G33" s="663" t="s">
        <v>9922</v>
      </c>
      <c r="H33" s="658">
        <v>0.1</v>
      </c>
      <c r="I33" s="658">
        <v>0.02</v>
      </c>
      <c r="J33" s="664">
        <v>873700</v>
      </c>
      <c r="K33" s="664">
        <f t="shared" si="0"/>
        <v>794270</v>
      </c>
      <c r="L33" s="664">
        <f t="shared" si="1"/>
        <v>856230</v>
      </c>
      <c r="M33" s="661"/>
    </row>
    <row r="34" spans="1:13" ht="18.75" customHeight="1">
      <c r="A34" s="661"/>
      <c r="B34" s="657" t="s">
        <v>458</v>
      </c>
      <c r="C34" s="657" t="s">
        <v>9976</v>
      </c>
      <c r="D34" s="663" t="s">
        <v>348</v>
      </c>
      <c r="E34" s="663" t="s">
        <v>9980</v>
      </c>
      <c r="F34" s="663" t="s">
        <v>343</v>
      </c>
      <c r="G34" s="663" t="s">
        <v>9922</v>
      </c>
      <c r="H34" s="658">
        <v>0.1</v>
      </c>
      <c r="I34" s="658">
        <v>0.02</v>
      </c>
      <c r="J34" s="664">
        <v>980000</v>
      </c>
      <c r="K34" s="664">
        <f t="shared" si="0"/>
        <v>890910</v>
      </c>
      <c r="L34" s="664">
        <f t="shared" si="1"/>
        <v>960400</v>
      </c>
      <c r="M34" s="661"/>
    </row>
    <row r="35" spans="1:13" ht="18.75" customHeight="1">
      <c r="A35" s="661"/>
      <c r="B35" s="657" t="s">
        <v>458</v>
      </c>
      <c r="C35" s="657" t="s">
        <v>9965</v>
      </c>
      <c r="D35" s="663" t="s">
        <v>395</v>
      </c>
      <c r="E35" s="663" t="s">
        <v>9981</v>
      </c>
      <c r="F35" s="663" t="s">
        <v>351</v>
      </c>
      <c r="G35" s="663" t="s">
        <v>9922</v>
      </c>
      <c r="H35" s="658">
        <v>0.1</v>
      </c>
      <c r="I35" s="658">
        <v>0.02</v>
      </c>
      <c r="J35" s="664">
        <v>1908000</v>
      </c>
      <c r="K35" s="664">
        <f t="shared" si="0"/>
        <v>1734550</v>
      </c>
      <c r="L35" s="664">
        <f t="shared" si="1"/>
        <v>1869840</v>
      </c>
      <c r="M35" s="661"/>
    </row>
    <row r="36" spans="1:13" ht="18.75" customHeight="1">
      <c r="A36" s="661"/>
      <c r="B36" s="657" t="s">
        <v>458</v>
      </c>
      <c r="C36" s="657" t="s">
        <v>9965</v>
      </c>
      <c r="D36" s="663" t="s">
        <v>352</v>
      </c>
      <c r="E36" s="663" t="s">
        <v>9982</v>
      </c>
      <c r="F36" s="663" t="s">
        <v>351</v>
      </c>
      <c r="G36" s="663" t="s">
        <v>9922</v>
      </c>
      <c r="H36" s="658">
        <v>0.1</v>
      </c>
      <c r="I36" s="658">
        <v>0.02</v>
      </c>
      <c r="J36" s="664">
        <v>1536800</v>
      </c>
      <c r="K36" s="664">
        <f t="shared" si="0"/>
        <v>1397090</v>
      </c>
      <c r="L36" s="664">
        <f t="shared" si="1"/>
        <v>1506060</v>
      </c>
      <c r="M36" s="661"/>
    </row>
    <row r="37" spans="1:13" ht="18.75" customHeight="1">
      <c r="A37" s="661"/>
      <c r="B37" s="657" t="s">
        <v>458</v>
      </c>
      <c r="C37" s="657" t="s">
        <v>9965</v>
      </c>
      <c r="D37" s="663" t="s">
        <v>350</v>
      </c>
      <c r="E37" s="663" t="s">
        <v>9983</v>
      </c>
      <c r="F37" s="663" t="s">
        <v>351</v>
      </c>
      <c r="G37" s="663" t="s">
        <v>9952</v>
      </c>
      <c r="H37" s="658">
        <v>0.1</v>
      </c>
      <c r="I37" s="658">
        <v>0.03</v>
      </c>
      <c r="J37" s="664">
        <v>421100</v>
      </c>
      <c r="K37" s="664">
        <f t="shared" si="0"/>
        <v>382820</v>
      </c>
      <c r="L37" s="664">
        <f t="shared" si="1"/>
        <v>408470</v>
      </c>
      <c r="M37" s="661"/>
    </row>
    <row r="38" spans="1:13" ht="18.75" customHeight="1">
      <c r="A38" s="661"/>
      <c r="B38" s="657" t="s">
        <v>458</v>
      </c>
      <c r="C38" s="657" t="s">
        <v>9972</v>
      </c>
      <c r="D38" s="663" t="s">
        <v>353</v>
      </c>
      <c r="E38" s="663" t="s">
        <v>9984</v>
      </c>
      <c r="F38" s="663" t="s">
        <v>354</v>
      </c>
      <c r="G38" s="663" t="s">
        <v>9952</v>
      </c>
      <c r="H38" s="658">
        <v>0.1</v>
      </c>
      <c r="I38" s="658">
        <v>0.03</v>
      </c>
      <c r="J38" s="664">
        <v>421100</v>
      </c>
      <c r="K38" s="664">
        <f t="shared" si="0"/>
        <v>382820</v>
      </c>
      <c r="L38" s="664">
        <f t="shared" si="1"/>
        <v>408470</v>
      </c>
      <c r="M38" s="661"/>
    </row>
    <row r="39" spans="1:13" ht="18.75" customHeight="1">
      <c r="A39" s="661"/>
      <c r="B39" s="657" t="s">
        <v>458</v>
      </c>
      <c r="C39" s="657" t="s">
        <v>9972</v>
      </c>
      <c r="D39" s="663" t="s">
        <v>9985</v>
      </c>
      <c r="E39" s="663" t="s">
        <v>9986</v>
      </c>
      <c r="F39" s="663" t="s">
        <v>354</v>
      </c>
      <c r="G39" s="663" t="s">
        <v>9952</v>
      </c>
      <c r="H39" s="658">
        <v>0.1</v>
      </c>
      <c r="I39" s="658">
        <v>0.03</v>
      </c>
      <c r="J39" s="664"/>
      <c r="K39" s="664">
        <f t="shared" si="0"/>
        <v>0</v>
      </c>
      <c r="L39" s="663">
        <f t="shared" si="1"/>
        <v>0</v>
      </c>
      <c r="M39" s="661"/>
    </row>
    <row r="40" spans="1:13" ht="18.75" customHeight="1">
      <c r="A40" s="661"/>
      <c r="B40" s="657" t="s">
        <v>458</v>
      </c>
      <c r="C40" s="657" t="s">
        <v>9972</v>
      </c>
      <c r="D40" s="663" t="s">
        <v>356</v>
      </c>
      <c r="E40" s="663" t="s">
        <v>9987</v>
      </c>
      <c r="F40" s="663" t="s">
        <v>354</v>
      </c>
      <c r="G40" s="663" t="s">
        <v>9922</v>
      </c>
      <c r="H40" s="658">
        <v>0.1</v>
      </c>
      <c r="I40" s="658">
        <v>0.02</v>
      </c>
      <c r="J40" s="664">
        <v>1400000</v>
      </c>
      <c r="K40" s="664">
        <f t="shared" si="0"/>
        <v>1272730</v>
      </c>
      <c r="L40" s="664">
        <f t="shared" si="1"/>
        <v>1372000</v>
      </c>
      <c r="M40" s="661"/>
    </row>
    <row r="41" spans="1:13" ht="18.75" customHeight="1">
      <c r="A41" s="661"/>
      <c r="B41" s="657" t="s">
        <v>458</v>
      </c>
      <c r="C41" s="657" t="s">
        <v>9988</v>
      </c>
      <c r="D41" s="663" t="s">
        <v>358</v>
      </c>
      <c r="E41" s="663" t="s">
        <v>9989</v>
      </c>
      <c r="F41" s="663" t="s">
        <v>359</v>
      </c>
      <c r="G41" s="663" t="s">
        <v>9952</v>
      </c>
      <c r="H41" s="658">
        <v>0.1</v>
      </c>
      <c r="I41" s="658">
        <v>0.03</v>
      </c>
      <c r="J41" s="664">
        <v>515800</v>
      </c>
      <c r="K41" s="664">
        <f t="shared" si="0"/>
        <v>468910</v>
      </c>
      <c r="L41" s="664">
        <f t="shared" si="1"/>
        <v>500330</v>
      </c>
      <c r="M41" s="661"/>
    </row>
    <row r="42" spans="1:13" ht="18.75" customHeight="1">
      <c r="A42" s="661"/>
      <c r="B42" s="657" t="s">
        <v>458</v>
      </c>
      <c r="C42" s="657" t="s">
        <v>9988</v>
      </c>
      <c r="D42" s="663" t="s">
        <v>361</v>
      </c>
      <c r="E42" s="663" t="s">
        <v>9990</v>
      </c>
      <c r="F42" s="663" t="s">
        <v>359</v>
      </c>
      <c r="G42" s="663" t="s">
        <v>9922</v>
      </c>
      <c r="H42" s="658">
        <v>0.1</v>
      </c>
      <c r="I42" s="658">
        <v>0.02</v>
      </c>
      <c r="J42" s="664">
        <v>1442100</v>
      </c>
      <c r="K42" s="664">
        <f t="shared" si="0"/>
        <v>1311000</v>
      </c>
      <c r="L42" s="664">
        <f t="shared" si="1"/>
        <v>1413260</v>
      </c>
      <c r="M42" s="661"/>
    </row>
    <row r="43" spans="1:13" ht="18.75" customHeight="1">
      <c r="A43" s="661"/>
      <c r="B43" s="657" t="s">
        <v>458</v>
      </c>
      <c r="C43" s="657" t="s">
        <v>9991</v>
      </c>
      <c r="D43" s="663" t="s">
        <v>363</v>
      </c>
      <c r="E43" s="663" t="s">
        <v>9992</v>
      </c>
      <c r="F43" s="663" t="s">
        <v>364</v>
      </c>
      <c r="G43" s="663" t="s">
        <v>9952</v>
      </c>
      <c r="H43" s="658">
        <v>0.1</v>
      </c>
      <c r="I43" s="658">
        <v>0.03</v>
      </c>
      <c r="J43" s="664">
        <v>515800</v>
      </c>
      <c r="K43" s="664">
        <f t="shared" si="0"/>
        <v>468910</v>
      </c>
      <c r="L43" s="664">
        <f t="shared" si="1"/>
        <v>500330</v>
      </c>
      <c r="M43" s="661"/>
    </row>
    <row r="44" spans="1:13" ht="18.75" customHeight="1">
      <c r="A44" s="661"/>
      <c r="B44" s="657" t="s">
        <v>458</v>
      </c>
      <c r="C44" s="657" t="s">
        <v>9993</v>
      </c>
      <c r="D44" s="663" t="s">
        <v>365</v>
      </c>
      <c r="E44" s="663" t="s">
        <v>9994</v>
      </c>
      <c r="F44" s="663" t="s">
        <v>366</v>
      </c>
      <c r="G44" s="663" t="s">
        <v>9952</v>
      </c>
      <c r="H44" s="658">
        <v>0.1</v>
      </c>
      <c r="I44" s="658">
        <v>0.03</v>
      </c>
      <c r="J44" s="664">
        <v>357900</v>
      </c>
      <c r="K44" s="664">
        <f t="shared" si="0"/>
        <v>325360</v>
      </c>
      <c r="L44" s="664">
        <f t="shared" si="1"/>
        <v>347160</v>
      </c>
      <c r="M44" s="661"/>
    </row>
    <row r="45" spans="1:13" ht="18.75" customHeight="1">
      <c r="A45" s="661"/>
      <c r="B45" s="657" t="s">
        <v>458</v>
      </c>
      <c r="C45" s="657" t="s">
        <v>9993</v>
      </c>
      <c r="D45" s="663" t="s">
        <v>367</v>
      </c>
      <c r="E45" s="663" t="s">
        <v>9995</v>
      </c>
      <c r="F45" s="663" t="s">
        <v>366</v>
      </c>
      <c r="G45" s="663" t="s">
        <v>9922</v>
      </c>
      <c r="H45" s="658">
        <v>0.1</v>
      </c>
      <c r="I45" s="658">
        <v>0.02</v>
      </c>
      <c r="J45" s="664">
        <v>578900</v>
      </c>
      <c r="K45" s="664">
        <f t="shared" si="0"/>
        <v>526270</v>
      </c>
      <c r="L45" s="664">
        <f t="shared" si="1"/>
        <v>567320</v>
      </c>
      <c r="M45" s="661"/>
    </row>
  </sheetData>
  <mergeCells count="1">
    <mergeCell ref="A1:M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K84"/>
  <sheetViews>
    <sheetView showGridLines="0" topLeftCell="C1" workbookViewId="0">
      <pane ySplit="4" topLeftCell="A26" activePane="bottomLeft" state="frozen"/>
      <selection pane="bottomLeft" activeCell="D3" sqref="D1:D1048576"/>
    </sheetView>
  </sheetViews>
  <sheetFormatPr defaultColWidth="12.5703125" defaultRowHeight="15" customHeight="1"/>
  <cols>
    <col min="1" max="1" width="5.42578125" customWidth="1"/>
    <col min="2" max="2" width="22.42578125" customWidth="1"/>
    <col min="3" max="3" width="18" customWidth="1"/>
    <col min="4" max="4" width="20" customWidth="1"/>
    <col min="5" max="5" width="47.7109375" customWidth="1"/>
    <col min="6" max="6" width="12.7109375" customWidth="1"/>
    <col min="7" max="7" width="11.42578125" customWidth="1"/>
    <col min="8" max="10" width="13.28515625" customWidth="1"/>
    <col min="11" max="11" width="4.5703125" customWidth="1"/>
  </cols>
  <sheetData>
    <row r="1" spans="1:11" ht="12.75" customHeight="1">
      <c r="A1" s="883" t="s">
        <v>9996</v>
      </c>
      <c r="B1" s="704"/>
      <c r="C1" s="704"/>
      <c r="D1" s="704"/>
      <c r="E1" s="704"/>
      <c r="F1" s="704"/>
      <c r="G1" s="704"/>
      <c r="H1" s="704"/>
      <c r="I1" s="704"/>
      <c r="J1" s="704"/>
      <c r="K1" s="705"/>
    </row>
    <row r="2" spans="1:11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7"/>
      <c r="K2" s="708"/>
    </row>
    <row r="3" spans="1:11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</row>
    <row r="4" spans="1:11" ht="12.75" customHeight="1">
      <c r="A4" s="661"/>
      <c r="B4" s="655" t="s">
        <v>673</v>
      </c>
      <c r="C4" s="655" t="s">
        <v>3925</v>
      </c>
      <c r="D4" s="662" t="s">
        <v>674</v>
      </c>
      <c r="E4" s="662" t="s">
        <v>675</v>
      </c>
      <c r="F4" s="655" t="s">
        <v>3926</v>
      </c>
      <c r="G4" s="655" t="s">
        <v>3927</v>
      </c>
      <c r="H4" s="662" t="s">
        <v>80</v>
      </c>
      <c r="I4" s="662" t="s">
        <v>81</v>
      </c>
      <c r="J4" s="662" t="s">
        <v>82</v>
      </c>
      <c r="K4" s="661"/>
    </row>
    <row r="5" spans="1:11" ht="18.75" customHeight="1">
      <c r="A5" s="661"/>
      <c r="B5" s="657" t="s">
        <v>9997</v>
      </c>
      <c r="C5" s="657" t="s">
        <v>9998</v>
      </c>
      <c r="D5" s="663" t="s">
        <v>290</v>
      </c>
      <c r="E5" s="663" t="s">
        <v>291</v>
      </c>
      <c r="F5" s="658">
        <v>0.1</v>
      </c>
      <c r="G5" s="658">
        <v>0.05</v>
      </c>
      <c r="H5" s="664">
        <v>75000</v>
      </c>
      <c r="I5" s="664">
        <f t="shared" ref="I5:I84" si="0">IF(ISBLANK(H5),,ROUND(H5/(1+F5),-1))</f>
        <v>68180</v>
      </c>
      <c r="J5" s="664">
        <f t="shared" ref="J5:J84" si="1">IF(ISBLANK(H5),,ROUND(H5*(1-G5),-1))</f>
        <v>71250</v>
      </c>
      <c r="K5" s="661"/>
    </row>
    <row r="6" spans="1:11" ht="18.75" customHeight="1">
      <c r="A6" s="661"/>
      <c r="B6" s="657" t="s">
        <v>9997</v>
      </c>
      <c r="C6" s="657" t="s">
        <v>9998</v>
      </c>
      <c r="D6" s="663" t="s">
        <v>292</v>
      </c>
      <c r="E6" s="663" t="s">
        <v>293</v>
      </c>
      <c r="F6" s="658">
        <v>0.1</v>
      </c>
      <c r="G6" s="658">
        <v>0.05</v>
      </c>
      <c r="H6" s="664">
        <v>95000</v>
      </c>
      <c r="I6" s="664">
        <f t="shared" si="0"/>
        <v>86360</v>
      </c>
      <c r="J6" s="664">
        <f t="shared" si="1"/>
        <v>90250</v>
      </c>
      <c r="K6" s="661"/>
    </row>
    <row r="7" spans="1:11" ht="18.75" customHeight="1">
      <c r="A7" s="661"/>
      <c r="B7" s="657" t="s">
        <v>9997</v>
      </c>
      <c r="C7" s="657" t="s">
        <v>9998</v>
      </c>
      <c r="D7" s="663" t="s">
        <v>294</v>
      </c>
      <c r="E7" s="663" t="s">
        <v>295</v>
      </c>
      <c r="F7" s="658">
        <v>0.1</v>
      </c>
      <c r="G7" s="658">
        <v>0.05</v>
      </c>
      <c r="H7" s="664">
        <v>95000</v>
      </c>
      <c r="I7" s="664">
        <f t="shared" si="0"/>
        <v>86360</v>
      </c>
      <c r="J7" s="664">
        <f t="shared" si="1"/>
        <v>90250</v>
      </c>
      <c r="K7" s="661"/>
    </row>
    <row r="8" spans="1:11" ht="18.75" customHeight="1">
      <c r="A8" s="661"/>
      <c r="B8" s="657" t="s">
        <v>9997</v>
      </c>
      <c r="C8" s="657" t="s">
        <v>9998</v>
      </c>
      <c r="D8" s="663" t="s">
        <v>296</v>
      </c>
      <c r="E8" s="663" t="s">
        <v>297</v>
      </c>
      <c r="F8" s="658">
        <v>0.1</v>
      </c>
      <c r="G8" s="658">
        <v>0.05</v>
      </c>
      <c r="H8" s="664">
        <v>115000</v>
      </c>
      <c r="I8" s="664">
        <f t="shared" si="0"/>
        <v>104550</v>
      </c>
      <c r="J8" s="664">
        <f t="shared" si="1"/>
        <v>109250</v>
      </c>
      <c r="K8" s="661"/>
    </row>
    <row r="9" spans="1:11" ht="18.75" customHeight="1">
      <c r="A9" s="661"/>
      <c r="B9" s="657" t="s">
        <v>9997</v>
      </c>
      <c r="C9" s="657" t="s">
        <v>9998</v>
      </c>
      <c r="D9" s="663" t="s">
        <v>298</v>
      </c>
      <c r="E9" s="663" t="s">
        <v>299</v>
      </c>
      <c r="F9" s="658">
        <v>0.1</v>
      </c>
      <c r="G9" s="658">
        <v>0.05</v>
      </c>
      <c r="H9" s="664">
        <v>145000</v>
      </c>
      <c r="I9" s="664">
        <f t="shared" si="0"/>
        <v>131820</v>
      </c>
      <c r="J9" s="664">
        <f t="shared" si="1"/>
        <v>137750</v>
      </c>
      <c r="K9" s="661"/>
    </row>
    <row r="10" spans="1:11" ht="18.75" customHeight="1">
      <c r="A10" s="661"/>
      <c r="B10" s="657" t="s">
        <v>9997</v>
      </c>
      <c r="C10" s="657" t="s">
        <v>9998</v>
      </c>
      <c r="D10" s="663" t="s">
        <v>300</v>
      </c>
      <c r="E10" s="663" t="s">
        <v>301</v>
      </c>
      <c r="F10" s="658">
        <v>0.1</v>
      </c>
      <c r="G10" s="658">
        <v>0.05</v>
      </c>
      <c r="H10" s="664">
        <v>195000</v>
      </c>
      <c r="I10" s="664">
        <f t="shared" si="0"/>
        <v>177270</v>
      </c>
      <c r="J10" s="664">
        <f t="shared" si="1"/>
        <v>185250</v>
      </c>
      <c r="K10" s="661"/>
    </row>
    <row r="11" spans="1:11" ht="18.75" customHeight="1">
      <c r="A11" s="661"/>
      <c r="B11" s="657" t="s">
        <v>9997</v>
      </c>
      <c r="C11" s="657" t="s">
        <v>9998</v>
      </c>
      <c r="D11" s="663" t="s">
        <v>302</v>
      </c>
      <c r="E11" s="663" t="s">
        <v>303</v>
      </c>
      <c r="F11" s="658">
        <v>0.1</v>
      </c>
      <c r="G11" s="658">
        <v>0.05</v>
      </c>
      <c r="H11" s="664">
        <v>225000</v>
      </c>
      <c r="I11" s="664">
        <f t="shared" si="0"/>
        <v>204550</v>
      </c>
      <c r="J11" s="664">
        <f t="shared" si="1"/>
        <v>213750</v>
      </c>
      <c r="K11" s="661"/>
    </row>
    <row r="12" spans="1:11" ht="18.75" customHeight="1">
      <c r="A12" s="661"/>
      <c r="B12" s="657" t="s">
        <v>9997</v>
      </c>
      <c r="C12" s="657" t="s">
        <v>9998</v>
      </c>
      <c r="D12" s="663" t="s">
        <v>304</v>
      </c>
      <c r="E12" s="663" t="s">
        <v>305</v>
      </c>
      <c r="F12" s="658">
        <v>0.1</v>
      </c>
      <c r="G12" s="658">
        <v>0.05</v>
      </c>
      <c r="H12" s="663">
        <v>255000</v>
      </c>
      <c r="I12" s="664">
        <f t="shared" si="0"/>
        <v>231820</v>
      </c>
      <c r="J12" s="664">
        <f t="shared" si="1"/>
        <v>242250</v>
      </c>
      <c r="K12" s="661"/>
    </row>
    <row r="13" spans="1:11" ht="18.75" customHeight="1">
      <c r="A13" s="661"/>
      <c r="B13" s="657" t="s">
        <v>9997</v>
      </c>
      <c r="C13" s="657" t="s">
        <v>9998</v>
      </c>
      <c r="D13" s="663" t="s">
        <v>9999</v>
      </c>
      <c r="E13" s="663" t="s">
        <v>10000</v>
      </c>
      <c r="F13" s="658">
        <v>0.1</v>
      </c>
      <c r="G13" s="658">
        <v>0.05</v>
      </c>
      <c r="H13" s="663"/>
      <c r="I13" s="664">
        <f t="shared" si="0"/>
        <v>0</v>
      </c>
      <c r="J13" s="664">
        <f t="shared" si="1"/>
        <v>0</v>
      </c>
      <c r="K13" s="661"/>
    </row>
    <row r="14" spans="1:11" ht="18.75" customHeight="1">
      <c r="A14" s="661"/>
      <c r="B14" s="657" t="s">
        <v>9997</v>
      </c>
      <c r="C14" s="657" t="s">
        <v>10001</v>
      </c>
      <c r="D14" s="663" t="s">
        <v>307</v>
      </c>
      <c r="E14" s="663" t="s">
        <v>308</v>
      </c>
      <c r="F14" s="658">
        <v>0.1</v>
      </c>
      <c r="G14" s="658">
        <v>0.05</v>
      </c>
      <c r="H14" s="664">
        <v>205000</v>
      </c>
      <c r="I14" s="664">
        <f t="shared" si="0"/>
        <v>186360</v>
      </c>
      <c r="J14" s="664">
        <f t="shared" si="1"/>
        <v>194750</v>
      </c>
      <c r="K14" s="661"/>
    </row>
    <row r="15" spans="1:11" ht="18.75" customHeight="1">
      <c r="A15" s="661"/>
      <c r="B15" s="657" t="s">
        <v>9997</v>
      </c>
      <c r="C15" s="657" t="s">
        <v>10001</v>
      </c>
      <c r="D15" s="663" t="s">
        <v>309</v>
      </c>
      <c r="E15" s="663" t="s">
        <v>310</v>
      </c>
      <c r="F15" s="658">
        <v>0.1</v>
      </c>
      <c r="G15" s="658">
        <v>0.05</v>
      </c>
      <c r="H15" s="664">
        <v>215000</v>
      </c>
      <c r="I15" s="664">
        <f t="shared" si="0"/>
        <v>195450</v>
      </c>
      <c r="J15" s="664">
        <f t="shared" si="1"/>
        <v>204250</v>
      </c>
      <c r="K15" s="661"/>
    </row>
    <row r="16" spans="1:11" ht="18.75" customHeight="1">
      <c r="A16" s="661"/>
      <c r="B16" s="657" t="s">
        <v>9997</v>
      </c>
      <c r="C16" s="657" t="s">
        <v>10001</v>
      </c>
      <c r="D16" s="663" t="s">
        <v>311</v>
      </c>
      <c r="E16" s="663" t="s">
        <v>312</v>
      </c>
      <c r="F16" s="658">
        <v>0.1</v>
      </c>
      <c r="G16" s="658">
        <v>0.05</v>
      </c>
      <c r="H16" s="664">
        <v>215000</v>
      </c>
      <c r="I16" s="664">
        <f t="shared" si="0"/>
        <v>195450</v>
      </c>
      <c r="J16" s="664">
        <f t="shared" si="1"/>
        <v>204250</v>
      </c>
      <c r="K16" s="661"/>
    </row>
    <row r="17" spans="1:11" ht="18.75" customHeight="1">
      <c r="A17" s="661"/>
      <c r="B17" s="657" t="s">
        <v>9997</v>
      </c>
      <c r="C17" s="657" t="s">
        <v>10001</v>
      </c>
      <c r="D17" s="663" t="s">
        <v>313</v>
      </c>
      <c r="E17" s="663" t="s">
        <v>314</v>
      </c>
      <c r="F17" s="658">
        <v>0.1</v>
      </c>
      <c r="G17" s="658">
        <v>0.05</v>
      </c>
      <c r="H17" s="664">
        <v>255000</v>
      </c>
      <c r="I17" s="664">
        <f t="shared" si="0"/>
        <v>231820</v>
      </c>
      <c r="J17" s="664">
        <f t="shared" si="1"/>
        <v>242250</v>
      </c>
      <c r="K17" s="661"/>
    </row>
    <row r="18" spans="1:11" ht="18.75" customHeight="1">
      <c r="A18" s="661"/>
      <c r="B18" s="657" t="s">
        <v>9997</v>
      </c>
      <c r="C18" s="657" t="s">
        <v>10001</v>
      </c>
      <c r="D18" s="663" t="s">
        <v>315</v>
      </c>
      <c r="E18" s="663" t="s">
        <v>316</v>
      </c>
      <c r="F18" s="658">
        <v>0.1</v>
      </c>
      <c r="G18" s="658">
        <v>0.05</v>
      </c>
      <c r="H18" s="664">
        <v>305000</v>
      </c>
      <c r="I18" s="664">
        <f t="shared" si="0"/>
        <v>277270</v>
      </c>
      <c r="J18" s="664">
        <f t="shared" si="1"/>
        <v>289750</v>
      </c>
      <c r="K18" s="661"/>
    </row>
    <row r="19" spans="1:11" ht="18.75" customHeight="1">
      <c r="A19" s="661"/>
      <c r="B19" s="657" t="s">
        <v>9997</v>
      </c>
      <c r="C19" s="657" t="s">
        <v>10001</v>
      </c>
      <c r="D19" s="663" t="s">
        <v>317</v>
      </c>
      <c r="E19" s="663" t="s">
        <v>318</v>
      </c>
      <c r="F19" s="658">
        <v>0.1</v>
      </c>
      <c r="G19" s="658">
        <v>0.05</v>
      </c>
      <c r="H19" s="664">
        <v>385000</v>
      </c>
      <c r="I19" s="664">
        <f t="shared" si="0"/>
        <v>350000</v>
      </c>
      <c r="J19" s="664">
        <f t="shared" si="1"/>
        <v>365750</v>
      </c>
      <c r="K19" s="661"/>
    </row>
    <row r="20" spans="1:11" ht="18.75" customHeight="1">
      <c r="A20" s="661"/>
      <c r="B20" s="657" t="s">
        <v>9997</v>
      </c>
      <c r="C20" s="657" t="s">
        <v>10001</v>
      </c>
      <c r="D20" s="663" t="s">
        <v>319</v>
      </c>
      <c r="E20" s="663" t="s">
        <v>320</v>
      </c>
      <c r="F20" s="658">
        <v>0.1</v>
      </c>
      <c r="G20" s="658">
        <v>0.05</v>
      </c>
      <c r="H20" s="664">
        <v>405000</v>
      </c>
      <c r="I20" s="664">
        <f t="shared" si="0"/>
        <v>368180</v>
      </c>
      <c r="J20" s="664">
        <f t="shared" si="1"/>
        <v>384750</v>
      </c>
      <c r="K20" s="661"/>
    </row>
    <row r="21" spans="1:11" ht="18.75" customHeight="1">
      <c r="A21" s="661"/>
      <c r="B21" s="657" t="s">
        <v>9997</v>
      </c>
      <c r="C21" s="657" t="s">
        <v>10001</v>
      </c>
      <c r="D21" s="663" t="s">
        <v>321</v>
      </c>
      <c r="E21" s="663" t="s">
        <v>322</v>
      </c>
      <c r="F21" s="658">
        <v>0.1</v>
      </c>
      <c r="G21" s="658">
        <v>0.05</v>
      </c>
      <c r="H21" s="664">
        <v>515000</v>
      </c>
      <c r="I21" s="664">
        <f t="shared" si="0"/>
        <v>468180</v>
      </c>
      <c r="J21" s="664">
        <f t="shared" si="1"/>
        <v>489250</v>
      </c>
      <c r="K21" s="661"/>
    </row>
    <row r="22" spans="1:11" ht="18.75" customHeight="1">
      <c r="A22" s="661"/>
      <c r="B22" s="657" t="s">
        <v>9997</v>
      </c>
      <c r="C22" s="657" t="s">
        <v>10001</v>
      </c>
      <c r="D22" s="663" t="s">
        <v>323</v>
      </c>
      <c r="E22" s="663" t="s">
        <v>324</v>
      </c>
      <c r="F22" s="658">
        <v>0.1</v>
      </c>
      <c r="G22" s="658">
        <v>0.05</v>
      </c>
      <c r="H22" s="663">
        <v>715000</v>
      </c>
      <c r="I22" s="664">
        <f t="shared" si="0"/>
        <v>650000</v>
      </c>
      <c r="J22" s="664">
        <f t="shared" si="1"/>
        <v>679250</v>
      </c>
      <c r="K22" s="661"/>
    </row>
    <row r="23" spans="1:11" ht="18.75" customHeight="1">
      <c r="A23" s="661"/>
      <c r="B23" s="657" t="s">
        <v>9997</v>
      </c>
      <c r="C23" s="657" t="s">
        <v>9998</v>
      </c>
      <c r="D23" s="663" t="s">
        <v>10002</v>
      </c>
      <c r="E23" s="663" t="s">
        <v>10003</v>
      </c>
      <c r="F23" s="658">
        <v>0.1</v>
      </c>
      <c r="G23" s="658">
        <v>0.05</v>
      </c>
      <c r="H23" s="664"/>
      <c r="I23" s="664">
        <f t="shared" si="0"/>
        <v>0</v>
      </c>
      <c r="J23" s="664">
        <f t="shared" si="1"/>
        <v>0</v>
      </c>
      <c r="K23" s="661"/>
    </row>
    <row r="24" spans="1:11" ht="18.75" customHeight="1">
      <c r="A24" s="661"/>
      <c r="B24" s="657" t="s">
        <v>9997</v>
      </c>
      <c r="C24" s="657" t="s">
        <v>9998</v>
      </c>
      <c r="D24" s="663" t="s">
        <v>10004</v>
      </c>
      <c r="E24" s="663" t="s">
        <v>10005</v>
      </c>
      <c r="F24" s="658">
        <v>0.1</v>
      </c>
      <c r="G24" s="658">
        <v>0.05</v>
      </c>
      <c r="H24" s="664"/>
      <c r="I24" s="664">
        <f t="shared" si="0"/>
        <v>0</v>
      </c>
      <c r="J24" s="664">
        <f t="shared" si="1"/>
        <v>0</v>
      </c>
      <c r="K24" s="661"/>
    </row>
    <row r="25" spans="1:11" ht="18.75" customHeight="1">
      <c r="A25" s="661"/>
      <c r="B25" s="657" t="s">
        <v>9997</v>
      </c>
      <c r="C25" s="657" t="s">
        <v>9998</v>
      </c>
      <c r="D25" s="663" t="s">
        <v>10006</v>
      </c>
      <c r="E25" s="663" t="s">
        <v>10007</v>
      </c>
      <c r="F25" s="658">
        <v>0.1</v>
      </c>
      <c r="G25" s="658">
        <v>0.05</v>
      </c>
      <c r="H25" s="664"/>
      <c r="I25" s="664">
        <f t="shared" si="0"/>
        <v>0</v>
      </c>
      <c r="J25" s="664">
        <f t="shared" si="1"/>
        <v>0</v>
      </c>
      <c r="K25" s="661"/>
    </row>
    <row r="26" spans="1:11" ht="18.75" customHeight="1">
      <c r="A26" s="661"/>
      <c r="B26" s="657" t="s">
        <v>9997</v>
      </c>
      <c r="C26" s="657" t="s">
        <v>9998</v>
      </c>
      <c r="D26" s="663" t="s">
        <v>10008</v>
      </c>
      <c r="E26" s="663" t="s">
        <v>10009</v>
      </c>
      <c r="F26" s="658">
        <v>0.1</v>
      </c>
      <c r="G26" s="658">
        <v>0.05</v>
      </c>
      <c r="H26" s="664"/>
      <c r="I26" s="664">
        <f t="shared" si="0"/>
        <v>0</v>
      </c>
      <c r="J26" s="664">
        <f t="shared" si="1"/>
        <v>0</v>
      </c>
      <c r="K26" s="661"/>
    </row>
    <row r="27" spans="1:11" ht="18.75" customHeight="1">
      <c r="A27" s="661"/>
      <c r="B27" s="657" t="s">
        <v>9997</v>
      </c>
      <c r="C27" s="657" t="s">
        <v>9998</v>
      </c>
      <c r="D27" s="663" t="s">
        <v>10010</v>
      </c>
      <c r="E27" s="663" t="s">
        <v>10011</v>
      </c>
      <c r="F27" s="658">
        <v>0.1</v>
      </c>
      <c r="G27" s="658">
        <v>0.05</v>
      </c>
      <c r="H27" s="664"/>
      <c r="I27" s="664">
        <f t="shared" si="0"/>
        <v>0</v>
      </c>
      <c r="J27" s="664">
        <f t="shared" si="1"/>
        <v>0</v>
      </c>
      <c r="K27" s="661"/>
    </row>
    <row r="28" spans="1:11" ht="18.75" customHeight="1">
      <c r="A28" s="661"/>
      <c r="B28" s="657" t="s">
        <v>9997</v>
      </c>
      <c r="C28" s="657" t="s">
        <v>10001</v>
      </c>
      <c r="D28" s="663" t="s">
        <v>10012</v>
      </c>
      <c r="E28" s="663" t="s">
        <v>10013</v>
      </c>
      <c r="F28" s="658">
        <v>0.1</v>
      </c>
      <c r="G28" s="658">
        <v>0.05</v>
      </c>
      <c r="H28" s="664"/>
      <c r="I28" s="664">
        <f t="shared" si="0"/>
        <v>0</v>
      </c>
      <c r="J28" s="664">
        <f t="shared" si="1"/>
        <v>0</v>
      </c>
      <c r="K28" s="661"/>
    </row>
    <row r="29" spans="1:11" ht="18.75" customHeight="1">
      <c r="A29" s="661"/>
      <c r="B29" s="657" t="s">
        <v>9997</v>
      </c>
      <c r="C29" s="657" t="s">
        <v>10001</v>
      </c>
      <c r="D29" s="663" t="s">
        <v>10014</v>
      </c>
      <c r="E29" s="663" t="s">
        <v>10015</v>
      </c>
      <c r="F29" s="658">
        <v>0.1</v>
      </c>
      <c r="G29" s="658">
        <v>0.05</v>
      </c>
      <c r="H29" s="664"/>
      <c r="I29" s="664">
        <f t="shared" si="0"/>
        <v>0</v>
      </c>
      <c r="J29" s="664">
        <f t="shared" si="1"/>
        <v>0</v>
      </c>
      <c r="K29" s="661"/>
    </row>
    <row r="30" spans="1:11" ht="18.75" customHeight="1">
      <c r="A30" s="661"/>
      <c r="B30" s="657" t="s">
        <v>9997</v>
      </c>
      <c r="C30" s="657" t="s">
        <v>10001</v>
      </c>
      <c r="D30" s="663" t="s">
        <v>10016</v>
      </c>
      <c r="E30" s="663" t="s">
        <v>10017</v>
      </c>
      <c r="F30" s="658">
        <v>0.1</v>
      </c>
      <c r="G30" s="658">
        <v>0.05</v>
      </c>
      <c r="H30" s="664"/>
      <c r="I30" s="664">
        <f t="shared" si="0"/>
        <v>0</v>
      </c>
      <c r="J30" s="664">
        <f t="shared" si="1"/>
        <v>0</v>
      </c>
      <c r="K30" s="661"/>
    </row>
    <row r="31" spans="1:11" ht="18.75" customHeight="1">
      <c r="A31" s="661"/>
      <c r="B31" s="657" t="s">
        <v>9997</v>
      </c>
      <c r="C31" s="657" t="s">
        <v>10001</v>
      </c>
      <c r="D31" s="663" t="s">
        <v>10018</v>
      </c>
      <c r="E31" s="663" t="s">
        <v>10019</v>
      </c>
      <c r="F31" s="658">
        <v>0.1</v>
      </c>
      <c r="G31" s="658">
        <v>0.05</v>
      </c>
      <c r="H31" s="664"/>
      <c r="I31" s="664">
        <f t="shared" si="0"/>
        <v>0</v>
      </c>
      <c r="J31" s="664">
        <f t="shared" si="1"/>
        <v>0</v>
      </c>
      <c r="K31" s="661"/>
    </row>
    <row r="32" spans="1:11" ht="18.75" customHeight="1">
      <c r="A32" s="661"/>
      <c r="B32" s="657" t="s">
        <v>9997</v>
      </c>
      <c r="C32" s="657" t="s">
        <v>10001</v>
      </c>
      <c r="D32" s="663" t="s">
        <v>10020</v>
      </c>
      <c r="E32" s="663" t="s">
        <v>10021</v>
      </c>
      <c r="F32" s="658">
        <v>0.1</v>
      </c>
      <c r="G32" s="658">
        <v>0.05</v>
      </c>
      <c r="H32" s="663"/>
      <c r="I32" s="664">
        <f t="shared" si="0"/>
        <v>0</v>
      </c>
      <c r="J32" s="664">
        <f t="shared" si="1"/>
        <v>0</v>
      </c>
      <c r="K32" s="661"/>
    </row>
    <row r="33" spans="1:11" ht="18.75" customHeight="1">
      <c r="A33" s="661"/>
      <c r="B33" s="657" t="s">
        <v>9997</v>
      </c>
      <c r="C33" s="657" t="s">
        <v>10001</v>
      </c>
      <c r="D33" s="663" t="s">
        <v>10022</v>
      </c>
      <c r="E33" s="663" t="s">
        <v>10023</v>
      </c>
      <c r="F33" s="658">
        <v>0.1</v>
      </c>
      <c r="G33" s="658">
        <v>0.05</v>
      </c>
      <c r="H33" s="664">
        <v>243000</v>
      </c>
      <c r="I33" s="664">
        <f t="shared" si="0"/>
        <v>220910</v>
      </c>
      <c r="J33" s="664">
        <f t="shared" si="1"/>
        <v>230850</v>
      </c>
      <c r="K33" s="661"/>
    </row>
    <row r="34" spans="1:11" ht="18.75" customHeight="1">
      <c r="A34" s="661"/>
      <c r="B34" s="657" t="s">
        <v>9997</v>
      </c>
      <c r="C34" s="657" t="s">
        <v>10001</v>
      </c>
      <c r="D34" s="663" t="s">
        <v>10024</v>
      </c>
      <c r="E34" s="663" t="s">
        <v>10025</v>
      </c>
      <c r="F34" s="658">
        <v>0.1</v>
      </c>
      <c r="G34" s="658">
        <v>0.05</v>
      </c>
      <c r="H34" s="663">
        <v>283000</v>
      </c>
      <c r="I34" s="664">
        <f t="shared" si="0"/>
        <v>257270</v>
      </c>
      <c r="J34" s="664">
        <f t="shared" si="1"/>
        <v>268850</v>
      </c>
      <c r="K34" s="661"/>
    </row>
    <row r="35" spans="1:11" ht="18.75" customHeight="1">
      <c r="A35" s="661"/>
      <c r="B35" s="657" t="s">
        <v>9997</v>
      </c>
      <c r="C35" s="657" t="s">
        <v>10001</v>
      </c>
      <c r="D35" s="663" t="s">
        <v>10026</v>
      </c>
      <c r="E35" s="663" t="s">
        <v>10027</v>
      </c>
      <c r="F35" s="658">
        <v>0.1</v>
      </c>
      <c r="G35" s="658">
        <v>0.05</v>
      </c>
      <c r="H35" s="664">
        <v>283000</v>
      </c>
      <c r="I35" s="664">
        <f t="shared" si="0"/>
        <v>257270</v>
      </c>
      <c r="J35" s="664">
        <f t="shared" si="1"/>
        <v>268850</v>
      </c>
      <c r="K35" s="661"/>
    </row>
    <row r="36" spans="1:11" ht="18.75" customHeight="1">
      <c r="A36" s="661"/>
      <c r="B36" s="657" t="s">
        <v>9997</v>
      </c>
      <c r="C36" s="657" t="s">
        <v>10001</v>
      </c>
      <c r="D36" s="663" t="s">
        <v>10028</v>
      </c>
      <c r="E36" s="663" t="s">
        <v>10029</v>
      </c>
      <c r="F36" s="658">
        <v>0.1</v>
      </c>
      <c r="G36" s="658">
        <v>0.05</v>
      </c>
      <c r="H36" s="664">
        <v>329000</v>
      </c>
      <c r="I36" s="664">
        <f t="shared" si="0"/>
        <v>299090</v>
      </c>
      <c r="J36" s="664">
        <f t="shared" si="1"/>
        <v>312550</v>
      </c>
      <c r="K36" s="661"/>
    </row>
    <row r="37" spans="1:11" ht="18.75" customHeight="1">
      <c r="A37" s="661"/>
      <c r="B37" s="657" t="s">
        <v>9997</v>
      </c>
      <c r="C37" s="657" t="s">
        <v>10001</v>
      </c>
      <c r="D37" s="663" t="s">
        <v>10030</v>
      </c>
      <c r="E37" s="663" t="s">
        <v>10031</v>
      </c>
      <c r="F37" s="658">
        <v>0.1</v>
      </c>
      <c r="G37" s="658">
        <v>0.05</v>
      </c>
      <c r="H37" s="664">
        <v>369000</v>
      </c>
      <c r="I37" s="664">
        <f t="shared" si="0"/>
        <v>335450</v>
      </c>
      <c r="J37" s="664">
        <f t="shared" si="1"/>
        <v>350550</v>
      </c>
      <c r="K37" s="661"/>
    </row>
    <row r="38" spans="1:11" ht="18.75" customHeight="1">
      <c r="A38" s="661"/>
      <c r="B38" s="657" t="s">
        <v>9997</v>
      </c>
      <c r="C38" s="657" t="s">
        <v>10001</v>
      </c>
      <c r="D38" s="663" t="s">
        <v>10032</v>
      </c>
      <c r="E38" s="663" t="s">
        <v>10033</v>
      </c>
      <c r="F38" s="658">
        <v>0.1</v>
      </c>
      <c r="G38" s="658">
        <v>0.05</v>
      </c>
      <c r="H38" s="664">
        <v>468000</v>
      </c>
      <c r="I38" s="664">
        <f t="shared" si="0"/>
        <v>425450</v>
      </c>
      <c r="J38" s="664">
        <f t="shared" si="1"/>
        <v>444600</v>
      </c>
      <c r="K38" s="661"/>
    </row>
    <row r="39" spans="1:11" ht="18.75" customHeight="1">
      <c r="A39" s="661"/>
      <c r="B39" s="657" t="s">
        <v>9997</v>
      </c>
      <c r="C39" s="657" t="s">
        <v>10001</v>
      </c>
      <c r="D39" s="663" t="s">
        <v>10034</v>
      </c>
      <c r="E39" s="663" t="s">
        <v>10035</v>
      </c>
      <c r="F39" s="658">
        <v>0.1</v>
      </c>
      <c r="G39" s="658">
        <v>0.05</v>
      </c>
      <c r="H39" s="664">
        <v>507000</v>
      </c>
      <c r="I39" s="664">
        <f t="shared" si="0"/>
        <v>460910</v>
      </c>
      <c r="J39" s="664">
        <f t="shared" si="1"/>
        <v>481650</v>
      </c>
      <c r="K39" s="661"/>
    </row>
    <row r="40" spans="1:11" ht="18.75" customHeight="1">
      <c r="A40" s="661"/>
      <c r="B40" s="657" t="s">
        <v>9997</v>
      </c>
      <c r="C40" s="657" t="s">
        <v>10001</v>
      </c>
      <c r="D40" s="663" t="s">
        <v>10036</v>
      </c>
      <c r="E40" s="663" t="s">
        <v>10037</v>
      </c>
      <c r="F40" s="658">
        <v>0.1</v>
      </c>
      <c r="G40" s="658">
        <v>0.05</v>
      </c>
      <c r="H40" s="664">
        <v>587000</v>
      </c>
      <c r="I40" s="664">
        <f t="shared" si="0"/>
        <v>533640</v>
      </c>
      <c r="J40" s="664">
        <f t="shared" si="1"/>
        <v>557650</v>
      </c>
      <c r="K40" s="661"/>
    </row>
    <row r="41" spans="1:11" ht="18.75" customHeight="1">
      <c r="A41" s="661"/>
      <c r="B41" s="657" t="s">
        <v>9997</v>
      </c>
      <c r="C41" s="657" t="s">
        <v>10001</v>
      </c>
      <c r="D41" s="663" t="s">
        <v>10038</v>
      </c>
      <c r="E41" s="663" t="s">
        <v>10039</v>
      </c>
      <c r="F41" s="658">
        <v>0.1</v>
      </c>
      <c r="G41" s="658">
        <v>0.05</v>
      </c>
      <c r="H41" s="664"/>
      <c r="I41" s="664">
        <f t="shared" si="0"/>
        <v>0</v>
      </c>
      <c r="J41" s="664">
        <f t="shared" si="1"/>
        <v>0</v>
      </c>
      <c r="K41" s="661"/>
    </row>
    <row r="42" spans="1:11" ht="18.75" customHeight="1">
      <c r="A42" s="661"/>
      <c r="B42" s="657" t="s">
        <v>9997</v>
      </c>
      <c r="C42" s="657" t="s">
        <v>10001</v>
      </c>
      <c r="D42" s="663" t="s">
        <v>10040</v>
      </c>
      <c r="E42" s="663" t="s">
        <v>10041</v>
      </c>
      <c r="F42" s="658">
        <v>0.1</v>
      </c>
      <c r="G42" s="658">
        <v>0.05</v>
      </c>
      <c r="H42" s="664"/>
      <c r="I42" s="664">
        <f t="shared" si="0"/>
        <v>0</v>
      </c>
      <c r="J42" s="664">
        <f t="shared" si="1"/>
        <v>0</v>
      </c>
      <c r="K42" s="661"/>
    </row>
    <row r="43" spans="1:11" ht="18.75" customHeight="1">
      <c r="A43" s="661"/>
      <c r="B43" s="657" t="s">
        <v>9997</v>
      </c>
      <c r="C43" s="657" t="s">
        <v>10001</v>
      </c>
      <c r="D43" s="663" t="s">
        <v>10042</v>
      </c>
      <c r="E43" s="663" t="s">
        <v>10043</v>
      </c>
      <c r="F43" s="658">
        <v>0.1</v>
      </c>
      <c r="G43" s="658">
        <v>0.05</v>
      </c>
      <c r="H43" s="664"/>
      <c r="I43" s="664">
        <f t="shared" si="0"/>
        <v>0</v>
      </c>
      <c r="J43" s="664">
        <f t="shared" si="1"/>
        <v>0</v>
      </c>
      <c r="K43" s="661"/>
    </row>
    <row r="44" spans="1:11" ht="18.75" customHeight="1">
      <c r="A44" s="661"/>
      <c r="B44" s="657" t="s">
        <v>9997</v>
      </c>
      <c r="C44" s="657" t="s">
        <v>10001</v>
      </c>
      <c r="D44" s="663" t="s">
        <v>10044</v>
      </c>
      <c r="E44" s="663" t="s">
        <v>10045</v>
      </c>
      <c r="F44" s="658">
        <v>0.1</v>
      </c>
      <c r="G44" s="658">
        <v>0.05</v>
      </c>
      <c r="H44" s="664"/>
      <c r="I44" s="664">
        <f t="shared" si="0"/>
        <v>0</v>
      </c>
      <c r="J44" s="664">
        <f t="shared" si="1"/>
        <v>0</v>
      </c>
      <c r="K44" s="661"/>
    </row>
    <row r="45" spans="1:11" ht="18.75" customHeight="1">
      <c r="A45" s="661"/>
      <c r="B45" s="657" t="s">
        <v>9997</v>
      </c>
      <c r="C45" s="657" t="s">
        <v>10001</v>
      </c>
      <c r="D45" s="663" t="s">
        <v>10046</v>
      </c>
      <c r="E45" s="663" t="s">
        <v>10047</v>
      </c>
      <c r="F45" s="658">
        <v>0.1</v>
      </c>
      <c r="G45" s="658">
        <v>0.05</v>
      </c>
      <c r="H45" s="664"/>
      <c r="I45" s="664">
        <f t="shared" si="0"/>
        <v>0</v>
      </c>
      <c r="J45" s="664">
        <f t="shared" si="1"/>
        <v>0</v>
      </c>
      <c r="K45" s="661"/>
    </row>
    <row r="46" spans="1:11" ht="18.75" customHeight="1">
      <c r="A46" s="661"/>
      <c r="B46" s="657" t="s">
        <v>9997</v>
      </c>
      <c r="C46" s="657" t="s">
        <v>10001</v>
      </c>
      <c r="D46" s="663" t="s">
        <v>10048</v>
      </c>
      <c r="E46" s="663" t="s">
        <v>10049</v>
      </c>
      <c r="F46" s="658">
        <v>0.1</v>
      </c>
      <c r="G46" s="658">
        <v>0.05</v>
      </c>
      <c r="H46" s="664"/>
      <c r="I46" s="664">
        <f t="shared" si="0"/>
        <v>0</v>
      </c>
      <c r="J46" s="664">
        <f t="shared" si="1"/>
        <v>0</v>
      </c>
      <c r="K46" s="661"/>
    </row>
    <row r="47" spans="1:11" ht="18.75" customHeight="1">
      <c r="A47" s="661"/>
      <c r="B47" s="657" t="s">
        <v>9997</v>
      </c>
      <c r="C47" s="657" t="s">
        <v>10001</v>
      </c>
      <c r="D47" s="663" t="s">
        <v>10050</v>
      </c>
      <c r="E47" s="663" t="s">
        <v>10051</v>
      </c>
      <c r="F47" s="658">
        <v>0.1</v>
      </c>
      <c r="G47" s="658">
        <v>0.05</v>
      </c>
      <c r="H47" s="664"/>
      <c r="I47" s="664">
        <f t="shared" si="0"/>
        <v>0</v>
      </c>
      <c r="J47" s="664">
        <f t="shared" si="1"/>
        <v>0</v>
      </c>
      <c r="K47" s="661"/>
    </row>
    <row r="48" spans="1:11" ht="18.75" customHeight="1">
      <c r="A48" s="661"/>
      <c r="B48" s="657" t="s">
        <v>9997</v>
      </c>
      <c r="C48" s="657" t="s">
        <v>10001</v>
      </c>
      <c r="D48" s="663" t="s">
        <v>10052</v>
      </c>
      <c r="E48" s="663" t="s">
        <v>10053</v>
      </c>
      <c r="F48" s="658">
        <v>0.1</v>
      </c>
      <c r="G48" s="658">
        <v>0.05</v>
      </c>
      <c r="H48" s="664"/>
      <c r="I48" s="664">
        <f t="shared" si="0"/>
        <v>0</v>
      </c>
      <c r="J48" s="664">
        <f t="shared" si="1"/>
        <v>0</v>
      </c>
      <c r="K48" s="661"/>
    </row>
    <row r="49" spans="1:11" ht="18.75" customHeight="1">
      <c r="A49" s="661"/>
      <c r="B49" s="657" t="s">
        <v>9997</v>
      </c>
      <c r="C49" s="657" t="s">
        <v>10001</v>
      </c>
      <c r="D49" s="663" t="s">
        <v>10054</v>
      </c>
      <c r="E49" s="663" t="s">
        <v>10055</v>
      </c>
      <c r="F49" s="658">
        <v>0.1</v>
      </c>
      <c r="G49" s="658">
        <v>0.05</v>
      </c>
      <c r="H49" s="664"/>
      <c r="I49" s="664">
        <f t="shared" si="0"/>
        <v>0</v>
      </c>
      <c r="J49" s="664">
        <f t="shared" si="1"/>
        <v>0</v>
      </c>
      <c r="K49" s="661"/>
    </row>
    <row r="50" spans="1:11" ht="18.75" customHeight="1">
      <c r="A50" s="661"/>
      <c r="B50" s="657" t="s">
        <v>10056</v>
      </c>
      <c r="C50" s="657" t="s">
        <v>10057</v>
      </c>
      <c r="D50" s="663" t="s">
        <v>166</v>
      </c>
      <c r="E50" s="663" t="s">
        <v>10058</v>
      </c>
      <c r="F50" s="658">
        <v>0.1</v>
      </c>
      <c r="G50" s="658">
        <v>0.05</v>
      </c>
      <c r="H50" s="664">
        <v>70000</v>
      </c>
      <c r="I50" s="664">
        <f t="shared" si="0"/>
        <v>63640</v>
      </c>
      <c r="J50" s="664">
        <f t="shared" si="1"/>
        <v>66500</v>
      </c>
      <c r="K50" s="661"/>
    </row>
    <row r="51" spans="1:11" ht="18.75" customHeight="1">
      <c r="A51" s="661"/>
      <c r="B51" s="657" t="s">
        <v>10056</v>
      </c>
      <c r="C51" s="657" t="s">
        <v>10057</v>
      </c>
      <c r="D51" s="663" t="s">
        <v>169</v>
      </c>
      <c r="E51" s="663" t="s">
        <v>10059</v>
      </c>
      <c r="F51" s="658">
        <v>0.1</v>
      </c>
      <c r="G51" s="658">
        <v>0.05</v>
      </c>
      <c r="H51" s="664">
        <v>90000</v>
      </c>
      <c r="I51" s="664">
        <f t="shared" si="0"/>
        <v>81820</v>
      </c>
      <c r="J51" s="664">
        <f t="shared" si="1"/>
        <v>85500</v>
      </c>
      <c r="K51" s="661"/>
    </row>
    <row r="52" spans="1:11" ht="18.75" customHeight="1">
      <c r="A52" s="661"/>
      <c r="B52" s="657" t="s">
        <v>10056</v>
      </c>
      <c r="C52" s="657" t="s">
        <v>10057</v>
      </c>
      <c r="D52" s="663" t="s">
        <v>171</v>
      </c>
      <c r="E52" s="663" t="s">
        <v>10060</v>
      </c>
      <c r="F52" s="658">
        <v>0.1</v>
      </c>
      <c r="G52" s="658">
        <v>0.05</v>
      </c>
      <c r="H52" s="664">
        <v>90000</v>
      </c>
      <c r="I52" s="664">
        <f t="shared" si="0"/>
        <v>81820</v>
      </c>
      <c r="J52" s="664">
        <f t="shared" si="1"/>
        <v>85500</v>
      </c>
      <c r="K52" s="661"/>
    </row>
    <row r="53" spans="1:11" ht="18.75" customHeight="1">
      <c r="A53" s="661"/>
      <c r="B53" s="657" t="s">
        <v>10056</v>
      </c>
      <c r="C53" s="657" t="s">
        <v>10057</v>
      </c>
      <c r="D53" s="663" t="s">
        <v>173</v>
      </c>
      <c r="E53" s="663" t="s">
        <v>10061</v>
      </c>
      <c r="F53" s="658">
        <v>0.1</v>
      </c>
      <c r="G53" s="658">
        <v>0.05</v>
      </c>
      <c r="H53" s="664">
        <v>110000</v>
      </c>
      <c r="I53" s="664">
        <f t="shared" si="0"/>
        <v>100000</v>
      </c>
      <c r="J53" s="664">
        <f t="shared" si="1"/>
        <v>104500</v>
      </c>
      <c r="K53" s="661"/>
    </row>
    <row r="54" spans="1:11" ht="18.75" customHeight="1">
      <c r="A54" s="661"/>
      <c r="B54" s="657" t="s">
        <v>10056</v>
      </c>
      <c r="C54" s="657" t="s">
        <v>10057</v>
      </c>
      <c r="D54" s="663" t="s">
        <v>175</v>
      </c>
      <c r="E54" s="663" t="s">
        <v>10062</v>
      </c>
      <c r="F54" s="658">
        <v>0.1</v>
      </c>
      <c r="G54" s="658">
        <v>0.05</v>
      </c>
      <c r="H54" s="664">
        <v>140000</v>
      </c>
      <c r="I54" s="664">
        <f t="shared" si="0"/>
        <v>127270</v>
      </c>
      <c r="J54" s="664">
        <f t="shared" si="1"/>
        <v>133000</v>
      </c>
      <c r="K54" s="661"/>
    </row>
    <row r="55" spans="1:11" ht="18.75" customHeight="1">
      <c r="A55" s="661"/>
      <c r="B55" s="657" t="s">
        <v>10056</v>
      </c>
      <c r="C55" s="657" t="s">
        <v>10057</v>
      </c>
      <c r="D55" s="663" t="s">
        <v>177</v>
      </c>
      <c r="E55" s="663" t="s">
        <v>10063</v>
      </c>
      <c r="F55" s="658">
        <v>0.1</v>
      </c>
      <c r="G55" s="658">
        <v>0.05</v>
      </c>
      <c r="H55" s="664">
        <v>190000</v>
      </c>
      <c r="I55" s="664">
        <f t="shared" si="0"/>
        <v>172730</v>
      </c>
      <c r="J55" s="664">
        <f t="shared" si="1"/>
        <v>180500</v>
      </c>
      <c r="K55" s="661"/>
    </row>
    <row r="56" spans="1:11" ht="18.75" customHeight="1">
      <c r="A56" s="661"/>
      <c r="B56" s="657" t="s">
        <v>10056</v>
      </c>
      <c r="C56" s="657" t="s">
        <v>10057</v>
      </c>
      <c r="D56" s="663" t="s">
        <v>179</v>
      </c>
      <c r="E56" s="663" t="s">
        <v>10064</v>
      </c>
      <c r="F56" s="658">
        <v>0.1</v>
      </c>
      <c r="G56" s="658">
        <v>0.05</v>
      </c>
      <c r="H56" s="664">
        <v>220000</v>
      </c>
      <c r="I56" s="664">
        <f t="shared" si="0"/>
        <v>200000</v>
      </c>
      <c r="J56" s="664">
        <f t="shared" si="1"/>
        <v>209000</v>
      </c>
      <c r="K56" s="661"/>
    </row>
    <row r="57" spans="1:11" ht="18.75" customHeight="1">
      <c r="A57" s="661"/>
      <c r="B57" s="657" t="s">
        <v>10056</v>
      </c>
      <c r="C57" s="657" t="s">
        <v>10057</v>
      </c>
      <c r="D57" s="663" t="s">
        <v>181</v>
      </c>
      <c r="E57" s="663" t="s">
        <v>10065</v>
      </c>
      <c r="F57" s="658">
        <v>0.1</v>
      </c>
      <c r="G57" s="658">
        <v>0.05</v>
      </c>
      <c r="H57" s="664">
        <v>250000</v>
      </c>
      <c r="I57" s="664">
        <f t="shared" si="0"/>
        <v>227270</v>
      </c>
      <c r="J57" s="664">
        <f t="shared" si="1"/>
        <v>237500</v>
      </c>
      <c r="K57" s="661"/>
    </row>
    <row r="58" spans="1:11" ht="18.75" customHeight="1">
      <c r="A58" s="661"/>
      <c r="B58" s="657" t="s">
        <v>10056</v>
      </c>
      <c r="C58" s="657" t="s">
        <v>10057</v>
      </c>
      <c r="D58" s="663" t="s">
        <v>10066</v>
      </c>
      <c r="E58" s="663" t="s">
        <v>10067</v>
      </c>
      <c r="F58" s="658">
        <v>0.1</v>
      </c>
      <c r="G58" s="658">
        <v>0.05</v>
      </c>
      <c r="H58" s="663"/>
      <c r="I58" s="664">
        <f t="shared" si="0"/>
        <v>0</v>
      </c>
      <c r="J58" s="664">
        <f t="shared" si="1"/>
        <v>0</v>
      </c>
      <c r="K58" s="661"/>
    </row>
    <row r="59" spans="1:11" ht="18.75" customHeight="1">
      <c r="A59" s="661"/>
      <c r="B59" s="657" t="s">
        <v>10056</v>
      </c>
      <c r="C59" s="657" t="s">
        <v>10068</v>
      </c>
      <c r="D59" s="663" t="s">
        <v>199</v>
      </c>
      <c r="E59" s="663" t="s">
        <v>10069</v>
      </c>
      <c r="F59" s="658">
        <v>0.1</v>
      </c>
      <c r="G59" s="658">
        <v>0.05</v>
      </c>
      <c r="H59" s="664">
        <v>200000</v>
      </c>
      <c r="I59" s="664">
        <f t="shared" si="0"/>
        <v>181820</v>
      </c>
      <c r="J59" s="664">
        <f t="shared" si="1"/>
        <v>190000</v>
      </c>
      <c r="K59" s="661"/>
    </row>
    <row r="60" spans="1:11" ht="18.75" customHeight="1">
      <c r="A60" s="661"/>
      <c r="B60" s="657" t="s">
        <v>10056</v>
      </c>
      <c r="C60" s="657" t="s">
        <v>10068</v>
      </c>
      <c r="D60" s="663" t="s">
        <v>201</v>
      </c>
      <c r="E60" s="663" t="s">
        <v>10070</v>
      </c>
      <c r="F60" s="658">
        <v>0.1</v>
      </c>
      <c r="G60" s="658">
        <v>0.05</v>
      </c>
      <c r="H60" s="664">
        <v>210000</v>
      </c>
      <c r="I60" s="664">
        <f t="shared" si="0"/>
        <v>190910</v>
      </c>
      <c r="J60" s="664">
        <f t="shared" si="1"/>
        <v>199500</v>
      </c>
      <c r="K60" s="661"/>
    </row>
    <row r="61" spans="1:11" ht="18.75" customHeight="1">
      <c r="A61" s="661"/>
      <c r="B61" s="657" t="s">
        <v>10056</v>
      </c>
      <c r="C61" s="657" t="s">
        <v>10068</v>
      </c>
      <c r="D61" s="663" t="s">
        <v>203</v>
      </c>
      <c r="E61" s="663" t="s">
        <v>10071</v>
      </c>
      <c r="F61" s="658">
        <v>0.1</v>
      </c>
      <c r="G61" s="658">
        <v>0.05</v>
      </c>
      <c r="H61" s="664">
        <v>210000</v>
      </c>
      <c r="I61" s="664">
        <f t="shared" si="0"/>
        <v>190910</v>
      </c>
      <c r="J61" s="664">
        <f t="shared" si="1"/>
        <v>199500</v>
      </c>
      <c r="K61" s="661"/>
    </row>
    <row r="62" spans="1:11" ht="18.75" customHeight="1">
      <c r="A62" s="661"/>
      <c r="B62" s="657" t="s">
        <v>10056</v>
      </c>
      <c r="C62" s="657" t="s">
        <v>10068</v>
      </c>
      <c r="D62" s="663" t="s">
        <v>205</v>
      </c>
      <c r="E62" s="663" t="s">
        <v>10072</v>
      </c>
      <c r="F62" s="658">
        <v>0.1</v>
      </c>
      <c r="G62" s="658">
        <v>0.05</v>
      </c>
      <c r="H62" s="664">
        <v>250000</v>
      </c>
      <c r="I62" s="664">
        <f t="shared" si="0"/>
        <v>227270</v>
      </c>
      <c r="J62" s="664">
        <f t="shared" si="1"/>
        <v>237500</v>
      </c>
      <c r="K62" s="661"/>
    </row>
    <row r="63" spans="1:11" ht="18.75" customHeight="1">
      <c r="A63" s="661"/>
      <c r="B63" s="657" t="s">
        <v>10056</v>
      </c>
      <c r="C63" s="657" t="s">
        <v>10068</v>
      </c>
      <c r="D63" s="663" t="s">
        <v>207</v>
      </c>
      <c r="E63" s="663" t="s">
        <v>10073</v>
      </c>
      <c r="F63" s="658">
        <v>0.1</v>
      </c>
      <c r="G63" s="658">
        <v>0.05</v>
      </c>
      <c r="H63" s="664">
        <v>300000</v>
      </c>
      <c r="I63" s="664">
        <f t="shared" si="0"/>
        <v>272730</v>
      </c>
      <c r="J63" s="664">
        <f t="shared" si="1"/>
        <v>285000</v>
      </c>
      <c r="K63" s="661"/>
    </row>
    <row r="64" spans="1:11" ht="18.75" customHeight="1">
      <c r="A64" s="661"/>
      <c r="B64" s="657" t="s">
        <v>10056</v>
      </c>
      <c r="C64" s="657" t="s">
        <v>10068</v>
      </c>
      <c r="D64" s="663" t="s">
        <v>209</v>
      </c>
      <c r="E64" s="663" t="s">
        <v>10074</v>
      </c>
      <c r="F64" s="658">
        <v>0.1</v>
      </c>
      <c r="G64" s="658">
        <v>0.05</v>
      </c>
      <c r="H64" s="664">
        <v>380000</v>
      </c>
      <c r="I64" s="664">
        <f t="shared" si="0"/>
        <v>345450</v>
      </c>
      <c r="J64" s="664">
        <f t="shared" si="1"/>
        <v>361000</v>
      </c>
      <c r="K64" s="661"/>
    </row>
    <row r="65" spans="1:11" ht="18.75" customHeight="1">
      <c r="A65" s="661"/>
      <c r="B65" s="657" t="s">
        <v>10056</v>
      </c>
      <c r="C65" s="657" t="s">
        <v>10068</v>
      </c>
      <c r="D65" s="663" t="s">
        <v>211</v>
      </c>
      <c r="E65" s="663" t="s">
        <v>10075</v>
      </c>
      <c r="F65" s="658">
        <v>0.1</v>
      </c>
      <c r="G65" s="658">
        <v>0.05</v>
      </c>
      <c r="H65" s="664">
        <v>400000</v>
      </c>
      <c r="I65" s="664">
        <f t="shared" si="0"/>
        <v>363640</v>
      </c>
      <c r="J65" s="664">
        <f t="shared" si="1"/>
        <v>380000</v>
      </c>
      <c r="K65" s="661"/>
    </row>
    <row r="66" spans="1:11" ht="18.75" customHeight="1">
      <c r="A66" s="661"/>
      <c r="B66" s="657" t="s">
        <v>10056</v>
      </c>
      <c r="C66" s="657" t="s">
        <v>10068</v>
      </c>
      <c r="D66" s="663" t="s">
        <v>213</v>
      </c>
      <c r="E66" s="663" t="s">
        <v>10076</v>
      </c>
      <c r="F66" s="658">
        <v>0.1</v>
      </c>
      <c r="G66" s="658">
        <v>0.05</v>
      </c>
      <c r="H66" s="664">
        <v>510000</v>
      </c>
      <c r="I66" s="664">
        <f t="shared" si="0"/>
        <v>463640</v>
      </c>
      <c r="J66" s="664">
        <f t="shared" si="1"/>
        <v>484500</v>
      </c>
      <c r="K66" s="661"/>
    </row>
    <row r="67" spans="1:11" ht="18.75" customHeight="1">
      <c r="A67" s="661"/>
      <c r="B67" s="657" t="s">
        <v>10056</v>
      </c>
      <c r="C67" s="657" t="s">
        <v>10068</v>
      </c>
      <c r="D67" s="663" t="s">
        <v>215</v>
      </c>
      <c r="E67" s="663" t="s">
        <v>10077</v>
      </c>
      <c r="F67" s="658">
        <v>0.1</v>
      </c>
      <c r="G67" s="658">
        <v>0.05</v>
      </c>
      <c r="H67" s="663">
        <v>710000</v>
      </c>
      <c r="I67" s="664">
        <f t="shared" si="0"/>
        <v>645450</v>
      </c>
      <c r="J67" s="664">
        <f t="shared" si="1"/>
        <v>674500</v>
      </c>
      <c r="K67" s="661"/>
    </row>
    <row r="68" spans="1:11" ht="18.75" customHeight="1">
      <c r="A68" s="661"/>
      <c r="B68" s="657" t="s">
        <v>10056</v>
      </c>
      <c r="C68" s="657" t="s">
        <v>10068</v>
      </c>
      <c r="D68" s="663" t="s">
        <v>218</v>
      </c>
      <c r="E68" s="663" t="s">
        <v>10078</v>
      </c>
      <c r="F68" s="658">
        <v>0.1</v>
      </c>
      <c r="G68" s="658">
        <v>0.05</v>
      </c>
      <c r="H68" s="664">
        <v>238000</v>
      </c>
      <c r="I68" s="664">
        <f t="shared" si="0"/>
        <v>216360</v>
      </c>
      <c r="J68" s="664">
        <f t="shared" si="1"/>
        <v>226100</v>
      </c>
      <c r="K68" s="661"/>
    </row>
    <row r="69" spans="1:11" ht="18.75" customHeight="1">
      <c r="A69" s="661"/>
      <c r="B69" s="657" t="s">
        <v>10056</v>
      </c>
      <c r="C69" s="657" t="s">
        <v>10068</v>
      </c>
      <c r="D69" s="663" t="s">
        <v>219</v>
      </c>
      <c r="E69" s="663" t="s">
        <v>10079</v>
      </c>
      <c r="F69" s="658">
        <v>0.1</v>
      </c>
      <c r="G69" s="658">
        <v>0.05</v>
      </c>
      <c r="H69" s="664">
        <v>278000</v>
      </c>
      <c r="I69" s="664">
        <f t="shared" si="0"/>
        <v>252730</v>
      </c>
      <c r="J69" s="664">
        <f t="shared" si="1"/>
        <v>264100</v>
      </c>
      <c r="K69" s="661"/>
    </row>
    <row r="70" spans="1:11" ht="18.75" customHeight="1">
      <c r="A70" s="661"/>
      <c r="B70" s="657" t="s">
        <v>10056</v>
      </c>
      <c r="C70" s="657" t="s">
        <v>10068</v>
      </c>
      <c r="D70" s="663" t="s">
        <v>220</v>
      </c>
      <c r="E70" s="663" t="s">
        <v>10080</v>
      </c>
      <c r="F70" s="658">
        <v>0.1</v>
      </c>
      <c r="G70" s="658">
        <v>0.05</v>
      </c>
      <c r="H70" s="664">
        <v>278000</v>
      </c>
      <c r="I70" s="664">
        <f t="shared" si="0"/>
        <v>252730</v>
      </c>
      <c r="J70" s="664">
        <f t="shared" si="1"/>
        <v>264100</v>
      </c>
      <c r="K70" s="661"/>
    </row>
    <row r="71" spans="1:11" ht="18.75" customHeight="1">
      <c r="A71" s="661"/>
      <c r="B71" s="657" t="s">
        <v>10056</v>
      </c>
      <c r="C71" s="657" t="s">
        <v>10068</v>
      </c>
      <c r="D71" s="663" t="s">
        <v>221</v>
      </c>
      <c r="E71" s="663" t="s">
        <v>10081</v>
      </c>
      <c r="F71" s="658">
        <v>0.1</v>
      </c>
      <c r="G71" s="658">
        <v>0.05</v>
      </c>
      <c r="H71" s="664">
        <v>324000</v>
      </c>
      <c r="I71" s="664">
        <f t="shared" si="0"/>
        <v>294550</v>
      </c>
      <c r="J71" s="664">
        <f t="shared" si="1"/>
        <v>307800</v>
      </c>
      <c r="K71" s="661"/>
    </row>
    <row r="72" spans="1:11" ht="18.75" customHeight="1">
      <c r="A72" s="661"/>
      <c r="B72" s="657" t="s">
        <v>10056</v>
      </c>
      <c r="C72" s="657" t="s">
        <v>10068</v>
      </c>
      <c r="D72" s="663" t="s">
        <v>222</v>
      </c>
      <c r="E72" s="663" t="s">
        <v>10082</v>
      </c>
      <c r="F72" s="658">
        <v>0.1</v>
      </c>
      <c r="G72" s="658">
        <v>0.05</v>
      </c>
      <c r="H72" s="664">
        <v>364000</v>
      </c>
      <c r="I72" s="664">
        <f t="shared" si="0"/>
        <v>330910</v>
      </c>
      <c r="J72" s="664">
        <f t="shared" si="1"/>
        <v>345800</v>
      </c>
      <c r="K72" s="661"/>
    </row>
    <row r="73" spans="1:11" ht="18.75" customHeight="1">
      <c r="A73" s="661"/>
      <c r="B73" s="657" t="s">
        <v>10056</v>
      </c>
      <c r="C73" s="657" t="s">
        <v>10068</v>
      </c>
      <c r="D73" s="663" t="s">
        <v>223</v>
      </c>
      <c r="E73" s="663" t="s">
        <v>10083</v>
      </c>
      <c r="F73" s="658">
        <v>0.1</v>
      </c>
      <c r="G73" s="658">
        <v>0.05</v>
      </c>
      <c r="H73" s="664">
        <v>463000</v>
      </c>
      <c r="I73" s="664">
        <f t="shared" si="0"/>
        <v>420910</v>
      </c>
      <c r="J73" s="664">
        <f t="shared" si="1"/>
        <v>439850</v>
      </c>
      <c r="K73" s="661"/>
    </row>
    <row r="74" spans="1:11" ht="18.75" customHeight="1">
      <c r="A74" s="661"/>
      <c r="B74" s="657" t="s">
        <v>10056</v>
      </c>
      <c r="C74" s="657" t="s">
        <v>10068</v>
      </c>
      <c r="D74" s="663" t="s">
        <v>224</v>
      </c>
      <c r="E74" s="663" t="s">
        <v>10084</v>
      </c>
      <c r="F74" s="658">
        <v>0.1</v>
      </c>
      <c r="G74" s="658">
        <v>0.05</v>
      </c>
      <c r="H74" s="664">
        <v>502000</v>
      </c>
      <c r="I74" s="664">
        <f t="shared" si="0"/>
        <v>456360</v>
      </c>
      <c r="J74" s="664">
        <f t="shared" si="1"/>
        <v>476900</v>
      </c>
      <c r="K74" s="661"/>
    </row>
    <row r="75" spans="1:11" ht="18.75" customHeight="1">
      <c r="A75" s="661"/>
      <c r="B75" s="657" t="s">
        <v>10056</v>
      </c>
      <c r="C75" s="657" t="s">
        <v>10068</v>
      </c>
      <c r="D75" s="663" t="s">
        <v>225</v>
      </c>
      <c r="E75" s="663" t="s">
        <v>10085</v>
      </c>
      <c r="F75" s="658">
        <v>0.1</v>
      </c>
      <c r="G75" s="658">
        <v>0.05</v>
      </c>
      <c r="H75" s="664">
        <v>582000</v>
      </c>
      <c r="I75" s="664">
        <f t="shared" si="0"/>
        <v>529090</v>
      </c>
      <c r="J75" s="664">
        <f t="shared" si="1"/>
        <v>552900</v>
      </c>
      <c r="K75" s="661"/>
    </row>
    <row r="76" spans="1:11" ht="18.75" customHeight="1">
      <c r="A76" s="661"/>
      <c r="B76" s="657" t="s">
        <v>10056</v>
      </c>
      <c r="C76" s="657" t="s">
        <v>10068</v>
      </c>
      <c r="D76" s="663" t="s">
        <v>10086</v>
      </c>
      <c r="E76" s="663" t="s">
        <v>10087</v>
      </c>
      <c r="F76" s="658">
        <v>0.1</v>
      </c>
      <c r="G76" s="658">
        <v>0.05</v>
      </c>
      <c r="H76" s="663"/>
      <c r="I76" s="664">
        <f t="shared" si="0"/>
        <v>0</v>
      </c>
      <c r="J76" s="664">
        <f t="shared" si="1"/>
        <v>0</v>
      </c>
      <c r="K76" s="661"/>
    </row>
    <row r="77" spans="1:11" ht="18.75" customHeight="1">
      <c r="A77" s="661"/>
      <c r="B77" s="657" t="s">
        <v>10088</v>
      </c>
      <c r="C77" s="657" t="s">
        <v>10089</v>
      </c>
      <c r="D77" s="663" t="s">
        <v>184</v>
      </c>
      <c r="E77" s="663" t="s">
        <v>185</v>
      </c>
      <c r="F77" s="658">
        <v>0.1</v>
      </c>
      <c r="G77" s="658">
        <v>0.05</v>
      </c>
      <c r="H77" s="664">
        <v>220000</v>
      </c>
      <c r="I77" s="664">
        <f t="shared" si="0"/>
        <v>200000</v>
      </c>
      <c r="J77" s="664">
        <f t="shared" si="1"/>
        <v>209000</v>
      </c>
      <c r="K77" s="661"/>
    </row>
    <row r="78" spans="1:11" ht="18.75" customHeight="1">
      <c r="A78" s="661"/>
      <c r="B78" s="657" t="s">
        <v>10088</v>
      </c>
      <c r="C78" s="657" t="s">
        <v>10089</v>
      </c>
      <c r="D78" s="663" t="s">
        <v>186</v>
      </c>
      <c r="E78" s="663" t="s">
        <v>187</v>
      </c>
      <c r="F78" s="658">
        <v>0.1</v>
      </c>
      <c r="G78" s="658">
        <v>0.05</v>
      </c>
      <c r="H78" s="664">
        <v>257000</v>
      </c>
      <c r="I78" s="664">
        <f t="shared" si="0"/>
        <v>233640</v>
      </c>
      <c r="J78" s="664">
        <f t="shared" si="1"/>
        <v>244150</v>
      </c>
      <c r="K78" s="661"/>
    </row>
    <row r="79" spans="1:11" ht="18.75" customHeight="1">
      <c r="A79" s="661"/>
      <c r="B79" s="657" t="s">
        <v>10088</v>
      </c>
      <c r="C79" s="657" t="s">
        <v>10089</v>
      </c>
      <c r="D79" s="663" t="s">
        <v>188</v>
      </c>
      <c r="E79" s="663" t="s">
        <v>189</v>
      </c>
      <c r="F79" s="658">
        <v>0.1</v>
      </c>
      <c r="G79" s="658">
        <v>0.05</v>
      </c>
      <c r="H79" s="664">
        <v>311000</v>
      </c>
      <c r="I79" s="664">
        <f t="shared" si="0"/>
        <v>282730</v>
      </c>
      <c r="J79" s="664">
        <f t="shared" si="1"/>
        <v>295450</v>
      </c>
      <c r="K79" s="661"/>
    </row>
    <row r="80" spans="1:11" ht="18.75" customHeight="1">
      <c r="A80" s="661"/>
      <c r="B80" s="657" t="s">
        <v>10088</v>
      </c>
      <c r="C80" s="657" t="s">
        <v>10089</v>
      </c>
      <c r="D80" s="663" t="s">
        <v>190</v>
      </c>
      <c r="E80" s="663" t="s">
        <v>191</v>
      </c>
      <c r="F80" s="658">
        <v>0.1</v>
      </c>
      <c r="G80" s="658">
        <v>0.05</v>
      </c>
      <c r="H80" s="664">
        <v>336000</v>
      </c>
      <c r="I80" s="664">
        <f t="shared" si="0"/>
        <v>305450</v>
      </c>
      <c r="J80" s="664">
        <f t="shared" si="1"/>
        <v>319200</v>
      </c>
      <c r="K80" s="661"/>
    </row>
    <row r="81" spans="1:11" ht="18.75" customHeight="1">
      <c r="A81" s="661"/>
      <c r="B81" s="657" t="s">
        <v>10088</v>
      </c>
      <c r="C81" s="657" t="s">
        <v>10089</v>
      </c>
      <c r="D81" s="663" t="s">
        <v>192</v>
      </c>
      <c r="E81" s="663" t="s">
        <v>193</v>
      </c>
      <c r="F81" s="658">
        <v>0.1</v>
      </c>
      <c r="G81" s="658">
        <v>0.05</v>
      </c>
      <c r="H81" s="664">
        <v>436000</v>
      </c>
      <c r="I81" s="664">
        <f t="shared" si="0"/>
        <v>396360</v>
      </c>
      <c r="J81" s="664">
        <f t="shared" si="1"/>
        <v>414200</v>
      </c>
      <c r="K81" s="661"/>
    </row>
    <row r="82" spans="1:11" ht="18.75" customHeight="1">
      <c r="A82" s="661"/>
      <c r="B82" s="657" t="s">
        <v>10088</v>
      </c>
      <c r="C82" s="657" t="s">
        <v>10089</v>
      </c>
      <c r="D82" s="663" t="s">
        <v>194</v>
      </c>
      <c r="E82" s="663" t="s">
        <v>195</v>
      </c>
      <c r="F82" s="658">
        <v>0.1</v>
      </c>
      <c r="G82" s="658">
        <v>0.05</v>
      </c>
      <c r="H82" s="664">
        <v>466000</v>
      </c>
      <c r="I82" s="664">
        <f t="shared" si="0"/>
        <v>423640</v>
      </c>
      <c r="J82" s="664">
        <f t="shared" si="1"/>
        <v>442700</v>
      </c>
      <c r="K82" s="661"/>
    </row>
    <row r="83" spans="1:11" ht="18.75" customHeight="1">
      <c r="A83" s="661"/>
      <c r="B83" s="657" t="s">
        <v>10088</v>
      </c>
      <c r="C83" s="657" t="s">
        <v>10089</v>
      </c>
      <c r="D83" s="663" t="s">
        <v>196</v>
      </c>
      <c r="E83" s="663" t="s">
        <v>197</v>
      </c>
      <c r="F83" s="658">
        <v>0.1</v>
      </c>
      <c r="G83" s="658">
        <v>0.05</v>
      </c>
      <c r="H83" s="664">
        <v>532000</v>
      </c>
      <c r="I83" s="664">
        <f t="shared" si="0"/>
        <v>483640</v>
      </c>
      <c r="J83" s="664">
        <f t="shared" si="1"/>
        <v>505400</v>
      </c>
      <c r="K83" s="661"/>
    </row>
    <row r="84" spans="1:11" ht="18.75" customHeight="1">
      <c r="A84" s="661"/>
      <c r="B84" s="657" t="s">
        <v>10088</v>
      </c>
      <c r="C84" s="657" t="s">
        <v>10089</v>
      </c>
      <c r="D84" s="663" t="s">
        <v>10090</v>
      </c>
      <c r="E84" s="663" t="s">
        <v>10091</v>
      </c>
      <c r="F84" s="658">
        <v>0.1</v>
      </c>
      <c r="G84" s="658">
        <v>0.05</v>
      </c>
      <c r="H84" s="663">
        <v>724000</v>
      </c>
      <c r="I84" s="664">
        <f t="shared" si="0"/>
        <v>658180</v>
      </c>
      <c r="J84" s="664">
        <f t="shared" si="1"/>
        <v>687800</v>
      </c>
      <c r="K84" s="661"/>
    </row>
  </sheetData>
  <mergeCells count="1">
    <mergeCell ref="A1:K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K260"/>
  <sheetViews>
    <sheetView showGridLines="0" topLeftCell="C1" workbookViewId="0">
      <pane ySplit="4" topLeftCell="A5" activePane="bottomLeft" state="frozen"/>
      <selection pane="bottomLeft" activeCell="E7" sqref="E7:I7"/>
    </sheetView>
  </sheetViews>
  <sheetFormatPr defaultColWidth="12.5703125" defaultRowHeight="15" customHeight="1"/>
  <cols>
    <col min="1" max="1" width="4.42578125" customWidth="1"/>
    <col min="2" max="2" width="36.140625" customWidth="1"/>
    <col min="3" max="3" width="15.28515625" customWidth="1"/>
    <col min="4" max="4" width="24.28515625" customWidth="1"/>
    <col min="5" max="5" width="55.42578125" customWidth="1"/>
    <col min="6" max="6" width="11.5703125" customWidth="1"/>
    <col min="7" max="7" width="11.42578125" customWidth="1"/>
    <col min="8" max="8" width="13.85546875" customWidth="1"/>
    <col min="9" max="10" width="12.7109375" customWidth="1"/>
    <col min="11" max="11" width="4.42578125" customWidth="1"/>
  </cols>
  <sheetData>
    <row r="1" spans="1:11" ht="12.75" customHeight="1">
      <c r="A1" s="883" t="s">
        <v>9996</v>
      </c>
      <c r="B1" s="704"/>
      <c r="C1" s="704"/>
      <c r="D1" s="704"/>
      <c r="E1" s="704"/>
      <c r="F1" s="704"/>
      <c r="G1" s="704"/>
      <c r="H1" s="704"/>
      <c r="I1" s="704"/>
      <c r="J1" s="704"/>
      <c r="K1" s="705"/>
    </row>
    <row r="2" spans="1:11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7"/>
      <c r="K2" s="708"/>
    </row>
    <row r="3" spans="1:11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</row>
    <row r="4" spans="1:11" ht="12.75" customHeight="1">
      <c r="A4" s="661"/>
      <c r="B4" s="655" t="s">
        <v>673</v>
      </c>
      <c r="C4" s="655" t="s">
        <v>3925</v>
      </c>
      <c r="D4" s="662" t="s">
        <v>674</v>
      </c>
      <c r="E4" s="662" t="s">
        <v>675</v>
      </c>
      <c r="F4" s="655" t="s">
        <v>3926</v>
      </c>
      <c r="G4" s="655" t="s">
        <v>3927</v>
      </c>
      <c r="H4" s="662" t="s">
        <v>80</v>
      </c>
      <c r="I4" s="662" t="s">
        <v>81</v>
      </c>
      <c r="J4" s="662" t="s">
        <v>82</v>
      </c>
      <c r="K4" s="661"/>
    </row>
    <row r="5" spans="1:11" ht="18.75" customHeight="1">
      <c r="A5" s="661"/>
      <c r="B5" s="657" t="s">
        <v>10092</v>
      </c>
      <c r="C5" s="657" t="s">
        <v>10093</v>
      </c>
      <c r="D5" s="663" t="s">
        <v>10094</v>
      </c>
      <c r="E5" s="663" t="s">
        <v>10095</v>
      </c>
      <c r="F5" s="658">
        <v>0.1</v>
      </c>
      <c r="G5" s="658">
        <v>0.02</v>
      </c>
      <c r="H5" s="663"/>
      <c r="I5" s="664">
        <f t="shared" ref="I5:I259" si="0">IF(ISBLANK(H5),,ROUND(H5/(1+F5),-1))</f>
        <v>0</v>
      </c>
      <c r="J5" s="664">
        <f t="shared" ref="J5:J259" si="1">IF(ISBLANK(H5),,ROUND(H5*(1-G5),-1))</f>
        <v>0</v>
      </c>
      <c r="K5" s="661"/>
    </row>
    <row r="6" spans="1:11" ht="18.75" customHeight="1">
      <c r="A6" s="661"/>
      <c r="B6" s="657" t="s">
        <v>10092</v>
      </c>
      <c r="C6" s="657" t="s">
        <v>10093</v>
      </c>
      <c r="D6" s="663" t="s">
        <v>10096</v>
      </c>
      <c r="E6" s="663" t="s">
        <v>10097</v>
      </c>
      <c r="F6" s="658">
        <v>0.1</v>
      </c>
      <c r="G6" s="658">
        <v>0.02</v>
      </c>
      <c r="H6" s="663"/>
      <c r="I6" s="664">
        <f t="shared" si="0"/>
        <v>0</v>
      </c>
      <c r="J6" s="664">
        <f t="shared" si="1"/>
        <v>0</v>
      </c>
      <c r="K6" s="661"/>
    </row>
    <row r="7" spans="1:11" ht="18.75" customHeight="1">
      <c r="A7" s="661"/>
      <c r="B7" s="657" t="s">
        <v>10092</v>
      </c>
      <c r="C7" s="657" t="s">
        <v>10093</v>
      </c>
      <c r="D7" s="663" t="s">
        <v>10098</v>
      </c>
      <c r="E7" s="663" t="s">
        <v>10099</v>
      </c>
      <c r="F7" s="658">
        <v>0.1</v>
      </c>
      <c r="G7" s="658">
        <v>0.02</v>
      </c>
      <c r="H7" s="663"/>
      <c r="I7" s="664">
        <f t="shared" si="0"/>
        <v>0</v>
      </c>
      <c r="J7" s="664">
        <f t="shared" si="1"/>
        <v>0</v>
      </c>
      <c r="K7" s="661"/>
    </row>
    <row r="8" spans="1:11" ht="18.75" customHeight="1">
      <c r="A8" s="661"/>
      <c r="B8" s="657" t="s">
        <v>10092</v>
      </c>
      <c r="C8" s="657" t="s">
        <v>10093</v>
      </c>
      <c r="D8" s="663" t="s">
        <v>10100</v>
      </c>
      <c r="E8" s="663" t="s">
        <v>10101</v>
      </c>
      <c r="F8" s="658">
        <v>0.1</v>
      </c>
      <c r="G8" s="658">
        <v>0.02</v>
      </c>
      <c r="H8" s="663"/>
      <c r="I8" s="664">
        <f t="shared" si="0"/>
        <v>0</v>
      </c>
      <c r="J8" s="664">
        <f t="shared" si="1"/>
        <v>0</v>
      </c>
      <c r="K8" s="661"/>
    </row>
    <row r="9" spans="1:11" ht="18.75" customHeight="1">
      <c r="A9" s="661"/>
      <c r="B9" s="657" t="s">
        <v>10092</v>
      </c>
      <c r="C9" s="657" t="s">
        <v>10093</v>
      </c>
      <c r="D9" s="663" t="s">
        <v>10102</v>
      </c>
      <c r="E9" s="663" t="s">
        <v>10103</v>
      </c>
      <c r="F9" s="658">
        <v>0.1</v>
      </c>
      <c r="G9" s="658">
        <v>0.02</v>
      </c>
      <c r="H9" s="663"/>
      <c r="I9" s="664">
        <f t="shared" si="0"/>
        <v>0</v>
      </c>
      <c r="J9" s="664">
        <f t="shared" si="1"/>
        <v>0</v>
      </c>
      <c r="K9" s="661"/>
    </row>
    <row r="10" spans="1:11" ht="18.75" customHeight="1">
      <c r="A10" s="661"/>
      <c r="B10" s="657" t="s">
        <v>10092</v>
      </c>
      <c r="C10" s="657" t="s">
        <v>10093</v>
      </c>
      <c r="D10" s="663" t="s">
        <v>10104</v>
      </c>
      <c r="E10" s="663" t="s">
        <v>10105</v>
      </c>
      <c r="F10" s="658">
        <v>0.1</v>
      </c>
      <c r="G10" s="658">
        <v>0.02</v>
      </c>
      <c r="H10" s="663"/>
      <c r="I10" s="664">
        <f t="shared" si="0"/>
        <v>0</v>
      </c>
      <c r="J10" s="664">
        <f t="shared" si="1"/>
        <v>0</v>
      </c>
      <c r="K10" s="661"/>
    </row>
    <row r="11" spans="1:11" ht="18.75" customHeight="1">
      <c r="A11" s="661"/>
      <c r="B11" s="657" t="s">
        <v>10092</v>
      </c>
      <c r="C11" s="657" t="s">
        <v>10093</v>
      </c>
      <c r="D11" s="663" t="s">
        <v>10106</v>
      </c>
      <c r="E11" s="663" t="s">
        <v>10107</v>
      </c>
      <c r="F11" s="658">
        <v>0.1</v>
      </c>
      <c r="G11" s="658">
        <v>0.02</v>
      </c>
      <c r="H11" s="663"/>
      <c r="I11" s="664">
        <f t="shared" si="0"/>
        <v>0</v>
      </c>
      <c r="J11" s="664">
        <f t="shared" si="1"/>
        <v>0</v>
      </c>
      <c r="K11" s="661"/>
    </row>
    <row r="12" spans="1:11" ht="18.75" customHeight="1">
      <c r="A12" s="661"/>
      <c r="B12" s="657" t="s">
        <v>10092</v>
      </c>
      <c r="C12" s="657" t="s">
        <v>10093</v>
      </c>
      <c r="D12" s="663" t="s">
        <v>10108</v>
      </c>
      <c r="E12" s="663" t="s">
        <v>10109</v>
      </c>
      <c r="F12" s="658">
        <v>0.1</v>
      </c>
      <c r="G12" s="658">
        <v>0.02</v>
      </c>
      <c r="H12" s="664">
        <v>29500</v>
      </c>
      <c r="I12" s="664">
        <f t="shared" si="0"/>
        <v>26820</v>
      </c>
      <c r="J12" s="664">
        <f t="shared" si="1"/>
        <v>28910</v>
      </c>
      <c r="K12" s="661"/>
    </row>
    <row r="13" spans="1:11" ht="18.75" customHeight="1">
      <c r="A13" s="661"/>
      <c r="B13" s="657" t="s">
        <v>10092</v>
      </c>
      <c r="C13" s="657" t="s">
        <v>10093</v>
      </c>
      <c r="D13" s="663" t="s">
        <v>10110</v>
      </c>
      <c r="E13" s="663" t="s">
        <v>10111</v>
      </c>
      <c r="F13" s="658">
        <v>0.1</v>
      </c>
      <c r="G13" s="658">
        <v>0.02</v>
      </c>
      <c r="H13" s="664">
        <v>33000</v>
      </c>
      <c r="I13" s="664">
        <f t="shared" si="0"/>
        <v>30000</v>
      </c>
      <c r="J13" s="664">
        <f t="shared" si="1"/>
        <v>32340</v>
      </c>
      <c r="K13" s="661"/>
    </row>
    <row r="14" spans="1:11" ht="18.75" customHeight="1">
      <c r="A14" s="661"/>
      <c r="B14" s="657" t="s">
        <v>10092</v>
      </c>
      <c r="C14" s="657" t="s">
        <v>10093</v>
      </c>
      <c r="D14" s="663" t="s">
        <v>10112</v>
      </c>
      <c r="E14" s="663" t="s">
        <v>10113</v>
      </c>
      <c r="F14" s="658">
        <v>0.1</v>
      </c>
      <c r="G14" s="658">
        <v>0.02</v>
      </c>
      <c r="H14" s="664">
        <v>36200</v>
      </c>
      <c r="I14" s="664">
        <f t="shared" si="0"/>
        <v>32910</v>
      </c>
      <c r="J14" s="664">
        <f t="shared" si="1"/>
        <v>35480</v>
      </c>
      <c r="K14" s="661"/>
    </row>
    <row r="15" spans="1:11" ht="18.75" customHeight="1">
      <c r="A15" s="661"/>
      <c r="B15" s="657" t="s">
        <v>10092</v>
      </c>
      <c r="C15" s="657" t="s">
        <v>10093</v>
      </c>
      <c r="D15" s="663" t="s">
        <v>10114</v>
      </c>
      <c r="E15" s="663" t="s">
        <v>10115</v>
      </c>
      <c r="F15" s="658">
        <v>0.1</v>
      </c>
      <c r="G15" s="658">
        <v>0.02</v>
      </c>
      <c r="H15" s="664">
        <v>41400</v>
      </c>
      <c r="I15" s="664">
        <f t="shared" si="0"/>
        <v>37640</v>
      </c>
      <c r="J15" s="664">
        <f t="shared" si="1"/>
        <v>40570</v>
      </c>
      <c r="K15" s="661"/>
    </row>
    <row r="16" spans="1:11" ht="18.75" customHeight="1">
      <c r="A16" s="661"/>
      <c r="B16" s="657" t="s">
        <v>10092</v>
      </c>
      <c r="C16" s="657" t="s">
        <v>10093</v>
      </c>
      <c r="D16" s="663" t="s">
        <v>10116</v>
      </c>
      <c r="E16" s="663" t="s">
        <v>10117</v>
      </c>
      <c r="F16" s="658">
        <v>0.1</v>
      </c>
      <c r="G16" s="658">
        <v>0.02</v>
      </c>
      <c r="H16" s="664">
        <v>44200</v>
      </c>
      <c r="I16" s="664">
        <f t="shared" si="0"/>
        <v>40180</v>
      </c>
      <c r="J16" s="664">
        <f t="shared" si="1"/>
        <v>43320</v>
      </c>
      <c r="K16" s="661"/>
    </row>
    <row r="17" spans="1:11" ht="18.75" customHeight="1">
      <c r="A17" s="661"/>
      <c r="B17" s="657" t="s">
        <v>10092</v>
      </c>
      <c r="C17" s="657" t="s">
        <v>10093</v>
      </c>
      <c r="D17" s="663" t="s">
        <v>10118</v>
      </c>
      <c r="E17" s="663" t="s">
        <v>10119</v>
      </c>
      <c r="F17" s="658">
        <v>0.1</v>
      </c>
      <c r="G17" s="658">
        <v>0.02</v>
      </c>
      <c r="H17" s="664">
        <v>50900</v>
      </c>
      <c r="I17" s="664">
        <f t="shared" si="0"/>
        <v>46270</v>
      </c>
      <c r="J17" s="664">
        <f t="shared" si="1"/>
        <v>49880</v>
      </c>
      <c r="K17" s="661"/>
    </row>
    <row r="18" spans="1:11" ht="18.75" customHeight="1">
      <c r="A18" s="661"/>
      <c r="B18" s="657" t="s">
        <v>10092</v>
      </c>
      <c r="C18" s="657" t="s">
        <v>10093</v>
      </c>
      <c r="D18" s="663" t="s">
        <v>10120</v>
      </c>
      <c r="E18" s="663" t="s">
        <v>10121</v>
      </c>
      <c r="F18" s="658">
        <v>0.1</v>
      </c>
      <c r="G18" s="658">
        <v>0.02</v>
      </c>
      <c r="H18" s="664">
        <v>67300</v>
      </c>
      <c r="I18" s="664">
        <f t="shared" si="0"/>
        <v>61180</v>
      </c>
      <c r="J18" s="664">
        <f t="shared" si="1"/>
        <v>65950</v>
      </c>
      <c r="K18" s="661"/>
    </row>
    <row r="19" spans="1:11" ht="18.75" customHeight="1">
      <c r="A19" s="661"/>
      <c r="B19" s="657" t="s">
        <v>10092</v>
      </c>
      <c r="C19" s="657" t="s">
        <v>10093</v>
      </c>
      <c r="D19" s="663" t="s">
        <v>10122</v>
      </c>
      <c r="E19" s="663" t="s">
        <v>10123</v>
      </c>
      <c r="F19" s="658">
        <v>0.1</v>
      </c>
      <c r="G19" s="658">
        <v>0.02</v>
      </c>
      <c r="H19" s="663">
        <v>81800</v>
      </c>
      <c r="I19" s="664">
        <f t="shared" si="0"/>
        <v>74360</v>
      </c>
      <c r="J19" s="664">
        <f t="shared" si="1"/>
        <v>80160</v>
      </c>
      <c r="K19" s="661"/>
    </row>
    <row r="20" spans="1:11" ht="18.75" customHeight="1">
      <c r="A20" s="661"/>
      <c r="B20" s="657" t="s">
        <v>10092</v>
      </c>
      <c r="C20" s="657" t="s">
        <v>10093</v>
      </c>
      <c r="D20" s="663" t="s">
        <v>10124</v>
      </c>
      <c r="E20" s="663" t="s">
        <v>10125</v>
      </c>
      <c r="F20" s="658">
        <v>0.1</v>
      </c>
      <c r="G20" s="658">
        <v>0.02</v>
      </c>
      <c r="H20" s="664">
        <v>96300</v>
      </c>
      <c r="I20" s="664">
        <f t="shared" si="0"/>
        <v>87550</v>
      </c>
      <c r="J20" s="664">
        <f t="shared" si="1"/>
        <v>94370</v>
      </c>
      <c r="K20" s="661"/>
    </row>
    <row r="21" spans="1:11" ht="18.75" customHeight="1">
      <c r="A21" s="661"/>
      <c r="B21" s="657" t="s">
        <v>10092</v>
      </c>
      <c r="C21" s="657" t="s">
        <v>10093</v>
      </c>
      <c r="D21" s="663" t="s">
        <v>10126</v>
      </c>
      <c r="E21" s="663" t="s">
        <v>10127</v>
      </c>
      <c r="F21" s="658">
        <v>0.1</v>
      </c>
      <c r="G21" s="658">
        <v>0.02</v>
      </c>
      <c r="H21" s="664">
        <v>46800</v>
      </c>
      <c r="I21" s="664">
        <f t="shared" si="0"/>
        <v>42550</v>
      </c>
      <c r="J21" s="664">
        <f t="shared" si="1"/>
        <v>45860</v>
      </c>
      <c r="K21" s="661"/>
    </row>
    <row r="22" spans="1:11" ht="18.75" customHeight="1">
      <c r="A22" s="661"/>
      <c r="B22" s="657" t="s">
        <v>10092</v>
      </c>
      <c r="C22" s="657" t="s">
        <v>10093</v>
      </c>
      <c r="D22" s="663" t="s">
        <v>10128</v>
      </c>
      <c r="E22" s="663" t="s">
        <v>10129</v>
      </c>
      <c r="F22" s="658">
        <v>0.1</v>
      </c>
      <c r="G22" s="658">
        <v>0.02</v>
      </c>
      <c r="H22" s="664">
        <v>60900</v>
      </c>
      <c r="I22" s="664">
        <f t="shared" si="0"/>
        <v>55360</v>
      </c>
      <c r="J22" s="664">
        <f t="shared" si="1"/>
        <v>59680</v>
      </c>
      <c r="K22" s="661"/>
    </row>
    <row r="23" spans="1:11" ht="18.75" customHeight="1">
      <c r="A23" s="661"/>
      <c r="B23" s="657" t="s">
        <v>10092</v>
      </c>
      <c r="C23" s="657" t="s">
        <v>10093</v>
      </c>
      <c r="D23" s="663" t="s">
        <v>10130</v>
      </c>
      <c r="E23" s="663" t="s">
        <v>10131</v>
      </c>
      <c r="F23" s="658">
        <v>0.1</v>
      </c>
      <c r="G23" s="658">
        <v>0.02</v>
      </c>
      <c r="H23" s="664">
        <v>55900</v>
      </c>
      <c r="I23" s="664">
        <f t="shared" si="0"/>
        <v>50820</v>
      </c>
      <c r="J23" s="664">
        <f t="shared" si="1"/>
        <v>54780</v>
      </c>
      <c r="K23" s="661"/>
    </row>
    <row r="24" spans="1:11" ht="18.75" customHeight="1">
      <c r="A24" s="661"/>
      <c r="B24" s="657" t="s">
        <v>10092</v>
      </c>
      <c r="C24" s="657" t="s">
        <v>10093</v>
      </c>
      <c r="D24" s="663" t="s">
        <v>10132</v>
      </c>
      <c r="E24" s="663" t="s">
        <v>10133</v>
      </c>
      <c r="F24" s="658">
        <v>0.1</v>
      </c>
      <c r="G24" s="658">
        <v>0.02</v>
      </c>
      <c r="H24" s="664">
        <v>63700</v>
      </c>
      <c r="I24" s="664">
        <f t="shared" si="0"/>
        <v>57910</v>
      </c>
      <c r="J24" s="664">
        <f t="shared" si="1"/>
        <v>62430</v>
      </c>
      <c r="K24" s="661"/>
    </row>
    <row r="25" spans="1:11" ht="18.75" customHeight="1">
      <c r="A25" s="661"/>
      <c r="B25" s="657" t="s">
        <v>10092</v>
      </c>
      <c r="C25" s="657" t="s">
        <v>10093</v>
      </c>
      <c r="D25" s="663" t="s">
        <v>10134</v>
      </c>
      <c r="E25" s="663" t="s">
        <v>10135</v>
      </c>
      <c r="F25" s="658">
        <v>0.1</v>
      </c>
      <c r="G25" s="658">
        <v>0.02</v>
      </c>
      <c r="H25" s="664">
        <v>71600</v>
      </c>
      <c r="I25" s="664">
        <f t="shared" si="0"/>
        <v>65090</v>
      </c>
      <c r="J25" s="664">
        <f t="shared" si="1"/>
        <v>70170</v>
      </c>
      <c r="K25" s="661"/>
    </row>
    <row r="26" spans="1:11" ht="18.75" customHeight="1">
      <c r="A26" s="661"/>
      <c r="B26" s="657" t="s">
        <v>10092</v>
      </c>
      <c r="C26" s="657" t="s">
        <v>10093</v>
      </c>
      <c r="D26" s="663" t="s">
        <v>10136</v>
      </c>
      <c r="E26" s="663" t="s">
        <v>10137</v>
      </c>
      <c r="F26" s="658">
        <v>0.1</v>
      </c>
      <c r="G26" s="658">
        <v>0.02</v>
      </c>
      <c r="H26" s="664">
        <v>75500</v>
      </c>
      <c r="I26" s="664">
        <f t="shared" si="0"/>
        <v>68640</v>
      </c>
      <c r="J26" s="664">
        <f t="shared" si="1"/>
        <v>73990</v>
      </c>
      <c r="K26" s="661"/>
    </row>
    <row r="27" spans="1:11" ht="18.75" customHeight="1">
      <c r="A27" s="661"/>
      <c r="B27" s="657" t="s">
        <v>10092</v>
      </c>
      <c r="C27" s="657" t="s">
        <v>10093</v>
      </c>
      <c r="D27" s="663" t="s">
        <v>10138</v>
      </c>
      <c r="E27" s="663" t="s">
        <v>10139</v>
      </c>
      <c r="F27" s="658">
        <v>0.1</v>
      </c>
      <c r="G27" s="658">
        <v>0.02</v>
      </c>
      <c r="H27" s="664">
        <v>87600</v>
      </c>
      <c r="I27" s="664">
        <f t="shared" si="0"/>
        <v>79640</v>
      </c>
      <c r="J27" s="664">
        <f t="shared" si="1"/>
        <v>85850</v>
      </c>
      <c r="K27" s="661"/>
    </row>
    <row r="28" spans="1:11" ht="18.75" customHeight="1">
      <c r="A28" s="661"/>
      <c r="B28" s="657" t="s">
        <v>10092</v>
      </c>
      <c r="C28" s="657" t="s">
        <v>10093</v>
      </c>
      <c r="D28" s="663" t="s">
        <v>10140</v>
      </c>
      <c r="E28" s="663" t="s">
        <v>10141</v>
      </c>
      <c r="F28" s="658">
        <v>0.1</v>
      </c>
      <c r="G28" s="658">
        <v>0.02</v>
      </c>
      <c r="H28" s="664">
        <v>97400</v>
      </c>
      <c r="I28" s="664">
        <f t="shared" si="0"/>
        <v>88550</v>
      </c>
      <c r="J28" s="664">
        <f t="shared" si="1"/>
        <v>95450</v>
      </c>
      <c r="K28" s="661"/>
    </row>
    <row r="29" spans="1:11" ht="18.75" customHeight="1">
      <c r="A29" s="661"/>
      <c r="B29" s="657" t="s">
        <v>10092</v>
      </c>
      <c r="C29" s="657" t="s">
        <v>10093</v>
      </c>
      <c r="D29" s="663" t="s">
        <v>10142</v>
      </c>
      <c r="E29" s="663" t="s">
        <v>10143</v>
      </c>
      <c r="F29" s="658">
        <v>0.1</v>
      </c>
      <c r="G29" s="658">
        <v>0.02</v>
      </c>
      <c r="H29" s="664">
        <v>116300</v>
      </c>
      <c r="I29" s="664">
        <f t="shared" si="0"/>
        <v>105730</v>
      </c>
      <c r="J29" s="664">
        <f t="shared" si="1"/>
        <v>113970</v>
      </c>
      <c r="K29" s="661"/>
    </row>
    <row r="30" spans="1:11" ht="18.75" customHeight="1">
      <c r="A30" s="661"/>
      <c r="B30" s="657" t="s">
        <v>10092</v>
      </c>
      <c r="C30" s="657" t="s">
        <v>10093</v>
      </c>
      <c r="D30" s="663" t="s">
        <v>10144</v>
      </c>
      <c r="E30" s="663" t="s">
        <v>10145</v>
      </c>
      <c r="F30" s="658">
        <v>0.1</v>
      </c>
      <c r="G30" s="658">
        <v>0.02</v>
      </c>
      <c r="H30" s="664">
        <v>135900</v>
      </c>
      <c r="I30" s="664">
        <f t="shared" si="0"/>
        <v>123550</v>
      </c>
      <c r="J30" s="664">
        <f t="shared" si="1"/>
        <v>133180</v>
      </c>
      <c r="K30" s="661"/>
    </row>
    <row r="31" spans="1:11" ht="18.75" customHeight="1">
      <c r="A31" s="661"/>
      <c r="B31" s="657" t="s">
        <v>10092</v>
      </c>
      <c r="C31" s="657" t="s">
        <v>10093</v>
      </c>
      <c r="D31" s="663" t="s">
        <v>10146</v>
      </c>
      <c r="E31" s="663" t="s">
        <v>10147</v>
      </c>
      <c r="F31" s="658">
        <v>0.1</v>
      </c>
      <c r="G31" s="658">
        <v>0.02</v>
      </c>
      <c r="H31" s="664">
        <v>157700</v>
      </c>
      <c r="I31" s="664">
        <f t="shared" si="0"/>
        <v>143360</v>
      </c>
      <c r="J31" s="664">
        <f t="shared" si="1"/>
        <v>154550</v>
      </c>
      <c r="K31" s="661"/>
    </row>
    <row r="32" spans="1:11" ht="18.75" customHeight="1">
      <c r="A32" s="661"/>
      <c r="B32" s="657" t="s">
        <v>10092</v>
      </c>
      <c r="C32" s="657" t="s">
        <v>10093</v>
      </c>
      <c r="D32" s="663" t="s">
        <v>10148</v>
      </c>
      <c r="E32" s="663" t="s">
        <v>10149</v>
      </c>
      <c r="F32" s="658">
        <v>0.1</v>
      </c>
      <c r="G32" s="658">
        <v>0.02</v>
      </c>
      <c r="H32" s="664">
        <v>195500</v>
      </c>
      <c r="I32" s="664">
        <f t="shared" si="0"/>
        <v>177730</v>
      </c>
      <c r="J32" s="664">
        <f t="shared" si="1"/>
        <v>191590</v>
      </c>
      <c r="K32" s="661"/>
    </row>
    <row r="33" spans="1:11" ht="18.75" customHeight="1">
      <c r="A33" s="661"/>
      <c r="B33" s="657" t="s">
        <v>10092</v>
      </c>
      <c r="C33" s="657" t="s">
        <v>10093</v>
      </c>
      <c r="D33" s="663" t="s">
        <v>10150</v>
      </c>
      <c r="E33" s="663" t="s">
        <v>10151</v>
      </c>
      <c r="F33" s="658">
        <v>0.1</v>
      </c>
      <c r="G33" s="658">
        <v>0.02</v>
      </c>
      <c r="H33" s="664">
        <v>236300</v>
      </c>
      <c r="I33" s="664">
        <f t="shared" si="0"/>
        <v>214820</v>
      </c>
      <c r="J33" s="664">
        <f t="shared" si="1"/>
        <v>231570</v>
      </c>
      <c r="K33" s="661"/>
    </row>
    <row r="34" spans="1:11" ht="18.75" customHeight="1">
      <c r="A34" s="661"/>
      <c r="B34" s="657" t="s">
        <v>10092</v>
      </c>
      <c r="C34" s="657" t="s">
        <v>10093</v>
      </c>
      <c r="D34" s="663" t="s">
        <v>10152</v>
      </c>
      <c r="E34" s="663" t="s">
        <v>10153</v>
      </c>
      <c r="F34" s="658">
        <v>0.1</v>
      </c>
      <c r="G34" s="658">
        <v>0.02</v>
      </c>
      <c r="H34" s="664">
        <v>275600</v>
      </c>
      <c r="I34" s="664">
        <f t="shared" si="0"/>
        <v>250550</v>
      </c>
      <c r="J34" s="664">
        <f t="shared" si="1"/>
        <v>270090</v>
      </c>
      <c r="K34" s="661"/>
    </row>
    <row r="35" spans="1:11" ht="18.75" customHeight="1">
      <c r="A35" s="661"/>
      <c r="B35" s="657" t="s">
        <v>10092</v>
      </c>
      <c r="C35" s="657" t="s">
        <v>10093</v>
      </c>
      <c r="D35" s="663" t="s">
        <v>10154</v>
      </c>
      <c r="E35" s="663" t="s">
        <v>10155</v>
      </c>
      <c r="F35" s="658">
        <v>0.1</v>
      </c>
      <c r="G35" s="658">
        <v>0.02</v>
      </c>
      <c r="H35" s="664">
        <v>68000</v>
      </c>
      <c r="I35" s="664">
        <f t="shared" si="0"/>
        <v>61820</v>
      </c>
      <c r="J35" s="664">
        <f t="shared" si="1"/>
        <v>66640</v>
      </c>
      <c r="K35" s="661"/>
    </row>
    <row r="36" spans="1:11" ht="18.75" customHeight="1">
      <c r="A36" s="661"/>
      <c r="B36" s="657" t="s">
        <v>10092</v>
      </c>
      <c r="C36" s="657" t="s">
        <v>10093</v>
      </c>
      <c r="D36" s="663" t="s">
        <v>10156</v>
      </c>
      <c r="E36" s="663" t="s">
        <v>10157</v>
      </c>
      <c r="F36" s="658">
        <v>0.1</v>
      </c>
      <c r="G36" s="658">
        <v>0.02</v>
      </c>
      <c r="H36" s="664">
        <v>68000</v>
      </c>
      <c r="I36" s="664">
        <f t="shared" si="0"/>
        <v>61820</v>
      </c>
      <c r="J36" s="664">
        <f t="shared" si="1"/>
        <v>66640</v>
      </c>
      <c r="K36" s="661"/>
    </row>
    <row r="37" spans="1:11" ht="18.75" customHeight="1">
      <c r="A37" s="661"/>
      <c r="B37" s="657" t="s">
        <v>10092</v>
      </c>
      <c r="C37" s="657" t="s">
        <v>10093</v>
      </c>
      <c r="D37" s="663" t="s">
        <v>10158</v>
      </c>
      <c r="E37" s="663" t="s">
        <v>10159</v>
      </c>
      <c r="F37" s="658">
        <v>0.1</v>
      </c>
      <c r="G37" s="658">
        <v>0.02</v>
      </c>
      <c r="H37" s="664">
        <v>73700</v>
      </c>
      <c r="I37" s="664">
        <f t="shared" si="0"/>
        <v>67000</v>
      </c>
      <c r="J37" s="664">
        <f t="shared" si="1"/>
        <v>72230</v>
      </c>
      <c r="K37" s="661"/>
    </row>
    <row r="38" spans="1:11" ht="18.75" customHeight="1">
      <c r="A38" s="661"/>
      <c r="B38" s="657" t="s">
        <v>10092</v>
      </c>
      <c r="C38" s="657" t="s">
        <v>10093</v>
      </c>
      <c r="D38" s="663" t="s">
        <v>10160</v>
      </c>
      <c r="E38" s="663" t="s">
        <v>10161</v>
      </c>
      <c r="F38" s="658">
        <v>0.1</v>
      </c>
      <c r="G38" s="658">
        <v>0.02</v>
      </c>
      <c r="H38" s="664">
        <v>73700</v>
      </c>
      <c r="I38" s="664">
        <f t="shared" si="0"/>
        <v>67000</v>
      </c>
      <c r="J38" s="664">
        <f t="shared" si="1"/>
        <v>72230</v>
      </c>
      <c r="K38" s="661"/>
    </row>
    <row r="39" spans="1:11" ht="18.75" customHeight="1">
      <c r="A39" s="661"/>
      <c r="B39" s="657" t="s">
        <v>10092</v>
      </c>
      <c r="C39" s="657" t="s">
        <v>10093</v>
      </c>
      <c r="D39" s="663" t="s">
        <v>10162</v>
      </c>
      <c r="E39" s="663" t="s">
        <v>10163</v>
      </c>
      <c r="F39" s="658">
        <v>0.1</v>
      </c>
      <c r="G39" s="658">
        <v>0.02</v>
      </c>
      <c r="H39" s="664">
        <v>79200</v>
      </c>
      <c r="I39" s="664">
        <f t="shared" si="0"/>
        <v>72000</v>
      </c>
      <c r="J39" s="664">
        <f t="shared" si="1"/>
        <v>77620</v>
      </c>
      <c r="K39" s="661"/>
    </row>
    <row r="40" spans="1:11" ht="18.75" customHeight="1">
      <c r="A40" s="661"/>
      <c r="B40" s="657" t="s">
        <v>10092</v>
      </c>
      <c r="C40" s="657" t="s">
        <v>10093</v>
      </c>
      <c r="D40" s="663" t="s">
        <v>10164</v>
      </c>
      <c r="E40" s="663" t="s">
        <v>10165</v>
      </c>
      <c r="F40" s="658">
        <v>0.1</v>
      </c>
      <c r="G40" s="658">
        <v>0.02</v>
      </c>
      <c r="H40" s="664">
        <v>79200</v>
      </c>
      <c r="I40" s="664">
        <f t="shared" si="0"/>
        <v>72000</v>
      </c>
      <c r="J40" s="664">
        <f t="shared" si="1"/>
        <v>77620</v>
      </c>
      <c r="K40" s="661"/>
    </row>
    <row r="41" spans="1:11" ht="18.75" customHeight="1">
      <c r="A41" s="661"/>
      <c r="B41" s="657" t="s">
        <v>10092</v>
      </c>
      <c r="C41" s="657" t="s">
        <v>10093</v>
      </c>
      <c r="D41" s="663" t="s">
        <v>10166</v>
      </c>
      <c r="E41" s="663" t="s">
        <v>10167</v>
      </c>
      <c r="F41" s="658">
        <v>0.1</v>
      </c>
      <c r="G41" s="658">
        <v>0.02</v>
      </c>
      <c r="H41" s="664">
        <v>87800</v>
      </c>
      <c r="I41" s="664">
        <f t="shared" si="0"/>
        <v>79820</v>
      </c>
      <c r="J41" s="664">
        <f t="shared" si="1"/>
        <v>86040</v>
      </c>
      <c r="K41" s="661"/>
    </row>
    <row r="42" spans="1:11" ht="18.75" customHeight="1">
      <c r="A42" s="661"/>
      <c r="B42" s="657" t="s">
        <v>10092</v>
      </c>
      <c r="C42" s="657" t="s">
        <v>10093</v>
      </c>
      <c r="D42" s="663" t="s">
        <v>10168</v>
      </c>
      <c r="E42" s="663" t="s">
        <v>10169</v>
      </c>
      <c r="F42" s="658">
        <v>0.1</v>
      </c>
      <c r="G42" s="658">
        <v>0.02</v>
      </c>
      <c r="H42" s="664">
        <v>87800</v>
      </c>
      <c r="I42" s="664">
        <f t="shared" si="0"/>
        <v>79820</v>
      </c>
      <c r="J42" s="664">
        <f t="shared" si="1"/>
        <v>86040</v>
      </c>
      <c r="K42" s="661"/>
    </row>
    <row r="43" spans="1:11" ht="18.75" customHeight="1">
      <c r="A43" s="661"/>
      <c r="B43" s="657" t="s">
        <v>10092</v>
      </c>
      <c r="C43" s="657" t="s">
        <v>10093</v>
      </c>
      <c r="D43" s="663" t="s">
        <v>10170</v>
      </c>
      <c r="E43" s="663" t="s">
        <v>10171</v>
      </c>
      <c r="F43" s="658">
        <v>0.1</v>
      </c>
      <c r="G43" s="658">
        <v>0.02</v>
      </c>
      <c r="H43" s="664">
        <v>92500</v>
      </c>
      <c r="I43" s="664">
        <f t="shared" si="0"/>
        <v>84090</v>
      </c>
      <c r="J43" s="664">
        <f t="shared" si="1"/>
        <v>90650</v>
      </c>
      <c r="K43" s="661"/>
    </row>
    <row r="44" spans="1:11" ht="18.75" customHeight="1">
      <c r="A44" s="661"/>
      <c r="B44" s="657" t="s">
        <v>10092</v>
      </c>
      <c r="C44" s="657" t="s">
        <v>10093</v>
      </c>
      <c r="D44" s="663" t="s">
        <v>10172</v>
      </c>
      <c r="E44" s="663" t="s">
        <v>10173</v>
      </c>
      <c r="F44" s="658">
        <v>0.1</v>
      </c>
      <c r="G44" s="658">
        <v>0.02</v>
      </c>
      <c r="H44" s="664">
        <v>92500</v>
      </c>
      <c r="I44" s="664">
        <f t="shared" si="0"/>
        <v>84090</v>
      </c>
      <c r="J44" s="664">
        <f t="shared" si="1"/>
        <v>90650</v>
      </c>
      <c r="K44" s="661"/>
    </row>
    <row r="45" spans="1:11" ht="18.75" customHeight="1">
      <c r="A45" s="661"/>
      <c r="B45" s="657" t="s">
        <v>10092</v>
      </c>
      <c r="C45" s="657" t="s">
        <v>10093</v>
      </c>
      <c r="D45" s="663" t="s">
        <v>10174</v>
      </c>
      <c r="E45" s="663" t="s">
        <v>10175</v>
      </c>
      <c r="F45" s="658">
        <v>0.1</v>
      </c>
      <c r="G45" s="658">
        <v>0.02</v>
      </c>
      <c r="H45" s="664">
        <v>104500</v>
      </c>
      <c r="I45" s="664">
        <f t="shared" si="0"/>
        <v>95000</v>
      </c>
      <c r="J45" s="664">
        <f t="shared" si="1"/>
        <v>102410</v>
      </c>
      <c r="K45" s="661"/>
    </row>
    <row r="46" spans="1:11" ht="18.75" customHeight="1">
      <c r="A46" s="661"/>
      <c r="B46" s="657" t="s">
        <v>10092</v>
      </c>
      <c r="C46" s="657" t="s">
        <v>10093</v>
      </c>
      <c r="D46" s="663" t="s">
        <v>10176</v>
      </c>
      <c r="E46" s="663" t="s">
        <v>10177</v>
      </c>
      <c r="F46" s="658">
        <v>0.1</v>
      </c>
      <c r="G46" s="658">
        <v>0.02</v>
      </c>
      <c r="H46" s="664">
        <v>103800</v>
      </c>
      <c r="I46" s="664">
        <f t="shared" si="0"/>
        <v>94360</v>
      </c>
      <c r="J46" s="664">
        <f t="shared" si="1"/>
        <v>101720</v>
      </c>
      <c r="K46" s="661"/>
    </row>
    <row r="47" spans="1:11" ht="18.75" customHeight="1">
      <c r="A47" s="661"/>
      <c r="B47" s="657" t="s">
        <v>10092</v>
      </c>
      <c r="C47" s="657" t="s">
        <v>10093</v>
      </c>
      <c r="D47" s="663" t="s">
        <v>10178</v>
      </c>
      <c r="E47" s="663" t="s">
        <v>10179</v>
      </c>
      <c r="F47" s="658">
        <v>0.1</v>
      </c>
      <c r="G47" s="658">
        <v>0.02</v>
      </c>
      <c r="H47" s="664">
        <v>118800</v>
      </c>
      <c r="I47" s="664">
        <f t="shared" si="0"/>
        <v>108000</v>
      </c>
      <c r="J47" s="664">
        <f t="shared" si="1"/>
        <v>116420</v>
      </c>
      <c r="K47" s="661"/>
    </row>
    <row r="48" spans="1:11" ht="18.75" customHeight="1">
      <c r="A48" s="661"/>
      <c r="B48" s="657" t="s">
        <v>10092</v>
      </c>
      <c r="C48" s="657" t="s">
        <v>10093</v>
      </c>
      <c r="D48" s="663" t="s">
        <v>10180</v>
      </c>
      <c r="E48" s="663" t="s">
        <v>10181</v>
      </c>
      <c r="F48" s="658">
        <v>0.1</v>
      </c>
      <c r="G48" s="658">
        <v>0.02</v>
      </c>
      <c r="H48" s="664">
        <v>118800</v>
      </c>
      <c r="I48" s="664">
        <f t="shared" si="0"/>
        <v>108000</v>
      </c>
      <c r="J48" s="664">
        <f t="shared" si="1"/>
        <v>116420</v>
      </c>
      <c r="K48" s="661"/>
    </row>
    <row r="49" spans="1:11" ht="18.75" customHeight="1">
      <c r="A49" s="661"/>
      <c r="B49" s="657" t="s">
        <v>10092</v>
      </c>
      <c r="C49" s="657" t="s">
        <v>10093</v>
      </c>
      <c r="D49" s="663" t="s">
        <v>10182</v>
      </c>
      <c r="E49" s="663" t="s">
        <v>10183</v>
      </c>
      <c r="F49" s="658">
        <v>0.1</v>
      </c>
      <c r="G49" s="658">
        <v>0.02</v>
      </c>
      <c r="H49" s="664">
        <v>131100</v>
      </c>
      <c r="I49" s="664">
        <f t="shared" si="0"/>
        <v>119180</v>
      </c>
      <c r="J49" s="664">
        <f t="shared" si="1"/>
        <v>128480</v>
      </c>
      <c r="K49" s="661"/>
    </row>
    <row r="50" spans="1:11" ht="18.75" customHeight="1">
      <c r="A50" s="661"/>
      <c r="B50" s="657" t="s">
        <v>10092</v>
      </c>
      <c r="C50" s="657" t="s">
        <v>10093</v>
      </c>
      <c r="D50" s="663" t="s">
        <v>10184</v>
      </c>
      <c r="E50" s="663" t="s">
        <v>10185</v>
      </c>
      <c r="F50" s="658">
        <v>0.1</v>
      </c>
      <c r="G50" s="658">
        <v>0.02</v>
      </c>
      <c r="H50" s="664">
        <v>131100</v>
      </c>
      <c r="I50" s="664">
        <f t="shared" si="0"/>
        <v>119180</v>
      </c>
      <c r="J50" s="664">
        <f t="shared" si="1"/>
        <v>128480</v>
      </c>
      <c r="K50" s="661"/>
    </row>
    <row r="51" spans="1:11" ht="18.75" customHeight="1">
      <c r="A51" s="661"/>
      <c r="B51" s="657" t="s">
        <v>10092</v>
      </c>
      <c r="C51" s="657" t="s">
        <v>10093</v>
      </c>
      <c r="D51" s="663" t="s">
        <v>10186</v>
      </c>
      <c r="E51" s="663" t="s">
        <v>10187</v>
      </c>
      <c r="F51" s="658">
        <v>0.1</v>
      </c>
      <c r="G51" s="658">
        <v>0.02</v>
      </c>
      <c r="H51" s="664">
        <v>154800</v>
      </c>
      <c r="I51" s="664">
        <f t="shared" si="0"/>
        <v>140730</v>
      </c>
      <c r="J51" s="664">
        <f t="shared" si="1"/>
        <v>151700</v>
      </c>
      <c r="K51" s="661"/>
    </row>
    <row r="52" spans="1:11" ht="18.75" customHeight="1">
      <c r="A52" s="661"/>
      <c r="B52" s="657" t="s">
        <v>10092</v>
      </c>
      <c r="C52" s="657" t="s">
        <v>10093</v>
      </c>
      <c r="D52" s="663" t="s">
        <v>10188</v>
      </c>
      <c r="E52" s="663" t="s">
        <v>10189</v>
      </c>
      <c r="F52" s="658">
        <v>0.1</v>
      </c>
      <c r="G52" s="658">
        <v>0.02</v>
      </c>
      <c r="H52" s="664">
        <v>154800</v>
      </c>
      <c r="I52" s="664">
        <f t="shared" si="0"/>
        <v>140730</v>
      </c>
      <c r="J52" s="664">
        <f t="shared" si="1"/>
        <v>151700</v>
      </c>
      <c r="K52" s="661"/>
    </row>
    <row r="53" spans="1:11" ht="18.75" customHeight="1">
      <c r="A53" s="661"/>
      <c r="B53" s="657" t="s">
        <v>10092</v>
      </c>
      <c r="C53" s="657" t="s">
        <v>10093</v>
      </c>
      <c r="D53" s="663" t="s">
        <v>10190</v>
      </c>
      <c r="E53" s="663" t="s">
        <v>10191</v>
      </c>
      <c r="F53" s="658">
        <v>0.1</v>
      </c>
      <c r="G53" s="658">
        <v>0.02</v>
      </c>
      <c r="H53" s="664">
        <v>179300</v>
      </c>
      <c r="I53" s="664">
        <f t="shared" si="0"/>
        <v>163000</v>
      </c>
      <c r="J53" s="664">
        <f t="shared" si="1"/>
        <v>175710</v>
      </c>
      <c r="K53" s="661"/>
    </row>
    <row r="54" spans="1:11" ht="18.75" customHeight="1">
      <c r="A54" s="661"/>
      <c r="B54" s="657" t="s">
        <v>10092</v>
      </c>
      <c r="C54" s="657" t="s">
        <v>10093</v>
      </c>
      <c r="D54" s="663" t="s">
        <v>10192</v>
      </c>
      <c r="E54" s="663" t="s">
        <v>10193</v>
      </c>
      <c r="F54" s="658">
        <v>0.1</v>
      </c>
      <c r="G54" s="658">
        <v>0.02</v>
      </c>
      <c r="H54" s="664">
        <v>179300</v>
      </c>
      <c r="I54" s="664">
        <f t="shared" si="0"/>
        <v>163000</v>
      </c>
      <c r="J54" s="664">
        <f t="shared" si="1"/>
        <v>175710</v>
      </c>
      <c r="K54" s="661"/>
    </row>
    <row r="55" spans="1:11" ht="18.75" customHeight="1">
      <c r="A55" s="661"/>
      <c r="B55" s="657" t="s">
        <v>10092</v>
      </c>
      <c r="C55" s="657" t="s">
        <v>10093</v>
      </c>
      <c r="D55" s="663" t="s">
        <v>10194</v>
      </c>
      <c r="E55" s="663" t="s">
        <v>10195</v>
      </c>
      <c r="F55" s="658">
        <v>0.1</v>
      </c>
      <c r="G55" s="658">
        <v>0.02</v>
      </c>
      <c r="H55" s="664">
        <v>206700</v>
      </c>
      <c r="I55" s="664">
        <f t="shared" si="0"/>
        <v>187910</v>
      </c>
      <c r="J55" s="664">
        <f t="shared" si="1"/>
        <v>202570</v>
      </c>
      <c r="K55" s="661"/>
    </row>
    <row r="56" spans="1:11" ht="18.75" customHeight="1">
      <c r="A56" s="661"/>
      <c r="B56" s="657" t="s">
        <v>10092</v>
      </c>
      <c r="C56" s="657" t="s">
        <v>10093</v>
      </c>
      <c r="D56" s="663" t="s">
        <v>10196</v>
      </c>
      <c r="E56" s="663" t="s">
        <v>10197</v>
      </c>
      <c r="F56" s="658">
        <v>0.1</v>
      </c>
      <c r="G56" s="658">
        <v>0.02</v>
      </c>
      <c r="H56" s="664">
        <v>253900</v>
      </c>
      <c r="I56" s="664">
        <f t="shared" si="0"/>
        <v>230820</v>
      </c>
      <c r="J56" s="664">
        <f t="shared" si="1"/>
        <v>248820</v>
      </c>
      <c r="K56" s="661"/>
    </row>
    <row r="57" spans="1:11" ht="18.75" customHeight="1">
      <c r="A57" s="661"/>
      <c r="B57" s="657" t="s">
        <v>10092</v>
      </c>
      <c r="C57" s="657" t="s">
        <v>10093</v>
      </c>
      <c r="D57" s="663" t="s">
        <v>10198</v>
      </c>
      <c r="E57" s="663" t="s">
        <v>10199</v>
      </c>
      <c r="F57" s="658">
        <v>0.1</v>
      </c>
      <c r="G57" s="658">
        <v>0.02</v>
      </c>
      <c r="H57" s="664">
        <v>304700</v>
      </c>
      <c r="I57" s="664">
        <f t="shared" si="0"/>
        <v>277000</v>
      </c>
      <c r="J57" s="664">
        <f t="shared" si="1"/>
        <v>298610</v>
      </c>
      <c r="K57" s="661"/>
    </row>
    <row r="58" spans="1:11" ht="18.75" customHeight="1">
      <c r="A58" s="661"/>
      <c r="B58" s="657" t="s">
        <v>10092</v>
      </c>
      <c r="C58" s="657" t="s">
        <v>10093</v>
      </c>
      <c r="D58" s="663" t="s">
        <v>10200</v>
      </c>
      <c r="E58" s="663" t="s">
        <v>10201</v>
      </c>
      <c r="F58" s="658">
        <v>0.1</v>
      </c>
      <c r="G58" s="658">
        <v>0.02</v>
      </c>
      <c r="H58" s="664">
        <v>353800</v>
      </c>
      <c r="I58" s="664">
        <f t="shared" si="0"/>
        <v>321640</v>
      </c>
      <c r="J58" s="664">
        <f t="shared" si="1"/>
        <v>346720</v>
      </c>
      <c r="K58" s="661"/>
    </row>
    <row r="59" spans="1:11" ht="18.75" customHeight="1">
      <c r="A59" s="661"/>
      <c r="B59" s="657" t="s">
        <v>10092</v>
      </c>
      <c r="C59" s="657" t="s">
        <v>10093</v>
      </c>
      <c r="D59" s="663" t="s">
        <v>10202</v>
      </c>
      <c r="E59" s="663" t="s">
        <v>10203</v>
      </c>
      <c r="F59" s="658">
        <v>0.1</v>
      </c>
      <c r="G59" s="658">
        <v>0.02</v>
      </c>
      <c r="H59" s="663"/>
      <c r="I59" s="664">
        <f t="shared" si="0"/>
        <v>0</v>
      </c>
      <c r="J59" s="664">
        <f t="shared" si="1"/>
        <v>0</v>
      </c>
      <c r="K59" s="661"/>
    </row>
    <row r="60" spans="1:11" ht="18.75" customHeight="1">
      <c r="A60" s="661"/>
      <c r="B60" s="657" t="s">
        <v>10092</v>
      </c>
      <c r="C60" s="657" t="s">
        <v>10093</v>
      </c>
      <c r="D60" s="663" t="s">
        <v>10204</v>
      </c>
      <c r="E60" s="663" t="s">
        <v>10205</v>
      </c>
      <c r="F60" s="658">
        <v>0.1</v>
      </c>
      <c r="G60" s="658">
        <v>0.02</v>
      </c>
      <c r="H60" s="663"/>
      <c r="I60" s="664">
        <f t="shared" si="0"/>
        <v>0</v>
      </c>
      <c r="J60" s="664">
        <f t="shared" si="1"/>
        <v>0</v>
      </c>
      <c r="K60" s="661"/>
    </row>
    <row r="61" spans="1:11" ht="18.75" customHeight="1">
      <c r="A61" s="661"/>
      <c r="B61" s="657" t="s">
        <v>10092</v>
      </c>
      <c r="C61" s="657" t="s">
        <v>10093</v>
      </c>
      <c r="D61" s="663" t="s">
        <v>10206</v>
      </c>
      <c r="E61" s="663" t="s">
        <v>10207</v>
      </c>
      <c r="F61" s="658">
        <v>0.1</v>
      </c>
      <c r="G61" s="658">
        <v>0.02</v>
      </c>
      <c r="H61" s="663"/>
      <c r="I61" s="664">
        <f t="shared" si="0"/>
        <v>0</v>
      </c>
      <c r="J61" s="664">
        <f t="shared" si="1"/>
        <v>0</v>
      </c>
      <c r="K61" s="661"/>
    </row>
    <row r="62" spans="1:11" ht="18.75" customHeight="1">
      <c r="A62" s="661"/>
      <c r="B62" s="657" t="s">
        <v>10092</v>
      </c>
      <c r="C62" s="657" t="s">
        <v>10093</v>
      </c>
      <c r="D62" s="663" t="s">
        <v>10208</v>
      </c>
      <c r="E62" s="663" t="s">
        <v>10209</v>
      </c>
      <c r="F62" s="658">
        <v>0.1</v>
      </c>
      <c r="G62" s="658">
        <v>0.02</v>
      </c>
      <c r="H62" s="663"/>
      <c r="I62" s="664">
        <f t="shared" si="0"/>
        <v>0</v>
      </c>
      <c r="J62" s="664">
        <f t="shared" si="1"/>
        <v>0</v>
      </c>
      <c r="K62" s="661"/>
    </row>
    <row r="63" spans="1:11" ht="18.75" customHeight="1">
      <c r="A63" s="661"/>
      <c r="B63" s="657" t="s">
        <v>10092</v>
      </c>
      <c r="C63" s="657" t="s">
        <v>10093</v>
      </c>
      <c r="D63" s="663" t="s">
        <v>10210</v>
      </c>
      <c r="E63" s="663" t="s">
        <v>10211</v>
      </c>
      <c r="F63" s="658">
        <v>0.1</v>
      </c>
      <c r="G63" s="658">
        <v>0.02</v>
      </c>
      <c r="H63" s="663"/>
      <c r="I63" s="664">
        <f t="shared" si="0"/>
        <v>0</v>
      </c>
      <c r="J63" s="664">
        <f t="shared" si="1"/>
        <v>0</v>
      </c>
      <c r="K63" s="661"/>
    </row>
    <row r="64" spans="1:11" ht="18.75" customHeight="1">
      <c r="A64" s="661"/>
      <c r="B64" s="657" t="s">
        <v>10092</v>
      </c>
      <c r="C64" s="657" t="s">
        <v>10093</v>
      </c>
      <c r="D64" s="663" t="s">
        <v>10212</v>
      </c>
      <c r="E64" s="663" t="s">
        <v>10213</v>
      </c>
      <c r="F64" s="658">
        <v>0.1</v>
      </c>
      <c r="G64" s="658">
        <v>0.02</v>
      </c>
      <c r="H64" s="663"/>
      <c r="I64" s="664">
        <f t="shared" si="0"/>
        <v>0</v>
      </c>
      <c r="J64" s="664">
        <f t="shared" si="1"/>
        <v>0</v>
      </c>
      <c r="K64" s="661"/>
    </row>
    <row r="65" spans="1:11" ht="18.75" customHeight="1">
      <c r="A65" s="661"/>
      <c r="B65" s="657" t="s">
        <v>10092</v>
      </c>
      <c r="C65" s="657" t="s">
        <v>10093</v>
      </c>
      <c r="D65" s="663" t="s">
        <v>10214</v>
      </c>
      <c r="E65" s="663" t="s">
        <v>10215</v>
      </c>
      <c r="F65" s="658">
        <v>0.1</v>
      </c>
      <c r="G65" s="658">
        <v>0.02</v>
      </c>
      <c r="H65" s="663"/>
      <c r="I65" s="664">
        <f t="shared" si="0"/>
        <v>0</v>
      </c>
      <c r="J65" s="664">
        <f t="shared" si="1"/>
        <v>0</v>
      </c>
      <c r="K65" s="661"/>
    </row>
    <row r="66" spans="1:11" ht="18.75" customHeight="1">
      <c r="A66" s="661"/>
      <c r="B66" s="657" t="s">
        <v>10092</v>
      </c>
      <c r="C66" s="657" t="s">
        <v>10093</v>
      </c>
      <c r="D66" s="663" t="s">
        <v>10216</v>
      </c>
      <c r="E66" s="663" t="s">
        <v>10217</v>
      </c>
      <c r="F66" s="658">
        <v>0.1</v>
      </c>
      <c r="G66" s="658">
        <v>0.02</v>
      </c>
      <c r="H66" s="663"/>
      <c r="I66" s="664">
        <f t="shared" si="0"/>
        <v>0</v>
      </c>
      <c r="J66" s="664">
        <f t="shared" si="1"/>
        <v>0</v>
      </c>
      <c r="K66" s="661"/>
    </row>
    <row r="67" spans="1:11" ht="18.75" customHeight="1">
      <c r="A67" s="661"/>
      <c r="B67" s="657" t="s">
        <v>10092</v>
      </c>
      <c r="C67" s="657" t="s">
        <v>10093</v>
      </c>
      <c r="D67" s="663" t="s">
        <v>10218</v>
      </c>
      <c r="E67" s="663" t="s">
        <v>10219</v>
      </c>
      <c r="F67" s="658">
        <v>0.1</v>
      </c>
      <c r="G67" s="658">
        <v>0.02</v>
      </c>
      <c r="H67" s="663"/>
      <c r="I67" s="664">
        <f t="shared" si="0"/>
        <v>0</v>
      </c>
      <c r="J67" s="664">
        <f t="shared" si="1"/>
        <v>0</v>
      </c>
      <c r="K67" s="661"/>
    </row>
    <row r="68" spans="1:11" ht="18.75" customHeight="1">
      <c r="A68" s="661"/>
      <c r="B68" s="657" t="s">
        <v>10092</v>
      </c>
      <c r="C68" s="657" t="s">
        <v>10093</v>
      </c>
      <c r="D68" s="663" t="s">
        <v>10220</v>
      </c>
      <c r="E68" s="663" t="s">
        <v>10221</v>
      </c>
      <c r="F68" s="658">
        <v>0.1</v>
      </c>
      <c r="G68" s="658">
        <v>0.02</v>
      </c>
      <c r="H68" s="663"/>
      <c r="I68" s="664">
        <f t="shared" si="0"/>
        <v>0</v>
      </c>
      <c r="J68" s="664">
        <f t="shared" si="1"/>
        <v>0</v>
      </c>
      <c r="K68" s="661"/>
    </row>
    <row r="69" spans="1:11" ht="18.75" customHeight="1">
      <c r="A69" s="661"/>
      <c r="B69" s="657" t="s">
        <v>10092</v>
      </c>
      <c r="C69" s="657" t="s">
        <v>10093</v>
      </c>
      <c r="D69" s="663" t="s">
        <v>10222</v>
      </c>
      <c r="E69" s="663" t="s">
        <v>10223</v>
      </c>
      <c r="F69" s="658">
        <v>0.1</v>
      </c>
      <c r="G69" s="658">
        <v>0.02</v>
      </c>
      <c r="H69" s="663"/>
      <c r="I69" s="664">
        <f t="shared" si="0"/>
        <v>0</v>
      </c>
      <c r="J69" s="664">
        <f t="shared" si="1"/>
        <v>0</v>
      </c>
      <c r="K69" s="661"/>
    </row>
    <row r="70" spans="1:11" ht="18.75" customHeight="1">
      <c r="A70" s="661"/>
      <c r="B70" s="657" t="s">
        <v>10092</v>
      </c>
      <c r="C70" s="657" t="s">
        <v>10093</v>
      </c>
      <c r="D70" s="663" t="s">
        <v>10224</v>
      </c>
      <c r="E70" s="663" t="s">
        <v>10225</v>
      </c>
      <c r="F70" s="658">
        <v>0.1</v>
      </c>
      <c r="G70" s="658">
        <v>0.02</v>
      </c>
      <c r="H70" s="663"/>
      <c r="I70" s="664">
        <f t="shared" si="0"/>
        <v>0</v>
      </c>
      <c r="J70" s="664">
        <f t="shared" si="1"/>
        <v>0</v>
      </c>
      <c r="K70" s="661"/>
    </row>
    <row r="71" spans="1:11" ht="18.75" customHeight="1">
      <c r="A71" s="661"/>
      <c r="B71" s="657" t="s">
        <v>10092</v>
      </c>
      <c r="C71" s="657" t="s">
        <v>10093</v>
      </c>
      <c r="D71" s="663" t="s">
        <v>10226</v>
      </c>
      <c r="E71" s="663" t="s">
        <v>10227</v>
      </c>
      <c r="F71" s="658">
        <v>0.1</v>
      </c>
      <c r="G71" s="658">
        <v>0.02</v>
      </c>
      <c r="H71" s="663"/>
      <c r="I71" s="664">
        <f t="shared" si="0"/>
        <v>0</v>
      </c>
      <c r="J71" s="664">
        <f t="shared" si="1"/>
        <v>0</v>
      </c>
      <c r="K71" s="661"/>
    </row>
    <row r="72" spans="1:11" ht="18.75" customHeight="1">
      <c r="A72" s="661"/>
      <c r="B72" s="657" t="s">
        <v>10092</v>
      </c>
      <c r="C72" s="657" t="s">
        <v>10093</v>
      </c>
      <c r="D72" s="663" t="s">
        <v>10228</v>
      </c>
      <c r="E72" s="663" t="s">
        <v>10229</v>
      </c>
      <c r="F72" s="658">
        <v>0.1</v>
      </c>
      <c r="G72" s="658">
        <v>0.02</v>
      </c>
      <c r="H72" s="663"/>
      <c r="I72" s="664">
        <f t="shared" si="0"/>
        <v>0</v>
      </c>
      <c r="J72" s="664">
        <f t="shared" si="1"/>
        <v>0</v>
      </c>
      <c r="K72" s="661"/>
    </row>
    <row r="73" spans="1:11" ht="18.75" customHeight="1">
      <c r="A73" s="661"/>
      <c r="B73" s="657" t="s">
        <v>10092</v>
      </c>
      <c r="C73" s="657" t="s">
        <v>10093</v>
      </c>
      <c r="D73" s="663" t="s">
        <v>10230</v>
      </c>
      <c r="E73" s="663" t="s">
        <v>10231</v>
      </c>
      <c r="F73" s="658">
        <v>0.1</v>
      </c>
      <c r="G73" s="658">
        <v>0.02</v>
      </c>
      <c r="H73" s="663"/>
      <c r="I73" s="664">
        <f t="shared" si="0"/>
        <v>0</v>
      </c>
      <c r="J73" s="664">
        <f t="shared" si="1"/>
        <v>0</v>
      </c>
      <c r="K73" s="661"/>
    </row>
    <row r="74" spans="1:11" ht="18.75" customHeight="1">
      <c r="A74" s="661"/>
      <c r="B74" s="657" t="s">
        <v>10092</v>
      </c>
      <c r="C74" s="657" t="s">
        <v>10093</v>
      </c>
      <c r="D74" s="663" t="s">
        <v>10232</v>
      </c>
      <c r="E74" s="663" t="s">
        <v>10233</v>
      </c>
      <c r="F74" s="658">
        <v>0.1</v>
      </c>
      <c r="G74" s="658">
        <v>0.02</v>
      </c>
      <c r="H74" s="663"/>
      <c r="I74" s="664">
        <f t="shared" si="0"/>
        <v>0</v>
      </c>
      <c r="J74" s="664">
        <f t="shared" si="1"/>
        <v>0</v>
      </c>
      <c r="K74" s="661"/>
    </row>
    <row r="75" spans="1:11" ht="18.75" customHeight="1">
      <c r="A75" s="661"/>
      <c r="B75" s="657" t="s">
        <v>10092</v>
      </c>
      <c r="C75" s="657" t="s">
        <v>10093</v>
      </c>
      <c r="D75" s="663" t="s">
        <v>10234</v>
      </c>
      <c r="E75" s="663" t="s">
        <v>10235</v>
      </c>
      <c r="F75" s="658">
        <v>0.1</v>
      </c>
      <c r="G75" s="658">
        <v>0.02</v>
      </c>
      <c r="H75" s="663"/>
      <c r="I75" s="664">
        <f t="shared" si="0"/>
        <v>0</v>
      </c>
      <c r="J75" s="664">
        <f t="shared" si="1"/>
        <v>0</v>
      </c>
      <c r="K75" s="661"/>
    </row>
    <row r="76" spans="1:11" ht="18.75" customHeight="1">
      <c r="A76" s="661"/>
      <c r="B76" s="657" t="s">
        <v>10092</v>
      </c>
      <c r="C76" s="657" t="s">
        <v>10093</v>
      </c>
      <c r="D76" s="663" t="s">
        <v>10236</v>
      </c>
      <c r="E76" s="663" t="s">
        <v>10237</v>
      </c>
      <c r="F76" s="658">
        <v>0.1</v>
      </c>
      <c r="G76" s="658">
        <v>0.02</v>
      </c>
      <c r="H76" s="663"/>
      <c r="I76" s="664">
        <f t="shared" si="0"/>
        <v>0</v>
      </c>
      <c r="J76" s="664">
        <f t="shared" si="1"/>
        <v>0</v>
      </c>
      <c r="K76" s="661"/>
    </row>
    <row r="77" spans="1:11" ht="18.75" customHeight="1">
      <c r="A77" s="661"/>
      <c r="B77" s="657" t="s">
        <v>10092</v>
      </c>
      <c r="C77" s="657" t="s">
        <v>10093</v>
      </c>
      <c r="D77" s="663" t="s">
        <v>10238</v>
      </c>
      <c r="E77" s="663" t="s">
        <v>10239</v>
      </c>
      <c r="F77" s="658">
        <v>0.1</v>
      </c>
      <c r="G77" s="658">
        <v>0.02</v>
      </c>
      <c r="H77" s="663"/>
      <c r="I77" s="664">
        <f t="shared" si="0"/>
        <v>0</v>
      </c>
      <c r="J77" s="664">
        <f t="shared" si="1"/>
        <v>0</v>
      </c>
      <c r="K77" s="661"/>
    </row>
    <row r="78" spans="1:11" ht="18.75" customHeight="1">
      <c r="A78" s="661"/>
      <c r="B78" s="657" t="s">
        <v>10092</v>
      </c>
      <c r="C78" s="657" t="s">
        <v>10093</v>
      </c>
      <c r="D78" s="663" t="s">
        <v>10240</v>
      </c>
      <c r="E78" s="663" t="s">
        <v>10241</v>
      </c>
      <c r="F78" s="658">
        <v>0.1</v>
      </c>
      <c r="G78" s="658">
        <v>0.02</v>
      </c>
      <c r="H78" s="663"/>
      <c r="I78" s="664">
        <f t="shared" si="0"/>
        <v>0</v>
      </c>
      <c r="J78" s="664">
        <f t="shared" si="1"/>
        <v>0</v>
      </c>
      <c r="K78" s="661"/>
    </row>
    <row r="79" spans="1:11" ht="18.75" customHeight="1">
      <c r="A79" s="661"/>
      <c r="B79" s="657" t="s">
        <v>10092</v>
      </c>
      <c r="C79" s="657" t="s">
        <v>10093</v>
      </c>
      <c r="D79" s="663" t="s">
        <v>10242</v>
      </c>
      <c r="E79" s="663" t="s">
        <v>10243</v>
      </c>
      <c r="F79" s="658">
        <v>0.1</v>
      </c>
      <c r="G79" s="658">
        <v>0.02</v>
      </c>
      <c r="H79" s="663"/>
      <c r="I79" s="664">
        <f t="shared" si="0"/>
        <v>0</v>
      </c>
      <c r="J79" s="664">
        <f t="shared" si="1"/>
        <v>0</v>
      </c>
      <c r="K79" s="661"/>
    </row>
    <row r="80" spans="1:11" ht="18.75" customHeight="1">
      <c r="A80" s="661"/>
      <c r="B80" s="657" t="s">
        <v>10092</v>
      </c>
      <c r="C80" s="657" t="s">
        <v>10093</v>
      </c>
      <c r="D80" s="663" t="s">
        <v>10244</v>
      </c>
      <c r="E80" s="663" t="s">
        <v>10245</v>
      </c>
      <c r="F80" s="658">
        <v>0.1</v>
      </c>
      <c r="G80" s="658">
        <v>0.02</v>
      </c>
      <c r="H80" s="663"/>
      <c r="I80" s="664">
        <f t="shared" si="0"/>
        <v>0</v>
      </c>
      <c r="J80" s="664">
        <f t="shared" si="1"/>
        <v>0</v>
      </c>
      <c r="K80" s="661"/>
    </row>
    <row r="81" spans="1:11" ht="18.75" customHeight="1">
      <c r="A81" s="661"/>
      <c r="B81" s="657" t="s">
        <v>10092</v>
      </c>
      <c r="C81" s="657" t="s">
        <v>10093</v>
      </c>
      <c r="D81" s="663" t="s">
        <v>10246</v>
      </c>
      <c r="E81" s="663" t="s">
        <v>10247</v>
      </c>
      <c r="F81" s="658">
        <v>0.1</v>
      </c>
      <c r="G81" s="658">
        <v>0.02</v>
      </c>
      <c r="H81" s="663"/>
      <c r="I81" s="664">
        <f t="shared" si="0"/>
        <v>0</v>
      </c>
      <c r="J81" s="664">
        <f t="shared" si="1"/>
        <v>0</v>
      </c>
      <c r="K81" s="661"/>
    </row>
    <row r="82" spans="1:11" ht="18.75" customHeight="1">
      <c r="A82" s="661"/>
      <c r="B82" s="657" t="s">
        <v>10092</v>
      </c>
      <c r="C82" s="657" t="s">
        <v>10093</v>
      </c>
      <c r="D82" s="663" t="s">
        <v>10248</v>
      </c>
      <c r="E82" s="663" t="s">
        <v>10249</v>
      </c>
      <c r="F82" s="658">
        <v>0.1</v>
      </c>
      <c r="G82" s="658">
        <v>0.02</v>
      </c>
      <c r="H82" s="663"/>
      <c r="I82" s="664">
        <f t="shared" si="0"/>
        <v>0</v>
      </c>
      <c r="J82" s="664">
        <f t="shared" si="1"/>
        <v>0</v>
      </c>
      <c r="K82" s="661"/>
    </row>
    <row r="83" spans="1:11" ht="18.75" customHeight="1">
      <c r="A83" s="661"/>
      <c r="B83" s="657" t="s">
        <v>10092</v>
      </c>
      <c r="C83" s="657" t="s">
        <v>10093</v>
      </c>
      <c r="D83" s="663" t="s">
        <v>10250</v>
      </c>
      <c r="E83" s="663" t="s">
        <v>10251</v>
      </c>
      <c r="F83" s="658">
        <v>0.1</v>
      </c>
      <c r="G83" s="658">
        <v>0.02</v>
      </c>
      <c r="H83" s="663"/>
      <c r="I83" s="664">
        <f t="shared" si="0"/>
        <v>0</v>
      </c>
      <c r="J83" s="664">
        <f t="shared" si="1"/>
        <v>0</v>
      </c>
      <c r="K83" s="661"/>
    </row>
    <row r="84" spans="1:11" ht="18.75" customHeight="1">
      <c r="A84" s="661"/>
      <c r="B84" s="657" t="s">
        <v>10092</v>
      </c>
      <c r="C84" s="657" t="s">
        <v>10093</v>
      </c>
      <c r="D84" s="663" t="s">
        <v>10252</v>
      </c>
      <c r="E84" s="663" t="s">
        <v>10253</v>
      </c>
      <c r="F84" s="658">
        <v>0.1</v>
      </c>
      <c r="G84" s="658">
        <v>0.02</v>
      </c>
      <c r="H84" s="663"/>
      <c r="I84" s="664">
        <f t="shared" si="0"/>
        <v>0</v>
      </c>
      <c r="J84" s="664">
        <f t="shared" si="1"/>
        <v>0</v>
      </c>
      <c r="K84" s="661"/>
    </row>
    <row r="85" spans="1:11" ht="18.75" customHeight="1">
      <c r="A85" s="661"/>
      <c r="B85" s="657" t="s">
        <v>10092</v>
      </c>
      <c r="C85" s="657" t="s">
        <v>10093</v>
      </c>
      <c r="D85" s="663" t="s">
        <v>10254</v>
      </c>
      <c r="E85" s="663" t="s">
        <v>10255</v>
      </c>
      <c r="F85" s="658">
        <v>0.1</v>
      </c>
      <c r="G85" s="658">
        <v>0.02</v>
      </c>
      <c r="H85" s="663"/>
      <c r="I85" s="664">
        <f t="shared" si="0"/>
        <v>0</v>
      </c>
      <c r="J85" s="664">
        <f t="shared" si="1"/>
        <v>0</v>
      </c>
      <c r="K85" s="661"/>
    </row>
    <row r="86" spans="1:11" ht="18.75" customHeight="1">
      <c r="A86" s="661"/>
      <c r="B86" s="657" t="s">
        <v>10092</v>
      </c>
      <c r="C86" s="657" t="s">
        <v>10093</v>
      </c>
      <c r="D86" s="663" t="s">
        <v>10256</v>
      </c>
      <c r="E86" s="663" t="s">
        <v>10257</v>
      </c>
      <c r="F86" s="658">
        <v>0.1</v>
      </c>
      <c r="G86" s="658">
        <v>0.02</v>
      </c>
      <c r="H86" s="663"/>
      <c r="I86" s="664">
        <f t="shared" si="0"/>
        <v>0</v>
      </c>
      <c r="J86" s="664">
        <f t="shared" si="1"/>
        <v>0</v>
      </c>
      <c r="K86" s="661"/>
    </row>
    <row r="87" spans="1:11" ht="18.75" customHeight="1">
      <c r="A87" s="661"/>
      <c r="B87" s="657" t="s">
        <v>10092</v>
      </c>
      <c r="C87" s="657" t="s">
        <v>10093</v>
      </c>
      <c r="D87" s="663" t="s">
        <v>10258</v>
      </c>
      <c r="E87" s="663" t="s">
        <v>10259</v>
      </c>
      <c r="F87" s="658">
        <v>0.1</v>
      </c>
      <c r="G87" s="658">
        <v>0.02</v>
      </c>
      <c r="H87" s="663"/>
      <c r="I87" s="664">
        <f t="shared" si="0"/>
        <v>0</v>
      </c>
      <c r="J87" s="664">
        <f t="shared" si="1"/>
        <v>0</v>
      </c>
      <c r="K87" s="661"/>
    </row>
    <row r="88" spans="1:11" ht="18.75" customHeight="1">
      <c r="A88" s="661"/>
      <c r="B88" s="657" t="s">
        <v>10092</v>
      </c>
      <c r="C88" s="657" t="s">
        <v>10093</v>
      </c>
      <c r="D88" s="663" t="s">
        <v>10260</v>
      </c>
      <c r="E88" s="663" t="s">
        <v>10261</v>
      </c>
      <c r="F88" s="658">
        <v>0.1</v>
      </c>
      <c r="G88" s="658">
        <v>0.02</v>
      </c>
      <c r="H88" s="663"/>
      <c r="I88" s="664">
        <f t="shared" si="0"/>
        <v>0</v>
      </c>
      <c r="J88" s="664">
        <f t="shared" si="1"/>
        <v>0</v>
      </c>
      <c r="K88" s="661"/>
    </row>
    <row r="89" spans="1:11" ht="18.75" customHeight="1">
      <c r="A89" s="661"/>
      <c r="B89" s="657" t="s">
        <v>10092</v>
      </c>
      <c r="C89" s="657" t="s">
        <v>10093</v>
      </c>
      <c r="D89" s="663" t="s">
        <v>10262</v>
      </c>
      <c r="E89" s="663" t="s">
        <v>10263</v>
      </c>
      <c r="F89" s="658">
        <v>0.1</v>
      </c>
      <c r="G89" s="658">
        <v>0.02</v>
      </c>
      <c r="H89" s="663"/>
      <c r="I89" s="664">
        <f t="shared" si="0"/>
        <v>0</v>
      </c>
      <c r="J89" s="664">
        <f t="shared" si="1"/>
        <v>0</v>
      </c>
      <c r="K89" s="661"/>
    </row>
    <row r="90" spans="1:11" ht="18.75" customHeight="1">
      <c r="A90" s="661"/>
      <c r="B90" s="657" t="s">
        <v>10092</v>
      </c>
      <c r="C90" s="657" t="s">
        <v>10093</v>
      </c>
      <c r="D90" s="663" t="s">
        <v>10264</v>
      </c>
      <c r="E90" s="663" t="s">
        <v>10265</v>
      </c>
      <c r="F90" s="658">
        <v>0.1</v>
      </c>
      <c r="G90" s="658">
        <v>0.02</v>
      </c>
      <c r="H90" s="663"/>
      <c r="I90" s="664">
        <f t="shared" si="0"/>
        <v>0</v>
      </c>
      <c r="J90" s="664">
        <f t="shared" si="1"/>
        <v>0</v>
      </c>
      <c r="K90" s="661"/>
    </row>
    <row r="91" spans="1:11" ht="18.75" customHeight="1">
      <c r="A91" s="661"/>
      <c r="B91" s="657" t="s">
        <v>10092</v>
      </c>
      <c r="C91" s="657" t="s">
        <v>10093</v>
      </c>
      <c r="D91" s="663" t="s">
        <v>10266</v>
      </c>
      <c r="E91" s="663" t="s">
        <v>10267</v>
      </c>
      <c r="F91" s="658">
        <v>0.1</v>
      </c>
      <c r="G91" s="658">
        <v>0.02</v>
      </c>
      <c r="H91" s="663"/>
      <c r="I91" s="664">
        <f t="shared" si="0"/>
        <v>0</v>
      </c>
      <c r="J91" s="664">
        <f t="shared" si="1"/>
        <v>0</v>
      </c>
      <c r="K91" s="661"/>
    </row>
    <row r="92" spans="1:11" ht="18.75" customHeight="1">
      <c r="A92" s="661"/>
      <c r="B92" s="657" t="s">
        <v>10092</v>
      </c>
      <c r="C92" s="657" t="s">
        <v>10093</v>
      </c>
      <c r="D92" s="663" t="s">
        <v>10268</v>
      </c>
      <c r="E92" s="663" t="s">
        <v>10269</v>
      </c>
      <c r="F92" s="658">
        <v>0.1</v>
      </c>
      <c r="G92" s="658">
        <v>0.02</v>
      </c>
      <c r="H92" s="663"/>
      <c r="I92" s="664">
        <f t="shared" si="0"/>
        <v>0</v>
      </c>
      <c r="J92" s="664">
        <f t="shared" si="1"/>
        <v>0</v>
      </c>
      <c r="K92" s="661"/>
    </row>
    <row r="93" spans="1:11" ht="18.75" customHeight="1">
      <c r="A93" s="661"/>
      <c r="B93" s="657" t="s">
        <v>10092</v>
      </c>
      <c r="C93" s="657" t="s">
        <v>10093</v>
      </c>
      <c r="D93" s="663" t="s">
        <v>10270</v>
      </c>
      <c r="E93" s="663" t="s">
        <v>10271</v>
      </c>
      <c r="F93" s="658">
        <v>0.1</v>
      </c>
      <c r="G93" s="658">
        <v>0.02</v>
      </c>
      <c r="H93" s="663"/>
      <c r="I93" s="664">
        <f t="shared" si="0"/>
        <v>0</v>
      </c>
      <c r="J93" s="664">
        <f t="shared" si="1"/>
        <v>0</v>
      </c>
      <c r="K93" s="661"/>
    </row>
    <row r="94" spans="1:11" ht="18.75" customHeight="1">
      <c r="A94" s="661"/>
      <c r="B94" s="657" t="s">
        <v>10092</v>
      </c>
      <c r="C94" s="657" t="s">
        <v>10093</v>
      </c>
      <c r="D94" s="663" t="s">
        <v>10272</v>
      </c>
      <c r="E94" s="663" t="s">
        <v>10273</v>
      </c>
      <c r="F94" s="658">
        <v>0.1</v>
      </c>
      <c r="G94" s="658">
        <v>0.02</v>
      </c>
      <c r="H94" s="663"/>
      <c r="I94" s="664">
        <f t="shared" si="0"/>
        <v>0</v>
      </c>
      <c r="J94" s="664">
        <f t="shared" si="1"/>
        <v>0</v>
      </c>
      <c r="K94" s="661"/>
    </row>
    <row r="95" spans="1:11" ht="18.75" customHeight="1">
      <c r="A95" s="661"/>
      <c r="B95" s="657" t="s">
        <v>10092</v>
      </c>
      <c r="C95" s="657" t="s">
        <v>10093</v>
      </c>
      <c r="D95" s="663" t="s">
        <v>10274</v>
      </c>
      <c r="E95" s="663" t="s">
        <v>10275</v>
      </c>
      <c r="F95" s="658">
        <v>0.1</v>
      </c>
      <c r="G95" s="658">
        <v>0.02</v>
      </c>
      <c r="H95" s="663"/>
      <c r="I95" s="664">
        <f t="shared" si="0"/>
        <v>0</v>
      </c>
      <c r="J95" s="664">
        <f t="shared" si="1"/>
        <v>0</v>
      </c>
      <c r="K95" s="661"/>
    </row>
    <row r="96" spans="1:11" ht="18.75" customHeight="1">
      <c r="A96" s="661"/>
      <c r="B96" s="657" t="s">
        <v>10092</v>
      </c>
      <c r="C96" s="657" t="s">
        <v>10093</v>
      </c>
      <c r="D96" s="663" t="s">
        <v>10276</v>
      </c>
      <c r="E96" s="663" t="s">
        <v>10277</v>
      </c>
      <c r="F96" s="658">
        <v>0.1</v>
      </c>
      <c r="G96" s="658">
        <v>0.02</v>
      </c>
      <c r="H96" s="663"/>
      <c r="I96" s="664">
        <f t="shared" si="0"/>
        <v>0</v>
      </c>
      <c r="J96" s="664">
        <f t="shared" si="1"/>
        <v>0</v>
      </c>
      <c r="K96" s="661"/>
    </row>
    <row r="97" spans="1:11" ht="18.75" customHeight="1">
      <c r="A97" s="661"/>
      <c r="B97" s="657" t="s">
        <v>10092</v>
      </c>
      <c r="C97" s="657" t="s">
        <v>10093</v>
      </c>
      <c r="D97" s="663" t="s">
        <v>10278</v>
      </c>
      <c r="E97" s="663" t="s">
        <v>10279</v>
      </c>
      <c r="F97" s="658">
        <v>0.1</v>
      </c>
      <c r="G97" s="658">
        <v>0.02</v>
      </c>
      <c r="H97" s="663"/>
      <c r="I97" s="664">
        <f t="shared" si="0"/>
        <v>0</v>
      </c>
      <c r="J97" s="664">
        <f t="shared" si="1"/>
        <v>0</v>
      </c>
      <c r="K97" s="661"/>
    </row>
    <row r="98" spans="1:11" ht="18.75" customHeight="1">
      <c r="A98" s="661"/>
      <c r="B98" s="657" t="s">
        <v>10092</v>
      </c>
      <c r="C98" s="657" t="s">
        <v>10093</v>
      </c>
      <c r="D98" s="663" t="s">
        <v>10280</v>
      </c>
      <c r="E98" s="663" t="s">
        <v>10281</v>
      </c>
      <c r="F98" s="658">
        <v>0.1</v>
      </c>
      <c r="G98" s="658">
        <v>0.02</v>
      </c>
      <c r="H98" s="663"/>
      <c r="I98" s="664">
        <f t="shared" si="0"/>
        <v>0</v>
      </c>
      <c r="J98" s="664">
        <f t="shared" si="1"/>
        <v>0</v>
      </c>
      <c r="K98" s="661"/>
    </row>
    <row r="99" spans="1:11" ht="18.75" customHeight="1">
      <c r="A99" s="661"/>
      <c r="B99" s="657" t="s">
        <v>10092</v>
      </c>
      <c r="C99" s="657" t="s">
        <v>10093</v>
      </c>
      <c r="D99" s="663" t="s">
        <v>10282</v>
      </c>
      <c r="E99" s="663" t="s">
        <v>10283</v>
      </c>
      <c r="F99" s="658">
        <v>0.1</v>
      </c>
      <c r="G99" s="658">
        <v>0.02</v>
      </c>
      <c r="H99" s="663"/>
      <c r="I99" s="664">
        <f t="shared" si="0"/>
        <v>0</v>
      </c>
      <c r="J99" s="664">
        <f t="shared" si="1"/>
        <v>0</v>
      </c>
      <c r="K99" s="661"/>
    </row>
    <row r="100" spans="1:11" ht="18.75" customHeight="1">
      <c r="A100" s="661"/>
      <c r="B100" s="657" t="s">
        <v>10092</v>
      </c>
      <c r="C100" s="657" t="s">
        <v>10093</v>
      </c>
      <c r="D100" s="663" t="s">
        <v>10284</v>
      </c>
      <c r="E100" s="663" t="s">
        <v>10285</v>
      </c>
      <c r="F100" s="658">
        <v>0.1</v>
      </c>
      <c r="G100" s="658">
        <v>0.02</v>
      </c>
      <c r="H100" s="663"/>
      <c r="I100" s="664">
        <f t="shared" si="0"/>
        <v>0</v>
      </c>
      <c r="J100" s="664">
        <f t="shared" si="1"/>
        <v>0</v>
      </c>
      <c r="K100" s="661"/>
    </row>
    <row r="101" spans="1:11" ht="18.75" customHeight="1">
      <c r="A101" s="661"/>
      <c r="B101" s="657" t="s">
        <v>10092</v>
      </c>
      <c r="C101" s="657" t="s">
        <v>10093</v>
      </c>
      <c r="D101" s="663" t="s">
        <v>10286</v>
      </c>
      <c r="E101" s="663" t="s">
        <v>10287</v>
      </c>
      <c r="F101" s="658">
        <v>0.1</v>
      </c>
      <c r="G101" s="658">
        <v>0.02</v>
      </c>
      <c r="H101" s="663"/>
      <c r="I101" s="664">
        <f t="shared" si="0"/>
        <v>0</v>
      </c>
      <c r="J101" s="664">
        <f t="shared" si="1"/>
        <v>0</v>
      </c>
      <c r="K101" s="661"/>
    </row>
    <row r="102" spans="1:11" ht="18.75" customHeight="1">
      <c r="A102" s="661"/>
      <c r="B102" s="657" t="s">
        <v>10092</v>
      </c>
      <c r="C102" s="657" t="s">
        <v>10093</v>
      </c>
      <c r="D102" s="663" t="s">
        <v>10288</v>
      </c>
      <c r="E102" s="663" t="s">
        <v>10289</v>
      </c>
      <c r="F102" s="658">
        <v>0.1</v>
      </c>
      <c r="G102" s="658">
        <v>0.02</v>
      </c>
      <c r="H102" s="663"/>
      <c r="I102" s="664">
        <f t="shared" si="0"/>
        <v>0</v>
      </c>
      <c r="J102" s="664">
        <f t="shared" si="1"/>
        <v>0</v>
      </c>
      <c r="K102" s="661"/>
    </row>
    <row r="103" spans="1:11" ht="18.75" customHeight="1">
      <c r="A103" s="661"/>
      <c r="B103" s="657" t="s">
        <v>10092</v>
      </c>
      <c r="C103" s="657" t="s">
        <v>10093</v>
      </c>
      <c r="D103" s="663" t="s">
        <v>10290</v>
      </c>
      <c r="E103" s="663" t="s">
        <v>10291</v>
      </c>
      <c r="F103" s="658">
        <v>0.1</v>
      </c>
      <c r="G103" s="658">
        <v>0.02</v>
      </c>
      <c r="H103" s="663"/>
      <c r="I103" s="664">
        <f t="shared" si="0"/>
        <v>0</v>
      </c>
      <c r="J103" s="664">
        <f t="shared" si="1"/>
        <v>0</v>
      </c>
      <c r="K103" s="661"/>
    </row>
    <row r="104" spans="1:11" ht="18.75" customHeight="1">
      <c r="A104" s="661"/>
      <c r="B104" s="657" t="s">
        <v>10092</v>
      </c>
      <c r="C104" s="657" t="s">
        <v>10093</v>
      </c>
      <c r="D104" s="663" t="s">
        <v>10292</v>
      </c>
      <c r="E104" s="663" t="s">
        <v>10293</v>
      </c>
      <c r="F104" s="658">
        <v>0.1</v>
      </c>
      <c r="G104" s="658">
        <v>0.02</v>
      </c>
      <c r="H104" s="663"/>
      <c r="I104" s="664">
        <f t="shared" si="0"/>
        <v>0</v>
      </c>
      <c r="J104" s="664">
        <f t="shared" si="1"/>
        <v>0</v>
      </c>
      <c r="K104" s="661"/>
    </row>
    <row r="105" spans="1:11" ht="18.75" customHeight="1">
      <c r="A105" s="661"/>
      <c r="B105" s="657" t="s">
        <v>10092</v>
      </c>
      <c r="C105" s="657" t="s">
        <v>10093</v>
      </c>
      <c r="D105" s="663" t="s">
        <v>10294</v>
      </c>
      <c r="E105" s="663" t="s">
        <v>10295</v>
      </c>
      <c r="F105" s="658">
        <v>0.1</v>
      </c>
      <c r="G105" s="658">
        <v>0.02</v>
      </c>
      <c r="H105" s="663"/>
      <c r="I105" s="664">
        <f t="shared" si="0"/>
        <v>0</v>
      </c>
      <c r="J105" s="664">
        <f t="shared" si="1"/>
        <v>0</v>
      </c>
      <c r="K105" s="661"/>
    </row>
    <row r="106" spans="1:11" ht="18.75" customHeight="1">
      <c r="A106" s="661"/>
      <c r="B106" s="657" t="s">
        <v>10092</v>
      </c>
      <c r="C106" s="657" t="s">
        <v>10093</v>
      </c>
      <c r="D106" s="663" t="s">
        <v>10296</v>
      </c>
      <c r="E106" s="663" t="s">
        <v>10297</v>
      </c>
      <c r="F106" s="658">
        <v>0.1</v>
      </c>
      <c r="G106" s="658">
        <v>0.02</v>
      </c>
      <c r="H106" s="663"/>
      <c r="I106" s="664">
        <f t="shared" si="0"/>
        <v>0</v>
      </c>
      <c r="J106" s="664">
        <f t="shared" si="1"/>
        <v>0</v>
      </c>
      <c r="K106" s="661"/>
    </row>
    <row r="107" spans="1:11" ht="18.75" customHeight="1">
      <c r="A107" s="661"/>
      <c r="B107" s="657" t="s">
        <v>10092</v>
      </c>
      <c r="C107" s="657" t="s">
        <v>10093</v>
      </c>
      <c r="D107" s="663" t="s">
        <v>10298</v>
      </c>
      <c r="E107" s="663" t="s">
        <v>10299</v>
      </c>
      <c r="F107" s="658">
        <v>0.1</v>
      </c>
      <c r="G107" s="658">
        <v>0.02</v>
      </c>
      <c r="H107" s="663"/>
      <c r="I107" s="664">
        <f t="shared" si="0"/>
        <v>0</v>
      </c>
      <c r="J107" s="664">
        <f t="shared" si="1"/>
        <v>0</v>
      </c>
      <c r="K107" s="661"/>
    </row>
    <row r="108" spans="1:11" ht="18.75" customHeight="1">
      <c r="A108" s="661"/>
      <c r="B108" s="657" t="s">
        <v>10092</v>
      </c>
      <c r="C108" s="657" t="s">
        <v>10093</v>
      </c>
      <c r="D108" s="663" t="s">
        <v>10300</v>
      </c>
      <c r="E108" s="663" t="s">
        <v>10301</v>
      </c>
      <c r="F108" s="658">
        <v>0.1</v>
      </c>
      <c r="G108" s="658">
        <v>0.02</v>
      </c>
      <c r="H108" s="663"/>
      <c r="I108" s="664">
        <f t="shared" si="0"/>
        <v>0</v>
      </c>
      <c r="J108" s="664">
        <f t="shared" si="1"/>
        <v>0</v>
      </c>
      <c r="K108" s="661"/>
    </row>
    <row r="109" spans="1:11" ht="18.75" customHeight="1">
      <c r="A109" s="661"/>
      <c r="B109" s="657" t="s">
        <v>10092</v>
      </c>
      <c r="C109" s="657" t="s">
        <v>10093</v>
      </c>
      <c r="D109" s="663" t="s">
        <v>10302</v>
      </c>
      <c r="E109" s="663" t="s">
        <v>10303</v>
      </c>
      <c r="F109" s="658">
        <v>0.1</v>
      </c>
      <c r="G109" s="658">
        <v>0.02</v>
      </c>
      <c r="H109" s="663"/>
      <c r="I109" s="664">
        <f t="shared" si="0"/>
        <v>0</v>
      </c>
      <c r="J109" s="664">
        <f t="shared" si="1"/>
        <v>0</v>
      </c>
      <c r="K109" s="661"/>
    </row>
    <row r="110" spans="1:11" ht="18.75" customHeight="1">
      <c r="A110" s="661"/>
      <c r="B110" s="657" t="s">
        <v>10092</v>
      </c>
      <c r="C110" s="657" t="s">
        <v>10093</v>
      </c>
      <c r="D110" s="663" t="s">
        <v>10304</v>
      </c>
      <c r="E110" s="663" t="s">
        <v>10305</v>
      </c>
      <c r="F110" s="658">
        <v>0.1</v>
      </c>
      <c r="G110" s="658">
        <v>0.02</v>
      </c>
      <c r="H110" s="663"/>
      <c r="I110" s="664">
        <f t="shared" si="0"/>
        <v>0</v>
      </c>
      <c r="J110" s="664">
        <f t="shared" si="1"/>
        <v>0</v>
      </c>
      <c r="K110" s="661"/>
    </row>
    <row r="111" spans="1:11" ht="18.75" customHeight="1">
      <c r="A111" s="661"/>
      <c r="B111" s="657" t="s">
        <v>10092</v>
      </c>
      <c r="C111" s="657" t="s">
        <v>10093</v>
      </c>
      <c r="D111" s="663" t="s">
        <v>10306</v>
      </c>
      <c r="E111" s="663" t="s">
        <v>10307</v>
      </c>
      <c r="F111" s="658">
        <v>0.1</v>
      </c>
      <c r="G111" s="658">
        <v>0.02</v>
      </c>
      <c r="H111" s="663"/>
      <c r="I111" s="664">
        <f t="shared" si="0"/>
        <v>0</v>
      </c>
      <c r="J111" s="664">
        <f t="shared" si="1"/>
        <v>0</v>
      </c>
      <c r="K111" s="661"/>
    </row>
    <row r="112" spans="1:11" ht="18.75" customHeight="1">
      <c r="A112" s="661"/>
      <c r="B112" s="657" t="s">
        <v>10092</v>
      </c>
      <c r="C112" s="657" t="s">
        <v>10093</v>
      </c>
      <c r="D112" s="663" t="s">
        <v>10308</v>
      </c>
      <c r="E112" s="663" t="s">
        <v>10309</v>
      </c>
      <c r="F112" s="658">
        <v>0.1</v>
      </c>
      <c r="G112" s="658">
        <v>0.02</v>
      </c>
      <c r="H112" s="663"/>
      <c r="I112" s="664">
        <f t="shared" si="0"/>
        <v>0</v>
      </c>
      <c r="J112" s="664">
        <f t="shared" si="1"/>
        <v>0</v>
      </c>
      <c r="K112" s="661"/>
    </row>
    <row r="113" spans="1:11" ht="18.75" customHeight="1">
      <c r="A113" s="661"/>
      <c r="B113" s="657" t="s">
        <v>10092</v>
      </c>
      <c r="C113" s="657" t="s">
        <v>10093</v>
      </c>
      <c r="D113" s="663" t="s">
        <v>10310</v>
      </c>
      <c r="E113" s="663" t="s">
        <v>10311</v>
      </c>
      <c r="F113" s="658">
        <v>0.1</v>
      </c>
      <c r="G113" s="658">
        <v>0.02</v>
      </c>
      <c r="H113" s="663"/>
      <c r="I113" s="664">
        <f t="shared" si="0"/>
        <v>0</v>
      </c>
      <c r="J113" s="664">
        <f t="shared" si="1"/>
        <v>0</v>
      </c>
      <c r="K113" s="661"/>
    </row>
    <row r="114" spans="1:11" ht="18.75" customHeight="1">
      <c r="A114" s="661"/>
      <c r="B114" s="657" t="s">
        <v>10092</v>
      </c>
      <c r="C114" s="657" t="s">
        <v>10093</v>
      </c>
      <c r="D114" s="663" t="s">
        <v>10312</v>
      </c>
      <c r="E114" s="663" t="s">
        <v>10313</v>
      </c>
      <c r="F114" s="658">
        <v>0.1</v>
      </c>
      <c r="G114" s="658">
        <v>0.02</v>
      </c>
      <c r="H114" s="663"/>
      <c r="I114" s="664">
        <f t="shared" si="0"/>
        <v>0</v>
      </c>
      <c r="J114" s="664">
        <f t="shared" si="1"/>
        <v>0</v>
      </c>
      <c r="K114" s="661"/>
    </row>
    <row r="115" spans="1:11" ht="18.75" customHeight="1">
      <c r="A115" s="661"/>
      <c r="B115" s="657" t="s">
        <v>10092</v>
      </c>
      <c r="C115" s="657" t="s">
        <v>10093</v>
      </c>
      <c r="D115" s="663" t="s">
        <v>10314</v>
      </c>
      <c r="E115" s="663" t="s">
        <v>10315</v>
      </c>
      <c r="F115" s="658">
        <v>0.1</v>
      </c>
      <c r="G115" s="658">
        <v>0.02</v>
      </c>
      <c r="H115" s="663"/>
      <c r="I115" s="664">
        <f t="shared" si="0"/>
        <v>0</v>
      </c>
      <c r="J115" s="664">
        <f t="shared" si="1"/>
        <v>0</v>
      </c>
      <c r="K115" s="661"/>
    </row>
    <row r="116" spans="1:11" ht="18.75" customHeight="1">
      <c r="A116" s="661"/>
      <c r="B116" s="657" t="s">
        <v>10092</v>
      </c>
      <c r="C116" s="657" t="s">
        <v>10093</v>
      </c>
      <c r="D116" s="663" t="s">
        <v>10316</v>
      </c>
      <c r="E116" s="663" t="s">
        <v>10317</v>
      </c>
      <c r="F116" s="658">
        <v>0.1</v>
      </c>
      <c r="G116" s="658">
        <v>0.02</v>
      </c>
      <c r="H116" s="663"/>
      <c r="I116" s="664">
        <f t="shared" si="0"/>
        <v>0</v>
      </c>
      <c r="J116" s="664">
        <f t="shared" si="1"/>
        <v>0</v>
      </c>
      <c r="K116" s="661"/>
    </row>
    <row r="117" spans="1:11" ht="18.75" customHeight="1">
      <c r="A117" s="661"/>
      <c r="B117" s="657" t="s">
        <v>10092</v>
      </c>
      <c r="C117" s="657" t="s">
        <v>10093</v>
      </c>
      <c r="D117" s="663" t="s">
        <v>10318</v>
      </c>
      <c r="E117" s="663" t="s">
        <v>10319</v>
      </c>
      <c r="F117" s="658">
        <v>0.1</v>
      </c>
      <c r="G117" s="658">
        <v>0.02</v>
      </c>
      <c r="H117" s="663"/>
      <c r="I117" s="664">
        <f t="shared" si="0"/>
        <v>0</v>
      </c>
      <c r="J117" s="664">
        <f t="shared" si="1"/>
        <v>0</v>
      </c>
      <c r="K117" s="661"/>
    </row>
    <row r="118" spans="1:11" ht="18.75" customHeight="1">
      <c r="A118" s="661"/>
      <c r="B118" s="657" t="s">
        <v>10092</v>
      </c>
      <c r="C118" s="657" t="s">
        <v>10320</v>
      </c>
      <c r="D118" s="663" t="s">
        <v>10321</v>
      </c>
      <c r="E118" s="663" t="s">
        <v>10322</v>
      </c>
      <c r="F118" s="658">
        <v>0.1</v>
      </c>
      <c r="G118" s="658">
        <v>0.02</v>
      </c>
      <c r="H118" s="664">
        <v>302500</v>
      </c>
      <c r="I118" s="664">
        <f t="shared" si="0"/>
        <v>275000</v>
      </c>
      <c r="J118" s="664">
        <f t="shared" si="1"/>
        <v>296450</v>
      </c>
      <c r="K118" s="661"/>
    </row>
    <row r="119" spans="1:11" ht="18.75" customHeight="1">
      <c r="A119" s="661"/>
      <c r="B119" s="657" t="s">
        <v>10092</v>
      </c>
      <c r="C119" s="657" t="s">
        <v>10320</v>
      </c>
      <c r="D119" s="663" t="s">
        <v>10323</v>
      </c>
      <c r="E119" s="663" t="s">
        <v>10324</v>
      </c>
      <c r="F119" s="658">
        <v>0.1</v>
      </c>
      <c r="G119" s="658">
        <v>0.02</v>
      </c>
      <c r="H119" s="664">
        <v>302500</v>
      </c>
      <c r="I119" s="664">
        <f t="shared" si="0"/>
        <v>275000</v>
      </c>
      <c r="J119" s="664">
        <f t="shared" si="1"/>
        <v>296450</v>
      </c>
      <c r="K119" s="661"/>
    </row>
    <row r="120" spans="1:11" ht="18.75" customHeight="1">
      <c r="A120" s="661"/>
      <c r="B120" s="657" t="s">
        <v>10092</v>
      </c>
      <c r="C120" s="657" t="s">
        <v>10320</v>
      </c>
      <c r="D120" s="663" t="s">
        <v>10325</v>
      </c>
      <c r="E120" s="663" t="s">
        <v>10326</v>
      </c>
      <c r="F120" s="658">
        <v>0.1</v>
      </c>
      <c r="G120" s="658">
        <v>0.02</v>
      </c>
      <c r="H120" s="664">
        <v>344300</v>
      </c>
      <c r="I120" s="664">
        <f t="shared" si="0"/>
        <v>313000</v>
      </c>
      <c r="J120" s="664">
        <f t="shared" si="1"/>
        <v>337410</v>
      </c>
      <c r="K120" s="661"/>
    </row>
    <row r="121" spans="1:11" ht="18.75" customHeight="1">
      <c r="A121" s="661"/>
      <c r="B121" s="657" t="s">
        <v>10092</v>
      </c>
      <c r="C121" s="657" t="s">
        <v>10320</v>
      </c>
      <c r="D121" s="663" t="s">
        <v>10327</v>
      </c>
      <c r="E121" s="663" t="s">
        <v>10328</v>
      </c>
      <c r="F121" s="658">
        <v>0.1</v>
      </c>
      <c r="G121" s="658">
        <v>0.02</v>
      </c>
      <c r="H121" s="664">
        <v>344300</v>
      </c>
      <c r="I121" s="664">
        <f t="shared" si="0"/>
        <v>313000</v>
      </c>
      <c r="J121" s="664">
        <f t="shared" si="1"/>
        <v>337410</v>
      </c>
      <c r="K121" s="661"/>
    </row>
    <row r="122" spans="1:11" ht="18.75" customHeight="1">
      <c r="A122" s="661"/>
      <c r="B122" s="657" t="s">
        <v>10092</v>
      </c>
      <c r="C122" s="657" t="s">
        <v>10320</v>
      </c>
      <c r="D122" s="663" t="s">
        <v>10329</v>
      </c>
      <c r="E122" s="663" t="s">
        <v>10330</v>
      </c>
      <c r="F122" s="658">
        <v>0.1</v>
      </c>
      <c r="G122" s="658">
        <v>0.02</v>
      </c>
      <c r="H122" s="664">
        <v>393800</v>
      </c>
      <c r="I122" s="664">
        <f t="shared" si="0"/>
        <v>358000</v>
      </c>
      <c r="J122" s="664">
        <f t="shared" si="1"/>
        <v>385920</v>
      </c>
      <c r="K122" s="661"/>
    </row>
    <row r="123" spans="1:11" ht="18.75" customHeight="1">
      <c r="A123" s="661"/>
      <c r="B123" s="657" t="s">
        <v>10092</v>
      </c>
      <c r="C123" s="657" t="s">
        <v>10320</v>
      </c>
      <c r="D123" s="663" t="s">
        <v>10331</v>
      </c>
      <c r="E123" s="663" t="s">
        <v>10332</v>
      </c>
      <c r="F123" s="658">
        <v>0.1</v>
      </c>
      <c r="G123" s="658">
        <v>0.02</v>
      </c>
      <c r="H123" s="664">
        <v>393800</v>
      </c>
      <c r="I123" s="664">
        <f t="shared" si="0"/>
        <v>358000</v>
      </c>
      <c r="J123" s="664">
        <f t="shared" si="1"/>
        <v>385920</v>
      </c>
      <c r="K123" s="661"/>
    </row>
    <row r="124" spans="1:11" ht="18.75" customHeight="1">
      <c r="A124" s="661"/>
      <c r="B124" s="657" t="s">
        <v>10092</v>
      </c>
      <c r="C124" s="657" t="s">
        <v>10320</v>
      </c>
      <c r="D124" s="663" t="s">
        <v>10333</v>
      </c>
      <c r="E124" s="663" t="s">
        <v>10334</v>
      </c>
      <c r="F124" s="658">
        <v>0.1</v>
      </c>
      <c r="G124" s="658">
        <v>0.02</v>
      </c>
      <c r="H124" s="664">
        <v>450000</v>
      </c>
      <c r="I124" s="664">
        <f t="shared" si="0"/>
        <v>409090</v>
      </c>
      <c r="J124" s="664">
        <f t="shared" si="1"/>
        <v>441000</v>
      </c>
      <c r="K124" s="661"/>
    </row>
    <row r="125" spans="1:11" ht="18.75" customHeight="1">
      <c r="A125" s="661"/>
      <c r="B125" s="657" t="s">
        <v>10092</v>
      </c>
      <c r="C125" s="657" t="s">
        <v>10320</v>
      </c>
      <c r="D125" s="663" t="s">
        <v>10335</v>
      </c>
      <c r="E125" s="663" t="s">
        <v>10336</v>
      </c>
      <c r="F125" s="658">
        <v>0.1</v>
      </c>
      <c r="G125" s="658">
        <v>0.02</v>
      </c>
      <c r="H125" s="664">
        <v>450000</v>
      </c>
      <c r="I125" s="664">
        <f t="shared" si="0"/>
        <v>409090</v>
      </c>
      <c r="J125" s="664">
        <f t="shared" si="1"/>
        <v>441000</v>
      </c>
      <c r="K125" s="661"/>
    </row>
    <row r="126" spans="1:11" ht="18.75" customHeight="1">
      <c r="A126" s="661"/>
      <c r="B126" s="657" t="s">
        <v>10092</v>
      </c>
      <c r="C126" s="657" t="s">
        <v>10320</v>
      </c>
      <c r="D126" s="663" t="s">
        <v>10337</v>
      </c>
      <c r="E126" s="663" t="s">
        <v>10338</v>
      </c>
      <c r="F126" s="658">
        <v>0.1</v>
      </c>
      <c r="G126" s="658">
        <v>0.02</v>
      </c>
      <c r="H126" s="664">
        <v>534100</v>
      </c>
      <c r="I126" s="664">
        <f t="shared" si="0"/>
        <v>485550</v>
      </c>
      <c r="J126" s="664">
        <f t="shared" si="1"/>
        <v>523420</v>
      </c>
      <c r="K126" s="661"/>
    </row>
    <row r="127" spans="1:11" ht="18.75" customHeight="1">
      <c r="A127" s="661"/>
      <c r="B127" s="657" t="s">
        <v>10092</v>
      </c>
      <c r="C127" s="657" t="s">
        <v>10320</v>
      </c>
      <c r="D127" s="663" t="s">
        <v>10339</v>
      </c>
      <c r="E127" s="663" t="s">
        <v>10340</v>
      </c>
      <c r="F127" s="658">
        <v>0.1</v>
      </c>
      <c r="G127" s="658">
        <v>0.02</v>
      </c>
      <c r="H127" s="663"/>
      <c r="I127" s="664">
        <f t="shared" si="0"/>
        <v>0</v>
      </c>
      <c r="J127" s="664">
        <f t="shared" si="1"/>
        <v>0</v>
      </c>
      <c r="K127" s="661"/>
    </row>
    <row r="128" spans="1:11" ht="18.75" customHeight="1">
      <c r="A128" s="661"/>
      <c r="B128" s="657" t="s">
        <v>10092</v>
      </c>
      <c r="C128" s="657" t="s">
        <v>10320</v>
      </c>
      <c r="D128" s="663" t="s">
        <v>10341</v>
      </c>
      <c r="E128" s="663" t="s">
        <v>10342</v>
      </c>
      <c r="F128" s="658">
        <v>0.1</v>
      </c>
      <c r="G128" s="658">
        <v>0.02</v>
      </c>
      <c r="H128" s="663"/>
      <c r="I128" s="664">
        <f t="shared" si="0"/>
        <v>0</v>
      </c>
      <c r="J128" s="664">
        <f t="shared" si="1"/>
        <v>0</v>
      </c>
      <c r="K128" s="661"/>
    </row>
    <row r="129" spans="1:11" ht="18.75" customHeight="1">
      <c r="A129" s="661"/>
      <c r="B129" s="657" t="s">
        <v>10092</v>
      </c>
      <c r="C129" s="657" t="s">
        <v>10320</v>
      </c>
      <c r="D129" s="663" t="s">
        <v>10343</v>
      </c>
      <c r="E129" s="663" t="s">
        <v>10344</v>
      </c>
      <c r="F129" s="658">
        <v>0.1</v>
      </c>
      <c r="G129" s="658">
        <v>0.02</v>
      </c>
      <c r="H129" s="663"/>
      <c r="I129" s="664">
        <f t="shared" si="0"/>
        <v>0</v>
      </c>
      <c r="J129" s="664">
        <f t="shared" si="1"/>
        <v>0</v>
      </c>
      <c r="K129" s="661"/>
    </row>
    <row r="130" spans="1:11" ht="18.75" customHeight="1">
      <c r="A130" s="661"/>
      <c r="B130" s="657" t="s">
        <v>10092</v>
      </c>
      <c r="C130" s="657" t="s">
        <v>10320</v>
      </c>
      <c r="D130" s="663" t="s">
        <v>10345</v>
      </c>
      <c r="E130" s="663" t="s">
        <v>10346</v>
      </c>
      <c r="F130" s="658">
        <v>0.1</v>
      </c>
      <c r="G130" s="658">
        <v>0.02</v>
      </c>
      <c r="H130" s="663"/>
      <c r="I130" s="664">
        <f t="shared" si="0"/>
        <v>0</v>
      </c>
      <c r="J130" s="664">
        <f t="shared" si="1"/>
        <v>0</v>
      </c>
      <c r="K130" s="661"/>
    </row>
    <row r="131" spans="1:11" ht="18.75" customHeight="1">
      <c r="A131" s="661"/>
      <c r="B131" s="657" t="s">
        <v>10092</v>
      </c>
      <c r="C131" s="657" t="s">
        <v>10320</v>
      </c>
      <c r="D131" s="663" t="s">
        <v>10347</v>
      </c>
      <c r="E131" s="663" t="s">
        <v>10348</v>
      </c>
      <c r="F131" s="658">
        <v>0.1</v>
      </c>
      <c r="G131" s="658">
        <v>0.02</v>
      </c>
      <c r="H131" s="663"/>
      <c r="I131" s="664">
        <f t="shared" si="0"/>
        <v>0</v>
      </c>
      <c r="J131" s="664">
        <f t="shared" si="1"/>
        <v>0</v>
      </c>
      <c r="K131" s="661"/>
    </row>
    <row r="132" spans="1:11" ht="18.75" customHeight="1">
      <c r="A132" s="661"/>
      <c r="B132" s="657" t="s">
        <v>10092</v>
      </c>
      <c r="C132" s="657" t="s">
        <v>10349</v>
      </c>
      <c r="D132" s="663" t="s">
        <v>10350</v>
      </c>
      <c r="E132" s="663" t="s">
        <v>10351</v>
      </c>
      <c r="F132" s="658">
        <v>0.1</v>
      </c>
      <c r="G132" s="658">
        <v>0.02</v>
      </c>
      <c r="H132" s="664">
        <v>22700</v>
      </c>
      <c r="I132" s="664">
        <f t="shared" si="0"/>
        <v>20640</v>
      </c>
      <c r="J132" s="664">
        <f t="shared" si="1"/>
        <v>22250</v>
      </c>
      <c r="K132" s="661"/>
    </row>
    <row r="133" spans="1:11" ht="18.75" customHeight="1">
      <c r="A133" s="661"/>
      <c r="B133" s="657" t="s">
        <v>10092</v>
      </c>
      <c r="C133" s="657" t="s">
        <v>10349</v>
      </c>
      <c r="D133" s="663" t="s">
        <v>10352</v>
      </c>
      <c r="E133" s="663" t="s">
        <v>10353</v>
      </c>
      <c r="F133" s="658">
        <v>0.1</v>
      </c>
      <c r="G133" s="658">
        <v>0.02</v>
      </c>
      <c r="H133" s="663"/>
      <c r="I133" s="664">
        <f t="shared" si="0"/>
        <v>0</v>
      </c>
      <c r="J133" s="664">
        <f t="shared" si="1"/>
        <v>0</v>
      </c>
      <c r="K133" s="661"/>
    </row>
    <row r="134" spans="1:11" ht="18.75" customHeight="1">
      <c r="A134" s="661"/>
      <c r="B134" s="657" t="s">
        <v>10092</v>
      </c>
      <c r="C134" s="657" t="s">
        <v>10349</v>
      </c>
      <c r="D134" s="663" t="s">
        <v>10354</v>
      </c>
      <c r="E134" s="663" t="s">
        <v>10355</v>
      </c>
      <c r="F134" s="658">
        <v>0.1</v>
      </c>
      <c r="G134" s="658">
        <v>0.02</v>
      </c>
      <c r="H134" s="664">
        <v>25300</v>
      </c>
      <c r="I134" s="664">
        <f t="shared" si="0"/>
        <v>23000</v>
      </c>
      <c r="J134" s="664">
        <f t="shared" si="1"/>
        <v>24790</v>
      </c>
      <c r="K134" s="661"/>
    </row>
    <row r="135" spans="1:11" ht="18.75" customHeight="1">
      <c r="A135" s="661"/>
      <c r="B135" s="657" t="s">
        <v>10092</v>
      </c>
      <c r="C135" s="657" t="s">
        <v>10349</v>
      </c>
      <c r="D135" s="663" t="s">
        <v>10356</v>
      </c>
      <c r="E135" s="663" t="s">
        <v>10357</v>
      </c>
      <c r="F135" s="658">
        <v>0.1</v>
      </c>
      <c r="G135" s="658">
        <v>0.02</v>
      </c>
      <c r="H135" s="664">
        <v>25300</v>
      </c>
      <c r="I135" s="664">
        <f t="shared" si="0"/>
        <v>23000</v>
      </c>
      <c r="J135" s="664">
        <f t="shared" si="1"/>
        <v>24790</v>
      </c>
      <c r="K135" s="661"/>
    </row>
    <row r="136" spans="1:11" ht="18.75" customHeight="1">
      <c r="A136" s="661"/>
      <c r="B136" s="657" t="s">
        <v>10092</v>
      </c>
      <c r="C136" s="657" t="s">
        <v>10349</v>
      </c>
      <c r="D136" s="663" t="s">
        <v>10358</v>
      </c>
      <c r="E136" s="663" t="s">
        <v>10359</v>
      </c>
      <c r="F136" s="658">
        <v>0.1</v>
      </c>
      <c r="G136" s="658">
        <v>0.02</v>
      </c>
      <c r="H136" s="664">
        <v>29200</v>
      </c>
      <c r="I136" s="664">
        <f t="shared" si="0"/>
        <v>26550</v>
      </c>
      <c r="J136" s="664">
        <f t="shared" si="1"/>
        <v>28620</v>
      </c>
      <c r="K136" s="661"/>
    </row>
    <row r="137" spans="1:11" ht="18.75" customHeight="1">
      <c r="A137" s="661"/>
      <c r="B137" s="657" t="s">
        <v>10092</v>
      </c>
      <c r="C137" s="657" t="s">
        <v>10349</v>
      </c>
      <c r="D137" s="663" t="s">
        <v>10360</v>
      </c>
      <c r="E137" s="663" t="s">
        <v>10361</v>
      </c>
      <c r="F137" s="658">
        <v>0.1</v>
      </c>
      <c r="G137" s="658">
        <v>0.02</v>
      </c>
      <c r="H137" s="664">
        <v>31800</v>
      </c>
      <c r="I137" s="664">
        <f t="shared" si="0"/>
        <v>28910</v>
      </c>
      <c r="J137" s="664">
        <f t="shared" si="1"/>
        <v>31160</v>
      </c>
      <c r="K137" s="661"/>
    </row>
    <row r="138" spans="1:11" ht="18.75" customHeight="1">
      <c r="A138" s="661"/>
      <c r="B138" s="657" t="s">
        <v>10092</v>
      </c>
      <c r="C138" s="657" t="s">
        <v>10349</v>
      </c>
      <c r="D138" s="663" t="s">
        <v>10362</v>
      </c>
      <c r="E138" s="663" t="s">
        <v>10363</v>
      </c>
      <c r="F138" s="658">
        <v>0.1</v>
      </c>
      <c r="G138" s="658">
        <v>0.02</v>
      </c>
      <c r="H138" s="664">
        <v>31900</v>
      </c>
      <c r="I138" s="664">
        <f t="shared" si="0"/>
        <v>29000</v>
      </c>
      <c r="J138" s="664">
        <f t="shared" si="1"/>
        <v>31260</v>
      </c>
      <c r="K138" s="661"/>
    </row>
    <row r="139" spans="1:11" ht="18.75" customHeight="1">
      <c r="A139" s="661"/>
      <c r="B139" s="657" t="s">
        <v>10092</v>
      </c>
      <c r="C139" s="657" t="s">
        <v>10349</v>
      </c>
      <c r="D139" s="663" t="s">
        <v>10364</v>
      </c>
      <c r="E139" s="663" t="s">
        <v>10365</v>
      </c>
      <c r="F139" s="658">
        <v>0.1</v>
      </c>
      <c r="G139" s="658">
        <v>0.02</v>
      </c>
      <c r="H139" s="664">
        <v>34100</v>
      </c>
      <c r="I139" s="664">
        <f t="shared" si="0"/>
        <v>31000</v>
      </c>
      <c r="J139" s="664">
        <f t="shared" si="1"/>
        <v>33420</v>
      </c>
      <c r="K139" s="661"/>
    </row>
    <row r="140" spans="1:11" ht="18.75" customHeight="1">
      <c r="A140" s="661"/>
      <c r="B140" s="657" t="s">
        <v>10092</v>
      </c>
      <c r="C140" s="657" t="s">
        <v>10349</v>
      </c>
      <c r="D140" s="663" t="s">
        <v>10366</v>
      </c>
      <c r="E140" s="663" t="s">
        <v>10367</v>
      </c>
      <c r="F140" s="658">
        <v>0.1</v>
      </c>
      <c r="G140" s="658">
        <v>0.02</v>
      </c>
      <c r="H140" s="664">
        <v>39200</v>
      </c>
      <c r="I140" s="664">
        <f t="shared" si="0"/>
        <v>35640</v>
      </c>
      <c r="J140" s="664">
        <f t="shared" si="1"/>
        <v>38420</v>
      </c>
      <c r="K140" s="661"/>
    </row>
    <row r="141" spans="1:11" ht="18.75" customHeight="1">
      <c r="A141" s="661"/>
      <c r="B141" s="657" t="s">
        <v>10092</v>
      </c>
      <c r="C141" s="657" t="s">
        <v>10349</v>
      </c>
      <c r="D141" s="663" t="s">
        <v>10368</v>
      </c>
      <c r="E141" s="663" t="s">
        <v>10369</v>
      </c>
      <c r="F141" s="658">
        <v>0.1</v>
      </c>
      <c r="G141" s="658">
        <v>0.02</v>
      </c>
      <c r="H141" s="664">
        <v>46200</v>
      </c>
      <c r="I141" s="664">
        <f t="shared" si="0"/>
        <v>42000</v>
      </c>
      <c r="J141" s="664">
        <f t="shared" si="1"/>
        <v>45280</v>
      </c>
      <c r="K141" s="661"/>
    </row>
    <row r="142" spans="1:11" ht="18.75" customHeight="1">
      <c r="A142" s="661"/>
      <c r="B142" s="657" t="s">
        <v>10092</v>
      </c>
      <c r="C142" s="657" t="s">
        <v>10349</v>
      </c>
      <c r="D142" s="663" t="s">
        <v>10370</v>
      </c>
      <c r="E142" s="663" t="s">
        <v>10371</v>
      </c>
      <c r="F142" s="658">
        <v>0.1</v>
      </c>
      <c r="G142" s="658">
        <v>0.02</v>
      </c>
      <c r="H142" s="664">
        <v>46200</v>
      </c>
      <c r="I142" s="664">
        <f t="shared" si="0"/>
        <v>42000</v>
      </c>
      <c r="J142" s="664">
        <f t="shared" si="1"/>
        <v>45280</v>
      </c>
      <c r="K142" s="661"/>
    </row>
    <row r="143" spans="1:11" ht="18.75" customHeight="1">
      <c r="A143" s="661"/>
      <c r="B143" s="657" t="s">
        <v>10092</v>
      </c>
      <c r="C143" s="657" t="s">
        <v>10349</v>
      </c>
      <c r="D143" s="663" t="s">
        <v>2137</v>
      </c>
      <c r="E143" s="663" t="s">
        <v>2138</v>
      </c>
      <c r="F143" s="658">
        <v>0.1</v>
      </c>
      <c r="G143" s="658">
        <v>0.02</v>
      </c>
      <c r="H143" s="664">
        <v>51800</v>
      </c>
      <c r="I143" s="664">
        <f t="shared" si="0"/>
        <v>47090</v>
      </c>
      <c r="J143" s="664">
        <f t="shared" si="1"/>
        <v>50760</v>
      </c>
      <c r="K143" s="661"/>
    </row>
    <row r="144" spans="1:11" ht="18.75" customHeight="1">
      <c r="A144" s="661"/>
      <c r="B144" s="657" t="s">
        <v>10092</v>
      </c>
      <c r="C144" s="657" t="s">
        <v>10349</v>
      </c>
      <c r="D144" s="663" t="s">
        <v>10372</v>
      </c>
      <c r="E144" s="663" t="s">
        <v>10373</v>
      </c>
      <c r="F144" s="658">
        <v>0.1</v>
      </c>
      <c r="G144" s="658">
        <v>0.02</v>
      </c>
      <c r="H144" s="664">
        <v>51800</v>
      </c>
      <c r="I144" s="664">
        <f t="shared" si="0"/>
        <v>47090</v>
      </c>
      <c r="J144" s="664">
        <f t="shared" si="1"/>
        <v>50760</v>
      </c>
      <c r="K144" s="661"/>
    </row>
    <row r="145" spans="1:11" ht="18.75" customHeight="1">
      <c r="A145" s="661"/>
      <c r="B145" s="657" t="s">
        <v>10092</v>
      </c>
      <c r="C145" s="657" t="s">
        <v>10349</v>
      </c>
      <c r="D145" s="663" t="s">
        <v>10374</v>
      </c>
      <c r="E145" s="663" t="s">
        <v>10375</v>
      </c>
      <c r="F145" s="658">
        <v>0.1</v>
      </c>
      <c r="G145" s="658">
        <v>0.02</v>
      </c>
      <c r="H145" s="664">
        <v>62700</v>
      </c>
      <c r="I145" s="664">
        <f t="shared" si="0"/>
        <v>57000</v>
      </c>
      <c r="J145" s="664">
        <f t="shared" si="1"/>
        <v>61450</v>
      </c>
      <c r="K145" s="661"/>
    </row>
    <row r="146" spans="1:11" ht="18.75" customHeight="1">
      <c r="A146" s="661"/>
      <c r="B146" s="657" t="s">
        <v>10092</v>
      </c>
      <c r="C146" s="657" t="s">
        <v>10349</v>
      </c>
      <c r="D146" s="663" t="s">
        <v>10376</v>
      </c>
      <c r="E146" s="663" t="s">
        <v>10377</v>
      </c>
      <c r="F146" s="658">
        <v>0.1</v>
      </c>
      <c r="G146" s="658">
        <v>0.02</v>
      </c>
      <c r="H146" s="664">
        <v>86700</v>
      </c>
      <c r="I146" s="664">
        <f t="shared" si="0"/>
        <v>78820</v>
      </c>
      <c r="J146" s="664">
        <f t="shared" si="1"/>
        <v>84970</v>
      </c>
      <c r="K146" s="661"/>
    </row>
    <row r="147" spans="1:11" ht="18.75" customHeight="1">
      <c r="A147" s="661"/>
      <c r="B147" s="657" t="s">
        <v>10092</v>
      </c>
      <c r="C147" s="657" t="s">
        <v>10349</v>
      </c>
      <c r="D147" s="663" t="s">
        <v>10378</v>
      </c>
      <c r="E147" s="663" t="s">
        <v>10379</v>
      </c>
      <c r="F147" s="658">
        <v>0.1</v>
      </c>
      <c r="G147" s="658">
        <v>0.02</v>
      </c>
      <c r="H147" s="664">
        <v>36300</v>
      </c>
      <c r="I147" s="664">
        <f t="shared" si="0"/>
        <v>33000</v>
      </c>
      <c r="J147" s="664">
        <f t="shared" si="1"/>
        <v>35570</v>
      </c>
      <c r="K147" s="661"/>
    </row>
    <row r="148" spans="1:11" ht="18.75" customHeight="1">
      <c r="A148" s="661"/>
      <c r="B148" s="657" t="s">
        <v>10092</v>
      </c>
      <c r="C148" s="657" t="s">
        <v>10349</v>
      </c>
      <c r="D148" s="663" t="s">
        <v>10380</v>
      </c>
      <c r="E148" s="663" t="s">
        <v>10381</v>
      </c>
      <c r="F148" s="658">
        <v>0.1</v>
      </c>
      <c r="G148" s="658">
        <v>0.02</v>
      </c>
      <c r="H148" s="664">
        <v>39500</v>
      </c>
      <c r="I148" s="664">
        <f t="shared" si="0"/>
        <v>35910</v>
      </c>
      <c r="J148" s="664">
        <f t="shared" si="1"/>
        <v>38710</v>
      </c>
      <c r="K148" s="661"/>
    </row>
    <row r="149" spans="1:11" ht="18.75" customHeight="1">
      <c r="A149" s="661"/>
      <c r="B149" s="657" t="s">
        <v>10092</v>
      </c>
      <c r="C149" s="657" t="s">
        <v>10349</v>
      </c>
      <c r="D149" s="663" t="s">
        <v>10382</v>
      </c>
      <c r="E149" s="663" t="s">
        <v>10383</v>
      </c>
      <c r="F149" s="658">
        <v>0.1</v>
      </c>
      <c r="G149" s="658">
        <v>0.02</v>
      </c>
      <c r="H149" s="664">
        <v>43000</v>
      </c>
      <c r="I149" s="664">
        <f t="shared" si="0"/>
        <v>39090</v>
      </c>
      <c r="J149" s="664">
        <f t="shared" si="1"/>
        <v>42140</v>
      </c>
      <c r="K149" s="661"/>
    </row>
    <row r="150" spans="1:11" ht="18.75" customHeight="1">
      <c r="A150" s="661"/>
      <c r="B150" s="657" t="s">
        <v>10092</v>
      </c>
      <c r="C150" s="657" t="s">
        <v>10349</v>
      </c>
      <c r="D150" s="663" t="s">
        <v>10384</v>
      </c>
      <c r="E150" s="663" t="s">
        <v>10385</v>
      </c>
      <c r="F150" s="658">
        <v>0.1</v>
      </c>
      <c r="G150" s="658">
        <v>0.02</v>
      </c>
      <c r="H150" s="664">
        <v>48200</v>
      </c>
      <c r="I150" s="664">
        <f t="shared" si="0"/>
        <v>43820</v>
      </c>
      <c r="J150" s="664">
        <f t="shared" si="1"/>
        <v>47240</v>
      </c>
      <c r="K150" s="661"/>
    </row>
    <row r="151" spans="1:11" ht="18.75" customHeight="1">
      <c r="A151" s="661"/>
      <c r="B151" s="657" t="s">
        <v>10092</v>
      </c>
      <c r="C151" s="657" t="s">
        <v>10349</v>
      </c>
      <c r="D151" s="663" t="s">
        <v>10386</v>
      </c>
      <c r="E151" s="663" t="s">
        <v>10387</v>
      </c>
      <c r="F151" s="658">
        <v>0.1</v>
      </c>
      <c r="G151" s="658">
        <v>0.02</v>
      </c>
      <c r="H151" s="664">
        <v>48400</v>
      </c>
      <c r="I151" s="664">
        <f t="shared" si="0"/>
        <v>44000</v>
      </c>
      <c r="J151" s="664">
        <f t="shared" si="1"/>
        <v>47430</v>
      </c>
      <c r="K151" s="661"/>
    </row>
    <row r="152" spans="1:11" ht="18.75" customHeight="1">
      <c r="A152" s="661"/>
      <c r="B152" s="657" t="s">
        <v>10092</v>
      </c>
      <c r="C152" s="657" t="s">
        <v>10349</v>
      </c>
      <c r="D152" s="663" t="s">
        <v>10388</v>
      </c>
      <c r="E152" s="663" t="s">
        <v>10389</v>
      </c>
      <c r="F152" s="658">
        <v>0.1</v>
      </c>
      <c r="G152" s="658">
        <v>0.02</v>
      </c>
      <c r="H152" s="664">
        <v>51200</v>
      </c>
      <c r="I152" s="664">
        <f t="shared" si="0"/>
        <v>46550</v>
      </c>
      <c r="J152" s="664">
        <f t="shared" si="1"/>
        <v>50180</v>
      </c>
      <c r="K152" s="661"/>
    </row>
    <row r="153" spans="1:11" ht="18.75" customHeight="1">
      <c r="A153" s="661"/>
      <c r="B153" s="657" t="s">
        <v>10092</v>
      </c>
      <c r="C153" s="657" t="s">
        <v>10349</v>
      </c>
      <c r="D153" s="663" t="s">
        <v>10390</v>
      </c>
      <c r="E153" s="663" t="s">
        <v>10391</v>
      </c>
      <c r="F153" s="658">
        <v>0.1</v>
      </c>
      <c r="G153" s="658">
        <v>0.02</v>
      </c>
      <c r="H153" s="664">
        <v>51200</v>
      </c>
      <c r="I153" s="664">
        <f t="shared" si="0"/>
        <v>46550</v>
      </c>
      <c r="J153" s="664">
        <f t="shared" si="1"/>
        <v>50180</v>
      </c>
      <c r="K153" s="661"/>
    </row>
    <row r="154" spans="1:11" ht="18.75" customHeight="1">
      <c r="A154" s="661"/>
      <c r="B154" s="657" t="s">
        <v>10092</v>
      </c>
      <c r="C154" s="657" t="s">
        <v>10349</v>
      </c>
      <c r="D154" s="663" t="s">
        <v>10392</v>
      </c>
      <c r="E154" s="663" t="s">
        <v>10393</v>
      </c>
      <c r="F154" s="658">
        <v>0.1</v>
      </c>
      <c r="G154" s="658">
        <v>0.02</v>
      </c>
      <c r="H154" s="664">
        <v>58300</v>
      </c>
      <c r="I154" s="664">
        <f t="shared" si="0"/>
        <v>53000</v>
      </c>
      <c r="J154" s="664">
        <f t="shared" si="1"/>
        <v>57130</v>
      </c>
      <c r="K154" s="661"/>
    </row>
    <row r="155" spans="1:11" ht="18.75" customHeight="1">
      <c r="A155" s="661"/>
      <c r="B155" s="657" t="s">
        <v>10092</v>
      </c>
      <c r="C155" s="657" t="s">
        <v>10349</v>
      </c>
      <c r="D155" s="663" t="s">
        <v>10394</v>
      </c>
      <c r="E155" s="663" t="s">
        <v>10395</v>
      </c>
      <c r="F155" s="658">
        <v>0.1</v>
      </c>
      <c r="G155" s="658">
        <v>0.02</v>
      </c>
      <c r="H155" s="664">
        <v>69300</v>
      </c>
      <c r="I155" s="664">
        <f t="shared" si="0"/>
        <v>63000</v>
      </c>
      <c r="J155" s="664">
        <f t="shared" si="1"/>
        <v>67910</v>
      </c>
      <c r="K155" s="661"/>
    </row>
    <row r="156" spans="1:11" ht="18.75" customHeight="1">
      <c r="A156" s="661"/>
      <c r="B156" s="657" t="s">
        <v>10092</v>
      </c>
      <c r="C156" s="657" t="s">
        <v>10349</v>
      </c>
      <c r="D156" s="663" t="s">
        <v>10396</v>
      </c>
      <c r="E156" s="663" t="s">
        <v>10397</v>
      </c>
      <c r="F156" s="658">
        <v>0.1</v>
      </c>
      <c r="G156" s="658">
        <v>0.02</v>
      </c>
      <c r="H156" s="664">
        <v>67300</v>
      </c>
      <c r="I156" s="664">
        <f t="shared" si="0"/>
        <v>61180</v>
      </c>
      <c r="J156" s="664">
        <f t="shared" si="1"/>
        <v>65950</v>
      </c>
      <c r="K156" s="661"/>
    </row>
    <row r="157" spans="1:11" ht="18.75" customHeight="1">
      <c r="A157" s="661"/>
      <c r="B157" s="657" t="s">
        <v>10092</v>
      </c>
      <c r="C157" s="657" t="s">
        <v>10349</v>
      </c>
      <c r="D157" s="663" t="s">
        <v>10398</v>
      </c>
      <c r="E157" s="663" t="s">
        <v>10399</v>
      </c>
      <c r="F157" s="658">
        <v>0.1</v>
      </c>
      <c r="G157" s="658">
        <v>0.02</v>
      </c>
      <c r="H157" s="664">
        <v>74900</v>
      </c>
      <c r="I157" s="664">
        <f t="shared" si="0"/>
        <v>68090</v>
      </c>
      <c r="J157" s="664">
        <f t="shared" si="1"/>
        <v>73400</v>
      </c>
      <c r="K157" s="661"/>
    </row>
    <row r="158" spans="1:11" ht="18.75" customHeight="1">
      <c r="A158" s="661"/>
      <c r="B158" s="657" t="s">
        <v>10092</v>
      </c>
      <c r="C158" s="657" t="s">
        <v>10349</v>
      </c>
      <c r="D158" s="663" t="s">
        <v>10400</v>
      </c>
      <c r="E158" s="663" t="s">
        <v>10401</v>
      </c>
      <c r="F158" s="658">
        <v>0.1</v>
      </c>
      <c r="G158" s="658">
        <v>0.02</v>
      </c>
      <c r="H158" s="664">
        <v>75900</v>
      </c>
      <c r="I158" s="664">
        <f t="shared" si="0"/>
        <v>69000</v>
      </c>
      <c r="J158" s="664">
        <f t="shared" si="1"/>
        <v>74380</v>
      </c>
      <c r="K158" s="661"/>
    </row>
    <row r="159" spans="1:11" ht="18.75" customHeight="1">
      <c r="A159" s="661"/>
      <c r="B159" s="657" t="s">
        <v>10092</v>
      </c>
      <c r="C159" s="657" t="s">
        <v>10349</v>
      </c>
      <c r="D159" s="663" t="s">
        <v>10402</v>
      </c>
      <c r="E159" s="663" t="s">
        <v>10399</v>
      </c>
      <c r="F159" s="658">
        <v>0.1</v>
      </c>
      <c r="G159" s="658">
        <v>0.02</v>
      </c>
      <c r="H159" s="664">
        <v>74900</v>
      </c>
      <c r="I159" s="664">
        <f t="shared" si="0"/>
        <v>68090</v>
      </c>
      <c r="J159" s="664">
        <f t="shared" si="1"/>
        <v>73400</v>
      </c>
      <c r="K159" s="661"/>
    </row>
    <row r="160" spans="1:11" ht="18.75" customHeight="1">
      <c r="A160" s="661"/>
      <c r="B160" s="657" t="s">
        <v>10092</v>
      </c>
      <c r="C160" s="657" t="s">
        <v>10349</v>
      </c>
      <c r="D160" s="663" t="s">
        <v>10403</v>
      </c>
      <c r="E160" s="663" t="s">
        <v>10404</v>
      </c>
      <c r="F160" s="658">
        <v>0.1</v>
      </c>
      <c r="G160" s="658">
        <v>0.02</v>
      </c>
      <c r="H160" s="664">
        <v>90200</v>
      </c>
      <c r="I160" s="664">
        <f t="shared" si="0"/>
        <v>82000</v>
      </c>
      <c r="J160" s="664">
        <f t="shared" si="1"/>
        <v>88400</v>
      </c>
      <c r="K160" s="661"/>
    </row>
    <row r="161" spans="1:11" ht="18.75" customHeight="1">
      <c r="A161" s="661"/>
      <c r="B161" s="657" t="s">
        <v>10092</v>
      </c>
      <c r="C161" s="657" t="s">
        <v>10349</v>
      </c>
      <c r="D161" s="663" t="s">
        <v>10405</v>
      </c>
      <c r="E161" s="663" t="s">
        <v>10406</v>
      </c>
      <c r="F161" s="658">
        <v>0.1</v>
      </c>
      <c r="G161" s="658">
        <v>0.02</v>
      </c>
      <c r="H161" s="664">
        <v>89400</v>
      </c>
      <c r="I161" s="664">
        <f t="shared" si="0"/>
        <v>81270</v>
      </c>
      <c r="J161" s="664">
        <f t="shared" si="1"/>
        <v>87610</v>
      </c>
      <c r="K161" s="661"/>
    </row>
    <row r="162" spans="1:11" ht="18.75" customHeight="1">
      <c r="A162" s="661"/>
      <c r="B162" s="657" t="s">
        <v>10092</v>
      </c>
      <c r="C162" s="657" t="s">
        <v>10349</v>
      </c>
      <c r="D162" s="663" t="s">
        <v>10407</v>
      </c>
      <c r="E162" s="663" t="s">
        <v>10408</v>
      </c>
      <c r="F162" s="658">
        <v>0.1</v>
      </c>
      <c r="G162" s="658">
        <v>0.02</v>
      </c>
      <c r="H162" s="664">
        <v>105600</v>
      </c>
      <c r="I162" s="664">
        <f t="shared" si="0"/>
        <v>96000</v>
      </c>
      <c r="J162" s="664">
        <f t="shared" si="1"/>
        <v>103490</v>
      </c>
      <c r="K162" s="661"/>
    </row>
    <row r="163" spans="1:11" ht="18.75" customHeight="1">
      <c r="A163" s="661"/>
      <c r="B163" s="657" t="s">
        <v>10092</v>
      </c>
      <c r="C163" s="657" t="s">
        <v>10349</v>
      </c>
      <c r="D163" s="663" t="s">
        <v>10409</v>
      </c>
      <c r="E163" s="663" t="s">
        <v>10410</v>
      </c>
      <c r="F163" s="658">
        <v>0.1</v>
      </c>
      <c r="G163" s="658">
        <v>0.02</v>
      </c>
      <c r="H163" s="664">
        <v>123200</v>
      </c>
      <c r="I163" s="664">
        <f t="shared" si="0"/>
        <v>112000</v>
      </c>
      <c r="J163" s="664">
        <f t="shared" si="1"/>
        <v>120740</v>
      </c>
      <c r="K163" s="661"/>
    </row>
    <row r="164" spans="1:11" ht="18.75" customHeight="1">
      <c r="A164" s="661"/>
      <c r="B164" s="657" t="s">
        <v>10092</v>
      </c>
      <c r="C164" s="657" t="s">
        <v>10349</v>
      </c>
      <c r="D164" s="663" t="s">
        <v>10411</v>
      </c>
      <c r="E164" s="663" t="s">
        <v>10412</v>
      </c>
      <c r="F164" s="658">
        <v>0.1</v>
      </c>
      <c r="G164" s="658">
        <v>0.02</v>
      </c>
      <c r="H164" s="664">
        <v>152900</v>
      </c>
      <c r="I164" s="664">
        <f t="shared" si="0"/>
        <v>139000</v>
      </c>
      <c r="J164" s="664">
        <f t="shared" si="1"/>
        <v>149840</v>
      </c>
      <c r="K164" s="661"/>
    </row>
    <row r="165" spans="1:11" ht="18.75" customHeight="1">
      <c r="A165" s="661"/>
      <c r="B165" s="657" t="s">
        <v>10092</v>
      </c>
      <c r="C165" s="657" t="s">
        <v>10349</v>
      </c>
      <c r="D165" s="663" t="s">
        <v>10413</v>
      </c>
      <c r="E165" s="663" t="s">
        <v>10414</v>
      </c>
      <c r="F165" s="658">
        <v>0.1</v>
      </c>
      <c r="G165" s="658">
        <v>0.02</v>
      </c>
      <c r="H165" s="663"/>
      <c r="I165" s="664">
        <f t="shared" si="0"/>
        <v>0</v>
      </c>
      <c r="J165" s="664">
        <f t="shared" si="1"/>
        <v>0</v>
      </c>
      <c r="K165" s="661"/>
    </row>
    <row r="166" spans="1:11" ht="18.75" customHeight="1">
      <c r="A166" s="661"/>
      <c r="B166" s="657" t="s">
        <v>10092</v>
      </c>
      <c r="C166" s="657" t="s">
        <v>10349</v>
      </c>
      <c r="D166" s="663" t="s">
        <v>10415</v>
      </c>
      <c r="E166" s="663" t="s">
        <v>10416</v>
      </c>
      <c r="F166" s="658">
        <v>0.1</v>
      </c>
      <c r="G166" s="658">
        <v>0.02</v>
      </c>
      <c r="H166" s="664">
        <v>184800</v>
      </c>
      <c r="I166" s="664">
        <f t="shared" si="0"/>
        <v>168000</v>
      </c>
      <c r="J166" s="664">
        <f t="shared" si="1"/>
        <v>181100</v>
      </c>
      <c r="K166" s="661"/>
    </row>
    <row r="167" spans="1:11" ht="18.75" customHeight="1">
      <c r="A167" s="661"/>
      <c r="B167" s="657" t="s">
        <v>10092</v>
      </c>
      <c r="C167" s="657" t="s">
        <v>10349</v>
      </c>
      <c r="D167" s="663" t="s">
        <v>10417</v>
      </c>
      <c r="E167" s="663" t="s">
        <v>10418</v>
      </c>
      <c r="F167" s="658">
        <v>0.1</v>
      </c>
      <c r="G167" s="658">
        <v>0.02</v>
      </c>
      <c r="H167" s="664">
        <v>212000</v>
      </c>
      <c r="I167" s="664">
        <f t="shared" si="0"/>
        <v>192730</v>
      </c>
      <c r="J167" s="664">
        <f t="shared" si="1"/>
        <v>207760</v>
      </c>
      <c r="K167" s="661"/>
    </row>
    <row r="168" spans="1:11" ht="18.75" customHeight="1">
      <c r="A168" s="661"/>
      <c r="B168" s="657" t="s">
        <v>10092</v>
      </c>
      <c r="C168" s="657" t="s">
        <v>10349</v>
      </c>
      <c r="D168" s="663" t="s">
        <v>10419</v>
      </c>
      <c r="E168" s="663" t="s">
        <v>10420</v>
      </c>
      <c r="F168" s="658">
        <v>0.1</v>
      </c>
      <c r="G168" s="658">
        <v>0.02</v>
      </c>
      <c r="H168" s="664">
        <v>52300</v>
      </c>
      <c r="I168" s="664">
        <f t="shared" si="0"/>
        <v>47550</v>
      </c>
      <c r="J168" s="664">
        <f t="shared" si="1"/>
        <v>51250</v>
      </c>
      <c r="K168" s="661"/>
    </row>
    <row r="169" spans="1:11" ht="18.75" customHeight="1">
      <c r="A169" s="661"/>
      <c r="B169" s="657" t="s">
        <v>10092</v>
      </c>
      <c r="C169" s="657" t="s">
        <v>10349</v>
      </c>
      <c r="D169" s="663" t="s">
        <v>10421</v>
      </c>
      <c r="E169" s="663" t="s">
        <v>10422</v>
      </c>
      <c r="F169" s="658">
        <v>0.1</v>
      </c>
      <c r="G169" s="658">
        <v>0.02</v>
      </c>
      <c r="H169" s="664">
        <v>52300</v>
      </c>
      <c r="I169" s="664">
        <f t="shared" si="0"/>
        <v>47550</v>
      </c>
      <c r="J169" s="664">
        <f t="shared" si="1"/>
        <v>51250</v>
      </c>
      <c r="K169" s="661"/>
    </row>
    <row r="170" spans="1:11" ht="18.75" customHeight="1">
      <c r="A170" s="661"/>
      <c r="B170" s="657" t="s">
        <v>10092</v>
      </c>
      <c r="C170" s="657" t="s">
        <v>10349</v>
      </c>
      <c r="D170" s="663" t="s">
        <v>10423</v>
      </c>
      <c r="E170" s="663" t="s">
        <v>10424</v>
      </c>
      <c r="F170" s="658">
        <v>0.1</v>
      </c>
      <c r="G170" s="658">
        <v>0.02</v>
      </c>
      <c r="H170" s="664">
        <v>56700</v>
      </c>
      <c r="I170" s="664">
        <f t="shared" si="0"/>
        <v>51550</v>
      </c>
      <c r="J170" s="664">
        <f t="shared" si="1"/>
        <v>55570</v>
      </c>
      <c r="K170" s="661"/>
    </row>
    <row r="171" spans="1:11" ht="18.75" customHeight="1">
      <c r="A171" s="661"/>
      <c r="B171" s="657" t="s">
        <v>10092</v>
      </c>
      <c r="C171" s="657" t="s">
        <v>10349</v>
      </c>
      <c r="D171" s="663" t="s">
        <v>10425</v>
      </c>
      <c r="E171" s="663" t="s">
        <v>10426</v>
      </c>
      <c r="F171" s="658">
        <v>0.1</v>
      </c>
      <c r="G171" s="658">
        <v>0.02</v>
      </c>
      <c r="H171" s="664">
        <v>56700</v>
      </c>
      <c r="I171" s="664">
        <f t="shared" si="0"/>
        <v>51550</v>
      </c>
      <c r="J171" s="664">
        <f t="shared" si="1"/>
        <v>55570</v>
      </c>
      <c r="K171" s="661"/>
    </row>
    <row r="172" spans="1:11" ht="18.75" customHeight="1">
      <c r="A172" s="661"/>
      <c r="B172" s="657" t="s">
        <v>10092</v>
      </c>
      <c r="C172" s="657" t="s">
        <v>10349</v>
      </c>
      <c r="D172" s="663" t="s">
        <v>10427</v>
      </c>
      <c r="E172" s="663" t="s">
        <v>10428</v>
      </c>
      <c r="F172" s="658">
        <v>0.1</v>
      </c>
      <c r="G172" s="658">
        <v>0.02</v>
      </c>
      <c r="H172" s="664">
        <v>56700</v>
      </c>
      <c r="I172" s="664">
        <f t="shared" si="0"/>
        <v>51550</v>
      </c>
      <c r="J172" s="664">
        <f t="shared" si="1"/>
        <v>55570</v>
      </c>
      <c r="K172" s="661"/>
    </row>
    <row r="173" spans="1:11" ht="18.75" customHeight="1">
      <c r="A173" s="661"/>
      <c r="B173" s="657" t="s">
        <v>10092</v>
      </c>
      <c r="C173" s="657" t="s">
        <v>10349</v>
      </c>
      <c r="D173" s="663" t="s">
        <v>10429</v>
      </c>
      <c r="E173" s="663" t="s">
        <v>10430</v>
      </c>
      <c r="F173" s="658">
        <v>0.1</v>
      </c>
      <c r="G173" s="658">
        <v>0.02</v>
      </c>
      <c r="H173" s="664">
        <v>60900</v>
      </c>
      <c r="I173" s="664">
        <f t="shared" si="0"/>
        <v>55360</v>
      </c>
      <c r="J173" s="664">
        <f t="shared" si="1"/>
        <v>59680</v>
      </c>
      <c r="K173" s="661"/>
    </row>
    <row r="174" spans="1:11" ht="18.75" customHeight="1">
      <c r="A174" s="661"/>
      <c r="B174" s="657" t="s">
        <v>10092</v>
      </c>
      <c r="C174" s="657" t="s">
        <v>10349</v>
      </c>
      <c r="D174" s="663" t="s">
        <v>10431</v>
      </c>
      <c r="E174" s="663" t="s">
        <v>10432</v>
      </c>
      <c r="F174" s="658">
        <v>0.1</v>
      </c>
      <c r="G174" s="658">
        <v>0.02</v>
      </c>
      <c r="H174" s="664">
        <v>60900</v>
      </c>
      <c r="I174" s="664">
        <f t="shared" si="0"/>
        <v>55360</v>
      </c>
      <c r="J174" s="664">
        <f t="shared" si="1"/>
        <v>59680</v>
      </c>
      <c r="K174" s="661"/>
    </row>
    <row r="175" spans="1:11" ht="18.75" customHeight="1">
      <c r="A175" s="661"/>
      <c r="B175" s="657" t="s">
        <v>10092</v>
      </c>
      <c r="C175" s="657" t="s">
        <v>10349</v>
      </c>
      <c r="D175" s="663" t="s">
        <v>10433</v>
      </c>
      <c r="E175" s="663" t="s">
        <v>10434</v>
      </c>
      <c r="F175" s="658">
        <v>0.1</v>
      </c>
      <c r="G175" s="658">
        <v>0.02</v>
      </c>
      <c r="H175" s="664">
        <v>60900</v>
      </c>
      <c r="I175" s="664">
        <f t="shared" si="0"/>
        <v>55360</v>
      </c>
      <c r="J175" s="664">
        <f t="shared" si="1"/>
        <v>59680</v>
      </c>
      <c r="K175" s="661"/>
    </row>
    <row r="176" spans="1:11" ht="18.75" customHeight="1">
      <c r="A176" s="661"/>
      <c r="B176" s="657" t="s">
        <v>10092</v>
      </c>
      <c r="C176" s="657" t="s">
        <v>10349</v>
      </c>
      <c r="D176" s="663" t="s">
        <v>2140</v>
      </c>
      <c r="E176" s="663" t="s">
        <v>10435</v>
      </c>
      <c r="F176" s="658">
        <v>0.1</v>
      </c>
      <c r="G176" s="658">
        <v>0.02</v>
      </c>
      <c r="H176" s="664">
        <v>67500</v>
      </c>
      <c r="I176" s="664">
        <f t="shared" si="0"/>
        <v>61360</v>
      </c>
      <c r="J176" s="664">
        <f t="shared" si="1"/>
        <v>66150</v>
      </c>
      <c r="K176" s="661"/>
    </row>
    <row r="177" spans="1:11" ht="18.75" customHeight="1">
      <c r="A177" s="661"/>
      <c r="B177" s="657" t="s">
        <v>10092</v>
      </c>
      <c r="C177" s="657" t="s">
        <v>10349</v>
      </c>
      <c r="D177" s="663" t="s">
        <v>10436</v>
      </c>
      <c r="E177" s="663" t="s">
        <v>10437</v>
      </c>
      <c r="F177" s="658">
        <v>0.1</v>
      </c>
      <c r="G177" s="658">
        <v>0.02</v>
      </c>
      <c r="H177" s="664">
        <v>67500</v>
      </c>
      <c r="I177" s="664">
        <f t="shared" si="0"/>
        <v>61360</v>
      </c>
      <c r="J177" s="664">
        <f t="shared" si="1"/>
        <v>66150</v>
      </c>
      <c r="K177" s="661"/>
    </row>
    <row r="178" spans="1:11" ht="18.75" customHeight="1">
      <c r="A178" s="661"/>
      <c r="B178" s="657" t="s">
        <v>10092</v>
      </c>
      <c r="C178" s="657" t="s">
        <v>10349</v>
      </c>
      <c r="D178" s="663" t="s">
        <v>10438</v>
      </c>
      <c r="E178" s="663" t="s">
        <v>10439</v>
      </c>
      <c r="F178" s="658">
        <v>0.1</v>
      </c>
      <c r="G178" s="658">
        <v>0.02</v>
      </c>
      <c r="H178" s="664">
        <v>67500</v>
      </c>
      <c r="I178" s="664">
        <f t="shared" si="0"/>
        <v>61360</v>
      </c>
      <c r="J178" s="664">
        <f t="shared" si="1"/>
        <v>66150</v>
      </c>
      <c r="K178" s="661"/>
    </row>
    <row r="179" spans="1:11" ht="18.75" customHeight="1">
      <c r="A179" s="661"/>
      <c r="B179" s="657" t="s">
        <v>10092</v>
      </c>
      <c r="C179" s="657" t="s">
        <v>10349</v>
      </c>
      <c r="D179" s="663" t="s">
        <v>10440</v>
      </c>
      <c r="E179" s="663" t="s">
        <v>10441</v>
      </c>
      <c r="F179" s="658">
        <v>0.1</v>
      </c>
      <c r="G179" s="658">
        <v>0.02</v>
      </c>
      <c r="H179" s="664">
        <v>71200</v>
      </c>
      <c r="I179" s="664">
        <f t="shared" si="0"/>
        <v>64730</v>
      </c>
      <c r="J179" s="664">
        <f t="shared" si="1"/>
        <v>69780</v>
      </c>
      <c r="K179" s="661"/>
    </row>
    <row r="180" spans="1:11" ht="18.75" customHeight="1">
      <c r="A180" s="661"/>
      <c r="B180" s="657" t="s">
        <v>10092</v>
      </c>
      <c r="C180" s="657" t="s">
        <v>10349</v>
      </c>
      <c r="D180" s="663" t="s">
        <v>10442</v>
      </c>
      <c r="E180" s="663" t="s">
        <v>10443</v>
      </c>
      <c r="F180" s="658">
        <v>0.1</v>
      </c>
      <c r="G180" s="658">
        <v>0.02</v>
      </c>
      <c r="H180" s="664">
        <v>71200</v>
      </c>
      <c r="I180" s="664">
        <f t="shared" si="0"/>
        <v>64730</v>
      </c>
      <c r="J180" s="664">
        <f t="shared" si="1"/>
        <v>69780</v>
      </c>
      <c r="K180" s="661"/>
    </row>
    <row r="181" spans="1:11" ht="18.75" customHeight="1">
      <c r="A181" s="661"/>
      <c r="B181" s="657" t="s">
        <v>10092</v>
      </c>
      <c r="C181" s="657" t="s">
        <v>10349</v>
      </c>
      <c r="D181" s="663" t="s">
        <v>10444</v>
      </c>
      <c r="E181" s="663" t="s">
        <v>10445</v>
      </c>
      <c r="F181" s="658">
        <v>0.1</v>
      </c>
      <c r="G181" s="658">
        <v>0.02</v>
      </c>
      <c r="H181" s="664">
        <v>79900</v>
      </c>
      <c r="I181" s="664">
        <f t="shared" si="0"/>
        <v>72640</v>
      </c>
      <c r="J181" s="664">
        <f t="shared" si="1"/>
        <v>78300</v>
      </c>
      <c r="K181" s="661"/>
    </row>
    <row r="182" spans="1:11" ht="18.75" customHeight="1">
      <c r="A182" s="661"/>
      <c r="B182" s="657" t="s">
        <v>10092</v>
      </c>
      <c r="C182" s="657" t="s">
        <v>10349</v>
      </c>
      <c r="D182" s="663" t="s">
        <v>10446</v>
      </c>
      <c r="E182" s="663" t="s">
        <v>10447</v>
      </c>
      <c r="F182" s="658">
        <v>0.1</v>
      </c>
      <c r="G182" s="658">
        <v>0.02</v>
      </c>
      <c r="H182" s="664">
        <v>79900</v>
      </c>
      <c r="I182" s="664">
        <f t="shared" si="0"/>
        <v>72640</v>
      </c>
      <c r="J182" s="664">
        <f t="shared" si="1"/>
        <v>78300</v>
      </c>
      <c r="K182" s="661"/>
    </row>
    <row r="183" spans="1:11" ht="18.75" customHeight="1">
      <c r="A183" s="661"/>
      <c r="B183" s="657" t="s">
        <v>10092</v>
      </c>
      <c r="C183" s="657" t="s">
        <v>10349</v>
      </c>
      <c r="D183" s="663" t="s">
        <v>10448</v>
      </c>
      <c r="E183" s="663" t="s">
        <v>10449</v>
      </c>
      <c r="F183" s="658">
        <v>0.1</v>
      </c>
      <c r="G183" s="658">
        <v>0.02</v>
      </c>
      <c r="H183" s="664">
        <v>79900</v>
      </c>
      <c r="I183" s="664">
        <f t="shared" si="0"/>
        <v>72640</v>
      </c>
      <c r="J183" s="664">
        <f t="shared" si="1"/>
        <v>78300</v>
      </c>
      <c r="K183" s="661"/>
    </row>
    <row r="184" spans="1:11" ht="18.75" customHeight="1">
      <c r="A184" s="661"/>
      <c r="B184" s="657" t="s">
        <v>10092</v>
      </c>
      <c r="C184" s="657" t="s">
        <v>10349</v>
      </c>
      <c r="D184" s="663" t="s">
        <v>10450</v>
      </c>
      <c r="E184" s="663" t="s">
        <v>10451</v>
      </c>
      <c r="F184" s="658">
        <v>0.1</v>
      </c>
      <c r="G184" s="658">
        <v>0.02</v>
      </c>
      <c r="H184" s="664">
        <v>91400</v>
      </c>
      <c r="I184" s="664">
        <f t="shared" si="0"/>
        <v>83090</v>
      </c>
      <c r="J184" s="664">
        <f t="shared" si="1"/>
        <v>89570</v>
      </c>
      <c r="K184" s="661"/>
    </row>
    <row r="185" spans="1:11" ht="18.75" customHeight="1">
      <c r="A185" s="661"/>
      <c r="B185" s="657" t="s">
        <v>10092</v>
      </c>
      <c r="C185" s="657" t="s">
        <v>10349</v>
      </c>
      <c r="D185" s="663" t="s">
        <v>10452</v>
      </c>
      <c r="E185" s="663" t="s">
        <v>10453</v>
      </c>
      <c r="F185" s="658">
        <v>0.1</v>
      </c>
      <c r="G185" s="658">
        <v>0.02</v>
      </c>
      <c r="H185" s="664">
        <v>91400</v>
      </c>
      <c r="I185" s="664">
        <f t="shared" si="0"/>
        <v>83090</v>
      </c>
      <c r="J185" s="664">
        <f t="shared" si="1"/>
        <v>89570</v>
      </c>
      <c r="K185" s="661"/>
    </row>
    <row r="186" spans="1:11" ht="18.75" customHeight="1">
      <c r="A186" s="661"/>
      <c r="B186" s="657" t="s">
        <v>10092</v>
      </c>
      <c r="C186" s="657" t="s">
        <v>10349</v>
      </c>
      <c r="D186" s="663" t="s">
        <v>10454</v>
      </c>
      <c r="E186" s="663" t="s">
        <v>10455</v>
      </c>
      <c r="F186" s="658">
        <v>0.1</v>
      </c>
      <c r="G186" s="658">
        <v>0.02</v>
      </c>
      <c r="H186" s="664">
        <v>91400</v>
      </c>
      <c r="I186" s="664">
        <f t="shared" si="0"/>
        <v>83090</v>
      </c>
      <c r="J186" s="664">
        <f t="shared" si="1"/>
        <v>89570</v>
      </c>
      <c r="K186" s="661"/>
    </row>
    <row r="187" spans="1:11" ht="18.75" customHeight="1">
      <c r="A187" s="661"/>
      <c r="B187" s="657" t="s">
        <v>10092</v>
      </c>
      <c r="C187" s="657" t="s">
        <v>10349</v>
      </c>
      <c r="D187" s="663" t="s">
        <v>10456</v>
      </c>
      <c r="E187" s="663" t="s">
        <v>10457</v>
      </c>
      <c r="F187" s="658">
        <v>0.1</v>
      </c>
      <c r="G187" s="658">
        <v>0.02</v>
      </c>
      <c r="H187" s="664">
        <v>100900</v>
      </c>
      <c r="I187" s="664">
        <f t="shared" si="0"/>
        <v>91730</v>
      </c>
      <c r="J187" s="664">
        <f t="shared" si="1"/>
        <v>98880</v>
      </c>
      <c r="K187" s="661"/>
    </row>
    <row r="188" spans="1:11" ht="18.75" customHeight="1">
      <c r="A188" s="661"/>
      <c r="B188" s="657" t="s">
        <v>10092</v>
      </c>
      <c r="C188" s="657" t="s">
        <v>10349</v>
      </c>
      <c r="D188" s="663" t="s">
        <v>10458</v>
      </c>
      <c r="E188" s="663" t="s">
        <v>10459</v>
      </c>
      <c r="F188" s="658">
        <v>0.1</v>
      </c>
      <c r="G188" s="658">
        <v>0.02</v>
      </c>
      <c r="H188" s="664">
        <v>100900</v>
      </c>
      <c r="I188" s="664">
        <f t="shared" si="0"/>
        <v>91730</v>
      </c>
      <c r="J188" s="664">
        <f t="shared" si="1"/>
        <v>98880</v>
      </c>
      <c r="K188" s="661"/>
    </row>
    <row r="189" spans="1:11" ht="18.75" customHeight="1">
      <c r="A189" s="661"/>
      <c r="B189" s="657" t="s">
        <v>10092</v>
      </c>
      <c r="C189" s="657" t="s">
        <v>10349</v>
      </c>
      <c r="D189" s="663" t="s">
        <v>10460</v>
      </c>
      <c r="E189" s="663" t="s">
        <v>10461</v>
      </c>
      <c r="F189" s="658">
        <v>0.1</v>
      </c>
      <c r="G189" s="658">
        <v>0.02</v>
      </c>
      <c r="H189" s="664">
        <v>100900</v>
      </c>
      <c r="I189" s="664">
        <f t="shared" si="0"/>
        <v>91730</v>
      </c>
      <c r="J189" s="664">
        <f t="shared" si="1"/>
        <v>98880</v>
      </c>
      <c r="K189" s="661"/>
    </row>
    <row r="190" spans="1:11" ht="18.75" customHeight="1">
      <c r="A190" s="661"/>
      <c r="B190" s="657" t="s">
        <v>10092</v>
      </c>
      <c r="C190" s="657" t="s">
        <v>10349</v>
      </c>
      <c r="D190" s="663" t="s">
        <v>10462</v>
      </c>
      <c r="E190" s="663" t="s">
        <v>10463</v>
      </c>
      <c r="F190" s="658">
        <v>0.1</v>
      </c>
      <c r="G190" s="658">
        <v>0.02</v>
      </c>
      <c r="H190" s="664">
        <v>114700</v>
      </c>
      <c r="I190" s="664">
        <f t="shared" si="0"/>
        <v>104270</v>
      </c>
      <c r="J190" s="664">
        <f t="shared" si="1"/>
        <v>112410</v>
      </c>
      <c r="K190" s="661"/>
    </row>
    <row r="191" spans="1:11" ht="18.75" customHeight="1">
      <c r="A191" s="661"/>
      <c r="B191" s="657" t="s">
        <v>10092</v>
      </c>
      <c r="C191" s="657" t="s">
        <v>10349</v>
      </c>
      <c r="D191" s="663" t="s">
        <v>10464</v>
      </c>
      <c r="E191" s="663" t="s">
        <v>10465</v>
      </c>
      <c r="F191" s="658">
        <v>0.1</v>
      </c>
      <c r="G191" s="658">
        <v>0.02</v>
      </c>
      <c r="H191" s="664">
        <v>119000</v>
      </c>
      <c r="I191" s="664">
        <f t="shared" si="0"/>
        <v>108180</v>
      </c>
      <c r="J191" s="664">
        <f t="shared" si="1"/>
        <v>116620</v>
      </c>
      <c r="K191" s="661"/>
    </row>
    <row r="192" spans="1:11" ht="18.75" customHeight="1">
      <c r="A192" s="661"/>
      <c r="B192" s="657" t="s">
        <v>10092</v>
      </c>
      <c r="C192" s="657" t="s">
        <v>10349</v>
      </c>
      <c r="D192" s="663" t="s">
        <v>10466</v>
      </c>
      <c r="E192" s="663" t="s">
        <v>10467</v>
      </c>
      <c r="F192" s="658">
        <v>0.1</v>
      </c>
      <c r="G192" s="658">
        <v>0.02</v>
      </c>
      <c r="H192" s="664">
        <v>119000</v>
      </c>
      <c r="I192" s="664">
        <f t="shared" si="0"/>
        <v>108180</v>
      </c>
      <c r="J192" s="664">
        <f t="shared" si="1"/>
        <v>116620</v>
      </c>
      <c r="K192" s="661"/>
    </row>
    <row r="193" spans="1:11" ht="18.75" customHeight="1">
      <c r="A193" s="661"/>
      <c r="B193" s="657" t="s">
        <v>10092</v>
      </c>
      <c r="C193" s="657" t="s">
        <v>10349</v>
      </c>
      <c r="D193" s="663" t="s">
        <v>10468</v>
      </c>
      <c r="E193" s="663" t="s">
        <v>10469</v>
      </c>
      <c r="F193" s="658">
        <v>0.1</v>
      </c>
      <c r="G193" s="658">
        <v>0.02</v>
      </c>
      <c r="H193" s="664">
        <v>119000</v>
      </c>
      <c r="I193" s="664">
        <f t="shared" si="0"/>
        <v>108180</v>
      </c>
      <c r="J193" s="664">
        <f t="shared" si="1"/>
        <v>116620</v>
      </c>
      <c r="K193" s="661"/>
    </row>
    <row r="194" spans="1:11" ht="18.75" customHeight="1">
      <c r="A194" s="661"/>
      <c r="B194" s="657" t="s">
        <v>10092</v>
      </c>
      <c r="C194" s="657" t="s">
        <v>10349</v>
      </c>
      <c r="D194" s="663" t="s">
        <v>10470</v>
      </c>
      <c r="E194" s="663" t="s">
        <v>10471</v>
      </c>
      <c r="F194" s="658">
        <v>0.1</v>
      </c>
      <c r="G194" s="658">
        <v>0.02</v>
      </c>
      <c r="H194" s="664">
        <v>132800</v>
      </c>
      <c r="I194" s="664">
        <f t="shared" si="0"/>
        <v>120730</v>
      </c>
      <c r="J194" s="664">
        <f t="shared" si="1"/>
        <v>130140</v>
      </c>
      <c r="K194" s="661"/>
    </row>
    <row r="195" spans="1:11" ht="18.75" customHeight="1">
      <c r="A195" s="661"/>
      <c r="B195" s="657" t="s">
        <v>10092</v>
      </c>
      <c r="C195" s="657" t="s">
        <v>10349</v>
      </c>
      <c r="D195" s="663" t="s">
        <v>10472</v>
      </c>
      <c r="E195" s="663" t="s">
        <v>10473</v>
      </c>
      <c r="F195" s="658">
        <v>0.1</v>
      </c>
      <c r="G195" s="658">
        <v>0.02</v>
      </c>
      <c r="H195" s="664">
        <v>137900</v>
      </c>
      <c r="I195" s="664">
        <f t="shared" si="0"/>
        <v>125360</v>
      </c>
      <c r="J195" s="664">
        <f t="shared" si="1"/>
        <v>135140</v>
      </c>
      <c r="K195" s="661"/>
    </row>
    <row r="196" spans="1:11" ht="18.75" customHeight="1">
      <c r="A196" s="661"/>
      <c r="B196" s="657" t="s">
        <v>10092</v>
      </c>
      <c r="C196" s="657" t="s">
        <v>10349</v>
      </c>
      <c r="D196" s="663" t="s">
        <v>10474</v>
      </c>
      <c r="E196" s="663" t="s">
        <v>10475</v>
      </c>
      <c r="F196" s="658">
        <v>0.1</v>
      </c>
      <c r="G196" s="658">
        <v>0.02</v>
      </c>
      <c r="H196" s="664">
        <v>137900</v>
      </c>
      <c r="I196" s="664">
        <f t="shared" si="0"/>
        <v>125360</v>
      </c>
      <c r="J196" s="664">
        <f t="shared" si="1"/>
        <v>135140</v>
      </c>
      <c r="K196" s="661"/>
    </row>
    <row r="197" spans="1:11" ht="18.75" customHeight="1">
      <c r="A197" s="661"/>
      <c r="B197" s="657" t="s">
        <v>10092</v>
      </c>
      <c r="C197" s="657" t="s">
        <v>10349</v>
      </c>
      <c r="D197" s="663" t="s">
        <v>10476</v>
      </c>
      <c r="E197" s="663" t="s">
        <v>10477</v>
      </c>
      <c r="F197" s="658">
        <v>0.1</v>
      </c>
      <c r="G197" s="658">
        <v>0.02</v>
      </c>
      <c r="H197" s="664">
        <v>137900</v>
      </c>
      <c r="I197" s="664">
        <f t="shared" si="0"/>
        <v>125360</v>
      </c>
      <c r="J197" s="664">
        <f t="shared" si="1"/>
        <v>135140</v>
      </c>
      <c r="K197" s="661"/>
    </row>
    <row r="198" spans="1:11" ht="18.75" customHeight="1">
      <c r="A198" s="661"/>
      <c r="B198" s="657" t="s">
        <v>10092</v>
      </c>
      <c r="C198" s="657" t="s">
        <v>10349</v>
      </c>
      <c r="D198" s="663" t="s">
        <v>10478</v>
      </c>
      <c r="E198" s="663" t="s">
        <v>10479</v>
      </c>
      <c r="F198" s="658">
        <v>0.1</v>
      </c>
      <c r="G198" s="658">
        <v>0.02</v>
      </c>
      <c r="H198" s="664">
        <v>159000</v>
      </c>
      <c r="I198" s="664">
        <f t="shared" si="0"/>
        <v>144550</v>
      </c>
      <c r="J198" s="664">
        <f t="shared" si="1"/>
        <v>155820</v>
      </c>
      <c r="K198" s="661"/>
    </row>
    <row r="199" spans="1:11" ht="18.75" customHeight="1">
      <c r="A199" s="661"/>
      <c r="B199" s="657" t="s">
        <v>10092</v>
      </c>
      <c r="C199" s="657" t="s">
        <v>10349</v>
      </c>
      <c r="D199" s="663" t="s">
        <v>10480</v>
      </c>
      <c r="E199" s="663" t="s">
        <v>10481</v>
      </c>
      <c r="F199" s="658">
        <v>0.1</v>
      </c>
      <c r="G199" s="658">
        <v>0.02</v>
      </c>
      <c r="H199" s="664">
        <v>159000</v>
      </c>
      <c r="I199" s="664">
        <f t="shared" si="0"/>
        <v>144550</v>
      </c>
      <c r="J199" s="664">
        <f t="shared" si="1"/>
        <v>155820</v>
      </c>
      <c r="K199" s="661"/>
    </row>
    <row r="200" spans="1:11" ht="18.75" customHeight="1">
      <c r="A200" s="661"/>
      <c r="B200" s="657" t="s">
        <v>10092</v>
      </c>
      <c r="C200" s="657" t="s">
        <v>10349</v>
      </c>
      <c r="D200" s="663" t="s">
        <v>10482</v>
      </c>
      <c r="E200" s="663" t="s">
        <v>10483</v>
      </c>
      <c r="F200" s="658">
        <v>0.1</v>
      </c>
      <c r="G200" s="658">
        <v>0.02</v>
      </c>
      <c r="H200" s="664">
        <v>159000</v>
      </c>
      <c r="I200" s="664">
        <f t="shared" si="0"/>
        <v>144550</v>
      </c>
      <c r="J200" s="664">
        <f t="shared" si="1"/>
        <v>155820</v>
      </c>
      <c r="K200" s="661"/>
    </row>
    <row r="201" spans="1:11" ht="18.75" customHeight="1">
      <c r="A201" s="661"/>
      <c r="B201" s="657" t="s">
        <v>10092</v>
      </c>
      <c r="C201" s="657" t="s">
        <v>10349</v>
      </c>
      <c r="D201" s="663" t="s">
        <v>10484</v>
      </c>
      <c r="E201" s="663" t="s">
        <v>10485</v>
      </c>
      <c r="F201" s="658">
        <v>0.1</v>
      </c>
      <c r="G201" s="658">
        <v>0.02</v>
      </c>
      <c r="H201" s="664">
        <v>195300</v>
      </c>
      <c r="I201" s="664">
        <f t="shared" si="0"/>
        <v>177550</v>
      </c>
      <c r="J201" s="664">
        <f t="shared" si="1"/>
        <v>191390</v>
      </c>
      <c r="K201" s="661"/>
    </row>
    <row r="202" spans="1:11" ht="18.75" customHeight="1">
      <c r="A202" s="661"/>
      <c r="B202" s="657" t="s">
        <v>10092</v>
      </c>
      <c r="C202" s="657" t="s">
        <v>10349</v>
      </c>
      <c r="D202" s="663" t="s">
        <v>10486</v>
      </c>
      <c r="E202" s="663" t="s">
        <v>10487</v>
      </c>
      <c r="F202" s="658">
        <v>0.1</v>
      </c>
      <c r="G202" s="658">
        <v>0.02</v>
      </c>
      <c r="H202" s="664">
        <v>195300</v>
      </c>
      <c r="I202" s="664">
        <f t="shared" si="0"/>
        <v>177550</v>
      </c>
      <c r="J202" s="664">
        <f t="shared" si="1"/>
        <v>191390</v>
      </c>
      <c r="K202" s="661"/>
    </row>
    <row r="203" spans="1:11" ht="18.75" customHeight="1">
      <c r="A203" s="661"/>
      <c r="B203" s="657" t="s">
        <v>10092</v>
      </c>
      <c r="C203" s="657" t="s">
        <v>10349</v>
      </c>
      <c r="D203" s="663" t="s">
        <v>10488</v>
      </c>
      <c r="E203" s="663" t="s">
        <v>10489</v>
      </c>
      <c r="F203" s="658">
        <v>0.1</v>
      </c>
      <c r="G203" s="658">
        <v>0.02</v>
      </c>
      <c r="H203" s="664">
        <v>195300</v>
      </c>
      <c r="I203" s="664">
        <f t="shared" si="0"/>
        <v>177550</v>
      </c>
      <c r="J203" s="664">
        <f t="shared" si="1"/>
        <v>191390</v>
      </c>
      <c r="K203" s="661"/>
    </row>
    <row r="204" spans="1:11" ht="18.75" customHeight="1">
      <c r="A204" s="661"/>
      <c r="B204" s="657" t="s">
        <v>10092</v>
      </c>
      <c r="C204" s="657" t="s">
        <v>10349</v>
      </c>
      <c r="D204" s="663" t="s">
        <v>10490</v>
      </c>
      <c r="E204" s="663" t="s">
        <v>10491</v>
      </c>
      <c r="F204" s="658">
        <v>0.1</v>
      </c>
      <c r="G204" s="658">
        <v>0.02</v>
      </c>
      <c r="H204" s="663"/>
      <c r="I204" s="664">
        <f t="shared" si="0"/>
        <v>0</v>
      </c>
      <c r="J204" s="664">
        <f t="shared" si="1"/>
        <v>0</v>
      </c>
      <c r="K204" s="661"/>
    </row>
    <row r="205" spans="1:11" ht="18.75" customHeight="1">
      <c r="A205" s="661"/>
      <c r="B205" s="657" t="s">
        <v>10092</v>
      </c>
      <c r="C205" s="657" t="s">
        <v>10349</v>
      </c>
      <c r="D205" s="663" t="s">
        <v>10492</v>
      </c>
      <c r="E205" s="663" t="s">
        <v>10493</v>
      </c>
      <c r="F205" s="658">
        <v>0.1</v>
      </c>
      <c r="G205" s="658">
        <v>0.02</v>
      </c>
      <c r="H205" s="663"/>
      <c r="I205" s="664">
        <f t="shared" si="0"/>
        <v>0</v>
      </c>
      <c r="J205" s="664">
        <f t="shared" si="1"/>
        <v>0</v>
      </c>
      <c r="K205" s="661"/>
    </row>
    <row r="206" spans="1:11" ht="18.75" customHeight="1">
      <c r="A206" s="661"/>
      <c r="B206" s="657" t="s">
        <v>10092</v>
      </c>
      <c r="C206" s="657" t="s">
        <v>10349</v>
      </c>
      <c r="D206" s="663" t="s">
        <v>10494</v>
      </c>
      <c r="E206" s="663" t="s">
        <v>10495</v>
      </c>
      <c r="F206" s="658">
        <v>0.1</v>
      </c>
      <c r="G206" s="658">
        <v>0.02</v>
      </c>
      <c r="H206" s="664">
        <v>234400</v>
      </c>
      <c r="I206" s="664">
        <f t="shared" si="0"/>
        <v>213090</v>
      </c>
      <c r="J206" s="664">
        <f t="shared" si="1"/>
        <v>229710</v>
      </c>
      <c r="K206" s="661"/>
    </row>
    <row r="207" spans="1:11" ht="18.75" customHeight="1">
      <c r="A207" s="661"/>
      <c r="B207" s="657" t="s">
        <v>10092</v>
      </c>
      <c r="C207" s="657" t="s">
        <v>10349</v>
      </c>
      <c r="D207" s="663" t="s">
        <v>10496</v>
      </c>
      <c r="E207" s="663" t="s">
        <v>10497</v>
      </c>
      <c r="F207" s="658">
        <v>0.1</v>
      </c>
      <c r="G207" s="658">
        <v>0.02</v>
      </c>
      <c r="H207" s="664">
        <v>234400</v>
      </c>
      <c r="I207" s="664">
        <f t="shared" si="0"/>
        <v>213090</v>
      </c>
      <c r="J207" s="664">
        <f t="shared" si="1"/>
        <v>229710</v>
      </c>
      <c r="K207" s="661"/>
    </row>
    <row r="208" spans="1:11" ht="18.75" customHeight="1">
      <c r="A208" s="661"/>
      <c r="B208" s="657" t="s">
        <v>10092</v>
      </c>
      <c r="C208" s="657" t="s">
        <v>10349</v>
      </c>
      <c r="D208" s="663" t="s">
        <v>10498</v>
      </c>
      <c r="E208" s="663" t="s">
        <v>10499</v>
      </c>
      <c r="F208" s="658">
        <v>0.1</v>
      </c>
      <c r="G208" s="658">
        <v>0.02</v>
      </c>
      <c r="H208" s="664">
        <v>234400</v>
      </c>
      <c r="I208" s="664">
        <f t="shared" si="0"/>
        <v>213090</v>
      </c>
      <c r="J208" s="664">
        <f t="shared" si="1"/>
        <v>229710</v>
      </c>
      <c r="K208" s="661"/>
    </row>
    <row r="209" spans="1:11" ht="18.75" customHeight="1">
      <c r="A209" s="661"/>
      <c r="B209" s="657" t="s">
        <v>10092</v>
      </c>
      <c r="C209" s="657" t="s">
        <v>10349</v>
      </c>
      <c r="D209" s="663" t="s">
        <v>10500</v>
      </c>
      <c r="E209" s="663" t="s">
        <v>10501</v>
      </c>
      <c r="F209" s="658">
        <v>0.1</v>
      </c>
      <c r="G209" s="658">
        <v>0.02</v>
      </c>
      <c r="H209" s="664">
        <v>234400</v>
      </c>
      <c r="I209" s="664">
        <f t="shared" si="0"/>
        <v>213090</v>
      </c>
      <c r="J209" s="664">
        <f t="shared" si="1"/>
        <v>229710</v>
      </c>
      <c r="K209" s="661"/>
    </row>
    <row r="210" spans="1:11" ht="18.75" customHeight="1">
      <c r="A210" s="661"/>
      <c r="B210" s="657" t="s">
        <v>10092</v>
      </c>
      <c r="C210" s="657" t="s">
        <v>10349</v>
      </c>
      <c r="D210" s="663" t="s">
        <v>10502</v>
      </c>
      <c r="E210" s="663" t="s">
        <v>10503</v>
      </c>
      <c r="F210" s="658">
        <v>0.1</v>
      </c>
      <c r="G210" s="658">
        <v>0.02</v>
      </c>
      <c r="H210" s="664">
        <v>272100</v>
      </c>
      <c r="I210" s="664">
        <f t="shared" si="0"/>
        <v>247360</v>
      </c>
      <c r="J210" s="664">
        <f t="shared" si="1"/>
        <v>266660</v>
      </c>
      <c r="K210" s="661"/>
    </row>
    <row r="211" spans="1:11" ht="18.75" customHeight="1">
      <c r="A211" s="661"/>
      <c r="B211" s="657" t="s">
        <v>10092</v>
      </c>
      <c r="C211" s="657" t="s">
        <v>10349</v>
      </c>
      <c r="D211" s="663" t="s">
        <v>10504</v>
      </c>
      <c r="E211" s="663" t="s">
        <v>10505</v>
      </c>
      <c r="F211" s="658">
        <v>0.1</v>
      </c>
      <c r="G211" s="658">
        <v>0.02</v>
      </c>
      <c r="H211" s="664">
        <v>272100</v>
      </c>
      <c r="I211" s="664">
        <f t="shared" si="0"/>
        <v>247360</v>
      </c>
      <c r="J211" s="664">
        <f t="shared" si="1"/>
        <v>266660</v>
      </c>
      <c r="K211" s="661"/>
    </row>
    <row r="212" spans="1:11" ht="18.75" customHeight="1">
      <c r="A212" s="661"/>
      <c r="B212" s="657" t="s">
        <v>10092</v>
      </c>
      <c r="C212" s="657" t="s">
        <v>10349</v>
      </c>
      <c r="D212" s="663" t="s">
        <v>10506</v>
      </c>
      <c r="E212" s="663" t="s">
        <v>10507</v>
      </c>
      <c r="F212" s="658">
        <v>0.1</v>
      </c>
      <c r="G212" s="658">
        <v>0.02</v>
      </c>
      <c r="H212" s="664">
        <v>272100</v>
      </c>
      <c r="I212" s="664">
        <f t="shared" si="0"/>
        <v>247360</v>
      </c>
      <c r="J212" s="664">
        <f t="shared" si="1"/>
        <v>266660</v>
      </c>
      <c r="K212" s="661"/>
    </row>
    <row r="213" spans="1:11" ht="18.75" customHeight="1">
      <c r="A213" s="661"/>
      <c r="B213" s="657" t="s">
        <v>10092</v>
      </c>
      <c r="C213" s="657" t="s">
        <v>10349</v>
      </c>
      <c r="D213" s="663" t="s">
        <v>10508</v>
      </c>
      <c r="E213" s="663" t="s">
        <v>10509</v>
      </c>
      <c r="F213" s="658">
        <v>0.1</v>
      </c>
      <c r="G213" s="658">
        <v>0.02</v>
      </c>
      <c r="H213" s="663"/>
      <c r="I213" s="664">
        <f t="shared" si="0"/>
        <v>0</v>
      </c>
      <c r="J213" s="664">
        <f t="shared" si="1"/>
        <v>0</v>
      </c>
      <c r="K213" s="661"/>
    </row>
    <row r="214" spans="1:11" ht="18.75" customHeight="1">
      <c r="A214" s="661"/>
      <c r="B214" s="657" t="s">
        <v>10092</v>
      </c>
      <c r="C214" s="657" t="s">
        <v>10349</v>
      </c>
      <c r="D214" s="663" t="s">
        <v>10510</v>
      </c>
      <c r="E214" s="663" t="s">
        <v>10511</v>
      </c>
      <c r="F214" s="658">
        <v>0.1</v>
      </c>
      <c r="G214" s="658">
        <v>0.02</v>
      </c>
      <c r="H214" s="663"/>
      <c r="I214" s="664">
        <f t="shared" si="0"/>
        <v>0</v>
      </c>
      <c r="J214" s="664">
        <f t="shared" si="1"/>
        <v>0</v>
      </c>
      <c r="K214" s="661"/>
    </row>
    <row r="215" spans="1:11" ht="18.75" customHeight="1">
      <c r="A215" s="661"/>
      <c r="B215" s="657" t="s">
        <v>10092</v>
      </c>
      <c r="C215" s="657" t="s">
        <v>10349</v>
      </c>
      <c r="D215" s="663" t="s">
        <v>10512</v>
      </c>
      <c r="E215" s="663" t="s">
        <v>10513</v>
      </c>
      <c r="F215" s="658">
        <v>0.1</v>
      </c>
      <c r="G215" s="658">
        <v>0.02</v>
      </c>
      <c r="H215" s="663"/>
      <c r="I215" s="664">
        <f t="shared" si="0"/>
        <v>0</v>
      </c>
      <c r="J215" s="664">
        <f t="shared" si="1"/>
        <v>0</v>
      </c>
      <c r="K215" s="661"/>
    </row>
    <row r="216" spans="1:11" ht="18.75" customHeight="1">
      <c r="A216" s="661"/>
      <c r="B216" s="657" t="s">
        <v>10092</v>
      </c>
      <c r="C216" s="657" t="s">
        <v>10349</v>
      </c>
      <c r="D216" s="663" t="s">
        <v>10514</v>
      </c>
      <c r="E216" s="663" t="s">
        <v>10515</v>
      </c>
      <c r="F216" s="658">
        <v>0.1</v>
      </c>
      <c r="G216" s="658">
        <v>0.02</v>
      </c>
      <c r="H216" s="663"/>
      <c r="I216" s="664">
        <f t="shared" si="0"/>
        <v>0</v>
      </c>
      <c r="J216" s="664">
        <f t="shared" si="1"/>
        <v>0</v>
      </c>
      <c r="K216" s="661"/>
    </row>
    <row r="217" spans="1:11" ht="18.75" customHeight="1">
      <c r="A217" s="661"/>
      <c r="B217" s="657" t="s">
        <v>10092</v>
      </c>
      <c r="C217" s="657" t="s">
        <v>10349</v>
      </c>
      <c r="D217" s="663" t="s">
        <v>10516</v>
      </c>
      <c r="E217" s="663" t="s">
        <v>10517</v>
      </c>
      <c r="F217" s="658">
        <v>0.1</v>
      </c>
      <c r="G217" s="658">
        <v>0.02</v>
      </c>
      <c r="H217" s="663"/>
      <c r="I217" s="664">
        <f t="shared" si="0"/>
        <v>0</v>
      </c>
      <c r="J217" s="664">
        <f t="shared" si="1"/>
        <v>0</v>
      </c>
      <c r="K217" s="661"/>
    </row>
    <row r="218" spans="1:11" ht="18.75" customHeight="1">
      <c r="A218" s="661"/>
      <c r="B218" s="657" t="s">
        <v>10092</v>
      </c>
      <c r="C218" s="657" t="s">
        <v>10349</v>
      </c>
      <c r="D218" s="663" t="s">
        <v>10518</v>
      </c>
      <c r="E218" s="663" t="s">
        <v>10519</v>
      </c>
      <c r="F218" s="658">
        <v>0.1</v>
      </c>
      <c r="G218" s="658">
        <v>0.02</v>
      </c>
      <c r="H218" s="664">
        <v>344700</v>
      </c>
      <c r="I218" s="664">
        <f t="shared" si="0"/>
        <v>313360</v>
      </c>
      <c r="J218" s="664">
        <f t="shared" si="1"/>
        <v>337810</v>
      </c>
      <c r="K218" s="661"/>
    </row>
    <row r="219" spans="1:11" ht="18.75" customHeight="1">
      <c r="A219" s="661"/>
      <c r="B219" s="657" t="s">
        <v>10092</v>
      </c>
      <c r="C219" s="657" t="s">
        <v>10349</v>
      </c>
      <c r="D219" s="663" t="s">
        <v>10520</v>
      </c>
      <c r="E219" s="663" t="s">
        <v>10521</v>
      </c>
      <c r="F219" s="658">
        <v>0.1</v>
      </c>
      <c r="G219" s="658">
        <v>0.02</v>
      </c>
      <c r="H219" s="664">
        <v>89800</v>
      </c>
      <c r="I219" s="664">
        <f t="shared" si="0"/>
        <v>81640</v>
      </c>
      <c r="J219" s="664">
        <f t="shared" si="1"/>
        <v>88000</v>
      </c>
      <c r="K219" s="661"/>
    </row>
    <row r="220" spans="1:11" ht="18.75" customHeight="1">
      <c r="A220" s="661"/>
      <c r="B220" s="657" t="s">
        <v>10092</v>
      </c>
      <c r="C220" s="657" t="s">
        <v>10349</v>
      </c>
      <c r="D220" s="663" t="s">
        <v>10522</v>
      </c>
      <c r="E220" s="663" t="s">
        <v>10523</v>
      </c>
      <c r="F220" s="658">
        <v>0.1</v>
      </c>
      <c r="G220" s="658">
        <v>0.02</v>
      </c>
      <c r="H220" s="663"/>
      <c r="I220" s="664">
        <f t="shared" si="0"/>
        <v>0</v>
      </c>
      <c r="J220" s="664">
        <f t="shared" si="1"/>
        <v>0</v>
      </c>
      <c r="K220" s="661"/>
    </row>
    <row r="221" spans="1:11" ht="18.75" customHeight="1">
      <c r="A221" s="661"/>
      <c r="B221" s="657" t="s">
        <v>10092</v>
      </c>
      <c r="C221" s="657" t="s">
        <v>10349</v>
      </c>
      <c r="D221" s="663" t="s">
        <v>10524</v>
      </c>
      <c r="E221" s="663" t="s">
        <v>10525</v>
      </c>
      <c r="F221" s="658">
        <v>0.1</v>
      </c>
      <c r="G221" s="658">
        <v>0.02</v>
      </c>
      <c r="H221" s="664">
        <v>255500</v>
      </c>
      <c r="I221" s="664">
        <f t="shared" si="0"/>
        <v>232270</v>
      </c>
      <c r="J221" s="664">
        <f t="shared" si="1"/>
        <v>250390</v>
      </c>
      <c r="K221" s="661"/>
    </row>
    <row r="222" spans="1:11" ht="18.75" customHeight="1">
      <c r="A222" s="661"/>
      <c r="B222" s="657" t="s">
        <v>10092</v>
      </c>
      <c r="C222" s="657" t="s">
        <v>10349</v>
      </c>
      <c r="D222" s="663" t="s">
        <v>10526</v>
      </c>
      <c r="E222" s="663" t="s">
        <v>10527</v>
      </c>
      <c r="F222" s="658">
        <v>0.1</v>
      </c>
      <c r="G222" s="658">
        <v>0.02</v>
      </c>
      <c r="H222" s="664">
        <v>132400</v>
      </c>
      <c r="I222" s="664">
        <f t="shared" si="0"/>
        <v>120360</v>
      </c>
      <c r="J222" s="664">
        <f t="shared" si="1"/>
        <v>129750</v>
      </c>
      <c r="K222" s="661"/>
    </row>
    <row r="223" spans="1:11" ht="18.75" customHeight="1">
      <c r="A223" s="661"/>
      <c r="B223" s="657" t="s">
        <v>10092</v>
      </c>
      <c r="C223" s="657" t="s">
        <v>10349</v>
      </c>
      <c r="D223" s="663" t="s">
        <v>10528</v>
      </c>
      <c r="E223" s="663" t="s">
        <v>10529</v>
      </c>
      <c r="F223" s="658">
        <v>0.1</v>
      </c>
      <c r="G223" s="658">
        <v>0.02</v>
      </c>
      <c r="H223" s="664">
        <v>162600</v>
      </c>
      <c r="I223" s="664">
        <f t="shared" si="0"/>
        <v>147820</v>
      </c>
      <c r="J223" s="664">
        <f t="shared" si="1"/>
        <v>159350</v>
      </c>
      <c r="K223" s="661"/>
    </row>
    <row r="224" spans="1:11" ht="18.75" customHeight="1">
      <c r="A224" s="661"/>
      <c r="B224" s="657" t="s">
        <v>10092</v>
      </c>
      <c r="C224" s="657" t="s">
        <v>10349</v>
      </c>
      <c r="D224" s="663" t="s">
        <v>10530</v>
      </c>
      <c r="E224" s="663" t="s">
        <v>10531</v>
      </c>
      <c r="F224" s="658">
        <v>0.1</v>
      </c>
      <c r="G224" s="658">
        <v>0.02</v>
      </c>
      <c r="H224" s="664">
        <v>196200</v>
      </c>
      <c r="I224" s="664">
        <f t="shared" si="0"/>
        <v>178360</v>
      </c>
      <c r="J224" s="664">
        <f t="shared" si="1"/>
        <v>192280</v>
      </c>
      <c r="K224" s="661"/>
    </row>
    <row r="225" spans="1:11" ht="18.75" customHeight="1">
      <c r="A225" s="661"/>
      <c r="B225" s="657" t="s">
        <v>10092</v>
      </c>
      <c r="C225" s="657" t="s">
        <v>10349</v>
      </c>
      <c r="D225" s="663" t="s">
        <v>10532</v>
      </c>
      <c r="E225" s="663" t="s">
        <v>10533</v>
      </c>
      <c r="F225" s="658">
        <v>0.1</v>
      </c>
      <c r="G225" s="658">
        <v>0.02</v>
      </c>
      <c r="H225" s="664">
        <v>225300</v>
      </c>
      <c r="I225" s="664">
        <f t="shared" si="0"/>
        <v>204820</v>
      </c>
      <c r="J225" s="664">
        <f t="shared" si="1"/>
        <v>220790</v>
      </c>
      <c r="K225" s="661"/>
    </row>
    <row r="226" spans="1:11" ht="18.75" customHeight="1">
      <c r="A226" s="661"/>
      <c r="B226" s="657" t="s">
        <v>10092</v>
      </c>
      <c r="C226" s="657" t="s">
        <v>10349</v>
      </c>
      <c r="D226" s="663" t="s">
        <v>10534</v>
      </c>
      <c r="E226" s="663" t="s">
        <v>10535</v>
      </c>
      <c r="F226" s="658">
        <v>0.1</v>
      </c>
      <c r="G226" s="658">
        <v>0.02</v>
      </c>
      <c r="H226" s="664">
        <v>289200</v>
      </c>
      <c r="I226" s="664">
        <f t="shared" si="0"/>
        <v>262910</v>
      </c>
      <c r="J226" s="664">
        <f t="shared" si="1"/>
        <v>283420</v>
      </c>
      <c r="K226" s="661"/>
    </row>
    <row r="227" spans="1:11" ht="18.75" customHeight="1">
      <c r="A227" s="661"/>
      <c r="B227" s="657" t="s">
        <v>10092</v>
      </c>
      <c r="C227" s="657" t="s">
        <v>10349</v>
      </c>
      <c r="D227" s="663" t="s">
        <v>10536</v>
      </c>
      <c r="E227" s="663" t="s">
        <v>10537</v>
      </c>
      <c r="F227" s="658">
        <v>0.1</v>
      </c>
      <c r="G227" s="658">
        <v>0.02</v>
      </c>
      <c r="H227" s="664">
        <v>347300</v>
      </c>
      <c r="I227" s="664">
        <f t="shared" si="0"/>
        <v>315730</v>
      </c>
      <c r="J227" s="664">
        <f t="shared" si="1"/>
        <v>340350</v>
      </c>
      <c r="K227" s="661"/>
    </row>
    <row r="228" spans="1:11" ht="18.75" customHeight="1">
      <c r="A228" s="661"/>
      <c r="B228" s="657" t="s">
        <v>10092</v>
      </c>
      <c r="C228" s="657" t="s">
        <v>10349</v>
      </c>
      <c r="D228" s="663" t="s">
        <v>10538</v>
      </c>
      <c r="E228" s="663" t="s">
        <v>10539</v>
      </c>
      <c r="F228" s="658">
        <v>0.1</v>
      </c>
      <c r="G228" s="658">
        <v>0.02</v>
      </c>
      <c r="H228" s="664">
        <v>410000</v>
      </c>
      <c r="I228" s="664">
        <f t="shared" si="0"/>
        <v>372730</v>
      </c>
      <c r="J228" s="664">
        <f t="shared" si="1"/>
        <v>401800</v>
      </c>
      <c r="K228" s="661"/>
    </row>
    <row r="229" spans="1:11" ht="18.75" customHeight="1">
      <c r="A229" s="661"/>
      <c r="B229" s="657" t="s">
        <v>10092</v>
      </c>
      <c r="C229" s="657" t="s">
        <v>10349</v>
      </c>
      <c r="D229" s="663" t="s">
        <v>10540</v>
      </c>
      <c r="E229" s="663" t="s">
        <v>10541</v>
      </c>
      <c r="F229" s="658">
        <v>0.1</v>
      </c>
      <c r="G229" s="658">
        <v>0.02</v>
      </c>
      <c r="H229" s="664">
        <v>470400</v>
      </c>
      <c r="I229" s="664">
        <f t="shared" si="0"/>
        <v>427640</v>
      </c>
      <c r="J229" s="664">
        <f t="shared" si="1"/>
        <v>460990</v>
      </c>
      <c r="K229" s="661"/>
    </row>
    <row r="230" spans="1:11" ht="18.75" customHeight="1">
      <c r="A230" s="661"/>
      <c r="B230" s="657" t="s">
        <v>10092</v>
      </c>
      <c r="C230" s="657" t="s">
        <v>10349</v>
      </c>
      <c r="D230" s="663" t="s">
        <v>10542</v>
      </c>
      <c r="E230" s="663" t="s">
        <v>10543</v>
      </c>
      <c r="F230" s="658">
        <v>0.1</v>
      </c>
      <c r="G230" s="658">
        <v>0.02</v>
      </c>
      <c r="H230" s="664">
        <v>586400</v>
      </c>
      <c r="I230" s="664">
        <f t="shared" si="0"/>
        <v>533090</v>
      </c>
      <c r="J230" s="664">
        <f t="shared" si="1"/>
        <v>574670</v>
      </c>
      <c r="K230" s="661"/>
    </row>
    <row r="231" spans="1:11" ht="18.75" customHeight="1">
      <c r="A231" s="661"/>
      <c r="B231" s="657" t="s">
        <v>10092</v>
      </c>
      <c r="C231" s="657" t="s">
        <v>10544</v>
      </c>
      <c r="D231" s="663" t="s">
        <v>10545</v>
      </c>
      <c r="E231" s="663" t="s">
        <v>10546</v>
      </c>
      <c r="F231" s="658">
        <v>0.1</v>
      </c>
      <c r="G231" s="658">
        <v>0.02</v>
      </c>
      <c r="H231" s="663"/>
      <c r="I231" s="664">
        <f t="shared" si="0"/>
        <v>0</v>
      </c>
      <c r="J231" s="664">
        <f t="shared" si="1"/>
        <v>0</v>
      </c>
      <c r="K231" s="661"/>
    </row>
    <row r="232" spans="1:11" ht="18.75" customHeight="1">
      <c r="A232" s="661"/>
      <c r="B232" s="657" t="s">
        <v>10092</v>
      </c>
      <c r="C232" s="657" t="s">
        <v>10544</v>
      </c>
      <c r="D232" s="663" t="s">
        <v>238</v>
      </c>
      <c r="E232" s="663" t="s">
        <v>10547</v>
      </c>
      <c r="F232" s="658">
        <v>0.1</v>
      </c>
      <c r="G232" s="658">
        <v>0.02</v>
      </c>
      <c r="H232" s="663"/>
      <c r="I232" s="664">
        <f t="shared" si="0"/>
        <v>0</v>
      </c>
      <c r="J232" s="664">
        <f t="shared" si="1"/>
        <v>0</v>
      </c>
      <c r="K232" s="661"/>
    </row>
    <row r="233" spans="1:11" ht="18.75" customHeight="1">
      <c r="A233" s="661"/>
      <c r="B233" s="657" t="s">
        <v>10092</v>
      </c>
      <c r="C233" s="657" t="s">
        <v>10544</v>
      </c>
      <c r="D233" s="663" t="s">
        <v>10548</v>
      </c>
      <c r="E233" s="663" t="s">
        <v>10549</v>
      </c>
      <c r="F233" s="658">
        <v>0.1</v>
      </c>
      <c r="G233" s="658">
        <v>0.02</v>
      </c>
      <c r="H233" s="663"/>
      <c r="I233" s="664">
        <f t="shared" si="0"/>
        <v>0</v>
      </c>
      <c r="J233" s="664">
        <f t="shared" si="1"/>
        <v>0</v>
      </c>
      <c r="K233" s="661"/>
    </row>
    <row r="234" spans="1:11" ht="18.75" customHeight="1">
      <c r="A234" s="661"/>
      <c r="B234" s="657" t="s">
        <v>10092</v>
      </c>
      <c r="C234" s="657" t="s">
        <v>10544</v>
      </c>
      <c r="D234" s="663" t="s">
        <v>10550</v>
      </c>
      <c r="E234" s="663" t="s">
        <v>10551</v>
      </c>
      <c r="F234" s="658">
        <v>0.1</v>
      </c>
      <c r="G234" s="658">
        <v>0.02</v>
      </c>
      <c r="H234" s="664">
        <v>1140700</v>
      </c>
      <c r="I234" s="664">
        <f t="shared" si="0"/>
        <v>1037000</v>
      </c>
      <c r="J234" s="664">
        <f t="shared" si="1"/>
        <v>1117890</v>
      </c>
      <c r="K234" s="661"/>
    </row>
    <row r="235" spans="1:11" ht="18.75" customHeight="1">
      <c r="A235" s="661"/>
      <c r="B235" s="657" t="s">
        <v>10092</v>
      </c>
      <c r="C235" s="657" t="s">
        <v>10544</v>
      </c>
      <c r="D235" s="663" t="s">
        <v>10552</v>
      </c>
      <c r="E235" s="663" t="s">
        <v>10553</v>
      </c>
      <c r="F235" s="658">
        <v>0.1</v>
      </c>
      <c r="G235" s="658">
        <v>0.02</v>
      </c>
      <c r="H235" s="663"/>
      <c r="I235" s="664">
        <f t="shared" si="0"/>
        <v>0</v>
      </c>
      <c r="J235" s="664">
        <f t="shared" si="1"/>
        <v>0</v>
      </c>
      <c r="K235" s="661"/>
    </row>
    <row r="236" spans="1:11" ht="18.75" customHeight="1">
      <c r="A236" s="661"/>
      <c r="B236" s="657" t="s">
        <v>10092</v>
      </c>
      <c r="C236" s="657" t="s">
        <v>10544</v>
      </c>
      <c r="D236" s="663" t="s">
        <v>245</v>
      </c>
      <c r="E236" s="663" t="s">
        <v>10554</v>
      </c>
      <c r="F236" s="658">
        <v>0.1</v>
      </c>
      <c r="G236" s="658">
        <v>0.02</v>
      </c>
      <c r="H236" s="664">
        <v>979000</v>
      </c>
      <c r="I236" s="664">
        <f t="shared" si="0"/>
        <v>890000</v>
      </c>
      <c r="J236" s="664">
        <f t="shared" si="1"/>
        <v>959420</v>
      </c>
      <c r="K236" s="661"/>
    </row>
    <row r="237" spans="1:11" ht="18.75" customHeight="1">
      <c r="A237" s="661"/>
      <c r="B237" s="657" t="s">
        <v>10092</v>
      </c>
      <c r="C237" s="657" t="s">
        <v>10544</v>
      </c>
      <c r="D237" s="663" t="s">
        <v>242</v>
      </c>
      <c r="E237" s="663" t="s">
        <v>10555</v>
      </c>
      <c r="F237" s="658">
        <v>0.1</v>
      </c>
      <c r="G237" s="658">
        <v>0.02</v>
      </c>
      <c r="H237" s="664">
        <v>974700</v>
      </c>
      <c r="I237" s="664">
        <f t="shared" si="0"/>
        <v>886090</v>
      </c>
      <c r="J237" s="664">
        <f t="shared" si="1"/>
        <v>955210</v>
      </c>
      <c r="K237" s="661"/>
    </row>
    <row r="238" spans="1:11" ht="18.75" customHeight="1">
      <c r="A238" s="661"/>
      <c r="B238" s="657" t="s">
        <v>10092</v>
      </c>
      <c r="C238" s="657" t="s">
        <v>10544</v>
      </c>
      <c r="D238" s="663" t="s">
        <v>234</v>
      </c>
      <c r="E238" s="663" t="s">
        <v>10556</v>
      </c>
      <c r="F238" s="658">
        <v>0.1</v>
      </c>
      <c r="G238" s="658">
        <v>0.02</v>
      </c>
      <c r="H238" s="664">
        <v>1109100</v>
      </c>
      <c r="I238" s="664">
        <f t="shared" si="0"/>
        <v>1008270</v>
      </c>
      <c r="J238" s="664">
        <f t="shared" si="1"/>
        <v>1086920</v>
      </c>
      <c r="K238" s="661"/>
    </row>
    <row r="239" spans="1:11" ht="18.75" customHeight="1">
      <c r="A239" s="661"/>
      <c r="B239" s="657" t="s">
        <v>10092</v>
      </c>
      <c r="C239" s="657" t="s">
        <v>10544</v>
      </c>
      <c r="D239" s="663" t="s">
        <v>10557</v>
      </c>
      <c r="E239" s="663" t="s">
        <v>10558</v>
      </c>
      <c r="F239" s="658">
        <v>0.1</v>
      </c>
      <c r="G239" s="658">
        <v>0.02</v>
      </c>
      <c r="H239" s="663">
        <v>1008400</v>
      </c>
      <c r="I239" s="664">
        <f t="shared" si="0"/>
        <v>916730</v>
      </c>
      <c r="J239" s="664">
        <f t="shared" si="1"/>
        <v>988230</v>
      </c>
      <c r="K239" s="661"/>
    </row>
    <row r="240" spans="1:11" ht="18.75" customHeight="1">
      <c r="A240" s="661"/>
      <c r="B240" s="657" t="s">
        <v>10092</v>
      </c>
      <c r="C240" s="657" t="s">
        <v>10544</v>
      </c>
      <c r="D240" s="663" t="s">
        <v>10559</v>
      </c>
      <c r="E240" s="663" t="s">
        <v>10560</v>
      </c>
      <c r="F240" s="658">
        <v>0.1</v>
      </c>
      <c r="G240" s="658">
        <v>0.02</v>
      </c>
      <c r="H240" s="663"/>
      <c r="I240" s="664">
        <f t="shared" si="0"/>
        <v>0</v>
      </c>
      <c r="J240" s="664">
        <f t="shared" si="1"/>
        <v>0</v>
      </c>
      <c r="K240" s="661"/>
    </row>
    <row r="241" spans="1:11" ht="18.75" customHeight="1">
      <c r="A241" s="661"/>
      <c r="B241" s="657" t="s">
        <v>10092</v>
      </c>
      <c r="C241" s="657" t="s">
        <v>10544</v>
      </c>
      <c r="D241" s="663" t="s">
        <v>10561</v>
      </c>
      <c r="E241" s="663" t="s">
        <v>10562</v>
      </c>
      <c r="F241" s="658">
        <v>0.1</v>
      </c>
      <c r="G241" s="658">
        <v>0.02</v>
      </c>
      <c r="H241" s="663"/>
      <c r="I241" s="664">
        <f t="shared" si="0"/>
        <v>0</v>
      </c>
      <c r="J241" s="664">
        <f t="shared" si="1"/>
        <v>0</v>
      </c>
      <c r="K241" s="661"/>
    </row>
    <row r="242" spans="1:11" ht="18.75" customHeight="1">
      <c r="A242" s="661"/>
      <c r="B242" s="657" t="s">
        <v>10092</v>
      </c>
      <c r="C242" s="657" t="s">
        <v>10544</v>
      </c>
      <c r="D242" s="663" t="s">
        <v>249</v>
      </c>
      <c r="E242" s="663" t="s">
        <v>10563</v>
      </c>
      <c r="F242" s="658">
        <v>0.1</v>
      </c>
      <c r="G242" s="658">
        <v>0.02</v>
      </c>
      <c r="H242" s="664">
        <v>862700</v>
      </c>
      <c r="I242" s="664">
        <f t="shared" si="0"/>
        <v>784270</v>
      </c>
      <c r="J242" s="664">
        <f t="shared" si="1"/>
        <v>845450</v>
      </c>
      <c r="K242" s="661"/>
    </row>
    <row r="243" spans="1:11" ht="18.75" customHeight="1">
      <c r="A243" s="661"/>
      <c r="B243" s="657" t="s">
        <v>10092</v>
      </c>
      <c r="C243" s="657" t="s">
        <v>10544</v>
      </c>
      <c r="D243" s="663" t="s">
        <v>257</v>
      </c>
      <c r="E243" s="663" t="s">
        <v>10564</v>
      </c>
      <c r="F243" s="658">
        <v>0.1</v>
      </c>
      <c r="G243" s="658">
        <v>0.02</v>
      </c>
      <c r="H243" s="664">
        <v>792000</v>
      </c>
      <c r="I243" s="664">
        <f t="shared" si="0"/>
        <v>720000</v>
      </c>
      <c r="J243" s="664">
        <f t="shared" si="1"/>
        <v>776160</v>
      </c>
      <c r="K243" s="661"/>
    </row>
    <row r="244" spans="1:11" ht="18.75" customHeight="1">
      <c r="A244" s="661"/>
      <c r="B244" s="657" t="s">
        <v>10092</v>
      </c>
      <c r="C244" s="657" t="s">
        <v>10544</v>
      </c>
      <c r="D244" s="663" t="s">
        <v>253</v>
      </c>
      <c r="E244" s="663" t="s">
        <v>10565</v>
      </c>
      <c r="F244" s="658">
        <v>0.1</v>
      </c>
      <c r="G244" s="658">
        <v>0.02</v>
      </c>
      <c r="H244" s="663"/>
      <c r="I244" s="664">
        <f t="shared" si="0"/>
        <v>0</v>
      </c>
      <c r="J244" s="664">
        <f t="shared" si="1"/>
        <v>0</v>
      </c>
      <c r="K244" s="661"/>
    </row>
    <row r="245" spans="1:11" ht="18.75" customHeight="1">
      <c r="A245" s="661"/>
      <c r="B245" s="657" t="s">
        <v>10092</v>
      </c>
      <c r="C245" s="657" t="s">
        <v>10544</v>
      </c>
      <c r="D245" s="663" t="s">
        <v>255</v>
      </c>
      <c r="E245" s="663" t="s">
        <v>10566</v>
      </c>
      <c r="F245" s="658">
        <v>0.1</v>
      </c>
      <c r="G245" s="658">
        <v>0.02</v>
      </c>
      <c r="H245" s="664">
        <v>918700</v>
      </c>
      <c r="I245" s="664">
        <f t="shared" si="0"/>
        <v>835180</v>
      </c>
      <c r="J245" s="664">
        <f t="shared" si="1"/>
        <v>900330</v>
      </c>
      <c r="K245" s="661"/>
    </row>
    <row r="246" spans="1:11" ht="18.75" customHeight="1">
      <c r="A246" s="661"/>
      <c r="B246" s="657" t="s">
        <v>10092</v>
      </c>
      <c r="C246" s="657" t="s">
        <v>10544</v>
      </c>
      <c r="D246" s="663" t="s">
        <v>251</v>
      </c>
      <c r="E246" s="663" t="s">
        <v>10567</v>
      </c>
      <c r="F246" s="658">
        <v>0.1</v>
      </c>
      <c r="G246" s="658">
        <v>0.02</v>
      </c>
      <c r="H246" s="664">
        <v>1053100</v>
      </c>
      <c r="I246" s="664">
        <f t="shared" si="0"/>
        <v>957360</v>
      </c>
      <c r="J246" s="664">
        <f t="shared" si="1"/>
        <v>1032040</v>
      </c>
      <c r="K246" s="661"/>
    </row>
    <row r="247" spans="1:11" ht="18.75" customHeight="1">
      <c r="A247" s="661"/>
      <c r="B247" s="657" t="s">
        <v>10092</v>
      </c>
      <c r="C247" s="657" t="s">
        <v>10544</v>
      </c>
      <c r="D247" s="663" t="s">
        <v>10568</v>
      </c>
      <c r="E247" s="663" t="s">
        <v>10569</v>
      </c>
      <c r="F247" s="658">
        <v>0.1</v>
      </c>
      <c r="G247" s="658">
        <v>0.02</v>
      </c>
      <c r="H247" s="663"/>
      <c r="I247" s="664">
        <f t="shared" si="0"/>
        <v>0</v>
      </c>
      <c r="J247" s="664">
        <f t="shared" si="1"/>
        <v>0</v>
      </c>
      <c r="K247" s="661"/>
    </row>
    <row r="248" spans="1:11" ht="18.75" customHeight="1">
      <c r="A248" s="661"/>
      <c r="B248" s="657" t="s">
        <v>10092</v>
      </c>
      <c r="C248" s="657" t="s">
        <v>10544</v>
      </c>
      <c r="D248" s="663" t="s">
        <v>10570</v>
      </c>
      <c r="E248" s="663" t="s">
        <v>10571</v>
      </c>
      <c r="F248" s="658">
        <v>0.1</v>
      </c>
      <c r="G248" s="658">
        <v>0.02</v>
      </c>
      <c r="H248" s="663"/>
      <c r="I248" s="664">
        <f t="shared" si="0"/>
        <v>0</v>
      </c>
      <c r="J248" s="664">
        <f t="shared" si="1"/>
        <v>0</v>
      </c>
      <c r="K248" s="661"/>
    </row>
    <row r="249" spans="1:11" ht="18.75" customHeight="1">
      <c r="A249" s="661"/>
      <c r="B249" s="657" t="s">
        <v>10572</v>
      </c>
      <c r="C249" s="657" t="s">
        <v>10573</v>
      </c>
      <c r="D249" s="663" t="s">
        <v>10574</v>
      </c>
      <c r="E249" s="663" t="s">
        <v>10575</v>
      </c>
      <c r="F249" s="658">
        <v>0.1</v>
      </c>
      <c r="G249" s="658">
        <v>0.02</v>
      </c>
      <c r="H249" s="664">
        <v>800000</v>
      </c>
      <c r="I249" s="664">
        <f t="shared" si="0"/>
        <v>727270</v>
      </c>
      <c r="J249" s="664">
        <f t="shared" si="1"/>
        <v>784000</v>
      </c>
      <c r="K249" s="661"/>
    </row>
    <row r="250" spans="1:11" ht="18.75" customHeight="1">
      <c r="A250" s="661"/>
      <c r="B250" s="657" t="s">
        <v>10572</v>
      </c>
      <c r="C250" s="657" t="s">
        <v>10573</v>
      </c>
      <c r="D250" s="663" t="s">
        <v>10576</v>
      </c>
      <c r="E250" s="663" t="s">
        <v>10577</v>
      </c>
      <c r="F250" s="658">
        <v>0.1</v>
      </c>
      <c r="G250" s="658">
        <v>0.02</v>
      </c>
      <c r="H250" s="663"/>
      <c r="I250" s="664">
        <f t="shared" si="0"/>
        <v>0</v>
      </c>
      <c r="J250" s="664">
        <f t="shared" si="1"/>
        <v>0</v>
      </c>
      <c r="K250" s="661"/>
    </row>
    <row r="251" spans="1:11" ht="18.75" customHeight="1">
      <c r="A251" s="661"/>
      <c r="B251" s="657" t="s">
        <v>10572</v>
      </c>
      <c r="C251" s="657" t="s">
        <v>10573</v>
      </c>
      <c r="D251" s="663" t="s">
        <v>10578</v>
      </c>
      <c r="E251" s="663" t="s">
        <v>10579</v>
      </c>
      <c r="F251" s="658">
        <v>0.1</v>
      </c>
      <c r="G251" s="658">
        <v>0.02</v>
      </c>
      <c r="H251" s="664">
        <v>953400</v>
      </c>
      <c r="I251" s="664">
        <f t="shared" si="0"/>
        <v>866730</v>
      </c>
      <c r="J251" s="664">
        <f t="shared" si="1"/>
        <v>934330</v>
      </c>
      <c r="K251" s="661"/>
    </row>
    <row r="252" spans="1:11" ht="18.75" customHeight="1">
      <c r="A252" s="661"/>
      <c r="B252" s="657" t="s">
        <v>10572</v>
      </c>
      <c r="C252" s="657" t="s">
        <v>10573</v>
      </c>
      <c r="D252" s="663" t="s">
        <v>10580</v>
      </c>
      <c r="E252" s="663" t="s">
        <v>10581</v>
      </c>
      <c r="F252" s="658">
        <v>0.1</v>
      </c>
      <c r="G252" s="658">
        <v>0.02</v>
      </c>
      <c r="H252" s="664">
        <v>886200</v>
      </c>
      <c r="I252" s="664">
        <f t="shared" si="0"/>
        <v>805640</v>
      </c>
      <c r="J252" s="664">
        <f t="shared" si="1"/>
        <v>868480</v>
      </c>
      <c r="K252" s="661"/>
    </row>
    <row r="253" spans="1:11" ht="18.75" customHeight="1">
      <c r="A253" s="661"/>
      <c r="B253" s="657" t="s">
        <v>10572</v>
      </c>
      <c r="C253" s="657" t="s">
        <v>10573</v>
      </c>
      <c r="D253" s="663" t="s">
        <v>10582</v>
      </c>
      <c r="E253" s="663" t="s">
        <v>10583</v>
      </c>
      <c r="F253" s="658">
        <v>0.1</v>
      </c>
      <c r="G253" s="658">
        <v>0.02</v>
      </c>
      <c r="H253" s="664">
        <v>1425900</v>
      </c>
      <c r="I253" s="664">
        <f t="shared" si="0"/>
        <v>1296270</v>
      </c>
      <c r="J253" s="664">
        <f t="shared" si="1"/>
        <v>1397380</v>
      </c>
      <c r="K253" s="661"/>
    </row>
    <row r="254" spans="1:11" ht="18.75" customHeight="1">
      <c r="A254" s="661"/>
      <c r="B254" s="657" t="s">
        <v>10572</v>
      </c>
      <c r="C254" s="657" t="s">
        <v>10573</v>
      </c>
      <c r="D254" s="663" t="s">
        <v>10584</v>
      </c>
      <c r="E254" s="663" t="s">
        <v>10585</v>
      </c>
      <c r="F254" s="658">
        <v>0.1</v>
      </c>
      <c r="G254" s="658">
        <v>0.02</v>
      </c>
      <c r="H254" s="663"/>
      <c r="I254" s="664">
        <f t="shared" si="0"/>
        <v>0</v>
      </c>
      <c r="J254" s="664">
        <f t="shared" si="1"/>
        <v>0</v>
      </c>
      <c r="K254" s="661"/>
    </row>
    <row r="255" spans="1:11" ht="18.75" customHeight="1">
      <c r="A255" s="661"/>
      <c r="B255" s="657" t="s">
        <v>10572</v>
      </c>
      <c r="C255" s="657" t="s">
        <v>10573</v>
      </c>
      <c r="D255" s="663" t="s">
        <v>10586</v>
      </c>
      <c r="E255" s="663" t="s">
        <v>10587</v>
      </c>
      <c r="F255" s="658">
        <v>0.1</v>
      </c>
      <c r="G255" s="658">
        <v>0.02</v>
      </c>
      <c r="H255" s="664">
        <v>784300</v>
      </c>
      <c r="I255" s="664">
        <f t="shared" si="0"/>
        <v>713000</v>
      </c>
      <c r="J255" s="664">
        <f t="shared" si="1"/>
        <v>768610</v>
      </c>
      <c r="K255" s="661"/>
    </row>
    <row r="256" spans="1:11" ht="18.75" customHeight="1">
      <c r="A256" s="661"/>
      <c r="B256" s="657" t="s">
        <v>10572</v>
      </c>
      <c r="C256" s="657" t="s">
        <v>10573</v>
      </c>
      <c r="D256" s="663" t="s">
        <v>10588</v>
      </c>
      <c r="E256" s="663" t="s">
        <v>10589</v>
      </c>
      <c r="F256" s="658">
        <v>0.1</v>
      </c>
      <c r="G256" s="658">
        <v>0.02</v>
      </c>
      <c r="H256" s="664">
        <v>763800</v>
      </c>
      <c r="I256" s="664">
        <f t="shared" si="0"/>
        <v>694360</v>
      </c>
      <c r="J256" s="664">
        <f t="shared" si="1"/>
        <v>748520</v>
      </c>
      <c r="K256" s="661"/>
    </row>
    <row r="257" spans="1:11" ht="18.75" customHeight="1">
      <c r="A257" s="661"/>
      <c r="B257" s="657" t="s">
        <v>10572</v>
      </c>
      <c r="C257" s="657" t="s">
        <v>10573</v>
      </c>
      <c r="D257" s="663" t="s">
        <v>10590</v>
      </c>
      <c r="E257" s="663" t="s">
        <v>10591</v>
      </c>
      <c r="F257" s="658">
        <v>0.1</v>
      </c>
      <c r="G257" s="658">
        <v>0.02</v>
      </c>
      <c r="H257" s="664">
        <v>835200</v>
      </c>
      <c r="I257" s="664">
        <f t="shared" si="0"/>
        <v>759270</v>
      </c>
      <c r="J257" s="664">
        <f t="shared" si="1"/>
        <v>818500</v>
      </c>
      <c r="K257" s="661"/>
    </row>
    <row r="258" spans="1:11" ht="18.75" customHeight="1">
      <c r="A258" s="661"/>
      <c r="B258" s="657" t="s">
        <v>10572</v>
      </c>
      <c r="C258" s="657" t="s">
        <v>10573</v>
      </c>
      <c r="D258" s="663" t="s">
        <v>10592</v>
      </c>
      <c r="E258" s="663" t="s">
        <v>10593</v>
      </c>
      <c r="F258" s="658">
        <v>0.1</v>
      </c>
      <c r="G258" s="658">
        <v>0.02</v>
      </c>
      <c r="H258" s="664">
        <v>896300</v>
      </c>
      <c r="I258" s="664">
        <f t="shared" si="0"/>
        <v>814820</v>
      </c>
      <c r="J258" s="664">
        <f t="shared" si="1"/>
        <v>878370</v>
      </c>
      <c r="K258" s="661"/>
    </row>
    <row r="259" spans="1:11" ht="18.75" customHeight="1">
      <c r="A259" s="661"/>
      <c r="B259" s="657" t="s">
        <v>10572</v>
      </c>
      <c r="C259" s="657" t="s">
        <v>10573</v>
      </c>
      <c r="D259" s="663" t="s">
        <v>10594</v>
      </c>
      <c r="E259" s="663" t="s">
        <v>10595</v>
      </c>
      <c r="F259" s="658">
        <v>0.1</v>
      </c>
      <c r="G259" s="658">
        <v>0.02</v>
      </c>
      <c r="H259" s="663"/>
      <c r="I259" s="664">
        <f t="shared" si="0"/>
        <v>0</v>
      </c>
      <c r="J259" s="664">
        <f t="shared" si="1"/>
        <v>0</v>
      </c>
      <c r="K259" s="661"/>
    </row>
    <row r="260" spans="1:11" ht="18.75" customHeight="1">
      <c r="A260" s="661"/>
      <c r="B260" s="657" t="s">
        <v>10572</v>
      </c>
      <c r="C260" s="657" t="s">
        <v>10573</v>
      </c>
      <c r="D260" s="663" t="s">
        <v>10596</v>
      </c>
      <c r="E260" s="663" t="s">
        <v>10597</v>
      </c>
      <c r="F260" s="658">
        <v>0.1</v>
      </c>
      <c r="G260" s="658">
        <v>0.02</v>
      </c>
      <c r="H260" s="663"/>
      <c r="I260" s="664">
        <f t="shared" ref="I260" si="2">IF(ISBLANK(H260),,ROUND(H260/(1+F260),-1))</f>
        <v>0</v>
      </c>
      <c r="J260" s="664">
        <f t="shared" ref="J260" si="3">IF(ISBLANK(H260),,ROUND(H260*(1-G260),-1))</f>
        <v>0</v>
      </c>
      <c r="K260" s="661"/>
    </row>
  </sheetData>
  <mergeCells count="1">
    <mergeCell ref="A1:K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K81"/>
  <sheetViews>
    <sheetView showGridLines="0" workbookViewId="0">
      <pane ySplit="4" topLeftCell="A5" activePane="bottomLeft" state="frozen"/>
      <selection pane="bottomLeft" activeCell="D3" sqref="D1:D1048576"/>
    </sheetView>
  </sheetViews>
  <sheetFormatPr defaultColWidth="12.5703125" defaultRowHeight="15" customHeight="1"/>
  <cols>
    <col min="1" max="1" width="4.42578125" customWidth="1"/>
    <col min="2" max="2" width="20.140625" customWidth="1"/>
    <col min="3" max="3" width="15.28515625" customWidth="1"/>
    <col min="4" max="4" width="24.28515625" customWidth="1"/>
    <col min="5" max="5" width="55.42578125" customWidth="1"/>
    <col min="6" max="6" width="12.28515625" customWidth="1"/>
    <col min="7" max="7" width="11.42578125" customWidth="1"/>
    <col min="8" max="10" width="13.42578125" customWidth="1"/>
    <col min="11" max="11" width="4.42578125" customWidth="1"/>
  </cols>
  <sheetData>
    <row r="1" spans="1:11" ht="12.75" customHeight="1">
      <c r="A1" s="883" t="s">
        <v>9996</v>
      </c>
      <c r="B1" s="704"/>
      <c r="C1" s="704"/>
      <c r="D1" s="704"/>
      <c r="E1" s="704"/>
      <c r="F1" s="704"/>
      <c r="G1" s="704"/>
      <c r="H1" s="704"/>
      <c r="I1" s="704"/>
      <c r="J1" s="704"/>
      <c r="K1" s="705"/>
    </row>
    <row r="2" spans="1:11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7"/>
      <c r="K2" s="708"/>
    </row>
    <row r="3" spans="1:11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</row>
    <row r="4" spans="1:11" ht="12.75" customHeight="1">
      <c r="A4" s="661"/>
      <c r="B4" s="655" t="s">
        <v>673</v>
      </c>
      <c r="C4" s="655" t="s">
        <v>3925</v>
      </c>
      <c r="D4" s="662" t="s">
        <v>674</v>
      </c>
      <c r="E4" s="662" t="s">
        <v>675</v>
      </c>
      <c r="F4" s="655" t="s">
        <v>3926</v>
      </c>
      <c r="G4" s="655" t="s">
        <v>3927</v>
      </c>
      <c r="H4" s="662" t="s">
        <v>80</v>
      </c>
      <c r="I4" s="662" t="s">
        <v>81</v>
      </c>
      <c r="J4" s="662" t="s">
        <v>82</v>
      </c>
      <c r="K4" s="661"/>
    </row>
    <row r="5" spans="1:11" ht="18.75" customHeight="1">
      <c r="A5" s="661"/>
      <c r="B5" s="657" t="s">
        <v>10598</v>
      </c>
      <c r="C5" s="657" t="s">
        <v>10599</v>
      </c>
      <c r="D5" s="663" t="s">
        <v>10600</v>
      </c>
      <c r="E5" s="663" t="s">
        <v>10601</v>
      </c>
      <c r="F5" s="658">
        <v>0.1</v>
      </c>
      <c r="G5" s="658">
        <v>0.08</v>
      </c>
      <c r="H5" s="664">
        <v>4259400</v>
      </c>
      <c r="I5" s="664">
        <f t="shared" ref="I5:I81" si="0">IF(ISBLANK(H5),,ROUND(H5/(1+F5),-1))</f>
        <v>3872180</v>
      </c>
      <c r="J5" s="664">
        <f t="shared" ref="J5:J81" si="1">IF(ISBLANK(H5),,ROUND(H5*(1-G5),-1))</f>
        <v>3918650</v>
      </c>
      <c r="K5" s="661"/>
    </row>
    <row r="6" spans="1:11" ht="18.75" customHeight="1">
      <c r="A6" s="661"/>
      <c r="B6" s="657" t="s">
        <v>10598</v>
      </c>
      <c r="C6" s="657" t="s">
        <v>10599</v>
      </c>
      <c r="D6" s="663" t="s">
        <v>10602</v>
      </c>
      <c r="E6" s="663" t="s">
        <v>10603</v>
      </c>
      <c r="F6" s="658">
        <v>0.1</v>
      </c>
      <c r="G6" s="658">
        <v>0.08</v>
      </c>
      <c r="H6" s="664">
        <v>2593100</v>
      </c>
      <c r="I6" s="664">
        <f t="shared" si="0"/>
        <v>2357360</v>
      </c>
      <c r="J6" s="664">
        <f t="shared" si="1"/>
        <v>2385650</v>
      </c>
      <c r="K6" s="661"/>
    </row>
    <row r="7" spans="1:11" ht="18.75" customHeight="1">
      <c r="A7" s="661"/>
      <c r="B7" s="657" t="s">
        <v>10598</v>
      </c>
      <c r="C7" s="657" t="s">
        <v>10599</v>
      </c>
      <c r="D7" s="663" t="s">
        <v>10604</v>
      </c>
      <c r="E7" s="663" t="s">
        <v>10605</v>
      </c>
      <c r="F7" s="658">
        <v>0.1</v>
      </c>
      <c r="G7" s="658">
        <v>0.08</v>
      </c>
      <c r="H7" s="664">
        <v>2995400</v>
      </c>
      <c r="I7" s="664">
        <f t="shared" si="0"/>
        <v>2723090</v>
      </c>
      <c r="J7" s="664">
        <f t="shared" si="1"/>
        <v>2755770</v>
      </c>
      <c r="K7" s="661"/>
    </row>
    <row r="8" spans="1:11" ht="18.75" customHeight="1">
      <c r="A8" s="661"/>
      <c r="B8" s="657" t="s">
        <v>10598</v>
      </c>
      <c r="C8" s="657" t="s">
        <v>10599</v>
      </c>
      <c r="D8" s="663" t="s">
        <v>666</v>
      </c>
      <c r="E8" s="663" t="s">
        <v>10606</v>
      </c>
      <c r="F8" s="658">
        <v>0.1</v>
      </c>
      <c r="G8" s="658">
        <v>0.08</v>
      </c>
      <c r="H8" s="664">
        <v>1815000</v>
      </c>
      <c r="I8" s="664">
        <f t="shared" si="0"/>
        <v>1650000</v>
      </c>
      <c r="J8" s="664">
        <f t="shared" si="1"/>
        <v>1669800</v>
      </c>
      <c r="K8" s="661"/>
    </row>
    <row r="9" spans="1:11" ht="18.75" customHeight="1">
      <c r="A9" s="661"/>
      <c r="B9" s="657" t="s">
        <v>10598</v>
      </c>
      <c r="C9" s="657" t="s">
        <v>10599</v>
      </c>
      <c r="D9" s="663" t="s">
        <v>667</v>
      </c>
      <c r="E9" s="663" t="s">
        <v>10607</v>
      </c>
      <c r="F9" s="658">
        <v>0.1</v>
      </c>
      <c r="G9" s="658">
        <v>0.08</v>
      </c>
      <c r="H9" s="664">
        <v>2087900</v>
      </c>
      <c r="I9" s="664">
        <f t="shared" si="0"/>
        <v>1898090</v>
      </c>
      <c r="J9" s="664">
        <f t="shared" si="1"/>
        <v>1920870</v>
      </c>
      <c r="K9" s="661"/>
    </row>
    <row r="10" spans="1:11" ht="18.75" customHeight="1">
      <c r="A10" s="661"/>
      <c r="B10" s="657" t="s">
        <v>10598</v>
      </c>
      <c r="C10" s="657" t="s">
        <v>10599</v>
      </c>
      <c r="D10" s="663" t="s">
        <v>668</v>
      </c>
      <c r="E10" s="663" t="s">
        <v>10608</v>
      </c>
      <c r="F10" s="658">
        <v>0.1</v>
      </c>
      <c r="G10" s="658">
        <v>0.08</v>
      </c>
      <c r="H10" s="664">
        <v>2276300</v>
      </c>
      <c r="I10" s="664">
        <f t="shared" si="0"/>
        <v>2069360</v>
      </c>
      <c r="J10" s="664">
        <f t="shared" si="1"/>
        <v>2094200</v>
      </c>
      <c r="K10" s="661"/>
    </row>
    <row r="11" spans="1:11" ht="18.75" customHeight="1">
      <c r="A11" s="661"/>
      <c r="B11" s="657" t="s">
        <v>10598</v>
      </c>
      <c r="C11" s="657" t="s">
        <v>10599</v>
      </c>
      <c r="D11" s="663" t="s">
        <v>10609</v>
      </c>
      <c r="E11" s="663" t="s">
        <v>10610</v>
      </c>
      <c r="F11" s="658">
        <v>0.1</v>
      </c>
      <c r="G11" s="658">
        <v>0.08</v>
      </c>
      <c r="H11" s="663"/>
      <c r="I11" s="664">
        <f t="shared" si="0"/>
        <v>0</v>
      </c>
      <c r="J11" s="664">
        <f t="shared" si="1"/>
        <v>0</v>
      </c>
      <c r="K11" s="661"/>
    </row>
    <row r="12" spans="1:11" ht="18.75" customHeight="1">
      <c r="A12" s="661"/>
      <c r="B12" s="657" t="s">
        <v>10598</v>
      </c>
      <c r="C12" s="657" t="s">
        <v>10599</v>
      </c>
      <c r="D12" s="663" t="s">
        <v>10611</v>
      </c>
      <c r="E12" s="663" t="s">
        <v>10612</v>
      </c>
      <c r="F12" s="658">
        <v>0.1</v>
      </c>
      <c r="G12" s="658">
        <v>0.08</v>
      </c>
      <c r="H12" s="664">
        <v>701800</v>
      </c>
      <c r="I12" s="664">
        <f t="shared" si="0"/>
        <v>638000</v>
      </c>
      <c r="J12" s="664">
        <f t="shared" si="1"/>
        <v>645660</v>
      </c>
      <c r="K12" s="661"/>
    </row>
    <row r="13" spans="1:11" ht="18.75" customHeight="1">
      <c r="A13" s="661"/>
      <c r="B13" s="657" t="s">
        <v>10598</v>
      </c>
      <c r="C13" s="657" t="s">
        <v>10613</v>
      </c>
      <c r="D13" s="663" t="s">
        <v>10614</v>
      </c>
      <c r="E13" s="663" t="s">
        <v>10615</v>
      </c>
      <c r="F13" s="658">
        <v>0.1</v>
      </c>
      <c r="G13" s="658">
        <v>0.08</v>
      </c>
      <c r="H13" s="663"/>
      <c r="I13" s="664">
        <f t="shared" si="0"/>
        <v>0</v>
      </c>
      <c r="J13" s="664">
        <f t="shared" si="1"/>
        <v>0</v>
      </c>
      <c r="K13" s="661"/>
    </row>
    <row r="14" spans="1:11" ht="18.75" customHeight="1">
      <c r="A14" s="661"/>
      <c r="B14" s="657" t="s">
        <v>10598</v>
      </c>
      <c r="C14" s="657" t="s">
        <v>10613</v>
      </c>
      <c r="D14" s="663" t="s">
        <v>10616</v>
      </c>
      <c r="E14" s="663" t="s">
        <v>10617</v>
      </c>
      <c r="F14" s="658">
        <v>0.1</v>
      </c>
      <c r="G14" s="658">
        <v>0.08</v>
      </c>
      <c r="H14" s="663"/>
      <c r="I14" s="664">
        <f t="shared" si="0"/>
        <v>0</v>
      </c>
      <c r="J14" s="664">
        <f t="shared" si="1"/>
        <v>0</v>
      </c>
      <c r="K14" s="661"/>
    </row>
    <row r="15" spans="1:11" ht="18.75" customHeight="1">
      <c r="A15" s="661"/>
      <c r="B15" s="657" t="s">
        <v>10598</v>
      </c>
      <c r="C15" s="657" t="s">
        <v>10613</v>
      </c>
      <c r="D15" s="663" t="s">
        <v>10618</v>
      </c>
      <c r="E15" s="663" t="s">
        <v>10619</v>
      </c>
      <c r="F15" s="658">
        <v>0.1</v>
      </c>
      <c r="G15" s="658">
        <v>0.08</v>
      </c>
      <c r="H15" s="663"/>
      <c r="I15" s="664">
        <f t="shared" si="0"/>
        <v>0</v>
      </c>
      <c r="J15" s="664">
        <f t="shared" si="1"/>
        <v>0</v>
      </c>
      <c r="K15" s="661"/>
    </row>
    <row r="16" spans="1:11" ht="18.75" customHeight="1">
      <c r="A16" s="661"/>
      <c r="B16" s="657" t="s">
        <v>10598</v>
      </c>
      <c r="C16" s="657" t="s">
        <v>10613</v>
      </c>
      <c r="D16" s="663" t="s">
        <v>10620</v>
      </c>
      <c r="E16" s="663" t="s">
        <v>10621</v>
      </c>
      <c r="F16" s="658">
        <v>0.1</v>
      </c>
      <c r="G16" s="658">
        <v>0.08</v>
      </c>
      <c r="H16" s="663"/>
      <c r="I16" s="664">
        <f t="shared" si="0"/>
        <v>0</v>
      </c>
      <c r="J16" s="664">
        <f t="shared" si="1"/>
        <v>0</v>
      </c>
      <c r="K16" s="661"/>
    </row>
    <row r="17" spans="1:11" ht="18.75" customHeight="1">
      <c r="A17" s="661"/>
      <c r="B17" s="657" t="s">
        <v>10598</v>
      </c>
      <c r="C17" s="657" t="s">
        <v>10613</v>
      </c>
      <c r="D17" s="663" t="s">
        <v>10622</v>
      </c>
      <c r="E17" s="663" t="s">
        <v>10623</v>
      </c>
      <c r="F17" s="658">
        <v>0.1</v>
      </c>
      <c r="G17" s="658">
        <v>0.08</v>
      </c>
      <c r="H17" s="663"/>
      <c r="I17" s="664">
        <f t="shared" si="0"/>
        <v>0</v>
      </c>
      <c r="J17" s="664">
        <f t="shared" si="1"/>
        <v>0</v>
      </c>
      <c r="K17" s="661"/>
    </row>
    <row r="18" spans="1:11" ht="18.75" customHeight="1">
      <c r="A18" s="661"/>
      <c r="B18" s="657" t="s">
        <v>10598</v>
      </c>
      <c r="C18" s="657" t="s">
        <v>10613</v>
      </c>
      <c r="D18" s="663" t="s">
        <v>10624</v>
      </c>
      <c r="E18" s="663" t="s">
        <v>10625</v>
      </c>
      <c r="F18" s="658">
        <v>0.1</v>
      </c>
      <c r="G18" s="658">
        <v>0.08</v>
      </c>
      <c r="H18" s="664">
        <v>1045000</v>
      </c>
      <c r="I18" s="664">
        <f t="shared" si="0"/>
        <v>950000</v>
      </c>
      <c r="J18" s="664">
        <f t="shared" si="1"/>
        <v>961400</v>
      </c>
      <c r="K18" s="661"/>
    </row>
    <row r="19" spans="1:11" ht="18.75" customHeight="1">
      <c r="A19" s="661"/>
      <c r="B19" s="657" t="s">
        <v>10598</v>
      </c>
      <c r="C19" s="657" t="s">
        <v>10613</v>
      </c>
      <c r="D19" s="663" t="s">
        <v>10626</v>
      </c>
      <c r="E19" s="663" t="s">
        <v>10627</v>
      </c>
      <c r="F19" s="658">
        <v>0.1</v>
      </c>
      <c r="G19" s="658">
        <v>0.08</v>
      </c>
      <c r="H19" s="664">
        <v>1100000</v>
      </c>
      <c r="I19" s="664">
        <f t="shared" si="0"/>
        <v>1000000</v>
      </c>
      <c r="J19" s="664">
        <f t="shared" si="1"/>
        <v>1012000</v>
      </c>
      <c r="K19" s="661"/>
    </row>
    <row r="20" spans="1:11" ht="18.75" customHeight="1">
      <c r="A20" s="661"/>
      <c r="B20" s="657" t="s">
        <v>10598</v>
      </c>
      <c r="C20" s="657" t="s">
        <v>10613</v>
      </c>
      <c r="D20" s="663" t="s">
        <v>10628</v>
      </c>
      <c r="E20" s="663" t="s">
        <v>10629</v>
      </c>
      <c r="F20" s="658">
        <v>0.1</v>
      </c>
      <c r="G20" s="658">
        <v>0.08</v>
      </c>
      <c r="H20" s="664">
        <v>1528800</v>
      </c>
      <c r="I20" s="664">
        <f t="shared" si="0"/>
        <v>1389820</v>
      </c>
      <c r="J20" s="664">
        <f t="shared" si="1"/>
        <v>1406500</v>
      </c>
      <c r="K20" s="661"/>
    </row>
    <row r="21" spans="1:11" ht="18.75" customHeight="1">
      <c r="A21" s="661"/>
      <c r="B21" s="657" t="s">
        <v>10598</v>
      </c>
      <c r="C21" s="657" t="s">
        <v>10630</v>
      </c>
      <c r="D21" s="663" t="s">
        <v>10631</v>
      </c>
      <c r="E21" s="663" t="s">
        <v>10632</v>
      </c>
      <c r="F21" s="658">
        <v>0.1</v>
      </c>
      <c r="G21" s="658">
        <v>0.08</v>
      </c>
      <c r="H21" s="664">
        <v>1638800</v>
      </c>
      <c r="I21" s="664">
        <f t="shared" si="0"/>
        <v>1489820</v>
      </c>
      <c r="J21" s="664">
        <f t="shared" si="1"/>
        <v>1507700</v>
      </c>
      <c r="K21" s="661"/>
    </row>
    <row r="22" spans="1:11" ht="18.75" customHeight="1">
      <c r="A22" s="661"/>
      <c r="B22" s="657" t="s">
        <v>10598</v>
      </c>
      <c r="C22" s="657" t="s">
        <v>10630</v>
      </c>
      <c r="D22" s="663" t="s">
        <v>650</v>
      </c>
      <c r="E22" s="663" t="s">
        <v>10633</v>
      </c>
      <c r="F22" s="658">
        <v>0.1</v>
      </c>
      <c r="G22" s="658">
        <v>0.08</v>
      </c>
      <c r="H22" s="664">
        <v>1737600</v>
      </c>
      <c r="I22" s="664">
        <f t="shared" si="0"/>
        <v>1579640</v>
      </c>
      <c r="J22" s="664">
        <f t="shared" si="1"/>
        <v>1598590</v>
      </c>
      <c r="K22" s="661"/>
    </row>
    <row r="23" spans="1:11" ht="18.75" customHeight="1">
      <c r="A23" s="661"/>
      <c r="B23" s="657" t="s">
        <v>10598</v>
      </c>
      <c r="C23" s="657" t="s">
        <v>10630</v>
      </c>
      <c r="D23" s="663" t="s">
        <v>652</v>
      </c>
      <c r="E23" s="663" t="s">
        <v>10634</v>
      </c>
      <c r="F23" s="658">
        <v>0.1</v>
      </c>
      <c r="G23" s="658">
        <v>0.08</v>
      </c>
      <c r="H23" s="664">
        <v>1116300</v>
      </c>
      <c r="I23" s="664">
        <f t="shared" si="0"/>
        <v>1014820</v>
      </c>
      <c r="J23" s="664">
        <f t="shared" si="1"/>
        <v>1027000</v>
      </c>
      <c r="K23" s="661"/>
    </row>
    <row r="24" spans="1:11" ht="18.75" customHeight="1">
      <c r="A24" s="661"/>
      <c r="B24" s="657" t="s">
        <v>10598</v>
      </c>
      <c r="C24" s="657" t="s">
        <v>10630</v>
      </c>
      <c r="D24" s="663" t="s">
        <v>654</v>
      </c>
      <c r="E24" s="663" t="s">
        <v>10635</v>
      </c>
      <c r="F24" s="658">
        <v>0.1</v>
      </c>
      <c r="G24" s="658">
        <v>0.08</v>
      </c>
      <c r="H24" s="664">
        <v>1138700</v>
      </c>
      <c r="I24" s="664">
        <f t="shared" si="0"/>
        <v>1035180</v>
      </c>
      <c r="J24" s="664">
        <f t="shared" si="1"/>
        <v>1047600</v>
      </c>
      <c r="K24" s="661"/>
    </row>
    <row r="25" spans="1:11" ht="18.75" customHeight="1">
      <c r="A25" s="661"/>
      <c r="B25" s="657" t="s">
        <v>10598</v>
      </c>
      <c r="C25" s="657" t="s">
        <v>10630</v>
      </c>
      <c r="D25" s="663" t="s">
        <v>656</v>
      </c>
      <c r="E25" s="663" t="s">
        <v>10636</v>
      </c>
      <c r="F25" s="658">
        <v>0.1</v>
      </c>
      <c r="G25" s="658">
        <v>0.08</v>
      </c>
      <c r="H25" s="664">
        <v>1556300</v>
      </c>
      <c r="I25" s="664">
        <f t="shared" si="0"/>
        <v>1414820</v>
      </c>
      <c r="J25" s="664">
        <f t="shared" si="1"/>
        <v>1431800</v>
      </c>
      <c r="K25" s="661"/>
    </row>
    <row r="26" spans="1:11" ht="18.75" customHeight="1">
      <c r="A26" s="661"/>
      <c r="B26" s="657" t="s">
        <v>10598</v>
      </c>
      <c r="C26" s="657" t="s">
        <v>10630</v>
      </c>
      <c r="D26" s="663" t="s">
        <v>658</v>
      </c>
      <c r="E26" s="663" t="s">
        <v>10637</v>
      </c>
      <c r="F26" s="658">
        <v>0.1</v>
      </c>
      <c r="G26" s="658">
        <v>0.08</v>
      </c>
      <c r="H26" s="664">
        <v>1666300</v>
      </c>
      <c r="I26" s="664">
        <f t="shared" si="0"/>
        <v>1514820</v>
      </c>
      <c r="J26" s="664">
        <f t="shared" si="1"/>
        <v>1533000</v>
      </c>
      <c r="K26" s="661"/>
    </row>
    <row r="27" spans="1:11" ht="18.75" customHeight="1">
      <c r="A27" s="661"/>
      <c r="B27" s="657" t="s">
        <v>10598</v>
      </c>
      <c r="C27" s="657" t="s">
        <v>10630</v>
      </c>
      <c r="D27" s="663" t="s">
        <v>10638</v>
      </c>
      <c r="E27" s="663" t="s">
        <v>10639</v>
      </c>
      <c r="F27" s="658">
        <v>0.1</v>
      </c>
      <c r="G27" s="658">
        <v>0.08</v>
      </c>
      <c r="H27" s="664">
        <v>1776300</v>
      </c>
      <c r="I27" s="664">
        <f t="shared" si="0"/>
        <v>1614820</v>
      </c>
      <c r="J27" s="664">
        <f t="shared" si="1"/>
        <v>1634200</v>
      </c>
      <c r="K27" s="661"/>
    </row>
    <row r="28" spans="1:11" ht="18.75" customHeight="1">
      <c r="A28" s="661"/>
      <c r="B28" s="657" t="s">
        <v>10598</v>
      </c>
      <c r="C28" s="657" t="s">
        <v>10630</v>
      </c>
      <c r="D28" s="663" t="s">
        <v>10640</v>
      </c>
      <c r="E28" s="663" t="s">
        <v>10641</v>
      </c>
      <c r="F28" s="658">
        <v>0.1</v>
      </c>
      <c r="G28" s="658">
        <v>0.08</v>
      </c>
      <c r="H28" s="664">
        <v>1045000</v>
      </c>
      <c r="I28" s="664">
        <f t="shared" si="0"/>
        <v>950000</v>
      </c>
      <c r="J28" s="664">
        <f t="shared" si="1"/>
        <v>961400</v>
      </c>
      <c r="K28" s="661"/>
    </row>
    <row r="29" spans="1:11" ht="18.75" customHeight="1">
      <c r="A29" s="661"/>
      <c r="B29" s="657" t="s">
        <v>10598</v>
      </c>
      <c r="C29" s="657" t="s">
        <v>10630</v>
      </c>
      <c r="D29" s="663" t="s">
        <v>660</v>
      </c>
      <c r="E29" s="663" t="s">
        <v>10642</v>
      </c>
      <c r="F29" s="658">
        <v>0.1</v>
      </c>
      <c r="G29" s="658">
        <v>0.08</v>
      </c>
      <c r="H29" s="664">
        <v>1100000</v>
      </c>
      <c r="I29" s="664">
        <f t="shared" si="0"/>
        <v>1000000</v>
      </c>
      <c r="J29" s="664">
        <f t="shared" si="1"/>
        <v>1012000</v>
      </c>
      <c r="K29" s="661"/>
    </row>
    <row r="30" spans="1:11" ht="18.75" customHeight="1">
      <c r="A30" s="661"/>
      <c r="B30" s="657" t="s">
        <v>10643</v>
      </c>
      <c r="C30" s="657" t="s">
        <v>10644</v>
      </c>
      <c r="D30" s="663" t="s">
        <v>10645</v>
      </c>
      <c r="E30" s="663" t="s">
        <v>10646</v>
      </c>
      <c r="F30" s="658">
        <v>0.1</v>
      </c>
      <c r="G30" s="658">
        <v>0.08</v>
      </c>
      <c r="H30" s="663">
        <v>1528800</v>
      </c>
      <c r="I30" s="664">
        <f t="shared" si="0"/>
        <v>1389820</v>
      </c>
      <c r="J30" s="664">
        <f t="shared" si="1"/>
        <v>1406500</v>
      </c>
      <c r="K30" s="661"/>
    </row>
    <row r="31" spans="1:11" ht="18.75" customHeight="1">
      <c r="A31" s="661"/>
      <c r="B31" s="657" t="s">
        <v>10643</v>
      </c>
      <c r="C31" s="657" t="s">
        <v>10644</v>
      </c>
      <c r="D31" s="663" t="s">
        <v>10647</v>
      </c>
      <c r="E31" s="663" t="s">
        <v>10648</v>
      </c>
      <c r="F31" s="658">
        <v>0.1</v>
      </c>
      <c r="G31" s="658">
        <v>0.08</v>
      </c>
      <c r="H31" s="663">
        <v>1638800</v>
      </c>
      <c r="I31" s="664">
        <f t="shared" si="0"/>
        <v>1489820</v>
      </c>
      <c r="J31" s="664">
        <f t="shared" si="1"/>
        <v>1507700</v>
      </c>
      <c r="K31" s="661"/>
    </row>
    <row r="32" spans="1:11" ht="18.75" customHeight="1">
      <c r="A32" s="661"/>
      <c r="B32" s="657" t="s">
        <v>10643</v>
      </c>
      <c r="C32" s="657" t="s">
        <v>10644</v>
      </c>
      <c r="D32" s="663" t="s">
        <v>10649</v>
      </c>
      <c r="E32" s="663" t="s">
        <v>10650</v>
      </c>
      <c r="F32" s="658">
        <v>0.1</v>
      </c>
      <c r="G32" s="658">
        <v>0.08</v>
      </c>
      <c r="H32" s="663">
        <v>1737600</v>
      </c>
      <c r="I32" s="664">
        <f t="shared" si="0"/>
        <v>1579640</v>
      </c>
      <c r="J32" s="664">
        <f t="shared" si="1"/>
        <v>1598590</v>
      </c>
      <c r="K32" s="661"/>
    </row>
    <row r="33" spans="1:11" ht="18.75" customHeight="1">
      <c r="A33" s="661"/>
      <c r="B33" s="657" t="s">
        <v>10643</v>
      </c>
      <c r="C33" s="657" t="s">
        <v>10644</v>
      </c>
      <c r="D33" s="663" t="s">
        <v>10651</v>
      </c>
      <c r="E33" s="663" t="s">
        <v>10652</v>
      </c>
      <c r="F33" s="658">
        <v>0.1</v>
      </c>
      <c r="G33" s="658">
        <v>0.08</v>
      </c>
      <c r="H33" s="664">
        <v>1116300</v>
      </c>
      <c r="I33" s="664">
        <f t="shared" si="0"/>
        <v>1014820</v>
      </c>
      <c r="J33" s="664">
        <f t="shared" si="1"/>
        <v>1027000</v>
      </c>
      <c r="K33" s="661"/>
    </row>
    <row r="34" spans="1:11" ht="18.75" customHeight="1">
      <c r="A34" s="661"/>
      <c r="B34" s="657" t="s">
        <v>10643</v>
      </c>
      <c r="C34" s="657" t="s">
        <v>10644</v>
      </c>
      <c r="D34" s="663" t="s">
        <v>10653</v>
      </c>
      <c r="E34" s="663" t="s">
        <v>10654</v>
      </c>
      <c r="F34" s="658">
        <v>0.1</v>
      </c>
      <c r="G34" s="658">
        <v>0.08</v>
      </c>
      <c r="H34" s="664">
        <v>1138700</v>
      </c>
      <c r="I34" s="664">
        <f t="shared" si="0"/>
        <v>1035180</v>
      </c>
      <c r="J34" s="664">
        <f t="shared" si="1"/>
        <v>1047600</v>
      </c>
      <c r="K34" s="661"/>
    </row>
    <row r="35" spans="1:11" ht="18.75" customHeight="1">
      <c r="A35" s="661"/>
      <c r="B35" s="657" t="s">
        <v>10643</v>
      </c>
      <c r="C35" s="657" t="s">
        <v>10644</v>
      </c>
      <c r="D35" s="663" t="s">
        <v>638</v>
      </c>
      <c r="E35" s="663" t="s">
        <v>639</v>
      </c>
      <c r="F35" s="658">
        <v>0.1</v>
      </c>
      <c r="G35" s="658">
        <v>0.08</v>
      </c>
      <c r="H35" s="664">
        <v>1556300</v>
      </c>
      <c r="I35" s="664">
        <f t="shared" si="0"/>
        <v>1414820</v>
      </c>
      <c r="J35" s="664">
        <f t="shared" si="1"/>
        <v>1431800</v>
      </c>
      <c r="K35" s="661"/>
    </row>
    <row r="36" spans="1:11" ht="18.75" customHeight="1">
      <c r="A36" s="661"/>
      <c r="B36" s="657" t="s">
        <v>10643</v>
      </c>
      <c r="C36" s="657" t="s">
        <v>10644</v>
      </c>
      <c r="D36" s="663" t="s">
        <v>640</v>
      </c>
      <c r="E36" s="663" t="s">
        <v>641</v>
      </c>
      <c r="F36" s="658">
        <v>0.1</v>
      </c>
      <c r="G36" s="658">
        <v>0.08</v>
      </c>
      <c r="H36" s="664">
        <v>1666300</v>
      </c>
      <c r="I36" s="664">
        <f t="shared" si="0"/>
        <v>1514820</v>
      </c>
      <c r="J36" s="664">
        <f t="shared" si="1"/>
        <v>1533000</v>
      </c>
      <c r="K36" s="661"/>
    </row>
    <row r="37" spans="1:11" ht="18.75" customHeight="1">
      <c r="A37" s="661"/>
      <c r="B37" s="657" t="s">
        <v>10643</v>
      </c>
      <c r="C37" s="657" t="s">
        <v>10644</v>
      </c>
      <c r="D37" s="663" t="s">
        <v>642</v>
      </c>
      <c r="E37" s="663" t="s">
        <v>643</v>
      </c>
      <c r="F37" s="658">
        <v>0.1</v>
      </c>
      <c r="G37" s="658">
        <v>0.08</v>
      </c>
      <c r="H37" s="664">
        <v>1776300</v>
      </c>
      <c r="I37" s="664">
        <f t="shared" si="0"/>
        <v>1614820</v>
      </c>
      <c r="J37" s="664">
        <f t="shared" si="1"/>
        <v>1634200</v>
      </c>
      <c r="K37" s="661"/>
    </row>
    <row r="38" spans="1:11" ht="18.75" customHeight="1">
      <c r="A38" s="661"/>
      <c r="B38" s="657" t="s">
        <v>10643</v>
      </c>
      <c r="C38" s="657" t="s">
        <v>10644</v>
      </c>
      <c r="D38" s="663" t="s">
        <v>644</v>
      </c>
      <c r="E38" s="663" t="s">
        <v>645</v>
      </c>
      <c r="F38" s="658">
        <v>0.1</v>
      </c>
      <c r="G38" s="658">
        <v>0.08</v>
      </c>
      <c r="H38" s="664">
        <v>1045000</v>
      </c>
      <c r="I38" s="664">
        <f t="shared" si="0"/>
        <v>950000</v>
      </c>
      <c r="J38" s="664">
        <f t="shared" si="1"/>
        <v>961400</v>
      </c>
      <c r="K38" s="661"/>
    </row>
    <row r="39" spans="1:11" ht="18.75" customHeight="1">
      <c r="A39" s="661"/>
      <c r="B39" s="657" t="s">
        <v>10643</v>
      </c>
      <c r="C39" s="657" t="s">
        <v>10644</v>
      </c>
      <c r="D39" s="663" t="s">
        <v>10655</v>
      </c>
      <c r="E39" s="663" t="s">
        <v>646</v>
      </c>
      <c r="F39" s="658">
        <v>0.1</v>
      </c>
      <c r="G39" s="658">
        <v>0.08</v>
      </c>
      <c r="H39" s="664">
        <v>1100000</v>
      </c>
      <c r="I39" s="664">
        <f t="shared" si="0"/>
        <v>1000000</v>
      </c>
      <c r="J39" s="664">
        <f t="shared" si="1"/>
        <v>1012000</v>
      </c>
      <c r="K39" s="661"/>
    </row>
    <row r="40" spans="1:11" ht="18.75" customHeight="1">
      <c r="A40" s="661"/>
      <c r="B40" s="657" t="s">
        <v>10643</v>
      </c>
      <c r="C40" s="657" t="s">
        <v>10656</v>
      </c>
      <c r="D40" s="663" t="s">
        <v>626</v>
      </c>
      <c r="E40" s="663" t="s">
        <v>10657</v>
      </c>
      <c r="F40" s="658">
        <v>0.1</v>
      </c>
      <c r="G40" s="658">
        <v>0.08</v>
      </c>
      <c r="H40" s="663">
        <v>1528800</v>
      </c>
      <c r="I40" s="664">
        <f t="shared" si="0"/>
        <v>1389820</v>
      </c>
      <c r="J40" s="664">
        <f t="shared" si="1"/>
        <v>1406500</v>
      </c>
      <c r="K40" s="661"/>
    </row>
    <row r="41" spans="1:11" ht="18.75" customHeight="1">
      <c r="A41" s="661"/>
      <c r="B41" s="657" t="s">
        <v>10643</v>
      </c>
      <c r="C41" s="657" t="s">
        <v>10656</v>
      </c>
      <c r="D41" s="663" t="s">
        <v>629</v>
      </c>
      <c r="E41" s="663" t="s">
        <v>10658</v>
      </c>
      <c r="F41" s="658">
        <v>0.1</v>
      </c>
      <c r="G41" s="658">
        <v>0.08</v>
      </c>
      <c r="H41" s="663">
        <v>1638800</v>
      </c>
      <c r="I41" s="664">
        <f t="shared" si="0"/>
        <v>1489820</v>
      </c>
      <c r="J41" s="664">
        <f t="shared" si="1"/>
        <v>1507700</v>
      </c>
      <c r="K41" s="661"/>
    </row>
    <row r="42" spans="1:11" ht="18.75" customHeight="1">
      <c r="A42" s="661"/>
      <c r="B42" s="657" t="s">
        <v>10643</v>
      </c>
      <c r="C42" s="657" t="s">
        <v>10656</v>
      </c>
      <c r="D42" s="663" t="s">
        <v>631</v>
      </c>
      <c r="E42" s="663" t="s">
        <v>10659</v>
      </c>
      <c r="F42" s="658">
        <v>0.1</v>
      </c>
      <c r="G42" s="658">
        <v>0.08</v>
      </c>
      <c r="H42" s="663">
        <v>1737600</v>
      </c>
      <c r="I42" s="664">
        <f t="shared" si="0"/>
        <v>1579640</v>
      </c>
      <c r="J42" s="664">
        <f t="shared" si="1"/>
        <v>1598590</v>
      </c>
      <c r="K42" s="661"/>
    </row>
    <row r="43" spans="1:11" ht="18.75" customHeight="1">
      <c r="A43" s="661"/>
      <c r="B43" s="657" t="s">
        <v>10643</v>
      </c>
      <c r="C43" s="657" t="s">
        <v>10656</v>
      </c>
      <c r="D43" s="663" t="s">
        <v>633</v>
      </c>
      <c r="E43" s="663" t="s">
        <v>10660</v>
      </c>
      <c r="F43" s="658">
        <v>0.1</v>
      </c>
      <c r="G43" s="658">
        <v>0.08</v>
      </c>
      <c r="H43" s="664">
        <v>1116300</v>
      </c>
      <c r="I43" s="664">
        <f t="shared" si="0"/>
        <v>1014820</v>
      </c>
      <c r="J43" s="664">
        <f t="shared" si="1"/>
        <v>1027000</v>
      </c>
      <c r="K43" s="661"/>
    </row>
    <row r="44" spans="1:11" ht="18.75" customHeight="1">
      <c r="A44" s="661"/>
      <c r="B44" s="657" t="s">
        <v>10643</v>
      </c>
      <c r="C44" s="657" t="s">
        <v>10656</v>
      </c>
      <c r="D44" s="663" t="s">
        <v>10661</v>
      </c>
      <c r="E44" s="663" t="s">
        <v>10662</v>
      </c>
      <c r="F44" s="658">
        <v>0.1</v>
      </c>
      <c r="G44" s="658">
        <v>0.08</v>
      </c>
      <c r="H44" s="664">
        <v>1138700</v>
      </c>
      <c r="I44" s="664">
        <f t="shared" si="0"/>
        <v>1035180</v>
      </c>
      <c r="J44" s="664">
        <f t="shared" si="1"/>
        <v>1047600</v>
      </c>
      <c r="K44" s="661"/>
    </row>
    <row r="45" spans="1:11" ht="18.75" customHeight="1">
      <c r="A45" s="661"/>
      <c r="B45" s="657" t="s">
        <v>10643</v>
      </c>
      <c r="C45" s="657" t="s">
        <v>10656</v>
      </c>
      <c r="D45" s="663" t="s">
        <v>10663</v>
      </c>
      <c r="E45" s="663" t="s">
        <v>10664</v>
      </c>
      <c r="F45" s="658">
        <v>0.1</v>
      </c>
      <c r="G45" s="658">
        <v>0.08</v>
      </c>
      <c r="H45" s="664">
        <v>1556300</v>
      </c>
      <c r="I45" s="664">
        <f t="shared" si="0"/>
        <v>1414820</v>
      </c>
      <c r="J45" s="664">
        <f t="shared" si="1"/>
        <v>1431800</v>
      </c>
      <c r="K45" s="661"/>
    </row>
    <row r="46" spans="1:11" ht="18.75" customHeight="1">
      <c r="A46" s="661"/>
      <c r="B46" s="657" t="s">
        <v>10643</v>
      </c>
      <c r="C46" s="657" t="s">
        <v>10656</v>
      </c>
      <c r="D46" s="663" t="s">
        <v>10665</v>
      </c>
      <c r="E46" s="663" t="s">
        <v>10666</v>
      </c>
      <c r="F46" s="658">
        <v>0.1</v>
      </c>
      <c r="G46" s="658">
        <v>0.08</v>
      </c>
      <c r="H46" s="664">
        <v>1666300</v>
      </c>
      <c r="I46" s="664">
        <f t="shared" si="0"/>
        <v>1514820</v>
      </c>
      <c r="J46" s="664">
        <f t="shared" si="1"/>
        <v>1533000</v>
      </c>
      <c r="K46" s="661"/>
    </row>
    <row r="47" spans="1:11" ht="18.75" customHeight="1">
      <c r="A47" s="661"/>
      <c r="B47" s="657" t="s">
        <v>10643</v>
      </c>
      <c r="C47" s="657" t="s">
        <v>10656</v>
      </c>
      <c r="D47" s="663" t="s">
        <v>10667</v>
      </c>
      <c r="E47" s="663" t="s">
        <v>10668</v>
      </c>
      <c r="F47" s="658">
        <v>0.1</v>
      </c>
      <c r="G47" s="658">
        <v>0.08</v>
      </c>
      <c r="H47" s="664">
        <v>1776300</v>
      </c>
      <c r="I47" s="664">
        <f t="shared" si="0"/>
        <v>1614820</v>
      </c>
      <c r="J47" s="664">
        <f t="shared" si="1"/>
        <v>1634200</v>
      </c>
      <c r="K47" s="661"/>
    </row>
    <row r="48" spans="1:11" ht="18.75" customHeight="1">
      <c r="A48" s="661"/>
      <c r="B48" s="657" t="s">
        <v>10643</v>
      </c>
      <c r="C48" s="657" t="s">
        <v>10656</v>
      </c>
      <c r="D48" s="663" t="s">
        <v>10669</v>
      </c>
      <c r="E48" s="663" t="s">
        <v>10670</v>
      </c>
      <c r="F48" s="658">
        <v>0.1</v>
      </c>
      <c r="G48" s="658">
        <v>0.08</v>
      </c>
      <c r="H48" s="664">
        <v>98800</v>
      </c>
      <c r="I48" s="664">
        <f t="shared" si="0"/>
        <v>89820</v>
      </c>
      <c r="J48" s="664">
        <f t="shared" si="1"/>
        <v>90900</v>
      </c>
      <c r="K48" s="661"/>
    </row>
    <row r="49" spans="1:11" ht="18.75" customHeight="1">
      <c r="A49" s="661"/>
      <c r="B49" s="657" t="s">
        <v>10643</v>
      </c>
      <c r="C49" s="657" t="s">
        <v>10656</v>
      </c>
      <c r="D49" s="663" t="s">
        <v>10671</v>
      </c>
      <c r="E49" s="663" t="s">
        <v>10672</v>
      </c>
      <c r="F49" s="658">
        <v>0.1</v>
      </c>
      <c r="G49" s="658">
        <v>0.08</v>
      </c>
      <c r="H49" s="664">
        <v>82500</v>
      </c>
      <c r="I49" s="664">
        <f t="shared" si="0"/>
        <v>75000</v>
      </c>
      <c r="J49" s="664">
        <f t="shared" si="1"/>
        <v>75900</v>
      </c>
      <c r="K49" s="661"/>
    </row>
    <row r="50" spans="1:11" ht="18.75" customHeight="1">
      <c r="A50" s="661"/>
      <c r="B50" s="657" t="s">
        <v>10643</v>
      </c>
      <c r="C50" s="657" t="s">
        <v>10656</v>
      </c>
      <c r="D50" s="663" t="s">
        <v>10673</v>
      </c>
      <c r="E50" s="663" t="s">
        <v>10674</v>
      </c>
      <c r="F50" s="658">
        <v>0.1</v>
      </c>
      <c r="G50" s="658">
        <v>0.08</v>
      </c>
      <c r="H50" s="664">
        <v>83500</v>
      </c>
      <c r="I50" s="664">
        <f t="shared" si="0"/>
        <v>75910</v>
      </c>
      <c r="J50" s="664">
        <f t="shared" si="1"/>
        <v>76820</v>
      </c>
      <c r="K50" s="661"/>
    </row>
    <row r="51" spans="1:11" ht="18.75" customHeight="1">
      <c r="A51" s="661"/>
      <c r="B51" s="657" t="s">
        <v>10643</v>
      </c>
      <c r="C51" s="657" t="s">
        <v>10656</v>
      </c>
      <c r="D51" s="663" t="s">
        <v>10675</v>
      </c>
      <c r="E51" s="663" t="s">
        <v>10676</v>
      </c>
      <c r="F51" s="658">
        <v>0.1</v>
      </c>
      <c r="G51" s="658">
        <v>0.08</v>
      </c>
      <c r="H51" s="664">
        <v>98800</v>
      </c>
      <c r="I51" s="664">
        <f t="shared" si="0"/>
        <v>89820</v>
      </c>
      <c r="J51" s="664">
        <f t="shared" si="1"/>
        <v>90900</v>
      </c>
      <c r="K51" s="661"/>
    </row>
    <row r="52" spans="1:11" ht="18.75" customHeight="1">
      <c r="A52" s="661"/>
      <c r="B52" s="657" t="s">
        <v>10643</v>
      </c>
      <c r="C52" s="657" t="s">
        <v>10656</v>
      </c>
      <c r="D52" s="663" t="s">
        <v>10677</v>
      </c>
      <c r="E52" s="663" t="s">
        <v>10678</v>
      </c>
      <c r="F52" s="658">
        <v>0.1</v>
      </c>
      <c r="G52" s="658">
        <v>0.08</v>
      </c>
      <c r="H52" s="664">
        <v>82500</v>
      </c>
      <c r="I52" s="664">
        <f t="shared" si="0"/>
        <v>75000</v>
      </c>
      <c r="J52" s="664">
        <f t="shared" si="1"/>
        <v>75900</v>
      </c>
      <c r="K52" s="661"/>
    </row>
    <row r="53" spans="1:11" ht="18.75" customHeight="1">
      <c r="A53" s="661"/>
      <c r="B53" s="657" t="s">
        <v>10643</v>
      </c>
      <c r="C53" s="657" t="s">
        <v>10656</v>
      </c>
      <c r="D53" s="663" t="s">
        <v>10679</v>
      </c>
      <c r="E53" s="663" t="s">
        <v>10680</v>
      </c>
      <c r="F53" s="658">
        <v>0.1</v>
      </c>
      <c r="G53" s="658">
        <v>0.08</v>
      </c>
      <c r="H53" s="664">
        <v>30600</v>
      </c>
      <c r="I53" s="664">
        <f t="shared" si="0"/>
        <v>27820</v>
      </c>
      <c r="J53" s="664">
        <f t="shared" si="1"/>
        <v>28150</v>
      </c>
      <c r="K53" s="661"/>
    </row>
    <row r="54" spans="1:11" ht="18.75" customHeight="1">
      <c r="A54" s="661"/>
      <c r="B54" s="657" t="s">
        <v>10643</v>
      </c>
      <c r="C54" s="657" t="s">
        <v>10656</v>
      </c>
      <c r="D54" s="663" t="s">
        <v>10681</v>
      </c>
      <c r="E54" s="663" t="s">
        <v>10682</v>
      </c>
      <c r="F54" s="658">
        <v>0.1</v>
      </c>
      <c r="G54" s="658">
        <v>0.08</v>
      </c>
      <c r="H54" s="663"/>
      <c r="I54" s="664">
        <f t="shared" si="0"/>
        <v>0</v>
      </c>
      <c r="J54" s="664">
        <f t="shared" si="1"/>
        <v>0</v>
      </c>
      <c r="K54" s="661"/>
    </row>
    <row r="55" spans="1:11" ht="18.75" customHeight="1">
      <c r="A55" s="661"/>
      <c r="B55" s="657" t="s">
        <v>10643</v>
      </c>
      <c r="C55" s="657" t="s">
        <v>10656</v>
      </c>
      <c r="D55" s="663" t="s">
        <v>10683</v>
      </c>
      <c r="E55" s="663" t="s">
        <v>10684</v>
      </c>
      <c r="F55" s="658">
        <v>0.1</v>
      </c>
      <c r="G55" s="658">
        <v>0.08</v>
      </c>
      <c r="H55" s="663"/>
      <c r="I55" s="664">
        <f t="shared" si="0"/>
        <v>0</v>
      </c>
      <c r="J55" s="664">
        <f t="shared" si="1"/>
        <v>0</v>
      </c>
      <c r="K55" s="661"/>
    </row>
    <row r="56" spans="1:11" ht="18.75" customHeight="1">
      <c r="A56" s="661"/>
      <c r="B56" s="657" t="s">
        <v>10643</v>
      </c>
      <c r="C56" s="657" t="s">
        <v>10656</v>
      </c>
      <c r="D56" s="663" t="s">
        <v>10685</v>
      </c>
      <c r="E56" s="663" t="s">
        <v>10686</v>
      </c>
      <c r="F56" s="658">
        <v>0.1</v>
      </c>
      <c r="G56" s="658">
        <v>0.08</v>
      </c>
      <c r="H56" s="663">
        <v>43800</v>
      </c>
      <c r="I56" s="664">
        <f t="shared" si="0"/>
        <v>39820</v>
      </c>
      <c r="J56" s="664">
        <f t="shared" si="1"/>
        <v>40300</v>
      </c>
      <c r="K56" s="661"/>
    </row>
    <row r="57" spans="1:11" ht="18.75" customHeight="1">
      <c r="A57" s="661"/>
      <c r="B57" s="657" t="s">
        <v>10643</v>
      </c>
      <c r="C57" s="657" t="s">
        <v>10656</v>
      </c>
      <c r="D57" s="663" t="s">
        <v>10687</v>
      </c>
      <c r="E57" s="663" t="s">
        <v>10688</v>
      </c>
      <c r="F57" s="658">
        <v>0.1</v>
      </c>
      <c r="G57" s="658">
        <v>0.08</v>
      </c>
      <c r="H57" s="664">
        <v>24400</v>
      </c>
      <c r="I57" s="664">
        <f t="shared" si="0"/>
        <v>22180</v>
      </c>
      <c r="J57" s="664">
        <f t="shared" si="1"/>
        <v>22450</v>
      </c>
      <c r="K57" s="661"/>
    </row>
    <row r="58" spans="1:11" ht="18.75" customHeight="1">
      <c r="A58" s="661"/>
      <c r="B58" s="657" t="s">
        <v>10643</v>
      </c>
      <c r="C58" s="657" t="s">
        <v>10656</v>
      </c>
      <c r="D58" s="663" t="s">
        <v>10689</v>
      </c>
      <c r="E58" s="663" t="s">
        <v>10690</v>
      </c>
      <c r="F58" s="658">
        <v>0.1</v>
      </c>
      <c r="G58" s="658">
        <v>0.08</v>
      </c>
      <c r="H58" s="664">
        <v>24400</v>
      </c>
      <c r="I58" s="664">
        <f t="shared" si="0"/>
        <v>22180</v>
      </c>
      <c r="J58" s="664">
        <f t="shared" si="1"/>
        <v>22450</v>
      </c>
      <c r="K58" s="661"/>
    </row>
    <row r="59" spans="1:11" ht="18.75" customHeight="1">
      <c r="A59" s="661"/>
      <c r="B59" s="657" t="s">
        <v>10643</v>
      </c>
      <c r="C59" s="657" t="s">
        <v>10656</v>
      </c>
      <c r="D59" s="663" t="s">
        <v>10691</v>
      </c>
      <c r="E59" s="663" t="s">
        <v>10692</v>
      </c>
      <c r="F59" s="658">
        <v>0.1</v>
      </c>
      <c r="G59" s="658">
        <v>0.08</v>
      </c>
      <c r="H59" s="664">
        <v>34700</v>
      </c>
      <c r="I59" s="664">
        <f t="shared" si="0"/>
        <v>31550</v>
      </c>
      <c r="J59" s="664">
        <f t="shared" si="1"/>
        <v>31920</v>
      </c>
      <c r="K59" s="661"/>
    </row>
    <row r="60" spans="1:11" ht="18.75" customHeight="1">
      <c r="A60" s="661"/>
      <c r="B60" s="657" t="s">
        <v>10643</v>
      </c>
      <c r="C60" s="657" t="s">
        <v>10656</v>
      </c>
      <c r="D60" s="663" t="s">
        <v>10693</v>
      </c>
      <c r="E60" s="663" t="s">
        <v>10694</v>
      </c>
      <c r="F60" s="658">
        <v>0.1</v>
      </c>
      <c r="G60" s="658">
        <v>0.08</v>
      </c>
      <c r="H60" s="664">
        <v>43800</v>
      </c>
      <c r="I60" s="664">
        <f t="shared" si="0"/>
        <v>39820</v>
      </c>
      <c r="J60" s="664">
        <f t="shared" si="1"/>
        <v>40300</v>
      </c>
      <c r="K60" s="661"/>
    </row>
    <row r="61" spans="1:11" ht="18.75" customHeight="1">
      <c r="A61" s="661"/>
      <c r="B61" s="657" t="s">
        <v>10643</v>
      </c>
      <c r="C61" s="657" t="s">
        <v>10656</v>
      </c>
      <c r="D61" s="663" t="s">
        <v>10695</v>
      </c>
      <c r="E61" s="663" t="s">
        <v>10696</v>
      </c>
      <c r="F61" s="658">
        <v>0.1</v>
      </c>
      <c r="G61" s="658">
        <v>0.08</v>
      </c>
      <c r="H61" s="663"/>
      <c r="I61" s="664">
        <f t="shared" si="0"/>
        <v>0</v>
      </c>
      <c r="J61" s="664">
        <f t="shared" si="1"/>
        <v>0</v>
      </c>
      <c r="K61" s="661"/>
    </row>
    <row r="62" spans="1:11" ht="18.75" customHeight="1">
      <c r="A62" s="661"/>
      <c r="B62" s="657" t="s">
        <v>10643</v>
      </c>
      <c r="C62" s="657" t="s">
        <v>10656</v>
      </c>
      <c r="D62" s="663" t="s">
        <v>10697</v>
      </c>
      <c r="E62" s="663" t="s">
        <v>10698</v>
      </c>
      <c r="F62" s="658">
        <v>0.1</v>
      </c>
      <c r="G62" s="658">
        <v>0.08</v>
      </c>
      <c r="H62" s="663"/>
      <c r="I62" s="664">
        <f t="shared" si="0"/>
        <v>0</v>
      </c>
      <c r="J62" s="664">
        <f t="shared" si="1"/>
        <v>0</v>
      </c>
      <c r="K62" s="661"/>
    </row>
    <row r="63" spans="1:11" ht="18.75" customHeight="1">
      <c r="A63" s="661"/>
      <c r="B63" s="657" t="s">
        <v>10643</v>
      </c>
      <c r="C63" s="657" t="s">
        <v>10656</v>
      </c>
      <c r="D63" s="663" t="s">
        <v>10699</v>
      </c>
      <c r="E63" s="663" t="s">
        <v>10700</v>
      </c>
      <c r="F63" s="658">
        <v>0.1</v>
      </c>
      <c r="G63" s="658">
        <v>0.08</v>
      </c>
      <c r="H63" s="664">
        <v>69300</v>
      </c>
      <c r="I63" s="664">
        <f t="shared" si="0"/>
        <v>63000</v>
      </c>
      <c r="J63" s="664">
        <f t="shared" si="1"/>
        <v>63760</v>
      </c>
      <c r="K63" s="661"/>
    </row>
    <row r="64" spans="1:11" ht="18.75" customHeight="1">
      <c r="A64" s="661"/>
      <c r="B64" s="657" t="s">
        <v>10643</v>
      </c>
      <c r="C64" s="657" t="s">
        <v>10656</v>
      </c>
      <c r="D64" s="663" t="s">
        <v>10701</v>
      </c>
      <c r="E64" s="663" t="s">
        <v>10702</v>
      </c>
      <c r="F64" s="658">
        <v>0.1</v>
      </c>
      <c r="G64" s="658">
        <v>0.08</v>
      </c>
      <c r="H64" s="664">
        <v>126300</v>
      </c>
      <c r="I64" s="664">
        <f t="shared" si="0"/>
        <v>114820</v>
      </c>
      <c r="J64" s="664">
        <f t="shared" si="1"/>
        <v>116200</v>
      </c>
      <c r="K64" s="661"/>
    </row>
    <row r="65" spans="1:11" ht="18.75" customHeight="1">
      <c r="A65" s="661"/>
      <c r="B65" s="657" t="s">
        <v>10703</v>
      </c>
      <c r="C65" s="657" t="s">
        <v>10704</v>
      </c>
      <c r="D65" s="663" t="s">
        <v>10705</v>
      </c>
      <c r="E65" s="663" t="s">
        <v>10706</v>
      </c>
      <c r="F65" s="658">
        <v>0.1</v>
      </c>
      <c r="G65" s="658">
        <v>0</v>
      </c>
      <c r="H65" s="664">
        <v>99000</v>
      </c>
      <c r="I65" s="664">
        <f t="shared" si="0"/>
        <v>90000</v>
      </c>
      <c r="J65" s="664">
        <f t="shared" si="1"/>
        <v>99000</v>
      </c>
      <c r="K65" s="661"/>
    </row>
    <row r="66" spans="1:11" ht="18.75" customHeight="1">
      <c r="A66" s="661"/>
      <c r="B66" s="657" t="s">
        <v>10703</v>
      </c>
      <c r="C66" s="657" t="s">
        <v>10704</v>
      </c>
      <c r="D66" s="663" t="s">
        <v>10707</v>
      </c>
      <c r="E66" s="663" t="s">
        <v>10708</v>
      </c>
      <c r="F66" s="658">
        <v>0.1</v>
      </c>
      <c r="G66" s="658">
        <v>0</v>
      </c>
      <c r="H66" s="664">
        <v>82400</v>
      </c>
      <c r="I66" s="664">
        <f t="shared" si="0"/>
        <v>74910</v>
      </c>
      <c r="J66" s="664">
        <f t="shared" si="1"/>
        <v>82400</v>
      </c>
      <c r="K66" s="661"/>
    </row>
    <row r="67" spans="1:11" ht="18.75" customHeight="1">
      <c r="A67" s="661"/>
      <c r="B67" s="657" t="s">
        <v>10703</v>
      </c>
      <c r="C67" s="657" t="s">
        <v>10704</v>
      </c>
      <c r="D67" s="663" t="s">
        <v>10709</v>
      </c>
      <c r="E67" s="663" t="s">
        <v>10710</v>
      </c>
      <c r="F67" s="658">
        <v>0.1</v>
      </c>
      <c r="G67" s="658">
        <v>0</v>
      </c>
      <c r="H67" s="664">
        <v>83500</v>
      </c>
      <c r="I67" s="664">
        <f t="shared" si="0"/>
        <v>75910</v>
      </c>
      <c r="J67" s="664">
        <f t="shared" si="1"/>
        <v>83500</v>
      </c>
      <c r="K67" s="661"/>
    </row>
    <row r="68" spans="1:11" ht="18.75" customHeight="1">
      <c r="A68" s="661"/>
      <c r="B68" s="657" t="s">
        <v>10703</v>
      </c>
      <c r="C68" s="657" t="s">
        <v>10704</v>
      </c>
      <c r="D68" s="663" t="s">
        <v>10711</v>
      </c>
      <c r="E68" s="663" t="s">
        <v>10712</v>
      </c>
      <c r="F68" s="658">
        <v>0.1</v>
      </c>
      <c r="G68" s="658">
        <v>0</v>
      </c>
      <c r="H68" s="664">
        <v>99000</v>
      </c>
      <c r="I68" s="664">
        <f t="shared" si="0"/>
        <v>90000</v>
      </c>
      <c r="J68" s="664">
        <f t="shared" si="1"/>
        <v>99000</v>
      </c>
      <c r="K68" s="661"/>
    </row>
    <row r="69" spans="1:11" ht="18.75" customHeight="1">
      <c r="A69" s="661"/>
      <c r="B69" s="657" t="s">
        <v>10703</v>
      </c>
      <c r="C69" s="657" t="s">
        <v>10704</v>
      </c>
      <c r="D69" s="663" t="s">
        <v>10713</v>
      </c>
      <c r="E69" s="663" t="s">
        <v>10714</v>
      </c>
      <c r="F69" s="658">
        <v>0.1</v>
      </c>
      <c r="G69" s="658">
        <v>0</v>
      </c>
      <c r="H69" s="664">
        <v>82300</v>
      </c>
      <c r="I69" s="664">
        <f t="shared" si="0"/>
        <v>74820</v>
      </c>
      <c r="J69" s="664">
        <f t="shared" si="1"/>
        <v>82300</v>
      </c>
      <c r="K69" s="661"/>
    </row>
    <row r="70" spans="1:11" ht="18.75" customHeight="1">
      <c r="A70" s="661"/>
      <c r="B70" s="657" t="s">
        <v>1970</v>
      </c>
      <c r="C70" s="657" t="s">
        <v>10715</v>
      </c>
      <c r="D70" s="663" t="s">
        <v>10716</v>
      </c>
      <c r="E70" s="663" t="s">
        <v>10717</v>
      </c>
      <c r="F70" s="658">
        <v>0.1</v>
      </c>
      <c r="G70" s="658">
        <v>0.05</v>
      </c>
      <c r="H70" s="664">
        <v>30800</v>
      </c>
      <c r="I70" s="664">
        <f t="shared" si="0"/>
        <v>28000</v>
      </c>
      <c r="J70" s="664">
        <f t="shared" si="1"/>
        <v>29260</v>
      </c>
      <c r="K70" s="661"/>
    </row>
    <row r="71" spans="1:11" ht="18.75" customHeight="1">
      <c r="A71" s="661"/>
      <c r="B71" s="657" t="s">
        <v>1970</v>
      </c>
      <c r="C71" s="657" t="s">
        <v>10715</v>
      </c>
      <c r="D71" s="663" t="s">
        <v>10718</v>
      </c>
      <c r="E71" s="663" t="s">
        <v>10719</v>
      </c>
      <c r="F71" s="658">
        <v>0.1</v>
      </c>
      <c r="G71" s="658">
        <v>0.05</v>
      </c>
      <c r="H71" s="664"/>
      <c r="I71" s="664">
        <f t="shared" si="0"/>
        <v>0</v>
      </c>
      <c r="J71" s="664">
        <f t="shared" si="1"/>
        <v>0</v>
      </c>
      <c r="K71" s="661"/>
    </row>
    <row r="72" spans="1:11" ht="18.75" customHeight="1">
      <c r="A72" s="661"/>
      <c r="B72" s="657" t="s">
        <v>1970</v>
      </c>
      <c r="C72" s="657" t="s">
        <v>10715</v>
      </c>
      <c r="D72" s="663" t="s">
        <v>10720</v>
      </c>
      <c r="E72" s="663" t="s">
        <v>10721</v>
      </c>
      <c r="F72" s="658">
        <v>0.1</v>
      </c>
      <c r="G72" s="658">
        <v>0.05</v>
      </c>
      <c r="H72" s="664"/>
      <c r="I72" s="664">
        <f t="shared" si="0"/>
        <v>0</v>
      </c>
      <c r="J72" s="664">
        <f t="shared" si="1"/>
        <v>0</v>
      </c>
      <c r="K72" s="661"/>
    </row>
    <row r="73" spans="1:11" ht="18.75" customHeight="1">
      <c r="A73" s="661"/>
      <c r="B73" s="657" t="s">
        <v>1970</v>
      </c>
      <c r="C73" s="657" t="s">
        <v>10715</v>
      </c>
      <c r="D73" s="663" t="s">
        <v>10722</v>
      </c>
      <c r="E73" s="663" t="s">
        <v>10723</v>
      </c>
      <c r="F73" s="658">
        <v>0.1</v>
      </c>
      <c r="G73" s="658">
        <v>0.05</v>
      </c>
      <c r="H73" s="664">
        <v>44000</v>
      </c>
      <c r="I73" s="664">
        <f t="shared" si="0"/>
        <v>40000</v>
      </c>
      <c r="J73" s="664">
        <f t="shared" si="1"/>
        <v>41800</v>
      </c>
      <c r="K73" s="661"/>
    </row>
    <row r="74" spans="1:11" ht="18.75" customHeight="1">
      <c r="A74" s="661"/>
      <c r="B74" s="657" t="s">
        <v>1970</v>
      </c>
      <c r="C74" s="657" t="s">
        <v>10715</v>
      </c>
      <c r="D74" s="663" t="s">
        <v>10724</v>
      </c>
      <c r="E74" s="663" t="s">
        <v>10725</v>
      </c>
      <c r="F74" s="658">
        <v>0.1</v>
      </c>
      <c r="G74" s="658">
        <v>0.05</v>
      </c>
      <c r="H74" s="664">
        <v>24400</v>
      </c>
      <c r="I74" s="664">
        <f t="shared" si="0"/>
        <v>22180</v>
      </c>
      <c r="J74" s="664">
        <f t="shared" si="1"/>
        <v>23180</v>
      </c>
      <c r="K74" s="661"/>
    </row>
    <row r="75" spans="1:11" ht="18.75" customHeight="1">
      <c r="A75" s="661"/>
      <c r="B75" s="657" t="s">
        <v>1970</v>
      </c>
      <c r="C75" s="657" t="s">
        <v>10715</v>
      </c>
      <c r="D75" s="663" t="s">
        <v>10726</v>
      </c>
      <c r="E75" s="663" t="s">
        <v>10725</v>
      </c>
      <c r="F75" s="658">
        <v>0.1</v>
      </c>
      <c r="G75" s="658">
        <v>0.05</v>
      </c>
      <c r="H75" s="664">
        <v>24400</v>
      </c>
      <c r="I75" s="664">
        <f t="shared" si="0"/>
        <v>22180</v>
      </c>
      <c r="J75" s="664">
        <f t="shared" si="1"/>
        <v>23180</v>
      </c>
      <c r="K75" s="661"/>
    </row>
    <row r="76" spans="1:11" ht="18.75" customHeight="1">
      <c r="A76" s="661"/>
      <c r="B76" s="657" t="s">
        <v>1970</v>
      </c>
      <c r="C76" s="657" t="s">
        <v>10715</v>
      </c>
      <c r="D76" s="663" t="s">
        <v>10727</v>
      </c>
      <c r="E76" s="663" t="s">
        <v>10728</v>
      </c>
      <c r="F76" s="658">
        <v>0.1</v>
      </c>
      <c r="G76" s="658">
        <v>0.05</v>
      </c>
      <c r="H76" s="664">
        <v>34200</v>
      </c>
      <c r="I76" s="664">
        <f t="shared" si="0"/>
        <v>31090</v>
      </c>
      <c r="J76" s="664">
        <f t="shared" si="1"/>
        <v>32490</v>
      </c>
      <c r="K76" s="661"/>
    </row>
    <row r="77" spans="1:11" ht="18.75" customHeight="1">
      <c r="A77" s="661"/>
      <c r="B77" s="657" t="s">
        <v>1970</v>
      </c>
      <c r="C77" s="657" t="s">
        <v>10715</v>
      </c>
      <c r="D77" s="663" t="s">
        <v>10729</v>
      </c>
      <c r="E77" s="663" t="s">
        <v>10730</v>
      </c>
      <c r="F77" s="658">
        <v>0.1</v>
      </c>
      <c r="G77" s="658">
        <v>0.05</v>
      </c>
      <c r="H77" s="664">
        <v>44000</v>
      </c>
      <c r="I77" s="664">
        <f t="shared" si="0"/>
        <v>40000</v>
      </c>
      <c r="J77" s="664">
        <f t="shared" si="1"/>
        <v>41800</v>
      </c>
      <c r="K77" s="661"/>
    </row>
    <row r="78" spans="1:11" ht="18.75" customHeight="1">
      <c r="A78" s="661"/>
      <c r="B78" s="657" t="s">
        <v>1970</v>
      </c>
      <c r="C78" s="657" t="s">
        <v>10715</v>
      </c>
      <c r="D78" s="663" t="s">
        <v>10731</v>
      </c>
      <c r="E78" s="663" t="s">
        <v>10732</v>
      </c>
      <c r="F78" s="658">
        <v>0.1</v>
      </c>
      <c r="G78" s="658">
        <v>0.05</v>
      </c>
      <c r="H78" s="664"/>
      <c r="I78" s="664">
        <f t="shared" si="0"/>
        <v>0</v>
      </c>
      <c r="J78" s="664">
        <f t="shared" si="1"/>
        <v>0</v>
      </c>
      <c r="K78" s="661"/>
    </row>
    <row r="79" spans="1:11" ht="18.75" customHeight="1">
      <c r="A79" s="661"/>
      <c r="B79" s="657" t="s">
        <v>1970</v>
      </c>
      <c r="C79" s="657" t="s">
        <v>10715</v>
      </c>
      <c r="D79" s="663" t="s">
        <v>10733</v>
      </c>
      <c r="E79" s="663" t="s">
        <v>10734</v>
      </c>
      <c r="F79" s="658">
        <v>0.1</v>
      </c>
      <c r="G79" s="658">
        <v>0.05</v>
      </c>
      <c r="H79" s="664"/>
      <c r="I79" s="664">
        <f t="shared" si="0"/>
        <v>0</v>
      </c>
      <c r="J79" s="664">
        <f t="shared" si="1"/>
        <v>0</v>
      </c>
      <c r="K79" s="661"/>
    </row>
    <row r="80" spans="1:11" ht="18.75" customHeight="1">
      <c r="A80" s="661"/>
      <c r="B80" s="657" t="s">
        <v>1970</v>
      </c>
      <c r="C80" s="657" t="s">
        <v>10715</v>
      </c>
      <c r="D80" s="663" t="s">
        <v>2168</v>
      </c>
      <c r="E80" s="663" t="s">
        <v>2169</v>
      </c>
      <c r="F80" s="658">
        <v>0.1</v>
      </c>
      <c r="G80" s="658">
        <v>0.05</v>
      </c>
      <c r="H80" s="664">
        <v>69100</v>
      </c>
      <c r="I80" s="664">
        <f t="shared" si="0"/>
        <v>62820</v>
      </c>
      <c r="J80" s="664">
        <f t="shared" si="1"/>
        <v>65650</v>
      </c>
      <c r="K80" s="661"/>
    </row>
    <row r="81" spans="1:11" ht="18.75" customHeight="1">
      <c r="A81" s="661"/>
      <c r="B81" s="657" t="s">
        <v>1970</v>
      </c>
      <c r="C81" s="657" t="s">
        <v>10715</v>
      </c>
      <c r="D81" s="663" t="s">
        <v>10735</v>
      </c>
      <c r="E81" s="663" t="s">
        <v>10736</v>
      </c>
      <c r="F81" s="658">
        <v>0.1</v>
      </c>
      <c r="G81" s="658">
        <v>0.05</v>
      </c>
      <c r="H81" s="664"/>
      <c r="I81" s="664">
        <f t="shared" si="0"/>
        <v>0</v>
      </c>
      <c r="J81" s="664">
        <f t="shared" si="1"/>
        <v>0</v>
      </c>
      <c r="K81" s="661"/>
    </row>
  </sheetData>
  <mergeCells count="1">
    <mergeCell ref="A1:K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K778"/>
  <sheetViews>
    <sheetView showGridLines="0" zoomScale="70" zoomScaleNormal="70" workbookViewId="0">
      <pane ySplit="4" topLeftCell="A40" activePane="bottomLeft" state="frozen"/>
      <selection pane="bottomLeft" activeCell="D3" sqref="D1:D1048576"/>
    </sheetView>
  </sheetViews>
  <sheetFormatPr defaultColWidth="12.5703125" defaultRowHeight="15" customHeight="1"/>
  <cols>
    <col min="1" max="1" width="4.85546875" customWidth="1"/>
    <col min="2" max="2" width="18.28515625" customWidth="1"/>
    <col min="3" max="3" width="19.28515625" customWidth="1"/>
    <col min="4" max="4" width="21.7109375" customWidth="1"/>
    <col min="5" max="5" width="44.7109375" customWidth="1"/>
    <col min="6" max="6" width="11.7109375" customWidth="1"/>
    <col min="7" max="7" width="11.42578125" customWidth="1"/>
    <col min="8" max="10" width="13.5703125" customWidth="1"/>
    <col min="11" max="11" width="5" customWidth="1"/>
  </cols>
  <sheetData>
    <row r="1" spans="1:11" ht="12.75" customHeight="1">
      <c r="A1" s="882" t="s">
        <v>10737</v>
      </c>
      <c r="B1" s="704"/>
      <c r="C1" s="704"/>
      <c r="D1" s="704"/>
      <c r="E1" s="704"/>
      <c r="F1" s="704"/>
      <c r="G1" s="704"/>
      <c r="H1" s="704"/>
      <c r="I1" s="704"/>
      <c r="J1" s="704"/>
      <c r="K1" s="705"/>
    </row>
    <row r="2" spans="1:11" ht="12.75" customHeight="1">
      <c r="A2" s="706"/>
      <c r="B2" s="707"/>
      <c r="C2" s="707"/>
      <c r="D2" s="707"/>
      <c r="E2" s="707"/>
      <c r="F2" s="707"/>
      <c r="G2" s="707"/>
      <c r="H2" s="707"/>
      <c r="I2" s="707"/>
      <c r="J2" s="707"/>
      <c r="K2" s="708"/>
    </row>
    <row r="3" spans="1:11" ht="12.75" customHeight="1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</row>
    <row r="4" spans="1:11" ht="12.75" customHeight="1">
      <c r="A4" s="661"/>
      <c r="B4" s="655" t="s">
        <v>673</v>
      </c>
      <c r="C4" s="655" t="s">
        <v>3925</v>
      </c>
      <c r="D4" s="662" t="s">
        <v>674</v>
      </c>
      <c r="E4" s="662" t="s">
        <v>675</v>
      </c>
      <c r="F4" s="655" t="s">
        <v>3926</v>
      </c>
      <c r="G4" s="655" t="s">
        <v>3927</v>
      </c>
      <c r="H4" s="662" t="s">
        <v>80</v>
      </c>
      <c r="I4" s="662" t="s">
        <v>81</v>
      </c>
      <c r="J4" s="662" t="s">
        <v>82</v>
      </c>
      <c r="K4" s="661"/>
    </row>
    <row r="5" spans="1:11" ht="18.75" customHeight="1">
      <c r="A5" s="661"/>
      <c r="B5" s="657" t="s">
        <v>10738</v>
      </c>
      <c r="C5" s="657" t="s">
        <v>10739</v>
      </c>
      <c r="D5" s="663" t="s">
        <v>10740</v>
      </c>
      <c r="E5" s="663" t="s">
        <v>10741</v>
      </c>
      <c r="F5" s="658">
        <v>0.1</v>
      </c>
      <c r="G5" s="658">
        <v>0</v>
      </c>
      <c r="H5" s="664">
        <v>5500</v>
      </c>
      <c r="I5" s="664">
        <f t="shared" ref="I5:I259" si="0">IF(ISBLANK(H5),,ROUND(H5/(1+F5),-1))</f>
        <v>5000</v>
      </c>
      <c r="J5" s="664">
        <f t="shared" ref="J5:J259" si="1">IF(ISBLANK(H5),,ROUND(H5*(1-G5),-1))</f>
        <v>5500</v>
      </c>
      <c r="K5" s="661"/>
    </row>
    <row r="6" spans="1:11" ht="18.75" customHeight="1">
      <c r="A6" s="661"/>
      <c r="B6" s="657" t="s">
        <v>10738</v>
      </c>
      <c r="C6" s="657" t="s">
        <v>10739</v>
      </c>
      <c r="D6" s="663" t="s">
        <v>10742</v>
      </c>
      <c r="E6" s="663" t="s">
        <v>10743</v>
      </c>
      <c r="F6" s="658">
        <v>0.1</v>
      </c>
      <c r="G6" s="658">
        <v>0</v>
      </c>
      <c r="H6" s="664">
        <v>6050</v>
      </c>
      <c r="I6" s="664">
        <f t="shared" si="0"/>
        <v>5500</v>
      </c>
      <c r="J6" s="664">
        <f t="shared" si="1"/>
        <v>6050</v>
      </c>
      <c r="K6" s="661"/>
    </row>
    <row r="7" spans="1:11" ht="18.75" customHeight="1">
      <c r="A7" s="661"/>
      <c r="B7" s="657" t="s">
        <v>10738</v>
      </c>
      <c r="C7" s="657" t="s">
        <v>10739</v>
      </c>
      <c r="D7" s="663" t="s">
        <v>10744</v>
      </c>
      <c r="E7" s="663" t="s">
        <v>10745</v>
      </c>
      <c r="F7" s="658">
        <v>0.1</v>
      </c>
      <c r="G7" s="658">
        <v>0</v>
      </c>
      <c r="H7" s="664">
        <v>7040</v>
      </c>
      <c r="I7" s="664">
        <f t="shared" si="0"/>
        <v>6400</v>
      </c>
      <c r="J7" s="664">
        <f t="shared" si="1"/>
        <v>7040</v>
      </c>
      <c r="K7" s="661"/>
    </row>
    <row r="8" spans="1:11" ht="18.75" customHeight="1">
      <c r="A8" s="661"/>
      <c r="B8" s="657" t="s">
        <v>10738</v>
      </c>
      <c r="C8" s="657" t="s">
        <v>10739</v>
      </c>
      <c r="D8" s="663" t="s">
        <v>2269</v>
      </c>
      <c r="E8" s="663" t="s">
        <v>10746</v>
      </c>
      <c r="F8" s="658">
        <v>0.1</v>
      </c>
      <c r="G8" s="658">
        <v>0</v>
      </c>
      <c r="H8" s="664">
        <v>8030</v>
      </c>
      <c r="I8" s="664">
        <f t="shared" si="0"/>
        <v>7300</v>
      </c>
      <c r="J8" s="664">
        <f t="shared" si="1"/>
        <v>8030</v>
      </c>
      <c r="K8" s="661"/>
    </row>
    <row r="9" spans="1:11" ht="18.75" customHeight="1">
      <c r="A9" s="661"/>
      <c r="B9" s="657" t="s">
        <v>10738</v>
      </c>
      <c r="C9" s="657" t="s">
        <v>10739</v>
      </c>
      <c r="D9" s="663" t="s">
        <v>10747</v>
      </c>
      <c r="E9" s="663" t="s">
        <v>10748</v>
      </c>
      <c r="F9" s="658">
        <v>0.1</v>
      </c>
      <c r="G9" s="658">
        <v>0</v>
      </c>
      <c r="H9" s="664">
        <v>10010</v>
      </c>
      <c r="I9" s="664">
        <f t="shared" si="0"/>
        <v>9100</v>
      </c>
      <c r="J9" s="664">
        <f t="shared" si="1"/>
        <v>10010</v>
      </c>
      <c r="K9" s="661"/>
    </row>
    <row r="10" spans="1:11" ht="18.75" customHeight="1">
      <c r="A10" s="661"/>
      <c r="B10" s="657" t="s">
        <v>10738</v>
      </c>
      <c r="C10" s="657" t="s">
        <v>10739</v>
      </c>
      <c r="D10" s="663" t="s">
        <v>10749</v>
      </c>
      <c r="E10" s="663" t="s">
        <v>10750</v>
      </c>
      <c r="F10" s="658">
        <v>0.1</v>
      </c>
      <c r="G10" s="658">
        <v>0</v>
      </c>
      <c r="H10" s="664">
        <v>18150</v>
      </c>
      <c r="I10" s="664">
        <f t="shared" si="0"/>
        <v>16500</v>
      </c>
      <c r="J10" s="664">
        <f t="shared" si="1"/>
        <v>18150</v>
      </c>
      <c r="K10" s="661"/>
    </row>
    <row r="11" spans="1:11" ht="18.75" customHeight="1">
      <c r="A11" s="661"/>
      <c r="B11" s="657" t="s">
        <v>10738</v>
      </c>
      <c r="C11" s="657" t="s">
        <v>10739</v>
      </c>
      <c r="D11" s="663" t="s">
        <v>10751</v>
      </c>
      <c r="E11" s="663" t="s">
        <v>10752</v>
      </c>
      <c r="F11" s="658">
        <v>0.1</v>
      </c>
      <c r="G11" s="658">
        <v>0</v>
      </c>
      <c r="H11" s="664">
        <v>22000</v>
      </c>
      <c r="I11" s="664">
        <f t="shared" si="0"/>
        <v>20000</v>
      </c>
      <c r="J11" s="664">
        <f t="shared" si="1"/>
        <v>22000</v>
      </c>
      <c r="K11" s="661"/>
    </row>
    <row r="12" spans="1:11" ht="18.75" customHeight="1">
      <c r="A12" s="661"/>
      <c r="B12" s="657" t="s">
        <v>10738</v>
      </c>
      <c r="C12" s="657" t="s">
        <v>10739</v>
      </c>
      <c r="D12" s="663" t="s">
        <v>10753</v>
      </c>
      <c r="E12" s="663" t="s">
        <v>10754</v>
      </c>
      <c r="F12" s="658">
        <v>0.1</v>
      </c>
      <c r="G12" s="658">
        <v>0</v>
      </c>
      <c r="H12" s="664">
        <v>28050</v>
      </c>
      <c r="I12" s="664">
        <f t="shared" si="0"/>
        <v>25500</v>
      </c>
      <c r="J12" s="664">
        <f t="shared" si="1"/>
        <v>28050</v>
      </c>
      <c r="K12" s="661"/>
    </row>
    <row r="13" spans="1:11" ht="18.75" customHeight="1">
      <c r="A13" s="661"/>
      <c r="B13" s="657" t="s">
        <v>10738</v>
      </c>
      <c r="C13" s="657" t="s">
        <v>10739</v>
      </c>
      <c r="D13" s="663" t="s">
        <v>10755</v>
      </c>
      <c r="E13" s="663" t="s">
        <v>10756</v>
      </c>
      <c r="F13" s="658">
        <v>0.1</v>
      </c>
      <c r="G13" s="658">
        <v>0</v>
      </c>
      <c r="H13" s="664">
        <v>44990</v>
      </c>
      <c r="I13" s="664">
        <f t="shared" si="0"/>
        <v>40900</v>
      </c>
      <c r="J13" s="664">
        <f t="shared" si="1"/>
        <v>44990</v>
      </c>
      <c r="K13" s="661"/>
    </row>
    <row r="14" spans="1:11" ht="18.75" customHeight="1">
      <c r="A14" s="661"/>
      <c r="B14" s="657" t="s">
        <v>10738</v>
      </c>
      <c r="C14" s="657" t="s">
        <v>10739</v>
      </c>
      <c r="D14" s="663" t="s">
        <v>10757</v>
      </c>
      <c r="E14" s="663" t="s">
        <v>10758</v>
      </c>
      <c r="F14" s="658">
        <v>0.1</v>
      </c>
      <c r="G14" s="658">
        <v>0</v>
      </c>
      <c r="H14" s="664">
        <v>47960</v>
      </c>
      <c r="I14" s="664">
        <f t="shared" si="0"/>
        <v>43600</v>
      </c>
      <c r="J14" s="664">
        <f t="shared" si="1"/>
        <v>47960</v>
      </c>
      <c r="K14" s="661"/>
    </row>
    <row r="15" spans="1:11" ht="18.75" customHeight="1">
      <c r="A15" s="661"/>
      <c r="B15" s="657" t="s">
        <v>10738</v>
      </c>
      <c r="C15" s="657" t="s">
        <v>10739</v>
      </c>
      <c r="D15" s="663" t="s">
        <v>10759</v>
      </c>
      <c r="E15" s="663" t="s">
        <v>10760</v>
      </c>
      <c r="F15" s="658">
        <v>0.1</v>
      </c>
      <c r="G15" s="658">
        <v>0</v>
      </c>
      <c r="H15" s="664">
        <v>57970</v>
      </c>
      <c r="I15" s="664">
        <f t="shared" si="0"/>
        <v>52700</v>
      </c>
      <c r="J15" s="664">
        <f t="shared" si="1"/>
        <v>57970</v>
      </c>
      <c r="K15" s="661"/>
    </row>
    <row r="16" spans="1:11" ht="18.75" customHeight="1">
      <c r="A16" s="661"/>
      <c r="B16" s="657" t="s">
        <v>10738</v>
      </c>
      <c r="C16" s="657" t="s">
        <v>10739</v>
      </c>
      <c r="D16" s="663" t="s">
        <v>10761</v>
      </c>
      <c r="E16" s="663" t="s">
        <v>10762</v>
      </c>
      <c r="F16" s="658">
        <v>0.1</v>
      </c>
      <c r="G16" s="658">
        <v>0</v>
      </c>
      <c r="H16" s="664">
        <v>67980</v>
      </c>
      <c r="I16" s="664">
        <f t="shared" si="0"/>
        <v>61800</v>
      </c>
      <c r="J16" s="664">
        <f t="shared" si="1"/>
        <v>67980</v>
      </c>
      <c r="K16" s="661"/>
    </row>
    <row r="17" spans="1:11" ht="18.75" customHeight="1">
      <c r="A17" s="661"/>
      <c r="B17" s="657" t="s">
        <v>10738</v>
      </c>
      <c r="C17" s="657" t="s">
        <v>10739</v>
      </c>
      <c r="D17" s="663" t="s">
        <v>10763</v>
      </c>
      <c r="E17" s="663" t="s">
        <v>10764</v>
      </c>
      <c r="F17" s="658">
        <v>0.1</v>
      </c>
      <c r="G17" s="658">
        <v>0</v>
      </c>
      <c r="H17" s="664">
        <v>99000</v>
      </c>
      <c r="I17" s="664">
        <f t="shared" si="0"/>
        <v>90000</v>
      </c>
      <c r="J17" s="664">
        <f t="shared" si="1"/>
        <v>99000</v>
      </c>
      <c r="K17" s="661"/>
    </row>
    <row r="18" spans="1:11" ht="18.75" customHeight="1">
      <c r="A18" s="661"/>
      <c r="B18" s="657" t="s">
        <v>10738</v>
      </c>
      <c r="C18" s="657" t="s">
        <v>10739</v>
      </c>
      <c r="D18" s="663" t="s">
        <v>10765</v>
      </c>
      <c r="E18" s="663" t="s">
        <v>10766</v>
      </c>
      <c r="F18" s="658">
        <v>0.1</v>
      </c>
      <c r="G18" s="658">
        <v>0</v>
      </c>
      <c r="H18" s="664">
        <v>222970</v>
      </c>
      <c r="I18" s="664">
        <f t="shared" si="0"/>
        <v>202700</v>
      </c>
      <c r="J18" s="664">
        <f t="shared" si="1"/>
        <v>222970</v>
      </c>
      <c r="K18" s="661"/>
    </row>
    <row r="19" spans="1:11" ht="18.75" customHeight="1">
      <c r="A19" s="661"/>
      <c r="B19" s="657" t="s">
        <v>10738</v>
      </c>
      <c r="C19" s="657" t="s">
        <v>10739</v>
      </c>
      <c r="D19" s="663" t="s">
        <v>10767</v>
      </c>
      <c r="E19" s="663" t="s">
        <v>10768</v>
      </c>
      <c r="F19" s="658">
        <v>0.1</v>
      </c>
      <c r="G19" s="658">
        <v>0</v>
      </c>
      <c r="H19" s="664">
        <v>118030</v>
      </c>
      <c r="I19" s="664">
        <f t="shared" si="0"/>
        <v>107300</v>
      </c>
      <c r="J19" s="664">
        <f t="shared" si="1"/>
        <v>118030</v>
      </c>
      <c r="K19" s="661"/>
    </row>
    <row r="20" spans="1:11" ht="18.75" customHeight="1">
      <c r="A20" s="661"/>
      <c r="B20" s="657" t="s">
        <v>10738</v>
      </c>
      <c r="C20" s="657" t="s">
        <v>10739</v>
      </c>
      <c r="D20" s="663" t="s">
        <v>10769</v>
      </c>
      <c r="E20" s="663" t="s">
        <v>10770</v>
      </c>
      <c r="F20" s="658">
        <v>0.1</v>
      </c>
      <c r="G20" s="658">
        <v>0</v>
      </c>
      <c r="H20" s="664">
        <v>188100</v>
      </c>
      <c r="I20" s="664">
        <f t="shared" si="0"/>
        <v>171000</v>
      </c>
      <c r="J20" s="664">
        <f t="shared" si="1"/>
        <v>188100</v>
      </c>
      <c r="K20" s="661"/>
    </row>
    <row r="21" spans="1:11" ht="18.75" customHeight="1">
      <c r="A21" s="661"/>
      <c r="B21" s="657" t="s">
        <v>10738</v>
      </c>
      <c r="C21" s="657" t="s">
        <v>10739</v>
      </c>
      <c r="D21" s="663" t="s">
        <v>10771</v>
      </c>
      <c r="E21" s="663" t="s">
        <v>10772</v>
      </c>
      <c r="F21" s="658">
        <v>0.1</v>
      </c>
      <c r="G21" s="658">
        <v>0</v>
      </c>
      <c r="H21" s="664">
        <v>385440</v>
      </c>
      <c r="I21" s="664">
        <f t="shared" si="0"/>
        <v>350400</v>
      </c>
      <c r="J21" s="664">
        <f t="shared" si="1"/>
        <v>385440</v>
      </c>
      <c r="K21" s="661"/>
    </row>
    <row r="22" spans="1:11" ht="18.75" customHeight="1">
      <c r="A22" s="661"/>
      <c r="B22" s="657" t="s">
        <v>10738</v>
      </c>
      <c r="C22" s="657" t="s">
        <v>10739</v>
      </c>
      <c r="D22" s="663" t="s">
        <v>10773</v>
      </c>
      <c r="E22" s="663" t="s">
        <v>10774</v>
      </c>
      <c r="F22" s="658">
        <v>0.1</v>
      </c>
      <c r="G22" s="658">
        <v>0</v>
      </c>
      <c r="H22" s="664">
        <v>415800</v>
      </c>
      <c r="I22" s="664">
        <f t="shared" si="0"/>
        <v>378000</v>
      </c>
      <c r="J22" s="664">
        <f t="shared" si="1"/>
        <v>415800</v>
      </c>
      <c r="K22" s="661"/>
    </row>
    <row r="23" spans="1:11" ht="18.75" customHeight="1">
      <c r="A23" s="661"/>
      <c r="B23" s="657" t="s">
        <v>10738</v>
      </c>
      <c r="C23" s="657" t="s">
        <v>10739</v>
      </c>
      <c r="D23" s="663" t="s">
        <v>10775</v>
      </c>
      <c r="E23" s="663" t="s">
        <v>10776</v>
      </c>
      <c r="F23" s="658">
        <v>0.1</v>
      </c>
      <c r="G23" s="658">
        <v>0</v>
      </c>
      <c r="H23" s="664">
        <v>835560</v>
      </c>
      <c r="I23" s="664">
        <f t="shared" si="0"/>
        <v>759600</v>
      </c>
      <c r="J23" s="664">
        <f t="shared" si="1"/>
        <v>835560</v>
      </c>
      <c r="K23" s="661"/>
    </row>
    <row r="24" spans="1:11" ht="18.75" customHeight="1">
      <c r="A24" s="661"/>
      <c r="B24" s="657" t="s">
        <v>10738</v>
      </c>
      <c r="C24" s="657" t="s">
        <v>10739</v>
      </c>
      <c r="D24" s="663" t="s">
        <v>10777</v>
      </c>
      <c r="E24" s="663" t="s">
        <v>10778</v>
      </c>
      <c r="F24" s="658">
        <v>0.1</v>
      </c>
      <c r="G24" s="658">
        <v>0</v>
      </c>
      <c r="H24" s="664">
        <v>1782000</v>
      </c>
      <c r="I24" s="664">
        <f t="shared" si="0"/>
        <v>1620000</v>
      </c>
      <c r="J24" s="664">
        <f t="shared" si="1"/>
        <v>1782000</v>
      </c>
      <c r="K24" s="661"/>
    </row>
    <row r="25" spans="1:11" ht="18.75" customHeight="1">
      <c r="A25" s="661"/>
      <c r="B25" s="657" t="s">
        <v>10779</v>
      </c>
      <c r="C25" s="657" t="s">
        <v>10780</v>
      </c>
      <c r="D25" s="663" t="s">
        <v>10781</v>
      </c>
      <c r="E25" s="663" t="s">
        <v>10782</v>
      </c>
      <c r="F25" s="658">
        <v>0.1</v>
      </c>
      <c r="G25" s="658">
        <v>0</v>
      </c>
      <c r="H25" s="664">
        <v>4730</v>
      </c>
      <c r="I25" s="664">
        <f t="shared" si="0"/>
        <v>4300</v>
      </c>
      <c r="J25" s="664">
        <f t="shared" si="1"/>
        <v>4730</v>
      </c>
      <c r="K25" s="661"/>
    </row>
    <row r="26" spans="1:11" ht="18.75" customHeight="1">
      <c r="A26" s="661"/>
      <c r="B26" s="657" t="s">
        <v>10779</v>
      </c>
      <c r="C26" s="657" t="s">
        <v>10780</v>
      </c>
      <c r="D26" s="663" t="s">
        <v>10783</v>
      </c>
      <c r="E26" s="663" t="s">
        <v>10784</v>
      </c>
      <c r="F26" s="658">
        <v>0.1</v>
      </c>
      <c r="G26" s="658">
        <v>0</v>
      </c>
      <c r="H26" s="664">
        <v>5280</v>
      </c>
      <c r="I26" s="664">
        <f t="shared" si="0"/>
        <v>4800</v>
      </c>
      <c r="J26" s="664">
        <f t="shared" si="1"/>
        <v>5280</v>
      </c>
      <c r="K26" s="661"/>
    </row>
    <row r="27" spans="1:11" ht="18.75" customHeight="1">
      <c r="A27" s="661"/>
      <c r="B27" s="657" t="s">
        <v>10779</v>
      </c>
      <c r="C27" s="657" t="s">
        <v>10780</v>
      </c>
      <c r="D27" s="663" t="s">
        <v>2238</v>
      </c>
      <c r="E27" s="663" t="s">
        <v>10785</v>
      </c>
      <c r="F27" s="658">
        <v>0.1</v>
      </c>
      <c r="G27" s="658">
        <v>0</v>
      </c>
      <c r="H27" s="664">
        <v>6050</v>
      </c>
      <c r="I27" s="664">
        <f t="shared" si="0"/>
        <v>5500</v>
      </c>
      <c r="J27" s="664">
        <f t="shared" si="1"/>
        <v>6050</v>
      </c>
      <c r="K27" s="661"/>
    </row>
    <row r="28" spans="1:11" ht="18.75" customHeight="1">
      <c r="A28" s="661"/>
      <c r="B28" s="657" t="s">
        <v>10779</v>
      </c>
      <c r="C28" s="657" t="s">
        <v>10780</v>
      </c>
      <c r="D28" s="663" t="s">
        <v>2242</v>
      </c>
      <c r="E28" s="663" t="s">
        <v>10786</v>
      </c>
      <c r="F28" s="658">
        <v>0.1</v>
      </c>
      <c r="G28" s="658">
        <v>0</v>
      </c>
      <c r="H28" s="664">
        <v>7040</v>
      </c>
      <c r="I28" s="664">
        <f t="shared" si="0"/>
        <v>6400</v>
      </c>
      <c r="J28" s="664">
        <f t="shared" si="1"/>
        <v>7040</v>
      </c>
      <c r="K28" s="661"/>
    </row>
    <row r="29" spans="1:11" ht="18.75" customHeight="1">
      <c r="A29" s="661"/>
      <c r="B29" s="657" t="s">
        <v>10779</v>
      </c>
      <c r="C29" s="657" t="s">
        <v>10780</v>
      </c>
      <c r="D29" s="663" t="s">
        <v>2246</v>
      </c>
      <c r="E29" s="663" t="s">
        <v>10787</v>
      </c>
      <c r="F29" s="658">
        <v>0.1</v>
      </c>
      <c r="G29" s="658">
        <v>0</v>
      </c>
      <c r="H29" s="664">
        <v>8030</v>
      </c>
      <c r="I29" s="664">
        <f t="shared" si="0"/>
        <v>7300</v>
      </c>
      <c r="J29" s="664">
        <f t="shared" si="1"/>
        <v>8030</v>
      </c>
      <c r="K29" s="661"/>
    </row>
    <row r="30" spans="1:11" ht="18.75" customHeight="1">
      <c r="A30" s="661"/>
      <c r="B30" s="657" t="s">
        <v>10779</v>
      </c>
      <c r="C30" s="657" t="s">
        <v>10780</v>
      </c>
      <c r="D30" s="663" t="s">
        <v>2250</v>
      </c>
      <c r="E30" s="663" t="s">
        <v>10788</v>
      </c>
      <c r="F30" s="658">
        <v>0.1</v>
      </c>
      <c r="G30" s="658">
        <v>0</v>
      </c>
      <c r="H30" s="664">
        <v>10010</v>
      </c>
      <c r="I30" s="664">
        <f t="shared" si="0"/>
        <v>9100</v>
      </c>
      <c r="J30" s="664">
        <f t="shared" si="1"/>
        <v>10010</v>
      </c>
      <c r="K30" s="661"/>
    </row>
    <row r="31" spans="1:11" ht="18.75" customHeight="1">
      <c r="A31" s="661"/>
      <c r="B31" s="657" t="s">
        <v>10779</v>
      </c>
      <c r="C31" s="657" t="s">
        <v>10780</v>
      </c>
      <c r="D31" s="663" t="s">
        <v>2254</v>
      </c>
      <c r="E31" s="663" t="s">
        <v>10789</v>
      </c>
      <c r="F31" s="658">
        <v>0.1</v>
      </c>
      <c r="G31" s="658">
        <v>0</v>
      </c>
      <c r="H31" s="664">
        <v>14960</v>
      </c>
      <c r="I31" s="664">
        <f t="shared" si="0"/>
        <v>13600</v>
      </c>
      <c r="J31" s="664">
        <f t="shared" si="1"/>
        <v>14960</v>
      </c>
      <c r="K31" s="661"/>
    </row>
    <row r="32" spans="1:11" ht="18.75" customHeight="1">
      <c r="A32" s="661"/>
      <c r="B32" s="657" t="s">
        <v>10779</v>
      </c>
      <c r="C32" s="657" t="s">
        <v>10780</v>
      </c>
      <c r="D32" s="663" t="s">
        <v>2258</v>
      </c>
      <c r="E32" s="663" t="s">
        <v>10790</v>
      </c>
      <c r="F32" s="658">
        <v>0.1</v>
      </c>
      <c r="G32" s="658">
        <v>0</v>
      </c>
      <c r="H32" s="664">
        <v>18040</v>
      </c>
      <c r="I32" s="664">
        <f t="shared" si="0"/>
        <v>16400</v>
      </c>
      <c r="J32" s="664">
        <f t="shared" si="1"/>
        <v>18040</v>
      </c>
      <c r="K32" s="661"/>
    </row>
    <row r="33" spans="1:11" ht="18.75" customHeight="1">
      <c r="A33" s="661"/>
      <c r="B33" s="657" t="s">
        <v>10779</v>
      </c>
      <c r="C33" s="657" t="s">
        <v>10780</v>
      </c>
      <c r="D33" s="663" t="s">
        <v>10791</v>
      </c>
      <c r="E33" s="663" t="s">
        <v>10792</v>
      </c>
      <c r="F33" s="658">
        <v>0.1</v>
      </c>
      <c r="G33" s="658">
        <v>0</v>
      </c>
      <c r="H33" s="664">
        <v>20020</v>
      </c>
      <c r="I33" s="664">
        <f t="shared" si="0"/>
        <v>18200</v>
      </c>
      <c r="J33" s="664">
        <f t="shared" si="1"/>
        <v>20020</v>
      </c>
      <c r="K33" s="661"/>
    </row>
    <row r="34" spans="1:11" ht="18.75" customHeight="1">
      <c r="A34" s="661"/>
      <c r="B34" s="657" t="s">
        <v>10779</v>
      </c>
      <c r="C34" s="657" t="s">
        <v>10780</v>
      </c>
      <c r="D34" s="663" t="s">
        <v>10793</v>
      </c>
      <c r="E34" s="663" t="s">
        <v>10794</v>
      </c>
      <c r="F34" s="658">
        <v>0.1</v>
      </c>
      <c r="G34" s="658">
        <v>0</v>
      </c>
      <c r="H34" s="664">
        <v>28050</v>
      </c>
      <c r="I34" s="664">
        <f t="shared" si="0"/>
        <v>25500</v>
      </c>
      <c r="J34" s="664">
        <f t="shared" si="1"/>
        <v>28050</v>
      </c>
      <c r="K34" s="661"/>
    </row>
    <row r="35" spans="1:11" ht="18.75" customHeight="1">
      <c r="A35" s="661"/>
      <c r="B35" s="657" t="s">
        <v>10779</v>
      </c>
      <c r="C35" s="657" t="s">
        <v>10780</v>
      </c>
      <c r="D35" s="663" t="s">
        <v>10795</v>
      </c>
      <c r="E35" s="663" t="s">
        <v>10796</v>
      </c>
      <c r="F35" s="658">
        <v>0.1</v>
      </c>
      <c r="G35" s="658">
        <v>0</v>
      </c>
      <c r="H35" s="664">
        <v>30800</v>
      </c>
      <c r="I35" s="664">
        <f t="shared" si="0"/>
        <v>28000</v>
      </c>
      <c r="J35" s="664">
        <f t="shared" si="1"/>
        <v>30800</v>
      </c>
      <c r="K35" s="661"/>
    </row>
    <row r="36" spans="1:11" ht="18.75" customHeight="1">
      <c r="A36" s="661"/>
      <c r="B36" s="657" t="s">
        <v>10779</v>
      </c>
      <c r="C36" s="657" t="s">
        <v>10780</v>
      </c>
      <c r="D36" s="663" t="s">
        <v>10797</v>
      </c>
      <c r="E36" s="663" t="s">
        <v>10798</v>
      </c>
      <c r="F36" s="658">
        <v>0.1</v>
      </c>
      <c r="G36" s="658">
        <v>0</v>
      </c>
      <c r="H36" s="664">
        <v>37950</v>
      </c>
      <c r="I36" s="664">
        <f t="shared" si="0"/>
        <v>34500</v>
      </c>
      <c r="J36" s="664">
        <f t="shared" si="1"/>
        <v>37950</v>
      </c>
      <c r="K36" s="661"/>
    </row>
    <row r="37" spans="1:11" ht="18.75" customHeight="1">
      <c r="A37" s="661"/>
      <c r="B37" s="657" t="s">
        <v>10779</v>
      </c>
      <c r="C37" s="657" t="s">
        <v>10780</v>
      </c>
      <c r="D37" s="663" t="s">
        <v>10799</v>
      </c>
      <c r="E37" s="663" t="s">
        <v>10800</v>
      </c>
      <c r="F37" s="658">
        <v>0.1</v>
      </c>
      <c r="G37" s="658">
        <v>0</v>
      </c>
      <c r="H37" s="664">
        <v>51700</v>
      </c>
      <c r="I37" s="664">
        <f t="shared" si="0"/>
        <v>47000</v>
      </c>
      <c r="J37" s="664">
        <f t="shared" si="1"/>
        <v>51700</v>
      </c>
      <c r="K37" s="661"/>
    </row>
    <row r="38" spans="1:11" ht="18.75" customHeight="1">
      <c r="A38" s="661"/>
      <c r="B38" s="657" t="s">
        <v>10779</v>
      </c>
      <c r="C38" s="657" t="s">
        <v>10780</v>
      </c>
      <c r="D38" s="663" t="s">
        <v>10801</v>
      </c>
      <c r="E38" s="663" t="s">
        <v>10802</v>
      </c>
      <c r="F38" s="658">
        <v>0.1</v>
      </c>
      <c r="G38" s="658">
        <v>0</v>
      </c>
      <c r="H38" s="664">
        <v>130350</v>
      </c>
      <c r="I38" s="664">
        <f t="shared" si="0"/>
        <v>118500</v>
      </c>
      <c r="J38" s="664">
        <f t="shared" si="1"/>
        <v>130350</v>
      </c>
      <c r="K38" s="661"/>
    </row>
    <row r="39" spans="1:11" ht="18.75" customHeight="1">
      <c r="A39" s="661"/>
      <c r="B39" s="657" t="s">
        <v>10779</v>
      </c>
      <c r="C39" s="657" t="s">
        <v>10780</v>
      </c>
      <c r="D39" s="663" t="s">
        <v>10803</v>
      </c>
      <c r="E39" s="663" t="s">
        <v>10804</v>
      </c>
      <c r="F39" s="658">
        <v>0.1</v>
      </c>
      <c r="G39" s="658">
        <v>0</v>
      </c>
      <c r="H39" s="664">
        <v>68200</v>
      </c>
      <c r="I39" s="664">
        <f t="shared" si="0"/>
        <v>62000</v>
      </c>
      <c r="J39" s="664">
        <f t="shared" si="1"/>
        <v>68200</v>
      </c>
      <c r="K39" s="661"/>
    </row>
    <row r="40" spans="1:11" ht="18.75" customHeight="1">
      <c r="A40" s="661"/>
      <c r="B40" s="657" t="s">
        <v>10779</v>
      </c>
      <c r="C40" s="657" t="s">
        <v>10780</v>
      </c>
      <c r="D40" s="663" t="s">
        <v>10805</v>
      </c>
      <c r="E40" s="663" t="s">
        <v>10806</v>
      </c>
      <c r="F40" s="658">
        <v>0.1</v>
      </c>
      <c r="G40" s="658">
        <v>0</v>
      </c>
      <c r="H40" s="664">
        <v>108020</v>
      </c>
      <c r="I40" s="664">
        <f t="shared" si="0"/>
        <v>98200</v>
      </c>
      <c r="J40" s="664">
        <f t="shared" si="1"/>
        <v>108020</v>
      </c>
      <c r="K40" s="661"/>
    </row>
    <row r="41" spans="1:11" ht="18.75" customHeight="1">
      <c r="A41" s="661"/>
      <c r="B41" s="657" t="s">
        <v>10779</v>
      </c>
      <c r="C41" s="657" t="s">
        <v>10780</v>
      </c>
      <c r="D41" s="663" t="s">
        <v>10807</v>
      </c>
      <c r="E41" s="663" t="s">
        <v>10808</v>
      </c>
      <c r="F41" s="658">
        <v>0.1</v>
      </c>
      <c r="G41" s="658">
        <v>0</v>
      </c>
      <c r="H41" s="664">
        <v>138050</v>
      </c>
      <c r="I41" s="664">
        <f t="shared" si="0"/>
        <v>125500</v>
      </c>
      <c r="J41" s="664">
        <f t="shared" si="1"/>
        <v>138050</v>
      </c>
      <c r="K41" s="661"/>
    </row>
    <row r="42" spans="1:11" ht="18.75" customHeight="1">
      <c r="A42" s="661"/>
      <c r="B42" s="657" t="s">
        <v>10779</v>
      </c>
      <c r="C42" s="657" t="s">
        <v>10780</v>
      </c>
      <c r="D42" s="663" t="s">
        <v>10809</v>
      </c>
      <c r="E42" s="663" t="s">
        <v>10810</v>
      </c>
      <c r="F42" s="658">
        <v>0.1</v>
      </c>
      <c r="G42" s="658">
        <v>0</v>
      </c>
      <c r="H42" s="663"/>
      <c r="I42" s="664">
        <f t="shared" si="0"/>
        <v>0</v>
      </c>
      <c r="J42" s="664">
        <f t="shared" si="1"/>
        <v>0</v>
      </c>
      <c r="K42" s="661"/>
    </row>
    <row r="43" spans="1:11" ht="18.75" customHeight="1">
      <c r="A43" s="661"/>
      <c r="B43" s="657" t="s">
        <v>10779</v>
      </c>
      <c r="C43" s="657" t="s">
        <v>10780</v>
      </c>
      <c r="D43" s="663" t="s">
        <v>10811</v>
      </c>
      <c r="E43" s="663" t="s">
        <v>10812</v>
      </c>
      <c r="F43" s="658">
        <v>0.1</v>
      </c>
      <c r="G43" s="658">
        <v>0</v>
      </c>
      <c r="H43" s="664">
        <v>516890</v>
      </c>
      <c r="I43" s="664">
        <f t="shared" si="0"/>
        <v>469900</v>
      </c>
      <c r="J43" s="664">
        <f t="shared" si="1"/>
        <v>516890</v>
      </c>
      <c r="K43" s="661"/>
    </row>
    <row r="44" spans="1:11" ht="18.75" customHeight="1">
      <c r="A44" s="661"/>
      <c r="B44" s="657" t="s">
        <v>10779</v>
      </c>
      <c r="C44" s="657" t="s">
        <v>10780</v>
      </c>
      <c r="D44" s="663" t="s">
        <v>10813</v>
      </c>
      <c r="E44" s="663" t="s">
        <v>10814</v>
      </c>
      <c r="F44" s="658">
        <v>0.1</v>
      </c>
      <c r="G44" s="658">
        <v>0</v>
      </c>
      <c r="H44" s="663"/>
      <c r="I44" s="664">
        <f t="shared" si="0"/>
        <v>0</v>
      </c>
      <c r="J44" s="664">
        <f t="shared" si="1"/>
        <v>0</v>
      </c>
      <c r="K44" s="661"/>
    </row>
    <row r="45" spans="1:11" ht="18.75" customHeight="1">
      <c r="A45" s="661"/>
      <c r="B45" s="657" t="s">
        <v>10815</v>
      </c>
      <c r="C45" s="657" t="s">
        <v>10816</v>
      </c>
      <c r="D45" s="663" t="s">
        <v>10817</v>
      </c>
      <c r="E45" s="663" t="s">
        <v>10818</v>
      </c>
      <c r="F45" s="658">
        <v>0.1</v>
      </c>
      <c r="G45" s="658">
        <v>0</v>
      </c>
      <c r="H45" s="664">
        <v>8030</v>
      </c>
      <c r="I45" s="664">
        <f t="shared" si="0"/>
        <v>7300</v>
      </c>
      <c r="J45" s="664">
        <f t="shared" si="1"/>
        <v>8030</v>
      </c>
      <c r="K45" s="661"/>
    </row>
    <row r="46" spans="1:11" ht="18.75" customHeight="1">
      <c r="A46" s="661"/>
      <c r="B46" s="657" t="s">
        <v>10815</v>
      </c>
      <c r="C46" s="657" t="s">
        <v>10816</v>
      </c>
      <c r="D46" s="663" t="s">
        <v>10819</v>
      </c>
      <c r="E46" s="663" t="s">
        <v>10820</v>
      </c>
      <c r="F46" s="658">
        <v>0.1</v>
      </c>
      <c r="G46" s="658">
        <v>0</v>
      </c>
      <c r="H46" s="664">
        <v>9240</v>
      </c>
      <c r="I46" s="664">
        <f t="shared" si="0"/>
        <v>8400</v>
      </c>
      <c r="J46" s="664">
        <f t="shared" si="1"/>
        <v>9240</v>
      </c>
      <c r="K46" s="661"/>
    </row>
    <row r="47" spans="1:11" ht="18.75" customHeight="1">
      <c r="A47" s="661"/>
      <c r="B47" s="657" t="s">
        <v>10815</v>
      </c>
      <c r="C47" s="657" t="s">
        <v>10816</v>
      </c>
      <c r="D47" s="663" t="s">
        <v>10821</v>
      </c>
      <c r="E47" s="663" t="s">
        <v>10822</v>
      </c>
      <c r="F47" s="658">
        <v>0.1</v>
      </c>
      <c r="G47" s="658">
        <v>0</v>
      </c>
      <c r="H47" s="664">
        <v>11000</v>
      </c>
      <c r="I47" s="664">
        <f t="shared" si="0"/>
        <v>10000</v>
      </c>
      <c r="J47" s="664">
        <f t="shared" si="1"/>
        <v>11000</v>
      </c>
      <c r="K47" s="661"/>
    </row>
    <row r="48" spans="1:11" ht="18.75" customHeight="1">
      <c r="A48" s="661"/>
      <c r="B48" s="657" t="s">
        <v>10815</v>
      </c>
      <c r="C48" s="657" t="s">
        <v>10816</v>
      </c>
      <c r="D48" s="663" t="s">
        <v>10823</v>
      </c>
      <c r="E48" s="663" t="s">
        <v>10824</v>
      </c>
      <c r="F48" s="658">
        <v>0.1</v>
      </c>
      <c r="G48" s="658">
        <v>0</v>
      </c>
      <c r="H48" s="664">
        <v>12100</v>
      </c>
      <c r="I48" s="664">
        <f t="shared" si="0"/>
        <v>11000</v>
      </c>
      <c r="J48" s="664">
        <f t="shared" si="1"/>
        <v>12100</v>
      </c>
      <c r="K48" s="661"/>
    </row>
    <row r="49" spans="1:11" ht="18.75" customHeight="1">
      <c r="A49" s="661"/>
      <c r="B49" s="657" t="s">
        <v>10815</v>
      </c>
      <c r="C49" s="657" t="s">
        <v>10816</v>
      </c>
      <c r="D49" s="663" t="s">
        <v>10825</v>
      </c>
      <c r="E49" s="663" t="s">
        <v>10826</v>
      </c>
      <c r="F49" s="658">
        <v>0.1</v>
      </c>
      <c r="G49" s="658">
        <v>0</v>
      </c>
      <c r="H49" s="664">
        <v>22000</v>
      </c>
      <c r="I49" s="664">
        <f t="shared" si="0"/>
        <v>20000</v>
      </c>
      <c r="J49" s="664">
        <f t="shared" si="1"/>
        <v>22000</v>
      </c>
      <c r="K49" s="661"/>
    </row>
    <row r="50" spans="1:11" ht="18.75" customHeight="1">
      <c r="A50" s="661"/>
      <c r="B50" s="657" t="s">
        <v>10815</v>
      </c>
      <c r="C50" s="657" t="s">
        <v>10816</v>
      </c>
      <c r="D50" s="663" t="s">
        <v>10827</v>
      </c>
      <c r="E50" s="663" t="s">
        <v>10828</v>
      </c>
      <c r="F50" s="658">
        <v>0.1</v>
      </c>
      <c r="G50" s="658">
        <v>0</v>
      </c>
      <c r="H50" s="664">
        <v>25960</v>
      </c>
      <c r="I50" s="664">
        <f t="shared" si="0"/>
        <v>23600</v>
      </c>
      <c r="J50" s="664">
        <f t="shared" si="1"/>
        <v>25960</v>
      </c>
      <c r="K50" s="661"/>
    </row>
    <row r="51" spans="1:11" ht="18.75" customHeight="1">
      <c r="A51" s="661"/>
      <c r="B51" s="657" t="s">
        <v>10815</v>
      </c>
      <c r="C51" s="657" t="s">
        <v>10816</v>
      </c>
      <c r="D51" s="663" t="s">
        <v>10829</v>
      </c>
      <c r="E51" s="663" t="s">
        <v>10830</v>
      </c>
      <c r="F51" s="658">
        <v>0.1</v>
      </c>
      <c r="G51" s="658">
        <v>0</v>
      </c>
      <c r="H51" s="664">
        <v>32010</v>
      </c>
      <c r="I51" s="664">
        <f t="shared" si="0"/>
        <v>29100</v>
      </c>
      <c r="J51" s="664">
        <f t="shared" si="1"/>
        <v>32010</v>
      </c>
      <c r="K51" s="661"/>
    </row>
    <row r="52" spans="1:11" ht="18.75" customHeight="1">
      <c r="A52" s="661"/>
      <c r="B52" s="657" t="s">
        <v>10815</v>
      </c>
      <c r="C52" s="657" t="s">
        <v>10816</v>
      </c>
      <c r="D52" s="663" t="s">
        <v>10831</v>
      </c>
      <c r="E52" s="663" t="s">
        <v>10832</v>
      </c>
      <c r="F52" s="658">
        <v>0.1</v>
      </c>
      <c r="G52" s="658">
        <v>0</v>
      </c>
      <c r="H52" s="664">
        <v>50050</v>
      </c>
      <c r="I52" s="664">
        <f t="shared" si="0"/>
        <v>45500</v>
      </c>
      <c r="J52" s="664">
        <f t="shared" si="1"/>
        <v>50050</v>
      </c>
      <c r="K52" s="661"/>
    </row>
    <row r="53" spans="1:11" ht="18.75" customHeight="1">
      <c r="A53" s="661"/>
      <c r="B53" s="657" t="s">
        <v>10815</v>
      </c>
      <c r="C53" s="657" t="s">
        <v>10816</v>
      </c>
      <c r="D53" s="663" t="s">
        <v>10833</v>
      </c>
      <c r="E53" s="663" t="s">
        <v>10834</v>
      </c>
      <c r="F53" s="658">
        <v>0.1</v>
      </c>
      <c r="G53" s="658">
        <v>0</v>
      </c>
      <c r="H53" s="664">
        <v>55000</v>
      </c>
      <c r="I53" s="664">
        <f t="shared" si="0"/>
        <v>50000</v>
      </c>
      <c r="J53" s="664">
        <f t="shared" si="1"/>
        <v>55000</v>
      </c>
      <c r="K53" s="661"/>
    </row>
    <row r="54" spans="1:11" ht="18.75" customHeight="1">
      <c r="A54" s="661"/>
      <c r="B54" s="657" t="s">
        <v>10815</v>
      </c>
      <c r="C54" s="657" t="s">
        <v>10816</v>
      </c>
      <c r="D54" s="663" t="s">
        <v>10835</v>
      </c>
      <c r="E54" s="663" t="s">
        <v>10836</v>
      </c>
      <c r="F54" s="658">
        <v>0.1</v>
      </c>
      <c r="G54" s="658">
        <v>0</v>
      </c>
      <c r="H54" s="664">
        <v>65010</v>
      </c>
      <c r="I54" s="664">
        <f t="shared" si="0"/>
        <v>59100</v>
      </c>
      <c r="J54" s="664">
        <f t="shared" si="1"/>
        <v>65010</v>
      </c>
      <c r="K54" s="661"/>
    </row>
    <row r="55" spans="1:11" ht="18.75" customHeight="1">
      <c r="A55" s="661"/>
      <c r="B55" s="657" t="s">
        <v>10815</v>
      </c>
      <c r="C55" s="657" t="s">
        <v>10816</v>
      </c>
      <c r="D55" s="663" t="s">
        <v>10837</v>
      </c>
      <c r="E55" s="663" t="s">
        <v>10838</v>
      </c>
      <c r="F55" s="658">
        <v>0.1</v>
      </c>
      <c r="G55" s="658">
        <v>0</v>
      </c>
      <c r="H55" s="664">
        <v>75020</v>
      </c>
      <c r="I55" s="664">
        <f t="shared" si="0"/>
        <v>68200</v>
      </c>
      <c r="J55" s="664">
        <f t="shared" si="1"/>
        <v>75020</v>
      </c>
      <c r="K55" s="661"/>
    </row>
    <row r="56" spans="1:11" ht="18.75" customHeight="1">
      <c r="A56" s="661"/>
      <c r="B56" s="657" t="s">
        <v>10815</v>
      </c>
      <c r="C56" s="657" t="s">
        <v>10816</v>
      </c>
      <c r="D56" s="663" t="s">
        <v>10839</v>
      </c>
      <c r="E56" s="663" t="s">
        <v>10840</v>
      </c>
      <c r="F56" s="658">
        <v>0.1</v>
      </c>
      <c r="G56" s="658">
        <v>0</v>
      </c>
      <c r="H56" s="664">
        <v>99000</v>
      </c>
      <c r="I56" s="664">
        <f t="shared" si="0"/>
        <v>90000</v>
      </c>
      <c r="J56" s="664">
        <f t="shared" si="1"/>
        <v>99000</v>
      </c>
      <c r="K56" s="661"/>
    </row>
    <row r="57" spans="1:11" ht="18.75" customHeight="1">
      <c r="A57" s="661"/>
      <c r="B57" s="657" t="s">
        <v>10815</v>
      </c>
      <c r="C57" s="657" t="s">
        <v>10816</v>
      </c>
      <c r="D57" s="663" t="s">
        <v>10841</v>
      </c>
      <c r="E57" s="663" t="s">
        <v>10842</v>
      </c>
      <c r="F57" s="658">
        <v>0.1</v>
      </c>
      <c r="G57" s="658">
        <v>0</v>
      </c>
      <c r="H57" s="664">
        <v>153230</v>
      </c>
      <c r="I57" s="664">
        <f t="shared" si="0"/>
        <v>139300</v>
      </c>
      <c r="J57" s="664">
        <f t="shared" si="1"/>
        <v>153230</v>
      </c>
      <c r="K57" s="661"/>
    </row>
    <row r="58" spans="1:11" ht="18.75" customHeight="1">
      <c r="A58" s="661"/>
      <c r="B58" s="657" t="s">
        <v>10815</v>
      </c>
      <c r="C58" s="657" t="s">
        <v>10816</v>
      </c>
      <c r="D58" s="663" t="s">
        <v>10843</v>
      </c>
      <c r="E58" s="663" t="s">
        <v>10844</v>
      </c>
      <c r="F58" s="658">
        <v>0.1</v>
      </c>
      <c r="G58" s="658">
        <v>0</v>
      </c>
      <c r="H58" s="664">
        <v>198000</v>
      </c>
      <c r="I58" s="664">
        <f t="shared" si="0"/>
        <v>180000</v>
      </c>
      <c r="J58" s="664">
        <f t="shared" si="1"/>
        <v>198000</v>
      </c>
      <c r="K58" s="661"/>
    </row>
    <row r="59" spans="1:11" ht="18.75" customHeight="1">
      <c r="A59" s="661"/>
      <c r="B59" s="657" t="s">
        <v>10815</v>
      </c>
      <c r="C59" s="657" t="s">
        <v>10816</v>
      </c>
      <c r="D59" s="663" t="s">
        <v>2125</v>
      </c>
      <c r="E59" s="663" t="s">
        <v>2126</v>
      </c>
      <c r="F59" s="658">
        <v>0.1</v>
      </c>
      <c r="G59" s="658">
        <v>0</v>
      </c>
      <c r="H59" s="664">
        <v>186670</v>
      </c>
      <c r="I59" s="664">
        <f t="shared" si="0"/>
        <v>169700</v>
      </c>
      <c r="J59" s="664">
        <f t="shared" si="1"/>
        <v>186670</v>
      </c>
      <c r="K59" s="661"/>
    </row>
    <row r="60" spans="1:11" ht="18.75" customHeight="1">
      <c r="A60" s="661"/>
      <c r="B60" s="657" t="s">
        <v>10845</v>
      </c>
      <c r="C60" s="657" t="s">
        <v>10846</v>
      </c>
      <c r="D60" s="663" t="s">
        <v>2239</v>
      </c>
      <c r="E60" s="663" t="s">
        <v>10847</v>
      </c>
      <c r="F60" s="658">
        <v>0.1</v>
      </c>
      <c r="G60" s="658">
        <v>0</v>
      </c>
      <c r="H60" s="664">
        <v>8800</v>
      </c>
      <c r="I60" s="664">
        <f t="shared" si="0"/>
        <v>8000</v>
      </c>
      <c r="J60" s="664">
        <f t="shared" si="1"/>
        <v>8800</v>
      </c>
      <c r="K60" s="661"/>
    </row>
    <row r="61" spans="1:11" ht="18.75" customHeight="1">
      <c r="A61" s="661"/>
      <c r="B61" s="657" t="s">
        <v>10845</v>
      </c>
      <c r="C61" s="657" t="s">
        <v>10846</v>
      </c>
      <c r="D61" s="663" t="s">
        <v>2243</v>
      </c>
      <c r="E61" s="663" t="s">
        <v>10848</v>
      </c>
      <c r="F61" s="658">
        <v>0.1</v>
      </c>
      <c r="G61" s="658">
        <v>0</v>
      </c>
      <c r="H61" s="664">
        <v>11000</v>
      </c>
      <c r="I61" s="664">
        <f t="shared" si="0"/>
        <v>10000</v>
      </c>
      <c r="J61" s="664">
        <f t="shared" si="1"/>
        <v>11000</v>
      </c>
      <c r="K61" s="661"/>
    </row>
    <row r="62" spans="1:11" ht="18.75" customHeight="1">
      <c r="A62" s="661"/>
      <c r="B62" s="657" t="s">
        <v>10845</v>
      </c>
      <c r="C62" s="657" t="s">
        <v>10846</v>
      </c>
      <c r="D62" s="663" t="s">
        <v>2247</v>
      </c>
      <c r="E62" s="663" t="s">
        <v>10849</v>
      </c>
      <c r="F62" s="658">
        <v>0.1</v>
      </c>
      <c r="G62" s="658">
        <v>0</v>
      </c>
      <c r="H62" s="664">
        <v>12100</v>
      </c>
      <c r="I62" s="664">
        <f t="shared" si="0"/>
        <v>11000</v>
      </c>
      <c r="J62" s="664">
        <f t="shared" si="1"/>
        <v>12100</v>
      </c>
      <c r="K62" s="661"/>
    </row>
    <row r="63" spans="1:11" ht="18.75" customHeight="1">
      <c r="A63" s="661"/>
      <c r="B63" s="657" t="s">
        <v>10845</v>
      </c>
      <c r="C63" s="657" t="s">
        <v>10846</v>
      </c>
      <c r="D63" s="663" t="s">
        <v>2251</v>
      </c>
      <c r="E63" s="663" t="s">
        <v>10850</v>
      </c>
      <c r="F63" s="658">
        <v>0.1</v>
      </c>
      <c r="G63" s="658">
        <v>0</v>
      </c>
      <c r="H63" s="664">
        <v>14300</v>
      </c>
      <c r="I63" s="664">
        <f t="shared" si="0"/>
        <v>13000</v>
      </c>
      <c r="J63" s="664">
        <f t="shared" si="1"/>
        <v>14300</v>
      </c>
      <c r="K63" s="661"/>
    </row>
    <row r="64" spans="1:11" ht="18.75" customHeight="1">
      <c r="A64" s="661"/>
      <c r="B64" s="657" t="s">
        <v>10845</v>
      </c>
      <c r="C64" s="657" t="s">
        <v>10846</v>
      </c>
      <c r="D64" s="663" t="s">
        <v>2255</v>
      </c>
      <c r="E64" s="663" t="s">
        <v>10851</v>
      </c>
      <c r="F64" s="658">
        <v>0.1</v>
      </c>
      <c r="G64" s="658">
        <v>0</v>
      </c>
      <c r="H64" s="664">
        <v>20900</v>
      </c>
      <c r="I64" s="664">
        <f t="shared" si="0"/>
        <v>19000</v>
      </c>
      <c r="J64" s="664">
        <f t="shared" si="1"/>
        <v>20900</v>
      </c>
      <c r="K64" s="661"/>
    </row>
    <row r="65" spans="1:11" ht="18.75" customHeight="1">
      <c r="A65" s="661"/>
      <c r="B65" s="657" t="s">
        <v>10845</v>
      </c>
      <c r="C65" s="657" t="s">
        <v>10846</v>
      </c>
      <c r="D65" s="663" t="s">
        <v>2259</v>
      </c>
      <c r="E65" s="663" t="s">
        <v>10852</v>
      </c>
      <c r="F65" s="658">
        <v>0.1</v>
      </c>
      <c r="G65" s="658">
        <v>0</v>
      </c>
      <c r="H65" s="664">
        <v>30800</v>
      </c>
      <c r="I65" s="664">
        <f t="shared" si="0"/>
        <v>28000</v>
      </c>
      <c r="J65" s="664">
        <f t="shared" si="1"/>
        <v>30800</v>
      </c>
      <c r="K65" s="661"/>
    </row>
    <row r="66" spans="1:11" ht="18.75" customHeight="1">
      <c r="A66" s="661"/>
      <c r="B66" s="657" t="s">
        <v>10845</v>
      </c>
      <c r="C66" s="657" t="s">
        <v>10846</v>
      </c>
      <c r="D66" s="663" t="s">
        <v>2262</v>
      </c>
      <c r="E66" s="663" t="s">
        <v>10853</v>
      </c>
      <c r="F66" s="658">
        <v>0.1</v>
      </c>
      <c r="G66" s="658">
        <v>0</v>
      </c>
      <c r="H66" s="664">
        <v>39600</v>
      </c>
      <c r="I66" s="664">
        <f t="shared" si="0"/>
        <v>36000</v>
      </c>
      <c r="J66" s="664">
        <f t="shared" si="1"/>
        <v>39600</v>
      </c>
      <c r="K66" s="661"/>
    </row>
    <row r="67" spans="1:11" ht="18.75" customHeight="1">
      <c r="A67" s="661"/>
      <c r="B67" s="657" t="s">
        <v>10845</v>
      </c>
      <c r="C67" s="657" t="s">
        <v>10846</v>
      </c>
      <c r="D67" s="663" t="s">
        <v>2266</v>
      </c>
      <c r="E67" s="663" t="s">
        <v>10854</v>
      </c>
      <c r="F67" s="658">
        <v>0.1</v>
      </c>
      <c r="G67" s="658">
        <v>0</v>
      </c>
      <c r="H67" s="664">
        <v>41800</v>
      </c>
      <c r="I67" s="664">
        <f t="shared" si="0"/>
        <v>38000</v>
      </c>
      <c r="J67" s="664">
        <f t="shared" si="1"/>
        <v>41800</v>
      </c>
      <c r="K67" s="661"/>
    </row>
    <row r="68" spans="1:11" ht="18.75" customHeight="1">
      <c r="A68" s="661"/>
      <c r="B68" s="657" t="s">
        <v>10845</v>
      </c>
      <c r="C68" s="657" t="s">
        <v>10846</v>
      </c>
      <c r="D68" s="663" t="s">
        <v>2270</v>
      </c>
      <c r="E68" s="663" t="s">
        <v>10855</v>
      </c>
      <c r="F68" s="658">
        <v>0.1</v>
      </c>
      <c r="G68" s="658">
        <v>0</v>
      </c>
      <c r="H68" s="664">
        <v>63800</v>
      </c>
      <c r="I68" s="664">
        <f t="shared" si="0"/>
        <v>58000</v>
      </c>
      <c r="J68" s="664">
        <f t="shared" si="1"/>
        <v>63800</v>
      </c>
      <c r="K68" s="661"/>
    </row>
    <row r="69" spans="1:11" ht="18.75" customHeight="1">
      <c r="A69" s="661"/>
      <c r="B69" s="657" t="s">
        <v>10845</v>
      </c>
      <c r="C69" s="657" t="s">
        <v>10846</v>
      </c>
      <c r="D69" s="663" t="s">
        <v>2273</v>
      </c>
      <c r="E69" s="663" t="s">
        <v>10856</v>
      </c>
      <c r="F69" s="658">
        <v>0.1</v>
      </c>
      <c r="G69" s="658">
        <v>0</v>
      </c>
      <c r="H69" s="664">
        <v>85800</v>
      </c>
      <c r="I69" s="664">
        <f t="shared" si="0"/>
        <v>78000</v>
      </c>
      <c r="J69" s="664">
        <f t="shared" si="1"/>
        <v>85800</v>
      </c>
      <c r="K69" s="661"/>
    </row>
    <row r="70" spans="1:11" ht="18.75" customHeight="1">
      <c r="A70" s="661"/>
      <c r="B70" s="657" t="s">
        <v>10845</v>
      </c>
      <c r="C70" s="657" t="s">
        <v>10846</v>
      </c>
      <c r="D70" s="663" t="s">
        <v>2276</v>
      </c>
      <c r="E70" s="663" t="s">
        <v>10857</v>
      </c>
      <c r="F70" s="658">
        <v>0.1</v>
      </c>
      <c r="G70" s="658">
        <v>0</v>
      </c>
      <c r="H70" s="664">
        <v>96800</v>
      </c>
      <c r="I70" s="664">
        <f t="shared" si="0"/>
        <v>88000</v>
      </c>
      <c r="J70" s="664">
        <f t="shared" si="1"/>
        <v>96800</v>
      </c>
      <c r="K70" s="661"/>
    </row>
    <row r="71" spans="1:11" ht="18.75" customHeight="1">
      <c r="A71" s="661"/>
      <c r="B71" s="657" t="s">
        <v>10845</v>
      </c>
      <c r="C71" s="657" t="s">
        <v>10846</v>
      </c>
      <c r="D71" s="663" t="s">
        <v>2281</v>
      </c>
      <c r="E71" s="663" t="s">
        <v>10858</v>
      </c>
      <c r="F71" s="658">
        <v>0.1</v>
      </c>
      <c r="G71" s="658">
        <v>0</v>
      </c>
      <c r="H71" s="664">
        <v>129800</v>
      </c>
      <c r="I71" s="664">
        <f t="shared" si="0"/>
        <v>118000</v>
      </c>
      <c r="J71" s="664">
        <f t="shared" si="1"/>
        <v>129800</v>
      </c>
      <c r="K71" s="661"/>
    </row>
    <row r="72" spans="1:11" ht="18.75" customHeight="1">
      <c r="A72" s="661"/>
      <c r="B72" s="657" t="s">
        <v>10845</v>
      </c>
      <c r="C72" s="657" t="s">
        <v>10846</v>
      </c>
      <c r="D72" s="663" t="s">
        <v>10859</v>
      </c>
      <c r="E72" s="663" t="s">
        <v>10860</v>
      </c>
      <c r="F72" s="658">
        <v>0.1</v>
      </c>
      <c r="G72" s="658">
        <v>0</v>
      </c>
      <c r="H72" s="663"/>
      <c r="I72" s="664">
        <f t="shared" si="0"/>
        <v>0</v>
      </c>
      <c r="J72" s="664">
        <f t="shared" si="1"/>
        <v>0</v>
      </c>
      <c r="K72" s="661"/>
    </row>
    <row r="73" spans="1:11" ht="18.75" customHeight="1">
      <c r="A73" s="661"/>
      <c r="B73" s="657" t="s">
        <v>10845</v>
      </c>
      <c r="C73" s="657" t="s">
        <v>10846</v>
      </c>
      <c r="D73" s="663" t="s">
        <v>2286</v>
      </c>
      <c r="E73" s="663" t="s">
        <v>10861</v>
      </c>
      <c r="F73" s="658">
        <v>0.1</v>
      </c>
      <c r="G73" s="658">
        <v>0</v>
      </c>
      <c r="H73" s="664">
        <v>217800</v>
      </c>
      <c r="I73" s="664">
        <f t="shared" si="0"/>
        <v>198000</v>
      </c>
      <c r="J73" s="664">
        <f t="shared" si="1"/>
        <v>217800</v>
      </c>
      <c r="K73" s="661"/>
    </row>
    <row r="74" spans="1:11" ht="18.75" customHeight="1">
      <c r="A74" s="661"/>
      <c r="B74" s="657" t="s">
        <v>10845</v>
      </c>
      <c r="C74" s="657" t="s">
        <v>10846</v>
      </c>
      <c r="D74" s="663" t="s">
        <v>10862</v>
      </c>
      <c r="E74" s="663" t="s">
        <v>10863</v>
      </c>
      <c r="F74" s="658">
        <v>0.1</v>
      </c>
      <c r="G74" s="658">
        <v>0</v>
      </c>
      <c r="H74" s="663"/>
      <c r="I74" s="664">
        <f t="shared" si="0"/>
        <v>0</v>
      </c>
      <c r="J74" s="664">
        <f t="shared" si="1"/>
        <v>0</v>
      </c>
      <c r="K74" s="661"/>
    </row>
    <row r="75" spans="1:11" ht="18.75" customHeight="1">
      <c r="A75" s="661"/>
      <c r="B75" s="657" t="s">
        <v>10845</v>
      </c>
      <c r="C75" s="657" t="s">
        <v>10846</v>
      </c>
      <c r="D75" s="663" t="s">
        <v>2289</v>
      </c>
      <c r="E75" s="663" t="s">
        <v>10864</v>
      </c>
      <c r="F75" s="658">
        <v>0.1</v>
      </c>
      <c r="G75" s="658">
        <v>0</v>
      </c>
      <c r="H75" s="664">
        <v>327800</v>
      </c>
      <c r="I75" s="664">
        <f t="shared" si="0"/>
        <v>298000</v>
      </c>
      <c r="J75" s="664">
        <f t="shared" si="1"/>
        <v>327800</v>
      </c>
      <c r="K75" s="661"/>
    </row>
    <row r="76" spans="1:11" ht="18.75" customHeight="1">
      <c r="A76" s="661"/>
      <c r="B76" s="657" t="s">
        <v>10845</v>
      </c>
      <c r="C76" s="657" t="s">
        <v>10846</v>
      </c>
      <c r="D76" s="663" t="s">
        <v>2294</v>
      </c>
      <c r="E76" s="663" t="s">
        <v>10865</v>
      </c>
      <c r="F76" s="658">
        <v>0.1</v>
      </c>
      <c r="G76" s="658">
        <v>0</v>
      </c>
      <c r="H76" s="664">
        <v>953260</v>
      </c>
      <c r="I76" s="664">
        <f t="shared" si="0"/>
        <v>866600</v>
      </c>
      <c r="J76" s="664">
        <f t="shared" si="1"/>
        <v>953260</v>
      </c>
      <c r="K76" s="661"/>
    </row>
    <row r="77" spans="1:11" ht="18.75" customHeight="1">
      <c r="A77" s="661"/>
      <c r="B77" s="657" t="s">
        <v>10845</v>
      </c>
      <c r="C77" s="657" t="s">
        <v>10846</v>
      </c>
      <c r="D77" s="663" t="s">
        <v>10866</v>
      </c>
      <c r="E77" s="663" t="s">
        <v>10867</v>
      </c>
      <c r="F77" s="658">
        <v>0.1</v>
      </c>
      <c r="G77" s="658">
        <v>0</v>
      </c>
      <c r="H77" s="663"/>
      <c r="I77" s="664">
        <f t="shared" si="0"/>
        <v>0</v>
      </c>
      <c r="J77" s="664">
        <f t="shared" si="1"/>
        <v>0</v>
      </c>
      <c r="K77" s="661"/>
    </row>
    <row r="78" spans="1:11" ht="18.75" customHeight="1">
      <c r="A78" s="661"/>
      <c r="B78" s="657" t="s">
        <v>10845</v>
      </c>
      <c r="C78" s="657" t="s">
        <v>10846</v>
      </c>
      <c r="D78" s="663" t="s">
        <v>10868</v>
      </c>
      <c r="E78" s="663" t="s">
        <v>10869</v>
      </c>
      <c r="F78" s="658">
        <v>0.1</v>
      </c>
      <c r="G78" s="658">
        <v>0</v>
      </c>
      <c r="H78" s="664">
        <v>2040830</v>
      </c>
      <c r="I78" s="664">
        <f t="shared" si="0"/>
        <v>1855300</v>
      </c>
      <c r="J78" s="664">
        <f t="shared" si="1"/>
        <v>2040830</v>
      </c>
      <c r="K78" s="661"/>
    </row>
    <row r="79" spans="1:11" ht="18.75" customHeight="1">
      <c r="A79" s="661"/>
      <c r="B79" s="657" t="s">
        <v>10845</v>
      </c>
      <c r="C79" s="657" t="s">
        <v>10846</v>
      </c>
      <c r="D79" s="663" t="s">
        <v>10870</v>
      </c>
      <c r="E79" s="663" t="s">
        <v>10871</v>
      </c>
      <c r="F79" s="658">
        <v>0.1</v>
      </c>
      <c r="G79" s="658">
        <v>0</v>
      </c>
      <c r="H79" s="663"/>
      <c r="I79" s="664">
        <f t="shared" si="0"/>
        <v>0</v>
      </c>
      <c r="J79" s="664">
        <f t="shared" si="1"/>
        <v>0</v>
      </c>
      <c r="K79" s="661"/>
    </row>
    <row r="80" spans="1:11" ht="18.75" customHeight="1">
      <c r="A80" s="661"/>
      <c r="B80" s="657" t="s">
        <v>10872</v>
      </c>
      <c r="C80" s="657" t="s">
        <v>10873</v>
      </c>
      <c r="D80" s="663" t="s">
        <v>10874</v>
      </c>
      <c r="E80" s="663" t="s">
        <v>10875</v>
      </c>
      <c r="F80" s="658">
        <v>0.1</v>
      </c>
      <c r="G80" s="658">
        <v>0</v>
      </c>
      <c r="H80" s="663"/>
      <c r="I80" s="664">
        <f t="shared" si="0"/>
        <v>0</v>
      </c>
      <c r="J80" s="664">
        <f t="shared" si="1"/>
        <v>0</v>
      </c>
      <c r="K80" s="661"/>
    </row>
    <row r="81" spans="1:11" ht="18.75" customHeight="1">
      <c r="A81" s="661"/>
      <c r="B81" s="657" t="s">
        <v>10872</v>
      </c>
      <c r="C81" s="657" t="s">
        <v>10873</v>
      </c>
      <c r="D81" s="663" t="s">
        <v>2240</v>
      </c>
      <c r="E81" s="663" t="s">
        <v>10876</v>
      </c>
      <c r="F81" s="658">
        <v>0.1</v>
      </c>
      <c r="G81" s="658">
        <v>0</v>
      </c>
      <c r="H81" s="664">
        <v>9020</v>
      </c>
      <c r="I81" s="664">
        <f t="shared" si="0"/>
        <v>8200</v>
      </c>
      <c r="J81" s="664">
        <f t="shared" si="1"/>
        <v>9020</v>
      </c>
      <c r="K81" s="661"/>
    </row>
    <row r="82" spans="1:11" ht="18.75" customHeight="1">
      <c r="A82" s="661"/>
      <c r="B82" s="657" t="s">
        <v>10872</v>
      </c>
      <c r="C82" s="657" t="s">
        <v>10873</v>
      </c>
      <c r="D82" s="663" t="s">
        <v>2244</v>
      </c>
      <c r="E82" s="663" t="s">
        <v>10877</v>
      </c>
      <c r="F82" s="658">
        <v>0.1</v>
      </c>
      <c r="G82" s="658">
        <v>0</v>
      </c>
      <c r="H82" s="664">
        <v>9020</v>
      </c>
      <c r="I82" s="664">
        <f t="shared" si="0"/>
        <v>8200</v>
      </c>
      <c r="J82" s="664">
        <f t="shared" si="1"/>
        <v>9020</v>
      </c>
      <c r="K82" s="661"/>
    </row>
    <row r="83" spans="1:11" ht="18.75" customHeight="1">
      <c r="A83" s="661"/>
      <c r="B83" s="657" t="s">
        <v>10872</v>
      </c>
      <c r="C83" s="657" t="s">
        <v>10873</v>
      </c>
      <c r="D83" s="663" t="s">
        <v>2248</v>
      </c>
      <c r="E83" s="663" t="s">
        <v>10878</v>
      </c>
      <c r="F83" s="658">
        <v>0.1</v>
      </c>
      <c r="G83" s="658">
        <v>0</v>
      </c>
      <c r="H83" s="664">
        <v>12100</v>
      </c>
      <c r="I83" s="664">
        <f t="shared" si="0"/>
        <v>11000</v>
      </c>
      <c r="J83" s="664">
        <f t="shared" si="1"/>
        <v>12100</v>
      </c>
      <c r="K83" s="661"/>
    </row>
    <row r="84" spans="1:11" ht="18.75" customHeight="1">
      <c r="A84" s="661"/>
      <c r="B84" s="657" t="s">
        <v>10872</v>
      </c>
      <c r="C84" s="657" t="s">
        <v>10873</v>
      </c>
      <c r="D84" s="663" t="s">
        <v>2252</v>
      </c>
      <c r="E84" s="663" t="s">
        <v>10879</v>
      </c>
      <c r="F84" s="658">
        <v>0.1</v>
      </c>
      <c r="G84" s="658">
        <v>0</v>
      </c>
      <c r="H84" s="664">
        <v>12100</v>
      </c>
      <c r="I84" s="664">
        <f t="shared" si="0"/>
        <v>11000</v>
      </c>
      <c r="J84" s="664">
        <f t="shared" si="1"/>
        <v>12100</v>
      </c>
      <c r="K84" s="661"/>
    </row>
    <row r="85" spans="1:11" ht="18.75" customHeight="1">
      <c r="A85" s="661"/>
      <c r="B85" s="657" t="s">
        <v>10872</v>
      </c>
      <c r="C85" s="657" t="s">
        <v>10873</v>
      </c>
      <c r="D85" s="663" t="s">
        <v>10880</v>
      </c>
      <c r="E85" s="663" t="s">
        <v>10881</v>
      </c>
      <c r="F85" s="658">
        <v>0.1</v>
      </c>
      <c r="G85" s="658">
        <v>0</v>
      </c>
      <c r="H85" s="664">
        <v>12100</v>
      </c>
      <c r="I85" s="664">
        <f t="shared" si="0"/>
        <v>11000</v>
      </c>
      <c r="J85" s="664">
        <f t="shared" si="1"/>
        <v>12100</v>
      </c>
      <c r="K85" s="661"/>
    </row>
    <row r="86" spans="1:11" ht="18.75" customHeight="1">
      <c r="A86" s="661"/>
      <c r="B86" s="657" t="s">
        <v>10872</v>
      </c>
      <c r="C86" s="657" t="s">
        <v>10873</v>
      </c>
      <c r="D86" s="663" t="s">
        <v>2256</v>
      </c>
      <c r="E86" s="663" t="s">
        <v>10882</v>
      </c>
      <c r="F86" s="658">
        <v>0.1</v>
      </c>
      <c r="G86" s="658">
        <v>0</v>
      </c>
      <c r="H86" s="664">
        <v>17050</v>
      </c>
      <c r="I86" s="664">
        <f t="shared" si="0"/>
        <v>15500</v>
      </c>
      <c r="J86" s="664">
        <f t="shared" si="1"/>
        <v>17050</v>
      </c>
      <c r="K86" s="661"/>
    </row>
    <row r="87" spans="1:11" ht="18.75" customHeight="1">
      <c r="A87" s="661"/>
      <c r="B87" s="657" t="s">
        <v>10872</v>
      </c>
      <c r="C87" s="657" t="s">
        <v>10873</v>
      </c>
      <c r="D87" s="663" t="s">
        <v>2260</v>
      </c>
      <c r="E87" s="663" t="s">
        <v>10883</v>
      </c>
      <c r="F87" s="658">
        <v>0.1</v>
      </c>
      <c r="G87" s="658">
        <v>0</v>
      </c>
      <c r="H87" s="664">
        <v>17050</v>
      </c>
      <c r="I87" s="664">
        <f t="shared" si="0"/>
        <v>15500</v>
      </c>
      <c r="J87" s="664">
        <f t="shared" si="1"/>
        <v>17050</v>
      </c>
      <c r="K87" s="661"/>
    </row>
    <row r="88" spans="1:11" ht="18.75" customHeight="1">
      <c r="A88" s="661"/>
      <c r="B88" s="657" t="s">
        <v>10872</v>
      </c>
      <c r="C88" s="657" t="s">
        <v>10873</v>
      </c>
      <c r="D88" s="663" t="s">
        <v>2263</v>
      </c>
      <c r="E88" s="663" t="s">
        <v>10884</v>
      </c>
      <c r="F88" s="658">
        <v>0.1</v>
      </c>
      <c r="G88" s="658">
        <v>0</v>
      </c>
      <c r="H88" s="664">
        <v>17050</v>
      </c>
      <c r="I88" s="664">
        <f t="shared" si="0"/>
        <v>15500</v>
      </c>
      <c r="J88" s="664">
        <f t="shared" si="1"/>
        <v>17050</v>
      </c>
      <c r="K88" s="661"/>
    </row>
    <row r="89" spans="1:11" ht="18.75" customHeight="1">
      <c r="A89" s="661"/>
      <c r="B89" s="657" t="s">
        <v>10872</v>
      </c>
      <c r="C89" s="657" t="s">
        <v>10873</v>
      </c>
      <c r="D89" s="663" t="s">
        <v>2267</v>
      </c>
      <c r="E89" s="663" t="s">
        <v>10885</v>
      </c>
      <c r="F89" s="658">
        <v>0.1</v>
      </c>
      <c r="G89" s="658">
        <v>0</v>
      </c>
      <c r="H89" s="664">
        <v>18040</v>
      </c>
      <c r="I89" s="664">
        <f t="shared" si="0"/>
        <v>16400</v>
      </c>
      <c r="J89" s="664">
        <f t="shared" si="1"/>
        <v>18040</v>
      </c>
      <c r="K89" s="661"/>
    </row>
    <row r="90" spans="1:11" ht="18.75" customHeight="1">
      <c r="A90" s="661"/>
      <c r="B90" s="657" t="s">
        <v>10872</v>
      </c>
      <c r="C90" s="657" t="s">
        <v>10873</v>
      </c>
      <c r="D90" s="663" t="s">
        <v>2271</v>
      </c>
      <c r="E90" s="663" t="s">
        <v>10886</v>
      </c>
      <c r="F90" s="658">
        <v>0.1</v>
      </c>
      <c r="G90" s="658">
        <v>0</v>
      </c>
      <c r="H90" s="664">
        <v>18040</v>
      </c>
      <c r="I90" s="664">
        <f t="shared" si="0"/>
        <v>16400</v>
      </c>
      <c r="J90" s="664">
        <f t="shared" si="1"/>
        <v>18040</v>
      </c>
      <c r="K90" s="661"/>
    </row>
    <row r="91" spans="1:11" ht="18.75" customHeight="1">
      <c r="A91" s="661"/>
      <c r="B91" s="657" t="s">
        <v>10872</v>
      </c>
      <c r="C91" s="657" t="s">
        <v>10873</v>
      </c>
      <c r="D91" s="663" t="s">
        <v>2274</v>
      </c>
      <c r="E91" s="663" t="s">
        <v>10887</v>
      </c>
      <c r="F91" s="658">
        <v>0.1</v>
      </c>
      <c r="G91" s="658">
        <v>0</v>
      </c>
      <c r="H91" s="664">
        <v>18040</v>
      </c>
      <c r="I91" s="664">
        <f t="shared" si="0"/>
        <v>16400</v>
      </c>
      <c r="J91" s="664">
        <f t="shared" si="1"/>
        <v>18040</v>
      </c>
      <c r="K91" s="661"/>
    </row>
    <row r="92" spans="1:11" ht="18.75" customHeight="1">
      <c r="A92" s="661"/>
      <c r="B92" s="657" t="s">
        <v>10872</v>
      </c>
      <c r="C92" s="657" t="s">
        <v>10873</v>
      </c>
      <c r="D92" s="663" t="s">
        <v>2277</v>
      </c>
      <c r="E92" s="663" t="s">
        <v>10888</v>
      </c>
      <c r="F92" s="658">
        <v>0.1</v>
      </c>
      <c r="G92" s="658">
        <v>0</v>
      </c>
      <c r="H92" s="664">
        <v>18040</v>
      </c>
      <c r="I92" s="664">
        <f t="shared" si="0"/>
        <v>16400</v>
      </c>
      <c r="J92" s="664">
        <f t="shared" si="1"/>
        <v>18040</v>
      </c>
      <c r="K92" s="661"/>
    </row>
    <row r="93" spans="1:11" ht="18.75" customHeight="1">
      <c r="A93" s="661"/>
      <c r="B93" s="657" t="s">
        <v>10872</v>
      </c>
      <c r="C93" s="657" t="s">
        <v>10873</v>
      </c>
      <c r="D93" s="663" t="s">
        <v>10889</v>
      </c>
      <c r="E93" s="663" t="s">
        <v>10890</v>
      </c>
      <c r="F93" s="658">
        <v>0.1</v>
      </c>
      <c r="G93" s="658">
        <v>0</v>
      </c>
      <c r="H93" s="664">
        <v>37950</v>
      </c>
      <c r="I93" s="664">
        <f t="shared" si="0"/>
        <v>34500</v>
      </c>
      <c r="J93" s="664">
        <f t="shared" si="1"/>
        <v>37950</v>
      </c>
      <c r="K93" s="661"/>
    </row>
    <row r="94" spans="1:11" ht="18.75" customHeight="1">
      <c r="A94" s="661"/>
      <c r="B94" s="657" t="s">
        <v>10872</v>
      </c>
      <c r="C94" s="657" t="s">
        <v>10873</v>
      </c>
      <c r="D94" s="663" t="s">
        <v>10891</v>
      </c>
      <c r="E94" s="663" t="s">
        <v>10892</v>
      </c>
      <c r="F94" s="658">
        <v>0.1</v>
      </c>
      <c r="G94" s="658">
        <v>0</v>
      </c>
      <c r="H94" s="664">
        <v>37950</v>
      </c>
      <c r="I94" s="664">
        <f t="shared" si="0"/>
        <v>34500</v>
      </c>
      <c r="J94" s="664">
        <f t="shared" si="1"/>
        <v>37950</v>
      </c>
      <c r="K94" s="661"/>
    </row>
    <row r="95" spans="1:11" ht="18.75" customHeight="1">
      <c r="A95" s="661"/>
      <c r="B95" s="657" t="s">
        <v>10872</v>
      </c>
      <c r="C95" s="657" t="s">
        <v>10873</v>
      </c>
      <c r="D95" s="663" t="s">
        <v>2282</v>
      </c>
      <c r="E95" s="663" t="s">
        <v>10893</v>
      </c>
      <c r="F95" s="658">
        <v>0.1</v>
      </c>
      <c r="G95" s="658">
        <v>0</v>
      </c>
      <c r="H95" s="664">
        <v>35640</v>
      </c>
      <c r="I95" s="664">
        <f t="shared" si="0"/>
        <v>32400</v>
      </c>
      <c r="J95" s="664">
        <f t="shared" si="1"/>
        <v>35640</v>
      </c>
      <c r="K95" s="661"/>
    </row>
    <row r="96" spans="1:11" ht="18.75" customHeight="1">
      <c r="A96" s="661"/>
      <c r="B96" s="657" t="s">
        <v>10872</v>
      </c>
      <c r="C96" s="657" t="s">
        <v>10873</v>
      </c>
      <c r="D96" s="663" t="s">
        <v>2287</v>
      </c>
      <c r="E96" s="663" t="s">
        <v>10894</v>
      </c>
      <c r="F96" s="658">
        <v>0.1</v>
      </c>
      <c r="G96" s="658">
        <v>0</v>
      </c>
      <c r="H96" s="664">
        <v>35640</v>
      </c>
      <c r="I96" s="664">
        <f t="shared" si="0"/>
        <v>32400</v>
      </c>
      <c r="J96" s="664">
        <f t="shared" si="1"/>
        <v>35640</v>
      </c>
      <c r="K96" s="661"/>
    </row>
    <row r="97" spans="1:11" ht="18.75" customHeight="1">
      <c r="A97" s="661"/>
      <c r="B97" s="657" t="s">
        <v>10872</v>
      </c>
      <c r="C97" s="657" t="s">
        <v>10873</v>
      </c>
      <c r="D97" s="663" t="s">
        <v>2290</v>
      </c>
      <c r="E97" s="663" t="s">
        <v>10895</v>
      </c>
      <c r="F97" s="658">
        <v>0.1</v>
      </c>
      <c r="G97" s="658">
        <v>0</v>
      </c>
      <c r="H97" s="664">
        <v>25300</v>
      </c>
      <c r="I97" s="664">
        <f t="shared" si="0"/>
        <v>23000</v>
      </c>
      <c r="J97" s="664">
        <f t="shared" si="1"/>
        <v>25300</v>
      </c>
      <c r="K97" s="661"/>
    </row>
    <row r="98" spans="1:11" ht="18.75" customHeight="1">
      <c r="A98" s="661"/>
      <c r="B98" s="657" t="s">
        <v>10872</v>
      </c>
      <c r="C98" s="657" t="s">
        <v>10873</v>
      </c>
      <c r="D98" s="663" t="s">
        <v>10896</v>
      </c>
      <c r="E98" s="663" t="s">
        <v>10897</v>
      </c>
      <c r="F98" s="658">
        <v>0.1</v>
      </c>
      <c r="G98" s="658">
        <v>0</v>
      </c>
      <c r="H98" s="664">
        <v>29040</v>
      </c>
      <c r="I98" s="664">
        <f t="shared" si="0"/>
        <v>26400</v>
      </c>
      <c r="J98" s="664">
        <f t="shared" si="1"/>
        <v>29040</v>
      </c>
      <c r="K98" s="661"/>
    </row>
    <row r="99" spans="1:11" ht="18.75" customHeight="1">
      <c r="A99" s="661"/>
      <c r="B99" s="657" t="s">
        <v>10872</v>
      </c>
      <c r="C99" s="657" t="s">
        <v>10873</v>
      </c>
      <c r="D99" s="663" t="s">
        <v>2295</v>
      </c>
      <c r="E99" s="663" t="s">
        <v>10898</v>
      </c>
      <c r="F99" s="658">
        <v>0.1</v>
      </c>
      <c r="G99" s="658">
        <v>0</v>
      </c>
      <c r="H99" s="664">
        <v>29040</v>
      </c>
      <c r="I99" s="664">
        <f t="shared" si="0"/>
        <v>26400</v>
      </c>
      <c r="J99" s="664">
        <f t="shared" si="1"/>
        <v>29040</v>
      </c>
      <c r="K99" s="661"/>
    </row>
    <row r="100" spans="1:11" ht="18.75" customHeight="1">
      <c r="A100" s="661"/>
      <c r="B100" s="657" t="s">
        <v>10872</v>
      </c>
      <c r="C100" s="657" t="s">
        <v>10873</v>
      </c>
      <c r="D100" s="663" t="s">
        <v>2298</v>
      </c>
      <c r="E100" s="663" t="s">
        <v>10899</v>
      </c>
      <c r="F100" s="658">
        <v>0.1</v>
      </c>
      <c r="G100" s="658">
        <v>0</v>
      </c>
      <c r="H100" s="664">
        <v>29040</v>
      </c>
      <c r="I100" s="664">
        <f t="shared" si="0"/>
        <v>26400</v>
      </c>
      <c r="J100" s="664">
        <f t="shared" si="1"/>
        <v>29040</v>
      </c>
      <c r="K100" s="661"/>
    </row>
    <row r="101" spans="1:11" ht="18.75" customHeight="1">
      <c r="A101" s="661"/>
      <c r="B101" s="657" t="s">
        <v>10872</v>
      </c>
      <c r="C101" s="657" t="s">
        <v>10873</v>
      </c>
      <c r="D101" s="663" t="s">
        <v>2300</v>
      </c>
      <c r="E101" s="663" t="s">
        <v>10900</v>
      </c>
      <c r="F101" s="658">
        <v>0.1</v>
      </c>
      <c r="G101" s="658">
        <v>0</v>
      </c>
      <c r="H101" s="664">
        <v>29040</v>
      </c>
      <c r="I101" s="664">
        <f t="shared" si="0"/>
        <v>26400</v>
      </c>
      <c r="J101" s="664">
        <f t="shared" si="1"/>
        <v>29040</v>
      </c>
      <c r="K101" s="661"/>
    </row>
    <row r="102" spans="1:11" ht="18.75" customHeight="1">
      <c r="A102" s="661"/>
      <c r="B102" s="657" t="s">
        <v>10872</v>
      </c>
      <c r="C102" s="657" t="s">
        <v>10873</v>
      </c>
      <c r="D102" s="663" t="s">
        <v>2303</v>
      </c>
      <c r="E102" s="663" t="s">
        <v>10901</v>
      </c>
      <c r="F102" s="658">
        <v>0.1</v>
      </c>
      <c r="G102" s="658">
        <v>0</v>
      </c>
      <c r="H102" s="664">
        <v>29040</v>
      </c>
      <c r="I102" s="664">
        <f t="shared" si="0"/>
        <v>26400</v>
      </c>
      <c r="J102" s="664">
        <f t="shared" si="1"/>
        <v>29040</v>
      </c>
      <c r="K102" s="661"/>
    </row>
    <row r="103" spans="1:11" ht="18.75" customHeight="1">
      <c r="A103" s="661"/>
      <c r="B103" s="657" t="s">
        <v>10872</v>
      </c>
      <c r="C103" s="657" t="s">
        <v>10873</v>
      </c>
      <c r="D103" s="663" t="s">
        <v>2308</v>
      </c>
      <c r="E103" s="663" t="s">
        <v>10902</v>
      </c>
      <c r="F103" s="658">
        <v>0.1</v>
      </c>
      <c r="G103" s="658">
        <v>0</v>
      </c>
      <c r="H103" s="664">
        <v>29040</v>
      </c>
      <c r="I103" s="664">
        <f t="shared" si="0"/>
        <v>26400</v>
      </c>
      <c r="J103" s="664">
        <f t="shared" si="1"/>
        <v>29040</v>
      </c>
      <c r="K103" s="661"/>
    </row>
    <row r="104" spans="1:11" ht="18.75" customHeight="1">
      <c r="A104" s="661"/>
      <c r="B104" s="657" t="s">
        <v>10872</v>
      </c>
      <c r="C104" s="657" t="s">
        <v>10873</v>
      </c>
      <c r="D104" s="663" t="s">
        <v>2312</v>
      </c>
      <c r="E104" s="663" t="s">
        <v>10903</v>
      </c>
      <c r="F104" s="658">
        <v>0.1</v>
      </c>
      <c r="G104" s="658">
        <v>0</v>
      </c>
      <c r="H104" s="664">
        <v>55000</v>
      </c>
      <c r="I104" s="664">
        <f t="shared" si="0"/>
        <v>50000</v>
      </c>
      <c r="J104" s="664">
        <f t="shared" si="1"/>
        <v>55000</v>
      </c>
      <c r="K104" s="661"/>
    </row>
    <row r="105" spans="1:11" ht="18.75" customHeight="1">
      <c r="A105" s="661"/>
      <c r="B105" s="657" t="s">
        <v>10872</v>
      </c>
      <c r="C105" s="657" t="s">
        <v>10873</v>
      </c>
      <c r="D105" s="663" t="s">
        <v>2316</v>
      </c>
      <c r="E105" s="663" t="s">
        <v>10904</v>
      </c>
      <c r="F105" s="658">
        <v>0.1</v>
      </c>
      <c r="G105" s="658">
        <v>0</v>
      </c>
      <c r="H105" s="664">
        <v>49500</v>
      </c>
      <c r="I105" s="664">
        <f t="shared" si="0"/>
        <v>45000</v>
      </c>
      <c r="J105" s="664">
        <f t="shared" si="1"/>
        <v>49500</v>
      </c>
      <c r="K105" s="661"/>
    </row>
    <row r="106" spans="1:11" ht="18.75" customHeight="1">
      <c r="A106" s="661"/>
      <c r="B106" s="657" t="s">
        <v>10872</v>
      </c>
      <c r="C106" s="657" t="s">
        <v>10873</v>
      </c>
      <c r="D106" s="663" t="s">
        <v>2320</v>
      </c>
      <c r="E106" s="663" t="s">
        <v>10905</v>
      </c>
      <c r="F106" s="658">
        <v>0.1</v>
      </c>
      <c r="G106" s="658">
        <v>0</v>
      </c>
      <c r="H106" s="664">
        <v>49500</v>
      </c>
      <c r="I106" s="664">
        <f t="shared" si="0"/>
        <v>45000</v>
      </c>
      <c r="J106" s="664">
        <f t="shared" si="1"/>
        <v>49500</v>
      </c>
      <c r="K106" s="661"/>
    </row>
    <row r="107" spans="1:11" ht="18.75" customHeight="1">
      <c r="A107" s="661"/>
      <c r="B107" s="657" t="s">
        <v>10872</v>
      </c>
      <c r="C107" s="657" t="s">
        <v>10873</v>
      </c>
      <c r="D107" s="663" t="s">
        <v>10906</v>
      </c>
      <c r="E107" s="663" t="s">
        <v>10907</v>
      </c>
      <c r="F107" s="658">
        <v>0.1</v>
      </c>
      <c r="G107" s="658">
        <v>0</v>
      </c>
      <c r="H107" s="664">
        <v>55000</v>
      </c>
      <c r="I107" s="664">
        <f t="shared" si="0"/>
        <v>50000</v>
      </c>
      <c r="J107" s="664">
        <f t="shared" si="1"/>
        <v>55000</v>
      </c>
      <c r="K107" s="661"/>
    </row>
    <row r="108" spans="1:11" ht="18.75" customHeight="1">
      <c r="A108" s="661"/>
      <c r="B108" s="657" t="s">
        <v>10872</v>
      </c>
      <c r="C108" s="657" t="s">
        <v>10873</v>
      </c>
      <c r="D108" s="663" t="s">
        <v>2326</v>
      </c>
      <c r="E108" s="663" t="s">
        <v>10908</v>
      </c>
      <c r="F108" s="658">
        <v>0.1</v>
      </c>
      <c r="G108" s="658">
        <v>0</v>
      </c>
      <c r="H108" s="664">
        <v>55000</v>
      </c>
      <c r="I108" s="664">
        <f t="shared" si="0"/>
        <v>50000</v>
      </c>
      <c r="J108" s="664">
        <f t="shared" si="1"/>
        <v>55000</v>
      </c>
      <c r="K108" s="661"/>
    </row>
    <row r="109" spans="1:11" ht="18.75" customHeight="1">
      <c r="A109" s="661"/>
      <c r="B109" s="657" t="s">
        <v>10872</v>
      </c>
      <c r="C109" s="657" t="s">
        <v>10873</v>
      </c>
      <c r="D109" s="663" t="s">
        <v>2330</v>
      </c>
      <c r="E109" s="663" t="s">
        <v>10909</v>
      </c>
      <c r="F109" s="658">
        <v>0.1</v>
      </c>
      <c r="G109" s="658">
        <v>0</v>
      </c>
      <c r="H109" s="664">
        <v>77000</v>
      </c>
      <c r="I109" s="664">
        <f t="shared" si="0"/>
        <v>70000</v>
      </c>
      <c r="J109" s="664">
        <f t="shared" si="1"/>
        <v>77000</v>
      </c>
      <c r="K109" s="661"/>
    </row>
    <row r="110" spans="1:11" ht="18.75" customHeight="1">
      <c r="A110" s="661"/>
      <c r="B110" s="657" t="s">
        <v>10872</v>
      </c>
      <c r="C110" s="657" t="s">
        <v>10873</v>
      </c>
      <c r="D110" s="663" t="s">
        <v>2333</v>
      </c>
      <c r="E110" s="663" t="s">
        <v>10910</v>
      </c>
      <c r="F110" s="658">
        <v>0.1</v>
      </c>
      <c r="G110" s="658">
        <v>0</v>
      </c>
      <c r="H110" s="664">
        <v>55000</v>
      </c>
      <c r="I110" s="664">
        <f t="shared" si="0"/>
        <v>50000</v>
      </c>
      <c r="J110" s="664">
        <f t="shared" si="1"/>
        <v>55000</v>
      </c>
      <c r="K110" s="661"/>
    </row>
    <row r="111" spans="1:11" ht="18.75" customHeight="1">
      <c r="A111" s="661"/>
      <c r="B111" s="657" t="s">
        <v>10872</v>
      </c>
      <c r="C111" s="657" t="s">
        <v>10873</v>
      </c>
      <c r="D111" s="663" t="s">
        <v>2336</v>
      </c>
      <c r="E111" s="663" t="s">
        <v>10911</v>
      </c>
      <c r="F111" s="658">
        <v>0.1</v>
      </c>
      <c r="G111" s="658">
        <v>0</v>
      </c>
      <c r="H111" s="664">
        <v>53020</v>
      </c>
      <c r="I111" s="664">
        <f t="shared" si="0"/>
        <v>48200</v>
      </c>
      <c r="J111" s="664">
        <f t="shared" si="1"/>
        <v>53020</v>
      </c>
      <c r="K111" s="661"/>
    </row>
    <row r="112" spans="1:11" ht="18.75" customHeight="1">
      <c r="A112" s="661"/>
      <c r="B112" s="657" t="s">
        <v>10872</v>
      </c>
      <c r="C112" s="657" t="s">
        <v>10873</v>
      </c>
      <c r="D112" s="663" t="s">
        <v>10912</v>
      </c>
      <c r="E112" s="663" t="s">
        <v>10913</v>
      </c>
      <c r="F112" s="658">
        <v>0.1</v>
      </c>
      <c r="G112" s="658">
        <v>0</v>
      </c>
      <c r="H112" s="664">
        <v>53020</v>
      </c>
      <c r="I112" s="664">
        <f t="shared" si="0"/>
        <v>48200</v>
      </c>
      <c r="J112" s="664">
        <f t="shared" si="1"/>
        <v>53020</v>
      </c>
      <c r="K112" s="661"/>
    </row>
    <row r="113" spans="1:11" ht="18.75" customHeight="1">
      <c r="A113" s="661"/>
      <c r="B113" s="657" t="s">
        <v>10872</v>
      </c>
      <c r="C113" s="657" t="s">
        <v>10873</v>
      </c>
      <c r="D113" s="663" t="s">
        <v>2338</v>
      </c>
      <c r="E113" s="663" t="s">
        <v>10914</v>
      </c>
      <c r="F113" s="658">
        <v>0.1</v>
      </c>
      <c r="G113" s="658">
        <v>0</v>
      </c>
      <c r="H113" s="664">
        <v>53020</v>
      </c>
      <c r="I113" s="664">
        <f t="shared" si="0"/>
        <v>48200</v>
      </c>
      <c r="J113" s="664">
        <f t="shared" si="1"/>
        <v>53020</v>
      </c>
      <c r="K113" s="661"/>
    </row>
    <row r="114" spans="1:11" ht="18.75" customHeight="1">
      <c r="A114" s="661"/>
      <c r="B114" s="657" t="s">
        <v>10872</v>
      </c>
      <c r="C114" s="657" t="s">
        <v>10873</v>
      </c>
      <c r="D114" s="663" t="s">
        <v>2340</v>
      </c>
      <c r="E114" s="663" t="s">
        <v>10915</v>
      </c>
      <c r="F114" s="658">
        <v>0.1</v>
      </c>
      <c r="G114" s="658">
        <v>0</v>
      </c>
      <c r="H114" s="664">
        <v>59400</v>
      </c>
      <c r="I114" s="664">
        <f t="shared" si="0"/>
        <v>54000</v>
      </c>
      <c r="J114" s="664">
        <f t="shared" si="1"/>
        <v>59400</v>
      </c>
      <c r="K114" s="661"/>
    </row>
    <row r="115" spans="1:11" ht="18.75" customHeight="1">
      <c r="A115" s="661"/>
      <c r="B115" s="657" t="s">
        <v>10872</v>
      </c>
      <c r="C115" s="657" t="s">
        <v>10873</v>
      </c>
      <c r="D115" s="663" t="s">
        <v>2342</v>
      </c>
      <c r="E115" s="663" t="s">
        <v>10916</v>
      </c>
      <c r="F115" s="658">
        <v>0.1</v>
      </c>
      <c r="G115" s="658">
        <v>0</v>
      </c>
      <c r="H115" s="664">
        <v>60500</v>
      </c>
      <c r="I115" s="664">
        <f t="shared" si="0"/>
        <v>55000</v>
      </c>
      <c r="J115" s="664">
        <f t="shared" si="1"/>
        <v>60500</v>
      </c>
      <c r="K115" s="661"/>
    </row>
    <row r="116" spans="1:11" ht="18.75" customHeight="1">
      <c r="A116" s="661"/>
      <c r="B116" s="657" t="s">
        <v>10872</v>
      </c>
      <c r="C116" s="657" t="s">
        <v>10873</v>
      </c>
      <c r="D116" s="663" t="s">
        <v>2344</v>
      </c>
      <c r="E116" s="663" t="s">
        <v>10917</v>
      </c>
      <c r="F116" s="658">
        <v>0.1</v>
      </c>
      <c r="G116" s="658">
        <v>0</v>
      </c>
      <c r="H116" s="664">
        <v>77220</v>
      </c>
      <c r="I116" s="664">
        <f t="shared" si="0"/>
        <v>70200</v>
      </c>
      <c r="J116" s="664">
        <f t="shared" si="1"/>
        <v>77220</v>
      </c>
      <c r="K116" s="661"/>
    </row>
    <row r="117" spans="1:11" ht="18.75" customHeight="1">
      <c r="A117" s="661"/>
      <c r="B117" s="657" t="s">
        <v>10872</v>
      </c>
      <c r="C117" s="657" t="s">
        <v>10873</v>
      </c>
      <c r="D117" s="663" t="s">
        <v>2346</v>
      </c>
      <c r="E117" s="663" t="s">
        <v>10918</v>
      </c>
      <c r="F117" s="658">
        <v>0.1</v>
      </c>
      <c r="G117" s="658">
        <v>0</v>
      </c>
      <c r="H117" s="664">
        <v>69080</v>
      </c>
      <c r="I117" s="664">
        <f t="shared" si="0"/>
        <v>62800</v>
      </c>
      <c r="J117" s="664">
        <f t="shared" si="1"/>
        <v>69080</v>
      </c>
      <c r="K117" s="661"/>
    </row>
    <row r="118" spans="1:11" ht="18.75" customHeight="1">
      <c r="A118" s="661"/>
      <c r="B118" s="657" t="s">
        <v>10872</v>
      </c>
      <c r="C118" s="657" t="s">
        <v>10873</v>
      </c>
      <c r="D118" s="663" t="s">
        <v>2348</v>
      </c>
      <c r="E118" s="663" t="s">
        <v>10919</v>
      </c>
      <c r="F118" s="658">
        <v>0.1</v>
      </c>
      <c r="G118" s="658">
        <v>0</v>
      </c>
      <c r="H118" s="664">
        <v>69080</v>
      </c>
      <c r="I118" s="664">
        <f t="shared" si="0"/>
        <v>62800</v>
      </c>
      <c r="J118" s="664">
        <f t="shared" si="1"/>
        <v>69080</v>
      </c>
      <c r="K118" s="661"/>
    </row>
    <row r="119" spans="1:11" ht="18.75" customHeight="1">
      <c r="A119" s="661"/>
      <c r="B119" s="657" t="s">
        <v>10872</v>
      </c>
      <c r="C119" s="657" t="s">
        <v>10873</v>
      </c>
      <c r="D119" s="663" t="s">
        <v>2350</v>
      </c>
      <c r="E119" s="663" t="s">
        <v>10920</v>
      </c>
      <c r="F119" s="658">
        <v>0.1</v>
      </c>
      <c r="G119" s="658">
        <v>0</v>
      </c>
      <c r="H119" s="664">
        <v>71500</v>
      </c>
      <c r="I119" s="664">
        <f t="shared" si="0"/>
        <v>65000</v>
      </c>
      <c r="J119" s="664">
        <f t="shared" si="1"/>
        <v>71500</v>
      </c>
      <c r="K119" s="661"/>
    </row>
    <row r="120" spans="1:11" ht="18.75" customHeight="1">
      <c r="A120" s="661"/>
      <c r="B120" s="657" t="s">
        <v>10872</v>
      </c>
      <c r="C120" s="657" t="s">
        <v>10873</v>
      </c>
      <c r="D120" s="663" t="s">
        <v>2352</v>
      </c>
      <c r="E120" s="663" t="s">
        <v>10921</v>
      </c>
      <c r="F120" s="658">
        <v>0.1</v>
      </c>
      <c r="G120" s="658">
        <v>0</v>
      </c>
      <c r="H120" s="664">
        <v>69080</v>
      </c>
      <c r="I120" s="664">
        <f t="shared" si="0"/>
        <v>62800</v>
      </c>
      <c r="J120" s="664">
        <f t="shared" si="1"/>
        <v>69080</v>
      </c>
      <c r="K120" s="661"/>
    </row>
    <row r="121" spans="1:11" ht="18.75" customHeight="1">
      <c r="A121" s="661"/>
      <c r="B121" s="657" t="s">
        <v>10872</v>
      </c>
      <c r="C121" s="657" t="s">
        <v>10873</v>
      </c>
      <c r="D121" s="663" t="s">
        <v>2353</v>
      </c>
      <c r="E121" s="663" t="s">
        <v>10922</v>
      </c>
      <c r="F121" s="658">
        <v>0.1</v>
      </c>
      <c r="G121" s="658">
        <v>0</v>
      </c>
      <c r="H121" s="664">
        <v>69080</v>
      </c>
      <c r="I121" s="664">
        <f t="shared" si="0"/>
        <v>62800</v>
      </c>
      <c r="J121" s="664">
        <f t="shared" si="1"/>
        <v>69080</v>
      </c>
      <c r="K121" s="661"/>
    </row>
    <row r="122" spans="1:11" ht="18.75" customHeight="1">
      <c r="A122" s="661"/>
      <c r="B122" s="657" t="s">
        <v>10872</v>
      </c>
      <c r="C122" s="657" t="s">
        <v>10873</v>
      </c>
      <c r="D122" s="663" t="s">
        <v>2354</v>
      </c>
      <c r="E122" s="663" t="s">
        <v>10923</v>
      </c>
      <c r="F122" s="658">
        <v>0.1</v>
      </c>
      <c r="G122" s="658">
        <v>0</v>
      </c>
      <c r="H122" s="664">
        <v>69080</v>
      </c>
      <c r="I122" s="664">
        <f t="shared" si="0"/>
        <v>62800</v>
      </c>
      <c r="J122" s="664">
        <f t="shared" si="1"/>
        <v>69080</v>
      </c>
      <c r="K122" s="661"/>
    </row>
    <row r="123" spans="1:11" ht="18.75" customHeight="1">
      <c r="A123" s="661"/>
      <c r="B123" s="657" t="s">
        <v>10872</v>
      </c>
      <c r="C123" s="657" t="s">
        <v>10873</v>
      </c>
      <c r="D123" s="663" t="s">
        <v>10924</v>
      </c>
      <c r="E123" s="663" t="s">
        <v>10925</v>
      </c>
      <c r="F123" s="658">
        <v>0.1</v>
      </c>
      <c r="G123" s="658">
        <v>0</v>
      </c>
      <c r="H123" s="663"/>
      <c r="I123" s="664">
        <f t="shared" si="0"/>
        <v>0</v>
      </c>
      <c r="J123" s="664">
        <f t="shared" si="1"/>
        <v>0</v>
      </c>
      <c r="K123" s="661"/>
    </row>
    <row r="124" spans="1:11" ht="18.75" customHeight="1">
      <c r="A124" s="661"/>
      <c r="B124" s="657" t="s">
        <v>10872</v>
      </c>
      <c r="C124" s="657" t="s">
        <v>10873</v>
      </c>
      <c r="D124" s="663" t="s">
        <v>10926</v>
      </c>
      <c r="E124" s="663" t="s">
        <v>10927</v>
      </c>
      <c r="F124" s="658">
        <v>0.1</v>
      </c>
      <c r="G124" s="658">
        <v>0</v>
      </c>
      <c r="H124" s="664">
        <v>135080</v>
      </c>
      <c r="I124" s="664">
        <f t="shared" si="0"/>
        <v>122800</v>
      </c>
      <c r="J124" s="664">
        <f t="shared" si="1"/>
        <v>135080</v>
      </c>
      <c r="K124" s="661"/>
    </row>
    <row r="125" spans="1:11" ht="18.75" customHeight="1">
      <c r="A125" s="661"/>
      <c r="B125" s="657" t="s">
        <v>10872</v>
      </c>
      <c r="C125" s="657" t="s">
        <v>10873</v>
      </c>
      <c r="D125" s="663" t="s">
        <v>10928</v>
      </c>
      <c r="E125" s="663" t="s">
        <v>10929</v>
      </c>
      <c r="F125" s="658">
        <v>0.1</v>
      </c>
      <c r="G125" s="658">
        <v>0</v>
      </c>
      <c r="H125" s="664">
        <v>135080</v>
      </c>
      <c r="I125" s="664">
        <f t="shared" si="0"/>
        <v>122800</v>
      </c>
      <c r="J125" s="664">
        <f t="shared" si="1"/>
        <v>135080</v>
      </c>
      <c r="K125" s="661"/>
    </row>
    <row r="126" spans="1:11" ht="18.75" customHeight="1">
      <c r="A126" s="661"/>
      <c r="B126" s="657" t="s">
        <v>10872</v>
      </c>
      <c r="C126" s="657" t="s">
        <v>10873</v>
      </c>
      <c r="D126" s="663" t="s">
        <v>10930</v>
      </c>
      <c r="E126" s="663" t="s">
        <v>10931</v>
      </c>
      <c r="F126" s="658">
        <v>0.1</v>
      </c>
      <c r="G126" s="658">
        <v>0</v>
      </c>
      <c r="H126" s="664">
        <v>119020</v>
      </c>
      <c r="I126" s="664">
        <f t="shared" si="0"/>
        <v>108200</v>
      </c>
      <c r="J126" s="664">
        <f t="shared" si="1"/>
        <v>119020</v>
      </c>
      <c r="K126" s="661"/>
    </row>
    <row r="127" spans="1:11" ht="18.75" customHeight="1">
      <c r="A127" s="661"/>
      <c r="B127" s="657" t="s">
        <v>10872</v>
      </c>
      <c r="C127" s="657" t="s">
        <v>10873</v>
      </c>
      <c r="D127" s="663" t="s">
        <v>10932</v>
      </c>
      <c r="E127" s="663" t="s">
        <v>10933</v>
      </c>
      <c r="F127" s="658">
        <v>0.1</v>
      </c>
      <c r="G127" s="658">
        <v>0</v>
      </c>
      <c r="H127" s="664">
        <v>119020</v>
      </c>
      <c r="I127" s="664">
        <f t="shared" si="0"/>
        <v>108200</v>
      </c>
      <c r="J127" s="664">
        <f t="shared" si="1"/>
        <v>119020</v>
      </c>
      <c r="K127" s="661"/>
    </row>
    <row r="128" spans="1:11" ht="18.75" customHeight="1">
      <c r="A128" s="661"/>
      <c r="B128" s="657" t="s">
        <v>10872</v>
      </c>
      <c r="C128" s="657" t="s">
        <v>10873</v>
      </c>
      <c r="D128" s="663" t="s">
        <v>2356</v>
      </c>
      <c r="E128" s="663" t="s">
        <v>10934</v>
      </c>
      <c r="F128" s="658">
        <v>0.1</v>
      </c>
      <c r="G128" s="658">
        <v>0</v>
      </c>
      <c r="H128" s="664">
        <v>119020</v>
      </c>
      <c r="I128" s="664">
        <f t="shared" si="0"/>
        <v>108200</v>
      </c>
      <c r="J128" s="664">
        <f t="shared" si="1"/>
        <v>119020</v>
      </c>
      <c r="K128" s="661"/>
    </row>
    <row r="129" spans="1:11" ht="18.75" customHeight="1">
      <c r="A129" s="661"/>
      <c r="B129" s="657" t="s">
        <v>10872</v>
      </c>
      <c r="C129" s="657" t="s">
        <v>10873</v>
      </c>
      <c r="D129" s="663" t="s">
        <v>2358</v>
      </c>
      <c r="E129" s="663" t="s">
        <v>10935</v>
      </c>
      <c r="F129" s="658">
        <v>0.1</v>
      </c>
      <c r="G129" s="658">
        <v>0</v>
      </c>
      <c r="H129" s="664">
        <v>119020</v>
      </c>
      <c r="I129" s="664">
        <f t="shared" si="0"/>
        <v>108200</v>
      </c>
      <c r="J129" s="664">
        <f t="shared" si="1"/>
        <v>119020</v>
      </c>
      <c r="K129" s="661"/>
    </row>
    <row r="130" spans="1:11" ht="18.75" customHeight="1">
      <c r="A130" s="661"/>
      <c r="B130" s="657" t="s">
        <v>10872</v>
      </c>
      <c r="C130" s="657" t="s">
        <v>10873</v>
      </c>
      <c r="D130" s="663" t="s">
        <v>2360</v>
      </c>
      <c r="E130" s="663" t="s">
        <v>10936</v>
      </c>
      <c r="F130" s="658">
        <v>0.1</v>
      </c>
      <c r="G130" s="658">
        <v>0</v>
      </c>
      <c r="H130" s="664">
        <v>123200</v>
      </c>
      <c r="I130" s="664">
        <f t="shared" si="0"/>
        <v>112000</v>
      </c>
      <c r="J130" s="664">
        <f t="shared" si="1"/>
        <v>123200</v>
      </c>
      <c r="K130" s="661"/>
    </row>
    <row r="131" spans="1:11" ht="18.75" customHeight="1">
      <c r="A131" s="661"/>
      <c r="B131" s="657" t="s">
        <v>10872</v>
      </c>
      <c r="C131" s="657" t="s">
        <v>10873</v>
      </c>
      <c r="D131" s="663" t="s">
        <v>10937</v>
      </c>
      <c r="E131" s="663" t="s">
        <v>10938</v>
      </c>
      <c r="F131" s="658">
        <v>0.1</v>
      </c>
      <c r="G131" s="658">
        <v>0</v>
      </c>
      <c r="H131" s="664">
        <v>166980</v>
      </c>
      <c r="I131" s="664">
        <f t="shared" si="0"/>
        <v>151800</v>
      </c>
      <c r="J131" s="664">
        <f t="shared" si="1"/>
        <v>166980</v>
      </c>
      <c r="K131" s="661"/>
    </row>
    <row r="132" spans="1:11" ht="18.75" customHeight="1">
      <c r="A132" s="661"/>
      <c r="B132" s="657" t="s">
        <v>10872</v>
      </c>
      <c r="C132" s="657" t="s">
        <v>10873</v>
      </c>
      <c r="D132" s="663" t="s">
        <v>10939</v>
      </c>
      <c r="E132" s="663" t="s">
        <v>10940</v>
      </c>
      <c r="F132" s="658">
        <v>0.1</v>
      </c>
      <c r="G132" s="658">
        <v>0</v>
      </c>
      <c r="H132" s="663"/>
      <c r="I132" s="664">
        <f t="shared" si="0"/>
        <v>0</v>
      </c>
      <c r="J132" s="664">
        <f t="shared" si="1"/>
        <v>0</v>
      </c>
      <c r="K132" s="661"/>
    </row>
    <row r="133" spans="1:11" ht="18.75" customHeight="1">
      <c r="A133" s="661"/>
      <c r="B133" s="657" t="s">
        <v>10872</v>
      </c>
      <c r="C133" s="657" t="s">
        <v>10873</v>
      </c>
      <c r="D133" s="663" t="s">
        <v>2361</v>
      </c>
      <c r="E133" s="663" t="s">
        <v>10941</v>
      </c>
      <c r="F133" s="658">
        <v>0.1</v>
      </c>
      <c r="G133" s="658">
        <v>0</v>
      </c>
      <c r="H133" s="664">
        <v>184800</v>
      </c>
      <c r="I133" s="664">
        <f t="shared" si="0"/>
        <v>168000</v>
      </c>
      <c r="J133" s="664">
        <f t="shared" si="1"/>
        <v>184800</v>
      </c>
      <c r="K133" s="661"/>
    </row>
    <row r="134" spans="1:11" ht="18.75" customHeight="1">
      <c r="A134" s="661"/>
      <c r="B134" s="657" t="s">
        <v>10872</v>
      </c>
      <c r="C134" s="657" t="s">
        <v>10873</v>
      </c>
      <c r="D134" s="663" t="s">
        <v>2363</v>
      </c>
      <c r="E134" s="663" t="s">
        <v>10942</v>
      </c>
      <c r="F134" s="658">
        <v>0.1</v>
      </c>
      <c r="G134" s="658">
        <v>0</v>
      </c>
      <c r="H134" s="664">
        <v>198000</v>
      </c>
      <c r="I134" s="664">
        <f t="shared" si="0"/>
        <v>180000</v>
      </c>
      <c r="J134" s="664">
        <f t="shared" si="1"/>
        <v>198000</v>
      </c>
      <c r="K134" s="661"/>
    </row>
    <row r="135" spans="1:11" ht="18.75" customHeight="1">
      <c r="A135" s="661"/>
      <c r="B135" s="657" t="s">
        <v>10872</v>
      </c>
      <c r="C135" s="657" t="s">
        <v>10873</v>
      </c>
      <c r="D135" s="663" t="s">
        <v>10943</v>
      </c>
      <c r="E135" s="663" t="s">
        <v>10944</v>
      </c>
      <c r="F135" s="658">
        <v>0.1</v>
      </c>
      <c r="G135" s="658">
        <v>0</v>
      </c>
      <c r="H135" s="663"/>
      <c r="I135" s="664">
        <f t="shared" si="0"/>
        <v>0</v>
      </c>
      <c r="J135" s="664">
        <f t="shared" si="1"/>
        <v>0</v>
      </c>
      <c r="K135" s="661"/>
    </row>
    <row r="136" spans="1:11" ht="18.75" customHeight="1">
      <c r="A136" s="661"/>
      <c r="B136" s="657" t="s">
        <v>10872</v>
      </c>
      <c r="C136" s="657" t="s">
        <v>10873</v>
      </c>
      <c r="D136" s="663" t="s">
        <v>2365</v>
      </c>
      <c r="E136" s="663" t="s">
        <v>10945</v>
      </c>
      <c r="F136" s="658">
        <v>0.1</v>
      </c>
      <c r="G136" s="658">
        <v>0</v>
      </c>
      <c r="H136" s="664">
        <v>198000</v>
      </c>
      <c r="I136" s="664">
        <f t="shared" si="0"/>
        <v>180000</v>
      </c>
      <c r="J136" s="664">
        <f t="shared" si="1"/>
        <v>198000</v>
      </c>
      <c r="K136" s="661"/>
    </row>
    <row r="137" spans="1:11" ht="18.75" customHeight="1">
      <c r="A137" s="661"/>
      <c r="B137" s="657" t="s">
        <v>10872</v>
      </c>
      <c r="C137" s="657" t="s">
        <v>10873</v>
      </c>
      <c r="D137" s="663" t="s">
        <v>2367</v>
      </c>
      <c r="E137" s="663" t="s">
        <v>10946</v>
      </c>
      <c r="F137" s="658">
        <v>0.1</v>
      </c>
      <c r="G137" s="658">
        <v>0</v>
      </c>
      <c r="H137" s="664">
        <v>187000</v>
      </c>
      <c r="I137" s="664">
        <f t="shared" si="0"/>
        <v>170000</v>
      </c>
      <c r="J137" s="664">
        <f t="shared" si="1"/>
        <v>187000</v>
      </c>
      <c r="K137" s="661"/>
    </row>
    <row r="138" spans="1:11" ht="18.75" customHeight="1">
      <c r="A138" s="661"/>
      <c r="B138" s="657" t="s">
        <v>10872</v>
      </c>
      <c r="C138" s="657" t="s">
        <v>10873</v>
      </c>
      <c r="D138" s="663" t="s">
        <v>2368</v>
      </c>
      <c r="E138" s="663" t="s">
        <v>10947</v>
      </c>
      <c r="F138" s="658">
        <v>0.1</v>
      </c>
      <c r="G138" s="658">
        <v>0</v>
      </c>
      <c r="H138" s="664">
        <v>250800</v>
      </c>
      <c r="I138" s="664">
        <f t="shared" si="0"/>
        <v>228000</v>
      </c>
      <c r="J138" s="664">
        <f t="shared" si="1"/>
        <v>250800</v>
      </c>
      <c r="K138" s="661"/>
    </row>
    <row r="139" spans="1:11" ht="18.75" customHeight="1">
      <c r="A139" s="661"/>
      <c r="B139" s="657" t="s">
        <v>10872</v>
      </c>
      <c r="C139" s="657" t="s">
        <v>10873</v>
      </c>
      <c r="D139" s="663" t="s">
        <v>10948</v>
      </c>
      <c r="E139" s="663" t="s">
        <v>10949</v>
      </c>
      <c r="F139" s="658">
        <v>0.1</v>
      </c>
      <c r="G139" s="658">
        <v>0</v>
      </c>
      <c r="H139" s="664">
        <v>326370</v>
      </c>
      <c r="I139" s="664">
        <f t="shared" si="0"/>
        <v>296700</v>
      </c>
      <c r="J139" s="664">
        <f t="shared" si="1"/>
        <v>326370</v>
      </c>
      <c r="K139" s="661"/>
    </row>
    <row r="140" spans="1:11" ht="18.75" customHeight="1">
      <c r="A140" s="661"/>
      <c r="B140" s="657" t="s">
        <v>10872</v>
      </c>
      <c r="C140" s="657" t="s">
        <v>10873</v>
      </c>
      <c r="D140" s="663" t="s">
        <v>2369</v>
      </c>
      <c r="E140" s="663" t="s">
        <v>10950</v>
      </c>
      <c r="F140" s="658">
        <v>0.1</v>
      </c>
      <c r="G140" s="658">
        <v>0</v>
      </c>
      <c r="H140" s="664">
        <v>236500</v>
      </c>
      <c r="I140" s="664">
        <f t="shared" si="0"/>
        <v>215000</v>
      </c>
      <c r="J140" s="664">
        <f t="shared" si="1"/>
        <v>236500</v>
      </c>
      <c r="K140" s="661"/>
    </row>
    <row r="141" spans="1:11" ht="18.75" customHeight="1">
      <c r="A141" s="661"/>
      <c r="B141" s="657" t="s">
        <v>10872</v>
      </c>
      <c r="C141" s="657" t="s">
        <v>10873</v>
      </c>
      <c r="D141" s="663" t="s">
        <v>2371</v>
      </c>
      <c r="E141" s="663" t="s">
        <v>10951</v>
      </c>
      <c r="F141" s="658">
        <v>0.1</v>
      </c>
      <c r="G141" s="658">
        <v>0</v>
      </c>
      <c r="H141" s="664">
        <v>330000</v>
      </c>
      <c r="I141" s="664">
        <f t="shared" si="0"/>
        <v>300000</v>
      </c>
      <c r="J141" s="664">
        <f t="shared" si="1"/>
        <v>330000</v>
      </c>
      <c r="K141" s="661"/>
    </row>
    <row r="142" spans="1:11" ht="18.75" customHeight="1">
      <c r="A142" s="661"/>
      <c r="B142" s="657" t="s">
        <v>10872</v>
      </c>
      <c r="C142" s="657" t="s">
        <v>10873</v>
      </c>
      <c r="D142" s="663" t="s">
        <v>10952</v>
      </c>
      <c r="E142" s="663" t="s">
        <v>10953</v>
      </c>
      <c r="F142" s="658">
        <v>0.1</v>
      </c>
      <c r="G142" s="658">
        <v>0</v>
      </c>
      <c r="H142" s="663"/>
      <c r="I142" s="664">
        <f t="shared" si="0"/>
        <v>0</v>
      </c>
      <c r="J142" s="664">
        <f t="shared" si="1"/>
        <v>0</v>
      </c>
      <c r="K142" s="661"/>
    </row>
    <row r="143" spans="1:11" ht="18.75" customHeight="1">
      <c r="A143" s="661"/>
      <c r="B143" s="657" t="s">
        <v>10872</v>
      </c>
      <c r="C143" s="657" t="s">
        <v>10873</v>
      </c>
      <c r="D143" s="663" t="s">
        <v>10954</v>
      </c>
      <c r="E143" s="663" t="s">
        <v>10955</v>
      </c>
      <c r="F143" s="658">
        <v>0.1</v>
      </c>
      <c r="G143" s="658">
        <v>0</v>
      </c>
      <c r="H143" s="664">
        <v>596970</v>
      </c>
      <c r="I143" s="664">
        <f t="shared" si="0"/>
        <v>542700</v>
      </c>
      <c r="J143" s="664">
        <f t="shared" si="1"/>
        <v>596970</v>
      </c>
      <c r="K143" s="661"/>
    </row>
    <row r="144" spans="1:11" ht="18.75" customHeight="1">
      <c r="A144" s="661"/>
      <c r="B144" s="657" t="s">
        <v>10872</v>
      </c>
      <c r="C144" s="657" t="s">
        <v>10873</v>
      </c>
      <c r="D144" s="663" t="s">
        <v>10956</v>
      </c>
      <c r="E144" s="663" t="s">
        <v>10957</v>
      </c>
      <c r="F144" s="658">
        <v>0.1</v>
      </c>
      <c r="G144" s="658">
        <v>0</v>
      </c>
      <c r="H144" s="664">
        <v>596970</v>
      </c>
      <c r="I144" s="664">
        <f t="shared" si="0"/>
        <v>542700</v>
      </c>
      <c r="J144" s="664">
        <f t="shared" si="1"/>
        <v>596970</v>
      </c>
      <c r="K144" s="661"/>
    </row>
    <row r="145" spans="1:11" ht="18.75" customHeight="1">
      <c r="A145" s="661"/>
      <c r="B145" s="657" t="s">
        <v>10872</v>
      </c>
      <c r="C145" s="657" t="s">
        <v>10873</v>
      </c>
      <c r="D145" s="663" t="s">
        <v>10958</v>
      </c>
      <c r="E145" s="663" t="s">
        <v>10959</v>
      </c>
      <c r="F145" s="658">
        <v>0.1</v>
      </c>
      <c r="G145" s="658">
        <v>0</v>
      </c>
      <c r="H145" s="664">
        <v>596970</v>
      </c>
      <c r="I145" s="664">
        <f t="shared" si="0"/>
        <v>542700</v>
      </c>
      <c r="J145" s="664">
        <f t="shared" si="1"/>
        <v>596970</v>
      </c>
      <c r="K145" s="661"/>
    </row>
    <row r="146" spans="1:11" ht="18.75" customHeight="1">
      <c r="A146" s="661"/>
      <c r="B146" s="657" t="s">
        <v>10872</v>
      </c>
      <c r="C146" s="657" t="s">
        <v>10873</v>
      </c>
      <c r="D146" s="663" t="s">
        <v>10960</v>
      </c>
      <c r="E146" s="663" t="s">
        <v>10961</v>
      </c>
      <c r="F146" s="658">
        <v>0.1</v>
      </c>
      <c r="G146" s="658">
        <v>0</v>
      </c>
      <c r="H146" s="664">
        <v>596970</v>
      </c>
      <c r="I146" s="664">
        <f t="shared" si="0"/>
        <v>542700</v>
      </c>
      <c r="J146" s="664">
        <f t="shared" si="1"/>
        <v>596970</v>
      </c>
      <c r="K146" s="661"/>
    </row>
    <row r="147" spans="1:11" ht="18.75" customHeight="1">
      <c r="A147" s="661"/>
      <c r="B147" s="657" t="s">
        <v>10872</v>
      </c>
      <c r="C147" s="657" t="s">
        <v>10873</v>
      </c>
      <c r="D147" s="663" t="s">
        <v>10962</v>
      </c>
      <c r="E147" s="663" t="s">
        <v>10963</v>
      </c>
      <c r="F147" s="658">
        <v>0.1</v>
      </c>
      <c r="G147" s="658">
        <v>0</v>
      </c>
      <c r="H147" s="664">
        <v>596970</v>
      </c>
      <c r="I147" s="664">
        <f t="shared" si="0"/>
        <v>542700</v>
      </c>
      <c r="J147" s="664">
        <f t="shared" si="1"/>
        <v>596970</v>
      </c>
      <c r="K147" s="661"/>
    </row>
    <row r="148" spans="1:11" ht="18.75" customHeight="1">
      <c r="A148" s="661"/>
      <c r="B148" s="657" t="s">
        <v>10872</v>
      </c>
      <c r="C148" s="657" t="s">
        <v>10873</v>
      </c>
      <c r="D148" s="663" t="s">
        <v>10964</v>
      </c>
      <c r="E148" s="663" t="s">
        <v>10965</v>
      </c>
      <c r="F148" s="658">
        <v>0.1</v>
      </c>
      <c r="G148" s="658">
        <v>0</v>
      </c>
      <c r="H148" s="663"/>
      <c r="I148" s="664">
        <f t="shared" si="0"/>
        <v>0</v>
      </c>
      <c r="J148" s="664">
        <f t="shared" si="1"/>
        <v>0</v>
      </c>
      <c r="K148" s="661"/>
    </row>
    <row r="149" spans="1:11" ht="18.75" customHeight="1">
      <c r="A149" s="661"/>
      <c r="B149" s="657" t="s">
        <v>10966</v>
      </c>
      <c r="C149" s="657" t="s">
        <v>10967</v>
      </c>
      <c r="D149" s="663" t="s">
        <v>2335</v>
      </c>
      <c r="E149" s="663" t="s">
        <v>10968</v>
      </c>
      <c r="F149" s="658">
        <v>0.1</v>
      </c>
      <c r="G149" s="658">
        <v>0</v>
      </c>
      <c r="H149" s="664">
        <v>15840</v>
      </c>
      <c r="I149" s="664">
        <f t="shared" si="0"/>
        <v>14400</v>
      </c>
      <c r="J149" s="664">
        <f t="shared" si="1"/>
        <v>15840</v>
      </c>
      <c r="K149" s="661"/>
    </row>
    <row r="150" spans="1:11" ht="18.75" customHeight="1">
      <c r="A150" s="661"/>
      <c r="B150" s="657" t="s">
        <v>10966</v>
      </c>
      <c r="C150" s="657" t="s">
        <v>10967</v>
      </c>
      <c r="D150" s="663" t="s">
        <v>2332</v>
      </c>
      <c r="E150" s="663" t="s">
        <v>10969</v>
      </c>
      <c r="F150" s="658">
        <v>0.1</v>
      </c>
      <c r="G150" s="658">
        <v>0</v>
      </c>
      <c r="H150" s="664">
        <v>17820</v>
      </c>
      <c r="I150" s="664">
        <f t="shared" si="0"/>
        <v>16200</v>
      </c>
      <c r="J150" s="664">
        <f t="shared" si="1"/>
        <v>17820</v>
      </c>
      <c r="K150" s="661"/>
    </row>
    <row r="151" spans="1:11" ht="18.75" customHeight="1">
      <c r="A151" s="661"/>
      <c r="B151" s="657" t="s">
        <v>10966</v>
      </c>
      <c r="C151" s="657" t="s">
        <v>10967</v>
      </c>
      <c r="D151" s="663" t="s">
        <v>10970</v>
      </c>
      <c r="E151" s="663" t="s">
        <v>10971</v>
      </c>
      <c r="F151" s="658">
        <v>0.1</v>
      </c>
      <c r="G151" s="658">
        <v>0</v>
      </c>
      <c r="H151" s="664">
        <v>24970</v>
      </c>
      <c r="I151" s="664">
        <f t="shared" si="0"/>
        <v>22700</v>
      </c>
      <c r="J151" s="664">
        <f t="shared" si="1"/>
        <v>24970</v>
      </c>
      <c r="K151" s="661"/>
    </row>
    <row r="152" spans="1:11" ht="18.75" customHeight="1">
      <c r="A152" s="661"/>
      <c r="B152" s="657" t="s">
        <v>10966</v>
      </c>
      <c r="C152" s="657" t="s">
        <v>10967</v>
      </c>
      <c r="D152" s="663" t="s">
        <v>10972</v>
      </c>
      <c r="E152" s="663" t="s">
        <v>10973</v>
      </c>
      <c r="F152" s="658">
        <v>0.1</v>
      </c>
      <c r="G152" s="658">
        <v>0</v>
      </c>
      <c r="H152" s="663"/>
      <c r="I152" s="664">
        <f t="shared" si="0"/>
        <v>0</v>
      </c>
      <c r="J152" s="664">
        <f t="shared" si="1"/>
        <v>0</v>
      </c>
      <c r="K152" s="661"/>
    </row>
    <row r="153" spans="1:11" ht="18.75" customHeight="1">
      <c r="A153" s="661"/>
      <c r="B153" s="657" t="s">
        <v>10966</v>
      </c>
      <c r="C153" s="657" t="s">
        <v>10967</v>
      </c>
      <c r="D153" s="663" t="s">
        <v>10974</v>
      </c>
      <c r="E153" s="663" t="s">
        <v>10975</v>
      </c>
      <c r="F153" s="658">
        <v>0.1</v>
      </c>
      <c r="G153" s="658">
        <v>0</v>
      </c>
      <c r="H153" s="663"/>
      <c r="I153" s="664">
        <f t="shared" si="0"/>
        <v>0</v>
      </c>
      <c r="J153" s="664">
        <f t="shared" si="1"/>
        <v>0</v>
      </c>
      <c r="K153" s="661"/>
    </row>
    <row r="154" spans="1:11" ht="18.75" customHeight="1">
      <c r="A154" s="661"/>
      <c r="B154" s="657" t="s">
        <v>10966</v>
      </c>
      <c r="C154" s="657" t="s">
        <v>10967</v>
      </c>
      <c r="D154" s="663" t="s">
        <v>10976</v>
      </c>
      <c r="E154" s="663" t="s">
        <v>10977</v>
      </c>
      <c r="F154" s="658">
        <v>0.1</v>
      </c>
      <c r="G154" s="658">
        <v>0</v>
      </c>
      <c r="H154" s="663"/>
      <c r="I154" s="664">
        <f t="shared" si="0"/>
        <v>0</v>
      </c>
      <c r="J154" s="664">
        <f t="shared" si="1"/>
        <v>0</v>
      </c>
      <c r="K154" s="661"/>
    </row>
    <row r="155" spans="1:11" ht="18.75" customHeight="1">
      <c r="A155" s="661"/>
      <c r="B155" s="657" t="s">
        <v>10966</v>
      </c>
      <c r="C155" s="657" t="s">
        <v>10967</v>
      </c>
      <c r="D155" s="663" t="s">
        <v>10978</v>
      </c>
      <c r="E155" s="663" t="s">
        <v>10979</v>
      </c>
      <c r="F155" s="658">
        <v>0.1</v>
      </c>
      <c r="G155" s="658">
        <v>0</v>
      </c>
      <c r="H155" s="663"/>
      <c r="I155" s="664">
        <f t="shared" si="0"/>
        <v>0</v>
      </c>
      <c r="J155" s="664">
        <f t="shared" si="1"/>
        <v>0</v>
      </c>
      <c r="K155" s="661"/>
    </row>
    <row r="156" spans="1:11" ht="18.75" customHeight="1">
      <c r="A156" s="661"/>
      <c r="B156" s="657" t="s">
        <v>10966</v>
      </c>
      <c r="C156" s="657" t="s">
        <v>10967</v>
      </c>
      <c r="D156" s="663" t="s">
        <v>2307</v>
      </c>
      <c r="E156" s="663" t="s">
        <v>10980</v>
      </c>
      <c r="F156" s="658">
        <v>0.1</v>
      </c>
      <c r="G156" s="658">
        <v>0</v>
      </c>
      <c r="H156" s="664">
        <v>59400</v>
      </c>
      <c r="I156" s="664">
        <f t="shared" si="0"/>
        <v>54000</v>
      </c>
      <c r="J156" s="664">
        <f t="shared" si="1"/>
        <v>59400</v>
      </c>
      <c r="K156" s="661"/>
    </row>
    <row r="157" spans="1:11" ht="18.75" customHeight="1">
      <c r="A157" s="661"/>
      <c r="B157" s="657" t="s">
        <v>10966</v>
      </c>
      <c r="C157" s="657" t="s">
        <v>10967</v>
      </c>
      <c r="D157" s="663" t="s">
        <v>10981</v>
      </c>
      <c r="E157" s="663" t="s">
        <v>10982</v>
      </c>
      <c r="F157" s="658">
        <v>0.1</v>
      </c>
      <c r="G157" s="658">
        <v>0</v>
      </c>
      <c r="H157" s="663"/>
      <c r="I157" s="664">
        <f t="shared" si="0"/>
        <v>0</v>
      </c>
      <c r="J157" s="664">
        <f t="shared" si="1"/>
        <v>0</v>
      </c>
      <c r="K157" s="661"/>
    </row>
    <row r="158" spans="1:11" ht="18.75" customHeight="1">
      <c r="A158" s="661"/>
      <c r="B158" s="657" t="s">
        <v>10966</v>
      </c>
      <c r="C158" s="657" t="s">
        <v>10967</v>
      </c>
      <c r="D158" s="663" t="s">
        <v>10983</v>
      </c>
      <c r="E158" s="663" t="s">
        <v>10984</v>
      </c>
      <c r="F158" s="658">
        <v>0.1</v>
      </c>
      <c r="G158" s="658">
        <v>0</v>
      </c>
      <c r="H158" s="663"/>
      <c r="I158" s="664">
        <f t="shared" si="0"/>
        <v>0</v>
      </c>
      <c r="J158" s="664">
        <f t="shared" si="1"/>
        <v>0</v>
      </c>
      <c r="K158" s="661"/>
    </row>
    <row r="159" spans="1:11" ht="18.75" customHeight="1">
      <c r="A159" s="661"/>
      <c r="B159" s="657" t="s">
        <v>10966</v>
      </c>
      <c r="C159" s="657" t="s">
        <v>10967</v>
      </c>
      <c r="D159" s="663" t="s">
        <v>10985</v>
      </c>
      <c r="E159" s="663" t="s">
        <v>10986</v>
      </c>
      <c r="F159" s="658">
        <v>0.1</v>
      </c>
      <c r="G159" s="658">
        <v>0</v>
      </c>
      <c r="H159" s="663"/>
      <c r="I159" s="664">
        <f t="shared" si="0"/>
        <v>0</v>
      </c>
      <c r="J159" s="664">
        <f t="shared" si="1"/>
        <v>0</v>
      </c>
      <c r="K159" s="661"/>
    </row>
    <row r="160" spans="1:11" ht="18.75" customHeight="1">
      <c r="A160" s="661"/>
      <c r="B160" s="657" t="s">
        <v>10966</v>
      </c>
      <c r="C160" s="657" t="s">
        <v>10967</v>
      </c>
      <c r="D160" s="663" t="s">
        <v>10987</v>
      </c>
      <c r="E160" s="663" t="s">
        <v>10988</v>
      </c>
      <c r="F160" s="658">
        <v>0.1</v>
      </c>
      <c r="G160" s="658">
        <v>0</v>
      </c>
      <c r="H160" s="663"/>
      <c r="I160" s="664">
        <f t="shared" si="0"/>
        <v>0</v>
      </c>
      <c r="J160" s="664">
        <f t="shared" si="1"/>
        <v>0</v>
      </c>
      <c r="K160" s="661"/>
    </row>
    <row r="161" spans="1:11" ht="18.75" customHeight="1">
      <c r="A161" s="661"/>
      <c r="B161" s="657" t="s">
        <v>10966</v>
      </c>
      <c r="C161" s="657" t="s">
        <v>10967</v>
      </c>
      <c r="D161" s="663" t="s">
        <v>10989</v>
      </c>
      <c r="E161" s="663" t="s">
        <v>10990</v>
      </c>
      <c r="F161" s="658">
        <v>0.1</v>
      </c>
      <c r="G161" s="658">
        <v>0</v>
      </c>
      <c r="H161" s="663"/>
      <c r="I161" s="664">
        <f t="shared" si="0"/>
        <v>0</v>
      </c>
      <c r="J161" s="664">
        <f t="shared" si="1"/>
        <v>0</v>
      </c>
      <c r="K161" s="661"/>
    </row>
    <row r="162" spans="1:11" ht="18.75" customHeight="1">
      <c r="A162" s="661"/>
      <c r="B162" s="657" t="s">
        <v>10966</v>
      </c>
      <c r="C162" s="657" t="s">
        <v>10967</v>
      </c>
      <c r="D162" s="663" t="s">
        <v>10991</v>
      </c>
      <c r="E162" s="663" t="s">
        <v>10992</v>
      </c>
      <c r="F162" s="658">
        <v>0.1</v>
      </c>
      <c r="G162" s="658">
        <v>0</v>
      </c>
      <c r="H162" s="663"/>
      <c r="I162" s="664">
        <f t="shared" si="0"/>
        <v>0</v>
      </c>
      <c r="J162" s="664">
        <f t="shared" si="1"/>
        <v>0</v>
      </c>
      <c r="K162" s="661"/>
    </row>
    <row r="163" spans="1:11" ht="18.75" customHeight="1">
      <c r="A163" s="661"/>
      <c r="B163" s="657" t="s">
        <v>10966</v>
      </c>
      <c r="C163" s="657" t="s">
        <v>10967</v>
      </c>
      <c r="D163" s="663" t="s">
        <v>10993</v>
      </c>
      <c r="E163" s="663" t="s">
        <v>10994</v>
      </c>
      <c r="F163" s="658">
        <v>0.1</v>
      </c>
      <c r="G163" s="658">
        <v>0</v>
      </c>
      <c r="H163" s="663"/>
      <c r="I163" s="664">
        <f t="shared" si="0"/>
        <v>0</v>
      </c>
      <c r="J163" s="664">
        <f t="shared" si="1"/>
        <v>0</v>
      </c>
      <c r="K163" s="661"/>
    </row>
    <row r="164" spans="1:11" ht="18.75" customHeight="1">
      <c r="A164" s="661"/>
      <c r="B164" s="657" t="s">
        <v>10966</v>
      </c>
      <c r="C164" s="657" t="s">
        <v>10967</v>
      </c>
      <c r="D164" s="663" t="s">
        <v>10995</v>
      </c>
      <c r="E164" s="663" t="s">
        <v>10996</v>
      </c>
      <c r="F164" s="658">
        <v>0.1</v>
      </c>
      <c r="G164" s="658">
        <v>0</v>
      </c>
      <c r="H164" s="663"/>
      <c r="I164" s="664">
        <f t="shared" si="0"/>
        <v>0</v>
      </c>
      <c r="J164" s="664">
        <f t="shared" si="1"/>
        <v>0</v>
      </c>
      <c r="K164" s="661"/>
    </row>
    <row r="165" spans="1:11" ht="18.75" customHeight="1">
      <c r="A165" s="661"/>
      <c r="B165" s="657" t="s">
        <v>10966</v>
      </c>
      <c r="C165" s="657" t="s">
        <v>10967</v>
      </c>
      <c r="D165" s="663" t="s">
        <v>10997</v>
      </c>
      <c r="E165" s="663" t="s">
        <v>10998</v>
      </c>
      <c r="F165" s="658">
        <v>0.1</v>
      </c>
      <c r="G165" s="658">
        <v>0</v>
      </c>
      <c r="H165" s="663"/>
      <c r="I165" s="664">
        <f t="shared" si="0"/>
        <v>0</v>
      </c>
      <c r="J165" s="664">
        <f t="shared" si="1"/>
        <v>0</v>
      </c>
      <c r="K165" s="661"/>
    </row>
    <row r="166" spans="1:11" ht="18.75" customHeight="1">
      <c r="A166" s="661"/>
      <c r="B166" s="657" t="s">
        <v>10966</v>
      </c>
      <c r="C166" s="657" t="s">
        <v>10967</v>
      </c>
      <c r="D166" s="663" t="s">
        <v>10999</v>
      </c>
      <c r="E166" s="663" t="s">
        <v>11000</v>
      </c>
      <c r="F166" s="658">
        <v>0.1</v>
      </c>
      <c r="G166" s="658">
        <v>0</v>
      </c>
      <c r="H166" s="663"/>
      <c r="I166" s="664">
        <f t="shared" si="0"/>
        <v>0</v>
      </c>
      <c r="J166" s="664">
        <f t="shared" si="1"/>
        <v>0</v>
      </c>
      <c r="K166" s="661"/>
    </row>
    <row r="167" spans="1:11" ht="18.75" customHeight="1">
      <c r="A167" s="661"/>
      <c r="B167" s="657" t="s">
        <v>10966</v>
      </c>
      <c r="C167" s="657" t="s">
        <v>10967</v>
      </c>
      <c r="D167" s="663" t="s">
        <v>11001</v>
      </c>
      <c r="E167" s="663" t="s">
        <v>11002</v>
      </c>
      <c r="F167" s="658">
        <v>0.1</v>
      </c>
      <c r="G167" s="658">
        <v>0</v>
      </c>
      <c r="H167" s="663"/>
      <c r="I167" s="664">
        <f t="shared" si="0"/>
        <v>0</v>
      </c>
      <c r="J167" s="664">
        <f t="shared" si="1"/>
        <v>0</v>
      </c>
      <c r="K167" s="661"/>
    </row>
    <row r="168" spans="1:11" ht="18.75" customHeight="1">
      <c r="A168" s="661"/>
      <c r="B168" s="657" t="s">
        <v>10966</v>
      </c>
      <c r="C168" s="657" t="s">
        <v>10967</v>
      </c>
      <c r="D168" s="663" t="s">
        <v>2318</v>
      </c>
      <c r="E168" s="663" t="s">
        <v>11003</v>
      </c>
      <c r="F168" s="658">
        <v>0.1</v>
      </c>
      <c r="G168" s="658">
        <v>0</v>
      </c>
      <c r="H168" s="664">
        <v>158400</v>
      </c>
      <c r="I168" s="664">
        <f t="shared" si="0"/>
        <v>144000</v>
      </c>
      <c r="J168" s="664">
        <f t="shared" si="1"/>
        <v>158400</v>
      </c>
      <c r="K168" s="661"/>
    </row>
    <row r="169" spans="1:11" ht="18.75" customHeight="1">
      <c r="A169" s="661"/>
      <c r="B169" s="657" t="s">
        <v>10966</v>
      </c>
      <c r="C169" s="657" t="s">
        <v>10967</v>
      </c>
      <c r="D169" s="663" t="s">
        <v>2314</v>
      </c>
      <c r="E169" s="663" t="s">
        <v>11004</v>
      </c>
      <c r="F169" s="658">
        <v>0.1</v>
      </c>
      <c r="G169" s="658">
        <v>0</v>
      </c>
      <c r="H169" s="664">
        <v>158400</v>
      </c>
      <c r="I169" s="664">
        <f t="shared" si="0"/>
        <v>144000</v>
      </c>
      <c r="J169" s="664">
        <f t="shared" si="1"/>
        <v>158400</v>
      </c>
      <c r="K169" s="661"/>
    </row>
    <row r="170" spans="1:11" ht="18.75" customHeight="1">
      <c r="A170" s="661"/>
      <c r="B170" s="657" t="s">
        <v>10966</v>
      </c>
      <c r="C170" s="657" t="s">
        <v>10967</v>
      </c>
      <c r="D170" s="663" t="s">
        <v>11005</v>
      </c>
      <c r="E170" s="663" t="s">
        <v>11006</v>
      </c>
      <c r="F170" s="658">
        <v>0.1</v>
      </c>
      <c r="G170" s="658">
        <v>0</v>
      </c>
      <c r="H170" s="664">
        <v>394460</v>
      </c>
      <c r="I170" s="664">
        <f t="shared" si="0"/>
        <v>358600</v>
      </c>
      <c r="J170" s="664">
        <f t="shared" si="1"/>
        <v>394460</v>
      </c>
      <c r="K170" s="661"/>
    </row>
    <row r="171" spans="1:11" ht="18.75" customHeight="1">
      <c r="A171" s="661"/>
      <c r="B171" s="657" t="s">
        <v>10966</v>
      </c>
      <c r="C171" s="657" t="s">
        <v>10967</v>
      </c>
      <c r="D171" s="663" t="s">
        <v>11007</v>
      </c>
      <c r="E171" s="663" t="s">
        <v>11008</v>
      </c>
      <c r="F171" s="658">
        <v>0.1</v>
      </c>
      <c r="G171" s="658">
        <v>0</v>
      </c>
      <c r="H171" s="663"/>
      <c r="I171" s="664">
        <f t="shared" si="0"/>
        <v>0</v>
      </c>
      <c r="J171" s="664">
        <f t="shared" si="1"/>
        <v>0</v>
      </c>
      <c r="K171" s="661"/>
    </row>
    <row r="172" spans="1:11" ht="18.75" customHeight="1">
      <c r="A172" s="661"/>
      <c r="B172" s="657" t="s">
        <v>10966</v>
      </c>
      <c r="C172" s="657" t="s">
        <v>10967</v>
      </c>
      <c r="D172" s="663" t="s">
        <v>11009</v>
      </c>
      <c r="E172" s="663" t="s">
        <v>11010</v>
      </c>
      <c r="F172" s="658">
        <v>0.1</v>
      </c>
      <c r="G172" s="658">
        <v>0</v>
      </c>
      <c r="H172" s="664">
        <v>237600</v>
      </c>
      <c r="I172" s="664">
        <f t="shared" si="0"/>
        <v>216000</v>
      </c>
      <c r="J172" s="664">
        <f t="shared" si="1"/>
        <v>237600</v>
      </c>
      <c r="K172" s="661"/>
    </row>
    <row r="173" spans="1:11" ht="18.75" customHeight="1">
      <c r="A173" s="661"/>
      <c r="B173" s="657" t="s">
        <v>10966</v>
      </c>
      <c r="C173" s="657" t="s">
        <v>10967</v>
      </c>
      <c r="D173" s="663" t="s">
        <v>11011</v>
      </c>
      <c r="E173" s="663" t="s">
        <v>11012</v>
      </c>
      <c r="F173" s="658">
        <v>0.1</v>
      </c>
      <c r="G173" s="658">
        <v>0</v>
      </c>
      <c r="H173" s="664">
        <v>237600</v>
      </c>
      <c r="I173" s="664">
        <f t="shared" si="0"/>
        <v>216000</v>
      </c>
      <c r="J173" s="664">
        <f t="shared" si="1"/>
        <v>237600</v>
      </c>
      <c r="K173" s="661"/>
    </row>
    <row r="174" spans="1:11" ht="18.75" customHeight="1">
      <c r="A174" s="661"/>
      <c r="B174" s="657" t="s">
        <v>10966</v>
      </c>
      <c r="C174" s="657" t="s">
        <v>10967</v>
      </c>
      <c r="D174" s="663" t="s">
        <v>2328</v>
      </c>
      <c r="E174" s="663" t="s">
        <v>11013</v>
      </c>
      <c r="F174" s="658">
        <v>0.1</v>
      </c>
      <c r="G174" s="658">
        <v>0</v>
      </c>
      <c r="H174" s="664">
        <v>237600</v>
      </c>
      <c r="I174" s="664">
        <f t="shared" si="0"/>
        <v>216000</v>
      </c>
      <c r="J174" s="664">
        <f t="shared" si="1"/>
        <v>237600</v>
      </c>
      <c r="K174" s="661"/>
    </row>
    <row r="175" spans="1:11" ht="18.75" customHeight="1">
      <c r="A175" s="661"/>
      <c r="B175" s="657" t="s">
        <v>10966</v>
      </c>
      <c r="C175" s="657" t="s">
        <v>10967</v>
      </c>
      <c r="D175" s="663" t="s">
        <v>11014</v>
      </c>
      <c r="E175" s="663" t="s">
        <v>11015</v>
      </c>
      <c r="F175" s="658">
        <v>0.1</v>
      </c>
      <c r="G175" s="658">
        <v>0</v>
      </c>
      <c r="H175" s="663"/>
      <c r="I175" s="664">
        <f t="shared" si="0"/>
        <v>0</v>
      </c>
      <c r="J175" s="664">
        <f t="shared" si="1"/>
        <v>0</v>
      </c>
      <c r="K175" s="661"/>
    </row>
    <row r="176" spans="1:11" ht="18.75" customHeight="1">
      <c r="A176" s="661"/>
      <c r="B176" s="657" t="s">
        <v>10966</v>
      </c>
      <c r="C176" s="657" t="s">
        <v>10967</v>
      </c>
      <c r="D176" s="663" t="s">
        <v>11016</v>
      </c>
      <c r="E176" s="663" t="s">
        <v>11017</v>
      </c>
      <c r="F176" s="658">
        <v>0.1</v>
      </c>
      <c r="G176" s="658">
        <v>0</v>
      </c>
      <c r="H176" s="663"/>
      <c r="I176" s="664">
        <f t="shared" si="0"/>
        <v>0</v>
      </c>
      <c r="J176" s="664">
        <f t="shared" si="1"/>
        <v>0</v>
      </c>
      <c r="K176" s="661"/>
    </row>
    <row r="177" spans="1:11" ht="18.75" customHeight="1">
      <c r="A177" s="661"/>
      <c r="B177" s="657" t="s">
        <v>10966</v>
      </c>
      <c r="C177" s="657" t="s">
        <v>10967</v>
      </c>
      <c r="D177" s="663" t="s">
        <v>2310</v>
      </c>
      <c r="E177" s="663" t="s">
        <v>11018</v>
      </c>
      <c r="F177" s="658">
        <v>0.1</v>
      </c>
      <c r="G177" s="658">
        <v>0</v>
      </c>
      <c r="H177" s="664">
        <v>396000</v>
      </c>
      <c r="I177" s="664">
        <f t="shared" si="0"/>
        <v>360000</v>
      </c>
      <c r="J177" s="664">
        <f t="shared" si="1"/>
        <v>396000</v>
      </c>
      <c r="K177" s="661"/>
    </row>
    <row r="178" spans="1:11" ht="18.75" customHeight="1">
      <c r="A178" s="661"/>
      <c r="B178" s="657" t="s">
        <v>10966</v>
      </c>
      <c r="C178" s="657" t="s">
        <v>10967</v>
      </c>
      <c r="D178" s="663" t="s">
        <v>11019</v>
      </c>
      <c r="E178" s="663" t="s">
        <v>11020</v>
      </c>
      <c r="F178" s="658">
        <v>0.1</v>
      </c>
      <c r="G178" s="658">
        <v>0</v>
      </c>
      <c r="H178" s="664">
        <v>953260</v>
      </c>
      <c r="I178" s="664">
        <f t="shared" si="0"/>
        <v>866600</v>
      </c>
      <c r="J178" s="664">
        <f t="shared" si="1"/>
        <v>953260</v>
      </c>
      <c r="K178" s="661"/>
    </row>
    <row r="179" spans="1:11" ht="18.75" customHeight="1">
      <c r="A179" s="661"/>
      <c r="B179" s="657" t="s">
        <v>10966</v>
      </c>
      <c r="C179" s="657" t="s">
        <v>10967</v>
      </c>
      <c r="D179" s="663" t="s">
        <v>2324</v>
      </c>
      <c r="E179" s="663" t="s">
        <v>11021</v>
      </c>
      <c r="F179" s="658">
        <v>0.1</v>
      </c>
      <c r="G179" s="658">
        <v>0</v>
      </c>
      <c r="H179" s="664">
        <v>990000</v>
      </c>
      <c r="I179" s="664">
        <f t="shared" si="0"/>
        <v>900000</v>
      </c>
      <c r="J179" s="664">
        <f t="shared" si="1"/>
        <v>990000</v>
      </c>
      <c r="K179" s="661"/>
    </row>
    <row r="180" spans="1:11" ht="18.75" customHeight="1">
      <c r="A180" s="661"/>
      <c r="B180" s="657" t="s">
        <v>10966</v>
      </c>
      <c r="C180" s="657" t="s">
        <v>10967</v>
      </c>
      <c r="D180" s="663" t="s">
        <v>11022</v>
      </c>
      <c r="E180" s="663" t="s">
        <v>11023</v>
      </c>
      <c r="F180" s="658">
        <v>0.1</v>
      </c>
      <c r="G180" s="658">
        <v>0</v>
      </c>
      <c r="H180" s="663"/>
      <c r="I180" s="664">
        <f t="shared" si="0"/>
        <v>0</v>
      </c>
      <c r="J180" s="664">
        <f t="shared" si="1"/>
        <v>0</v>
      </c>
      <c r="K180" s="661"/>
    </row>
    <row r="181" spans="1:11" ht="18.75" customHeight="1">
      <c r="A181" s="661"/>
      <c r="B181" s="657" t="s">
        <v>10966</v>
      </c>
      <c r="C181" s="657" t="s">
        <v>10967</v>
      </c>
      <c r="D181" s="663" t="s">
        <v>11024</v>
      </c>
      <c r="E181" s="663" t="s">
        <v>11025</v>
      </c>
      <c r="F181" s="658">
        <v>0.1</v>
      </c>
      <c r="G181" s="658">
        <v>0</v>
      </c>
      <c r="H181" s="663"/>
      <c r="I181" s="664">
        <f t="shared" si="0"/>
        <v>0</v>
      </c>
      <c r="J181" s="664">
        <f t="shared" si="1"/>
        <v>0</v>
      </c>
      <c r="K181" s="661"/>
    </row>
    <row r="182" spans="1:11" ht="18.75" customHeight="1">
      <c r="A182" s="661"/>
      <c r="B182" s="657" t="s">
        <v>10966</v>
      </c>
      <c r="C182" s="657" t="s">
        <v>10967</v>
      </c>
      <c r="D182" s="663" t="s">
        <v>11026</v>
      </c>
      <c r="E182" s="663" t="s">
        <v>11027</v>
      </c>
      <c r="F182" s="658">
        <v>0.1</v>
      </c>
      <c r="G182" s="658">
        <v>0</v>
      </c>
      <c r="H182" s="663"/>
      <c r="I182" s="664">
        <f t="shared" si="0"/>
        <v>0</v>
      </c>
      <c r="J182" s="664">
        <f t="shared" si="1"/>
        <v>0</v>
      </c>
      <c r="K182" s="661"/>
    </row>
    <row r="183" spans="1:11" ht="18.75" customHeight="1">
      <c r="A183" s="661"/>
      <c r="B183" s="657" t="s">
        <v>10966</v>
      </c>
      <c r="C183" s="657" t="s">
        <v>10967</v>
      </c>
      <c r="D183" s="663" t="s">
        <v>11028</v>
      </c>
      <c r="E183" s="663" t="s">
        <v>11029</v>
      </c>
      <c r="F183" s="658">
        <v>0.1</v>
      </c>
      <c r="G183" s="658">
        <v>0</v>
      </c>
      <c r="H183" s="663"/>
      <c r="I183" s="664">
        <f t="shared" si="0"/>
        <v>0</v>
      </c>
      <c r="J183" s="664">
        <f t="shared" si="1"/>
        <v>0</v>
      </c>
      <c r="K183" s="661"/>
    </row>
    <row r="184" spans="1:11" ht="18.75" customHeight="1">
      <c r="A184" s="661"/>
      <c r="B184" s="657" t="s">
        <v>10966</v>
      </c>
      <c r="C184" s="657" t="s">
        <v>10967</v>
      </c>
      <c r="D184" s="663" t="s">
        <v>11030</v>
      </c>
      <c r="E184" s="663" t="s">
        <v>11031</v>
      </c>
      <c r="F184" s="658">
        <v>0.1</v>
      </c>
      <c r="G184" s="658">
        <v>0</v>
      </c>
      <c r="H184" s="663"/>
      <c r="I184" s="664">
        <f t="shared" si="0"/>
        <v>0</v>
      </c>
      <c r="J184" s="664">
        <f t="shared" si="1"/>
        <v>0</v>
      </c>
      <c r="K184" s="661"/>
    </row>
    <row r="185" spans="1:11" ht="18.75" customHeight="1">
      <c r="A185" s="661"/>
      <c r="B185" s="657" t="s">
        <v>10966</v>
      </c>
      <c r="C185" s="657" t="s">
        <v>10967</v>
      </c>
      <c r="D185" s="663" t="s">
        <v>11032</v>
      </c>
      <c r="E185" s="663" t="s">
        <v>11033</v>
      </c>
      <c r="F185" s="658">
        <v>0.1</v>
      </c>
      <c r="G185" s="658">
        <v>0</v>
      </c>
      <c r="H185" s="664">
        <v>2040830</v>
      </c>
      <c r="I185" s="664">
        <f t="shared" si="0"/>
        <v>1855300</v>
      </c>
      <c r="J185" s="664">
        <f t="shared" si="1"/>
        <v>2040830</v>
      </c>
      <c r="K185" s="661"/>
    </row>
    <row r="186" spans="1:11" ht="18.75" customHeight="1">
      <c r="A186" s="661"/>
      <c r="B186" s="657" t="s">
        <v>10966</v>
      </c>
      <c r="C186" s="657" t="s">
        <v>10967</v>
      </c>
      <c r="D186" s="663" t="s">
        <v>11034</v>
      </c>
      <c r="E186" s="663" t="s">
        <v>11035</v>
      </c>
      <c r="F186" s="658">
        <v>0.1</v>
      </c>
      <c r="G186" s="658">
        <v>0</v>
      </c>
      <c r="H186" s="664">
        <v>2040830</v>
      </c>
      <c r="I186" s="664">
        <f t="shared" si="0"/>
        <v>1855300</v>
      </c>
      <c r="J186" s="664">
        <f t="shared" si="1"/>
        <v>2040830</v>
      </c>
      <c r="K186" s="661"/>
    </row>
    <row r="187" spans="1:11" ht="18.75" customHeight="1">
      <c r="A187" s="661"/>
      <c r="B187" s="657" t="s">
        <v>1757</v>
      </c>
      <c r="C187" s="657" t="s">
        <v>11036</v>
      </c>
      <c r="D187" s="663" t="s">
        <v>11037</v>
      </c>
      <c r="E187" s="663" t="s">
        <v>11038</v>
      </c>
      <c r="F187" s="658">
        <v>0.1</v>
      </c>
      <c r="G187" s="658">
        <v>0</v>
      </c>
      <c r="H187" s="664">
        <v>8800</v>
      </c>
      <c r="I187" s="664">
        <f t="shared" si="0"/>
        <v>8000</v>
      </c>
      <c r="J187" s="664">
        <f t="shared" si="1"/>
        <v>8800</v>
      </c>
      <c r="K187" s="661"/>
    </row>
    <row r="188" spans="1:11" ht="18.75" customHeight="1">
      <c r="A188" s="661"/>
      <c r="B188" s="657" t="s">
        <v>1757</v>
      </c>
      <c r="C188" s="657" t="s">
        <v>11036</v>
      </c>
      <c r="D188" s="663" t="s">
        <v>2279</v>
      </c>
      <c r="E188" s="663" t="s">
        <v>2280</v>
      </c>
      <c r="F188" s="658">
        <v>0.1</v>
      </c>
      <c r="G188" s="658">
        <v>0</v>
      </c>
      <c r="H188" s="664">
        <v>12100</v>
      </c>
      <c r="I188" s="664">
        <f t="shared" si="0"/>
        <v>11000</v>
      </c>
      <c r="J188" s="664">
        <f t="shared" si="1"/>
        <v>12100</v>
      </c>
      <c r="K188" s="661"/>
    </row>
    <row r="189" spans="1:11" ht="18.75" customHeight="1">
      <c r="A189" s="661"/>
      <c r="B189" s="657" t="s">
        <v>1757</v>
      </c>
      <c r="C189" s="657" t="s">
        <v>11036</v>
      </c>
      <c r="D189" s="663" t="s">
        <v>1758</v>
      </c>
      <c r="E189" s="663" t="s">
        <v>1759</v>
      </c>
      <c r="F189" s="658">
        <v>0.1</v>
      </c>
      <c r="G189" s="658">
        <v>0</v>
      </c>
      <c r="H189" s="664">
        <v>14960</v>
      </c>
      <c r="I189" s="664">
        <f t="shared" si="0"/>
        <v>13600</v>
      </c>
      <c r="J189" s="664">
        <f t="shared" si="1"/>
        <v>14960</v>
      </c>
      <c r="K189" s="661"/>
    </row>
    <row r="190" spans="1:11" ht="18.75" customHeight="1">
      <c r="A190" s="661"/>
      <c r="B190" s="657" t="s">
        <v>1714</v>
      </c>
      <c r="C190" s="657" t="s">
        <v>11039</v>
      </c>
      <c r="D190" s="663" t="s">
        <v>2322</v>
      </c>
      <c r="E190" s="663" t="s">
        <v>2323</v>
      </c>
      <c r="F190" s="658">
        <v>0.1</v>
      </c>
      <c r="G190" s="658">
        <v>0</v>
      </c>
      <c r="H190" s="664">
        <v>14850</v>
      </c>
      <c r="I190" s="664">
        <f t="shared" si="0"/>
        <v>13500</v>
      </c>
      <c r="J190" s="664">
        <f t="shared" si="1"/>
        <v>14850</v>
      </c>
      <c r="K190" s="661"/>
    </row>
    <row r="191" spans="1:11" ht="18.75" customHeight="1">
      <c r="A191" s="661"/>
      <c r="B191" s="657" t="s">
        <v>1714</v>
      </c>
      <c r="C191" s="657" t="s">
        <v>11039</v>
      </c>
      <c r="D191" s="663" t="s">
        <v>1753</v>
      </c>
      <c r="E191" s="663" t="s">
        <v>1754</v>
      </c>
      <c r="F191" s="658">
        <v>0.1</v>
      </c>
      <c r="G191" s="658">
        <v>0</v>
      </c>
      <c r="H191" s="664">
        <v>4950</v>
      </c>
      <c r="I191" s="664">
        <f t="shared" si="0"/>
        <v>4500</v>
      </c>
      <c r="J191" s="664">
        <f t="shared" si="1"/>
        <v>4950</v>
      </c>
      <c r="K191" s="661"/>
    </row>
    <row r="192" spans="1:11" ht="18.75" customHeight="1">
      <c r="A192" s="661"/>
      <c r="B192" s="657" t="s">
        <v>1714</v>
      </c>
      <c r="C192" s="657" t="s">
        <v>11039</v>
      </c>
      <c r="D192" s="663" t="s">
        <v>2284</v>
      </c>
      <c r="E192" s="663" t="s">
        <v>2285</v>
      </c>
      <c r="F192" s="658">
        <v>0.1</v>
      </c>
      <c r="G192" s="658">
        <v>0</v>
      </c>
      <c r="H192" s="664">
        <v>17820</v>
      </c>
      <c r="I192" s="664">
        <f t="shared" si="0"/>
        <v>16200</v>
      </c>
      <c r="J192" s="664">
        <f t="shared" si="1"/>
        <v>17820</v>
      </c>
      <c r="K192" s="661"/>
    </row>
    <row r="193" spans="1:11" ht="18.75" customHeight="1">
      <c r="A193" s="661"/>
      <c r="B193" s="657" t="s">
        <v>1714</v>
      </c>
      <c r="C193" s="657" t="s">
        <v>11039</v>
      </c>
      <c r="D193" s="663" t="s">
        <v>1741</v>
      </c>
      <c r="E193" s="663" t="s">
        <v>1742</v>
      </c>
      <c r="F193" s="658">
        <v>0.1</v>
      </c>
      <c r="G193" s="658">
        <v>0</v>
      </c>
      <c r="H193" s="664">
        <v>8030</v>
      </c>
      <c r="I193" s="664">
        <f t="shared" si="0"/>
        <v>7300</v>
      </c>
      <c r="J193" s="664">
        <f t="shared" si="1"/>
        <v>8030</v>
      </c>
      <c r="K193" s="661"/>
    </row>
    <row r="194" spans="1:11" ht="18.75" customHeight="1">
      <c r="A194" s="661"/>
      <c r="B194" s="657" t="s">
        <v>1714</v>
      </c>
      <c r="C194" s="657" t="s">
        <v>11039</v>
      </c>
      <c r="D194" s="663" t="s">
        <v>2292</v>
      </c>
      <c r="E194" s="663" t="s">
        <v>2293</v>
      </c>
      <c r="F194" s="658">
        <v>0.1</v>
      </c>
      <c r="G194" s="658">
        <v>0</v>
      </c>
      <c r="H194" s="664">
        <v>17820</v>
      </c>
      <c r="I194" s="664">
        <f t="shared" si="0"/>
        <v>16200</v>
      </c>
      <c r="J194" s="664">
        <f t="shared" si="1"/>
        <v>17820</v>
      </c>
      <c r="K194" s="661"/>
    </row>
    <row r="195" spans="1:11" ht="18.75" customHeight="1">
      <c r="A195" s="661"/>
      <c r="B195" s="657" t="s">
        <v>1714</v>
      </c>
      <c r="C195" s="657" t="s">
        <v>11039</v>
      </c>
      <c r="D195" s="663" t="s">
        <v>1729</v>
      </c>
      <c r="E195" s="663" t="s">
        <v>1730</v>
      </c>
      <c r="F195" s="658">
        <v>0.1</v>
      </c>
      <c r="G195" s="658">
        <v>0</v>
      </c>
      <c r="H195" s="664">
        <v>7699.9999999999991</v>
      </c>
      <c r="I195" s="664">
        <f t="shared" si="0"/>
        <v>7000</v>
      </c>
      <c r="J195" s="664">
        <f t="shared" si="1"/>
        <v>7700</v>
      </c>
      <c r="K195" s="661"/>
    </row>
    <row r="196" spans="1:11" ht="18.75" customHeight="1">
      <c r="A196" s="661"/>
      <c r="B196" s="657" t="s">
        <v>1714</v>
      </c>
      <c r="C196" s="657" t="s">
        <v>11039</v>
      </c>
      <c r="D196" s="663" t="s">
        <v>1743</v>
      </c>
      <c r="E196" s="663" t="s">
        <v>1744</v>
      </c>
      <c r="F196" s="658">
        <v>0.1</v>
      </c>
      <c r="G196" s="658">
        <v>0</v>
      </c>
      <c r="H196" s="664">
        <v>9020</v>
      </c>
      <c r="I196" s="664">
        <f t="shared" si="0"/>
        <v>8200</v>
      </c>
      <c r="J196" s="664">
        <f t="shared" si="1"/>
        <v>9020</v>
      </c>
      <c r="K196" s="661"/>
    </row>
    <row r="197" spans="1:11" ht="18.75" customHeight="1">
      <c r="A197" s="661"/>
      <c r="B197" s="657" t="s">
        <v>1714</v>
      </c>
      <c r="C197" s="657" t="s">
        <v>11039</v>
      </c>
      <c r="D197" s="663" t="s">
        <v>1715</v>
      </c>
      <c r="E197" s="663" t="s">
        <v>1716</v>
      </c>
      <c r="F197" s="658">
        <v>0.1</v>
      </c>
      <c r="G197" s="658">
        <v>0</v>
      </c>
      <c r="H197" s="664">
        <v>7699.9999999999991</v>
      </c>
      <c r="I197" s="664">
        <f t="shared" si="0"/>
        <v>7000</v>
      </c>
      <c r="J197" s="664">
        <f t="shared" si="1"/>
        <v>7700</v>
      </c>
      <c r="K197" s="661"/>
    </row>
    <row r="198" spans="1:11" ht="18.75" customHeight="1">
      <c r="A198" s="661"/>
      <c r="B198" s="657" t="s">
        <v>1714</v>
      </c>
      <c r="C198" s="657" t="s">
        <v>11039</v>
      </c>
      <c r="D198" s="663" t="s">
        <v>2305</v>
      </c>
      <c r="E198" s="663" t="s">
        <v>2306</v>
      </c>
      <c r="F198" s="658">
        <v>0.1</v>
      </c>
      <c r="G198" s="658">
        <v>0</v>
      </c>
      <c r="H198" s="664">
        <v>59400</v>
      </c>
      <c r="I198" s="664">
        <f t="shared" si="0"/>
        <v>54000</v>
      </c>
      <c r="J198" s="664">
        <f t="shared" si="1"/>
        <v>59400</v>
      </c>
      <c r="K198" s="661"/>
    </row>
    <row r="199" spans="1:11" ht="18.75" customHeight="1">
      <c r="A199" s="661"/>
      <c r="B199" s="657" t="s">
        <v>1714</v>
      </c>
      <c r="C199" s="657" t="s">
        <v>11039</v>
      </c>
      <c r="D199" s="663" t="s">
        <v>1747</v>
      </c>
      <c r="E199" s="663" t="s">
        <v>1748</v>
      </c>
      <c r="F199" s="658">
        <v>0.1</v>
      </c>
      <c r="G199" s="658">
        <v>0</v>
      </c>
      <c r="H199" s="664">
        <v>12980</v>
      </c>
      <c r="I199" s="664">
        <f t="shared" si="0"/>
        <v>11800</v>
      </c>
      <c r="J199" s="664">
        <f t="shared" si="1"/>
        <v>12980</v>
      </c>
      <c r="K199" s="661"/>
    </row>
    <row r="200" spans="1:11" ht="18.75" customHeight="1">
      <c r="A200" s="661"/>
      <c r="B200" s="657" t="s">
        <v>1714</v>
      </c>
      <c r="C200" s="657" t="s">
        <v>11039</v>
      </c>
      <c r="D200" s="663" t="s">
        <v>1733</v>
      </c>
      <c r="E200" s="663" t="s">
        <v>1734</v>
      </c>
      <c r="F200" s="658">
        <v>0.1</v>
      </c>
      <c r="G200" s="658">
        <v>0</v>
      </c>
      <c r="H200" s="664">
        <v>81200</v>
      </c>
      <c r="I200" s="664">
        <f t="shared" si="0"/>
        <v>73820</v>
      </c>
      <c r="J200" s="664">
        <f t="shared" si="1"/>
        <v>81200</v>
      </c>
      <c r="K200" s="661"/>
    </row>
    <row r="201" spans="1:11" ht="18.75" customHeight="1">
      <c r="A201" s="661"/>
      <c r="B201" s="657" t="s">
        <v>1714</v>
      </c>
      <c r="C201" s="657" t="s">
        <v>11039</v>
      </c>
      <c r="D201" s="663" t="s">
        <v>1720</v>
      </c>
      <c r="E201" s="663" t="s">
        <v>1721</v>
      </c>
      <c r="F201" s="658">
        <v>0.1</v>
      </c>
      <c r="G201" s="658">
        <v>0</v>
      </c>
      <c r="H201" s="664">
        <v>14699.999999999998</v>
      </c>
      <c r="I201" s="664">
        <f t="shared" si="0"/>
        <v>13360</v>
      </c>
      <c r="J201" s="664">
        <f t="shared" si="1"/>
        <v>14700</v>
      </c>
      <c r="K201" s="661"/>
    </row>
    <row r="202" spans="1:11" ht="18.75" customHeight="1">
      <c r="A202" s="661"/>
      <c r="B202" s="657" t="s">
        <v>1714</v>
      </c>
      <c r="C202" s="657" t="s">
        <v>11039</v>
      </c>
      <c r="D202" s="663" t="s">
        <v>1751</v>
      </c>
      <c r="E202" s="663" t="s">
        <v>1752</v>
      </c>
      <c r="F202" s="658">
        <v>0.1</v>
      </c>
      <c r="G202" s="658">
        <v>0</v>
      </c>
      <c r="H202" s="664">
        <v>25960</v>
      </c>
      <c r="I202" s="664">
        <f t="shared" si="0"/>
        <v>23600</v>
      </c>
      <c r="J202" s="664">
        <f t="shared" si="1"/>
        <v>25960</v>
      </c>
      <c r="K202" s="661"/>
    </row>
    <row r="203" spans="1:11" ht="18.75" customHeight="1">
      <c r="A203" s="661"/>
      <c r="B203" s="657" t="s">
        <v>1714</v>
      </c>
      <c r="C203" s="657" t="s">
        <v>11039</v>
      </c>
      <c r="D203" s="663" t="s">
        <v>1737</v>
      </c>
      <c r="E203" s="663" t="s">
        <v>1738</v>
      </c>
      <c r="F203" s="658">
        <v>0.1</v>
      </c>
      <c r="G203" s="658">
        <v>0</v>
      </c>
      <c r="H203" s="664">
        <v>21010</v>
      </c>
      <c r="I203" s="664">
        <f t="shared" si="0"/>
        <v>19100</v>
      </c>
      <c r="J203" s="664">
        <f t="shared" si="1"/>
        <v>21010</v>
      </c>
      <c r="K203" s="661"/>
    </row>
    <row r="204" spans="1:11" ht="18.75" customHeight="1">
      <c r="A204" s="661"/>
      <c r="B204" s="657" t="s">
        <v>1714</v>
      </c>
      <c r="C204" s="657" t="s">
        <v>11039</v>
      </c>
      <c r="D204" s="663" t="s">
        <v>1724</v>
      </c>
      <c r="E204" s="663" t="s">
        <v>1725</v>
      </c>
      <c r="F204" s="658">
        <v>0.1</v>
      </c>
      <c r="G204" s="658">
        <v>0</v>
      </c>
      <c r="H204" s="664">
        <v>19600</v>
      </c>
      <c r="I204" s="664">
        <f t="shared" si="0"/>
        <v>17820</v>
      </c>
      <c r="J204" s="664">
        <f t="shared" si="1"/>
        <v>19600</v>
      </c>
      <c r="K204" s="661"/>
    </row>
    <row r="205" spans="1:11" ht="18.75" customHeight="1">
      <c r="A205" s="661"/>
      <c r="B205" s="657" t="s">
        <v>2037</v>
      </c>
      <c r="C205" s="657" t="s">
        <v>11040</v>
      </c>
      <c r="D205" s="663" t="s">
        <v>2040</v>
      </c>
      <c r="E205" s="663" t="s">
        <v>2041</v>
      </c>
      <c r="F205" s="658">
        <v>0.1</v>
      </c>
      <c r="G205" s="658">
        <v>0</v>
      </c>
      <c r="H205" s="664">
        <v>43960</v>
      </c>
      <c r="I205" s="664">
        <f t="shared" si="0"/>
        <v>39960</v>
      </c>
      <c r="J205" s="664">
        <f t="shared" si="1"/>
        <v>43960</v>
      </c>
      <c r="K205" s="661"/>
    </row>
    <row r="206" spans="1:11" ht="18.75" customHeight="1">
      <c r="A206" s="661"/>
      <c r="B206" s="657" t="s">
        <v>2037</v>
      </c>
      <c r="C206" s="657" t="s">
        <v>11040</v>
      </c>
      <c r="D206" s="663" t="s">
        <v>2038</v>
      </c>
      <c r="E206" s="663" t="s">
        <v>2039</v>
      </c>
      <c r="F206" s="658">
        <v>0.1</v>
      </c>
      <c r="G206" s="658">
        <v>0</v>
      </c>
      <c r="H206" s="664">
        <v>31970</v>
      </c>
      <c r="I206" s="664">
        <f t="shared" si="0"/>
        <v>29060</v>
      </c>
      <c r="J206" s="664">
        <f t="shared" si="1"/>
        <v>31970</v>
      </c>
      <c r="K206" s="661"/>
    </row>
    <row r="207" spans="1:11" ht="18.75" customHeight="1">
      <c r="A207" s="661"/>
      <c r="B207" s="657" t="s">
        <v>2037</v>
      </c>
      <c r="C207" s="657" t="s">
        <v>11040</v>
      </c>
      <c r="D207" s="663" t="s">
        <v>2044</v>
      </c>
      <c r="E207" s="663" t="s">
        <v>2045</v>
      </c>
      <c r="F207" s="658">
        <v>0.1</v>
      </c>
      <c r="G207" s="658">
        <v>0</v>
      </c>
      <c r="H207" s="664">
        <v>29399.999999999996</v>
      </c>
      <c r="I207" s="664">
        <f t="shared" si="0"/>
        <v>26730</v>
      </c>
      <c r="J207" s="664">
        <f t="shared" si="1"/>
        <v>29400</v>
      </c>
      <c r="K207" s="661"/>
    </row>
    <row r="208" spans="1:11" ht="18.75" customHeight="1">
      <c r="A208" s="661"/>
      <c r="B208" s="657" t="s">
        <v>2037</v>
      </c>
      <c r="C208" s="657" t="s">
        <v>11040</v>
      </c>
      <c r="D208" s="663" t="s">
        <v>2046</v>
      </c>
      <c r="E208" s="663" t="s">
        <v>2047</v>
      </c>
      <c r="F208" s="658">
        <v>0.1</v>
      </c>
      <c r="G208" s="658">
        <v>0</v>
      </c>
      <c r="H208" s="664">
        <v>35700</v>
      </c>
      <c r="I208" s="664">
        <f t="shared" si="0"/>
        <v>32450</v>
      </c>
      <c r="J208" s="664">
        <f t="shared" si="1"/>
        <v>35700</v>
      </c>
      <c r="K208" s="661"/>
    </row>
    <row r="209" spans="1:11" ht="18.75" customHeight="1">
      <c r="A209" s="661"/>
      <c r="B209" s="657" t="s">
        <v>2037</v>
      </c>
      <c r="C209" s="657" t="s">
        <v>11040</v>
      </c>
      <c r="D209" s="663" t="s">
        <v>2042</v>
      </c>
      <c r="E209" s="663" t="s">
        <v>2043</v>
      </c>
      <c r="F209" s="658">
        <v>0.1</v>
      </c>
      <c r="G209" s="658">
        <v>0</v>
      </c>
      <c r="H209" s="664">
        <v>46970</v>
      </c>
      <c r="I209" s="664">
        <f t="shared" si="0"/>
        <v>42700</v>
      </c>
      <c r="J209" s="664">
        <f t="shared" si="1"/>
        <v>46970</v>
      </c>
      <c r="K209" s="661"/>
    </row>
    <row r="210" spans="1:11" ht="18.75" customHeight="1">
      <c r="A210" s="661"/>
      <c r="B210" s="657" t="s">
        <v>2037</v>
      </c>
      <c r="C210" s="657" t="s">
        <v>11040</v>
      </c>
      <c r="D210" s="663" t="s">
        <v>2062</v>
      </c>
      <c r="E210" s="663" t="s">
        <v>2063</v>
      </c>
      <c r="F210" s="658">
        <v>0.1</v>
      </c>
      <c r="G210" s="658">
        <v>0</v>
      </c>
      <c r="H210" s="664">
        <v>2183300</v>
      </c>
      <c r="I210" s="664">
        <f t="shared" si="0"/>
        <v>1984820</v>
      </c>
      <c r="J210" s="664">
        <f t="shared" si="1"/>
        <v>2183300</v>
      </c>
      <c r="K210" s="661"/>
    </row>
    <row r="211" spans="1:11" ht="18.75" customHeight="1">
      <c r="A211" s="661"/>
      <c r="B211" s="657" t="s">
        <v>2037</v>
      </c>
      <c r="C211" s="657" t="s">
        <v>11040</v>
      </c>
      <c r="D211" s="663" t="s">
        <v>11041</v>
      </c>
      <c r="E211" s="663" t="s">
        <v>11042</v>
      </c>
      <c r="F211" s="658">
        <v>0.1</v>
      </c>
      <c r="G211" s="658">
        <v>0</v>
      </c>
      <c r="H211" s="664">
        <v>3960000</v>
      </c>
      <c r="I211" s="664">
        <f t="shared" si="0"/>
        <v>3600000</v>
      </c>
      <c r="J211" s="664">
        <f t="shared" si="1"/>
        <v>3960000</v>
      </c>
      <c r="K211" s="661"/>
    </row>
    <row r="212" spans="1:11" ht="18.75" customHeight="1">
      <c r="A212" s="661"/>
      <c r="B212" s="657" t="s">
        <v>2037</v>
      </c>
      <c r="C212" s="657" t="s">
        <v>11040</v>
      </c>
      <c r="D212" s="663" t="s">
        <v>2064</v>
      </c>
      <c r="E212" s="663" t="s">
        <v>2065</v>
      </c>
      <c r="F212" s="658">
        <v>0.1</v>
      </c>
      <c r="G212" s="658">
        <v>0</v>
      </c>
      <c r="H212" s="664">
        <v>1978800</v>
      </c>
      <c r="I212" s="664">
        <f t="shared" si="0"/>
        <v>1798910</v>
      </c>
      <c r="J212" s="664">
        <f t="shared" si="1"/>
        <v>1978800</v>
      </c>
      <c r="K212" s="661"/>
    </row>
    <row r="213" spans="1:11" ht="18.75" customHeight="1">
      <c r="A213" s="661"/>
      <c r="B213" s="657" t="s">
        <v>2037</v>
      </c>
      <c r="C213" s="657" t="s">
        <v>11040</v>
      </c>
      <c r="D213" s="663" t="s">
        <v>11043</v>
      </c>
      <c r="E213" s="663" t="s">
        <v>11044</v>
      </c>
      <c r="F213" s="658">
        <v>0.1</v>
      </c>
      <c r="G213" s="658">
        <v>0</v>
      </c>
      <c r="H213" s="664">
        <v>14337400</v>
      </c>
      <c r="I213" s="664">
        <f t="shared" si="0"/>
        <v>13034000</v>
      </c>
      <c r="J213" s="664">
        <f t="shared" si="1"/>
        <v>14337400</v>
      </c>
      <c r="K213" s="661"/>
    </row>
    <row r="214" spans="1:11" ht="18.75" customHeight="1">
      <c r="A214" s="661"/>
      <c r="B214" s="657" t="s">
        <v>2037</v>
      </c>
      <c r="C214" s="657" t="s">
        <v>11040</v>
      </c>
      <c r="D214" s="663" t="s">
        <v>11045</v>
      </c>
      <c r="E214" s="663" t="s">
        <v>11046</v>
      </c>
      <c r="F214" s="658">
        <v>0.1</v>
      </c>
      <c r="G214" s="658">
        <v>0</v>
      </c>
      <c r="H214" s="663"/>
      <c r="I214" s="664">
        <f t="shared" si="0"/>
        <v>0</v>
      </c>
      <c r="J214" s="664">
        <f t="shared" si="1"/>
        <v>0</v>
      </c>
      <c r="K214" s="661"/>
    </row>
    <row r="215" spans="1:11" ht="18.75" customHeight="1">
      <c r="A215" s="661"/>
      <c r="B215" s="657" t="s">
        <v>2037</v>
      </c>
      <c r="C215" s="657" t="s">
        <v>11040</v>
      </c>
      <c r="D215" s="663" t="s">
        <v>11047</v>
      </c>
      <c r="E215" s="663" t="s">
        <v>11048</v>
      </c>
      <c r="F215" s="658">
        <v>0.1</v>
      </c>
      <c r="G215" s="658">
        <v>0</v>
      </c>
      <c r="H215" s="664">
        <v>5610000</v>
      </c>
      <c r="I215" s="664">
        <f t="shared" si="0"/>
        <v>5100000</v>
      </c>
      <c r="J215" s="664">
        <f t="shared" si="1"/>
        <v>5610000</v>
      </c>
      <c r="K215" s="661"/>
    </row>
    <row r="216" spans="1:11" ht="18.75" customHeight="1">
      <c r="A216" s="661"/>
      <c r="B216" s="657" t="s">
        <v>2037</v>
      </c>
      <c r="C216" s="657" t="s">
        <v>11040</v>
      </c>
      <c r="D216" s="663" t="s">
        <v>11049</v>
      </c>
      <c r="E216" s="663" t="s">
        <v>11050</v>
      </c>
      <c r="F216" s="658">
        <v>0.1</v>
      </c>
      <c r="G216" s="658">
        <v>0</v>
      </c>
      <c r="H216" s="663"/>
      <c r="I216" s="664">
        <f t="shared" si="0"/>
        <v>0</v>
      </c>
      <c r="J216" s="664">
        <f t="shared" si="1"/>
        <v>0</v>
      </c>
      <c r="K216" s="661"/>
    </row>
    <row r="217" spans="1:11" ht="18.75" customHeight="1">
      <c r="A217" s="661"/>
      <c r="B217" s="657" t="s">
        <v>2037</v>
      </c>
      <c r="C217" s="657" t="s">
        <v>11040</v>
      </c>
      <c r="D217" s="663" t="s">
        <v>11051</v>
      </c>
      <c r="E217" s="663" t="s">
        <v>11052</v>
      </c>
      <c r="F217" s="658">
        <v>0.1</v>
      </c>
      <c r="G217" s="658">
        <v>0</v>
      </c>
      <c r="H217" s="664">
        <v>5500000</v>
      </c>
      <c r="I217" s="664">
        <f t="shared" si="0"/>
        <v>5000000</v>
      </c>
      <c r="J217" s="664">
        <f t="shared" si="1"/>
        <v>5500000</v>
      </c>
      <c r="K217" s="661"/>
    </row>
    <row r="218" spans="1:11" ht="18.75" customHeight="1">
      <c r="A218" s="661"/>
      <c r="B218" s="657" t="s">
        <v>2037</v>
      </c>
      <c r="C218" s="657" t="s">
        <v>11040</v>
      </c>
      <c r="D218" s="663" t="s">
        <v>11053</v>
      </c>
      <c r="E218" s="663" t="s">
        <v>11054</v>
      </c>
      <c r="F218" s="658">
        <v>0.1</v>
      </c>
      <c r="G218" s="658">
        <v>0</v>
      </c>
      <c r="H218" s="664">
        <v>5885000</v>
      </c>
      <c r="I218" s="664">
        <f t="shared" si="0"/>
        <v>5350000</v>
      </c>
      <c r="J218" s="664">
        <f t="shared" si="1"/>
        <v>5885000</v>
      </c>
      <c r="K218" s="661"/>
    </row>
    <row r="219" spans="1:11" ht="18.75" customHeight="1">
      <c r="A219" s="661"/>
      <c r="B219" s="657" t="s">
        <v>2037</v>
      </c>
      <c r="C219" s="657" t="s">
        <v>11040</v>
      </c>
      <c r="D219" s="663" t="s">
        <v>11055</v>
      </c>
      <c r="E219" s="663" t="s">
        <v>11056</v>
      </c>
      <c r="F219" s="658">
        <v>0.1</v>
      </c>
      <c r="G219" s="658">
        <v>0</v>
      </c>
      <c r="H219" s="664">
        <v>6181010</v>
      </c>
      <c r="I219" s="664">
        <f t="shared" si="0"/>
        <v>5619100</v>
      </c>
      <c r="J219" s="664">
        <f t="shared" si="1"/>
        <v>6181010</v>
      </c>
      <c r="K219" s="661"/>
    </row>
    <row r="220" spans="1:11" ht="18.75" customHeight="1">
      <c r="A220" s="661"/>
      <c r="B220" s="657" t="s">
        <v>2037</v>
      </c>
      <c r="C220" s="657" t="s">
        <v>11040</v>
      </c>
      <c r="D220" s="663" t="s">
        <v>11057</v>
      </c>
      <c r="E220" s="663" t="s">
        <v>11058</v>
      </c>
      <c r="F220" s="658">
        <v>0.1</v>
      </c>
      <c r="G220" s="658">
        <v>0</v>
      </c>
      <c r="H220" s="664">
        <v>7661500</v>
      </c>
      <c r="I220" s="664">
        <f t="shared" si="0"/>
        <v>6965000</v>
      </c>
      <c r="J220" s="664">
        <f t="shared" si="1"/>
        <v>7661500</v>
      </c>
      <c r="K220" s="661"/>
    </row>
    <row r="221" spans="1:11" ht="18.75" customHeight="1">
      <c r="A221" s="661"/>
      <c r="B221" s="657" t="s">
        <v>2037</v>
      </c>
      <c r="C221" s="657" t="s">
        <v>11040</v>
      </c>
      <c r="D221" s="663" t="s">
        <v>11059</v>
      </c>
      <c r="E221" s="663" t="s">
        <v>11060</v>
      </c>
      <c r="F221" s="658">
        <v>0.1</v>
      </c>
      <c r="G221" s="658">
        <v>0</v>
      </c>
      <c r="H221" s="664">
        <v>8558000</v>
      </c>
      <c r="I221" s="664">
        <f t="shared" si="0"/>
        <v>7780000</v>
      </c>
      <c r="J221" s="664">
        <f t="shared" si="1"/>
        <v>8558000</v>
      </c>
      <c r="K221" s="661"/>
    </row>
    <row r="222" spans="1:11" ht="18.75" customHeight="1">
      <c r="A222" s="661"/>
      <c r="B222" s="657" t="s">
        <v>2037</v>
      </c>
      <c r="C222" s="657" t="s">
        <v>11040</v>
      </c>
      <c r="D222" s="663" t="s">
        <v>11061</v>
      </c>
      <c r="E222" s="663" t="s">
        <v>11062</v>
      </c>
      <c r="F222" s="658">
        <v>0.1</v>
      </c>
      <c r="G222" s="658">
        <v>0</v>
      </c>
      <c r="H222" s="663"/>
      <c r="I222" s="664">
        <f t="shared" si="0"/>
        <v>0</v>
      </c>
      <c r="J222" s="664">
        <f t="shared" si="1"/>
        <v>0</v>
      </c>
      <c r="K222" s="661"/>
    </row>
    <row r="223" spans="1:11" ht="18.75" customHeight="1">
      <c r="A223" s="661"/>
      <c r="B223" s="657" t="s">
        <v>2037</v>
      </c>
      <c r="C223" s="657" t="s">
        <v>11040</v>
      </c>
      <c r="D223" s="663" t="s">
        <v>11063</v>
      </c>
      <c r="E223" s="663" t="s">
        <v>11064</v>
      </c>
      <c r="F223" s="658">
        <v>0.1</v>
      </c>
      <c r="G223" s="658">
        <v>0</v>
      </c>
      <c r="H223" s="663"/>
      <c r="I223" s="664">
        <f t="shared" si="0"/>
        <v>0</v>
      </c>
      <c r="J223" s="664">
        <f t="shared" si="1"/>
        <v>0</v>
      </c>
      <c r="K223" s="661"/>
    </row>
    <row r="224" spans="1:11" ht="18.75" customHeight="1">
      <c r="A224" s="661"/>
      <c r="B224" s="657" t="s">
        <v>2037</v>
      </c>
      <c r="C224" s="657" t="s">
        <v>11040</v>
      </c>
      <c r="D224" s="663" t="s">
        <v>11065</v>
      </c>
      <c r="E224" s="663" t="s">
        <v>11066</v>
      </c>
      <c r="F224" s="658">
        <v>0.1</v>
      </c>
      <c r="G224" s="658">
        <v>0</v>
      </c>
      <c r="H224" s="663"/>
      <c r="I224" s="664">
        <f t="shared" si="0"/>
        <v>0</v>
      </c>
      <c r="J224" s="664">
        <f t="shared" si="1"/>
        <v>0</v>
      </c>
      <c r="K224" s="661"/>
    </row>
    <row r="225" spans="1:11" ht="18.75" customHeight="1">
      <c r="A225" s="661"/>
      <c r="B225" s="657" t="s">
        <v>2037</v>
      </c>
      <c r="C225" s="657" t="s">
        <v>11040</v>
      </c>
      <c r="D225" s="663" t="s">
        <v>11067</v>
      </c>
      <c r="E225" s="663" t="s">
        <v>11068</v>
      </c>
      <c r="F225" s="658">
        <v>0.1</v>
      </c>
      <c r="G225" s="658">
        <v>0</v>
      </c>
      <c r="H225" s="663"/>
      <c r="I225" s="664">
        <f t="shared" si="0"/>
        <v>0</v>
      </c>
      <c r="J225" s="664">
        <f t="shared" si="1"/>
        <v>0</v>
      </c>
      <c r="K225" s="661"/>
    </row>
    <row r="226" spans="1:11" ht="18.75" customHeight="1">
      <c r="A226" s="661"/>
      <c r="B226" s="657" t="s">
        <v>2037</v>
      </c>
      <c r="C226" s="657" t="s">
        <v>11040</v>
      </c>
      <c r="D226" s="663" t="s">
        <v>2066</v>
      </c>
      <c r="E226" s="663" t="s">
        <v>2067</v>
      </c>
      <c r="F226" s="658">
        <v>0.1</v>
      </c>
      <c r="G226" s="658">
        <v>0</v>
      </c>
      <c r="H226" s="664">
        <v>1299000</v>
      </c>
      <c r="I226" s="664">
        <f t="shared" si="0"/>
        <v>1180910</v>
      </c>
      <c r="J226" s="664">
        <f t="shared" si="1"/>
        <v>1299000</v>
      </c>
      <c r="K226" s="661"/>
    </row>
    <row r="227" spans="1:11" ht="18.75" customHeight="1">
      <c r="A227" s="661"/>
      <c r="B227" s="657" t="s">
        <v>2037</v>
      </c>
      <c r="C227" s="657" t="s">
        <v>11040</v>
      </c>
      <c r="D227" s="663" t="s">
        <v>2068</v>
      </c>
      <c r="E227" s="663" t="s">
        <v>2069</v>
      </c>
      <c r="F227" s="658">
        <v>0.1</v>
      </c>
      <c r="G227" s="658">
        <v>0</v>
      </c>
      <c r="H227" s="664">
        <v>1800000</v>
      </c>
      <c r="I227" s="664">
        <f t="shared" si="0"/>
        <v>1636360</v>
      </c>
      <c r="J227" s="664">
        <f t="shared" si="1"/>
        <v>1800000</v>
      </c>
      <c r="K227" s="661"/>
    </row>
    <row r="228" spans="1:11" ht="18.75" customHeight="1">
      <c r="A228" s="661"/>
      <c r="B228" s="657" t="s">
        <v>2037</v>
      </c>
      <c r="C228" s="657" t="s">
        <v>11040</v>
      </c>
      <c r="D228" s="663" t="s">
        <v>11069</v>
      </c>
      <c r="E228" s="663" t="s">
        <v>11070</v>
      </c>
      <c r="F228" s="658">
        <v>0.1</v>
      </c>
      <c r="G228" s="658">
        <v>0</v>
      </c>
      <c r="H228" s="664">
        <v>297000</v>
      </c>
      <c r="I228" s="664">
        <f t="shared" si="0"/>
        <v>270000</v>
      </c>
      <c r="J228" s="664">
        <f t="shared" si="1"/>
        <v>297000</v>
      </c>
      <c r="K228" s="661"/>
    </row>
    <row r="229" spans="1:11" ht="18.75" customHeight="1">
      <c r="A229" s="661"/>
      <c r="B229" s="657" t="s">
        <v>2037</v>
      </c>
      <c r="C229" s="657" t="s">
        <v>11040</v>
      </c>
      <c r="D229" s="663" t="s">
        <v>2070</v>
      </c>
      <c r="E229" s="663" t="s">
        <v>2071</v>
      </c>
      <c r="F229" s="658">
        <v>0.1</v>
      </c>
      <c r="G229" s="658">
        <v>0</v>
      </c>
      <c r="H229" s="664">
        <v>477000</v>
      </c>
      <c r="I229" s="664">
        <f t="shared" si="0"/>
        <v>433640</v>
      </c>
      <c r="J229" s="664">
        <f t="shared" si="1"/>
        <v>477000</v>
      </c>
      <c r="K229" s="661"/>
    </row>
    <row r="230" spans="1:11" ht="18.75" customHeight="1">
      <c r="A230" s="661"/>
      <c r="B230" s="657" t="s">
        <v>2037</v>
      </c>
      <c r="C230" s="657" t="s">
        <v>11040</v>
      </c>
      <c r="D230" s="663" t="s">
        <v>11071</v>
      </c>
      <c r="E230" s="663" t="s">
        <v>11072</v>
      </c>
      <c r="F230" s="658">
        <v>0.1</v>
      </c>
      <c r="G230" s="658">
        <v>0</v>
      </c>
      <c r="H230" s="664">
        <v>1430000</v>
      </c>
      <c r="I230" s="664">
        <f t="shared" si="0"/>
        <v>1300000</v>
      </c>
      <c r="J230" s="664">
        <f t="shared" si="1"/>
        <v>1430000</v>
      </c>
      <c r="K230" s="661"/>
    </row>
    <row r="231" spans="1:11" ht="18.75" customHeight="1">
      <c r="A231" s="661"/>
      <c r="B231" s="657" t="s">
        <v>2037</v>
      </c>
      <c r="C231" s="657" t="s">
        <v>11040</v>
      </c>
      <c r="D231" s="663" t="s">
        <v>2072</v>
      </c>
      <c r="E231" s="663" t="s">
        <v>2073</v>
      </c>
      <c r="F231" s="658">
        <v>0.1</v>
      </c>
      <c r="G231" s="658">
        <v>0</v>
      </c>
      <c r="H231" s="664">
        <v>748800</v>
      </c>
      <c r="I231" s="664">
        <f t="shared" si="0"/>
        <v>680730</v>
      </c>
      <c r="J231" s="664">
        <f t="shared" si="1"/>
        <v>748800</v>
      </c>
      <c r="K231" s="661"/>
    </row>
    <row r="232" spans="1:11" ht="18.75" customHeight="1">
      <c r="A232" s="661"/>
      <c r="B232" s="657" t="s">
        <v>2037</v>
      </c>
      <c r="C232" s="657" t="s">
        <v>11040</v>
      </c>
      <c r="D232" s="663" t="s">
        <v>11073</v>
      </c>
      <c r="E232" s="663" t="s">
        <v>11074</v>
      </c>
      <c r="F232" s="658">
        <v>0.1</v>
      </c>
      <c r="G232" s="658">
        <v>0</v>
      </c>
      <c r="H232" s="663"/>
      <c r="I232" s="664">
        <f t="shared" si="0"/>
        <v>0</v>
      </c>
      <c r="J232" s="664">
        <f t="shared" si="1"/>
        <v>0</v>
      </c>
      <c r="K232" s="661"/>
    </row>
    <row r="233" spans="1:11" ht="18.75" customHeight="1">
      <c r="A233" s="661"/>
      <c r="B233" s="657" t="s">
        <v>2037</v>
      </c>
      <c r="C233" s="657" t="s">
        <v>11040</v>
      </c>
      <c r="D233" s="663" t="s">
        <v>11075</v>
      </c>
      <c r="E233" s="663" t="s">
        <v>11076</v>
      </c>
      <c r="F233" s="658">
        <v>0.1</v>
      </c>
      <c r="G233" s="658">
        <v>0</v>
      </c>
      <c r="H233" s="663"/>
      <c r="I233" s="664">
        <f t="shared" si="0"/>
        <v>0</v>
      </c>
      <c r="J233" s="664">
        <f t="shared" si="1"/>
        <v>0</v>
      </c>
      <c r="K233" s="661"/>
    </row>
    <row r="234" spans="1:11" ht="18.75" customHeight="1">
      <c r="A234" s="661"/>
      <c r="B234" s="657" t="s">
        <v>2037</v>
      </c>
      <c r="C234" s="657" t="s">
        <v>11040</v>
      </c>
      <c r="D234" s="663" t="s">
        <v>11077</v>
      </c>
      <c r="E234" s="663" t="s">
        <v>2075</v>
      </c>
      <c r="F234" s="658">
        <v>0.1</v>
      </c>
      <c r="G234" s="658">
        <v>0</v>
      </c>
      <c r="H234" s="663"/>
      <c r="I234" s="664">
        <f t="shared" si="0"/>
        <v>0</v>
      </c>
      <c r="J234" s="664">
        <f t="shared" si="1"/>
        <v>0</v>
      </c>
      <c r="K234" s="661"/>
    </row>
    <row r="235" spans="1:11" ht="18.75" customHeight="1">
      <c r="A235" s="661"/>
      <c r="B235" s="657" t="s">
        <v>2037</v>
      </c>
      <c r="C235" s="657" t="s">
        <v>11040</v>
      </c>
      <c r="D235" s="663" t="s">
        <v>2074</v>
      </c>
      <c r="E235" s="663" t="s">
        <v>2075</v>
      </c>
      <c r="F235" s="658">
        <v>0.1</v>
      </c>
      <c r="G235" s="658">
        <v>0</v>
      </c>
      <c r="H235" s="664">
        <v>1347600</v>
      </c>
      <c r="I235" s="664">
        <f t="shared" si="0"/>
        <v>1225090</v>
      </c>
      <c r="J235" s="664">
        <f t="shared" si="1"/>
        <v>1347600</v>
      </c>
      <c r="K235" s="661"/>
    </row>
    <row r="236" spans="1:11" ht="18.75" customHeight="1">
      <c r="A236" s="661"/>
      <c r="B236" s="657" t="s">
        <v>2037</v>
      </c>
      <c r="C236" s="657" t="s">
        <v>11040</v>
      </c>
      <c r="D236" s="663" t="s">
        <v>11078</v>
      </c>
      <c r="E236" s="663" t="s">
        <v>11079</v>
      </c>
      <c r="F236" s="658">
        <v>0.1</v>
      </c>
      <c r="G236" s="658">
        <v>0</v>
      </c>
      <c r="H236" s="663"/>
      <c r="I236" s="664">
        <f t="shared" si="0"/>
        <v>0</v>
      </c>
      <c r="J236" s="664">
        <f t="shared" si="1"/>
        <v>0</v>
      </c>
      <c r="K236" s="661"/>
    </row>
    <row r="237" spans="1:11" ht="18.75" customHeight="1">
      <c r="A237" s="661"/>
      <c r="B237" s="657" t="s">
        <v>2037</v>
      </c>
      <c r="C237" s="657" t="s">
        <v>11040</v>
      </c>
      <c r="D237" s="663" t="s">
        <v>11080</v>
      </c>
      <c r="E237" s="663" t="s">
        <v>11081</v>
      </c>
      <c r="F237" s="658">
        <v>0.1</v>
      </c>
      <c r="G237" s="658">
        <v>0</v>
      </c>
      <c r="H237" s="664">
        <v>3465000</v>
      </c>
      <c r="I237" s="664">
        <f t="shared" si="0"/>
        <v>3150000</v>
      </c>
      <c r="J237" s="664">
        <f t="shared" si="1"/>
        <v>3465000</v>
      </c>
      <c r="K237" s="661"/>
    </row>
    <row r="238" spans="1:11" ht="18.75" customHeight="1">
      <c r="A238" s="661"/>
      <c r="B238" s="657" t="s">
        <v>2037</v>
      </c>
      <c r="C238" s="657" t="s">
        <v>11040</v>
      </c>
      <c r="D238" s="663" t="s">
        <v>11082</v>
      </c>
      <c r="E238" s="663" t="s">
        <v>11083</v>
      </c>
      <c r="F238" s="658">
        <v>0.1</v>
      </c>
      <c r="G238" s="658">
        <v>0</v>
      </c>
      <c r="H238" s="664">
        <v>6700000</v>
      </c>
      <c r="I238" s="664">
        <f t="shared" si="0"/>
        <v>6090910</v>
      </c>
      <c r="J238" s="664">
        <f t="shared" si="1"/>
        <v>6700000</v>
      </c>
      <c r="K238" s="661"/>
    </row>
    <row r="239" spans="1:11" ht="18.75" customHeight="1">
      <c r="A239" s="661"/>
      <c r="B239" s="657" t="s">
        <v>2037</v>
      </c>
      <c r="C239" s="657" t="s">
        <v>11040</v>
      </c>
      <c r="D239" s="663" t="s">
        <v>11084</v>
      </c>
      <c r="E239" s="663" t="s">
        <v>11085</v>
      </c>
      <c r="F239" s="658">
        <v>0.1</v>
      </c>
      <c r="G239" s="658">
        <v>0</v>
      </c>
      <c r="H239" s="663"/>
      <c r="I239" s="664">
        <f t="shared" si="0"/>
        <v>0</v>
      </c>
      <c r="J239" s="664">
        <f t="shared" si="1"/>
        <v>0</v>
      </c>
      <c r="K239" s="661"/>
    </row>
    <row r="240" spans="1:11" ht="18.75" customHeight="1">
      <c r="A240" s="661"/>
      <c r="B240" s="657" t="s">
        <v>2037</v>
      </c>
      <c r="C240" s="657" t="s">
        <v>11040</v>
      </c>
      <c r="D240" s="663" t="s">
        <v>11086</v>
      </c>
      <c r="E240" s="663" t="s">
        <v>11087</v>
      </c>
      <c r="F240" s="658">
        <v>0.1</v>
      </c>
      <c r="G240" s="658">
        <v>0</v>
      </c>
      <c r="H240" s="663"/>
      <c r="I240" s="664">
        <f t="shared" si="0"/>
        <v>0</v>
      </c>
      <c r="J240" s="664">
        <f t="shared" si="1"/>
        <v>0</v>
      </c>
      <c r="K240" s="661"/>
    </row>
    <row r="241" spans="1:11" ht="18.75" customHeight="1">
      <c r="A241" s="661"/>
      <c r="B241" s="657" t="s">
        <v>2037</v>
      </c>
      <c r="C241" s="657" t="s">
        <v>11040</v>
      </c>
      <c r="D241" s="663" t="s">
        <v>2076</v>
      </c>
      <c r="E241" s="663" t="s">
        <v>2077</v>
      </c>
      <c r="F241" s="658">
        <v>0.1</v>
      </c>
      <c r="G241" s="658">
        <v>0</v>
      </c>
      <c r="H241" s="664">
        <v>1536000</v>
      </c>
      <c r="I241" s="664">
        <f t="shared" si="0"/>
        <v>1396360</v>
      </c>
      <c r="J241" s="664">
        <f t="shared" si="1"/>
        <v>1536000</v>
      </c>
      <c r="K241" s="661"/>
    </row>
    <row r="242" spans="1:11" ht="18.75" customHeight="1">
      <c r="A242" s="661"/>
      <c r="B242" s="657" t="s">
        <v>2037</v>
      </c>
      <c r="C242" s="657" t="s">
        <v>11040</v>
      </c>
      <c r="D242" s="663" t="s">
        <v>11088</v>
      </c>
      <c r="E242" s="663" t="s">
        <v>11089</v>
      </c>
      <c r="F242" s="658">
        <v>0.1</v>
      </c>
      <c r="G242" s="658">
        <v>0</v>
      </c>
      <c r="H242" s="664">
        <v>4400000</v>
      </c>
      <c r="I242" s="664">
        <f t="shared" si="0"/>
        <v>4000000</v>
      </c>
      <c r="J242" s="664">
        <f t="shared" si="1"/>
        <v>4400000</v>
      </c>
      <c r="K242" s="661"/>
    </row>
    <row r="243" spans="1:11" ht="18.75" customHeight="1">
      <c r="A243" s="661"/>
      <c r="B243" s="657" t="s">
        <v>2037</v>
      </c>
      <c r="C243" s="657" t="s">
        <v>11040</v>
      </c>
      <c r="D243" s="663" t="s">
        <v>11090</v>
      </c>
      <c r="E243" s="663" t="s">
        <v>11091</v>
      </c>
      <c r="F243" s="658">
        <v>0.1</v>
      </c>
      <c r="G243" s="658">
        <v>0</v>
      </c>
      <c r="H243" s="664">
        <v>4764980</v>
      </c>
      <c r="I243" s="664">
        <f t="shared" si="0"/>
        <v>4331800</v>
      </c>
      <c r="J243" s="664">
        <f t="shared" si="1"/>
        <v>4764980</v>
      </c>
      <c r="K243" s="661"/>
    </row>
    <row r="244" spans="1:11" ht="18.75" customHeight="1">
      <c r="A244" s="661"/>
      <c r="B244" s="657" t="s">
        <v>2037</v>
      </c>
      <c r="C244" s="657" t="s">
        <v>11040</v>
      </c>
      <c r="D244" s="663" t="s">
        <v>11092</v>
      </c>
      <c r="E244" s="663" t="s">
        <v>11093</v>
      </c>
      <c r="F244" s="658">
        <v>0.1</v>
      </c>
      <c r="G244" s="658">
        <v>0</v>
      </c>
      <c r="H244" s="663"/>
      <c r="I244" s="664">
        <f t="shared" si="0"/>
        <v>0</v>
      </c>
      <c r="J244" s="664">
        <f t="shared" si="1"/>
        <v>0</v>
      </c>
      <c r="K244" s="661"/>
    </row>
    <row r="245" spans="1:11" ht="18.75" customHeight="1">
      <c r="A245" s="661"/>
      <c r="B245" s="657" t="s">
        <v>2037</v>
      </c>
      <c r="C245" s="657" t="s">
        <v>11040</v>
      </c>
      <c r="D245" s="663" t="s">
        <v>11094</v>
      </c>
      <c r="E245" s="663" t="s">
        <v>11095</v>
      </c>
      <c r="F245" s="658">
        <v>0.1</v>
      </c>
      <c r="G245" s="658">
        <v>0</v>
      </c>
      <c r="H245" s="663"/>
      <c r="I245" s="664">
        <f t="shared" si="0"/>
        <v>0</v>
      </c>
      <c r="J245" s="664">
        <f t="shared" si="1"/>
        <v>0</v>
      </c>
      <c r="K245" s="661"/>
    </row>
    <row r="246" spans="1:11" ht="18.75" customHeight="1">
      <c r="A246" s="661"/>
      <c r="B246" s="657" t="s">
        <v>2037</v>
      </c>
      <c r="C246" s="657" t="s">
        <v>11040</v>
      </c>
      <c r="D246" s="663" t="s">
        <v>2048</v>
      </c>
      <c r="E246" s="663" t="s">
        <v>2049</v>
      </c>
      <c r="F246" s="658">
        <v>0.1</v>
      </c>
      <c r="G246" s="658">
        <v>0</v>
      </c>
      <c r="H246" s="664">
        <v>1778700</v>
      </c>
      <c r="I246" s="664">
        <f t="shared" si="0"/>
        <v>1617000</v>
      </c>
      <c r="J246" s="664">
        <f t="shared" si="1"/>
        <v>1778700</v>
      </c>
      <c r="K246" s="661"/>
    </row>
    <row r="247" spans="1:11" ht="18.75" customHeight="1">
      <c r="A247" s="661"/>
      <c r="B247" s="657" t="s">
        <v>2037</v>
      </c>
      <c r="C247" s="657" t="s">
        <v>11040</v>
      </c>
      <c r="D247" s="663" t="s">
        <v>2050</v>
      </c>
      <c r="E247" s="663" t="s">
        <v>2051</v>
      </c>
      <c r="F247" s="658">
        <v>0.1</v>
      </c>
      <c r="G247" s="658">
        <v>0</v>
      </c>
      <c r="H247" s="664">
        <v>1859899.9999999998</v>
      </c>
      <c r="I247" s="664">
        <f t="shared" si="0"/>
        <v>1690820</v>
      </c>
      <c r="J247" s="664">
        <f t="shared" si="1"/>
        <v>1859900</v>
      </c>
      <c r="K247" s="661"/>
    </row>
    <row r="248" spans="1:11" ht="18.75" customHeight="1">
      <c r="A248" s="661"/>
      <c r="B248" s="657" t="s">
        <v>2037</v>
      </c>
      <c r="C248" s="657" t="s">
        <v>11040</v>
      </c>
      <c r="D248" s="663" t="s">
        <v>2052</v>
      </c>
      <c r="E248" s="663" t="s">
        <v>2053</v>
      </c>
      <c r="F248" s="658">
        <v>0.1</v>
      </c>
      <c r="G248" s="658">
        <v>0</v>
      </c>
      <c r="H248" s="664">
        <v>1859899.9999999998</v>
      </c>
      <c r="I248" s="664">
        <f t="shared" si="0"/>
        <v>1690820</v>
      </c>
      <c r="J248" s="664">
        <f t="shared" si="1"/>
        <v>1859900</v>
      </c>
      <c r="K248" s="661"/>
    </row>
    <row r="249" spans="1:11" ht="18.75" customHeight="1">
      <c r="A249" s="661"/>
      <c r="B249" s="657" t="s">
        <v>2037</v>
      </c>
      <c r="C249" s="657" t="s">
        <v>11040</v>
      </c>
      <c r="D249" s="663" t="s">
        <v>2054</v>
      </c>
      <c r="E249" s="663" t="s">
        <v>2055</v>
      </c>
      <c r="F249" s="658">
        <v>0.1</v>
      </c>
      <c r="G249" s="658">
        <v>0</v>
      </c>
      <c r="H249" s="664">
        <v>514499.99999999994</v>
      </c>
      <c r="I249" s="664">
        <f t="shared" si="0"/>
        <v>467730</v>
      </c>
      <c r="J249" s="664">
        <f t="shared" si="1"/>
        <v>514500</v>
      </c>
      <c r="K249" s="661"/>
    </row>
    <row r="250" spans="1:11" ht="18.75" customHeight="1">
      <c r="A250" s="661"/>
      <c r="B250" s="657" t="s">
        <v>2037</v>
      </c>
      <c r="C250" s="657" t="s">
        <v>11040</v>
      </c>
      <c r="D250" s="663" t="s">
        <v>2056</v>
      </c>
      <c r="E250" s="663" t="s">
        <v>2057</v>
      </c>
      <c r="F250" s="658">
        <v>0.1</v>
      </c>
      <c r="G250" s="658">
        <v>0</v>
      </c>
      <c r="H250" s="664">
        <v>670600</v>
      </c>
      <c r="I250" s="664">
        <f t="shared" si="0"/>
        <v>609640</v>
      </c>
      <c r="J250" s="664">
        <f t="shared" si="1"/>
        <v>670600</v>
      </c>
      <c r="K250" s="661"/>
    </row>
    <row r="251" spans="1:11" ht="18.75" customHeight="1">
      <c r="A251" s="661"/>
      <c r="B251" s="657" t="s">
        <v>2037</v>
      </c>
      <c r="C251" s="657" t="s">
        <v>11040</v>
      </c>
      <c r="D251" s="663" t="s">
        <v>2060</v>
      </c>
      <c r="E251" s="663" t="s">
        <v>2061</v>
      </c>
      <c r="F251" s="658">
        <v>0.1</v>
      </c>
      <c r="G251" s="658">
        <v>0</v>
      </c>
      <c r="H251" s="664">
        <v>671300</v>
      </c>
      <c r="I251" s="664">
        <f t="shared" si="0"/>
        <v>610270</v>
      </c>
      <c r="J251" s="664">
        <f t="shared" si="1"/>
        <v>671300</v>
      </c>
      <c r="K251" s="661"/>
    </row>
    <row r="252" spans="1:11" ht="18.75" customHeight="1">
      <c r="A252" s="661"/>
      <c r="B252" s="657" t="s">
        <v>2037</v>
      </c>
      <c r="C252" s="657" t="s">
        <v>11040</v>
      </c>
      <c r="D252" s="663" t="s">
        <v>2058</v>
      </c>
      <c r="E252" s="663" t="s">
        <v>2059</v>
      </c>
      <c r="F252" s="658">
        <v>0.1</v>
      </c>
      <c r="G252" s="658">
        <v>0</v>
      </c>
      <c r="H252" s="664">
        <v>517299.99999999994</v>
      </c>
      <c r="I252" s="664">
        <f t="shared" si="0"/>
        <v>470270</v>
      </c>
      <c r="J252" s="664">
        <f t="shared" si="1"/>
        <v>517300</v>
      </c>
      <c r="K252" s="661"/>
    </row>
    <row r="253" spans="1:11" ht="18.75" customHeight="1">
      <c r="A253" s="661"/>
      <c r="B253" s="657" t="s">
        <v>11096</v>
      </c>
      <c r="C253" s="657" t="s">
        <v>11097</v>
      </c>
      <c r="D253" s="663" t="s">
        <v>11098</v>
      </c>
      <c r="E253" s="663" t="s">
        <v>11099</v>
      </c>
      <c r="F253" s="658">
        <v>0.1</v>
      </c>
      <c r="G253" s="658">
        <v>0</v>
      </c>
      <c r="H253" s="664">
        <v>21060000</v>
      </c>
      <c r="I253" s="664">
        <f t="shared" si="0"/>
        <v>19145450</v>
      </c>
      <c r="J253" s="664">
        <f t="shared" si="1"/>
        <v>21060000</v>
      </c>
      <c r="K253" s="661"/>
    </row>
    <row r="254" spans="1:11" ht="18.75" customHeight="1">
      <c r="A254" s="661"/>
      <c r="B254" s="657" t="s">
        <v>11096</v>
      </c>
      <c r="C254" s="657" t="s">
        <v>11097</v>
      </c>
      <c r="D254" s="663" t="s">
        <v>11100</v>
      </c>
      <c r="E254" s="663" t="s">
        <v>11101</v>
      </c>
      <c r="F254" s="658">
        <v>0.1</v>
      </c>
      <c r="G254" s="658">
        <v>0</v>
      </c>
      <c r="H254" s="664"/>
      <c r="I254" s="664">
        <f t="shared" si="0"/>
        <v>0</v>
      </c>
      <c r="J254" s="664">
        <f t="shared" si="1"/>
        <v>0</v>
      </c>
      <c r="K254" s="661"/>
    </row>
    <row r="255" spans="1:11" ht="18.75" customHeight="1">
      <c r="A255" s="661"/>
      <c r="B255" s="657" t="s">
        <v>11096</v>
      </c>
      <c r="C255" s="657" t="s">
        <v>11097</v>
      </c>
      <c r="D255" s="663" t="s">
        <v>11102</v>
      </c>
      <c r="E255" s="663" t="s">
        <v>11103</v>
      </c>
      <c r="F255" s="658">
        <v>0.1</v>
      </c>
      <c r="G255" s="658">
        <v>0</v>
      </c>
      <c r="H255" s="664"/>
      <c r="I255" s="664">
        <f t="shared" si="0"/>
        <v>0</v>
      </c>
      <c r="J255" s="664">
        <f t="shared" si="1"/>
        <v>0</v>
      </c>
      <c r="K255" s="661"/>
    </row>
    <row r="256" spans="1:11" ht="18.75" customHeight="1">
      <c r="A256" s="661"/>
      <c r="B256" s="657" t="s">
        <v>11096</v>
      </c>
      <c r="C256" s="657" t="s">
        <v>11097</v>
      </c>
      <c r="D256" s="663" t="s">
        <v>11104</v>
      </c>
      <c r="E256" s="663" t="s">
        <v>11105</v>
      </c>
      <c r="F256" s="658">
        <v>0.1</v>
      </c>
      <c r="G256" s="658">
        <v>0</v>
      </c>
      <c r="H256" s="664">
        <v>6882300</v>
      </c>
      <c r="I256" s="664">
        <f t="shared" si="0"/>
        <v>6256640</v>
      </c>
      <c r="J256" s="664">
        <f t="shared" si="1"/>
        <v>6882300</v>
      </c>
      <c r="K256" s="661"/>
    </row>
    <row r="257" spans="1:11" ht="18.75" customHeight="1">
      <c r="A257" s="661"/>
      <c r="B257" s="657" t="s">
        <v>11096</v>
      </c>
      <c r="C257" s="657" t="s">
        <v>11097</v>
      </c>
      <c r="D257" s="663" t="s">
        <v>1899</v>
      </c>
      <c r="E257" s="663" t="s">
        <v>1900</v>
      </c>
      <c r="F257" s="658">
        <v>0.1</v>
      </c>
      <c r="G257" s="658">
        <v>0</v>
      </c>
      <c r="H257" s="664">
        <v>6789960</v>
      </c>
      <c r="I257" s="664">
        <f t="shared" si="0"/>
        <v>6172690</v>
      </c>
      <c r="J257" s="664">
        <f t="shared" si="1"/>
        <v>6789960</v>
      </c>
      <c r="K257" s="661"/>
    </row>
    <row r="258" spans="1:11" ht="18.75" customHeight="1">
      <c r="A258" s="661"/>
      <c r="B258" s="657" t="s">
        <v>11096</v>
      </c>
      <c r="C258" s="657" t="s">
        <v>11097</v>
      </c>
      <c r="D258" s="663" t="s">
        <v>1903</v>
      </c>
      <c r="E258" s="663" t="s">
        <v>1904</v>
      </c>
      <c r="F258" s="658">
        <v>0.1</v>
      </c>
      <c r="G258" s="658">
        <v>0</v>
      </c>
      <c r="H258" s="664">
        <v>7670050</v>
      </c>
      <c r="I258" s="664">
        <f t="shared" si="0"/>
        <v>6972770</v>
      </c>
      <c r="J258" s="664">
        <f t="shared" si="1"/>
        <v>7670050</v>
      </c>
      <c r="K258" s="661"/>
    </row>
    <row r="259" spans="1:11" ht="18.75" customHeight="1">
      <c r="A259" s="661"/>
      <c r="B259" s="657" t="s">
        <v>11096</v>
      </c>
      <c r="C259" s="657" t="s">
        <v>11097</v>
      </c>
      <c r="D259" s="663" t="s">
        <v>11106</v>
      </c>
      <c r="E259" s="663" t="s">
        <v>11107</v>
      </c>
      <c r="F259" s="658">
        <v>0.1</v>
      </c>
      <c r="G259" s="658">
        <v>0</v>
      </c>
      <c r="H259" s="664">
        <v>9284400</v>
      </c>
      <c r="I259" s="664">
        <f t="shared" si="0"/>
        <v>8440360</v>
      </c>
      <c r="J259" s="664">
        <f t="shared" si="1"/>
        <v>9284400</v>
      </c>
      <c r="K259" s="661"/>
    </row>
    <row r="260" spans="1:11" ht="18.75" customHeight="1">
      <c r="A260" s="661"/>
      <c r="B260" s="657" t="s">
        <v>11096</v>
      </c>
      <c r="C260" s="657" t="s">
        <v>11097</v>
      </c>
      <c r="D260" s="663" t="s">
        <v>1912</v>
      </c>
      <c r="E260" s="663" t="s">
        <v>1913</v>
      </c>
      <c r="F260" s="658">
        <v>0.1</v>
      </c>
      <c r="G260" s="658">
        <v>0</v>
      </c>
      <c r="H260" s="664">
        <v>9330010</v>
      </c>
      <c r="I260" s="664">
        <f t="shared" ref="I260:I514" si="2">IF(ISBLANK(H260),,ROUND(H260/(1+F260),-1))</f>
        <v>8481830</v>
      </c>
      <c r="J260" s="664">
        <f t="shared" ref="J260:J514" si="3">IF(ISBLANK(H260),,ROUND(H260*(1-G260),-1))</f>
        <v>9330010</v>
      </c>
      <c r="K260" s="661"/>
    </row>
    <row r="261" spans="1:11" ht="18.75" customHeight="1">
      <c r="A261" s="661"/>
      <c r="B261" s="657" t="s">
        <v>11096</v>
      </c>
      <c r="C261" s="657" t="s">
        <v>11097</v>
      </c>
      <c r="D261" s="663" t="s">
        <v>11108</v>
      </c>
      <c r="E261" s="663" t="s">
        <v>11109</v>
      </c>
      <c r="F261" s="658">
        <v>0.1</v>
      </c>
      <c r="G261" s="658">
        <v>0</v>
      </c>
      <c r="H261" s="664">
        <v>19602000</v>
      </c>
      <c r="I261" s="664">
        <f t="shared" si="2"/>
        <v>17820000</v>
      </c>
      <c r="J261" s="664">
        <f t="shared" si="3"/>
        <v>19602000</v>
      </c>
      <c r="K261" s="661"/>
    </row>
    <row r="262" spans="1:11" ht="18.75" customHeight="1">
      <c r="A262" s="661"/>
      <c r="B262" s="657" t="s">
        <v>11096</v>
      </c>
      <c r="C262" s="657" t="s">
        <v>11097</v>
      </c>
      <c r="D262" s="663" t="s">
        <v>11110</v>
      </c>
      <c r="E262" s="663" t="s">
        <v>11111</v>
      </c>
      <c r="F262" s="658">
        <v>0.1</v>
      </c>
      <c r="G262" s="658">
        <v>0</v>
      </c>
      <c r="H262" s="664">
        <v>18163640</v>
      </c>
      <c r="I262" s="664">
        <f t="shared" si="2"/>
        <v>16512400</v>
      </c>
      <c r="J262" s="664">
        <f t="shared" si="3"/>
        <v>18163640</v>
      </c>
      <c r="K262" s="661"/>
    </row>
    <row r="263" spans="1:11" ht="18.75" customHeight="1">
      <c r="A263" s="661"/>
      <c r="B263" s="657" t="s">
        <v>11096</v>
      </c>
      <c r="C263" s="657" t="s">
        <v>11097</v>
      </c>
      <c r="D263" s="663" t="s">
        <v>11112</v>
      </c>
      <c r="E263" s="663" t="s">
        <v>11113</v>
      </c>
      <c r="F263" s="658">
        <v>0.1</v>
      </c>
      <c r="G263" s="658">
        <v>0</v>
      </c>
      <c r="H263" s="664">
        <v>17974010</v>
      </c>
      <c r="I263" s="664">
        <f t="shared" si="2"/>
        <v>16340010</v>
      </c>
      <c r="J263" s="664">
        <f t="shared" si="3"/>
        <v>17974010</v>
      </c>
      <c r="K263" s="661"/>
    </row>
    <row r="264" spans="1:11" ht="18.75" customHeight="1">
      <c r="A264" s="661"/>
      <c r="B264" s="657" t="s">
        <v>11096</v>
      </c>
      <c r="C264" s="657" t="s">
        <v>11097</v>
      </c>
      <c r="D264" s="663" t="s">
        <v>11114</v>
      </c>
      <c r="E264" s="663" t="s">
        <v>11115</v>
      </c>
      <c r="F264" s="658">
        <v>0.1</v>
      </c>
      <c r="G264" s="658">
        <v>0</v>
      </c>
      <c r="H264" s="664">
        <v>18868680</v>
      </c>
      <c r="I264" s="664">
        <f t="shared" si="2"/>
        <v>17153350</v>
      </c>
      <c r="J264" s="664">
        <f t="shared" si="3"/>
        <v>18868680</v>
      </c>
      <c r="K264" s="661"/>
    </row>
    <row r="265" spans="1:11" ht="18.75" customHeight="1">
      <c r="A265" s="661"/>
      <c r="B265" s="657" t="s">
        <v>11096</v>
      </c>
      <c r="C265" s="657" t="s">
        <v>11097</v>
      </c>
      <c r="D265" s="663" t="s">
        <v>11116</v>
      </c>
      <c r="E265" s="663" t="s">
        <v>11117</v>
      </c>
      <c r="F265" s="658">
        <v>0.1</v>
      </c>
      <c r="G265" s="658">
        <v>0</v>
      </c>
      <c r="H265" s="664">
        <v>22140000</v>
      </c>
      <c r="I265" s="664">
        <f t="shared" si="2"/>
        <v>20127270</v>
      </c>
      <c r="J265" s="664">
        <f t="shared" si="3"/>
        <v>22140000</v>
      </c>
      <c r="K265" s="661"/>
    </row>
    <row r="266" spans="1:11" ht="18.75" customHeight="1">
      <c r="A266" s="661"/>
      <c r="B266" s="657" t="s">
        <v>11096</v>
      </c>
      <c r="C266" s="657" t="s">
        <v>11097</v>
      </c>
      <c r="D266" s="663" t="s">
        <v>11118</v>
      </c>
      <c r="E266" s="663" t="s">
        <v>11119</v>
      </c>
      <c r="F266" s="658">
        <v>0.1</v>
      </c>
      <c r="G266" s="658">
        <v>0</v>
      </c>
      <c r="H266" s="664">
        <v>20628000</v>
      </c>
      <c r="I266" s="664">
        <f t="shared" si="2"/>
        <v>18752730</v>
      </c>
      <c r="J266" s="664">
        <f t="shared" si="3"/>
        <v>20628000</v>
      </c>
      <c r="K266" s="661"/>
    </row>
    <row r="267" spans="1:11" ht="18.75" customHeight="1">
      <c r="A267" s="661"/>
      <c r="B267" s="657" t="s">
        <v>11096</v>
      </c>
      <c r="C267" s="657" t="s">
        <v>11097</v>
      </c>
      <c r="D267" s="663" t="s">
        <v>1891</v>
      </c>
      <c r="E267" s="663" t="s">
        <v>1892</v>
      </c>
      <c r="F267" s="658">
        <v>0.1</v>
      </c>
      <c r="G267" s="658">
        <v>0</v>
      </c>
      <c r="H267" s="664">
        <v>24149990</v>
      </c>
      <c r="I267" s="664">
        <f t="shared" si="2"/>
        <v>21954540</v>
      </c>
      <c r="J267" s="664">
        <f t="shared" si="3"/>
        <v>24149990</v>
      </c>
      <c r="K267" s="661"/>
    </row>
    <row r="268" spans="1:11" ht="18.75" customHeight="1">
      <c r="A268" s="661"/>
      <c r="B268" s="657" t="s">
        <v>11096</v>
      </c>
      <c r="C268" s="657" t="s">
        <v>11097</v>
      </c>
      <c r="D268" s="663" t="s">
        <v>1877</v>
      </c>
      <c r="E268" s="663" t="s">
        <v>1878</v>
      </c>
      <c r="F268" s="658">
        <v>0.1</v>
      </c>
      <c r="G268" s="658">
        <v>0</v>
      </c>
      <c r="H268" s="664">
        <v>26895020</v>
      </c>
      <c r="I268" s="664">
        <f t="shared" si="2"/>
        <v>24450020</v>
      </c>
      <c r="J268" s="664">
        <f t="shared" si="3"/>
        <v>26895020</v>
      </c>
      <c r="K268" s="661"/>
    </row>
    <row r="269" spans="1:11" ht="18.75" customHeight="1">
      <c r="A269" s="661"/>
      <c r="B269" s="657" t="s">
        <v>11096</v>
      </c>
      <c r="C269" s="657" t="s">
        <v>11097</v>
      </c>
      <c r="D269" s="663" t="s">
        <v>1881</v>
      </c>
      <c r="E269" s="663" t="s">
        <v>1882</v>
      </c>
      <c r="F269" s="658">
        <v>0.1</v>
      </c>
      <c r="G269" s="658">
        <v>0</v>
      </c>
      <c r="H269" s="664">
        <v>26088050</v>
      </c>
      <c r="I269" s="664">
        <f t="shared" si="2"/>
        <v>23716410</v>
      </c>
      <c r="J269" s="664">
        <f t="shared" si="3"/>
        <v>26088050</v>
      </c>
      <c r="K269" s="661"/>
    </row>
    <row r="270" spans="1:11" ht="18.75" customHeight="1">
      <c r="A270" s="661"/>
      <c r="B270" s="657" t="s">
        <v>11096</v>
      </c>
      <c r="C270" s="657" t="s">
        <v>11097</v>
      </c>
      <c r="D270" s="663" t="s">
        <v>11120</v>
      </c>
      <c r="E270" s="663" t="s">
        <v>11121</v>
      </c>
      <c r="F270" s="658">
        <v>0.1</v>
      </c>
      <c r="G270" s="658">
        <v>0</v>
      </c>
      <c r="H270" s="664">
        <v>27000000</v>
      </c>
      <c r="I270" s="664">
        <f t="shared" si="2"/>
        <v>24545450</v>
      </c>
      <c r="J270" s="664">
        <f t="shared" si="3"/>
        <v>27000000</v>
      </c>
      <c r="K270" s="661"/>
    </row>
    <row r="271" spans="1:11" ht="18.75" customHeight="1">
      <c r="A271" s="661"/>
      <c r="B271" s="657" t="s">
        <v>11096</v>
      </c>
      <c r="C271" s="657" t="s">
        <v>11097</v>
      </c>
      <c r="D271" s="663" t="s">
        <v>11122</v>
      </c>
      <c r="E271" s="663" t="s">
        <v>11123</v>
      </c>
      <c r="F271" s="658">
        <v>0.1</v>
      </c>
      <c r="G271" s="658">
        <v>0</v>
      </c>
      <c r="H271" s="664">
        <v>66150000</v>
      </c>
      <c r="I271" s="664">
        <f t="shared" si="2"/>
        <v>60136360</v>
      </c>
      <c r="J271" s="664">
        <f t="shared" si="3"/>
        <v>66150000</v>
      </c>
      <c r="K271" s="661"/>
    </row>
    <row r="272" spans="1:11" ht="18.75" customHeight="1">
      <c r="A272" s="661"/>
      <c r="B272" s="657" t="s">
        <v>11096</v>
      </c>
      <c r="C272" s="657" t="s">
        <v>11097</v>
      </c>
      <c r="D272" s="663" t="s">
        <v>11124</v>
      </c>
      <c r="E272" s="663" t="s">
        <v>11125</v>
      </c>
      <c r="F272" s="658">
        <v>0.1</v>
      </c>
      <c r="G272" s="658">
        <v>0</v>
      </c>
      <c r="H272" s="664">
        <v>105840000</v>
      </c>
      <c r="I272" s="664">
        <f t="shared" si="2"/>
        <v>96218180</v>
      </c>
      <c r="J272" s="664">
        <f t="shared" si="3"/>
        <v>105840000</v>
      </c>
      <c r="K272" s="661"/>
    </row>
    <row r="273" spans="1:11" ht="18.75" customHeight="1">
      <c r="A273" s="661"/>
      <c r="B273" s="657" t="s">
        <v>11096</v>
      </c>
      <c r="C273" s="657" t="s">
        <v>11097</v>
      </c>
      <c r="D273" s="663" t="s">
        <v>1910</v>
      </c>
      <c r="E273" s="663" t="s">
        <v>1911</v>
      </c>
      <c r="F273" s="658">
        <v>0.1</v>
      </c>
      <c r="G273" s="658">
        <v>0</v>
      </c>
      <c r="H273" s="664">
        <v>9090040</v>
      </c>
      <c r="I273" s="664">
        <f t="shared" si="2"/>
        <v>8263670</v>
      </c>
      <c r="J273" s="664">
        <f t="shared" si="3"/>
        <v>9090040</v>
      </c>
      <c r="K273" s="661"/>
    </row>
    <row r="274" spans="1:11" ht="18.75" customHeight="1">
      <c r="A274" s="661"/>
      <c r="B274" s="657" t="s">
        <v>11096</v>
      </c>
      <c r="C274" s="657" t="s">
        <v>11097</v>
      </c>
      <c r="D274" s="663" t="s">
        <v>11126</v>
      </c>
      <c r="E274" s="663" t="s">
        <v>11127</v>
      </c>
      <c r="F274" s="658">
        <v>0.1</v>
      </c>
      <c r="G274" s="658">
        <v>0</v>
      </c>
      <c r="H274" s="664">
        <v>13155480</v>
      </c>
      <c r="I274" s="664">
        <f t="shared" si="2"/>
        <v>11959530</v>
      </c>
      <c r="J274" s="664">
        <f t="shared" si="3"/>
        <v>13155480</v>
      </c>
      <c r="K274" s="661"/>
    </row>
    <row r="275" spans="1:11" ht="18.75" customHeight="1">
      <c r="A275" s="661"/>
      <c r="B275" s="657" t="s">
        <v>11096</v>
      </c>
      <c r="C275" s="657" t="s">
        <v>11097</v>
      </c>
      <c r="D275" s="663" t="s">
        <v>1920</v>
      </c>
      <c r="E275" s="663" t="s">
        <v>1921</v>
      </c>
      <c r="F275" s="658">
        <v>0.1</v>
      </c>
      <c r="G275" s="658">
        <v>0</v>
      </c>
      <c r="H275" s="664">
        <v>9855000</v>
      </c>
      <c r="I275" s="664">
        <f t="shared" si="2"/>
        <v>8959090</v>
      </c>
      <c r="J275" s="664">
        <f t="shared" si="3"/>
        <v>9855000</v>
      </c>
      <c r="K275" s="661"/>
    </row>
    <row r="276" spans="1:11" ht="18.75" customHeight="1">
      <c r="A276" s="661"/>
      <c r="B276" s="657" t="s">
        <v>11096</v>
      </c>
      <c r="C276" s="657" t="s">
        <v>11097</v>
      </c>
      <c r="D276" s="663" t="s">
        <v>11128</v>
      </c>
      <c r="E276" s="663" t="s">
        <v>11129</v>
      </c>
      <c r="F276" s="658">
        <v>0.1</v>
      </c>
      <c r="G276" s="658">
        <v>0</v>
      </c>
      <c r="H276" s="664">
        <v>12106800</v>
      </c>
      <c r="I276" s="664">
        <f t="shared" si="2"/>
        <v>11006180</v>
      </c>
      <c r="J276" s="664">
        <f t="shared" si="3"/>
        <v>12106800</v>
      </c>
      <c r="K276" s="661"/>
    </row>
    <row r="277" spans="1:11" ht="18.75" customHeight="1">
      <c r="A277" s="661"/>
      <c r="B277" s="657" t="s">
        <v>11096</v>
      </c>
      <c r="C277" s="657" t="s">
        <v>11097</v>
      </c>
      <c r="D277" s="663" t="s">
        <v>11130</v>
      </c>
      <c r="E277" s="663" t="s">
        <v>11131</v>
      </c>
      <c r="F277" s="658">
        <v>0.1</v>
      </c>
      <c r="G277" s="658">
        <v>0</v>
      </c>
      <c r="H277" s="664">
        <v>10800000</v>
      </c>
      <c r="I277" s="664">
        <f t="shared" si="2"/>
        <v>9818180</v>
      </c>
      <c r="J277" s="664">
        <f t="shared" si="3"/>
        <v>10800000</v>
      </c>
      <c r="K277" s="661"/>
    </row>
    <row r="278" spans="1:11" ht="18.75" customHeight="1">
      <c r="A278" s="661"/>
      <c r="B278" s="657" t="s">
        <v>11096</v>
      </c>
      <c r="C278" s="657" t="s">
        <v>11097</v>
      </c>
      <c r="D278" s="663" t="s">
        <v>11132</v>
      </c>
      <c r="E278" s="663" t="s">
        <v>11133</v>
      </c>
      <c r="F278" s="658">
        <v>0.1</v>
      </c>
      <c r="G278" s="658">
        <v>0</v>
      </c>
      <c r="H278" s="664">
        <v>11742550</v>
      </c>
      <c r="I278" s="664">
        <f t="shared" si="2"/>
        <v>10675050</v>
      </c>
      <c r="J278" s="664">
        <f t="shared" si="3"/>
        <v>11742550</v>
      </c>
      <c r="K278" s="661"/>
    </row>
    <row r="279" spans="1:11" ht="18.75" customHeight="1">
      <c r="A279" s="661"/>
      <c r="B279" s="657" t="s">
        <v>11096</v>
      </c>
      <c r="C279" s="657" t="s">
        <v>11097</v>
      </c>
      <c r="D279" s="663" t="s">
        <v>11134</v>
      </c>
      <c r="E279" s="663" t="s">
        <v>11135</v>
      </c>
      <c r="F279" s="658">
        <v>0.1</v>
      </c>
      <c r="G279" s="658">
        <v>0</v>
      </c>
      <c r="H279" s="664">
        <v>14580000</v>
      </c>
      <c r="I279" s="664">
        <f t="shared" si="2"/>
        <v>13254550</v>
      </c>
      <c r="J279" s="664">
        <f t="shared" si="3"/>
        <v>14580000</v>
      </c>
      <c r="K279" s="661"/>
    </row>
    <row r="280" spans="1:11" ht="18.75" customHeight="1">
      <c r="A280" s="661"/>
      <c r="B280" s="657" t="s">
        <v>11096</v>
      </c>
      <c r="C280" s="657" t="s">
        <v>11097</v>
      </c>
      <c r="D280" s="663" t="s">
        <v>1924</v>
      </c>
      <c r="E280" s="663" t="s">
        <v>1925</v>
      </c>
      <c r="F280" s="658">
        <v>0.1</v>
      </c>
      <c r="G280" s="658">
        <v>0</v>
      </c>
      <c r="H280" s="664">
        <v>12200000</v>
      </c>
      <c r="I280" s="664">
        <f t="shared" si="2"/>
        <v>11090910</v>
      </c>
      <c r="J280" s="664">
        <f t="shared" si="3"/>
        <v>12200000</v>
      </c>
      <c r="K280" s="661"/>
    </row>
    <row r="281" spans="1:11" ht="18.75" customHeight="1">
      <c r="A281" s="661"/>
      <c r="B281" s="657" t="s">
        <v>11096</v>
      </c>
      <c r="C281" s="657" t="s">
        <v>11097</v>
      </c>
      <c r="D281" s="663" t="s">
        <v>1930</v>
      </c>
      <c r="E281" s="663" t="s">
        <v>1931</v>
      </c>
      <c r="F281" s="658">
        <v>0.1</v>
      </c>
      <c r="G281" s="658">
        <v>0</v>
      </c>
      <c r="H281" s="664">
        <v>11208020</v>
      </c>
      <c r="I281" s="664">
        <f t="shared" si="2"/>
        <v>10189110</v>
      </c>
      <c r="J281" s="664">
        <f t="shared" si="3"/>
        <v>11208020</v>
      </c>
      <c r="K281" s="661"/>
    </row>
    <row r="282" spans="1:11" ht="18.75" customHeight="1">
      <c r="A282" s="661"/>
      <c r="B282" s="657" t="s">
        <v>11096</v>
      </c>
      <c r="C282" s="657" t="s">
        <v>11097</v>
      </c>
      <c r="D282" s="663" t="s">
        <v>11136</v>
      </c>
      <c r="E282" s="663" t="s">
        <v>11137</v>
      </c>
      <c r="F282" s="658">
        <v>0.1</v>
      </c>
      <c r="G282" s="658">
        <v>0</v>
      </c>
      <c r="H282" s="664">
        <v>11394000</v>
      </c>
      <c r="I282" s="664">
        <f t="shared" si="2"/>
        <v>10358180</v>
      </c>
      <c r="J282" s="664">
        <f t="shared" si="3"/>
        <v>11394000</v>
      </c>
      <c r="K282" s="661"/>
    </row>
    <row r="283" spans="1:11" ht="18.75" customHeight="1">
      <c r="A283" s="661"/>
      <c r="B283" s="657" t="s">
        <v>11096</v>
      </c>
      <c r="C283" s="657" t="s">
        <v>11097</v>
      </c>
      <c r="D283" s="663" t="s">
        <v>11138</v>
      </c>
      <c r="E283" s="663" t="s">
        <v>11139</v>
      </c>
      <c r="F283" s="658">
        <v>0.1</v>
      </c>
      <c r="G283" s="658">
        <v>0</v>
      </c>
      <c r="H283" s="664">
        <v>9490910</v>
      </c>
      <c r="I283" s="664">
        <f t="shared" si="2"/>
        <v>8628100</v>
      </c>
      <c r="J283" s="664">
        <f t="shared" si="3"/>
        <v>9490910</v>
      </c>
      <c r="K283" s="661"/>
    </row>
    <row r="284" spans="1:11" ht="18.75" customHeight="1">
      <c r="A284" s="661"/>
      <c r="B284" s="657" t="s">
        <v>11096</v>
      </c>
      <c r="C284" s="657" t="s">
        <v>11097</v>
      </c>
      <c r="D284" s="663" t="s">
        <v>11140</v>
      </c>
      <c r="E284" s="663" t="s">
        <v>11141</v>
      </c>
      <c r="F284" s="658">
        <v>0.1</v>
      </c>
      <c r="G284" s="658">
        <v>0</v>
      </c>
      <c r="H284" s="664">
        <v>11626960</v>
      </c>
      <c r="I284" s="664">
        <f t="shared" si="2"/>
        <v>10569960</v>
      </c>
      <c r="J284" s="664">
        <f t="shared" si="3"/>
        <v>11626960</v>
      </c>
      <c r="K284" s="661"/>
    </row>
    <row r="285" spans="1:11" ht="18.75" customHeight="1">
      <c r="A285" s="661"/>
      <c r="B285" s="657" t="s">
        <v>11096</v>
      </c>
      <c r="C285" s="657" t="s">
        <v>11097</v>
      </c>
      <c r="D285" s="663" t="s">
        <v>11142</v>
      </c>
      <c r="E285" s="663" t="s">
        <v>11143</v>
      </c>
      <c r="F285" s="658">
        <v>0.1</v>
      </c>
      <c r="G285" s="658">
        <v>0</v>
      </c>
      <c r="H285" s="664">
        <v>12096000</v>
      </c>
      <c r="I285" s="664">
        <f t="shared" si="2"/>
        <v>10996360</v>
      </c>
      <c r="J285" s="664">
        <f t="shared" si="3"/>
        <v>12096000</v>
      </c>
      <c r="K285" s="661"/>
    </row>
    <row r="286" spans="1:11" ht="18.75" customHeight="1">
      <c r="A286" s="661"/>
      <c r="B286" s="657" t="s">
        <v>11096</v>
      </c>
      <c r="C286" s="657" t="s">
        <v>11097</v>
      </c>
      <c r="D286" s="663" t="s">
        <v>1827</v>
      </c>
      <c r="E286" s="663" t="s">
        <v>1828</v>
      </c>
      <c r="F286" s="658">
        <v>0.1</v>
      </c>
      <c r="G286" s="658">
        <v>0</v>
      </c>
      <c r="H286" s="664">
        <v>7309010</v>
      </c>
      <c r="I286" s="664">
        <f t="shared" si="2"/>
        <v>6644550</v>
      </c>
      <c r="J286" s="664">
        <f t="shared" si="3"/>
        <v>7309010</v>
      </c>
      <c r="K286" s="661"/>
    </row>
    <row r="287" spans="1:11" ht="18.75" customHeight="1">
      <c r="A287" s="661"/>
      <c r="B287" s="657" t="s">
        <v>11096</v>
      </c>
      <c r="C287" s="657" t="s">
        <v>11097</v>
      </c>
      <c r="D287" s="663" t="s">
        <v>11144</v>
      </c>
      <c r="E287" s="663" t="s">
        <v>11145</v>
      </c>
      <c r="F287" s="658">
        <v>0.1</v>
      </c>
      <c r="G287" s="658">
        <v>0</v>
      </c>
      <c r="H287" s="664">
        <v>7234920</v>
      </c>
      <c r="I287" s="664">
        <f t="shared" si="2"/>
        <v>6577200</v>
      </c>
      <c r="J287" s="664">
        <f t="shared" si="3"/>
        <v>7234920</v>
      </c>
      <c r="K287" s="661"/>
    </row>
    <row r="288" spans="1:11" ht="18.75" customHeight="1">
      <c r="A288" s="661"/>
      <c r="B288" s="657" t="s">
        <v>11096</v>
      </c>
      <c r="C288" s="657" t="s">
        <v>11097</v>
      </c>
      <c r="D288" s="663" t="s">
        <v>11146</v>
      </c>
      <c r="E288" s="663" t="s">
        <v>11147</v>
      </c>
      <c r="F288" s="658">
        <v>0.1</v>
      </c>
      <c r="G288" s="658">
        <v>0</v>
      </c>
      <c r="H288" s="664">
        <v>7452000</v>
      </c>
      <c r="I288" s="664">
        <f t="shared" si="2"/>
        <v>6774550</v>
      </c>
      <c r="J288" s="664">
        <f t="shared" si="3"/>
        <v>7452000</v>
      </c>
      <c r="K288" s="661"/>
    </row>
    <row r="289" spans="1:11" ht="18.75" customHeight="1">
      <c r="A289" s="661"/>
      <c r="B289" s="657" t="s">
        <v>11096</v>
      </c>
      <c r="C289" s="657" t="s">
        <v>11097</v>
      </c>
      <c r="D289" s="663" t="s">
        <v>11148</v>
      </c>
      <c r="E289" s="663" t="s">
        <v>11149</v>
      </c>
      <c r="F289" s="658">
        <v>0.1</v>
      </c>
      <c r="G289" s="658">
        <v>0</v>
      </c>
      <c r="H289" s="664">
        <v>8964000</v>
      </c>
      <c r="I289" s="664">
        <f t="shared" si="2"/>
        <v>8149090</v>
      </c>
      <c r="J289" s="664">
        <f t="shared" si="3"/>
        <v>8964000</v>
      </c>
      <c r="K289" s="661"/>
    </row>
    <row r="290" spans="1:11" ht="18.75" customHeight="1">
      <c r="A290" s="661"/>
      <c r="B290" s="657" t="s">
        <v>11096</v>
      </c>
      <c r="C290" s="657" t="s">
        <v>11097</v>
      </c>
      <c r="D290" s="663" t="s">
        <v>11150</v>
      </c>
      <c r="E290" s="663" t="s">
        <v>11151</v>
      </c>
      <c r="F290" s="658">
        <v>0.1</v>
      </c>
      <c r="G290" s="658">
        <v>0</v>
      </c>
      <c r="H290" s="664">
        <v>7824800</v>
      </c>
      <c r="I290" s="664">
        <f t="shared" si="2"/>
        <v>7113450</v>
      </c>
      <c r="J290" s="664">
        <f t="shared" si="3"/>
        <v>7824800</v>
      </c>
      <c r="K290" s="661"/>
    </row>
    <row r="291" spans="1:11" ht="18.75" customHeight="1">
      <c r="A291" s="661"/>
      <c r="B291" s="657" t="s">
        <v>11096</v>
      </c>
      <c r="C291" s="657" t="s">
        <v>11097</v>
      </c>
      <c r="D291" s="663" t="s">
        <v>11152</v>
      </c>
      <c r="E291" s="663" t="s">
        <v>11153</v>
      </c>
      <c r="F291" s="658">
        <v>0.1</v>
      </c>
      <c r="G291" s="658">
        <v>0</v>
      </c>
      <c r="H291" s="664">
        <v>9720000</v>
      </c>
      <c r="I291" s="664">
        <f t="shared" si="2"/>
        <v>8836360</v>
      </c>
      <c r="J291" s="664">
        <f t="shared" si="3"/>
        <v>9720000</v>
      </c>
      <c r="K291" s="661"/>
    </row>
    <row r="292" spans="1:11" ht="18.75" customHeight="1">
      <c r="A292" s="661"/>
      <c r="B292" s="657" t="s">
        <v>11096</v>
      </c>
      <c r="C292" s="657" t="s">
        <v>11097</v>
      </c>
      <c r="D292" s="663" t="s">
        <v>11154</v>
      </c>
      <c r="E292" s="663" t="s">
        <v>11155</v>
      </c>
      <c r="F292" s="658">
        <v>0.1</v>
      </c>
      <c r="G292" s="658">
        <v>0</v>
      </c>
      <c r="H292" s="664">
        <v>18360000</v>
      </c>
      <c r="I292" s="664">
        <f t="shared" si="2"/>
        <v>16690910</v>
      </c>
      <c r="J292" s="664">
        <f t="shared" si="3"/>
        <v>18360000</v>
      </c>
      <c r="K292" s="661"/>
    </row>
    <row r="293" spans="1:11" ht="18.75" customHeight="1">
      <c r="A293" s="661"/>
      <c r="B293" s="657" t="s">
        <v>11096</v>
      </c>
      <c r="C293" s="657" t="s">
        <v>11097</v>
      </c>
      <c r="D293" s="663" t="s">
        <v>11156</v>
      </c>
      <c r="E293" s="663" t="s">
        <v>11157</v>
      </c>
      <c r="F293" s="658">
        <v>0.1</v>
      </c>
      <c r="G293" s="658">
        <v>0</v>
      </c>
      <c r="H293" s="664">
        <v>26288180</v>
      </c>
      <c r="I293" s="664">
        <f t="shared" si="2"/>
        <v>23898350</v>
      </c>
      <c r="J293" s="664">
        <f t="shared" si="3"/>
        <v>26288180</v>
      </c>
      <c r="K293" s="661"/>
    </row>
    <row r="294" spans="1:11" ht="18.75" customHeight="1">
      <c r="A294" s="661"/>
      <c r="B294" s="657" t="s">
        <v>11096</v>
      </c>
      <c r="C294" s="657" t="s">
        <v>11097</v>
      </c>
      <c r="D294" s="663" t="s">
        <v>11158</v>
      </c>
      <c r="E294" s="663" t="s">
        <v>11159</v>
      </c>
      <c r="F294" s="658">
        <v>0.1</v>
      </c>
      <c r="G294" s="658">
        <v>0</v>
      </c>
      <c r="H294" s="664">
        <v>5915050</v>
      </c>
      <c r="I294" s="664">
        <f t="shared" si="2"/>
        <v>5377320</v>
      </c>
      <c r="J294" s="664">
        <f t="shared" si="3"/>
        <v>5915050</v>
      </c>
      <c r="K294" s="661"/>
    </row>
    <row r="295" spans="1:11" ht="18.75" customHeight="1">
      <c r="A295" s="661"/>
      <c r="B295" s="657" t="s">
        <v>11096</v>
      </c>
      <c r="C295" s="657" t="s">
        <v>11097</v>
      </c>
      <c r="D295" s="663" t="s">
        <v>1831</v>
      </c>
      <c r="E295" s="663" t="s">
        <v>1832</v>
      </c>
      <c r="F295" s="658">
        <v>0.1</v>
      </c>
      <c r="G295" s="658">
        <v>0</v>
      </c>
      <c r="H295" s="664">
        <v>6352990</v>
      </c>
      <c r="I295" s="664">
        <f t="shared" si="2"/>
        <v>5775450</v>
      </c>
      <c r="J295" s="664">
        <f t="shared" si="3"/>
        <v>6352990</v>
      </c>
      <c r="K295" s="661"/>
    </row>
    <row r="296" spans="1:11" ht="18.75" customHeight="1">
      <c r="A296" s="661"/>
      <c r="B296" s="657" t="s">
        <v>11096</v>
      </c>
      <c r="C296" s="657" t="s">
        <v>11097</v>
      </c>
      <c r="D296" s="663" t="s">
        <v>11160</v>
      </c>
      <c r="E296" s="663" t="s">
        <v>11161</v>
      </c>
      <c r="F296" s="658">
        <v>0.1</v>
      </c>
      <c r="G296" s="658">
        <v>0</v>
      </c>
      <c r="H296" s="664"/>
      <c r="I296" s="664">
        <f t="shared" si="2"/>
        <v>0</v>
      </c>
      <c r="J296" s="664">
        <f t="shared" si="3"/>
        <v>0</v>
      </c>
      <c r="K296" s="661"/>
    </row>
    <row r="297" spans="1:11" ht="18.75" customHeight="1">
      <c r="A297" s="661"/>
      <c r="B297" s="657" t="s">
        <v>11096</v>
      </c>
      <c r="C297" s="657" t="s">
        <v>11097</v>
      </c>
      <c r="D297" s="663" t="s">
        <v>11162</v>
      </c>
      <c r="E297" s="663" t="s">
        <v>11163</v>
      </c>
      <c r="F297" s="658">
        <v>0.1</v>
      </c>
      <c r="G297" s="658">
        <v>0</v>
      </c>
      <c r="H297" s="664"/>
      <c r="I297" s="664">
        <f t="shared" si="2"/>
        <v>0</v>
      </c>
      <c r="J297" s="664">
        <f t="shared" si="3"/>
        <v>0</v>
      </c>
      <c r="K297" s="661"/>
    </row>
    <row r="298" spans="1:11" ht="18.75" customHeight="1">
      <c r="A298" s="661"/>
      <c r="B298" s="657" t="s">
        <v>11096</v>
      </c>
      <c r="C298" s="657" t="s">
        <v>11097</v>
      </c>
      <c r="D298" s="663" t="s">
        <v>11164</v>
      </c>
      <c r="E298" s="663" t="s">
        <v>11165</v>
      </c>
      <c r="F298" s="658">
        <v>0.1</v>
      </c>
      <c r="G298" s="658">
        <v>0</v>
      </c>
      <c r="H298" s="664">
        <v>8640000</v>
      </c>
      <c r="I298" s="664">
        <f t="shared" si="2"/>
        <v>7854550</v>
      </c>
      <c r="J298" s="664">
        <f t="shared" si="3"/>
        <v>8640000</v>
      </c>
      <c r="K298" s="661"/>
    </row>
    <row r="299" spans="1:11" ht="18.75" customHeight="1">
      <c r="A299" s="661"/>
      <c r="B299" s="657" t="s">
        <v>11096</v>
      </c>
      <c r="C299" s="657" t="s">
        <v>11097</v>
      </c>
      <c r="D299" s="663" t="s">
        <v>1835</v>
      </c>
      <c r="E299" s="663" t="s">
        <v>1836</v>
      </c>
      <c r="F299" s="658">
        <v>0.1</v>
      </c>
      <c r="G299" s="658">
        <v>0</v>
      </c>
      <c r="H299" s="664">
        <v>6499980</v>
      </c>
      <c r="I299" s="664">
        <f t="shared" si="2"/>
        <v>5909070</v>
      </c>
      <c r="J299" s="664">
        <f t="shared" si="3"/>
        <v>6499980</v>
      </c>
      <c r="K299" s="661"/>
    </row>
    <row r="300" spans="1:11" ht="18.75" customHeight="1">
      <c r="A300" s="661"/>
      <c r="B300" s="657" t="s">
        <v>11096</v>
      </c>
      <c r="C300" s="657" t="s">
        <v>11097</v>
      </c>
      <c r="D300" s="663" t="s">
        <v>11166</v>
      </c>
      <c r="E300" s="663" t="s">
        <v>11167</v>
      </c>
      <c r="F300" s="658">
        <v>0.1</v>
      </c>
      <c r="G300" s="658">
        <v>0</v>
      </c>
      <c r="H300" s="664">
        <v>7560000</v>
      </c>
      <c r="I300" s="664">
        <f t="shared" si="2"/>
        <v>6872730</v>
      </c>
      <c r="J300" s="664">
        <f t="shared" si="3"/>
        <v>7560000</v>
      </c>
      <c r="K300" s="661"/>
    </row>
    <row r="301" spans="1:11" ht="18.75" customHeight="1">
      <c r="A301" s="661"/>
      <c r="B301" s="657" t="s">
        <v>11096</v>
      </c>
      <c r="C301" s="657" t="s">
        <v>11097</v>
      </c>
      <c r="D301" s="663" t="s">
        <v>1843</v>
      </c>
      <c r="E301" s="663" t="s">
        <v>1844</v>
      </c>
      <c r="F301" s="658">
        <v>0.1</v>
      </c>
      <c r="G301" s="658">
        <v>0</v>
      </c>
      <c r="H301" s="664">
        <v>6352990</v>
      </c>
      <c r="I301" s="664">
        <f t="shared" si="2"/>
        <v>5775450</v>
      </c>
      <c r="J301" s="664">
        <f t="shared" si="3"/>
        <v>6352990</v>
      </c>
      <c r="K301" s="661"/>
    </row>
    <row r="302" spans="1:11" ht="18.75" customHeight="1">
      <c r="A302" s="661"/>
      <c r="B302" s="657" t="s">
        <v>11096</v>
      </c>
      <c r="C302" s="657" t="s">
        <v>11097</v>
      </c>
      <c r="D302" s="663" t="s">
        <v>11168</v>
      </c>
      <c r="E302" s="663" t="s">
        <v>11169</v>
      </c>
      <c r="F302" s="658">
        <v>0.1</v>
      </c>
      <c r="G302" s="658">
        <v>0</v>
      </c>
      <c r="H302" s="664"/>
      <c r="I302" s="664">
        <f t="shared" si="2"/>
        <v>0</v>
      </c>
      <c r="J302" s="664">
        <f t="shared" si="3"/>
        <v>0</v>
      </c>
      <c r="K302" s="661"/>
    </row>
    <row r="303" spans="1:11" ht="18.75" customHeight="1">
      <c r="A303" s="661"/>
      <c r="B303" s="657" t="s">
        <v>11096</v>
      </c>
      <c r="C303" s="657" t="s">
        <v>11097</v>
      </c>
      <c r="D303" s="663" t="s">
        <v>1849</v>
      </c>
      <c r="E303" s="663" t="s">
        <v>11170</v>
      </c>
      <c r="F303" s="658">
        <v>0.1</v>
      </c>
      <c r="G303" s="658">
        <v>0</v>
      </c>
      <c r="H303" s="664">
        <v>9866990</v>
      </c>
      <c r="I303" s="664">
        <f t="shared" si="2"/>
        <v>8969990</v>
      </c>
      <c r="J303" s="664">
        <f t="shared" si="3"/>
        <v>9866990</v>
      </c>
      <c r="K303" s="661"/>
    </row>
    <row r="304" spans="1:11" ht="18.75" customHeight="1">
      <c r="A304" s="661"/>
      <c r="B304" s="657" t="s">
        <v>11096</v>
      </c>
      <c r="C304" s="657" t="s">
        <v>11097</v>
      </c>
      <c r="D304" s="663" t="s">
        <v>11171</v>
      </c>
      <c r="E304" s="663" t="s">
        <v>11172</v>
      </c>
      <c r="F304" s="658">
        <v>0.1</v>
      </c>
      <c r="G304" s="658">
        <v>0</v>
      </c>
      <c r="H304" s="664">
        <v>11340000</v>
      </c>
      <c r="I304" s="664">
        <f t="shared" si="2"/>
        <v>10309090</v>
      </c>
      <c r="J304" s="664">
        <f t="shared" si="3"/>
        <v>11340000</v>
      </c>
      <c r="K304" s="661"/>
    </row>
    <row r="305" spans="1:11" ht="18.75" customHeight="1">
      <c r="A305" s="661"/>
      <c r="B305" s="657" t="s">
        <v>11096</v>
      </c>
      <c r="C305" s="657" t="s">
        <v>11097</v>
      </c>
      <c r="D305" s="663" t="s">
        <v>11173</v>
      </c>
      <c r="E305" s="663" t="s">
        <v>11174</v>
      </c>
      <c r="F305" s="658">
        <v>0.1</v>
      </c>
      <c r="G305" s="658">
        <v>0</v>
      </c>
      <c r="H305" s="664">
        <v>24545450</v>
      </c>
      <c r="I305" s="664">
        <f t="shared" si="2"/>
        <v>22314050</v>
      </c>
      <c r="J305" s="664">
        <f t="shared" si="3"/>
        <v>24545450</v>
      </c>
      <c r="K305" s="661"/>
    </row>
    <row r="306" spans="1:11" ht="18.75" customHeight="1">
      <c r="A306" s="661"/>
      <c r="B306" s="657" t="s">
        <v>11096</v>
      </c>
      <c r="C306" s="657" t="s">
        <v>11097</v>
      </c>
      <c r="D306" s="663" t="s">
        <v>11175</v>
      </c>
      <c r="E306" s="663" t="s">
        <v>11176</v>
      </c>
      <c r="F306" s="658">
        <v>0.1</v>
      </c>
      <c r="G306" s="658">
        <v>0</v>
      </c>
      <c r="H306" s="664">
        <v>14040000</v>
      </c>
      <c r="I306" s="664">
        <f t="shared" si="2"/>
        <v>12763640</v>
      </c>
      <c r="J306" s="664">
        <f t="shared" si="3"/>
        <v>14040000</v>
      </c>
      <c r="K306" s="661"/>
    </row>
    <row r="307" spans="1:11" ht="18.75" customHeight="1">
      <c r="A307" s="661"/>
      <c r="B307" s="657" t="s">
        <v>11096</v>
      </c>
      <c r="C307" s="657" t="s">
        <v>11097</v>
      </c>
      <c r="D307" s="663" t="s">
        <v>11177</v>
      </c>
      <c r="E307" s="663" t="s">
        <v>11178</v>
      </c>
      <c r="F307" s="658">
        <v>0.1</v>
      </c>
      <c r="G307" s="658">
        <v>0</v>
      </c>
      <c r="H307" s="664">
        <v>14364000</v>
      </c>
      <c r="I307" s="664">
        <f t="shared" si="2"/>
        <v>13058180</v>
      </c>
      <c r="J307" s="664">
        <f t="shared" si="3"/>
        <v>14364000</v>
      </c>
      <c r="K307" s="661"/>
    </row>
    <row r="308" spans="1:11" ht="18.75" customHeight="1">
      <c r="A308" s="661"/>
      <c r="B308" s="657" t="s">
        <v>11096</v>
      </c>
      <c r="C308" s="657" t="s">
        <v>11097</v>
      </c>
      <c r="D308" s="663" t="s">
        <v>1853</v>
      </c>
      <c r="E308" s="663" t="s">
        <v>1854</v>
      </c>
      <c r="F308" s="658">
        <v>0.1</v>
      </c>
      <c r="G308" s="658">
        <v>0</v>
      </c>
      <c r="H308" s="664">
        <v>14980030</v>
      </c>
      <c r="I308" s="664">
        <f t="shared" si="2"/>
        <v>13618210</v>
      </c>
      <c r="J308" s="664">
        <f t="shared" si="3"/>
        <v>14980030</v>
      </c>
      <c r="K308" s="661"/>
    </row>
    <row r="309" spans="1:11" ht="18.75" customHeight="1">
      <c r="A309" s="661"/>
      <c r="B309" s="657" t="s">
        <v>11096</v>
      </c>
      <c r="C309" s="657" t="s">
        <v>11097</v>
      </c>
      <c r="D309" s="663" t="s">
        <v>11179</v>
      </c>
      <c r="E309" s="663" t="s">
        <v>11180</v>
      </c>
      <c r="F309" s="658">
        <v>0.1</v>
      </c>
      <c r="G309" s="658">
        <v>0</v>
      </c>
      <c r="H309" s="664">
        <v>15552000</v>
      </c>
      <c r="I309" s="664">
        <f t="shared" si="2"/>
        <v>14138180</v>
      </c>
      <c r="J309" s="664">
        <f t="shared" si="3"/>
        <v>15552000</v>
      </c>
      <c r="K309" s="661"/>
    </row>
    <row r="310" spans="1:11" ht="18.75" customHeight="1">
      <c r="A310" s="661"/>
      <c r="B310" s="657" t="s">
        <v>11096</v>
      </c>
      <c r="C310" s="657" t="s">
        <v>11097</v>
      </c>
      <c r="D310" s="663" t="s">
        <v>1857</v>
      </c>
      <c r="E310" s="663" t="s">
        <v>1858</v>
      </c>
      <c r="F310" s="658">
        <v>0.1</v>
      </c>
      <c r="G310" s="658">
        <v>0</v>
      </c>
      <c r="H310" s="664">
        <v>19991020</v>
      </c>
      <c r="I310" s="664">
        <f t="shared" si="2"/>
        <v>18173650</v>
      </c>
      <c r="J310" s="664">
        <f t="shared" si="3"/>
        <v>19991020</v>
      </c>
      <c r="K310" s="661"/>
    </row>
    <row r="311" spans="1:11" ht="18.75" customHeight="1">
      <c r="A311" s="661"/>
      <c r="B311" s="657" t="s">
        <v>11096</v>
      </c>
      <c r="C311" s="657" t="s">
        <v>11097</v>
      </c>
      <c r="D311" s="663" t="s">
        <v>11181</v>
      </c>
      <c r="E311" s="663" t="s">
        <v>11182</v>
      </c>
      <c r="F311" s="658">
        <v>0.1</v>
      </c>
      <c r="G311" s="658">
        <v>0</v>
      </c>
      <c r="H311" s="664">
        <v>19440000</v>
      </c>
      <c r="I311" s="664">
        <f t="shared" si="2"/>
        <v>17672730</v>
      </c>
      <c r="J311" s="664">
        <f t="shared" si="3"/>
        <v>19440000</v>
      </c>
      <c r="K311" s="661"/>
    </row>
    <row r="312" spans="1:11" ht="18.75" customHeight="1">
      <c r="A312" s="661"/>
      <c r="B312" s="657" t="s">
        <v>11096</v>
      </c>
      <c r="C312" s="657" t="s">
        <v>11097</v>
      </c>
      <c r="D312" s="663" t="s">
        <v>1865</v>
      </c>
      <c r="E312" s="663" t="s">
        <v>1866</v>
      </c>
      <c r="F312" s="658">
        <v>0.1</v>
      </c>
      <c r="G312" s="658">
        <v>0</v>
      </c>
      <c r="H312" s="664">
        <v>8127000</v>
      </c>
      <c r="I312" s="664">
        <f t="shared" si="2"/>
        <v>7388180</v>
      </c>
      <c r="J312" s="664">
        <f t="shared" si="3"/>
        <v>8127000</v>
      </c>
      <c r="K312" s="661"/>
    </row>
    <row r="313" spans="1:11" ht="18.75" customHeight="1">
      <c r="A313" s="661"/>
      <c r="B313" s="657" t="s">
        <v>11096</v>
      </c>
      <c r="C313" s="657" t="s">
        <v>11097</v>
      </c>
      <c r="D313" s="663" t="s">
        <v>11183</v>
      </c>
      <c r="E313" s="663" t="s">
        <v>11184</v>
      </c>
      <c r="F313" s="658">
        <v>0.1</v>
      </c>
      <c r="G313" s="658">
        <v>0</v>
      </c>
      <c r="H313" s="664">
        <v>16200000</v>
      </c>
      <c r="I313" s="664">
        <f t="shared" si="2"/>
        <v>14727270</v>
      </c>
      <c r="J313" s="664">
        <f t="shared" si="3"/>
        <v>16200000</v>
      </c>
      <c r="K313" s="661"/>
    </row>
    <row r="314" spans="1:11" ht="18.75" customHeight="1">
      <c r="A314" s="661"/>
      <c r="B314" s="657" t="s">
        <v>11096</v>
      </c>
      <c r="C314" s="657" t="s">
        <v>11097</v>
      </c>
      <c r="D314" s="663" t="s">
        <v>1869</v>
      </c>
      <c r="E314" s="663" t="s">
        <v>1870</v>
      </c>
      <c r="F314" s="658">
        <v>0.1</v>
      </c>
      <c r="G314" s="658">
        <v>0</v>
      </c>
      <c r="H314" s="664">
        <v>16858040</v>
      </c>
      <c r="I314" s="664">
        <f t="shared" si="2"/>
        <v>15325490</v>
      </c>
      <c r="J314" s="664">
        <f t="shared" si="3"/>
        <v>16858040</v>
      </c>
      <c r="K314" s="661"/>
    </row>
    <row r="315" spans="1:11" ht="18.75" customHeight="1">
      <c r="A315" s="661"/>
      <c r="B315" s="657" t="s">
        <v>11096</v>
      </c>
      <c r="C315" s="657" t="s">
        <v>11097</v>
      </c>
      <c r="D315" s="663" t="s">
        <v>1873</v>
      </c>
      <c r="E315" s="663" t="s">
        <v>1874</v>
      </c>
      <c r="F315" s="658">
        <v>0.1</v>
      </c>
      <c r="G315" s="658">
        <v>0</v>
      </c>
      <c r="H315" s="664">
        <v>16790000</v>
      </c>
      <c r="I315" s="664">
        <f t="shared" si="2"/>
        <v>15263640</v>
      </c>
      <c r="J315" s="664">
        <f t="shared" si="3"/>
        <v>16790000</v>
      </c>
      <c r="K315" s="661"/>
    </row>
    <row r="316" spans="1:11" ht="18.75" customHeight="1">
      <c r="A316" s="661"/>
      <c r="B316" s="657" t="s">
        <v>11096</v>
      </c>
      <c r="C316" s="657" t="s">
        <v>11097</v>
      </c>
      <c r="D316" s="663" t="s">
        <v>11185</v>
      </c>
      <c r="E316" s="663" t="s">
        <v>11186</v>
      </c>
      <c r="F316" s="658">
        <v>0.1</v>
      </c>
      <c r="G316" s="658">
        <v>0</v>
      </c>
      <c r="H316" s="664">
        <v>18360000</v>
      </c>
      <c r="I316" s="664">
        <f t="shared" si="2"/>
        <v>16690910</v>
      </c>
      <c r="J316" s="664">
        <f t="shared" si="3"/>
        <v>18360000</v>
      </c>
      <c r="K316" s="661"/>
    </row>
    <row r="317" spans="1:11" ht="18.75" customHeight="1">
      <c r="A317" s="661"/>
      <c r="B317" s="657" t="s">
        <v>11096</v>
      </c>
      <c r="C317" s="657" t="s">
        <v>11097</v>
      </c>
      <c r="D317" s="663" t="s">
        <v>11187</v>
      </c>
      <c r="E317" s="663" t="s">
        <v>11188</v>
      </c>
      <c r="F317" s="658">
        <v>0.1</v>
      </c>
      <c r="G317" s="658">
        <v>0</v>
      </c>
      <c r="H317" s="664">
        <v>19243640</v>
      </c>
      <c r="I317" s="664">
        <f t="shared" si="2"/>
        <v>17494220</v>
      </c>
      <c r="J317" s="664">
        <f t="shared" si="3"/>
        <v>19243640</v>
      </c>
      <c r="K317" s="661"/>
    </row>
    <row r="318" spans="1:11" ht="18.75" customHeight="1">
      <c r="A318" s="661"/>
      <c r="B318" s="657" t="s">
        <v>11096</v>
      </c>
      <c r="C318" s="657" t="s">
        <v>11097</v>
      </c>
      <c r="D318" s="663" t="s">
        <v>1885</v>
      </c>
      <c r="E318" s="663" t="s">
        <v>1886</v>
      </c>
      <c r="F318" s="658">
        <v>0.1</v>
      </c>
      <c r="G318" s="658">
        <v>0</v>
      </c>
      <c r="H318" s="664">
        <v>25440050</v>
      </c>
      <c r="I318" s="664">
        <f t="shared" si="2"/>
        <v>23127320</v>
      </c>
      <c r="J318" s="664">
        <f t="shared" si="3"/>
        <v>25440050</v>
      </c>
      <c r="K318" s="661"/>
    </row>
    <row r="319" spans="1:11" ht="18.75" customHeight="1">
      <c r="A319" s="661"/>
      <c r="B319" s="657" t="s">
        <v>11096</v>
      </c>
      <c r="C319" s="657" t="s">
        <v>11097</v>
      </c>
      <c r="D319" s="663" t="s">
        <v>1887</v>
      </c>
      <c r="E319" s="663" t="s">
        <v>1888</v>
      </c>
      <c r="F319" s="658">
        <v>0.1</v>
      </c>
      <c r="G319" s="658">
        <v>0</v>
      </c>
      <c r="H319" s="664">
        <v>24800040</v>
      </c>
      <c r="I319" s="664">
        <f t="shared" si="2"/>
        <v>22545490</v>
      </c>
      <c r="J319" s="664">
        <f t="shared" si="3"/>
        <v>24800040</v>
      </c>
      <c r="K319" s="661"/>
    </row>
    <row r="320" spans="1:11" ht="18.75" customHeight="1">
      <c r="A320" s="661"/>
      <c r="B320" s="657" t="s">
        <v>11096</v>
      </c>
      <c r="C320" s="657" t="s">
        <v>11097</v>
      </c>
      <c r="D320" s="663" t="s">
        <v>11189</v>
      </c>
      <c r="E320" s="663" t="s">
        <v>11190</v>
      </c>
      <c r="F320" s="658">
        <v>0.1</v>
      </c>
      <c r="G320" s="658">
        <v>0</v>
      </c>
      <c r="H320" s="664">
        <v>26607420</v>
      </c>
      <c r="I320" s="664">
        <f t="shared" si="2"/>
        <v>24188560</v>
      </c>
      <c r="J320" s="664">
        <f t="shared" si="3"/>
        <v>26607420</v>
      </c>
      <c r="K320" s="661"/>
    </row>
    <row r="321" spans="1:11" ht="18.75" customHeight="1">
      <c r="A321" s="661"/>
      <c r="B321" s="657" t="s">
        <v>11096</v>
      </c>
      <c r="C321" s="657" t="s">
        <v>11097</v>
      </c>
      <c r="D321" s="663" t="s">
        <v>11191</v>
      </c>
      <c r="E321" s="663" t="s">
        <v>11192</v>
      </c>
      <c r="F321" s="658">
        <v>0.1</v>
      </c>
      <c r="G321" s="658">
        <v>0</v>
      </c>
      <c r="H321" s="664">
        <v>25406030</v>
      </c>
      <c r="I321" s="664">
        <f t="shared" si="2"/>
        <v>23096390</v>
      </c>
      <c r="J321" s="664">
        <f t="shared" si="3"/>
        <v>25406030</v>
      </c>
      <c r="K321" s="661"/>
    </row>
    <row r="322" spans="1:11" ht="18.75" customHeight="1">
      <c r="A322" s="661"/>
      <c r="B322" s="657" t="s">
        <v>11096</v>
      </c>
      <c r="C322" s="657" t="s">
        <v>11097</v>
      </c>
      <c r="D322" s="663" t="s">
        <v>11193</v>
      </c>
      <c r="E322" s="663" t="s">
        <v>11194</v>
      </c>
      <c r="F322" s="658">
        <v>0.1</v>
      </c>
      <c r="G322" s="658">
        <v>0</v>
      </c>
      <c r="H322" s="664">
        <v>31860000</v>
      </c>
      <c r="I322" s="664">
        <f t="shared" si="2"/>
        <v>28963640</v>
      </c>
      <c r="J322" s="664">
        <f t="shared" si="3"/>
        <v>31860000</v>
      </c>
      <c r="K322" s="661"/>
    </row>
    <row r="323" spans="1:11" ht="18.75" customHeight="1">
      <c r="A323" s="661"/>
      <c r="B323" s="657" t="s">
        <v>11096</v>
      </c>
      <c r="C323" s="657" t="s">
        <v>11097</v>
      </c>
      <c r="D323" s="663" t="s">
        <v>11195</v>
      </c>
      <c r="E323" s="663" t="s">
        <v>11196</v>
      </c>
      <c r="F323" s="658">
        <v>0.1</v>
      </c>
      <c r="G323" s="658">
        <v>0</v>
      </c>
      <c r="H323" s="664"/>
      <c r="I323" s="664">
        <f t="shared" si="2"/>
        <v>0</v>
      </c>
      <c r="J323" s="664">
        <f t="shared" si="3"/>
        <v>0</v>
      </c>
      <c r="K323" s="661"/>
    </row>
    <row r="324" spans="1:11" ht="18.75" customHeight="1">
      <c r="A324" s="661"/>
      <c r="B324" s="657" t="s">
        <v>11096</v>
      </c>
      <c r="C324" s="657" t="s">
        <v>11097</v>
      </c>
      <c r="D324" s="663" t="s">
        <v>11197</v>
      </c>
      <c r="E324" s="663" t="s">
        <v>11198</v>
      </c>
      <c r="F324" s="658">
        <v>0.1</v>
      </c>
      <c r="G324" s="658">
        <v>0</v>
      </c>
      <c r="H324" s="664"/>
      <c r="I324" s="664">
        <f t="shared" si="2"/>
        <v>0</v>
      </c>
      <c r="J324" s="664">
        <f t="shared" si="3"/>
        <v>0</v>
      </c>
      <c r="K324" s="661"/>
    </row>
    <row r="325" spans="1:11" ht="18.75" customHeight="1">
      <c r="A325" s="661"/>
      <c r="B325" s="657" t="s">
        <v>11096</v>
      </c>
      <c r="C325" s="657" t="s">
        <v>11097</v>
      </c>
      <c r="D325" s="663" t="s">
        <v>11199</v>
      </c>
      <c r="E325" s="663" t="s">
        <v>11200</v>
      </c>
      <c r="F325" s="658">
        <v>0.1</v>
      </c>
      <c r="G325" s="658">
        <v>0</v>
      </c>
      <c r="H325" s="664"/>
      <c r="I325" s="664">
        <f t="shared" si="2"/>
        <v>0</v>
      </c>
      <c r="J325" s="664">
        <f t="shared" si="3"/>
        <v>0</v>
      </c>
      <c r="K325" s="661"/>
    </row>
    <row r="326" spans="1:11" ht="18.75" customHeight="1">
      <c r="A326" s="661"/>
      <c r="B326" s="657" t="s">
        <v>11096</v>
      </c>
      <c r="C326" s="657" t="s">
        <v>11097</v>
      </c>
      <c r="D326" s="663" t="s">
        <v>1916</v>
      </c>
      <c r="E326" s="663" t="s">
        <v>1917</v>
      </c>
      <c r="F326" s="658">
        <v>0.1</v>
      </c>
      <c r="G326" s="658">
        <v>0</v>
      </c>
      <c r="H326" s="664">
        <v>10059980</v>
      </c>
      <c r="I326" s="664">
        <f t="shared" si="2"/>
        <v>9145440</v>
      </c>
      <c r="J326" s="664">
        <f t="shared" si="3"/>
        <v>10059980</v>
      </c>
      <c r="K326" s="661"/>
    </row>
    <row r="327" spans="1:11" ht="18.75" customHeight="1">
      <c r="A327" s="661"/>
      <c r="B327" s="657" t="s">
        <v>11096</v>
      </c>
      <c r="C327" s="657" t="s">
        <v>11097</v>
      </c>
      <c r="D327" s="663" t="s">
        <v>11201</v>
      </c>
      <c r="E327" s="663" t="s">
        <v>11202</v>
      </c>
      <c r="F327" s="658">
        <v>0.1</v>
      </c>
      <c r="G327" s="658">
        <v>0</v>
      </c>
      <c r="H327" s="664">
        <v>10468640</v>
      </c>
      <c r="I327" s="664">
        <f t="shared" si="2"/>
        <v>9516950</v>
      </c>
      <c r="J327" s="664">
        <f t="shared" si="3"/>
        <v>10468640</v>
      </c>
      <c r="K327" s="661"/>
    </row>
    <row r="328" spans="1:11" ht="18.75" customHeight="1">
      <c r="A328" s="661"/>
      <c r="B328" s="657" t="s">
        <v>11096</v>
      </c>
      <c r="C328" s="657" t="s">
        <v>11097</v>
      </c>
      <c r="D328" s="663" t="s">
        <v>11203</v>
      </c>
      <c r="E328" s="663" t="s">
        <v>11204</v>
      </c>
      <c r="F328" s="658">
        <v>0.1</v>
      </c>
      <c r="G328" s="658">
        <v>0</v>
      </c>
      <c r="H328" s="664">
        <v>11880000</v>
      </c>
      <c r="I328" s="664">
        <f t="shared" si="2"/>
        <v>10800000</v>
      </c>
      <c r="J328" s="664">
        <f t="shared" si="3"/>
        <v>11880000</v>
      </c>
      <c r="K328" s="661"/>
    </row>
    <row r="329" spans="1:11" ht="18.75" customHeight="1">
      <c r="A329" s="661"/>
      <c r="B329" s="657" t="s">
        <v>11096</v>
      </c>
      <c r="C329" s="657" t="s">
        <v>11097</v>
      </c>
      <c r="D329" s="663" t="s">
        <v>1932</v>
      </c>
      <c r="E329" s="663" t="s">
        <v>1933</v>
      </c>
      <c r="F329" s="658">
        <v>0.1</v>
      </c>
      <c r="G329" s="658">
        <v>0</v>
      </c>
      <c r="H329" s="664">
        <v>12107020</v>
      </c>
      <c r="I329" s="664">
        <f t="shared" si="2"/>
        <v>11006380</v>
      </c>
      <c r="J329" s="664">
        <f t="shared" si="3"/>
        <v>12107020</v>
      </c>
      <c r="K329" s="661"/>
    </row>
    <row r="330" spans="1:11" ht="18.75" customHeight="1">
      <c r="A330" s="661"/>
      <c r="B330" s="657" t="s">
        <v>11096</v>
      </c>
      <c r="C330" s="657" t="s">
        <v>11097</v>
      </c>
      <c r="D330" s="663" t="s">
        <v>11205</v>
      </c>
      <c r="E330" s="663" t="s">
        <v>11206</v>
      </c>
      <c r="F330" s="658">
        <v>0.1</v>
      </c>
      <c r="G330" s="658">
        <v>0</v>
      </c>
      <c r="H330" s="664">
        <v>12419670</v>
      </c>
      <c r="I330" s="664">
        <f t="shared" si="2"/>
        <v>11290610</v>
      </c>
      <c r="J330" s="664">
        <f t="shared" si="3"/>
        <v>12419670</v>
      </c>
      <c r="K330" s="661"/>
    </row>
    <row r="331" spans="1:11" ht="18.75" customHeight="1">
      <c r="A331" s="661"/>
      <c r="B331" s="657" t="s">
        <v>11096</v>
      </c>
      <c r="C331" s="657" t="s">
        <v>11097</v>
      </c>
      <c r="D331" s="663" t="s">
        <v>11207</v>
      </c>
      <c r="E331" s="663" t="s">
        <v>11208</v>
      </c>
      <c r="F331" s="658">
        <v>0.1</v>
      </c>
      <c r="G331" s="658">
        <v>0</v>
      </c>
      <c r="H331" s="664">
        <v>14040000</v>
      </c>
      <c r="I331" s="664">
        <f t="shared" si="2"/>
        <v>12763640</v>
      </c>
      <c r="J331" s="664">
        <f t="shared" si="3"/>
        <v>14040000</v>
      </c>
      <c r="K331" s="661"/>
    </row>
    <row r="332" spans="1:11" ht="18.75" customHeight="1">
      <c r="A332" s="661"/>
      <c r="B332" s="657" t="s">
        <v>11096</v>
      </c>
      <c r="C332" s="657" t="s">
        <v>11097</v>
      </c>
      <c r="D332" s="663" t="s">
        <v>11209</v>
      </c>
      <c r="E332" s="663" t="s">
        <v>11210</v>
      </c>
      <c r="F332" s="658">
        <v>0.1</v>
      </c>
      <c r="G332" s="658">
        <v>0</v>
      </c>
      <c r="H332" s="664">
        <v>13897010</v>
      </c>
      <c r="I332" s="664">
        <f t="shared" si="2"/>
        <v>12633650</v>
      </c>
      <c r="J332" s="664">
        <f t="shared" si="3"/>
        <v>13897010</v>
      </c>
      <c r="K332" s="661"/>
    </row>
    <row r="333" spans="1:11" ht="18.75" customHeight="1">
      <c r="A333" s="661"/>
      <c r="B333" s="657" t="s">
        <v>11096</v>
      </c>
      <c r="C333" s="657" t="s">
        <v>11097</v>
      </c>
      <c r="D333" s="663" t="s">
        <v>1944</v>
      </c>
      <c r="E333" s="663" t="s">
        <v>1945</v>
      </c>
      <c r="F333" s="658">
        <v>0.1</v>
      </c>
      <c r="G333" s="658">
        <v>0</v>
      </c>
      <c r="H333" s="664">
        <v>16500020</v>
      </c>
      <c r="I333" s="664">
        <f t="shared" si="2"/>
        <v>15000020</v>
      </c>
      <c r="J333" s="664">
        <f t="shared" si="3"/>
        <v>16500020</v>
      </c>
      <c r="K333" s="661"/>
    </row>
    <row r="334" spans="1:11" ht="18.75" customHeight="1">
      <c r="A334" s="661"/>
      <c r="B334" s="657" t="s">
        <v>11096</v>
      </c>
      <c r="C334" s="657" t="s">
        <v>11097</v>
      </c>
      <c r="D334" s="663" t="s">
        <v>1940</v>
      </c>
      <c r="E334" s="663" t="s">
        <v>1941</v>
      </c>
      <c r="F334" s="658">
        <v>0.1</v>
      </c>
      <c r="G334" s="658">
        <v>0</v>
      </c>
      <c r="H334" s="664">
        <v>14900000</v>
      </c>
      <c r="I334" s="664">
        <f t="shared" si="2"/>
        <v>13545450</v>
      </c>
      <c r="J334" s="664">
        <f t="shared" si="3"/>
        <v>14900000</v>
      </c>
      <c r="K334" s="661"/>
    </row>
    <row r="335" spans="1:11" ht="18.75" customHeight="1">
      <c r="A335" s="661"/>
      <c r="B335" s="657" t="s">
        <v>11096</v>
      </c>
      <c r="C335" s="657" t="s">
        <v>11097</v>
      </c>
      <c r="D335" s="663" t="s">
        <v>1949</v>
      </c>
      <c r="E335" s="663" t="s">
        <v>1950</v>
      </c>
      <c r="F335" s="658">
        <v>0.1</v>
      </c>
      <c r="G335" s="658">
        <v>0</v>
      </c>
      <c r="H335" s="664">
        <v>16098050</v>
      </c>
      <c r="I335" s="664">
        <f t="shared" si="2"/>
        <v>14634590</v>
      </c>
      <c r="J335" s="664">
        <f t="shared" si="3"/>
        <v>16098050</v>
      </c>
      <c r="K335" s="661"/>
    </row>
    <row r="336" spans="1:11" ht="18.75" customHeight="1">
      <c r="A336" s="661"/>
      <c r="B336" s="657" t="s">
        <v>11096</v>
      </c>
      <c r="C336" s="657" t="s">
        <v>11097</v>
      </c>
      <c r="D336" s="663" t="s">
        <v>1936</v>
      </c>
      <c r="E336" s="663" t="s">
        <v>1937</v>
      </c>
      <c r="F336" s="658">
        <v>0.1</v>
      </c>
      <c r="G336" s="658">
        <v>0</v>
      </c>
      <c r="H336" s="664">
        <v>16879000</v>
      </c>
      <c r="I336" s="664">
        <f t="shared" si="2"/>
        <v>15344550</v>
      </c>
      <c r="J336" s="664">
        <f t="shared" si="3"/>
        <v>16879000</v>
      </c>
      <c r="K336" s="661"/>
    </row>
    <row r="337" spans="1:11" ht="18.75" customHeight="1">
      <c r="A337" s="661"/>
      <c r="B337" s="657" t="s">
        <v>11096</v>
      </c>
      <c r="C337" s="657" t="s">
        <v>11211</v>
      </c>
      <c r="D337" s="663" t="s">
        <v>1731</v>
      </c>
      <c r="E337" s="663" t="s">
        <v>1732</v>
      </c>
      <c r="F337" s="658">
        <v>0.1</v>
      </c>
      <c r="G337" s="658">
        <v>0</v>
      </c>
      <c r="H337" s="664">
        <v>10129970</v>
      </c>
      <c r="I337" s="664">
        <f t="shared" si="2"/>
        <v>9209060</v>
      </c>
      <c r="J337" s="664">
        <f t="shared" si="3"/>
        <v>10129970</v>
      </c>
      <c r="K337" s="661"/>
    </row>
    <row r="338" spans="1:11" ht="18.75" customHeight="1">
      <c r="A338" s="661"/>
      <c r="B338" s="657" t="s">
        <v>11096</v>
      </c>
      <c r="C338" s="657" t="s">
        <v>11211</v>
      </c>
      <c r="D338" s="663" t="s">
        <v>1727</v>
      </c>
      <c r="E338" s="663" t="s">
        <v>1728</v>
      </c>
      <c r="F338" s="658">
        <v>0.1</v>
      </c>
      <c r="G338" s="658">
        <v>0</v>
      </c>
      <c r="H338" s="664">
        <v>9330010</v>
      </c>
      <c r="I338" s="664">
        <f t="shared" si="2"/>
        <v>8481830</v>
      </c>
      <c r="J338" s="664">
        <f t="shared" si="3"/>
        <v>9330010</v>
      </c>
      <c r="K338" s="661"/>
    </row>
    <row r="339" spans="1:11" ht="18.75" customHeight="1">
      <c r="A339" s="661"/>
      <c r="B339" s="657" t="s">
        <v>11096</v>
      </c>
      <c r="C339" s="657" t="s">
        <v>11211</v>
      </c>
      <c r="D339" s="663" t="s">
        <v>1735</v>
      </c>
      <c r="E339" s="663" t="s">
        <v>1736</v>
      </c>
      <c r="F339" s="658">
        <v>0.1</v>
      </c>
      <c r="G339" s="658">
        <v>0</v>
      </c>
      <c r="H339" s="664">
        <v>9642020</v>
      </c>
      <c r="I339" s="664">
        <f t="shared" si="2"/>
        <v>8765470</v>
      </c>
      <c r="J339" s="664">
        <f t="shared" si="3"/>
        <v>9642020</v>
      </c>
      <c r="K339" s="661"/>
    </row>
    <row r="340" spans="1:11" ht="18.75" customHeight="1">
      <c r="A340" s="661"/>
      <c r="B340" s="657" t="s">
        <v>11096</v>
      </c>
      <c r="C340" s="657" t="s">
        <v>11211</v>
      </c>
      <c r="D340" s="663" t="s">
        <v>1739</v>
      </c>
      <c r="E340" s="663" t="s">
        <v>1740</v>
      </c>
      <c r="F340" s="658">
        <v>0.1</v>
      </c>
      <c r="G340" s="658">
        <v>0</v>
      </c>
      <c r="H340" s="664">
        <v>8057020</v>
      </c>
      <c r="I340" s="664">
        <f t="shared" si="2"/>
        <v>7324560</v>
      </c>
      <c r="J340" s="664">
        <f t="shared" si="3"/>
        <v>8057020</v>
      </c>
      <c r="K340" s="661"/>
    </row>
    <row r="341" spans="1:11" ht="18.75" customHeight="1">
      <c r="A341" s="661"/>
      <c r="B341" s="657" t="s">
        <v>11096</v>
      </c>
      <c r="C341" s="657" t="s">
        <v>11211</v>
      </c>
      <c r="D341" s="663" t="s">
        <v>11212</v>
      </c>
      <c r="E341" s="663" t="s">
        <v>11213</v>
      </c>
      <c r="F341" s="658">
        <v>0.1</v>
      </c>
      <c r="G341" s="658">
        <v>0</v>
      </c>
      <c r="H341" s="664"/>
      <c r="I341" s="664">
        <f t="shared" si="2"/>
        <v>0</v>
      </c>
      <c r="J341" s="664">
        <f t="shared" si="3"/>
        <v>0</v>
      </c>
      <c r="K341" s="661"/>
    </row>
    <row r="342" spans="1:11" ht="18.75" customHeight="1">
      <c r="A342" s="661"/>
      <c r="B342" s="657" t="s">
        <v>11096</v>
      </c>
      <c r="C342" s="657" t="s">
        <v>11211</v>
      </c>
      <c r="D342" s="663" t="s">
        <v>11214</v>
      </c>
      <c r="E342" s="663" t="s">
        <v>11215</v>
      </c>
      <c r="F342" s="658">
        <v>0.1</v>
      </c>
      <c r="G342" s="658">
        <v>0</v>
      </c>
      <c r="H342" s="664">
        <v>23168520</v>
      </c>
      <c r="I342" s="664">
        <f t="shared" si="2"/>
        <v>21062290</v>
      </c>
      <c r="J342" s="664">
        <f t="shared" si="3"/>
        <v>23168520</v>
      </c>
      <c r="K342" s="661"/>
    </row>
    <row r="343" spans="1:11" ht="18.75" customHeight="1">
      <c r="A343" s="661"/>
      <c r="B343" s="657" t="s">
        <v>11096</v>
      </c>
      <c r="C343" s="657" t="s">
        <v>11211</v>
      </c>
      <c r="D343" s="663" t="s">
        <v>1745</v>
      </c>
      <c r="E343" s="663" t="s">
        <v>1746</v>
      </c>
      <c r="F343" s="658">
        <v>0.1</v>
      </c>
      <c r="G343" s="658">
        <v>0</v>
      </c>
      <c r="H343" s="664">
        <v>32732960</v>
      </c>
      <c r="I343" s="664">
        <f t="shared" si="2"/>
        <v>29757240</v>
      </c>
      <c r="J343" s="664">
        <f t="shared" si="3"/>
        <v>32732960</v>
      </c>
      <c r="K343" s="661"/>
    </row>
    <row r="344" spans="1:11" ht="18.75" customHeight="1">
      <c r="A344" s="661"/>
      <c r="B344" s="657" t="s">
        <v>11096</v>
      </c>
      <c r="C344" s="657" t="s">
        <v>11211</v>
      </c>
      <c r="D344" s="663" t="s">
        <v>11216</v>
      </c>
      <c r="E344" s="663" t="s">
        <v>11217</v>
      </c>
      <c r="F344" s="658">
        <v>0.1</v>
      </c>
      <c r="G344" s="658">
        <v>0</v>
      </c>
      <c r="H344" s="664">
        <v>27000000</v>
      </c>
      <c r="I344" s="664">
        <f t="shared" si="2"/>
        <v>24545450</v>
      </c>
      <c r="J344" s="664">
        <f t="shared" si="3"/>
        <v>27000000</v>
      </c>
      <c r="K344" s="661"/>
    </row>
    <row r="345" spans="1:11" ht="18.75" customHeight="1">
      <c r="A345" s="661"/>
      <c r="B345" s="657" t="s">
        <v>11096</v>
      </c>
      <c r="C345" s="657" t="s">
        <v>11211</v>
      </c>
      <c r="D345" s="663" t="s">
        <v>1749</v>
      </c>
      <c r="E345" s="663" t="s">
        <v>1750</v>
      </c>
      <c r="F345" s="658">
        <v>0.1</v>
      </c>
      <c r="G345" s="658">
        <v>0</v>
      </c>
      <c r="H345" s="664">
        <v>25620950</v>
      </c>
      <c r="I345" s="664">
        <f t="shared" si="2"/>
        <v>23291770</v>
      </c>
      <c r="J345" s="664">
        <f t="shared" si="3"/>
        <v>25620950</v>
      </c>
      <c r="K345" s="661"/>
    </row>
    <row r="346" spans="1:11" ht="18.75" customHeight="1">
      <c r="A346" s="661"/>
      <c r="B346" s="657" t="s">
        <v>11096</v>
      </c>
      <c r="C346" s="657" t="s">
        <v>11211</v>
      </c>
      <c r="D346" s="663" t="s">
        <v>11218</v>
      </c>
      <c r="E346" s="663" t="s">
        <v>11219</v>
      </c>
      <c r="F346" s="658">
        <v>0.1</v>
      </c>
      <c r="G346" s="658">
        <v>0</v>
      </c>
      <c r="H346" s="664">
        <v>36720000</v>
      </c>
      <c r="I346" s="664">
        <f t="shared" si="2"/>
        <v>33381820</v>
      </c>
      <c r="J346" s="664">
        <f t="shared" si="3"/>
        <v>36720000</v>
      </c>
      <c r="K346" s="661"/>
    </row>
    <row r="347" spans="1:11" ht="18.75" customHeight="1">
      <c r="A347" s="661"/>
      <c r="B347" s="657" t="s">
        <v>11096</v>
      </c>
      <c r="C347" s="657" t="s">
        <v>11211</v>
      </c>
      <c r="D347" s="663" t="s">
        <v>11220</v>
      </c>
      <c r="E347" s="663" t="s">
        <v>11221</v>
      </c>
      <c r="F347" s="658">
        <v>0.1</v>
      </c>
      <c r="G347" s="658">
        <v>0</v>
      </c>
      <c r="H347" s="664"/>
      <c r="I347" s="664">
        <f t="shared" si="2"/>
        <v>0</v>
      </c>
      <c r="J347" s="664">
        <f t="shared" si="3"/>
        <v>0</v>
      </c>
      <c r="K347" s="661"/>
    </row>
    <row r="348" spans="1:11" ht="18.75" customHeight="1">
      <c r="A348" s="661"/>
      <c r="B348" s="657" t="s">
        <v>11096</v>
      </c>
      <c r="C348" s="657" t="s">
        <v>11211</v>
      </c>
      <c r="D348" s="663" t="s">
        <v>11222</v>
      </c>
      <c r="E348" s="663" t="s">
        <v>11223</v>
      </c>
      <c r="F348" s="658">
        <v>0.1</v>
      </c>
      <c r="G348" s="658">
        <v>0</v>
      </c>
      <c r="H348" s="664">
        <v>10260000</v>
      </c>
      <c r="I348" s="664">
        <f t="shared" si="2"/>
        <v>9327270</v>
      </c>
      <c r="J348" s="664">
        <f t="shared" si="3"/>
        <v>10260000</v>
      </c>
      <c r="K348" s="661"/>
    </row>
    <row r="349" spans="1:11" ht="18.75" customHeight="1">
      <c r="A349" s="661"/>
      <c r="B349" s="657" t="s">
        <v>11096</v>
      </c>
      <c r="C349" s="657" t="s">
        <v>11211</v>
      </c>
      <c r="D349" s="663" t="s">
        <v>11224</v>
      </c>
      <c r="E349" s="663" t="s">
        <v>11225</v>
      </c>
      <c r="F349" s="658">
        <v>0.1</v>
      </c>
      <c r="G349" s="658">
        <v>0</v>
      </c>
      <c r="H349" s="664">
        <v>9909000</v>
      </c>
      <c r="I349" s="664">
        <f t="shared" si="2"/>
        <v>9008180</v>
      </c>
      <c r="J349" s="664">
        <f t="shared" si="3"/>
        <v>9909000</v>
      </c>
      <c r="K349" s="661"/>
    </row>
    <row r="350" spans="1:11" ht="18.75" customHeight="1">
      <c r="A350" s="661"/>
      <c r="B350" s="657" t="s">
        <v>11096</v>
      </c>
      <c r="C350" s="657" t="s">
        <v>11211</v>
      </c>
      <c r="D350" s="663" t="s">
        <v>11226</v>
      </c>
      <c r="E350" s="663" t="s">
        <v>11227</v>
      </c>
      <c r="F350" s="658">
        <v>0.1</v>
      </c>
      <c r="G350" s="658">
        <v>0</v>
      </c>
      <c r="H350" s="664">
        <v>11178000</v>
      </c>
      <c r="I350" s="664">
        <f t="shared" si="2"/>
        <v>10161820</v>
      </c>
      <c r="J350" s="664">
        <f t="shared" si="3"/>
        <v>11178000</v>
      </c>
      <c r="K350" s="661"/>
    </row>
    <row r="351" spans="1:11" ht="18.75" customHeight="1">
      <c r="A351" s="661"/>
      <c r="B351" s="657" t="s">
        <v>11096</v>
      </c>
      <c r="C351" s="657" t="s">
        <v>11211</v>
      </c>
      <c r="D351" s="663" t="s">
        <v>1812</v>
      </c>
      <c r="E351" s="663" t="s">
        <v>1813</v>
      </c>
      <c r="F351" s="658">
        <v>0.1</v>
      </c>
      <c r="G351" s="658">
        <v>0</v>
      </c>
      <c r="H351" s="664">
        <v>11910020</v>
      </c>
      <c r="I351" s="664">
        <f t="shared" si="2"/>
        <v>10827290</v>
      </c>
      <c r="J351" s="664">
        <f t="shared" si="3"/>
        <v>11910020</v>
      </c>
      <c r="K351" s="661"/>
    </row>
    <row r="352" spans="1:11" ht="18.75" customHeight="1">
      <c r="A352" s="661"/>
      <c r="B352" s="657" t="s">
        <v>11096</v>
      </c>
      <c r="C352" s="657" t="s">
        <v>11211</v>
      </c>
      <c r="D352" s="663" t="s">
        <v>11228</v>
      </c>
      <c r="E352" s="663" t="s">
        <v>11229</v>
      </c>
      <c r="F352" s="658">
        <v>0.1</v>
      </c>
      <c r="G352" s="658">
        <v>0</v>
      </c>
      <c r="H352" s="664">
        <v>14040000</v>
      </c>
      <c r="I352" s="664">
        <f t="shared" si="2"/>
        <v>12763640</v>
      </c>
      <c r="J352" s="664">
        <f t="shared" si="3"/>
        <v>14040000</v>
      </c>
      <c r="K352" s="661"/>
    </row>
    <row r="353" spans="1:11" ht="18.75" customHeight="1">
      <c r="A353" s="661"/>
      <c r="B353" s="657" t="s">
        <v>11096</v>
      </c>
      <c r="C353" s="657" t="s">
        <v>11211</v>
      </c>
      <c r="D353" s="663" t="s">
        <v>11230</v>
      </c>
      <c r="E353" s="663" t="s">
        <v>11231</v>
      </c>
      <c r="F353" s="658">
        <v>0.1</v>
      </c>
      <c r="G353" s="658">
        <v>0</v>
      </c>
      <c r="H353" s="664">
        <v>13235400</v>
      </c>
      <c r="I353" s="664">
        <f t="shared" si="2"/>
        <v>12032180</v>
      </c>
      <c r="J353" s="664">
        <f t="shared" si="3"/>
        <v>13235400</v>
      </c>
      <c r="K353" s="661"/>
    </row>
    <row r="354" spans="1:11" ht="18.75" customHeight="1">
      <c r="A354" s="661"/>
      <c r="B354" s="657" t="s">
        <v>11096</v>
      </c>
      <c r="C354" s="657" t="s">
        <v>11211</v>
      </c>
      <c r="D354" s="663" t="s">
        <v>11232</v>
      </c>
      <c r="E354" s="663" t="s">
        <v>11233</v>
      </c>
      <c r="F354" s="658">
        <v>0.1</v>
      </c>
      <c r="G354" s="658">
        <v>0</v>
      </c>
      <c r="H354" s="664">
        <v>13373100</v>
      </c>
      <c r="I354" s="664">
        <f t="shared" si="2"/>
        <v>12157360</v>
      </c>
      <c r="J354" s="664">
        <f t="shared" si="3"/>
        <v>13373100</v>
      </c>
      <c r="K354" s="661"/>
    </row>
    <row r="355" spans="1:11" ht="18.75" customHeight="1">
      <c r="A355" s="661"/>
      <c r="B355" s="657" t="s">
        <v>11096</v>
      </c>
      <c r="C355" s="657" t="s">
        <v>11211</v>
      </c>
      <c r="D355" s="663" t="s">
        <v>11234</v>
      </c>
      <c r="E355" s="663" t="s">
        <v>11235</v>
      </c>
      <c r="F355" s="658">
        <v>0.1</v>
      </c>
      <c r="G355" s="658">
        <v>0</v>
      </c>
      <c r="H355" s="664">
        <v>16200000</v>
      </c>
      <c r="I355" s="664">
        <f t="shared" si="2"/>
        <v>14727270</v>
      </c>
      <c r="J355" s="664">
        <f t="shared" si="3"/>
        <v>16200000</v>
      </c>
      <c r="K355" s="661"/>
    </row>
    <row r="356" spans="1:11" ht="18.75" customHeight="1">
      <c r="A356" s="661"/>
      <c r="B356" s="657" t="s">
        <v>11096</v>
      </c>
      <c r="C356" s="657" t="s">
        <v>11211</v>
      </c>
      <c r="D356" s="663" t="s">
        <v>1755</v>
      </c>
      <c r="E356" s="663" t="s">
        <v>1756</v>
      </c>
      <c r="F356" s="658">
        <v>0.1</v>
      </c>
      <c r="G356" s="658">
        <v>0</v>
      </c>
      <c r="H356" s="664">
        <v>9650020</v>
      </c>
      <c r="I356" s="664">
        <f t="shared" si="2"/>
        <v>8772750</v>
      </c>
      <c r="J356" s="664">
        <f t="shared" si="3"/>
        <v>9650020</v>
      </c>
      <c r="K356" s="661"/>
    </row>
    <row r="357" spans="1:11" ht="18.75" customHeight="1">
      <c r="A357" s="661"/>
      <c r="B357" s="657" t="s">
        <v>11096</v>
      </c>
      <c r="C357" s="657" t="s">
        <v>11211</v>
      </c>
      <c r="D357" s="663" t="s">
        <v>11236</v>
      </c>
      <c r="E357" s="663" t="s">
        <v>11237</v>
      </c>
      <c r="F357" s="658">
        <v>0.1</v>
      </c>
      <c r="G357" s="658">
        <v>0</v>
      </c>
      <c r="H357" s="664">
        <v>9396000</v>
      </c>
      <c r="I357" s="664">
        <f t="shared" si="2"/>
        <v>8541820</v>
      </c>
      <c r="J357" s="664">
        <f t="shared" si="3"/>
        <v>9396000</v>
      </c>
      <c r="K357" s="661"/>
    </row>
    <row r="358" spans="1:11" ht="18.75" customHeight="1">
      <c r="A358" s="661"/>
      <c r="B358" s="657" t="s">
        <v>11096</v>
      </c>
      <c r="C358" s="657" t="s">
        <v>11211</v>
      </c>
      <c r="D358" s="663" t="s">
        <v>11238</v>
      </c>
      <c r="E358" s="663" t="s">
        <v>11239</v>
      </c>
      <c r="F358" s="658">
        <v>0.1</v>
      </c>
      <c r="G358" s="658">
        <v>0</v>
      </c>
      <c r="H358" s="664">
        <v>9072000</v>
      </c>
      <c r="I358" s="664">
        <f t="shared" si="2"/>
        <v>8247270</v>
      </c>
      <c r="J358" s="664">
        <f t="shared" si="3"/>
        <v>9072000</v>
      </c>
      <c r="K358" s="661"/>
    </row>
    <row r="359" spans="1:11" ht="18.75" customHeight="1">
      <c r="A359" s="661"/>
      <c r="B359" s="657" t="s">
        <v>11096</v>
      </c>
      <c r="C359" s="657" t="s">
        <v>11211</v>
      </c>
      <c r="D359" s="663" t="s">
        <v>11240</v>
      </c>
      <c r="E359" s="663" t="s">
        <v>11241</v>
      </c>
      <c r="F359" s="658">
        <v>0.1</v>
      </c>
      <c r="G359" s="658">
        <v>0</v>
      </c>
      <c r="H359" s="664">
        <v>10309090</v>
      </c>
      <c r="I359" s="664">
        <f t="shared" si="2"/>
        <v>9371900</v>
      </c>
      <c r="J359" s="664">
        <f t="shared" si="3"/>
        <v>10309090</v>
      </c>
      <c r="K359" s="661"/>
    </row>
    <row r="360" spans="1:11" ht="18.75" customHeight="1">
      <c r="A360" s="661"/>
      <c r="B360" s="657" t="s">
        <v>11096</v>
      </c>
      <c r="C360" s="657" t="s">
        <v>11211</v>
      </c>
      <c r="D360" s="663" t="s">
        <v>1760</v>
      </c>
      <c r="E360" s="663" t="s">
        <v>1761</v>
      </c>
      <c r="F360" s="658">
        <v>0.1</v>
      </c>
      <c r="G360" s="658">
        <v>0</v>
      </c>
      <c r="H360" s="664">
        <v>11610000</v>
      </c>
      <c r="I360" s="664">
        <f t="shared" si="2"/>
        <v>10554550</v>
      </c>
      <c r="J360" s="664">
        <f t="shared" si="3"/>
        <v>11610000</v>
      </c>
      <c r="K360" s="661"/>
    </row>
    <row r="361" spans="1:11" ht="18.75" customHeight="1">
      <c r="A361" s="661"/>
      <c r="B361" s="657" t="s">
        <v>11096</v>
      </c>
      <c r="C361" s="657" t="s">
        <v>11211</v>
      </c>
      <c r="D361" s="663" t="s">
        <v>11242</v>
      </c>
      <c r="E361" s="663" t="s">
        <v>11243</v>
      </c>
      <c r="F361" s="658">
        <v>0.1</v>
      </c>
      <c r="G361" s="658">
        <v>0</v>
      </c>
      <c r="H361" s="664"/>
      <c r="I361" s="664">
        <f t="shared" si="2"/>
        <v>0</v>
      </c>
      <c r="J361" s="664">
        <f t="shared" si="3"/>
        <v>0</v>
      </c>
      <c r="K361" s="661"/>
    </row>
    <row r="362" spans="1:11" ht="18.75" customHeight="1">
      <c r="A362" s="661"/>
      <c r="B362" s="657" t="s">
        <v>11096</v>
      </c>
      <c r="C362" s="657" t="s">
        <v>11211</v>
      </c>
      <c r="D362" s="663" t="s">
        <v>1763</v>
      </c>
      <c r="E362" s="663" t="s">
        <v>1764</v>
      </c>
      <c r="F362" s="658">
        <v>0.1</v>
      </c>
      <c r="G362" s="658">
        <v>0</v>
      </c>
      <c r="H362" s="664">
        <v>27721010</v>
      </c>
      <c r="I362" s="664">
        <f t="shared" si="2"/>
        <v>25200920</v>
      </c>
      <c r="J362" s="664">
        <f t="shared" si="3"/>
        <v>27721010</v>
      </c>
      <c r="K362" s="661"/>
    </row>
    <row r="363" spans="1:11" ht="18.75" customHeight="1">
      <c r="A363" s="661"/>
      <c r="B363" s="657" t="s">
        <v>11096</v>
      </c>
      <c r="C363" s="657" t="s">
        <v>11211</v>
      </c>
      <c r="D363" s="663" t="s">
        <v>1768</v>
      </c>
      <c r="E363" s="663" t="s">
        <v>1769</v>
      </c>
      <c r="F363" s="658">
        <v>0.1</v>
      </c>
      <c r="G363" s="658">
        <v>0</v>
      </c>
      <c r="H363" s="664">
        <v>31039960</v>
      </c>
      <c r="I363" s="664">
        <f t="shared" si="2"/>
        <v>28218150</v>
      </c>
      <c r="J363" s="664">
        <f t="shared" si="3"/>
        <v>31039960</v>
      </c>
      <c r="K363" s="661"/>
    </row>
    <row r="364" spans="1:11" ht="18.75" customHeight="1">
      <c r="A364" s="661"/>
      <c r="B364" s="657" t="s">
        <v>11096</v>
      </c>
      <c r="C364" s="657" t="s">
        <v>11211</v>
      </c>
      <c r="D364" s="663" t="s">
        <v>1777</v>
      </c>
      <c r="E364" s="663" t="s">
        <v>1778</v>
      </c>
      <c r="F364" s="658">
        <v>0.1</v>
      </c>
      <c r="G364" s="658">
        <v>0</v>
      </c>
      <c r="H364" s="664">
        <v>10440040</v>
      </c>
      <c r="I364" s="664">
        <f t="shared" si="2"/>
        <v>9490950</v>
      </c>
      <c r="J364" s="664">
        <f t="shared" si="3"/>
        <v>10440040</v>
      </c>
      <c r="K364" s="661"/>
    </row>
    <row r="365" spans="1:11" ht="18.75" customHeight="1">
      <c r="A365" s="661"/>
      <c r="B365" s="657" t="s">
        <v>11096</v>
      </c>
      <c r="C365" s="657" t="s">
        <v>11211</v>
      </c>
      <c r="D365" s="663" t="s">
        <v>1781</v>
      </c>
      <c r="E365" s="663" t="s">
        <v>1782</v>
      </c>
      <c r="F365" s="658">
        <v>0.1</v>
      </c>
      <c r="G365" s="658">
        <v>0</v>
      </c>
      <c r="H365" s="664">
        <v>11234050</v>
      </c>
      <c r="I365" s="664">
        <f t="shared" si="2"/>
        <v>10212770</v>
      </c>
      <c r="J365" s="664">
        <f t="shared" si="3"/>
        <v>11234050</v>
      </c>
      <c r="K365" s="661"/>
    </row>
    <row r="366" spans="1:11" ht="18.75" customHeight="1">
      <c r="A366" s="661"/>
      <c r="B366" s="657" t="s">
        <v>11096</v>
      </c>
      <c r="C366" s="657" t="s">
        <v>11211</v>
      </c>
      <c r="D366" s="663" t="s">
        <v>11244</v>
      </c>
      <c r="E366" s="663" t="s">
        <v>11245</v>
      </c>
      <c r="F366" s="658">
        <v>0.1</v>
      </c>
      <c r="G366" s="658">
        <v>0</v>
      </c>
      <c r="H366" s="664">
        <v>12636000</v>
      </c>
      <c r="I366" s="664">
        <f t="shared" si="2"/>
        <v>11487270</v>
      </c>
      <c r="J366" s="664">
        <f t="shared" si="3"/>
        <v>12636000</v>
      </c>
      <c r="K366" s="661"/>
    </row>
    <row r="367" spans="1:11" ht="18.75" customHeight="1">
      <c r="A367" s="661"/>
      <c r="B367" s="657" t="s">
        <v>11096</v>
      </c>
      <c r="C367" s="657" t="s">
        <v>11211</v>
      </c>
      <c r="D367" s="663" t="s">
        <v>11246</v>
      </c>
      <c r="E367" s="663" t="s">
        <v>11247</v>
      </c>
      <c r="F367" s="658">
        <v>0.1</v>
      </c>
      <c r="G367" s="658">
        <v>0</v>
      </c>
      <c r="H367" s="664">
        <v>13254550</v>
      </c>
      <c r="I367" s="664">
        <f t="shared" si="2"/>
        <v>12049590</v>
      </c>
      <c r="J367" s="664">
        <f t="shared" si="3"/>
        <v>13254550</v>
      </c>
      <c r="K367" s="661"/>
    </row>
    <row r="368" spans="1:11" ht="18.75" customHeight="1">
      <c r="A368" s="661"/>
      <c r="B368" s="657" t="s">
        <v>11096</v>
      </c>
      <c r="C368" s="657" t="s">
        <v>11211</v>
      </c>
      <c r="D368" s="663" t="s">
        <v>11248</v>
      </c>
      <c r="E368" s="663" t="s">
        <v>11249</v>
      </c>
      <c r="F368" s="658">
        <v>0.1</v>
      </c>
      <c r="G368" s="658">
        <v>0</v>
      </c>
      <c r="H368" s="664">
        <v>17181820</v>
      </c>
      <c r="I368" s="664">
        <f t="shared" si="2"/>
        <v>15619840</v>
      </c>
      <c r="J368" s="664">
        <f t="shared" si="3"/>
        <v>17181820</v>
      </c>
      <c r="K368" s="661"/>
    </row>
    <row r="369" spans="1:11" ht="18.75" customHeight="1">
      <c r="A369" s="661"/>
      <c r="B369" s="657" t="s">
        <v>11096</v>
      </c>
      <c r="C369" s="657" t="s">
        <v>11211</v>
      </c>
      <c r="D369" s="663" t="s">
        <v>11250</v>
      </c>
      <c r="E369" s="663" t="s">
        <v>11251</v>
      </c>
      <c r="F369" s="658">
        <v>0.1</v>
      </c>
      <c r="G369" s="658">
        <v>0</v>
      </c>
      <c r="H369" s="664">
        <v>18360000</v>
      </c>
      <c r="I369" s="664">
        <f t="shared" si="2"/>
        <v>16690910</v>
      </c>
      <c r="J369" s="664">
        <f t="shared" si="3"/>
        <v>18360000</v>
      </c>
      <c r="K369" s="661"/>
    </row>
    <row r="370" spans="1:11" ht="18.75" customHeight="1">
      <c r="A370" s="661"/>
      <c r="B370" s="657" t="s">
        <v>11096</v>
      </c>
      <c r="C370" s="657" t="s">
        <v>11211</v>
      </c>
      <c r="D370" s="663" t="s">
        <v>11252</v>
      </c>
      <c r="E370" s="663" t="s">
        <v>11253</v>
      </c>
      <c r="F370" s="658">
        <v>0.1</v>
      </c>
      <c r="G370" s="658">
        <v>0</v>
      </c>
      <c r="H370" s="664">
        <v>27675000</v>
      </c>
      <c r="I370" s="664">
        <f t="shared" si="2"/>
        <v>25159090</v>
      </c>
      <c r="J370" s="664">
        <f t="shared" si="3"/>
        <v>27675000</v>
      </c>
      <c r="K370" s="661"/>
    </row>
    <row r="371" spans="1:11" ht="18.75" customHeight="1">
      <c r="A371" s="661"/>
      <c r="B371" s="657" t="s">
        <v>11096</v>
      </c>
      <c r="C371" s="657" t="s">
        <v>11211</v>
      </c>
      <c r="D371" s="663" t="s">
        <v>11254</v>
      </c>
      <c r="E371" s="663" t="s">
        <v>11255</v>
      </c>
      <c r="F371" s="658">
        <v>0.1</v>
      </c>
      <c r="G371" s="658">
        <v>0</v>
      </c>
      <c r="H371" s="664">
        <v>9288000</v>
      </c>
      <c r="I371" s="664">
        <f t="shared" si="2"/>
        <v>8443640</v>
      </c>
      <c r="J371" s="664">
        <f t="shared" si="3"/>
        <v>9288000</v>
      </c>
      <c r="K371" s="661"/>
    </row>
    <row r="372" spans="1:11" ht="18.75" customHeight="1">
      <c r="A372" s="661"/>
      <c r="B372" s="657" t="s">
        <v>11096</v>
      </c>
      <c r="C372" s="657" t="s">
        <v>11211</v>
      </c>
      <c r="D372" s="663" t="s">
        <v>1773</v>
      </c>
      <c r="E372" s="663" t="s">
        <v>1774</v>
      </c>
      <c r="F372" s="658">
        <v>0.1</v>
      </c>
      <c r="G372" s="658">
        <v>0</v>
      </c>
      <c r="H372" s="664">
        <v>8801030</v>
      </c>
      <c r="I372" s="664">
        <f t="shared" si="2"/>
        <v>8000940</v>
      </c>
      <c r="J372" s="664">
        <f t="shared" si="3"/>
        <v>8801030</v>
      </c>
      <c r="K372" s="661"/>
    </row>
    <row r="373" spans="1:11" ht="18.75" customHeight="1">
      <c r="A373" s="661"/>
      <c r="B373" s="657" t="s">
        <v>11096</v>
      </c>
      <c r="C373" s="657" t="s">
        <v>11211</v>
      </c>
      <c r="D373" s="663" t="s">
        <v>11256</v>
      </c>
      <c r="E373" s="663" t="s">
        <v>11257</v>
      </c>
      <c r="F373" s="658">
        <v>0.1</v>
      </c>
      <c r="G373" s="658">
        <v>0</v>
      </c>
      <c r="H373" s="664">
        <v>10064180</v>
      </c>
      <c r="I373" s="664">
        <f t="shared" si="2"/>
        <v>9149250</v>
      </c>
      <c r="J373" s="664">
        <f t="shared" si="3"/>
        <v>10064180</v>
      </c>
      <c r="K373" s="661"/>
    </row>
    <row r="374" spans="1:11" ht="18.75" customHeight="1">
      <c r="A374" s="661"/>
      <c r="B374" s="657" t="s">
        <v>11096</v>
      </c>
      <c r="C374" s="657" t="s">
        <v>11211</v>
      </c>
      <c r="D374" s="663" t="s">
        <v>1787</v>
      </c>
      <c r="E374" s="663" t="s">
        <v>1788</v>
      </c>
      <c r="F374" s="658">
        <v>0.1</v>
      </c>
      <c r="G374" s="658">
        <v>0</v>
      </c>
      <c r="H374" s="664">
        <v>11795000</v>
      </c>
      <c r="I374" s="664">
        <f t="shared" si="2"/>
        <v>10722730</v>
      </c>
      <c r="J374" s="664">
        <f t="shared" si="3"/>
        <v>11795000</v>
      </c>
      <c r="K374" s="661"/>
    </row>
    <row r="375" spans="1:11" ht="18.75" customHeight="1">
      <c r="A375" s="661"/>
      <c r="B375" s="657" t="s">
        <v>11096</v>
      </c>
      <c r="C375" s="657" t="s">
        <v>11211</v>
      </c>
      <c r="D375" s="663" t="s">
        <v>1783</v>
      </c>
      <c r="E375" s="663" t="s">
        <v>1784</v>
      </c>
      <c r="F375" s="658">
        <v>0.1</v>
      </c>
      <c r="G375" s="658">
        <v>0</v>
      </c>
      <c r="H375" s="664">
        <v>11795000</v>
      </c>
      <c r="I375" s="664">
        <f t="shared" si="2"/>
        <v>10722730</v>
      </c>
      <c r="J375" s="664">
        <f t="shared" si="3"/>
        <v>11795000</v>
      </c>
      <c r="K375" s="661"/>
    </row>
    <row r="376" spans="1:11" ht="18.75" customHeight="1">
      <c r="A376" s="661"/>
      <c r="B376" s="657" t="s">
        <v>11096</v>
      </c>
      <c r="C376" s="657" t="s">
        <v>11211</v>
      </c>
      <c r="D376" s="663" t="s">
        <v>11258</v>
      </c>
      <c r="E376" s="663" t="s">
        <v>11259</v>
      </c>
      <c r="F376" s="658">
        <v>0.1</v>
      </c>
      <c r="G376" s="658">
        <v>0</v>
      </c>
      <c r="H376" s="664">
        <v>5184000</v>
      </c>
      <c r="I376" s="664">
        <f t="shared" si="2"/>
        <v>4712730</v>
      </c>
      <c r="J376" s="664">
        <f t="shared" si="3"/>
        <v>5184000</v>
      </c>
      <c r="K376" s="661"/>
    </row>
    <row r="377" spans="1:11" ht="18.75" customHeight="1">
      <c r="A377" s="661"/>
      <c r="B377" s="657" t="s">
        <v>11096</v>
      </c>
      <c r="C377" s="657" t="s">
        <v>11211</v>
      </c>
      <c r="D377" s="663" t="s">
        <v>1799</v>
      </c>
      <c r="E377" s="663" t="s">
        <v>1800</v>
      </c>
      <c r="F377" s="658">
        <v>0.1</v>
      </c>
      <c r="G377" s="658">
        <v>0</v>
      </c>
      <c r="H377" s="664">
        <v>5198040</v>
      </c>
      <c r="I377" s="664">
        <f t="shared" si="2"/>
        <v>4725490</v>
      </c>
      <c r="J377" s="664">
        <f t="shared" si="3"/>
        <v>5198040</v>
      </c>
      <c r="K377" s="661"/>
    </row>
    <row r="378" spans="1:11" ht="18.75" customHeight="1">
      <c r="A378" s="661"/>
      <c r="B378" s="657" t="s">
        <v>11096</v>
      </c>
      <c r="C378" s="657" t="s">
        <v>11211</v>
      </c>
      <c r="D378" s="663" t="s">
        <v>1804</v>
      </c>
      <c r="E378" s="663" t="s">
        <v>1805</v>
      </c>
      <c r="F378" s="658">
        <v>0.1</v>
      </c>
      <c r="G378" s="658">
        <v>0</v>
      </c>
      <c r="H378" s="664">
        <v>4771980</v>
      </c>
      <c r="I378" s="664">
        <f t="shared" si="2"/>
        <v>4338160</v>
      </c>
      <c r="J378" s="664">
        <f t="shared" si="3"/>
        <v>4771980</v>
      </c>
      <c r="K378" s="661"/>
    </row>
    <row r="379" spans="1:11" ht="18.75" customHeight="1">
      <c r="A379" s="661"/>
      <c r="B379" s="657" t="s">
        <v>11096</v>
      </c>
      <c r="C379" s="657" t="s">
        <v>11211</v>
      </c>
      <c r="D379" s="663" t="s">
        <v>1808</v>
      </c>
      <c r="E379" s="663" t="s">
        <v>1809</v>
      </c>
      <c r="F379" s="658">
        <v>0.1</v>
      </c>
      <c r="G379" s="658">
        <v>0</v>
      </c>
      <c r="H379" s="664">
        <v>5461020</v>
      </c>
      <c r="I379" s="664">
        <f t="shared" si="2"/>
        <v>4964560</v>
      </c>
      <c r="J379" s="664">
        <f t="shared" si="3"/>
        <v>5461020</v>
      </c>
      <c r="K379" s="661"/>
    </row>
    <row r="380" spans="1:11" ht="18.75" customHeight="1">
      <c r="A380" s="661"/>
      <c r="B380" s="657" t="s">
        <v>11096</v>
      </c>
      <c r="C380" s="657" t="s">
        <v>11211</v>
      </c>
      <c r="D380" s="663" t="s">
        <v>1817</v>
      </c>
      <c r="E380" s="663" t="s">
        <v>1818</v>
      </c>
      <c r="F380" s="658">
        <v>0.1</v>
      </c>
      <c r="G380" s="658">
        <v>0</v>
      </c>
      <c r="H380" s="664">
        <v>22544030</v>
      </c>
      <c r="I380" s="664">
        <f t="shared" si="2"/>
        <v>20494570</v>
      </c>
      <c r="J380" s="664">
        <f t="shared" si="3"/>
        <v>22544030</v>
      </c>
      <c r="K380" s="661"/>
    </row>
    <row r="381" spans="1:11" ht="18.75" customHeight="1">
      <c r="A381" s="661"/>
      <c r="B381" s="657" t="s">
        <v>11096</v>
      </c>
      <c r="C381" s="657" t="s">
        <v>11211</v>
      </c>
      <c r="D381" s="663" t="s">
        <v>11260</v>
      </c>
      <c r="E381" s="663" t="s">
        <v>11261</v>
      </c>
      <c r="F381" s="658">
        <v>0.1</v>
      </c>
      <c r="G381" s="658">
        <v>0</v>
      </c>
      <c r="H381" s="664">
        <v>28080000</v>
      </c>
      <c r="I381" s="664">
        <f t="shared" si="2"/>
        <v>25527270</v>
      </c>
      <c r="J381" s="664">
        <f t="shared" si="3"/>
        <v>28080000</v>
      </c>
      <c r="K381" s="661"/>
    </row>
    <row r="382" spans="1:11" ht="18.75" customHeight="1">
      <c r="A382" s="661"/>
      <c r="B382" s="657" t="s">
        <v>11096</v>
      </c>
      <c r="C382" s="657" t="s">
        <v>11211</v>
      </c>
      <c r="D382" s="663" t="s">
        <v>11262</v>
      </c>
      <c r="E382" s="663" t="s">
        <v>11263</v>
      </c>
      <c r="F382" s="658">
        <v>0.1</v>
      </c>
      <c r="G382" s="658">
        <v>0</v>
      </c>
      <c r="H382" s="664">
        <v>26038800</v>
      </c>
      <c r="I382" s="664">
        <f t="shared" si="2"/>
        <v>23671640</v>
      </c>
      <c r="J382" s="664">
        <f t="shared" si="3"/>
        <v>26038800</v>
      </c>
      <c r="K382" s="661"/>
    </row>
    <row r="383" spans="1:11" ht="18.75" customHeight="1">
      <c r="A383" s="661"/>
      <c r="B383" s="657" t="s">
        <v>11096</v>
      </c>
      <c r="C383" s="657" t="s">
        <v>11211</v>
      </c>
      <c r="D383" s="663" t="s">
        <v>11264</v>
      </c>
      <c r="E383" s="663" t="s">
        <v>11265</v>
      </c>
      <c r="F383" s="658">
        <v>0.1</v>
      </c>
      <c r="G383" s="658">
        <v>0</v>
      </c>
      <c r="H383" s="664">
        <v>27769090</v>
      </c>
      <c r="I383" s="664">
        <f t="shared" si="2"/>
        <v>25244630</v>
      </c>
      <c r="J383" s="664">
        <f t="shared" si="3"/>
        <v>27769090</v>
      </c>
      <c r="K383" s="661"/>
    </row>
    <row r="384" spans="1:11" ht="18.75" customHeight="1">
      <c r="A384" s="661"/>
      <c r="B384" s="657" t="s">
        <v>11096</v>
      </c>
      <c r="C384" s="657" t="s">
        <v>11211</v>
      </c>
      <c r="D384" s="663" t="s">
        <v>11266</v>
      </c>
      <c r="E384" s="663" t="s">
        <v>11267</v>
      </c>
      <c r="F384" s="658">
        <v>0.1</v>
      </c>
      <c r="G384" s="658">
        <v>0</v>
      </c>
      <c r="H384" s="664">
        <v>77868000</v>
      </c>
      <c r="I384" s="664">
        <f t="shared" si="2"/>
        <v>70789090</v>
      </c>
      <c r="J384" s="664">
        <f t="shared" si="3"/>
        <v>77868000</v>
      </c>
      <c r="K384" s="661"/>
    </row>
    <row r="385" spans="1:11" ht="18.75" customHeight="1">
      <c r="A385" s="661"/>
      <c r="B385" s="657" t="s">
        <v>11096</v>
      </c>
      <c r="C385" s="657" t="s">
        <v>11211</v>
      </c>
      <c r="D385" s="663" t="s">
        <v>11268</v>
      </c>
      <c r="E385" s="663" t="s">
        <v>11269</v>
      </c>
      <c r="F385" s="658">
        <v>0.1</v>
      </c>
      <c r="G385" s="658">
        <v>0</v>
      </c>
      <c r="H385" s="664">
        <v>5076000</v>
      </c>
      <c r="I385" s="664">
        <f t="shared" si="2"/>
        <v>4614550</v>
      </c>
      <c r="J385" s="664">
        <f t="shared" si="3"/>
        <v>5076000</v>
      </c>
      <c r="K385" s="661"/>
    </row>
    <row r="386" spans="1:11" ht="18.75" customHeight="1">
      <c r="A386" s="661"/>
      <c r="B386" s="657" t="s">
        <v>11096</v>
      </c>
      <c r="C386" s="657" t="s">
        <v>11211</v>
      </c>
      <c r="D386" s="663" t="s">
        <v>1815</v>
      </c>
      <c r="E386" s="663" t="s">
        <v>1816</v>
      </c>
      <c r="F386" s="658">
        <v>0.1</v>
      </c>
      <c r="G386" s="658">
        <v>0</v>
      </c>
      <c r="H386" s="664">
        <v>2348030</v>
      </c>
      <c r="I386" s="664">
        <f t="shared" si="2"/>
        <v>2134570</v>
      </c>
      <c r="J386" s="664">
        <f t="shared" si="3"/>
        <v>2348030</v>
      </c>
      <c r="K386" s="661"/>
    </row>
    <row r="387" spans="1:11" ht="18.75" customHeight="1">
      <c r="A387" s="661"/>
      <c r="B387" s="657" t="s">
        <v>11096</v>
      </c>
      <c r="C387" s="657" t="s">
        <v>11211</v>
      </c>
      <c r="D387" s="663" t="s">
        <v>1793</v>
      </c>
      <c r="E387" s="663" t="s">
        <v>1794</v>
      </c>
      <c r="F387" s="658">
        <v>0.1</v>
      </c>
      <c r="G387" s="658">
        <v>0</v>
      </c>
      <c r="H387" s="664">
        <v>3818020</v>
      </c>
      <c r="I387" s="664">
        <f t="shared" si="2"/>
        <v>3470930</v>
      </c>
      <c r="J387" s="664">
        <f t="shared" si="3"/>
        <v>3818020</v>
      </c>
      <c r="K387" s="661"/>
    </row>
    <row r="388" spans="1:11" ht="18.75" customHeight="1">
      <c r="A388" s="661"/>
      <c r="B388" s="657" t="s">
        <v>11096</v>
      </c>
      <c r="C388" s="657" t="s">
        <v>11211</v>
      </c>
      <c r="D388" s="663" t="s">
        <v>1795</v>
      </c>
      <c r="E388" s="663" t="s">
        <v>1796</v>
      </c>
      <c r="F388" s="658">
        <v>0.1</v>
      </c>
      <c r="G388" s="658">
        <v>0</v>
      </c>
      <c r="H388" s="664">
        <v>3564970</v>
      </c>
      <c r="I388" s="664">
        <f t="shared" si="2"/>
        <v>3240880</v>
      </c>
      <c r="J388" s="664">
        <f t="shared" si="3"/>
        <v>3564970</v>
      </c>
      <c r="K388" s="661"/>
    </row>
    <row r="389" spans="1:11" ht="18.75" customHeight="1">
      <c r="A389" s="661"/>
      <c r="B389" s="657" t="s">
        <v>11096</v>
      </c>
      <c r="C389" s="657" t="s">
        <v>11211</v>
      </c>
      <c r="D389" s="663" t="s">
        <v>1822</v>
      </c>
      <c r="E389" s="663" t="s">
        <v>11270</v>
      </c>
      <c r="F389" s="658">
        <v>0.1</v>
      </c>
      <c r="G389" s="658">
        <v>0</v>
      </c>
      <c r="H389" s="664">
        <v>37419950</v>
      </c>
      <c r="I389" s="664">
        <f t="shared" si="2"/>
        <v>34018140</v>
      </c>
      <c r="J389" s="664">
        <f t="shared" si="3"/>
        <v>37419950</v>
      </c>
      <c r="K389" s="661"/>
    </row>
    <row r="390" spans="1:11" ht="18.75" customHeight="1">
      <c r="A390" s="661"/>
      <c r="B390" s="657" t="s">
        <v>11096</v>
      </c>
      <c r="C390" s="657" t="s">
        <v>11271</v>
      </c>
      <c r="D390" s="663" t="s">
        <v>11272</v>
      </c>
      <c r="E390" s="663" t="s">
        <v>11273</v>
      </c>
      <c r="F390" s="658">
        <v>0.1</v>
      </c>
      <c r="G390" s="658">
        <v>0</v>
      </c>
      <c r="H390" s="664">
        <v>1784050</v>
      </c>
      <c r="I390" s="664">
        <f t="shared" si="2"/>
        <v>1621860</v>
      </c>
      <c r="J390" s="664">
        <f t="shared" si="3"/>
        <v>1784050</v>
      </c>
      <c r="K390" s="661"/>
    </row>
    <row r="391" spans="1:11" ht="18.75" customHeight="1">
      <c r="A391" s="661"/>
      <c r="B391" s="657" t="s">
        <v>11096</v>
      </c>
      <c r="C391" s="657" t="s">
        <v>11271</v>
      </c>
      <c r="D391" s="663" t="s">
        <v>1692</v>
      </c>
      <c r="E391" s="663" t="s">
        <v>1693</v>
      </c>
      <c r="F391" s="658">
        <v>0.1</v>
      </c>
      <c r="G391" s="658">
        <v>0</v>
      </c>
      <c r="H391" s="664">
        <v>2160000</v>
      </c>
      <c r="I391" s="664">
        <f t="shared" si="2"/>
        <v>1963640</v>
      </c>
      <c r="J391" s="664">
        <f t="shared" si="3"/>
        <v>2160000</v>
      </c>
      <c r="K391" s="661"/>
    </row>
    <row r="392" spans="1:11" ht="18.75" customHeight="1">
      <c r="A392" s="661"/>
      <c r="B392" s="657" t="s">
        <v>11096</v>
      </c>
      <c r="C392" s="657" t="s">
        <v>11271</v>
      </c>
      <c r="D392" s="663" t="s">
        <v>1697</v>
      </c>
      <c r="E392" s="663" t="s">
        <v>1698</v>
      </c>
      <c r="F392" s="658">
        <v>0.1</v>
      </c>
      <c r="G392" s="658">
        <v>0</v>
      </c>
      <c r="H392" s="664">
        <v>2909950</v>
      </c>
      <c r="I392" s="664">
        <f t="shared" si="2"/>
        <v>2645410</v>
      </c>
      <c r="J392" s="664">
        <f t="shared" si="3"/>
        <v>2909950</v>
      </c>
      <c r="K392" s="661"/>
    </row>
    <row r="393" spans="1:11" ht="18.75" customHeight="1">
      <c r="A393" s="661"/>
      <c r="B393" s="657" t="s">
        <v>11096</v>
      </c>
      <c r="C393" s="657" t="s">
        <v>11271</v>
      </c>
      <c r="D393" s="663" t="s">
        <v>1708</v>
      </c>
      <c r="E393" s="663" t="s">
        <v>1709</v>
      </c>
      <c r="F393" s="658">
        <v>0.1</v>
      </c>
      <c r="G393" s="658">
        <v>0</v>
      </c>
      <c r="H393" s="664">
        <v>4581040</v>
      </c>
      <c r="I393" s="664">
        <f t="shared" si="2"/>
        <v>4164580</v>
      </c>
      <c r="J393" s="664">
        <f t="shared" si="3"/>
        <v>4581040</v>
      </c>
      <c r="K393" s="661"/>
    </row>
    <row r="394" spans="1:11" ht="18.75" customHeight="1">
      <c r="A394" s="661"/>
      <c r="B394" s="657" t="s">
        <v>11096</v>
      </c>
      <c r="C394" s="657" t="s">
        <v>11271</v>
      </c>
      <c r="D394" s="663" t="s">
        <v>1710</v>
      </c>
      <c r="E394" s="663" t="s">
        <v>1711</v>
      </c>
      <c r="F394" s="658">
        <v>0.1</v>
      </c>
      <c r="G394" s="658">
        <v>0</v>
      </c>
      <c r="H394" s="664">
        <v>4080020</v>
      </c>
      <c r="I394" s="664">
        <f t="shared" si="2"/>
        <v>3709110</v>
      </c>
      <c r="J394" s="664">
        <f t="shared" si="3"/>
        <v>4080020</v>
      </c>
      <c r="K394" s="661"/>
    </row>
    <row r="395" spans="1:11" ht="18.75" customHeight="1">
      <c r="A395" s="661"/>
      <c r="B395" s="657" t="s">
        <v>11096</v>
      </c>
      <c r="C395" s="657" t="s">
        <v>11271</v>
      </c>
      <c r="D395" s="663" t="s">
        <v>1712</v>
      </c>
      <c r="E395" s="663" t="s">
        <v>1713</v>
      </c>
      <c r="F395" s="658">
        <v>0.1</v>
      </c>
      <c r="G395" s="658">
        <v>0</v>
      </c>
      <c r="H395" s="664">
        <v>4242020</v>
      </c>
      <c r="I395" s="664">
        <f t="shared" si="2"/>
        <v>3856380</v>
      </c>
      <c r="J395" s="664">
        <f t="shared" si="3"/>
        <v>4242020</v>
      </c>
      <c r="K395" s="661"/>
    </row>
    <row r="396" spans="1:11" ht="18.75" customHeight="1">
      <c r="A396" s="661"/>
      <c r="B396" s="657" t="s">
        <v>11096</v>
      </c>
      <c r="C396" s="657" t="s">
        <v>11271</v>
      </c>
      <c r="D396" s="663" t="s">
        <v>1701</v>
      </c>
      <c r="E396" s="663" t="s">
        <v>1702</v>
      </c>
      <c r="F396" s="658">
        <v>0.1</v>
      </c>
      <c r="G396" s="658">
        <v>0</v>
      </c>
      <c r="H396" s="664">
        <v>2040010</v>
      </c>
      <c r="I396" s="664">
        <f t="shared" si="2"/>
        <v>1854550</v>
      </c>
      <c r="J396" s="664">
        <f t="shared" si="3"/>
        <v>2040010</v>
      </c>
      <c r="K396" s="661"/>
    </row>
    <row r="397" spans="1:11" ht="18.75" customHeight="1">
      <c r="A397" s="661"/>
      <c r="B397" s="657" t="s">
        <v>11096</v>
      </c>
      <c r="C397" s="657" t="s">
        <v>11271</v>
      </c>
      <c r="D397" s="663" t="s">
        <v>11274</v>
      </c>
      <c r="E397" s="663" t="s">
        <v>11275</v>
      </c>
      <c r="F397" s="658">
        <v>0.1</v>
      </c>
      <c r="G397" s="658">
        <v>0</v>
      </c>
      <c r="H397" s="664">
        <v>4104000</v>
      </c>
      <c r="I397" s="664">
        <f t="shared" si="2"/>
        <v>3730910</v>
      </c>
      <c r="J397" s="664">
        <f t="shared" si="3"/>
        <v>4104000</v>
      </c>
      <c r="K397" s="661"/>
    </row>
    <row r="398" spans="1:11" ht="18.75" customHeight="1">
      <c r="A398" s="661"/>
      <c r="B398" s="657" t="s">
        <v>11096</v>
      </c>
      <c r="C398" s="657" t="s">
        <v>11271</v>
      </c>
      <c r="D398" s="663" t="s">
        <v>11276</v>
      </c>
      <c r="E398" s="663" t="s">
        <v>11277</v>
      </c>
      <c r="F398" s="658">
        <v>0.1</v>
      </c>
      <c r="G398" s="658">
        <v>0</v>
      </c>
      <c r="H398" s="664">
        <v>896400</v>
      </c>
      <c r="I398" s="664">
        <f t="shared" si="2"/>
        <v>814910</v>
      </c>
      <c r="J398" s="664">
        <f t="shared" si="3"/>
        <v>896400</v>
      </c>
      <c r="K398" s="661"/>
    </row>
    <row r="399" spans="1:11" ht="18.75" customHeight="1">
      <c r="A399" s="661"/>
      <c r="B399" s="657" t="s">
        <v>11096</v>
      </c>
      <c r="C399" s="657" t="s">
        <v>11271</v>
      </c>
      <c r="D399" s="663" t="s">
        <v>1704</v>
      </c>
      <c r="E399" s="663" t="s">
        <v>1705</v>
      </c>
      <c r="F399" s="658">
        <v>0.1</v>
      </c>
      <c r="G399" s="658">
        <v>0</v>
      </c>
      <c r="H399" s="664">
        <v>990040</v>
      </c>
      <c r="I399" s="664">
        <f t="shared" si="2"/>
        <v>900040</v>
      </c>
      <c r="J399" s="664">
        <f t="shared" si="3"/>
        <v>990040</v>
      </c>
      <c r="K399" s="661"/>
    </row>
    <row r="400" spans="1:11" ht="18.75" customHeight="1">
      <c r="A400" s="661"/>
      <c r="B400" s="657" t="s">
        <v>11096</v>
      </c>
      <c r="C400" s="657" t="s">
        <v>11271</v>
      </c>
      <c r="D400" s="663" t="s">
        <v>11278</v>
      </c>
      <c r="E400" s="663" t="s">
        <v>11279</v>
      </c>
      <c r="F400" s="658">
        <v>0.1</v>
      </c>
      <c r="G400" s="658">
        <v>0</v>
      </c>
      <c r="H400" s="664">
        <v>810000</v>
      </c>
      <c r="I400" s="664">
        <f t="shared" si="2"/>
        <v>736360</v>
      </c>
      <c r="J400" s="664">
        <f t="shared" si="3"/>
        <v>810000</v>
      </c>
      <c r="K400" s="661"/>
    </row>
    <row r="401" spans="1:11" ht="18.75" customHeight="1">
      <c r="A401" s="661"/>
      <c r="B401" s="657" t="s">
        <v>11096</v>
      </c>
      <c r="C401" s="657" t="s">
        <v>11271</v>
      </c>
      <c r="D401" s="663" t="s">
        <v>11280</v>
      </c>
      <c r="E401" s="663" t="s">
        <v>11281</v>
      </c>
      <c r="F401" s="658">
        <v>0.1</v>
      </c>
      <c r="G401" s="658">
        <v>0</v>
      </c>
      <c r="H401" s="664">
        <v>1620000</v>
      </c>
      <c r="I401" s="664">
        <f t="shared" si="2"/>
        <v>1472730</v>
      </c>
      <c r="J401" s="664">
        <f t="shared" si="3"/>
        <v>1620000</v>
      </c>
      <c r="K401" s="661"/>
    </row>
    <row r="402" spans="1:11" ht="18.75" customHeight="1">
      <c r="A402" s="661"/>
      <c r="B402" s="657" t="s">
        <v>11096</v>
      </c>
      <c r="C402" s="657" t="s">
        <v>11271</v>
      </c>
      <c r="D402" s="663" t="s">
        <v>1861</v>
      </c>
      <c r="E402" s="663" t="s">
        <v>1862</v>
      </c>
      <c r="F402" s="658">
        <v>0.1</v>
      </c>
      <c r="G402" s="658">
        <v>0</v>
      </c>
      <c r="H402" s="664">
        <v>18700960</v>
      </c>
      <c r="I402" s="664">
        <f t="shared" si="2"/>
        <v>17000870</v>
      </c>
      <c r="J402" s="664">
        <f t="shared" si="3"/>
        <v>18700960</v>
      </c>
      <c r="K402" s="661"/>
    </row>
    <row r="403" spans="1:11" ht="18.75" customHeight="1">
      <c r="A403" s="661"/>
      <c r="B403" s="657" t="s">
        <v>11096</v>
      </c>
      <c r="C403" s="657" t="s">
        <v>11271</v>
      </c>
      <c r="D403" s="663" t="s">
        <v>11282</v>
      </c>
      <c r="E403" s="663" t="s">
        <v>11283</v>
      </c>
      <c r="F403" s="658">
        <v>0.1</v>
      </c>
      <c r="G403" s="658">
        <v>0</v>
      </c>
      <c r="H403" s="664">
        <v>8590910</v>
      </c>
      <c r="I403" s="664">
        <f t="shared" si="2"/>
        <v>7809920</v>
      </c>
      <c r="J403" s="664">
        <f t="shared" si="3"/>
        <v>8590910</v>
      </c>
      <c r="K403" s="661"/>
    </row>
    <row r="404" spans="1:11" ht="18.75" customHeight="1">
      <c r="A404" s="661"/>
      <c r="B404" s="657" t="s">
        <v>11096</v>
      </c>
      <c r="C404" s="657" t="s">
        <v>11271</v>
      </c>
      <c r="D404" s="663" t="s">
        <v>11284</v>
      </c>
      <c r="E404" s="663" t="s">
        <v>11285</v>
      </c>
      <c r="F404" s="658">
        <v>0.1</v>
      </c>
      <c r="G404" s="658">
        <v>0</v>
      </c>
      <c r="H404" s="664">
        <v>5596360</v>
      </c>
      <c r="I404" s="664">
        <f t="shared" si="2"/>
        <v>5087600</v>
      </c>
      <c r="J404" s="664">
        <f t="shared" si="3"/>
        <v>5596360</v>
      </c>
      <c r="K404" s="661"/>
    </row>
    <row r="405" spans="1:11" ht="18.75" customHeight="1">
      <c r="A405" s="661"/>
      <c r="B405" s="657" t="s">
        <v>11096</v>
      </c>
      <c r="C405" s="657" t="s">
        <v>11271</v>
      </c>
      <c r="D405" s="663" t="s">
        <v>11286</v>
      </c>
      <c r="E405" s="663" t="s">
        <v>11287</v>
      </c>
      <c r="F405" s="658">
        <v>0.1</v>
      </c>
      <c r="G405" s="658">
        <v>0</v>
      </c>
      <c r="H405" s="664">
        <v>2732000</v>
      </c>
      <c r="I405" s="664">
        <f t="shared" si="2"/>
        <v>2483640</v>
      </c>
      <c r="J405" s="664">
        <f t="shared" si="3"/>
        <v>2732000</v>
      </c>
      <c r="K405" s="661"/>
    </row>
    <row r="406" spans="1:11" ht="18.75" customHeight="1">
      <c r="A406" s="661"/>
      <c r="B406" s="657" t="s">
        <v>11096</v>
      </c>
      <c r="C406" s="657" t="s">
        <v>11271</v>
      </c>
      <c r="D406" s="663" t="s">
        <v>11288</v>
      </c>
      <c r="E406" s="663" t="s">
        <v>11289</v>
      </c>
      <c r="F406" s="658">
        <v>0.1</v>
      </c>
      <c r="G406" s="658">
        <v>0</v>
      </c>
      <c r="H406" s="664">
        <v>1368360</v>
      </c>
      <c r="I406" s="664">
        <f t="shared" si="2"/>
        <v>1243960</v>
      </c>
      <c r="J406" s="664">
        <f t="shared" si="3"/>
        <v>1368360</v>
      </c>
      <c r="K406" s="661"/>
    </row>
    <row r="407" spans="1:11" ht="18.75" customHeight="1">
      <c r="A407" s="661"/>
      <c r="B407" s="657" t="s">
        <v>11096</v>
      </c>
      <c r="C407" s="657" t="s">
        <v>11271</v>
      </c>
      <c r="D407" s="663" t="s">
        <v>1706</v>
      </c>
      <c r="E407" s="663" t="s">
        <v>1707</v>
      </c>
      <c r="F407" s="658">
        <v>0.1</v>
      </c>
      <c r="G407" s="658">
        <v>0</v>
      </c>
      <c r="H407" s="664">
        <v>1869050</v>
      </c>
      <c r="I407" s="664">
        <f t="shared" si="2"/>
        <v>1699140</v>
      </c>
      <c r="J407" s="664">
        <f t="shared" si="3"/>
        <v>1869050</v>
      </c>
      <c r="K407" s="661"/>
    </row>
    <row r="408" spans="1:11" ht="18.75" customHeight="1">
      <c r="A408" s="661"/>
      <c r="B408" s="657" t="s">
        <v>11096</v>
      </c>
      <c r="C408" s="657" t="s">
        <v>11271</v>
      </c>
      <c r="D408" s="663" t="s">
        <v>11290</v>
      </c>
      <c r="E408" s="663" t="s">
        <v>11291</v>
      </c>
      <c r="F408" s="658">
        <v>0.1</v>
      </c>
      <c r="G408" s="658">
        <v>0</v>
      </c>
      <c r="H408" s="664">
        <v>1587600</v>
      </c>
      <c r="I408" s="664">
        <f t="shared" si="2"/>
        <v>1443270</v>
      </c>
      <c r="J408" s="664">
        <f t="shared" si="3"/>
        <v>1587600</v>
      </c>
      <c r="K408" s="661"/>
    </row>
    <row r="409" spans="1:11" ht="18.75" customHeight="1">
      <c r="A409" s="661"/>
      <c r="B409" s="657" t="s">
        <v>11096</v>
      </c>
      <c r="C409" s="657" t="s">
        <v>11292</v>
      </c>
      <c r="D409" s="663" t="s">
        <v>11293</v>
      </c>
      <c r="E409" s="663" t="s">
        <v>11294</v>
      </c>
      <c r="F409" s="658">
        <v>0.1</v>
      </c>
      <c r="G409" s="658">
        <v>0</v>
      </c>
      <c r="H409" s="664">
        <v>1933200</v>
      </c>
      <c r="I409" s="664">
        <f t="shared" si="2"/>
        <v>1757450</v>
      </c>
      <c r="J409" s="664">
        <f t="shared" si="3"/>
        <v>1933200</v>
      </c>
      <c r="K409" s="661"/>
    </row>
    <row r="410" spans="1:11" ht="18.75" customHeight="1">
      <c r="A410" s="661"/>
      <c r="B410" s="657" t="s">
        <v>11096</v>
      </c>
      <c r="C410" s="657" t="s">
        <v>11292</v>
      </c>
      <c r="D410" s="663" t="s">
        <v>11295</v>
      </c>
      <c r="E410" s="663" t="s">
        <v>11296</v>
      </c>
      <c r="F410" s="658">
        <v>0.1</v>
      </c>
      <c r="G410" s="658">
        <v>0</v>
      </c>
      <c r="H410" s="664">
        <v>1188000</v>
      </c>
      <c r="I410" s="664">
        <f t="shared" si="2"/>
        <v>1080000</v>
      </c>
      <c r="J410" s="664">
        <f t="shared" si="3"/>
        <v>1188000</v>
      </c>
      <c r="K410" s="661"/>
    </row>
    <row r="411" spans="1:11" ht="18.75" customHeight="1">
      <c r="A411" s="661"/>
      <c r="B411" s="657" t="s">
        <v>11096</v>
      </c>
      <c r="C411" s="657" t="s">
        <v>11292</v>
      </c>
      <c r="D411" s="663" t="s">
        <v>1722</v>
      </c>
      <c r="E411" s="663" t="s">
        <v>1723</v>
      </c>
      <c r="F411" s="658">
        <v>0.1</v>
      </c>
      <c r="G411" s="658">
        <v>0</v>
      </c>
      <c r="H411" s="664">
        <v>949970</v>
      </c>
      <c r="I411" s="664">
        <f t="shared" si="2"/>
        <v>863610</v>
      </c>
      <c r="J411" s="664">
        <f t="shared" si="3"/>
        <v>949970</v>
      </c>
      <c r="K411" s="661"/>
    </row>
    <row r="412" spans="1:11" ht="18.75" customHeight="1">
      <c r="A412" s="661"/>
      <c r="B412" s="657" t="s">
        <v>11096</v>
      </c>
      <c r="C412" s="657" t="s">
        <v>11292</v>
      </c>
      <c r="D412" s="663" t="s">
        <v>11297</v>
      </c>
      <c r="E412" s="663" t="s">
        <v>11298</v>
      </c>
      <c r="F412" s="658">
        <v>0.1</v>
      </c>
      <c r="G412" s="658">
        <v>0</v>
      </c>
      <c r="H412" s="664">
        <v>1728000</v>
      </c>
      <c r="I412" s="664">
        <f t="shared" si="2"/>
        <v>1570910</v>
      </c>
      <c r="J412" s="664">
        <f t="shared" si="3"/>
        <v>1728000</v>
      </c>
      <c r="K412" s="661"/>
    </row>
    <row r="413" spans="1:11" ht="18.75" customHeight="1">
      <c r="A413" s="661"/>
      <c r="B413" s="657" t="s">
        <v>11096</v>
      </c>
      <c r="C413" s="657" t="s">
        <v>11292</v>
      </c>
      <c r="D413" s="663" t="s">
        <v>11299</v>
      </c>
      <c r="E413" s="663" t="s">
        <v>11300</v>
      </c>
      <c r="F413" s="658">
        <v>0.1</v>
      </c>
      <c r="G413" s="658">
        <v>0</v>
      </c>
      <c r="H413" s="664">
        <v>1863000</v>
      </c>
      <c r="I413" s="664">
        <f t="shared" si="2"/>
        <v>1693640</v>
      </c>
      <c r="J413" s="664">
        <f t="shared" si="3"/>
        <v>1863000</v>
      </c>
      <c r="K413" s="661"/>
    </row>
    <row r="414" spans="1:11" ht="18.75" customHeight="1">
      <c r="A414" s="661"/>
      <c r="B414" s="657" t="s">
        <v>11096</v>
      </c>
      <c r="C414" s="657" t="s">
        <v>11292</v>
      </c>
      <c r="D414" s="663" t="s">
        <v>1718</v>
      </c>
      <c r="E414" s="663" t="s">
        <v>1719</v>
      </c>
      <c r="F414" s="658">
        <v>0.1</v>
      </c>
      <c r="G414" s="658">
        <v>0</v>
      </c>
      <c r="H414" s="664">
        <v>2044980</v>
      </c>
      <c r="I414" s="664">
        <f t="shared" si="2"/>
        <v>1859070</v>
      </c>
      <c r="J414" s="664">
        <f t="shared" si="3"/>
        <v>2044980</v>
      </c>
      <c r="K414" s="661"/>
    </row>
    <row r="415" spans="1:11" ht="18.75" customHeight="1">
      <c r="A415" s="661"/>
      <c r="B415" s="657" t="s">
        <v>11096</v>
      </c>
      <c r="C415" s="657" t="s">
        <v>11292</v>
      </c>
      <c r="D415" s="663" t="s">
        <v>11301</v>
      </c>
      <c r="E415" s="663" t="s">
        <v>11302</v>
      </c>
      <c r="F415" s="658">
        <v>0.1</v>
      </c>
      <c r="G415" s="658">
        <v>0</v>
      </c>
      <c r="H415" s="664">
        <v>1244900</v>
      </c>
      <c r="I415" s="664">
        <f t="shared" si="2"/>
        <v>1131730</v>
      </c>
      <c r="J415" s="664">
        <f t="shared" si="3"/>
        <v>1244900</v>
      </c>
      <c r="K415" s="661"/>
    </row>
    <row r="416" spans="1:11" ht="18.75" customHeight="1">
      <c r="A416" s="661"/>
      <c r="B416" s="657" t="s">
        <v>11096</v>
      </c>
      <c r="C416" s="657" t="s">
        <v>11292</v>
      </c>
      <c r="D416" s="663" t="s">
        <v>11303</v>
      </c>
      <c r="E416" s="663" t="s">
        <v>11304</v>
      </c>
      <c r="F416" s="658">
        <v>0.1</v>
      </c>
      <c r="G416" s="658">
        <v>0</v>
      </c>
      <c r="H416" s="664">
        <v>924030</v>
      </c>
      <c r="I416" s="664">
        <f t="shared" si="2"/>
        <v>840030</v>
      </c>
      <c r="J416" s="664">
        <f t="shared" si="3"/>
        <v>924030</v>
      </c>
      <c r="K416" s="661"/>
    </row>
    <row r="417" spans="1:11" ht="18.75" customHeight="1">
      <c r="A417" s="661"/>
      <c r="B417" s="657" t="s">
        <v>11096</v>
      </c>
      <c r="C417" s="657" t="s">
        <v>11292</v>
      </c>
      <c r="D417" s="663" t="s">
        <v>11305</v>
      </c>
      <c r="E417" s="663" t="s">
        <v>11306</v>
      </c>
      <c r="F417" s="658">
        <v>0.1</v>
      </c>
      <c r="G417" s="658">
        <v>0</v>
      </c>
      <c r="H417" s="664">
        <v>988200</v>
      </c>
      <c r="I417" s="664">
        <f t="shared" si="2"/>
        <v>898360</v>
      </c>
      <c r="J417" s="664">
        <f t="shared" si="3"/>
        <v>988200</v>
      </c>
      <c r="K417" s="661"/>
    </row>
    <row r="418" spans="1:11" ht="18.75" customHeight="1">
      <c r="A418" s="661"/>
      <c r="B418" s="657" t="s">
        <v>11096</v>
      </c>
      <c r="C418" s="657" t="s">
        <v>11292</v>
      </c>
      <c r="D418" s="663" t="s">
        <v>11307</v>
      </c>
      <c r="E418" s="663" t="s">
        <v>11308</v>
      </c>
      <c r="F418" s="658">
        <v>0.1</v>
      </c>
      <c r="G418" s="658">
        <v>0</v>
      </c>
      <c r="H418" s="664"/>
      <c r="I418" s="664">
        <f t="shared" si="2"/>
        <v>0</v>
      </c>
      <c r="J418" s="664">
        <f t="shared" si="3"/>
        <v>0</v>
      </c>
      <c r="K418" s="661"/>
    </row>
    <row r="419" spans="1:11" ht="18.75" customHeight="1">
      <c r="A419" s="661"/>
      <c r="B419" s="657" t="s">
        <v>11096</v>
      </c>
      <c r="C419" s="657" t="s">
        <v>11292</v>
      </c>
      <c r="D419" s="663" t="s">
        <v>11309</v>
      </c>
      <c r="E419" s="663" t="s">
        <v>11310</v>
      </c>
      <c r="F419" s="658">
        <v>0.1</v>
      </c>
      <c r="G419" s="658">
        <v>0</v>
      </c>
      <c r="H419" s="664">
        <v>862460</v>
      </c>
      <c r="I419" s="664">
        <f t="shared" si="2"/>
        <v>784050</v>
      </c>
      <c r="J419" s="664">
        <f t="shared" si="3"/>
        <v>862460</v>
      </c>
      <c r="K419" s="661"/>
    </row>
    <row r="420" spans="1:11" ht="18.75" customHeight="1">
      <c r="A420" s="661"/>
      <c r="B420" s="657" t="s">
        <v>11096</v>
      </c>
      <c r="C420" s="657" t="s">
        <v>11292</v>
      </c>
      <c r="D420" s="663" t="s">
        <v>11311</v>
      </c>
      <c r="E420" s="663" t="s">
        <v>11312</v>
      </c>
      <c r="F420" s="658">
        <v>0.1</v>
      </c>
      <c r="G420" s="658">
        <v>0</v>
      </c>
      <c r="H420" s="664">
        <v>1124180</v>
      </c>
      <c r="I420" s="664">
        <f t="shared" si="2"/>
        <v>1021980</v>
      </c>
      <c r="J420" s="664">
        <f t="shared" si="3"/>
        <v>1124180</v>
      </c>
      <c r="K420" s="661"/>
    </row>
    <row r="421" spans="1:11" ht="18.75" customHeight="1">
      <c r="A421" s="661"/>
      <c r="B421" s="657" t="s">
        <v>11313</v>
      </c>
      <c r="C421" s="657" t="s">
        <v>11314</v>
      </c>
      <c r="D421" s="663" t="s">
        <v>2079</v>
      </c>
      <c r="E421" s="663" t="s">
        <v>2080</v>
      </c>
      <c r="F421" s="658">
        <v>0.1</v>
      </c>
      <c r="G421" s="658">
        <v>0</v>
      </c>
      <c r="H421" s="664">
        <v>60000</v>
      </c>
      <c r="I421" s="664">
        <f t="shared" si="2"/>
        <v>54550</v>
      </c>
      <c r="J421" s="664">
        <f t="shared" si="3"/>
        <v>60000</v>
      </c>
      <c r="K421" s="661"/>
    </row>
    <row r="422" spans="1:11" ht="18.75" customHeight="1">
      <c r="A422" s="661"/>
      <c r="B422" s="657" t="s">
        <v>11313</v>
      </c>
      <c r="C422" s="657" t="s">
        <v>11314</v>
      </c>
      <c r="D422" s="663" t="s">
        <v>2081</v>
      </c>
      <c r="E422" s="663" t="s">
        <v>2082</v>
      </c>
      <c r="F422" s="658">
        <v>0.1</v>
      </c>
      <c r="G422" s="658">
        <v>0</v>
      </c>
      <c r="H422" s="664">
        <v>60000</v>
      </c>
      <c r="I422" s="664">
        <f t="shared" si="2"/>
        <v>54550</v>
      </c>
      <c r="J422" s="664">
        <f t="shared" si="3"/>
        <v>60000</v>
      </c>
      <c r="K422" s="661"/>
    </row>
    <row r="423" spans="1:11" ht="18.75" customHeight="1">
      <c r="A423" s="661"/>
      <c r="B423" s="657" t="s">
        <v>11313</v>
      </c>
      <c r="C423" s="657" t="s">
        <v>11314</v>
      </c>
      <c r="D423" s="663" t="s">
        <v>2083</v>
      </c>
      <c r="E423" s="663" t="s">
        <v>2084</v>
      </c>
      <c r="F423" s="658">
        <v>0.1</v>
      </c>
      <c r="G423" s="658">
        <v>0</v>
      </c>
      <c r="H423" s="664">
        <v>60000</v>
      </c>
      <c r="I423" s="664">
        <f t="shared" si="2"/>
        <v>54550</v>
      </c>
      <c r="J423" s="664">
        <f t="shared" si="3"/>
        <v>60000</v>
      </c>
      <c r="K423" s="661"/>
    </row>
    <row r="424" spans="1:11" ht="18.75" customHeight="1">
      <c r="A424" s="661"/>
      <c r="B424" s="657" t="s">
        <v>11313</v>
      </c>
      <c r="C424" s="657" t="s">
        <v>11314</v>
      </c>
      <c r="D424" s="663" t="s">
        <v>11315</v>
      </c>
      <c r="E424" s="663" t="s">
        <v>11316</v>
      </c>
      <c r="F424" s="658">
        <v>0.1</v>
      </c>
      <c r="G424" s="658">
        <v>0</v>
      </c>
      <c r="H424" s="664"/>
      <c r="I424" s="664">
        <f t="shared" si="2"/>
        <v>0</v>
      </c>
      <c r="J424" s="664">
        <f t="shared" si="3"/>
        <v>0</v>
      </c>
      <c r="K424" s="661"/>
    </row>
    <row r="425" spans="1:11" ht="18.75" customHeight="1">
      <c r="A425" s="661"/>
      <c r="B425" s="657" t="s">
        <v>11313</v>
      </c>
      <c r="C425" s="657" t="s">
        <v>11314</v>
      </c>
      <c r="D425" s="663" t="s">
        <v>2123</v>
      </c>
      <c r="E425" s="663" t="s">
        <v>2124</v>
      </c>
      <c r="F425" s="658">
        <v>0.1</v>
      </c>
      <c r="G425" s="658">
        <v>0</v>
      </c>
      <c r="H425" s="664">
        <v>41030</v>
      </c>
      <c r="I425" s="664">
        <f t="shared" si="2"/>
        <v>37300</v>
      </c>
      <c r="J425" s="664">
        <f t="shared" si="3"/>
        <v>41030</v>
      </c>
      <c r="K425" s="661"/>
    </row>
    <row r="426" spans="1:11" ht="18.75" customHeight="1">
      <c r="A426" s="661"/>
      <c r="B426" s="657" t="s">
        <v>11313</v>
      </c>
      <c r="C426" s="657" t="s">
        <v>11314</v>
      </c>
      <c r="D426" s="663" t="s">
        <v>1779</v>
      </c>
      <c r="E426" s="663" t="s">
        <v>1780</v>
      </c>
      <c r="F426" s="658">
        <v>0.1</v>
      </c>
      <c r="G426" s="658">
        <v>0</v>
      </c>
      <c r="H426" s="664">
        <v>74030</v>
      </c>
      <c r="I426" s="664">
        <f t="shared" si="2"/>
        <v>67300</v>
      </c>
      <c r="J426" s="664">
        <f t="shared" si="3"/>
        <v>74030</v>
      </c>
      <c r="K426" s="661"/>
    </row>
    <row r="427" spans="1:11" ht="18.75" customHeight="1">
      <c r="A427" s="661"/>
      <c r="B427" s="657" t="s">
        <v>11313</v>
      </c>
      <c r="C427" s="657" t="s">
        <v>11314</v>
      </c>
      <c r="D427" s="663" t="s">
        <v>2183</v>
      </c>
      <c r="E427" s="663" t="s">
        <v>2184</v>
      </c>
      <c r="F427" s="658">
        <v>0.1</v>
      </c>
      <c r="G427" s="658">
        <v>0</v>
      </c>
      <c r="H427" s="664">
        <v>409500</v>
      </c>
      <c r="I427" s="664">
        <f t="shared" si="2"/>
        <v>372270</v>
      </c>
      <c r="J427" s="664">
        <f t="shared" si="3"/>
        <v>409500</v>
      </c>
      <c r="K427" s="661"/>
    </row>
    <row r="428" spans="1:11" ht="18.75" customHeight="1">
      <c r="A428" s="661"/>
      <c r="B428" s="657" t="s">
        <v>11313</v>
      </c>
      <c r="C428" s="657" t="s">
        <v>11314</v>
      </c>
      <c r="D428" s="663" t="s">
        <v>11317</v>
      </c>
      <c r="E428" s="663" t="s">
        <v>11318</v>
      </c>
      <c r="F428" s="658">
        <v>0.1</v>
      </c>
      <c r="G428" s="658">
        <v>0</v>
      </c>
      <c r="H428" s="664">
        <v>12518000</v>
      </c>
      <c r="I428" s="664">
        <f t="shared" si="2"/>
        <v>11380000</v>
      </c>
      <c r="J428" s="664">
        <f t="shared" si="3"/>
        <v>12518000</v>
      </c>
      <c r="K428" s="661"/>
    </row>
    <row r="429" spans="1:11" ht="18.75" customHeight="1">
      <c r="A429" s="661"/>
      <c r="B429" s="657" t="s">
        <v>11313</v>
      </c>
      <c r="C429" s="657" t="s">
        <v>11314</v>
      </c>
      <c r="D429" s="663" t="s">
        <v>1983</v>
      </c>
      <c r="E429" s="663" t="s">
        <v>1984</v>
      </c>
      <c r="F429" s="658">
        <v>0.1</v>
      </c>
      <c r="G429" s="658">
        <v>0</v>
      </c>
      <c r="H429" s="664">
        <v>127500</v>
      </c>
      <c r="I429" s="664">
        <f t="shared" si="2"/>
        <v>115910</v>
      </c>
      <c r="J429" s="664">
        <f t="shared" si="3"/>
        <v>127500</v>
      </c>
      <c r="K429" s="661"/>
    </row>
    <row r="430" spans="1:11" ht="18.75" customHeight="1">
      <c r="A430" s="661"/>
      <c r="B430" s="657" t="s">
        <v>11313</v>
      </c>
      <c r="C430" s="657" t="s">
        <v>11314</v>
      </c>
      <c r="D430" s="663" t="s">
        <v>2119</v>
      </c>
      <c r="E430" s="663" t="s">
        <v>2120</v>
      </c>
      <c r="F430" s="658">
        <v>0.1</v>
      </c>
      <c r="G430" s="658">
        <v>0</v>
      </c>
      <c r="H430" s="664">
        <v>25960</v>
      </c>
      <c r="I430" s="664">
        <f t="shared" si="2"/>
        <v>23600</v>
      </c>
      <c r="J430" s="664">
        <f t="shared" si="3"/>
        <v>25960</v>
      </c>
      <c r="K430" s="661"/>
    </row>
    <row r="431" spans="1:11" ht="18.75" customHeight="1">
      <c r="A431" s="661"/>
      <c r="B431" s="657" t="s">
        <v>11313</v>
      </c>
      <c r="C431" s="657" t="s">
        <v>11314</v>
      </c>
      <c r="D431" s="663" t="s">
        <v>2000</v>
      </c>
      <c r="E431" s="663" t="s">
        <v>2001</v>
      </c>
      <c r="F431" s="658">
        <v>0.1</v>
      </c>
      <c r="G431" s="658">
        <v>0</v>
      </c>
      <c r="H431" s="664">
        <v>410200</v>
      </c>
      <c r="I431" s="664">
        <f t="shared" si="2"/>
        <v>372910</v>
      </c>
      <c r="J431" s="664">
        <f t="shared" si="3"/>
        <v>410200</v>
      </c>
      <c r="K431" s="661"/>
    </row>
    <row r="432" spans="1:11" ht="18.75" customHeight="1">
      <c r="A432" s="661"/>
      <c r="B432" s="657" t="s">
        <v>11313</v>
      </c>
      <c r="C432" s="657" t="s">
        <v>11314</v>
      </c>
      <c r="D432" s="663" t="s">
        <v>1901</v>
      </c>
      <c r="E432" s="663" t="s">
        <v>1902</v>
      </c>
      <c r="F432" s="658">
        <v>0.1</v>
      </c>
      <c r="G432" s="658">
        <v>0</v>
      </c>
      <c r="H432" s="664">
        <v>37100</v>
      </c>
      <c r="I432" s="664">
        <f t="shared" si="2"/>
        <v>33730</v>
      </c>
      <c r="J432" s="664">
        <f t="shared" si="3"/>
        <v>37100</v>
      </c>
      <c r="K432" s="661"/>
    </row>
    <row r="433" spans="1:11" ht="18.75" customHeight="1">
      <c r="A433" s="661"/>
      <c r="B433" s="657" t="s">
        <v>11313</v>
      </c>
      <c r="C433" s="657" t="s">
        <v>11314</v>
      </c>
      <c r="D433" s="663" t="s">
        <v>11319</v>
      </c>
      <c r="E433" s="663" t="s">
        <v>11320</v>
      </c>
      <c r="F433" s="658">
        <v>0.1</v>
      </c>
      <c r="G433" s="658">
        <v>0</v>
      </c>
      <c r="H433" s="664"/>
      <c r="I433" s="664">
        <f t="shared" si="2"/>
        <v>0</v>
      </c>
      <c r="J433" s="664">
        <f t="shared" si="3"/>
        <v>0</v>
      </c>
      <c r="K433" s="661"/>
    </row>
    <row r="434" spans="1:11" ht="18.75" customHeight="1">
      <c r="A434" s="661"/>
      <c r="B434" s="657" t="s">
        <v>11313</v>
      </c>
      <c r="C434" s="657" t="s">
        <v>11314</v>
      </c>
      <c r="D434" s="663" t="s">
        <v>1934</v>
      </c>
      <c r="E434" s="663" t="s">
        <v>1935</v>
      </c>
      <c r="F434" s="658">
        <v>0.1</v>
      </c>
      <c r="G434" s="658">
        <v>0</v>
      </c>
      <c r="H434" s="664">
        <v>34980</v>
      </c>
      <c r="I434" s="664">
        <f t="shared" si="2"/>
        <v>31800</v>
      </c>
      <c r="J434" s="664">
        <f t="shared" si="3"/>
        <v>34980</v>
      </c>
      <c r="K434" s="661"/>
    </row>
    <row r="435" spans="1:11" ht="18.75" customHeight="1">
      <c r="A435" s="661"/>
      <c r="B435" s="657" t="s">
        <v>11313</v>
      </c>
      <c r="C435" s="657" t="s">
        <v>11314</v>
      </c>
      <c r="D435" s="663" t="s">
        <v>1938</v>
      </c>
      <c r="E435" s="663" t="s">
        <v>1939</v>
      </c>
      <c r="F435" s="658">
        <v>0.1</v>
      </c>
      <c r="G435" s="658">
        <v>0</v>
      </c>
      <c r="H435" s="664">
        <v>17500</v>
      </c>
      <c r="I435" s="664">
        <f t="shared" si="2"/>
        <v>15910</v>
      </c>
      <c r="J435" s="664">
        <f t="shared" si="3"/>
        <v>17500</v>
      </c>
      <c r="K435" s="661"/>
    </row>
    <row r="436" spans="1:11" ht="18.75" customHeight="1">
      <c r="A436" s="661"/>
      <c r="B436" s="657" t="s">
        <v>11313</v>
      </c>
      <c r="C436" s="657" t="s">
        <v>11314</v>
      </c>
      <c r="D436" s="663" t="s">
        <v>1942</v>
      </c>
      <c r="E436" s="663" t="s">
        <v>1943</v>
      </c>
      <c r="F436" s="658">
        <v>0.1</v>
      </c>
      <c r="G436" s="658">
        <v>0</v>
      </c>
      <c r="H436" s="664">
        <v>34980</v>
      </c>
      <c r="I436" s="664">
        <f t="shared" si="2"/>
        <v>31800</v>
      </c>
      <c r="J436" s="664">
        <f t="shared" si="3"/>
        <v>34980</v>
      </c>
      <c r="K436" s="661"/>
    </row>
    <row r="437" spans="1:11" ht="18.75" customHeight="1">
      <c r="A437" s="661"/>
      <c r="B437" s="657" t="s">
        <v>11313</v>
      </c>
      <c r="C437" s="657" t="s">
        <v>11314</v>
      </c>
      <c r="D437" s="663" t="s">
        <v>11321</v>
      </c>
      <c r="E437" s="663" t="s">
        <v>11322</v>
      </c>
      <c r="F437" s="658">
        <v>0.1</v>
      </c>
      <c r="G437" s="658">
        <v>0</v>
      </c>
      <c r="H437" s="664">
        <v>440000</v>
      </c>
      <c r="I437" s="664">
        <f t="shared" si="2"/>
        <v>400000</v>
      </c>
      <c r="J437" s="664">
        <f t="shared" si="3"/>
        <v>440000</v>
      </c>
      <c r="K437" s="661"/>
    </row>
    <row r="438" spans="1:11" ht="18.75" customHeight="1">
      <c r="A438" s="661"/>
      <c r="B438" s="657" t="s">
        <v>11313</v>
      </c>
      <c r="C438" s="657" t="s">
        <v>11314</v>
      </c>
      <c r="D438" s="663" t="s">
        <v>2034</v>
      </c>
      <c r="E438" s="663" t="s">
        <v>2035</v>
      </c>
      <c r="F438" s="658">
        <v>0.1</v>
      </c>
      <c r="G438" s="658">
        <v>0</v>
      </c>
      <c r="H438" s="664">
        <v>4167619.1999999997</v>
      </c>
      <c r="I438" s="664">
        <f t="shared" si="2"/>
        <v>3788740</v>
      </c>
      <c r="J438" s="664">
        <f t="shared" si="3"/>
        <v>4167620</v>
      </c>
      <c r="K438" s="661"/>
    </row>
    <row r="439" spans="1:11" ht="18.75" customHeight="1">
      <c r="A439" s="661"/>
      <c r="B439" s="657" t="s">
        <v>11313</v>
      </c>
      <c r="C439" s="657" t="s">
        <v>11314</v>
      </c>
      <c r="D439" s="663" t="s">
        <v>11323</v>
      </c>
      <c r="E439" s="663" t="s">
        <v>11324</v>
      </c>
      <c r="F439" s="658">
        <v>0.1</v>
      </c>
      <c r="G439" s="658">
        <v>0</v>
      </c>
      <c r="H439" s="664">
        <v>880000</v>
      </c>
      <c r="I439" s="664">
        <f t="shared" si="2"/>
        <v>800000</v>
      </c>
      <c r="J439" s="664">
        <f t="shared" si="3"/>
        <v>880000</v>
      </c>
      <c r="K439" s="661"/>
    </row>
    <row r="440" spans="1:11" ht="18.75" customHeight="1">
      <c r="A440" s="661"/>
      <c r="B440" s="657" t="s">
        <v>11313</v>
      </c>
      <c r="C440" s="657" t="s">
        <v>11314</v>
      </c>
      <c r="D440" s="663" t="s">
        <v>11325</v>
      </c>
      <c r="E440" s="663" t="s">
        <v>11326</v>
      </c>
      <c r="F440" s="658">
        <v>0.1</v>
      </c>
      <c r="G440" s="658">
        <v>0</v>
      </c>
      <c r="H440" s="664">
        <v>1045000</v>
      </c>
      <c r="I440" s="664">
        <f t="shared" si="2"/>
        <v>950000</v>
      </c>
      <c r="J440" s="664">
        <f t="shared" si="3"/>
        <v>1045000</v>
      </c>
      <c r="K440" s="661"/>
    </row>
    <row r="441" spans="1:11" ht="18.75" customHeight="1">
      <c r="A441" s="661"/>
      <c r="B441" s="657" t="s">
        <v>11313</v>
      </c>
      <c r="C441" s="657" t="s">
        <v>11314</v>
      </c>
      <c r="D441" s="663" t="s">
        <v>11327</v>
      </c>
      <c r="E441" s="663" t="s">
        <v>11328</v>
      </c>
      <c r="F441" s="658">
        <v>0.1</v>
      </c>
      <c r="G441" s="658">
        <v>0</v>
      </c>
      <c r="H441" s="664">
        <v>1155000</v>
      </c>
      <c r="I441" s="664">
        <f t="shared" si="2"/>
        <v>1050000</v>
      </c>
      <c r="J441" s="664">
        <f t="shared" si="3"/>
        <v>1155000</v>
      </c>
      <c r="K441" s="661"/>
    </row>
    <row r="442" spans="1:11" ht="18.75" customHeight="1">
      <c r="A442" s="661"/>
      <c r="B442" s="657" t="s">
        <v>11313</v>
      </c>
      <c r="C442" s="657" t="s">
        <v>11314</v>
      </c>
      <c r="D442" s="663" t="s">
        <v>11329</v>
      </c>
      <c r="E442" s="663" t="s">
        <v>11330</v>
      </c>
      <c r="F442" s="658">
        <v>0.1</v>
      </c>
      <c r="G442" s="658">
        <v>0</v>
      </c>
      <c r="H442" s="664">
        <v>1100000</v>
      </c>
      <c r="I442" s="664">
        <f t="shared" si="2"/>
        <v>1000000</v>
      </c>
      <c r="J442" s="664">
        <f t="shared" si="3"/>
        <v>1100000</v>
      </c>
      <c r="K442" s="661"/>
    </row>
    <row r="443" spans="1:11" ht="18.75" customHeight="1">
      <c r="A443" s="661"/>
      <c r="B443" s="657" t="s">
        <v>11313</v>
      </c>
      <c r="C443" s="657" t="s">
        <v>11314</v>
      </c>
      <c r="D443" s="663" t="s">
        <v>11331</v>
      </c>
      <c r="E443" s="663" t="s">
        <v>11332</v>
      </c>
      <c r="F443" s="658">
        <v>0.1</v>
      </c>
      <c r="G443" s="658">
        <v>0</v>
      </c>
      <c r="H443" s="664">
        <v>880000</v>
      </c>
      <c r="I443" s="664">
        <f t="shared" si="2"/>
        <v>800000</v>
      </c>
      <c r="J443" s="664">
        <f t="shared" si="3"/>
        <v>880000</v>
      </c>
      <c r="K443" s="661"/>
    </row>
    <row r="444" spans="1:11" ht="18.75" customHeight="1">
      <c r="A444" s="661"/>
      <c r="B444" s="657" t="s">
        <v>11313</v>
      </c>
      <c r="C444" s="657" t="s">
        <v>11314</v>
      </c>
      <c r="D444" s="663" t="s">
        <v>11333</v>
      </c>
      <c r="E444" s="663" t="s">
        <v>11334</v>
      </c>
      <c r="F444" s="658">
        <v>0.1</v>
      </c>
      <c r="G444" s="658">
        <v>0</v>
      </c>
      <c r="H444" s="664">
        <v>1100000</v>
      </c>
      <c r="I444" s="664">
        <f t="shared" si="2"/>
        <v>1000000</v>
      </c>
      <c r="J444" s="664">
        <f t="shared" si="3"/>
        <v>1100000</v>
      </c>
      <c r="K444" s="661"/>
    </row>
    <row r="445" spans="1:11" ht="18.75" customHeight="1">
      <c r="A445" s="661"/>
      <c r="B445" s="657" t="s">
        <v>11313</v>
      </c>
      <c r="C445" s="657" t="s">
        <v>11314</v>
      </c>
      <c r="D445" s="663" t="s">
        <v>11335</v>
      </c>
      <c r="E445" s="663" t="s">
        <v>11336</v>
      </c>
      <c r="F445" s="658">
        <v>0.1</v>
      </c>
      <c r="G445" s="658">
        <v>0</v>
      </c>
      <c r="H445" s="664">
        <v>40000</v>
      </c>
      <c r="I445" s="664">
        <f t="shared" si="2"/>
        <v>36360</v>
      </c>
      <c r="J445" s="664">
        <f t="shared" si="3"/>
        <v>40000</v>
      </c>
      <c r="K445" s="661"/>
    </row>
    <row r="446" spans="1:11" ht="18.75" customHeight="1">
      <c r="A446" s="661"/>
      <c r="B446" s="657" t="s">
        <v>11313</v>
      </c>
      <c r="C446" s="657" t="s">
        <v>11314</v>
      </c>
      <c r="D446" s="663" t="s">
        <v>1771</v>
      </c>
      <c r="E446" s="663" t="s">
        <v>1772</v>
      </c>
      <c r="F446" s="658">
        <v>0.1</v>
      </c>
      <c r="G446" s="658">
        <v>0</v>
      </c>
      <c r="H446" s="664">
        <v>357000</v>
      </c>
      <c r="I446" s="664">
        <f t="shared" si="2"/>
        <v>324550</v>
      </c>
      <c r="J446" s="664">
        <f t="shared" si="3"/>
        <v>357000</v>
      </c>
      <c r="K446" s="661"/>
    </row>
    <row r="447" spans="1:11" ht="18.75" customHeight="1">
      <c r="A447" s="661"/>
      <c r="B447" s="657" t="s">
        <v>11313</v>
      </c>
      <c r="C447" s="657" t="s">
        <v>11314</v>
      </c>
      <c r="D447" s="663" t="s">
        <v>1775</v>
      </c>
      <c r="E447" s="663" t="s">
        <v>1776</v>
      </c>
      <c r="F447" s="658">
        <v>0.1</v>
      </c>
      <c r="G447" s="658">
        <v>0</v>
      </c>
      <c r="H447" s="664">
        <v>357000</v>
      </c>
      <c r="I447" s="664">
        <f t="shared" si="2"/>
        <v>324550</v>
      </c>
      <c r="J447" s="664">
        <f t="shared" si="3"/>
        <v>357000</v>
      </c>
      <c r="K447" s="661"/>
    </row>
    <row r="448" spans="1:11" ht="18.75" customHeight="1">
      <c r="A448" s="661"/>
      <c r="B448" s="657" t="s">
        <v>11313</v>
      </c>
      <c r="C448" s="657" t="s">
        <v>11314</v>
      </c>
      <c r="D448" s="663" t="s">
        <v>1806</v>
      </c>
      <c r="E448" s="663" t="s">
        <v>1807</v>
      </c>
      <c r="F448" s="658">
        <v>0.1</v>
      </c>
      <c r="G448" s="658">
        <v>0</v>
      </c>
      <c r="H448" s="664">
        <v>70000</v>
      </c>
      <c r="I448" s="664">
        <f t="shared" si="2"/>
        <v>63640</v>
      </c>
      <c r="J448" s="664">
        <f t="shared" si="3"/>
        <v>70000</v>
      </c>
      <c r="K448" s="661"/>
    </row>
    <row r="449" spans="1:11" ht="18.75" customHeight="1">
      <c r="A449" s="661"/>
      <c r="B449" s="657" t="s">
        <v>11313</v>
      </c>
      <c r="C449" s="657" t="s">
        <v>11314</v>
      </c>
      <c r="D449" s="663" t="s">
        <v>2087</v>
      </c>
      <c r="E449" s="663" t="s">
        <v>2088</v>
      </c>
      <c r="F449" s="658">
        <v>0.1</v>
      </c>
      <c r="G449" s="658">
        <v>0</v>
      </c>
      <c r="H449" s="664">
        <v>24500</v>
      </c>
      <c r="I449" s="664">
        <f t="shared" si="2"/>
        <v>22270</v>
      </c>
      <c r="J449" s="664">
        <f t="shared" si="3"/>
        <v>24500</v>
      </c>
      <c r="K449" s="661"/>
    </row>
    <row r="450" spans="1:11" ht="18.75" customHeight="1">
      <c r="A450" s="661"/>
      <c r="B450" s="657" t="s">
        <v>11313</v>
      </c>
      <c r="C450" s="657" t="s">
        <v>11314</v>
      </c>
      <c r="D450" s="663" t="s">
        <v>2004</v>
      </c>
      <c r="E450" s="663" t="s">
        <v>2005</v>
      </c>
      <c r="F450" s="658">
        <v>0.1</v>
      </c>
      <c r="G450" s="658">
        <v>0</v>
      </c>
      <c r="H450" s="664">
        <v>240099.99999999997</v>
      </c>
      <c r="I450" s="664">
        <f t="shared" si="2"/>
        <v>218270</v>
      </c>
      <c r="J450" s="664">
        <f t="shared" si="3"/>
        <v>240100</v>
      </c>
      <c r="K450" s="661"/>
    </row>
    <row r="451" spans="1:11" ht="18.75" customHeight="1">
      <c r="A451" s="661"/>
      <c r="B451" s="657" t="s">
        <v>11313</v>
      </c>
      <c r="C451" s="657" t="s">
        <v>11314</v>
      </c>
      <c r="D451" s="663" t="s">
        <v>2006</v>
      </c>
      <c r="E451" s="663" t="s">
        <v>2007</v>
      </c>
      <c r="F451" s="658">
        <v>0.1</v>
      </c>
      <c r="G451" s="658">
        <v>0</v>
      </c>
      <c r="H451" s="664">
        <v>395500</v>
      </c>
      <c r="I451" s="664">
        <f t="shared" si="2"/>
        <v>359550</v>
      </c>
      <c r="J451" s="664">
        <f t="shared" si="3"/>
        <v>395500</v>
      </c>
      <c r="K451" s="661"/>
    </row>
    <row r="452" spans="1:11" ht="18.75" customHeight="1">
      <c r="A452" s="661"/>
      <c r="B452" s="657" t="s">
        <v>11313</v>
      </c>
      <c r="C452" s="657" t="s">
        <v>11314</v>
      </c>
      <c r="D452" s="663" t="s">
        <v>11337</v>
      </c>
      <c r="E452" s="663" t="s">
        <v>11338</v>
      </c>
      <c r="F452" s="658">
        <v>0.1</v>
      </c>
      <c r="G452" s="658">
        <v>0</v>
      </c>
      <c r="H452" s="664">
        <v>11990</v>
      </c>
      <c r="I452" s="664">
        <f t="shared" si="2"/>
        <v>10900</v>
      </c>
      <c r="J452" s="664">
        <f t="shared" si="3"/>
        <v>11990</v>
      </c>
      <c r="K452" s="661"/>
    </row>
    <row r="453" spans="1:11" ht="18.75" customHeight="1">
      <c r="A453" s="661"/>
      <c r="B453" s="657" t="s">
        <v>11313</v>
      </c>
      <c r="C453" s="657" t="s">
        <v>11314</v>
      </c>
      <c r="D453" s="663" t="s">
        <v>1951</v>
      </c>
      <c r="E453" s="663" t="s">
        <v>1952</v>
      </c>
      <c r="F453" s="658">
        <v>0.1</v>
      </c>
      <c r="G453" s="658">
        <v>0</v>
      </c>
      <c r="H453" s="664">
        <v>6000</v>
      </c>
      <c r="I453" s="664">
        <f t="shared" si="2"/>
        <v>5450</v>
      </c>
      <c r="J453" s="664">
        <f t="shared" si="3"/>
        <v>6000</v>
      </c>
      <c r="K453" s="661"/>
    </row>
    <row r="454" spans="1:11" ht="18.75" customHeight="1">
      <c r="A454" s="661"/>
      <c r="B454" s="657" t="s">
        <v>11313</v>
      </c>
      <c r="C454" s="657" t="s">
        <v>11314</v>
      </c>
      <c r="D454" s="663" t="s">
        <v>1946</v>
      </c>
      <c r="E454" s="663" t="s">
        <v>1947</v>
      </c>
      <c r="F454" s="658">
        <v>0.1</v>
      </c>
      <c r="G454" s="658">
        <v>0</v>
      </c>
      <c r="H454" s="664">
        <v>14500</v>
      </c>
      <c r="I454" s="664">
        <f t="shared" si="2"/>
        <v>13180</v>
      </c>
      <c r="J454" s="664">
        <f t="shared" si="3"/>
        <v>14500</v>
      </c>
      <c r="K454" s="661"/>
    </row>
    <row r="455" spans="1:11" ht="18.75" customHeight="1">
      <c r="A455" s="661"/>
      <c r="B455" s="657" t="s">
        <v>11313</v>
      </c>
      <c r="C455" s="657" t="s">
        <v>11314</v>
      </c>
      <c r="D455" s="663" t="s">
        <v>11339</v>
      </c>
      <c r="E455" s="663" t="s">
        <v>11340</v>
      </c>
      <c r="F455" s="658">
        <v>0.1</v>
      </c>
      <c r="G455" s="658">
        <v>0</v>
      </c>
      <c r="H455" s="664">
        <v>176000</v>
      </c>
      <c r="I455" s="664">
        <f t="shared" si="2"/>
        <v>160000</v>
      </c>
      <c r="J455" s="664">
        <f t="shared" si="3"/>
        <v>176000</v>
      </c>
      <c r="K455" s="661"/>
    </row>
    <row r="456" spans="1:11" ht="18.75" customHeight="1">
      <c r="A456" s="661"/>
      <c r="B456" s="657" t="s">
        <v>11313</v>
      </c>
      <c r="C456" s="657" t="s">
        <v>11314</v>
      </c>
      <c r="D456" s="663" t="s">
        <v>11341</v>
      </c>
      <c r="E456" s="663" t="s">
        <v>11342</v>
      </c>
      <c r="F456" s="658">
        <v>0.1</v>
      </c>
      <c r="G456" s="658">
        <v>0</v>
      </c>
      <c r="H456" s="664">
        <v>44640</v>
      </c>
      <c r="I456" s="664">
        <f t="shared" si="2"/>
        <v>40580</v>
      </c>
      <c r="J456" s="664">
        <f t="shared" si="3"/>
        <v>44640</v>
      </c>
      <c r="K456" s="661"/>
    </row>
    <row r="457" spans="1:11" ht="18.75" customHeight="1">
      <c r="A457" s="661"/>
      <c r="B457" s="657" t="s">
        <v>11313</v>
      </c>
      <c r="C457" s="657" t="s">
        <v>11314</v>
      </c>
      <c r="D457" s="663" t="s">
        <v>1837</v>
      </c>
      <c r="E457" s="663" t="s">
        <v>1838</v>
      </c>
      <c r="F457" s="658">
        <v>0.1</v>
      </c>
      <c r="G457" s="658">
        <v>0</v>
      </c>
      <c r="H457" s="664">
        <v>57399.999999999993</v>
      </c>
      <c r="I457" s="664">
        <f t="shared" si="2"/>
        <v>52180</v>
      </c>
      <c r="J457" s="664">
        <f t="shared" si="3"/>
        <v>57400</v>
      </c>
      <c r="K457" s="661"/>
    </row>
    <row r="458" spans="1:11" ht="18.75" customHeight="1">
      <c r="A458" s="661"/>
      <c r="B458" s="657" t="s">
        <v>11313</v>
      </c>
      <c r="C458" s="657" t="s">
        <v>11314</v>
      </c>
      <c r="D458" s="663" t="s">
        <v>11343</v>
      </c>
      <c r="E458" s="663" t="s">
        <v>11344</v>
      </c>
      <c r="F458" s="658">
        <v>0.1</v>
      </c>
      <c r="G458" s="658">
        <v>0</v>
      </c>
      <c r="H458" s="664">
        <v>10800</v>
      </c>
      <c r="I458" s="664">
        <f t="shared" si="2"/>
        <v>9820</v>
      </c>
      <c r="J458" s="664">
        <f t="shared" si="3"/>
        <v>10800</v>
      </c>
      <c r="K458" s="661"/>
    </row>
    <row r="459" spans="1:11" ht="18.75" customHeight="1">
      <c r="A459" s="661"/>
      <c r="B459" s="657" t="s">
        <v>11313</v>
      </c>
      <c r="C459" s="657" t="s">
        <v>11314</v>
      </c>
      <c r="D459" s="663" t="s">
        <v>1847</v>
      </c>
      <c r="E459" s="663" t="s">
        <v>1848</v>
      </c>
      <c r="F459" s="658">
        <v>0.1</v>
      </c>
      <c r="G459" s="658">
        <v>0</v>
      </c>
      <c r="H459" s="664">
        <v>90000</v>
      </c>
      <c r="I459" s="664">
        <f t="shared" si="2"/>
        <v>81820</v>
      </c>
      <c r="J459" s="664">
        <f t="shared" si="3"/>
        <v>90000</v>
      </c>
      <c r="K459" s="661"/>
    </row>
    <row r="460" spans="1:11" ht="18.75" customHeight="1">
      <c r="A460" s="661"/>
      <c r="B460" s="657" t="s">
        <v>11313</v>
      </c>
      <c r="C460" s="657" t="s">
        <v>11314</v>
      </c>
      <c r="D460" s="663" t="s">
        <v>1845</v>
      </c>
      <c r="E460" s="663" t="s">
        <v>1846</v>
      </c>
      <c r="F460" s="658">
        <v>0.1</v>
      </c>
      <c r="G460" s="658">
        <v>0</v>
      </c>
      <c r="H460" s="664">
        <v>49200</v>
      </c>
      <c r="I460" s="664">
        <f t="shared" si="2"/>
        <v>44730</v>
      </c>
      <c r="J460" s="664">
        <f t="shared" si="3"/>
        <v>49200</v>
      </c>
      <c r="K460" s="661"/>
    </row>
    <row r="461" spans="1:11" ht="18.75" customHeight="1">
      <c r="A461" s="661"/>
      <c r="B461" s="657" t="s">
        <v>11313</v>
      </c>
      <c r="C461" s="657" t="s">
        <v>11314</v>
      </c>
      <c r="D461" s="663" t="s">
        <v>11345</v>
      </c>
      <c r="E461" s="663" t="s">
        <v>11346</v>
      </c>
      <c r="F461" s="658">
        <v>0.1</v>
      </c>
      <c r="G461" s="658">
        <v>0</v>
      </c>
      <c r="H461" s="664">
        <v>918000</v>
      </c>
      <c r="I461" s="664">
        <f t="shared" si="2"/>
        <v>834550</v>
      </c>
      <c r="J461" s="664">
        <f t="shared" si="3"/>
        <v>918000</v>
      </c>
      <c r="K461" s="661"/>
    </row>
    <row r="462" spans="1:11" ht="18.75" customHeight="1">
      <c r="A462" s="661"/>
      <c r="B462" s="657" t="s">
        <v>11313</v>
      </c>
      <c r="C462" s="657" t="s">
        <v>11314</v>
      </c>
      <c r="D462" s="663" t="s">
        <v>11347</v>
      </c>
      <c r="E462" s="663" t="s">
        <v>11348</v>
      </c>
      <c r="F462" s="658">
        <v>0.1</v>
      </c>
      <c r="G462" s="658">
        <v>0</v>
      </c>
      <c r="H462" s="664">
        <v>424800</v>
      </c>
      <c r="I462" s="664">
        <f t="shared" si="2"/>
        <v>386180</v>
      </c>
      <c r="J462" s="664">
        <f t="shared" si="3"/>
        <v>424800</v>
      </c>
      <c r="K462" s="661"/>
    </row>
    <row r="463" spans="1:11" ht="18.75" customHeight="1">
      <c r="A463" s="661"/>
      <c r="B463" s="657" t="s">
        <v>11313</v>
      </c>
      <c r="C463" s="657" t="s">
        <v>11314</v>
      </c>
      <c r="D463" s="663" t="s">
        <v>1829</v>
      </c>
      <c r="E463" s="663" t="s">
        <v>1830</v>
      </c>
      <c r="F463" s="658">
        <v>0.1</v>
      </c>
      <c r="G463" s="658">
        <v>0</v>
      </c>
      <c r="H463" s="664">
        <v>47400</v>
      </c>
      <c r="I463" s="664">
        <f t="shared" si="2"/>
        <v>43090</v>
      </c>
      <c r="J463" s="664">
        <f t="shared" si="3"/>
        <v>47400</v>
      </c>
      <c r="K463" s="661"/>
    </row>
    <row r="464" spans="1:11" ht="18.75" customHeight="1">
      <c r="A464" s="661"/>
      <c r="B464" s="657" t="s">
        <v>11313</v>
      </c>
      <c r="C464" s="657" t="s">
        <v>11314</v>
      </c>
      <c r="D464" s="663" t="s">
        <v>1785</v>
      </c>
      <c r="E464" s="663" t="s">
        <v>1786</v>
      </c>
      <c r="F464" s="658">
        <v>0.1</v>
      </c>
      <c r="G464" s="658">
        <v>0</v>
      </c>
      <c r="H464" s="664">
        <v>29399.999999999996</v>
      </c>
      <c r="I464" s="664">
        <f t="shared" si="2"/>
        <v>26730</v>
      </c>
      <c r="J464" s="664">
        <f t="shared" si="3"/>
        <v>29400</v>
      </c>
      <c r="K464" s="661"/>
    </row>
    <row r="465" spans="1:11" ht="18.75" customHeight="1">
      <c r="A465" s="661"/>
      <c r="B465" s="657" t="s">
        <v>11313</v>
      </c>
      <c r="C465" s="657" t="s">
        <v>11314</v>
      </c>
      <c r="D465" s="663" t="s">
        <v>11349</v>
      </c>
      <c r="E465" s="663" t="s">
        <v>11350</v>
      </c>
      <c r="F465" s="658">
        <v>0.1</v>
      </c>
      <c r="G465" s="658">
        <v>0</v>
      </c>
      <c r="H465" s="664">
        <v>440000</v>
      </c>
      <c r="I465" s="664">
        <f t="shared" si="2"/>
        <v>400000</v>
      </c>
      <c r="J465" s="664">
        <f t="shared" si="3"/>
        <v>440000</v>
      </c>
      <c r="K465" s="661"/>
    </row>
    <row r="466" spans="1:11" ht="18.75" customHeight="1">
      <c r="A466" s="661"/>
      <c r="B466" s="657" t="s">
        <v>11313</v>
      </c>
      <c r="C466" s="657" t="s">
        <v>11314</v>
      </c>
      <c r="D466" s="663" t="s">
        <v>11351</v>
      </c>
      <c r="E466" s="663" t="s">
        <v>11352</v>
      </c>
      <c r="F466" s="658">
        <v>0.1</v>
      </c>
      <c r="G466" s="658">
        <v>0</v>
      </c>
      <c r="H466" s="664">
        <v>110000</v>
      </c>
      <c r="I466" s="664">
        <f t="shared" si="2"/>
        <v>100000</v>
      </c>
      <c r="J466" s="664">
        <f t="shared" si="3"/>
        <v>110000</v>
      </c>
      <c r="K466" s="661"/>
    </row>
    <row r="467" spans="1:11" ht="18.75" customHeight="1">
      <c r="A467" s="661"/>
      <c r="B467" s="657" t="s">
        <v>11313</v>
      </c>
      <c r="C467" s="657" t="s">
        <v>11314</v>
      </c>
      <c r="D467" s="663" t="s">
        <v>11353</v>
      </c>
      <c r="E467" s="663" t="s">
        <v>11354</v>
      </c>
      <c r="F467" s="658">
        <v>0.1</v>
      </c>
      <c r="G467" s="658">
        <v>0</v>
      </c>
      <c r="H467" s="664">
        <v>114030</v>
      </c>
      <c r="I467" s="664">
        <f t="shared" si="2"/>
        <v>103660</v>
      </c>
      <c r="J467" s="664">
        <f t="shared" si="3"/>
        <v>114030</v>
      </c>
      <c r="K467" s="661"/>
    </row>
    <row r="468" spans="1:11" ht="18.75" customHeight="1">
      <c r="A468" s="661"/>
      <c r="B468" s="657" t="s">
        <v>11313</v>
      </c>
      <c r="C468" s="657" t="s">
        <v>11314</v>
      </c>
      <c r="D468" s="663" t="s">
        <v>132</v>
      </c>
      <c r="E468" s="663" t="s">
        <v>133</v>
      </c>
      <c r="F468" s="658">
        <v>0.1</v>
      </c>
      <c r="G468" s="658">
        <v>0</v>
      </c>
      <c r="H468" s="664">
        <v>35970</v>
      </c>
      <c r="I468" s="664">
        <f t="shared" si="2"/>
        <v>32700</v>
      </c>
      <c r="J468" s="664">
        <f t="shared" si="3"/>
        <v>35970</v>
      </c>
      <c r="K468" s="661"/>
    </row>
    <row r="469" spans="1:11" ht="18.75" customHeight="1">
      <c r="A469" s="661"/>
      <c r="B469" s="657" t="s">
        <v>11313</v>
      </c>
      <c r="C469" s="657" t="s">
        <v>11314</v>
      </c>
      <c r="D469" s="663" t="s">
        <v>2127</v>
      </c>
      <c r="E469" s="663" t="s">
        <v>2128</v>
      </c>
      <c r="F469" s="658">
        <v>0.1</v>
      </c>
      <c r="G469" s="658">
        <v>0</v>
      </c>
      <c r="H469" s="664">
        <v>30470</v>
      </c>
      <c r="I469" s="664">
        <f t="shared" si="2"/>
        <v>27700</v>
      </c>
      <c r="J469" s="664">
        <f t="shared" si="3"/>
        <v>30470</v>
      </c>
      <c r="K469" s="661"/>
    </row>
    <row r="470" spans="1:11" ht="18.75" customHeight="1">
      <c r="A470" s="661"/>
      <c r="B470" s="657" t="s">
        <v>11313</v>
      </c>
      <c r="C470" s="657" t="s">
        <v>11314</v>
      </c>
      <c r="D470" s="663" t="s">
        <v>134</v>
      </c>
      <c r="E470" s="663" t="s">
        <v>135</v>
      </c>
      <c r="F470" s="658">
        <v>0.1</v>
      </c>
      <c r="G470" s="658">
        <v>0</v>
      </c>
      <c r="H470" s="664">
        <v>37000</v>
      </c>
      <c r="I470" s="664">
        <f t="shared" si="2"/>
        <v>33640</v>
      </c>
      <c r="J470" s="664">
        <f t="shared" si="3"/>
        <v>37000</v>
      </c>
      <c r="K470" s="661"/>
    </row>
    <row r="471" spans="1:11" ht="18.75" customHeight="1">
      <c r="A471" s="661"/>
      <c r="B471" s="657" t="s">
        <v>11313</v>
      </c>
      <c r="C471" s="657" t="s">
        <v>11314</v>
      </c>
      <c r="D471" s="663" t="s">
        <v>11355</v>
      </c>
      <c r="E471" s="663" t="s">
        <v>11356</v>
      </c>
      <c r="F471" s="658">
        <v>0.1</v>
      </c>
      <c r="G471" s="658">
        <v>0</v>
      </c>
      <c r="H471" s="664">
        <v>35200</v>
      </c>
      <c r="I471" s="664">
        <f t="shared" si="2"/>
        <v>32000</v>
      </c>
      <c r="J471" s="664">
        <f t="shared" si="3"/>
        <v>35200</v>
      </c>
      <c r="K471" s="661"/>
    </row>
    <row r="472" spans="1:11" ht="18.75" customHeight="1">
      <c r="A472" s="661"/>
      <c r="B472" s="657" t="s">
        <v>11313</v>
      </c>
      <c r="C472" s="657" t="s">
        <v>11314</v>
      </c>
      <c r="D472" s="663" t="s">
        <v>1905</v>
      </c>
      <c r="E472" s="663" t="s">
        <v>1906</v>
      </c>
      <c r="F472" s="658">
        <v>0.1</v>
      </c>
      <c r="G472" s="658">
        <v>0</v>
      </c>
      <c r="H472" s="664">
        <v>25960</v>
      </c>
      <c r="I472" s="664">
        <f t="shared" si="2"/>
        <v>23600</v>
      </c>
      <c r="J472" s="664">
        <f t="shared" si="3"/>
        <v>25960</v>
      </c>
      <c r="K472" s="661"/>
    </row>
    <row r="473" spans="1:11" ht="18.75" customHeight="1">
      <c r="A473" s="661"/>
      <c r="B473" s="657" t="s">
        <v>11313</v>
      </c>
      <c r="C473" s="657" t="s">
        <v>11314</v>
      </c>
      <c r="D473" s="663" t="s">
        <v>1907</v>
      </c>
      <c r="E473" s="663" t="s">
        <v>1908</v>
      </c>
      <c r="F473" s="658">
        <v>0.1</v>
      </c>
      <c r="G473" s="658">
        <v>0</v>
      </c>
      <c r="H473" s="664">
        <v>32010</v>
      </c>
      <c r="I473" s="664">
        <f t="shared" si="2"/>
        <v>29100</v>
      </c>
      <c r="J473" s="664">
        <f t="shared" si="3"/>
        <v>32010</v>
      </c>
      <c r="K473" s="661"/>
    </row>
    <row r="474" spans="1:11" ht="18.75" customHeight="1">
      <c r="A474" s="661"/>
      <c r="B474" s="657" t="s">
        <v>11313</v>
      </c>
      <c r="C474" s="657" t="s">
        <v>11314</v>
      </c>
      <c r="D474" s="663" t="s">
        <v>1990</v>
      </c>
      <c r="E474" s="663" t="s">
        <v>1991</v>
      </c>
      <c r="F474" s="658">
        <v>0.1</v>
      </c>
      <c r="G474" s="658">
        <v>0</v>
      </c>
      <c r="H474" s="664">
        <v>282800</v>
      </c>
      <c r="I474" s="664">
        <f t="shared" si="2"/>
        <v>257090</v>
      </c>
      <c r="J474" s="664">
        <f t="shared" si="3"/>
        <v>282800</v>
      </c>
      <c r="K474" s="661"/>
    </row>
    <row r="475" spans="1:11" ht="18.75" customHeight="1">
      <c r="A475" s="661"/>
      <c r="B475" s="657" t="s">
        <v>11313</v>
      </c>
      <c r="C475" s="657" t="s">
        <v>11314</v>
      </c>
      <c r="D475" s="663" t="s">
        <v>1998</v>
      </c>
      <c r="E475" s="663" t="s">
        <v>1999</v>
      </c>
      <c r="F475" s="658">
        <v>0.1</v>
      </c>
      <c r="G475" s="658">
        <v>0</v>
      </c>
      <c r="H475" s="664">
        <v>150500</v>
      </c>
      <c r="I475" s="664">
        <f t="shared" si="2"/>
        <v>136820</v>
      </c>
      <c r="J475" s="664">
        <f t="shared" si="3"/>
        <v>150500</v>
      </c>
      <c r="K475" s="661"/>
    </row>
    <row r="476" spans="1:11" ht="18.75" customHeight="1">
      <c r="A476" s="661"/>
      <c r="B476" s="657" t="s">
        <v>11313</v>
      </c>
      <c r="C476" s="657" t="s">
        <v>11314</v>
      </c>
      <c r="D476" s="663" t="s">
        <v>11357</v>
      </c>
      <c r="E476" s="663" t="s">
        <v>11358</v>
      </c>
      <c r="F476" s="658">
        <v>0.1</v>
      </c>
      <c r="G476" s="658">
        <v>0</v>
      </c>
      <c r="H476" s="664">
        <v>572400</v>
      </c>
      <c r="I476" s="664">
        <f t="shared" si="2"/>
        <v>520360</v>
      </c>
      <c r="J476" s="664">
        <f t="shared" si="3"/>
        <v>572400</v>
      </c>
      <c r="K476" s="661"/>
    </row>
    <row r="477" spans="1:11" ht="18.75" customHeight="1">
      <c r="A477" s="661"/>
      <c r="B477" s="657" t="s">
        <v>11313</v>
      </c>
      <c r="C477" s="657" t="s">
        <v>11314</v>
      </c>
      <c r="D477" s="663" t="s">
        <v>1992</v>
      </c>
      <c r="E477" s="663" t="s">
        <v>11359</v>
      </c>
      <c r="F477" s="658">
        <v>0.1</v>
      </c>
      <c r="G477" s="658">
        <v>0</v>
      </c>
      <c r="H477" s="664">
        <v>133700</v>
      </c>
      <c r="I477" s="664">
        <f t="shared" si="2"/>
        <v>121550</v>
      </c>
      <c r="J477" s="664">
        <f t="shared" si="3"/>
        <v>133700</v>
      </c>
      <c r="K477" s="661"/>
    </row>
    <row r="478" spans="1:11" ht="18.75" customHeight="1">
      <c r="A478" s="661"/>
      <c r="B478" s="657" t="s">
        <v>11313</v>
      </c>
      <c r="C478" s="657" t="s">
        <v>11314</v>
      </c>
      <c r="D478" s="663" t="s">
        <v>11360</v>
      </c>
      <c r="E478" s="663" t="s">
        <v>11361</v>
      </c>
      <c r="F478" s="658">
        <v>0.1</v>
      </c>
      <c r="G478" s="658">
        <v>0</v>
      </c>
      <c r="H478" s="664">
        <v>453600</v>
      </c>
      <c r="I478" s="664">
        <f t="shared" si="2"/>
        <v>412360</v>
      </c>
      <c r="J478" s="664">
        <f t="shared" si="3"/>
        <v>453600</v>
      </c>
      <c r="K478" s="661"/>
    </row>
    <row r="479" spans="1:11" ht="18.75" customHeight="1">
      <c r="A479" s="661"/>
      <c r="B479" s="657" t="s">
        <v>11313</v>
      </c>
      <c r="C479" s="657" t="s">
        <v>11314</v>
      </c>
      <c r="D479" s="663" t="s">
        <v>2002</v>
      </c>
      <c r="E479" s="663" t="s">
        <v>2003</v>
      </c>
      <c r="F479" s="658">
        <v>0.1</v>
      </c>
      <c r="G479" s="658">
        <v>0</v>
      </c>
      <c r="H479" s="664">
        <v>336000</v>
      </c>
      <c r="I479" s="664">
        <f t="shared" si="2"/>
        <v>305450</v>
      </c>
      <c r="J479" s="664">
        <f t="shared" si="3"/>
        <v>336000</v>
      </c>
      <c r="K479" s="661"/>
    </row>
    <row r="480" spans="1:11" ht="18.75" customHeight="1">
      <c r="A480" s="661"/>
      <c r="B480" s="657" t="s">
        <v>11313</v>
      </c>
      <c r="C480" s="657" t="s">
        <v>11314</v>
      </c>
      <c r="D480" s="663" t="s">
        <v>11362</v>
      </c>
      <c r="E480" s="663" t="s">
        <v>11363</v>
      </c>
      <c r="F480" s="658">
        <v>0.1</v>
      </c>
      <c r="G480" s="658">
        <v>0</v>
      </c>
      <c r="H480" s="664">
        <v>302400</v>
      </c>
      <c r="I480" s="664">
        <f t="shared" si="2"/>
        <v>274910</v>
      </c>
      <c r="J480" s="664">
        <f t="shared" si="3"/>
        <v>302400</v>
      </c>
      <c r="K480" s="661"/>
    </row>
    <row r="481" spans="1:11" ht="18.75" customHeight="1">
      <c r="A481" s="661"/>
      <c r="B481" s="657" t="s">
        <v>11313</v>
      </c>
      <c r="C481" s="657" t="s">
        <v>11314</v>
      </c>
      <c r="D481" s="663" t="s">
        <v>2089</v>
      </c>
      <c r="E481" s="663" t="s">
        <v>2090</v>
      </c>
      <c r="F481" s="658">
        <v>0.1</v>
      </c>
      <c r="G481" s="658">
        <v>0</v>
      </c>
      <c r="H481" s="664">
        <v>22400</v>
      </c>
      <c r="I481" s="664">
        <f t="shared" si="2"/>
        <v>20360</v>
      </c>
      <c r="J481" s="664">
        <f t="shared" si="3"/>
        <v>22400</v>
      </c>
      <c r="K481" s="661"/>
    </row>
    <row r="482" spans="1:11" ht="18.75" customHeight="1">
      <c r="A482" s="661"/>
      <c r="B482" s="657" t="s">
        <v>11313</v>
      </c>
      <c r="C482" s="657" t="s">
        <v>11314</v>
      </c>
      <c r="D482" s="663" t="s">
        <v>2091</v>
      </c>
      <c r="E482" s="663" t="s">
        <v>2092</v>
      </c>
      <c r="F482" s="658">
        <v>0.1</v>
      </c>
      <c r="G482" s="658">
        <v>0</v>
      </c>
      <c r="H482" s="664">
        <v>22400</v>
      </c>
      <c r="I482" s="664">
        <f t="shared" si="2"/>
        <v>20360</v>
      </c>
      <c r="J482" s="664">
        <f t="shared" si="3"/>
        <v>22400</v>
      </c>
      <c r="K482" s="661"/>
    </row>
    <row r="483" spans="1:11" ht="18.75" customHeight="1">
      <c r="A483" s="661"/>
      <c r="B483" s="657" t="s">
        <v>11313</v>
      </c>
      <c r="C483" s="657" t="s">
        <v>11314</v>
      </c>
      <c r="D483" s="663" t="s">
        <v>2026</v>
      </c>
      <c r="E483" s="663" t="s">
        <v>11364</v>
      </c>
      <c r="F483" s="658">
        <v>0.1</v>
      </c>
      <c r="G483" s="658">
        <v>0</v>
      </c>
      <c r="H483" s="664">
        <v>96600</v>
      </c>
      <c r="I483" s="664">
        <f t="shared" si="2"/>
        <v>87820</v>
      </c>
      <c r="J483" s="664">
        <f t="shared" si="3"/>
        <v>96600</v>
      </c>
      <c r="K483" s="661"/>
    </row>
    <row r="484" spans="1:11" ht="18.75" customHeight="1">
      <c r="A484" s="661"/>
      <c r="B484" s="657" t="s">
        <v>11313</v>
      </c>
      <c r="C484" s="657" t="s">
        <v>11314</v>
      </c>
      <c r="D484" s="663" t="s">
        <v>2028</v>
      </c>
      <c r="E484" s="663" t="s">
        <v>11365</v>
      </c>
      <c r="F484" s="658">
        <v>0.1</v>
      </c>
      <c r="G484" s="658">
        <v>0</v>
      </c>
      <c r="H484" s="664">
        <v>108500</v>
      </c>
      <c r="I484" s="664">
        <f t="shared" si="2"/>
        <v>98640</v>
      </c>
      <c r="J484" s="664">
        <f t="shared" si="3"/>
        <v>108500</v>
      </c>
      <c r="K484" s="661"/>
    </row>
    <row r="485" spans="1:11" ht="18.75" customHeight="1">
      <c r="A485" s="661"/>
      <c r="B485" s="657" t="s">
        <v>11313</v>
      </c>
      <c r="C485" s="657" t="s">
        <v>11314</v>
      </c>
      <c r="D485" s="663" t="s">
        <v>2024</v>
      </c>
      <c r="E485" s="663" t="s">
        <v>2025</v>
      </c>
      <c r="F485" s="658">
        <v>0.1</v>
      </c>
      <c r="G485" s="658">
        <v>0</v>
      </c>
      <c r="H485" s="664">
        <v>163800</v>
      </c>
      <c r="I485" s="664">
        <f t="shared" si="2"/>
        <v>148910</v>
      </c>
      <c r="J485" s="664">
        <f t="shared" si="3"/>
        <v>163800</v>
      </c>
      <c r="K485" s="661"/>
    </row>
    <row r="486" spans="1:11" ht="18.75" customHeight="1">
      <c r="A486" s="661"/>
      <c r="B486" s="657" t="s">
        <v>11313</v>
      </c>
      <c r="C486" s="657" t="s">
        <v>11314</v>
      </c>
      <c r="D486" s="663" t="s">
        <v>2030</v>
      </c>
      <c r="E486" s="663" t="s">
        <v>2031</v>
      </c>
      <c r="F486" s="658">
        <v>0.1</v>
      </c>
      <c r="G486" s="658">
        <v>0</v>
      </c>
      <c r="H486" s="664">
        <v>108500</v>
      </c>
      <c r="I486" s="664">
        <f t="shared" si="2"/>
        <v>98640</v>
      </c>
      <c r="J486" s="664">
        <f t="shared" si="3"/>
        <v>108500</v>
      </c>
      <c r="K486" s="661"/>
    </row>
    <row r="487" spans="1:11" ht="18.75" customHeight="1">
      <c r="A487" s="661"/>
      <c r="B487" s="657" t="s">
        <v>11313</v>
      </c>
      <c r="C487" s="657" t="s">
        <v>11314</v>
      </c>
      <c r="D487" s="663" t="s">
        <v>2032</v>
      </c>
      <c r="E487" s="663" t="s">
        <v>2033</v>
      </c>
      <c r="F487" s="658">
        <v>0.1</v>
      </c>
      <c r="G487" s="658">
        <v>0</v>
      </c>
      <c r="H487" s="664">
        <v>108500</v>
      </c>
      <c r="I487" s="664">
        <f t="shared" si="2"/>
        <v>98640</v>
      </c>
      <c r="J487" s="664">
        <f t="shared" si="3"/>
        <v>108500</v>
      </c>
      <c r="K487" s="661"/>
    </row>
    <row r="488" spans="1:11" ht="18.75" customHeight="1">
      <c r="A488" s="661"/>
      <c r="B488" s="657" t="s">
        <v>11313</v>
      </c>
      <c r="C488" s="657" t="s">
        <v>11314</v>
      </c>
      <c r="D488" s="663" t="s">
        <v>1841</v>
      </c>
      <c r="E488" s="663" t="s">
        <v>1842</v>
      </c>
      <c r="F488" s="658">
        <v>0.1</v>
      </c>
      <c r="G488" s="658">
        <v>0</v>
      </c>
      <c r="H488" s="664">
        <v>77000</v>
      </c>
      <c r="I488" s="664">
        <f t="shared" si="2"/>
        <v>70000</v>
      </c>
      <c r="J488" s="664">
        <f t="shared" si="3"/>
        <v>77000</v>
      </c>
      <c r="K488" s="661"/>
    </row>
    <row r="489" spans="1:11" ht="18.75" customHeight="1">
      <c r="A489" s="661"/>
      <c r="B489" s="657" t="s">
        <v>11313</v>
      </c>
      <c r="C489" s="657" t="s">
        <v>11314</v>
      </c>
      <c r="D489" s="663" t="s">
        <v>1833</v>
      </c>
      <c r="E489" s="663" t="s">
        <v>1834</v>
      </c>
      <c r="F489" s="658">
        <v>0.1</v>
      </c>
      <c r="G489" s="658">
        <v>0</v>
      </c>
      <c r="H489" s="664">
        <v>40800</v>
      </c>
      <c r="I489" s="664">
        <f t="shared" si="2"/>
        <v>37090</v>
      </c>
      <c r="J489" s="664">
        <f t="shared" si="3"/>
        <v>40800</v>
      </c>
      <c r="K489" s="661"/>
    </row>
    <row r="490" spans="1:11" ht="18.75" customHeight="1">
      <c r="A490" s="661"/>
      <c r="B490" s="657" t="s">
        <v>11313</v>
      </c>
      <c r="C490" s="657" t="s">
        <v>11314</v>
      </c>
      <c r="D490" s="663" t="s">
        <v>136</v>
      </c>
      <c r="E490" s="663" t="s">
        <v>137</v>
      </c>
      <c r="F490" s="658">
        <v>0.1</v>
      </c>
      <c r="G490" s="658">
        <v>0</v>
      </c>
      <c r="H490" s="664">
        <v>17000</v>
      </c>
      <c r="I490" s="664">
        <f t="shared" si="2"/>
        <v>15450</v>
      </c>
      <c r="J490" s="664">
        <f t="shared" si="3"/>
        <v>17000</v>
      </c>
      <c r="K490" s="661"/>
    </row>
    <row r="491" spans="1:11" ht="18.75" customHeight="1">
      <c r="A491" s="661"/>
      <c r="B491" s="657" t="s">
        <v>11313</v>
      </c>
      <c r="C491" s="657" t="s">
        <v>11314</v>
      </c>
      <c r="D491" s="663" t="s">
        <v>1985</v>
      </c>
      <c r="E491" s="663" t="s">
        <v>1986</v>
      </c>
      <c r="F491" s="658">
        <v>0.1</v>
      </c>
      <c r="G491" s="658">
        <v>0</v>
      </c>
      <c r="H491" s="664">
        <v>7000</v>
      </c>
      <c r="I491" s="664">
        <f t="shared" si="2"/>
        <v>6360</v>
      </c>
      <c r="J491" s="664">
        <f t="shared" si="3"/>
        <v>7000</v>
      </c>
      <c r="K491" s="661"/>
    </row>
    <row r="492" spans="1:11" ht="18.75" customHeight="1">
      <c r="A492" s="661"/>
      <c r="B492" s="657" t="s">
        <v>11313</v>
      </c>
      <c r="C492" s="657" t="s">
        <v>11314</v>
      </c>
      <c r="D492" s="663" t="s">
        <v>11366</v>
      </c>
      <c r="E492" s="663" t="s">
        <v>11367</v>
      </c>
      <c r="F492" s="658">
        <v>0.1</v>
      </c>
      <c r="G492" s="658">
        <v>0</v>
      </c>
      <c r="H492" s="664">
        <v>35100</v>
      </c>
      <c r="I492" s="664">
        <f t="shared" si="2"/>
        <v>31910</v>
      </c>
      <c r="J492" s="664">
        <f t="shared" si="3"/>
        <v>35100</v>
      </c>
      <c r="K492" s="661"/>
    </row>
    <row r="493" spans="1:11" ht="18.75" customHeight="1">
      <c r="A493" s="661"/>
      <c r="B493" s="657" t="s">
        <v>11313</v>
      </c>
      <c r="C493" s="657" t="s">
        <v>11314</v>
      </c>
      <c r="D493" s="663" t="s">
        <v>11368</v>
      </c>
      <c r="E493" s="663" t="s">
        <v>11369</v>
      </c>
      <c r="F493" s="658">
        <v>0.1</v>
      </c>
      <c r="G493" s="658">
        <v>0</v>
      </c>
      <c r="H493" s="663"/>
      <c r="I493" s="664">
        <f t="shared" si="2"/>
        <v>0</v>
      </c>
      <c r="J493" s="664">
        <f t="shared" si="3"/>
        <v>0</v>
      </c>
      <c r="K493" s="661"/>
    </row>
    <row r="494" spans="1:11" ht="18.75" customHeight="1">
      <c r="A494" s="661"/>
      <c r="B494" s="657" t="s">
        <v>11313</v>
      </c>
      <c r="C494" s="657" t="s">
        <v>11314</v>
      </c>
      <c r="D494" s="663" t="s">
        <v>11370</v>
      </c>
      <c r="E494" s="663" t="s">
        <v>11371</v>
      </c>
      <c r="F494" s="658">
        <v>0.1</v>
      </c>
      <c r="G494" s="658">
        <v>0</v>
      </c>
      <c r="H494" s="663"/>
      <c r="I494" s="664">
        <f t="shared" si="2"/>
        <v>0</v>
      </c>
      <c r="J494" s="664">
        <f t="shared" si="3"/>
        <v>0</v>
      </c>
      <c r="K494" s="661"/>
    </row>
    <row r="495" spans="1:11" ht="18.75" customHeight="1">
      <c r="A495" s="661"/>
      <c r="B495" s="657" t="s">
        <v>11313</v>
      </c>
      <c r="C495" s="657" t="s">
        <v>11314</v>
      </c>
      <c r="D495" s="663" t="s">
        <v>11372</v>
      </c>
      <c r="E495" s="663" t="s">
        <v>11373</v>
      </c>
      <c r="F495" s="658">
        <v>0.1</v>
      </c>
      <c r="G495" s="658">
        <v>0</v>
      </c>
      <c r="H495" s="663"/>
      <c r="I495" s="664">
        <f t="shared" si="2"/>
        <v>0</v>
      </c>
      <c r="J495" s="664">
        <f t="shared" si="3"/>
        <v>0</v>
      </c>
      <c r="K495" s="661"/>
    </row>
    <row r="496" spans="1:11" ht="18.75" customHeight="1">
      <c r="A496" s="661"/>
      <c r="B496" s="657" t="s">
        <v>11313</v>
      </c>
      <c r="C496" s="657" t="s">
        <v>11314</v>
      </c>
      <c r="D496" s="663" t="s">
        <v>11374</v>
      </c>
      <c r="E496" s="663" t="s">
        <v>11375</v>
      </c>
      <c r="F496" s="658">
        <v>0.1</v>
      </c>
      <c r="G496" s="658">
        <v>0</v>
      </c>
      <c r="H496" s="664">
        <v>250990</v>
      </c>
      <c r="I496" s="664">
        <f t="shared" si="2"/>
        <v>228170</v>
      </c>
      <c r="J496" s="664">
        <f t="shared" si="3"/>
        <v>250990</v>
      </c>
      <c r="K496" s="661"/>
    </row>
    <row r="497" spans="1:11" ht="18.75" customHeight="1">
      <c r="A497" s="661"/>
      <c r="B497" s="657" t="s">
        <v>11313</v>
      </c>
      <c r="C497" s="657" t="s">
        <v>11314</v>
      </c>
      <c r="D497" s="663" t="s">
        <v>1962</v>
      </c>
      <c r="E497" s="663" t="s">
        <v>1963</v>
      </c>
      <c r="F497" s="658">
        <v>0.1</v>
      </c>
      <c r="G497" s="658">
        <v>0</v>
      </c>
      <c r="H497" s="664">
        <v>178500</v>
      </c>
      <c r="I497" s="664">
        <f t="shared" si="2"/>
        <v>162270</v>
      </c>
      <c r="J497" s="664">
        <f t="shared" si="3"/>
        <v>178500</v>
      </c>
      <c r="K497" s="661"/>
    </row>
    <row r="498" spans="1:11" ht="18.75" customHeight="1">
      <c r="A498" s="661"/>
      <c r="B498" s="657" t="s">
        <v>11313</v>
      </c>
      <c r="C498" s="657" t="s">
        <v>11314</v>
      </c>
      <c r="D498" s="663" t="s">
        <v>11376</v>
      </c>
      <c r="E498" s="663" t="s">
        <v>11377</v>
      </c>
      <c r="F498" s="658">
        <v>0.1</v>
      </c>
      <c r="G498" s="658">
        <v>0</v>
      </c>
      <c r="H498" s="663"/>
      <c r="I498" s="664">
        <f t="shared" si="2"/>
        <v>0</v>
      </c>
      <c r="J498" s="664">
        <f t="shared" si="3"/>
        <v>0</v>
      </c>
      <c r="K498" s="661"/>
    </row>
    <row r="499" spans="1:11" ht="18.75" customHeight="1">
      <c r="A499" s="661"/>
      <c r="B499" s="657" t="s">
        <v>11313</v>
      </c>
      <c r="C499" s="657" t="s">
        <v>11314</v>
      </c>
      <c r="D499" s="663" t="s">
        <v>1966</v>
      </c>
      <c r="E499" s="663" t="s">
        <v>1967</v>
      </c>
      <c r="F499" s="658">
        <v>0.1</v>
      </c>
      <c r="G499" s="658">
        <v>0</v>
      </c>
      <c r="H499" s="664">
        <v>258999.99999999997</v>
      </c>
      <c r="I499" s="664">
        <f t="shared" si="2"/>
        <v>235450</v>
      </c>
      <c r="J499" s="664">
        <f t="shared" si="3"/>
        <v>259000</v>
      </c>
      <c r="K499" s="661"/>
    </row>
    <row r="500" spans="1:11" ht="18.75" customHeight="1">
      <c r="A500" s="661"/>
      <c r="B500" s="657" t="s">
        <v>11313</v>
      </c>
      <c r="C500" s="657" t="s">
        <v>11314</v>
      </c>
      <c r="D500" s="663" t="s">
        <v>11378</v>
      </c>
      <c r="E500" s="663" t="s">
        <v>11379</v>
      </c>
      <c r="F500" s="658">
        <v>0.1</v>
      </c>
      <c r="G500" s="658">
        <v>0</v>
      </c>
      <c r="H500" s="664"/>
      <c r="I500" s="664">
        <f t="shared" si="2"/>
        <v>0</v>
      </c>
      <c r="J500" s="664">
        <f t="shared" si="3"/>
        <v>0</v>
      </c>
      <c r="K500" s="661"/>
    </row>
    <row r="501" spans="1:11" ht="18.75" customHeight="1">
      <c r="A501" s="661"/>
      <c r="B501" s="657" t="s">
        <v>11313</v>
      </c>
      <c r="C501" s="657" t="s">
        <v>11314</v>
      </c>
      <c r="D501" s="663" t="s">
        <v>11380</v>
      </c>
      <c r="E501" s="663" t="s">
        <v>11381</v>
      </c>
      <c r="F501" s="658">
        <v>0.1</v>
      </c>
      <c r="G501" s="658">
        <v>0</v>
      </c>
      <c r="H501" s="664">
        <v>441820</v>
      </c>
      <c r="I501" s="664">
        <f t="shared" si="2"/>
        <v>401650</v>
      </c>
      <c r="J501" s="664">
        <f t="shared" si="3"/>
        <v>441820</v>
      </c>
      <c r="K501" s="661"/>
    </row>
    <row r="502" spans="1:11" ht="18.75" customHeight="1">
      <c r="A502" s="661"/>
      <c r="B502" s="657" t="s">
        <v>11313</v>
      </c>
      <c r="C502" s="657" t="s">
        <v>11314</v>
      </c>
      <c r="D502" s="663" t="s">
        <v>11382</v>
      </c>
      <c r="E502" s="663" t="s">
        <v>11383</v>
      </c>
      <c r="F502" s="658">
        <v>0.1</v>
      </c>
      <c r="G502" s="658">
        <v>0</v>
      </c>
      <c r="H502" s="663"/>
      <c r="I502" s="664">
        <f t="shared" si="2"/>
        <v>0</v>
      </c>
      <c r="J502" s="664">
        <f t="shared" si="3"/>
        <v>0</v>
      </c>
      <c r="K502" s="661"/>
    </row>
    <row r="503" spans="1:11" ht="18.75" customHeight="1">
      <c r="A503" s="661"/>
      <c r="B503" s="657" t="s">
        <v>11313</v>
      </c>
      <c r="C503" s="657" t="s">
        <v>11314</v>
      </c>
      <c r="D503" s="663" t="s">
        <v>11384</v>
      </c>
      <c r="E503" s="663" t="s">
        <v>11385</v>
      </c>
      <c r="F503" s="658">
        <v>0.1</v>
      </c>
      <c r="G503" s="658">
        <v>0</v>
      </c>
      <c r="H503" s="664">
        <v>150010</v>
      </c>
      <c r="I503" s="664">
        <f t="shared" si="2"/>
        <v>136370</v>
      </c>
      <c r="J503" s="664">
        <f t="shared" si="3"/>
        <v>150010</v>
      </c>
      <c r="K503" s="661"/>
    </row>
    <row r="504" spans="1:11" ht="18.75" customHeight="1">
      <c r="A504" s="661"/>
      <c r="B504" s="657" t="s">
        <v>11313</v>
      </c>
      <c r="C504" s="657" t="s">
        <v>11314</v>
      </c>
      <c r="D504" s="663" t="s">
        <v>11386</v>
      </c>
      <c r="E504" s="663" t="s">
        <v>11387</v>
      </c>
      <c r="F504" s="658">
        <v>0.1</v>
      </c>
      <c r="G504" s="658">
        <v>0</v>
      </c>
      <c r="H504" s="664">
        <v>145040</v>
      </c>
      <c r="I504" s="664">
        <f t="shared" si="2"/>
        <v>131850</v>
      </c>
      <c r="J504" s="664">
        <f t="shared" si="3"/>
        <v>145040</v>
      </c>
      <c r="K504" s="661"/>
    </row>
    <row r="505" spans="1:11" ht="18.75" customHeight="1">
      <c r="A505" s="661"/>
      <c r="B505" s="657" t="s">
        <v>11313</v>
      </c>
      <c r="C505" s="657" t="s">
        <v>11314</v>
      </c>
      <c r="D505" s="663" t="s">
        <v>11388</v>
      </c>
      <c r="E505" s="663" t="s">
        <v>11389</v>
      </c>
      <c r="F505" s="658">
        <v>0.1</v>
      </c>
      <c r="G505" s="658">
        <v>0</v>
      </c>
      <c r="H505" s="664">
        <v>270000</v>
      </c>
      <c r="I505" s="664">
        <f t="shared" si="2"/>
        <v>245450</v>
      </c>
      <c r="J505" s="664">
        <f t="shared" si="3"/>
        <v>270000</v>
      </c>
      <c r="K505" s="661"/>
    </row>
    <row r="506" spans="1:11" ht="18.75" customHeight="1">
      <c r="A506" s="661"/>
      <c r="B506" s="657" t="s">
        <v>11313</v>
      </c>
      <c r="C506" s="657" t="s">
        <v>11314</v>
      </c>
      <c r="D506" s="663" t="s">
        <v>11390</v>
      </c>
      <c r="E506" s="663" t="s">
        <v>11391</v>
      </c>
      <c r="F506" s="658">
        <v>0.1</v>
      </c>
      <c r="G506" s="658">
        <v>0</v>
      </c>
      <c r="H506" s="664"/>
      <c r="I506" s="664">
        <f t="shared" si="2"/>
        <v>0</v>
      </c>
      <c r="J506" s="664">
        <f t="shared" si="3"/>
        <v>0</v>
      </c>
      <c r="K506" s="661"/>
    </row>
    <row r="507" spans="1:11" ht="18.75" customHeight="1">
      <c r="A507" s="661"/>
      <c r="B507" s="657" t="s">
        <v>11313</v>
      </c>
      <c r="C507" s="657" t="s">
        <v>11314</v>
      </c>
      <c r="D507" s="663" t="s">
        <v>11392</v>
      </c>
      <c r="E507" s="663" t="s">
        <v>11393</v>
      </c>
      <c r="F507" s="658">
        <v>0.1</v>
      </c>
      <c r="G507" s="658">
        <v>0</v>
      </c>
      <c r="H507" s="664"/>
      <c r="I507" s="664">
        <f t="shared" si="2"/>
        <v>0</v>
      </c>
      <c r="J507" s="664">
        <f t="shared" si="3"/>
        <v>0</v>
      </c>
      <c r="K507" s="661"/>
    </row>
    <row r="508" spans="1:11" ht="18.75" customHeight="1">
      <c r="A508" s="661"/>
      <c r="B508" s="657" t="s">
        <v>11313</v>
      </c>
      <c r="C508" s="657" t="s">
        <v>11314</v>
      </c>
      <c r="D508" s="663" t="s">
        <v>1981</v>
      </c>
      <c r="E508" s="663" t="s">
        <v>11394</v>
      </c>
      <c r="F508" s="658">
        <v>0.1</v>
      </c>
      <c r="G508" s="658">
        <v>0</v>
      </c>
      <c r="H508" s="664">
        <v>139300</v>
      </c>
      <c r="I508" s="664">
        <f t="shared" si="2"/>
        <v>126640</v>
      </c>
      <c r="J508" s="664">
        <f t="shared" si="3"/>
        <v>139300</v>
      </c>
      <c r="K508" s="661"/>
    </row>
    <row r="509" spans="1:11" ht="18.75" customHeight="1">
      <c r="A509" s="661"/>
      <c r="B509" s="657" t="s">
        <v>11313</v>
      </c>
      <c r="C509" s="657" t="s">
        <v>11314</v>
      </c>
      <c r="D509" s="663" t="s">
        <v>11395</v>
      </c>
      <c r="E509" s="663" t="s">
        <v>11396</v>
      </c>
      <c r="F509" s="658">
        <v>0.1</v>
      </c>
      <c r="G509" s="658">
        <v>0</v>
      </c>
      <c r="H509" s="664">
        <v>194400</v>
      </c>
      <c r="I509" s="664">
        <f t="shared" si="2"/>
        <v>176730</v>
      </c>
      <c r="J509" s="664">
        <f t="shared" si="3"/>
        <v>194400</v>
      </c>
      <c r="K509" s="661"/>
    </row>
    <row r="510" spans="1:11" ht="18.75" customHeight="1">
      <c r="A510" s="661"/>
      <c r="B510" s="657" t="s">
        <v>11313</v>
      </c>
      <c r="C510" s="657" t="s">
        <v>11314</v>
      </c>
      <c r="D510" s="663" t="s">
        <v>11397</v>
      </c>
      <c r="E510" s="663" t="s">
        <v>11398</v>
      </c>
      <c r="F510" s="658">
        <v>0.1</v>
      </c>
      <c r="G510" s="658">
        <v>0</v>
      </c>
      <c r="H510" s="664">
        <v>378000</v>
      </c>
      <c r="I510" s="664">
        <f t="shared" si="2"/>
        <v>343640</v>
      </c>
      <c r="J510" s="664">
        <f t="shared" si="3"/>
        <v>378000</v>
      </c>
      <c r="K510" s="661"/>
    </row>
    <row r="511" spans="1:11" ht="18.75" customHeight="1">
      <c r="A511" s="661"/>
      <c r="B511" s="657" t="s">
        <v>11313</v>
      </c>
      <c r="C511" s="657" t="s">
        <v>11314</v>
      </c>
      <c r="D511" s="663" t="s">
        <v>11399</v>
      </c>
      <c r="E511" s="663" t="s">
        <v>11400</v>
      </c>
      <c r="F511" s="658">
        <v>0.1</v>
      </c>
      <c r="G511" s="658">
        <v>0</v>
      </c>
      <c r="H511" s="664"/>
      <c r="I511" s="664">
        <f t="shared" si="2"/>
        <v>0</v>
      </c>
      <c r="J511" s="664">
        <f t="shared" si="3"/>
        <v>0</v>
      </c>
      <c r="K511" s="661"/>
    </row>
    <row r="512" spans="1:11" ht="18.75" customHeight="1">
      <c r="A512" s="661"/>
      <c r="B512" s="657" t="s">
        <v>11313</v>
      </c>
      <c r="C512" s="657" t="s">
        <v>11314</v>
      </c>
      <c r="D512" s="663" t="s">
        <v>11401</v>
      </c>
      <c r="E512" s="663" t="s">
        <v>11402</v>
      </c>
      <c r="F512" s="658">
        <v>0.1</v>
      </c>
      <c r="G512" s="658">
        <v>0</v>
      </c>
      <c r="H512" s="664"/>
      <c r="I512" s="664">
        <f t="shared" si="2"/>
        <v>0</v>
      </c>
      <c r="J512" s="664">
        <f t="shared" si="3"/>
        <v>0</v>
      </c>
      <c r="K512" s="661"/>
    </row>
    <row r="513" spans="1:11" ht="18.75" customHeight="1">
      <c r="A513" s="661"/>
      <c r="B513" s="657" t="s">
        <v>11313</v>
      </c>
      <c r="C513" s="657" t="s">
        <v>11314</v>
      </c>
      <c r="D513" s="663" t="s">
        <v>11403</v>
      </c>
      <c r="E513" s="663" t="s">
        <v>11404</v>
      </c>
      <c r="F513" s="658">
        <v>0.1</v>
      </c>
      <c r="G513" s="658">
        <v>0</v>
      </c>
      <c r="H513" s="664">
        <v>486000</v>
      </c>
      <c r="I513" s="664">
        <f t="shared" si="2"/>
        <v>441820</v>
      </c>
      <c r="J513" s="664">
        <f t="shared" si="3"/>
        <v>486000</v>
      </c>
      <c r="K513" s="661"/>
    </row>
    <row r="514" spans="1:11" ht="18.75" customHeight="1">
      <c r="A514" s="661"/>
      <c r="B514" s="657" t="s">
        <v>11313</v>
      </c>
      <c r="C514" s="657" t="s">
        <v>11314</v>
      </c>
      <c r="D514" s="663" t="s">
        <v>1973</v>
      </c>
      <c r="E514" s="663" t="s">
        <v>1974</v>
      </c>
      <c r="F514" s="658">
        <v>0.1</v>
      </c>
      <c r="G514" s="658">
        <v>0</v>
      </c>
      <c r="H514" s="664">
        <v>266000</v>
      </c>
      <c r="I514" s="664">
        <f t="shared" si="2"/>
        <v>241820</v>
      </c>
      <c r="J514" s="664">
        <f t="shared" si="3"/>
        <v>266000</v>
      </c>
      <c r="K514" s="661"/>
    </row>
    <row r="515" spans="1:11" ht="18.75" customHeight="1">
      <c r="A515" s="661"/>
      <c r="B515" s="657" t="s">
        <v>11313</v>
      </c>
      <c r="C515" s="657" t="s">
        <v>11314</v>
      </c>
      <c r="D515" s="663" t="s">
        <v>1975</v>
      </c>
      <c r="E515" s="663" t="s">
        <v>1976</v>
      </c>
      <c r="F515" s="658">
        <v>0.1</v>
      </c>
      <c r="G515" s="658">
        <v>0</v>
      </c>
      <c r="H515" s="664">
        <v>251999.99999999997</v>
      </c>
      <c r="I515" s="664">
        <f t="shared" ref="I515:I769" si="4">IF(ISBLANK(H515),,ROUND(H515/(1+F515),-1))</f>
        <v>229090</v>
      </c>
      <c r="J515" s="664">
        <f t="shared" ref="J515:J769" si="5">IF(ISBLANK(H515),,ROUND(H515*(1-G515),-1))</f>
        <v>252000</v>
      </c>
      <c r="K515" s="661"/>
    </row>
    <row r="516" spans="1:11" ht="18.75" customHeight="1">
      <c r="A516" s="661"/>
      <c r="B516" s="657" t="s">
        <v>11313</v>
      </c>
      <c r="C516" s="657" t="s">
        <v>11314</v>
      </c>
      <c r="D516" s="663" t="s">
        <v>11405</v>
      </c>
      <c r="E516" s="663" t="s">
        <v>11406</v>
      </c>
      <c r="F516" s="658">
        <v>0.1</v>
      </c>
      <c r="G516" s="658">
        <v>0</v>
      </c>
      <c r="H516" s="663"/>
      <c r="I516" s="664">
        <f t="shared" si="4"/>
        <v>0</v>
      </c>
      <c r="J516" s="664">
        <f t="shared" si="5"/>
        <v>0</v>
      </c>
      <c r="K516" s="661"/>
    </row>
    <row r="517" spans="1:11" ht="18.75" customHeight="1">
      <c r="A517" s="661"/>
      <c r="B517" s="657" t="s">
        <v>11313</v>
      </c>
      <c r="C517" s="657" t="s">
        <v>11314</v>
      </c>
      <c r="D517" s="663" t="s">
        <v>11407</v>
      </c>
      <c r="E517" s="663" t="s">
        <v>11408</v>
      </c>
      <c r="F517" s="658">
        <v>0.1</v>
      </c>
      <c r="G517" s="658">
        <v>0</v>
      </c>
      <c r="H517" s="664"/>
      <c r="I517" s="664">
        <f t="shared" si="4"/>
        <v>0</v>
      </c>
      <c r="J517" s="664">
        <f t="shared" si="5"/>
        <v>0</v>
      </c>
      <c r="K517" s="661"/>
    </row>
    <row r="518" spans="1:11" ht="18.75" customHeight="1">
      <c r="A518" s="661"/>
      <c r="B518" s="657" t="s">
        <v>11313</v>
      </c>
      <c r="C518" s="657" t="s">
        <v>11314</v>
      </c>
      <c r="D518" s="663" t="s">
        <v>11409</v>
      </c>
      <c r="E518" s="663" t="s">
        <v>11410</v>
      </c>
      <c r="F518" s="658">
        <v>0.1</v>
      </c>
      <c r="G518" s="658">
        <v>0</v>
      </c>
      <c r="H518" s="664">
        <v>429950</v>
      </c>
      <c r="I518" s="664">
        <f t="shared" si="4"/>
        <v>390860</v>
      </c>
      <c r="J518" s="664">
        <f t="shared" si="5"/>
        <v>429950</v>
      </c>
      <c r="K518" s="661"/>
    </row>
    <row r="519" spans="1:11" ht="18.75" customHeight="1">
      <c r="A519" s="661"/>
      <c r="B519" s="657" t="s">
        <v>11313</v>
      </c>
      <c r="C519" s="657" t="s">
        <v>11314</v>
      </c>
      <c r="D519" s="663" t="s">
        <v>11411</v>
      </c>
      <c r="E519" s="663" t="s">
        <v>11412</v>
      </c>
      <c r="F519" s="658">
        <v>0.1</v>
      </c>
      <c r="G519" s="658">
        <v>0</v>
      </c>
      <c r="H519" s="664">
        <v>648000</v>
      </c>
      <c r="I519" s="664">
        <f t="shared" si="4"/>
        <v>589090</v>
      </c>
      <c r="J519" s="664">
        <f t="shared" si="5"/>
        <v>648000</v>
      </c>
      <c r="K519" s="661"/>
    </row>
    <row r="520" spans="1:11" ht="18.75" customHeight="1">
      <c r="A520" s="661"/>
      <c r="B520" s="657" t="s">
        <v>11313</v>
      </c>
      <c r="C520" s="657" t="s">
        <v>11314</v>
      </c>
      <c r="D520" s="663" t="s">
        <v>11413</v>
      </c>
      <c r="E520" s="663" t="s">
        <v>11414</v>
      </c>
      <c r="F520" s="658">
        <v>0.1</v>
      </c>
      <c r="G520" s="658">
        <v>0</v>
      </c>
      <c r="H520" s="664"/>
      <c r="I520" s="664">
        <f t="shared" si="4"/>
        <v>0</v>
      </c>
      <c r="J520" s="664">
        <f t="shared" si="5"/>
        <v>0</v>
      </c>
      <c r="K520" s="661"/>
    </row>
    <row r="521" spans="1:11" ht="18.75" customHeight="1">
      <c r="A521" s="661"/>
      <c r="B521" s="657" t="s">
        <v>11313</v>
      </c>
      <c r="C521" s="657" t="s">
        <v>11314</v>
      </c>
      <c r="D521" s="663" t="s">
        <v>11415</v>
      </c>
      <c r="E521" s="663" t="s">
        <v>11416</v>
      </c>
      <c r="F521" s="658">
        <v>0.1</v>
      </c>
      <c r="G521" s="658">
        <v>0</v>
      </c>
      <c r="H521" s="664"/>
      <c r="I521" s="664">
        <f t="shared" si="4"/>
        <v>0</v>
      </c>
      <c r="J521" s="664">
        <f t="shared" si="5"/>
        <v>0</v>
      </c>
      <c r="K521" s="661"/>
    </row>
    <row r="522" spans="1:11" ht="18.75" customHeight="1">
      <c r="A522" s="661"/>
      <c r="B522" s="657" t="s">
        <v>11313</v>
      </c>
      <c r="C522" s="657" t="s">
        <v>11314</v>
      </c>
      <c r="D522" s="663" t="s">
        <v>11417</v>
      </c>
      <c r="E522" s="663" t="s">
        <v>11418</v>
      </c>
      <c r="F522" s="658">
        <v>0.1</v>
      </c>
      <c r="G522" s="658">
        <v>0</v>
      </c>
      <c r="H522" s="663"/>
      <c r="I522" s="664">
        <f t="shared" si="4"/>
        <v>0</v>
      </c>
      <c r="J522" s="664">
        <f t="shared" si="5"/>
        <v>0</v>
      </c>
      <c r="K522" s="661"/>
    </row>
    <row r="523" spans="1:11" ht="18.75" customHeight="1">
      <c r="A523" s="661"/>
      <c r="B523" s="657" t="s">
        <v>11313</v>
      </c>
      <c r="C523" s="657" t="s">
        <v>11314</v>
      </c>
      <c r="D523" s="663" t="s">
        <v>11419</v>
      </c>
      <c r="E523" s="663" t="s">
        <v>11420</v>
      </c>
      <c r="F523" s="658">
        <v>0.1</v>
      </c>
      <c r="G523" s="658">
        <v>0</v>
      </c>
      <c r="H523" s="663"/>
      <c r="I523" s="664">
        <f t="shared" si="4"/>
        <v>0</v>
      </c>
      <c r="J523" s="664">
        <f t="shared" si="5"/>
        <v>0</v>
      </c>
      <c r="K523" s="661"/>
    </row>
    <row r="524" spans="1:11" ht="18.75" customHeight="1">
      <c r="A524" s="661"/>
      <c r="B524" s="657" t="s">
        <v>11313</v>
      </c>
      <c r="C524" s="657" t="s">
        <v>11314</v>
      </c>
      <c r="D524" s="663" t="s">
        <v>11421</v>
      </c>
      <c r="E524" s="663" t="s">
        <v>11422</v>
      </c>
      <c r="F524" s="658">
        <v>0.1</v>
      </c>
      <c r="G524" s="658">
        <v>0</v>
      </c>
      <c r="H524" s="663"/>
      <c r="I524" s="664">
        <f t="shared" si="4"/>
        <v>0</v>
      </c>
      <c r="J524" s="664">
        <f t="shared" si="5"/>
        <v>0</v>
      </c>
      <c r="K524" s="661"/>
    </row>
    <row r="525" spans="1:11" ht="18.75" customHeight="1">
      <c r="A525" s="661"/>
      <c r="B525" s="657" t="s">
        <v>11313</v>
      </c>
      <c r="C525" s="657" t="s">
        <v>11314</v>
      </c>
      <c r="D525" s="663" t="s">
        <v>11423</v>
      </c>
      <c r="E525" s="663" t="s">
        <v>11424</v>
      </c>
      <c r="F525" s="658">
        <v>0.1</v>
      </c>
      <c r="G525" s="658">
        <v>0</v>
      </c>
      <c r="H525" s="663"/>
      <c r="I525" s="664">
        <f t="shared" si="4"/>
        <v>0</v>
      </c>
      <c r="J525" s="664">
        <f t="shared" si="5"/>
        <v>0</v>
      </c>
      <c r="K525" s="661"/>
    </row>
    <row r="526" spans="1:11" ht="18.75" customHeight="1">
      <c r="A526" s="661"/>
      <c r="B526" s="657" t="s">
        <v>11313</v>
      </c>
      <c r="C526" s="657" t="s">
        <v>11314</v>
      </c>
      <c r="D526" s="663" t="s">
        <v>11425</v>
      </c>
      <c r="E526" s="663" t="s">
        <v>11426</v>
      </c>
      <c r="F526" s="658">
        <v>0.1</v>
      </c>
      <c r="G526" s="658">
        <v>0</v>
      </c>
      <c r="H526" s="664">
        <v>291600</v>
      </c>
      <c r="I526" s="664">
        <f t="shared" si="4"/>
        <v>265090</v>
      </c>
      <c r="J526" s="664">
        <f t="shared" si="5"/>
        <v>291600</v>
      </c>
      <c r="K526" s="661"/>
    </row>
    <row r="527" spans="1:11" ht="18.75" customHeight="1">
      <c r="A527" s="661"/>
      <c r="B527" s="657" t="s">
        <v>11313</v>
      </c>
      <c r="C527" s="657" t="s">
        <v>11314</v>
      </c>
      <c r="D527" s="663" t="s">
        <v>11427</v>
      </c>
      <c r="E527" s="663" t="s">
        <v>11428</v>
      </c>
      <c r="F527" s="658">
        <v>0.1</v>
      </c>
      <c r="G527" s="658">
        <v>0</v>
      </c>
      <c r="H527" s="664">
        <v>168050</v>
      </c>
      <c r="I527" s="664">
        <f t="shared" si="4"/>
        <v>152770</v>
      </c>
      <c r="J527" s="664">
        <f t="shared" si="5"/>
        <v>168050</v>
      </c>
      <c r="K527" s="661"/>
    </row>
    <row r="528" spans="1:11" ht="18.75" customHeight="1">
      <c r="A528" s="661"/>
      <c r="B528" s="657" t="s">
        <v>11313</v>
      </c>
      <c r="C528" s="657" t="s">
        <v>11314</v>
      </c>
      <c r="D528" s="663" t="s">
        <v>11429</v>
      </c>
      <c r="E528" s="663" t="s">
        <v>11430</v>
      </c>
      <c r="F528" s="658">
        <v>0.1</v>
      </c>
      <c r="G528" s="658">
        <v>0</v>
      </c>
      <c r="H528" s="664">
        <v>168050</v>
      </c>
      <c r="I528" s="664">
        <f t="shared" si="4"/>
        <v>152770</v>
      </c>
      <c r="J528" s="664">
        <f t="shared" si="5"/>
        <v>168050</v>
      </c>
      <c r="K528" s="661"/>
    </row>
    <row r="529" spans="1:11" ht="18.75" customHeight="1">
      <c r="A529" s="661"/>
      <c r="B529" s="657" t="s">
        <v>11313</v>
      </c>
      <c r="C529" s="657" t="s">
        <v>11314</v>
      </c>
      <c r="D529" s="663" t="s">
        <v>11431</v>
      </c>
      <c r="E529" s="663" t="s">
        <v>11432</v>
      </c>
      <c r="F529" s="658">
        <v>0.1</v>
      </c>
      <c r="G529" s="658">
        <v>0</v>
      </c>
      <c r="H529" s="663"/>
      <c r="I529" s="664">
        <f t="shared" si="4"/>
        <v>0</v>
      </c>
      <c r="J529" s="664">
        <f t="shared" si="5"/>
        <v>0</v>
      </c>
      <c r="K529" s="661"/>
    </row>
    <row r="530" spans="1:11" ht="18.75" customHeight="1">
      <c r="A530" s="661"/>
      <c r="B530" s="657" t="s">
        <v>11313</v>
      </c>
      <c r="C530" s="657" t="s">
        <v>11314</v>
      </c>
      <c r="D530" s="663" t="s">
        <v>1977</v>
      </c>
      <c r="E530" s="663" t="s">
        <v>1978</v>
      </c>
      <c r="F530" s="658">
        <v>0.1</v>
      </c>
      <c r="G530" s="658">
        <v>0</v>
      </c>
      <c r="H530" s="664"/>
      <c r="I530" s="664">
        <f t="shared" si="4"/>
        <v>0</v>
      </c>
      <c r="J530" s="664">
        <f t="shared" si="5"/>
        <v>0</v>
      </c>
      <c r="K530" s="661"/>
    </row>
    <row r="531" spans="1:11" ht="18.75" customHeight="1">
      <c r="A531" s="661"/>
      <c r="B531" s="657" t="s">
        <v>11313</v>
      </c>
      <c r="C531" s="657" t="s">
        <v>11314</v>
      </c>
      <c r="D531" s="663" t="s">
        <v>11433</v>
      </c>
      <c r="E531" s="663" t="s">
        <v>11434</v>
      </c>
      <c r="F531" s="658">
        <v>0.1</v>
      </c>
      <c r="G531" s="658">
        <v>0</v>
      </c>
      <c r="H531" s="664">
        <v>182950</v>
      </c>
      <c r="I531" s="664">
        <f t="shared" si="4"/>
        <v>166320</v>
      </c>
      <c r="J531" s="664">
        <f t="shared" si="5"/>
        <v>182950</v>
      </c>
      <c r="K531" s="661"/>
    </row>
    <row r="532" spans="1:11" ht="18.75" customHeight="1">
      <c r="A532" s="661"/>
      <c r="B532" s="657" t="s">
        <v>11313</v>
      </c>
      <c r="C532" s="657" t="s">
        <v>11314</v>
      </c>
      <c r="D532" s="663" t="s">
        <v>11435</v>
      </c>
      <c r="E532" s="663" t="s">
        <v>11436</v>
      </c>
      <c r="F532" s="658">
        <v>0.1</v>
      </c>
      <c r="G532" s="658">
        <v>0</v>
      </c>
      <c r="H532" s="663"/>
      <c r="I532" s="664">
        <f t="shared" si="4"/>
        <v>0</v>
      </c>
      <c r="J532" s="664">
        <f t="shared" si="5"/>
        <v>0</v>
      </c>
      <c r="K532" s="661"/>
    </row>
    <row r="533" spans="1:11" ht="18.75" customHeight="1">
      <c r="A533" s="661"/>
      <c r="B533" s="657" t="s">
        <v>11313</v>
      </c>
      <c r="C533" s="657" t="s">
        <v>11314</v>
      </c>
      <c r="D533" s="663" t="s">
        <v>11437</v>
      </c>
      <c r="E533" s="663" t="s">
        <v>11438</v>
      </c>
      <c r="F533" s="658">
        <v>0.1</v>
      </c>
      <c r="G533" s="658">
        <v>0</v>
      </c>
      <c r="H533" s="663"/>
      <c r="I533" s="664">
        <f t="shared" si="4"/>
        <v>0</v>
      </c>
      <c r="J533" s="664">
        <f t="shared" si="5"/>
        <v>0</v>
      </c>
      <c r="K533" s="661"/>
    </row>
    <row r="534" spans="1:11" ht="18.75" customHeight="1">
      <c r="A534" s="661"/>
      <c r="B534" s="657" t="s">
        <v>11313</v>
      </c>
      <c r="C534" s="657" t="s">
        <v>11314</v>
      </c>
      <c r="D534" s="663" t="s">
        <v>11439</v>
      </c>
      <c r="E534" s="663" t="s">
        <v>11440</v>
      </c>
      <c r="F534" s="658">
        <v>0.1</v>
      </c>
      <c r="G534" s="658">
        <v>0</v>
      </c>
      <c r="H534" s="664">
        <v>441820</v>
      </c>
      <c r="I534" s="664">
        <f t="shared" si="4"/>
        <v>401650</v>
      </c>
      <c r="J534" s="664">
        <f t="shared" si="5"/>
        <v>441820</v>
      </c>
      <c r="K534" s="661"/>
    </row>
    <row r="535" spans="1:11" ht="18.75" customHeight="1">
      <c r="A535" s="661"/>
      <c r="B535" s="657" t="s">
        <v>11313</v>
      </c>
      <c r="C535" s="657" t="s">
        <v>11314</v>
      </c>
      <c r="D535" s="663" t="s">
        <v>1979</v>
      </c>
      <c r="E535" s="663" t="s">
        <v>1980</v>
      </c>
      <c r="F535" s="658">
        <v>0.1</v>
      </c>
      <c r="G535" s="658">
        <v>0</v>
      </c>
      <c r="H535" s="664">
        <v>86500</v>
      </c>
      <c r="I535" s="664">
        <f t="shared" si="4"/>
        <v>78640</v>
      </c>
      <c r="J535" s="664">
        <f t="shared" si="5"/>
        <v>86500</v>
      </c>
      <c r="K535" s="661"/>
    </row>
    <row r="536" spans="1:11" ht="18.75" customHeight="1">
      <c r="A536" s="661"/>
      <c r="B536" s="657" t="s">
        <v>11313</v>
      </c>
      <c r="C536" s="657" t="s">
        <v>11314</v>
      </c>
      <c r="D536" s="663" t="s">
        <v>11441</v>
      </c>
      <c r="E536" s="663" t="s">
        <v>11442</v>
      </c>
      <c r="F536" s="658">
        <v>0.1</v>
      </c>
      <c r="G536" s="658">
        <v>0</v>
      </c>
      <c r="H536" s="664">
        <v>14040</v>
      </c>
      <c r="I536" s="664">
        <f t="shared" si="4"/>
        <v>12760</v>
      </c>
      <c r="J536" s="664">
        <f t="shared" si="5"/>
        <v>14040</v>
      </c>
      <c r="K536" s="661"/>
    </row>
    <row r="537" spans="1:11" ht="18.75" customHeight="1">
      <c r="A537" s="661"/>
      <c r="B537" s="657" t="s">
        <v>11313</v>
      </c>
      <c r="C537" s="657" t="s">
        <v>11314</v>
      </c>
      <c r="D537" s="663" t="s">
        <v>1987</v>
      </c>
      <c r="E537" s="663" t="s">
        <v>1988</v>
      </c>
      <c r="F537" s="658">
        <v>0.1</v>
      </c>
      <c r="G537" s="658">
        <v>0</v>
      </c>
      <c r="H537" s="664">
        <v>4900</v>
      </c>
      <c r="I537" s="664">
        <f t="shared" si="4"/>
        <v>4450</v>
      </c>
      <c r="J537" s="664">
        <f t="shared" si="5"/>
        <v>4900</v>
      </c>
      <c r="K537" s="661"/>
    </row>
    <row r="538" spans="1:11" ht="18.75" customHeight="1">
      <c r="A538" s="661"/>
      <c r="B538" s="657" t="s">
        <v>11313</v>
      </c>
      <c r="C538" s="657" t="s">
        <v>11314</v>
      </c>
      <c r="D538" s="663" t="s">
        <v>11443</v>
      </c>
      <c r="E538" s="663" t="s">
        <v>11444</v>
      </c>
      <c r="F538" s="658">
        <v>0.1</v>
      </c>
      <c r="G538" s="658">
        <v>0</v>
      </c>
      <c r="H538" s="664">
        <v>2376000</v>
      </c>
      <c r="I538" s="664">
        <f t="shared" si="4"/>
        <v>2160000</v>
      </c>
      <c r="J538" s="664">
        <f t="shared" si="5"/>
        <v>2376000</v>
      </c>
      <c r="K538" s="661"/>
    </row>
    <row r="539" spans="1:11" ht="18.75" customHeight="1">
      <c r="A539" s="661"/>
      <c r="B539" s="657" t="s">
        <v>11313</v>
      </c>
      <c r="C539" s="657" t="s">
        <v>11314</v>
      </c>
      <c r="D539" s="663" t="s">
        <v>11445</v>
      </c>
      <c r="E539" s="663" t="s">
        <v>11446</v>
      </c>
      <c r="F539" s="658">
        <v>0.1</v>
      </c>
      <c r="G539" s="658">
        <v>0</v>
      </c>
      <c r="H539" s="664">
        <v>3564000</v>
      </c>
      <c r="I539" s="664">
        <f t="shared" si="4"/>
        <v>3240000</v>
      </c>
      <c r="J539" s="664">
        <f t="shared" si="5"/>
        <v>3564000</v>
      </c>
      <c r="K539" s="661"/>
    </row>
    <row r="540" spans="1:11" ht="18.75" customHeight="1">
      <c r="A540" s="661"/>
      <c r="B540" s="657" t="s">
        <v>11313</v>
      </c>
      <c r="C540" s="657" t="s">
        <v>11314</v>
      </c>
      <c r="D540" s="663" t="s">
        <v>11447</v>
      </c>
      <c r="E540" s="663" t="s">
        <v>11448</v>
      </c>
      <c r="F540" s="658">
        <v>0.1</v>
      </c>
      <c r="G540" s="658">
        <v>0</v>
      </c>
      <c r="H540" s="664">
        <v>2862000</v>
      </c>
      <c r="I540" s="664">
        <f t="shared" si="4"/>
        <v>2601820</v>
      </c>
      <c r="J540" s="664">
        <f t="shared" si="5"/>
        <v>2862000</v>
      </c>
      <c r="K540" s="661"/>
    </row>
    <row r="541" spans="1:11" ht="18.75" customHeight="1">
      <c r="A541" s="661"/>
      <c r="B541" s="657" t="s">
        <v>11313</v>
      </c>
      <c r="C541" s="657" t="s">
        <v>11314</v>
      </c>
      <c r="D541" s="663" t="s">
        <v>11449</v>
      </c>
      <c r="E541" s="663" t="s">
        <v>11450</v>
      </c>
      <c r="F541" s="658">
        <v>0.1</v>
      </c>
      <c r="G541" s="658">
        <v>0</v>
      </c>
      <c r="H541" s="664">
        <v>2592000</v>
      </c>
      <c r="I541" s="664">
        <f t="shared" si="4"/>
        <v>2356360</v>
      </c>
      <c r="J541" s="664">
        <f t="shared" si="5"/>
        <v>2592000</v>
      </c>
      <c r="K541" s="661"/>
    </row>
    <row r="542" spans="1:11" ht="18.75" customHeight="1">
      <c r="A542" s="661"/>
      <c r="B542" s="657" t="s">
        <v>11313</v>
      </c>
      <c r="C542" s="657" t="s">
        <v>11314</v>
      </c>
      <c r="D542" s="663" t="s">
        <v>1954</v>
      </c>
      <c r="E542" s="663" t="s">
        <v>1955</v>
      </c>
      <c r="F542" s="658">
        <v>0.1</v>
      </c>
      <c r="G542" s="658">
        <v>0</v>
      </c>
      <c r="H542" s="664">
        <v>4559980</v>
      </c>
      <c r="I542" s="664">
        <f t="shared" si="4"/>
        <v>4145440</v>
      </c>
      <c r="J542" s="664">
        <f t="shared" si="5"/>
        <v>4559980</v>
      </c>
      <c r="K542" s="661"/>
    </row>
    <row r="543" spans="1:11" ht="18.75" customHeight="1">
      <c r="A543" s="661"/>
      <c r="B543" s="657" t="s">
        <v>11313</v>
      </c>
      <c r="C543" s="657" t="s">
        <v>11314</v>
      </c>
      <c r="D543" s="663" t="s">
        <v>1958</v>
      </c>
      <c r="E543" s="663" t="s">
        <v>1959</v>
      </c>
      <c r="F543" s="658">
        <v>0.1</v>
      </c>
      <c r="G543" s="658">
        <v>0</v>
      </c>
      <c r="H543" s="664">
        <v>31500</v>
      </c>
      <c r="I543" s="664">
        <f t="shared" si="4"/>
        <v>28640</v>
      </c>
      <c r="J543" s="664">
        <f t="shared" si="5"/>
        <v>31500</v>
      </c>
      <c r="K543" s="661"/>
    </row>
    <row r="544" spans="1:11" ht="18.75" customHeight="1">
      <c r="A544" s="661"/>
      <c r="B544" s="657" t="s">
        <v>11313</v>
      </c>
      <c r="C544" s="657" t="s">
        <v>11314</v>
      </c>
      <c r="D544" s="663" t="s">
        <v>2085</v>
      </c>
      <c r="E544" s="663" t="s">
        <v>2086</v>
      </c>
      <c r="F544" s="658">
        <v>0.1</v>
      </c>
      <c r="G544" s="658">
        <v>0</v>
      </c>
      <c r="H544" s="664">
        <v>79000</v>
      </c>
      <c r="I544" s="664">
        <f t="shared" si="4"/>
        <v>71820</v>
      </c>
      <c r="J544" s="664">
        <f t="shared" si="5"/>
        <v>79000</v>
      </c>
      <c r="K544" s="661"/>
    </row>
    <row r="545" spans="1:11" ht="18.75" customHeight="1">
      <c r="A545" s="661"/>
      <c r="B545" s="657" t="s">
        <v>11313</v>
      </c>
      <c r="C545" s="657" t="s">
        <v>11314</v>
      </c>
      <c r="D545" s="663" t="s">
        <v>2095</v>
      </c>
      <c r="E545" s="663" t="s">
        <v>2096</v>
      </c>
      <c r="F545" s="658">
        <v>0.1</v>
      </c>
      <c r="G545" s="658">
        <v>0</v>
      </c>
      <c r="H545" s="664">
        <v>115500</v>
      </c>
      <c r="I545" s="664">
        <f t="shared" si="4"/>
        <v>105000</v>
      </c>
      <c r="J545" s="664">
        <f t="shared" si="5"/>
        <v>115500</v>
      </c>
      <c r="K545" s="661"/>
    </row>
    <row r="546" spans="1:11" ht="18.75" customHeight="1">
      <c r="A546" s="661"/>
      <c r="B546" s="657" t="s">
        <v>11313</v>
      </c>
      <c r="C546" s="657" t="s">
        <v>11314</v>
      </c>
      <c r="D546" s="663" t="s">
        <v>11451</v>
      </c>
      <c r="E546" s="663" t="s">
        <v>11452</v>
      </c>
      <c r="F546" s="658">
        <v>0.1</v>
      </c>
      <c r="G546" s="658">
        <v>0</v>
      </c>
      <c r="H546" s="664">
        <v>70200</v>
      </c>
      <c r="I546" s="664">
        <f t="shared" si="4"/>
        <v>63820</v>
      </c>
      <c r="J546" s="664">
        <f t="shared" si="5"/>
        <v>70200</v>
      </c>
      <c r="K546" s="661"/>
    </row>
    <row r="547" spans="1:11" ht="18.75" customHeight="1">
      <c r="A547" s="661"/>
      <c r="B547" s="657" t="s">
        <v>11313</v>
      </c>
      <c r="C547" s="657" t="s">
        <v>11314</v>
      </c>
      <c r="D547" s="663" t="s">
        <v>2093</v>
      </c>
      <c r="E547" s="663" t="s">
        <v>2094</v>
      </c>
      <c r="F547" s="658">
        <v>0.1</v>
      </c>
      <c r="G547" s="658">
        <v>0</v>
      </c>
      <c r="H547" s="664">
        <v>40950</v>
      </c>
      <c r="I547" s="664">
        <f t="shared" si="4"/>
        <v>37230</v>
      </c>
      <c r="J547" s="664">
        <f t="shared" si="5"/>
        <v>40950</v>
      </c>
      <c r="K547" s="661"/>
    </row>
    <row r="548" spans="1:11" ht="18.75" customHeight="1">
      <c r="A548" s="661"/>
      <c r="B548" s="657" t="s">
        <v>11313</v>
      </c>
      <c r="C548" s="657" t="s">
        <v>11314</v>
      </c>
      <c r="D548" s="663" t="s">
        <v>1956</v>
      </c>
      <c r="E548" s="663" t="s">
        <v>1957</v>
      </c>
      <c r="F548" s="658">
        <v>0.1</v>
      </c>
      <c r="G548" s="658">
        <v>0</v>
      </c>
      <c r="H548" s="664">
        <v>35400</v>
      </c>
      <c r="I548" s="664">
        <f t="shared" si="4"/>
        <v>32180</v>
      </c>
      <c r="J548" s="664">
        <f t="shared" si="5"/>
        <v>35400</v>
      </c>
      <c r="K548" s="661"/>
    </row>
    <row r="549" spans="1:11" ht="18.75" customHeight="1">
      <c r="A549" s="661"/>
      <c r="B549" s="657" t="s">
        <v>11313</v>
      </c>
      <c r="C549" s="657" t="s">
        <v>11314</v>
      </c>
      <c r="D549" s="663" t="s">
        <v>2098</v>
      </c>
      <c r="E549" s="663" t="s">
        <v>2099</v>
      </c>
      <c r="F549" s="658">
        <v>0.1</v>
      </c>
      <c r="G549" s="658">
        <v>0</v>
      </c>
      <c r="H549" s="664">
        <v>12600</v>
      </c>
      <c r="I549" s="664">
        <f t="shared" si="4"/>
        <v>11450</v>
      </c>
      <c r="J549" s="664">
        <f t="shared" si="5"/>
        <v>12600</v>
      </c>
      <c r="K549" s="661"/>
    </row>
    <row r="550" spans="1:11" ht="18.75" customHeight="1">
      <c r="A550" s="661"/>
      <c r="B550" s="657" t="s">
        <v>11313</v>
      </c>
      <c r="C550" s="657" t="s">
        <v>11314</v>
      </c>
      <c r="D550" s="663" t="s">
        <v>11453</v>
      </c>
      <c r="E550" s="663" t="s">
        <v>11454</v>
      </c>
      <c r="F550" s="658">
        <v>0.1</v>
      </c>
      <c r="G550" s="658">
        <v>0</v>
      </c>
      <c r="H550" s="664"/>
      <c r="I550" s="664">
        <f t="shared" si="4"/>
        <v>0</v>
      </c>
      <c r="J550" s="664">
        <f t="shared" si="5"/>
        <v>0</v>
      </c>
      <c r="K550" s="661"/>
    </row>
    <row r="551" spans="1:11" ht="18.75" customHeight="1">
      <c r="A551" s="661"/>
      <c r="B551" s="657" t="s">
        <v>11313</v>
      </c>
      <c r="C551" s="657" t="s">
        <v>11314</v>
      </c>
      <c r="D551" s="663" t="s">
        <v>2011</v>
      </c>
      <c r="E551" s="663" t="s">
        <v>2012</v>
      </c>
      <c r="F551" s="658">
        <v>0.1</v>
      </c>
      <c r="G551" s="658">
        <v>0</v>
      </c>
      <c r="H551" s="664">
        <v>94800</v>
      </c>
      <c r="I551" s="664">
        <f t="shared" si="4"/>
        <v>86180</v>
      </c>
      <c r="J551" s="664">
        <f t="shared" si="5"/>
        <v>94800</v>
      </c>
      <c r="K551" s="661"/>
    </row>
    <row r="552" spans="1:11" ht="18.75" customHeight="1">
      <c r="A552" s="661"/>
      <c r="B552" s="657" t="s">
        <v>11313</v>
      </c>
      <c r="C552" s="657" t="s">
        <v>11314</v>
      </c>
      <c r="D552" s="663" t="s">
        <v>2021</v>
      </c>
      <c r="E552" s="663" t="s">
        <v>2022</v>
      </c>
      <c r="F552" s="658">
        <v>0.1</v>
      </c>
      <c r="G552" s="658">
        <v>0</v>
      </c>
      <c r="H552" s="664">
        <v>302400</v>
      </c>
      <c r="I552" s="664">
        <f t="shared" si="4"/>
        <v>274910</v>
      </c>
      <c r="J552" s="664">
        <f t="shared" si="5"/>
        <v>302400</v>
      </c>
      <c r="K552" s="661"/>
    </row>
    <row r="553" spans="1:11" ht="18.75" customHeight="1">
      <c r="A553" s="661"/>
      <c r="B553" s="657" t="s">
        <v>11313</v>
      </c>
      <c r="C553" s="657" t="s">
        <v>11314</v>
      </c>
      <c r="D553" s="663" t="s">
        <v>2013</v>
      </c>
      <c r="E553" s="663" t="s">
        <v>2014</v>
      </c>
      <c r="F553" s="658">
        <v>0.1</v>
      </c>
      <c r="G553" s="658">
        <v>0</v>
      </c>
      <c r="H553" s="664">
        <v>94800</v>
      </c>
      <c r="I553" s="664">
        <f t="shared" si="4"/>
        <v>86180</v>
      </c>
      <c r="J553" s="664">
        <f t="shared" si="5"/>
        <v>94800</v>
      </c>
      <c r="K553" s="661"/>
    </row>
    <row r="554" spans="1:11" ht="18.75" customHeight="1">
      <c r="A554" s="661"/>
      <c r="B554" s="657" t="s">
        <v>11313</v>
      </c>
      <c r="C554" s="657" t="s">
        <v>11314</v>
      </c>
      <c r="D554" s="663" t="s">
        <v>2017</v>
      </c>
      <c r="E554" s="663" t="s">
        <v>2018</v>
      </c>
      <c r="F554" s="658">
        <v>0.1</v>
      </c>
      <c r="G554" s="658">
        <v>0</v>
      </c>
      <c r="H554" s="664">
        <v>94800</v>
      </c>
      <c r="I554" s="664">
        <f t="shared" si="4"/>
        <v>86180</v>
      </c>
      <c r="J554" s="664">
        <f t="shared" si="5"/>
        <v>94800</v>
      </c>
      <c r="K554" s="661"/>
    </row>
    <row r="555" spans="1:11" ht="18.75" customHeight="1">
      <c r="A555" s="661"/>
      <c r="B555" s="657" t="s">
        <v>11313</v>
      </c>
      <c r="C555" s="657" t="s">
        <v>11314</v>
      </c>
      <c r="D555" s="663" t="s">
        <v>11455</v>
      </c>
      <c r="E555" s="663" t="s">
        <v>11456</v>
      </c>
      <c r="F555" s="658">
        <v>0.1</v>
      </c>
      <c r="G555" s="658">
        <v>0</v>
      </c>
      <c r="H555" s="664">
        <v>836000</v>
      </c>
      <c r="I555" s="664">
        <f t="shared" si="4"/>
        <v>760000</v>
      </c>
      <c r="J555" s="664">
        <f t="shared" si="5"/>
        <v>836000</v>
      </c>
      <c r="K555" s="661"/>
    </row>
    <row r="556" spans="1:11" ht="18.75" customHeight="1">
      <c r="A556" s="661"/>
      <c r="B556" s="657" t="s">
        <v>11313</v>
      </c>
      <c r="C556" s="657" t="s">
        <v>11314</v>
      </c>
      <c r="D556" s="663" t="s">
        <v>2019</v>
      </c>
      <c r="E556" s="663" t="s">
        <v>2020</v>
      </c>
      <c r="F556" s="658">
        <v>0.1</v>
      </c>
      <c r="G556" s="658">
        <v>0</v>
      </c>
      <c r="H556" s="664">
        <v>138600</v>
      </c>
      <c r="I556" s="664">
        <f t="shared" si="4"/>
        <v>126000</v>
      </c>
      <c r="J556" s="664">
        <f t="shared" si="5"/>
        <v>138600</v>
      </c>
      <c r="K556" s="661"/>
    </row>
    <row r="557" spans="1:11" ht="18.75" customHeight="1">
      <c r="A557" s="661"/>
      <c r="B557" s="657" t="s">
        <v>11313</v>
      </c>
      <c r="C557" s="657" t="s">
        <v>11314</v>
      </c>
      <c r="D557" s="663" t="s">
        <v>2015</v>
      </c>
      <c r="E557" s="663" t="s">
        <v>2016</v>
      </c>
      <c r="F557" s="658">
        <v>0.1</v>
      </c>
      <c r="G557" s="658">
        <v>0</v>
      </c>
      <c r="H557" s="664">
        <v>94800</v>
      </c>
      <c r="I557" s="664">
        <f t="shared" si="4"/>
        <v>86180</v>
      </c>
      <c r="J557" s="664">
        <f t="shared" si="5"/>
        <v>94800</v>
      </c>
      <c r="K557" s="661"/>
    </row>
    <row r="558" spans="1:11" ht="18.75" customHeight="1">
      <c r="A558" s="661"/>
      <c r="B558" s="657" t="s">
        <v>11313</v>
      </c>
      <c r="C558" s="657" t="s">
        <v>11314</v>
      </c>
      <c r="D558" s="663" t="s">
        <v>2108</v>
      </c>
      <c r="E558" s="663" t="s">
        <v>2108</v>
      </c>
      <c r="F558" s="658">
        <v>0.1</v>
      </c>
      <c r="G558" s="658">
        <v>0</v>
      </c>
      <c r="H558" s="664">
        <v>4900</v>
      </c>
      <c r="I558" s="664">
        <f t="shared" si="4"/>
        <v>4450</v>
      </c>
      <c r="J558" s="664">
        <f t="shared" si="5"/>
        <v>4900</v>
      </c>
      <c r="K558" s="661"/>
    </row>
    <row r="559" spans="1:11" ht="18.75" customHeight="1">
      <c r="A559" s="661"/>
      <c r="B559" s="657" t="s">
        <v>11313</v>
      </c>
      <c r="C559" s="657" t="s">
        <v>11314</v>
      </c>
      <c r="D559" s="663" t="s">
        <v>1914</v>
      </c>
      <c r="E559" s="663" t="s">
        <v>1915</v>
      </c>
      <c r="F559" s="658">
        <v>0.1</v>
      </c>
      <c r="G559" s="658">
        <v>0</v>
      </c>
      <c r="H559" s="664">
        <v>27600</v>
      </c>
      <c r="I559" s="664">
        <f t="shared" si="4"/>
        <v>25090</v>
      </c>
      <c r="J559" s="664">
        <f t="shared" si="5"/>
        <v>27600</v>
      </c>
      <c r="K559" s="661"/>
    </row>
    <row r="560" spans="1:11" ht="18.75" customHeight="1">
      <c r="A560" s="661"/>
      <c r="B560" s="657" t="s">
        <v>11313</v>
      </c>
      <c r="C560" s="657" t="s">
        <v>11314</v>
      </c>
      <c r="D560" s="663" t="s">
        <v>2009</v>
      </c>
      <c r="E560" s="663" t="s">
        <v>2010</v>
      </c>
      <c r="F560" s="658">
        <v>0.1</v>
      </c>
      <c r="G560" s="658">
        <v>0</v>
      </c>
      <c r="H560" s="664">
        <v>352800</v>
      </c>
      <c r="I560" s="664">
        <f t="shared" si="4"/>
        <v>320730</v>
      </c>
      <c r="J560" s="664">
        <f t="shared" si="5"/>
        <v>352800</v>
      </c>
      <c r="K560" s="661"/>
    </row>
    <row r="561" spans="1:11" ht="18.75" customHeight="1">
      <c r="A561" s="661"/>
      <c r="B561" s="657" t="s">
        <v>11313</v>
      </c>
      <c r="C561" s="657" t="s">
        <v>11314</v>
      </c>
      <c r="D561" s="663" t="s">
        <v>11457</v>
      </c>
      <c r="E561" s="663" t="s">
        <v>11458</v>
      </c>
      <c r="F561" s="658">
        <v>0.1</v>
      </c>
      <c r="G561" s="658">
        <v>0</v>
      </c>
      <c r="H561" s="664">
        <v>970000</v>
      </c>
      <c r="I561" s="664">
        <f t="shared" si="4"/>
        <v>881820</v>
      </c>
      <c r="J561" s="664">
        <f t="shared" si="5"/>
        <v>970000</v>
      </c>
      <c r="K561" s="661"/>
    </row>
    <row r="562" spans="1:11" ht="18.75" customHeight="1">
      <c r="A562" s="661"/>
      <c r="B562" s="657" t="s">
        <v>11313</v>
      </c>
      <c r="C562" s="657" t="s">
        <v>11314</v>
      </c>
      <c r="D562" s="663" t="s">
        <v>1960</v>
      </c>
      <c r="E562" s="663" t="s">
        <v>1961</v>
      </c>
      <c r="F562" s="658">
        <v>0.1</v>
      </c>
      <c r="G562" s="658">
        <v>0</v>
      </c>
      <c r="H562" s="664">
        <v>52500</v>
      </c>
      <c r="I562" s="664">
        <f t="shared" si="4"/>
        <v>47730</v>
      </c>
      <c r="J562" s="664">
        <f t="shared" si="5"/>
        <v>52500</v>
      </c>
      <c r="K562" s="661"/>
    </row>
    <row r="563" spans="1:11" ht="18.75" customHeight="1">
      <c r="A563" s="661"/>
      <c r="B563" s="657" t="s">
        <v>11313</v>
      </c>
      <c r="C563" s="657" t="s">
        <v>11314</v>
      </c>
      <c r="D563" s="663" t="s">
        <v>1839</v>
      </c>
      <c r="E563" s="663" t="s">
        <v>1840</v>
      </c>
      <c r="F563" s="658">
        <v>0.1</v>
      </c>
      <c r="G563" s="658">
        <v>0</v>
      </c>
      <c r="H563" s="664">
        <v>28200</v>
      </c>
      <c r="I563" s="664">
        <f t="shared" si="4"/>
        <v>25640</v>
      </c>
      <c r="J563" s="664">
        <f t="shared" si="5"/>
        <v>28200</v>
      </c>
      <c r="K563" s="661"/>
    </row>
    <row r="564" spans="1:11" ht="18.75" customHeight="1">
      <c r="A564" s="661"/>
      <c r="B564" s="657" t="s">
        <v>11313</v>
      </c>
      <c r="C564" s="657" t="s">
        <v>11314</v>
      </c>
      <c r="D564" s="663" t="s">
        <v>1918</v>
      </c>
      <c r="E564" s="663" t="s">
        <v>1919</v>
      </c>
      <c r="F564" s="658">
        <v>0.1</v>
      </c>
      <c r="G564" s="658">
        <v>0</v>
      </c>
      <c r="H564" s="664">
        <v>37000</v>
      </c>
      <c r="I564" s="664">
        <f t="shared" si="4"/>
        <v>33640</v>
      </c>
      <c r="J564" s="664">
        <f t="shared" si="5"/>
        <v>37000</v>
      </c>
      <c r="K564" s="661"/>
    </row>
    <row r="565" spans="1:11" ht="18.75" customHeight="1">
      <c r="A565" s="661"/>
      <c r="B565" s="657" t="s">
        <v>11313</v>
      </c>
      <c r="C565" s="657" t="s">
        <v>11314</v>
      </c>
      <c r="D565" s="663" t="s">
        <v>1994</v>
      </c>
      <c r="E565" s="663" t="s">
        <v>1995</v>
      </c>
      <c r="F565" s="658">
        <v>0.1</v>
      </c>
      <c r="G565" s="658">
        <v>0</v>
      </c>
      <c r="H565" s="664">
        <v>1107400</v>
      </c>
      <c r="I565" s="664">
        <f t="shared" si="4"/>
        <v>1006730</v>
      </c>
      <c r="J565" s="664">
        <f t="shared" si="5"/>
        <v>1107400</v>
      </c>
      <c r="K565" s="661"/>
    </row>
    <row r="566" spans="1:11" ht="18.75" customHeight="1">
      <c r="A566" s="661"/>
      <c r="B566" s="657" t="s">
        <v>11313</v>
      </c>
      <c r="C566" s="657" t="s">
        <v>11314</v>
      </c>
      <c r="D566" s="663" t="s">
        <v>11459</v>
      </c>
      <c r="E566" s="663" t="s">
        <v>11460</v>
      </c>
      <c r="F566" s="658">
        <v>0.1</v>
      </c>
      <c r="G566" s="658">
        <v>0</v>
      </c>
      <c r="H566" s="664">
        <v>777600</v>
      </c>
      <c r="I566" s="664">
        <f t="shared" si="4"/>
        <v>706910</v>
      </c>
      <c r="J566" s="664">
        <f t="shared" si="5"/>
        <v>777600</v>
      </c>
      <c r="K566" s="661"/>
    </row>
    <row r="567" spans="1:11" ht="18.75" customHeight="1">
      <c r="A567" s="661"/>
      <c r="B567" s="657" t="s">
        <v>11313</v>
      </c>
      <c r="C567" s="657" t="s">
        <v>11314</v>
      </c>
      <c r="D567" s="663" t="s">
        <v>11461</v>
      </c>
      <c r="E567" s="663" t="s">
        <v>11462</v>
      </c>
      <c r="F567" s="658">
        <v>0.1</v>
      </c>
      <c r="G567" s="658">
        <v>0</v>
      </c>
      <c r="H567" s="664">
        <v>745960</v>
      </c>
      <c r="I567" s="664">
        <f t="shared" si="4"/>
        <v>678150</v>
      </c>
      <c r="J567" s="664">
        <f t="shared" si="5"/>
        <v>745960</v>
      </c>
      <c r="K567" s="661"/>
    </row>
    <row r="568" spans="1:11" ht="18.75" customHeight="1">
      <c r="A568" s="661"/>
      <c r="B568" s="657" t="s">
        <v>11313</v>
      </c>
      <c r="C568" s="657" t="s">
        <v>11314</v>
      </c>
      <c r="D568" s="663" t="s">
        <v>11463</v>
      </c>
      <c r="E568" s="663" t="s">
        <v>11464</v>
      </c>
      <c r="F568" s="658">
        <v>0.1</v>
      </c>
      <c r="G568" s="658">
        <v>0</v>
      </c>
      <c r="H568" s="664">
        <v>1080000</v>
      </c>
      <c r="I568" s="664">
        <f t="shared" si="4"/>
        <v>981820</v>
      </c>
      <c r="J568" s="664">
        <f t="shared" si="5"/>
        <v>1080000</v>
      </c>
      <c r="K568" s="661"/>
    </row>
    <row r="569" spans="1:11" ht="18.75" customHeight="1">
      <c r="A569" s="661"/>
      <c r="B569" s="657" t="s">
        <v>11313</v>
      </c>
      <c r="C569" s="657" t="s">
        <v>11314</v>
      </c>
      <c r="D569" s="663" t="s">
        <v>2121</v>
      </c>
      <c r="E569" s="663" t="s">
        <v>2122</v>
      </c>
      <c r="F569" s="658">
        <v>0.1</v>
      </c>
      <c r="G569" s="658">
        <v>0</v>
      </c>
      <c r="H569" s="664">
        <v>24970</v>
      </c>
      <c r="I569" s="664">
        <f t="shared" si="4"/>
        <v>22700</v>
      </c>
      <c r="J569" s="664">
        <f t="shared" si="5"/>
        <v>24970</v>
      </c>
      <c r="K569" s="661"/>
    </row>
    <row r="570" spans="1:11" ht="18.75" customHeight="1">
      <c r="A570" s="661"/>
      <c r="B570" s="657" t="s">
        <v>11313</v>
      </c>
      <c r="C570" s="657" t="s">
        <v>11314</v>
      </c>
      <c r="D570" s="663" t="s">
        <v>11465</v>
      </c>
      <c r="E570" s="663" t="s">
        <v>11466</v>
      </c>
      <c r="F570" s="658">
        <v>0.1</v>
      </c>
      <c r="G570" s="658">
        <v>0</v>
      </c>
      <c r="H570" s="664">
        <v>44000</v>
      </c>
      <c r="I570" s="664">
        <f t="shared" si="4"/>
        <v>40000</v>
      </c>
      <c r="J570" s="664">
        <f t="shared" si="5"/>
        <v>44000</v>
      </c>
      <c r="K570" s="661"/>
    </row>
    <row r="571" spans="1:11" ht="18.75" customHeight="1">
      <c r="A571" s="661"/>
      <c r="B571" s="657" t="s">
        <v>11313</v>
      </c>
      <c r="C571" s="657" t="s">
        <v>11314</v>
      </c>
      <c r="D571" s="663" t="s">
        <v>11467</v>
      </c>
      <c r="E571" s="663" t="s">
        <v>11468</v>
      </c>
      <c r="F571" s="658">
        <v>0.1</v>
      </c>
      <c r="G571" s="658">
        <v>0</v>
      </c>
      <c r="H571" s="664">
        <v>66000</v>
      </c>
      <c r="I571" s="664">
        <f t="shared" si="4"/>
        <v>60000</v>
      </c>
      <c r="J571" s="664">
        <f t="shared" si="5"/>
        <v>66000</v>
      </c>
      <c r="K571" s="661"/>
    </row>
    <row r="572" spans="1:11" ht="18.75" customHeight="1">
      <c r="A572" s="661"/>
      <c r="B572" s="657" t="s">
        <v>11313</v>
      </c>
      <c r="C572" s="657" t="s">
        <v>11314</v>
      </c>
      <c r="D572" s="663" t="s">
        <v>2109</v>
      </c>
      <c r="E572" s="663" t="s">
        <v>2110</v>
      </c>
      <c r="F572" s="658">
        <v>0.1</v>
      </c>
      <c r="G572" s="658">
        <v>0</v>
      </c>
      <c r="H572" s="664">
        <v>22400</v>
      </c>
      <c r="I572" s="664">
        <f t="shared" si="4"/>
        <v>20360</v>
      </c>
      <c r="J572" s="664">
        <f t="shared" si="5"/>
        <v>22400</v>
      </c>
      <c r="K572" s="661"/>
    </row>
    <row r="573" spans="1:11" ht="18.75" customHeight="1">
      <c r="A573" s="661"/>
      <c r="B573" s="657" t="s">
        <v>11313</v>
      </c>
      <c r="C573" s="657" t="s">
        <v>11314</v>
      </c>
      <c r="D573" s="663" t="s">
        <v>11469</v>
      </c>
      <c r="E573" s="663" t="s">
        <v>11470</v>
      </c>
      <c r="F573" s="658">
        <v>0.1</v>
      </c>
      <c r="G573" s="658">
        <v>0</v>
      </c>
      <c r="H573" s="664">
        <v>11000</v>
      </c>
      <c r="I573" s="664">
        <f t="shared" si="4"/>
        <v>10000</v>
      </c>
      <c r="J573" s="664">
        <f t="shared" si="5"/>
        <v>11000</v>
      </c>
      <c r="K573" s="661"/>
    </row>
    <row r="574" spans="1:11" ht="18.75" customHeight="1">
      <c r="A574" s="661"/>
      <c r="B574" s="657" t="s">
        <v>11313</v>
      </c>
      <c r="C574" s="657" t="s">
        <v>11314</v>
      </c>
      <c r="D574" s="663" t="s">
        <v>1922</v>
      </c>
      <c r="E574" s="663" t="s">
        <v>1923</v>
      </c>
      <c r="F574" s="658">
        <v>0.1</v>
      </c>
      <c r="G574" s="658">
        <v>0</v>
      </c>
      <c r="H574" s="664">
        <v>94800</v>
      </c>
      <c r="I574" s="664">
        <f t="shared" si="4"/>
        <v>86180</v>
      </c>
      <c r="J574" s="664">
        <f t="shared" si="5"/>
        <v>94800</v>
      </c>
      <c r="K574" s="661"/>
    </row>
    <row r="575" spans="1:11" ht="18.75" customHeight="1">
      <c r="A575" s="661"/>
      <c r="B575" s="657" t="s">
        <v>11313</v>
      </c>
      <c r="C575" s="657" t="s">
        <v>11314</v>
      </c>
      <c r="D575" s="663" t="s">
        <v>1964</v>
      </c>
      <c r="E575" s="663" t="s">
        <v>1965</v>
      </c>
      <c r="F575" s="658">
        <v>0.1</v>
      </c>
      <c r="G575" s="658">
        <v>0</v>
      </c>
      <c r="H575" s="664">
        <v>13800</v>
      </c>
      <c r="I575" s="664">
        <f t="shared" si="4"/>
        <v>12550</v>
      </c>
      <c r="J575" s="664">
        <f t="shared" si="5"/>
        <v>13800</v>
      </c>
      <c r="K575" s="661"/>
    </row>
    <row r="576" spans="1:11" ht="18.75" customHeight="1">
      <c r="A576" s="661"/>
      <c r="B576" s="657" t="s">
        <v>11313</v>
      </c>
      <c r="C576" s="657" t="s">
        <v>11314</v>
      </c>
      <c r="D576" s="663" t="s">
        <v>2111</v>
      </c>
      <c r="E576" s="663" t="s">
        <v>2112</v>
      </c>
      <c r="F576" s="658">
        <v>0.1</v>
      </c>
      <c r="G576" s="658">
        <v>0</v>
      </c>
      <c r="H576" s="664">
        <v>58099.999999999993</v>
      </c>
      <c r="I576" s="664">
        <f t="shared" si="4"/>
        <v>52820</v>
      </c>
      <c r="J576" s="664">
        <f t="shared" si="5"/>
        <v>58100</v>
      </c>
      <c r="K576" s="661"/>
    </row>
    <row r="577" spans="1:11" ht="18.75" customHeight="1">
      <c r="A577" s="661"/>
      <c r="B577" s="657" t="s">
        <v>11313</v>
      </c>
      <c r="C577" s="657" t="s">
        <v>11314</v>
      </c>
      <c r="D577" s="663" t="s">
        <v>11471</v>
      </c>
      <c r="E577" s="663" t="s">
        <v>11472</v>
      </c>
      <c r="F577" s="658">
        <v>0.1</v>
      </c>
      <c r="G577" s="658">
        <v>0</v>
      </c>
      <c r="H577" s="664">
        <v>170100</v>
      </c>
      <c r="I577" s="664">
        <f t="shared" si="4"/>
        <v>154640</v>
      </c>
      <c r="J577" s="664">
        <f t="shared" si="5"/>
        <v>170100</v>
      </c>
      <c r="K577" s="661"/>
    </row>
    <row r="578" spans="1:11" ht="18.75" customHeight="1">
      <c r="A578" s="661"/>
      <c r="B578" s="657" t="s">
        <v>11313</v>
      </c>
      <c r="C578" s="657" t="s">
        <v>11314</v>
      </c>
      <c r="D578" s="663" t="s">
        <v>11473</v>
      </c>
      <c r="E578" s="663" t="s">
        <v>11474</v>
      </c>
      <c r="F578" s="658">
        <v>0.1</v>
      </c>
      <c r="G578" s="658">
        <v>0</v>
      </c>
      <c r="H578" s="664">
        <v>259200</v>
      </c>
      <c r="I578" s="664">
        <f t="shared" si="4"/>
        <v>235640</v>
      </c>
      <c r="J578" s="664">
        <f t="shared" si="5"/>
        <v>259200</v>
      </c>
      <c r="K578" s="661"/>
    </row>
    <row r="579" spans="1:11" ht="18.75" customHeight="1">
      <c r="A579" s="661"/>
      <c r="B579" s="657" t="s">
        <v>11313</v>
      </c>
      <c r="C579" s="657" t="s">
        <v>11314</v>
      </c>
      <c r="D579" s="663" t="s">
        <v>2113</v>
      </c>
      <c r="E579" s="663" t="s">
        <v>2114</v>
      </c>
      <c r="F579" s="658">
        <v>0.1</v>
      </c>
      <c r="G579" s="658">
        <v>0</v>
      </c>
      <c r="H579" s="664">
        <v>158200</v>
      </c>
      <c r="I579" s="664">
        <f t="shared" si="4"/>
        <v>143820</v>
      </c>
      <c r="J579" s="664">
        <f t="shared" si="5"/>
        <v>158200</v>
      </c>
      <c r="K579" s="661"/>
    </row>
    <row r="580" spans="1:11" ht="18.75" customHeight="1">
      <c r="A580" s="661"/>
      <c r="B580" s="657" t="s">
        <v>11313</v>
      </c>
      <c r="C580" s="657" t="s">
        <v>11314</v>
      </c>
      <c r="D580" s="663" t="s">
        <v>11475</v>
      </c>
      <c r="E580" s="663" t="s">
        <v>11476</v>
      </c>
      <c r="F580" s="658">
        <v>0.1</v>
      </c>
      <c r="G580" s="658">
        <v>0</v>
      </c>
      <c r="H580" s="663"/>
      <c r="I580" s="664">
        <f t="shared" si="4"/>
        <v>0</v>
      </c>
      <c r="J580" s="664">
        <f t="shared" si="5"/>
        <v>0</v>
      </c>
      <c r="K580" s="661"/>
    </row>
    <row r="581" spans="1:11" ht="18.75" customHeight="1">
      <c r="A581" s="661"/>
      <c r="B581" s="657" t="s">
        <v>11313</v>
      </c>
      <c r="C581" s="657" t="s">
        <v>11314</v>
      </c>
      <c r="D581" s="663" t="s">
        <v>11477</v>
      </c>
      <c r="E581" s="663" t="s">
        <v>11478</v>
      </c>
      <c r="F581" s="658">
        <v>0.1</v>
      </c>
      <c r="G581" s="658">
        <v>0</v>
      </c>
      <c r="H581" s="664"/>
      <c r="I581" s="664">
        <f t="shared" si="4"/>
        <v>0</v>
      </c>
      <c r="J581" s="664">
        <f t="shared" si="5"/>
        <v>0</v>
      </c>
      <c r="K581" s="661"/>
    </row>
    <row r="582" spans="1:11" ht="18.75" customHeight="1">
      <c r="A582" s="661"/>
      <c r="B582" s="657" t="s">
        <v>11313</v>
      </c>
      <c r="C582" s="657" t="s">
        <v>11314</v>
      </c>
      <c r="D582" s="663" t="s">
        <v>11479</v>
      </c>
      <c r="E582" s="663" t="s">
        <v>11480</v>
      </c>
      <c r="F582" s="658">
        <v>0.1</v>
      </c>
      <c r="G582" s="658">
        <v>0</v>
      </c>
      <c r="H582" s="664">
        <v>2257200</v>
      </c>
      <c r="I582" s="664">
        <f t="shared" si="4"/>
        <v>2052000</v>
      </c>
      <c r="J582" s="664">
        <f t="shared" si="5"/>
        <v>2257200</v>
      </c>
      <c r="K582" s="661"/>
    </row>
    <row r="583" spans="1:11" ht="18.75" customHeight="1">
      <c r="A583" s="661"/>
      <c r="B583" s="657" t="s">
        <v>11313</v>
      </c>
      <c r="C583" s="657" t="s">
        <v>11314</v>
      </c>
      <c r="D583" s="663" t="s">
        <v>11481</v>
      </c>
      <c r="E583" s="663" t="s">
        <v>11482</v>
      </c>
      <c r="F583" s="658">
        <v>0.1</v>
      </c>
      <c r="G583" s="658">
        <v>0</v>
      </c>
      <c r="H583" s="664">
        <v>96120</v>
      </c>
      <c r="I583" s="664">
        <f t="shared" si="4"/>
        <v>87380</v>
      </c>
      <c r="J583" s="664">
        <f t="shared" si="5"/>
        <v>96120</v>
      </c>
      <c r="K583" s="661"/>
    </row>
    <row r="584" spans="1:11" ht="18.75" customHeight="1">
      <c r="A584" s="661"/>
      <c r="B584" s="657" t="s">
        <v>11313</v>
      </c>
      <c r="C584" s="657" t="s">
        <v>11314</v>
      </c>
      <c r="D584" s="663" t="s">
        <v>2115</v>
      </c>
      <c r="E584" s="663" t="s">
        <v>2116</v>
      </c>
      <c r="F584" s="658">
        <v>0.1</v>
      </c>
      <c r="G584" s="658">
        <v>0</v>
      </c>
      <c r="H584" s="664">
        <v>191800</v>
      </c>
      <c r="I584" s="664">
        <f t="shared" si="4"/>
        <v>174360</v>
      </c>
      <c r="J584" s="664">
        <f t="shared" si="5"/>
        <v>191800</v>
      </c>
      <c r="K584" s="661"/>
    </row>
    <row r="585" spans="1:11" ht="18.75" customHeight="1">
      <c r="A585" s="661"/>
      <c r="B585" s="657" t="s">
        <v>11313</v>
      </c>
      <c r="C585" s="657" t="s">
        <v>11314</v>
      </c>
      <c r="D585" s="663" t="s">
        <v>2117</v>
      </c>
      <c r="E585" s="663" t="s">
        <v>2118</v>
      </c>
      <c r="F585" s="658">
        <v>0.1</v>
      </c>
      <c r="G585" s="658">
        <v>0</v>
      </c>
      <c r="H585" s="664">
        <v>198800</v>
      </c>
      <c r="I585" s="664">
        <f t="shared" si="4"/>
        <v>180730</v>
      </c>
      <c r="J585" s="664">
        <f t="shared" si="5"/>
        <v>198800</v>
      </c>
      <c r="K585" s="661"/>
    </row>
    <row r="586" spans="1:11" ht="18.75" customHeight="1">
      <c r="A586" s="661"/>
      <c r="B586" s="657" t="s">
        <v>11313</v>
      </c>
      <c r="C586" s="657" t="s">
        <v>11314</v>
      </c>
      <c r="D586" s="663" t="s">
        <v>11483</v>
      </c>
      <c r="E586" s="663" t="s">
        <v>11484</v>
      </c>
      <c r="F586" s="658">
        <v>0.1</v>
      </c>
      <c r="G586" s="658">
        <v>0</v>
      </c>
      <c r="H586" s="664">
        <v>756000</v>
      </c>
      <c r="I586" s="664">
        <f t="shared" si="4"/>
        <v>687270</v>
      </c>
      <c r="J586" s="664">
        <f t="shared" si="5"/>
        <v>756000</v>
      </c>
      <c r="K586" s="661"/>
    </row>
    <row r="587" spans="1:11" ht="18.75" customHeight="1">
      <c r="A587" s="661"/>
      <c r="B587" s="657" t="s">
        <v>11313</v>
      </c>
      <c r="C587" s="657" t="s">
        <v>11314</v>
      </c>
      <c r="D587" s="663" t="s">
        <v>11485</v>
      </c>
      <c r="E587" s="663" t="s">
        <v>11486</v>
      </c>
      <c r="F587" s="658">
        <v>0.1</v>
      </c>
      <c r="G587" s="658">
        <v>0</v>
      </c>
      <c r="H587" s="664">
        <v>1296000</v>
      </c>
      <c r="I587" s="664">
        <f t="shared" si="4"/>
        <v>1178180</v>
      </c>
      <c r="J587" s="664">
        <f t="shared" si="5"/>
        <v>1296000</v>
      </c>
      <c r="K587" s="661"/>
    </row>
    <row r="588" spans="1:11" ht="18.75" customHeight="1">
      <c r="A588" s="661"/>
      <c r="B588" s="657" t="s">
        <v>11313</v>
      </c>
      <c r="C588" s="657" t="s">
        <v>11314</v>
      </c>
      <c r="D588" s="663" t="s">
        <v>11487</v>
      </c>
      <c r="E588" s="663" t="s">
        <v>11488</v>
      </c>
      <c r="F588" s="658">
        <v>0.1</v>
      </c>
      <c r="G588" s="658">
        <v>0</v>
      </c>
      <c r="H588" s="664">
        <v>457020</v>
      </c>
      <c r="I588" s="664">
        <f t="shared" si="4"/>
        <v>415470</v>
      </c>
      <c r="J588" s="664">
        <f t="shared" si="5"/>
        <v>457020</v>
      </c>
      <c r="K588" s="661"/>
    </row>
    <row r="589" spans="1:11" ht="18.75" customHeight="1">
      <c r="A589" s="661"/>
      <c r="B589" s="657" t="s">
        <v>11313</v>
      </c>
      <c r="C589" s="657" t="s">
        <v>11314</v>
      </c>
      <c r="D589" s="663" t="s">
        <v>11489</v>
      </c>
      <c r="E589" s="663" t="s">
        <v>11490</v>
      </c>
      <c r="F589" s="658">
        <v>0.1</v>
      </c>
      <c r="G589" s="658">
        <v>0</v>
      </c>
      <c r="H589" s="664">
        <v>621000</v>
      </c>
      <c r="I589" s="664">
        <f t="shared" si="4"/>
        <v>564550</v>
      </c>
      <c r="J589" s="664">
        <f t="shared" si="5"/>
        <v>621000</v>
      </c>
      <c r="K589" s="661"/>
    </row>
    <row r="590" spans="1:11" ht="18.75" customHeight="1">
      <c r="A590" s="661"/>
      <c r="B590" s="657" t="s">
        <v>11313</v>
      </c>
      <c r="C590" s="657" t="s">
        <v>11314</v>
      </c>
      <c r="D590" s="663" t="s">
        <v>11491</v>
      </c>
      <c r="E590" s="663" t="s">
        <v>11492</v>
      </c>
      <c r="F590" s="658">
        <v>0.1</v>
      </c>
      <c r="G590" s="658">
        <v>0</v>
      </c>
      <c r="H590" s="664">
        <v>1080000</v>
      </c>
      <c r="I590" s="664">
        <f t="shared" si="4"/>
        <v>981820</v>
      </c>
      <c r="J590" s="664">
        <f t="shared" si="5"/>
        <v>1080000</v>
      </c>
      <c r="K590" s="661"/>
    </row>
    <row r="591" spans="1:11" ht="18.75" customHeight="1">
      <c r="A591" s="661"/>
      <c r="B591" s="657" t="s">
        <v>11313</v>
      </c>
      <c r="C591" s="657" t="s">
        <v>11314</v>
      </c>
      <c r="D591" s="663" t="s">
        <v>2100</v>
      </c>
      <c r="E591" s="663" t="s">
        <v>2101</v>
      </c>
      <c r="F591" s="658">
        <v>0.1</v>
      </c>
      <c r="G591" s="658">
        <v>0</v>
      </c>
      <c r="H591" s="664">
        <v>120000</v>
      </c>
      <c r="I591" s="664">
        <f t="shared" si="4"/>
        <v>109090</v>
      </c>
      <c r="J591" s="664">
        <f t="shared" si="5"/>
        <v>120000</v>
      </c>
      <c r="K591" s="661"/>
    </row>
    <row r="592" spans="1:11" ht="18.75" customHeight="1">
      <c r="A592" s="661"/>
      <c r="B592" s="657" t="s">
        <v>11313</v>
      </c>
      <c r="C592" s="657" t="s">
        <v>11314</v>
      </c>
      <c r="D592" s="663" t="s">
        <v>11493</v>
      </c>
      <c r="E592" s="663" t="s">
        <v>11494</v>
      </c>
      <c r="F592" s="658">
        <v>0.1</v>
      </c>
      <c r="G592" s="658">
        <v>0</v>
      </c>
      <c r="H592" s="664">
        <v>432000</v>
      </c>
      <c r="I592" s="664">
        <f t="shared" si="4"/>
        <v>392730</v>
      </c>
      <c r="J592" s="664">
        <f t="shared" si="5"/>
        <v>432000</v>
      </c>
      <c r="K592" s="661"/>
    </row>
    <row r="593" spans="1:11" ht="18.75" customHeight="1">
      <c r="A593" s="661"/>
      <c r="B593" s="657" t="s">
        <v>11313</v>
      </c>
      <c r="C593" s="657" t="s">
        <v>11314</v>
      </c>
      <c r="D593" s="663" t="s">
        <v>2102</v>
      </c>
      <c r="E593" s="663" t="s">
        <v>2103</v>
      </c>
      <c r="F593" s="658">
        <v>0.1</v>
      </c>
      <c r="G593" s="658">
        <v>0</v>
      </c>
      <c r="H593" s="664">
        <v>330000</v>
      </c>
      <c r="I593" s="664">
        <f t="shared" si="4"/>
        <v>300000</v>
      </c>
      <c r="J593" s="664">
        <f t="shared" si="5"/>
        <v>330000</v>
      </c>
      <c r="K593" s="661"/>
    </row>
    <row r="594" spans="1:11" ht="18.75" customHeight="1">
      <c r="A594" s="661"/>
      <c r="B594" s="657" t="s">
        <v>11313</v>
      </c>
      <c r="C594" s="657" t="s">
        <v>11314</v>
      </c>
      <c r="D594" s="663" t="s">
        <v>2104</v>
      </c>
      <c r="E594" s="663" t="s">
        <v>2105</v>
      </c>
      <c r="F594" s="658">
        <v>0.1</v>
      </c>
      <c r="G594" s="658">
        <v>0</v>
      </c>
      <c r="H594" s="664">
        <v>282000</v>
      </c>
      <c r="I594" s="664">
        <f t="shared" si="4"/>
        <v>256360</v>
      </c>
      <c r="J594" s="664">
        <f t="shared" si="5"/>
        <v>282000</v>
      </c>
      <c r="K594" s="661"/>
    </row>
    <row r="595" spans="1:11" ht="18.75" customHeight="1">
      <c r="A595" s="661"/>
      <c r="B595" s="657" t="s">
        <v>11313</v>
      </c>
      <c r="C595" s="657" t="s">
        <v>11314</v>
      </c>
      <c r="D595" s="663" t="s">
        <v>2106</v>
      </c>
      <c r="E595" s="663" t="s">
        <v>2107</v>
      </c>
      <c r="F595" s="658">
        <v>0.1</v>
      </c>
      <c r="G595" s="658">
        <v>0</v>
      </c>
      <c r="H595" s="664">
        <v>180000</v>
      </c>
      <c r="I595" s="664">
        <f t="shared" si="4"/>
        <v>163640</v>
      </c>
      <c r="J595" s="664">
        <f t="shared" si="5"/>
        <v>180000</v>
      </c>
      <c r="K595" s="661"/>
    </row>
    <row r="596" spans="1:11" ht="18.75" customHeight="1">
      <c r="A596" s="661"/>
      <c r="B596" s="657" t="s">
        <v>11313</v>
      </c>
      <c r="C596" s="657" t="s">
        <v>11314</v>
      </c>
      <c r="D596" s="663" t="s">
        <v>11495</v>
      </c>
      <c r="E596" s="663" t="s">
        <v>11496</v>
      </c>
      <c r="F596" s="658">
        <v>0.1</v>
      </c>
      <c r="G596" s="658">
        <v>0</v>
      </c>
      <c r="H596" s="664">
        <v>18197780</v>
      </c>
      <c r="I596" s="664">
        <f t="shared" si="4"/>
        <v>16543440</v>
      </c>
      <c r="J596" s="664">
        <f t="shared" si="5"/>
        <v>18197780</v>
      </c>
      <c r="K596" s="661"/>
    </row>
    <row r="597" spans="1:11" ht="18.75" customHeight="1">
      <c r="A597" s="661"/>
      <c r="B597" s="657" t="s">
        <v>11313</v>
      </c>
      <c r="C597" s="657" t="s">
        <v>11314</v>
      </c>
      <c r="D597" s="663" t="s">
        <v>11497</v>
      </c>
      <c r="E597" s="663" t="s">
        <v>11498</v>
      </c>
      <c r="F597" s="658">
        <v>0.1</v>
      </c>
      <c r="G597" s="658">
        <v>0</v>
      </c>
      <c r="H597" s="664">
        <v>1188000</v>
      </c>
      <c r="I597" s="664">
        <f t="shared" si="4"/>
        <v>1080000</v>
      </c>
      <c r="J597" s="664">
        <f t="shared" si="5"/>
        <v>1188000</v>
      </c>
      <c r="K597" s="661"/>
    </row>
    <row r="598" spans="1:11" ht="18.75" customHeight="1">
      <c r="A598" s="661"/>
      <c r="B598" s="657" t="s">
        <v>11313</v>
      </c>
      <c r="C598" s="657" t="s">
        <v>11314</v>
      </c>
      <c r="D598" s="663" t="s">
        <v>11499</v>
      </c>
      <c r="E598" s="663" t="s">
        <v>11500</v>
      </c>
      <c r="F598" s="658">
        <v>0.1</v>
      </c>
      <c r="G598" s="658">
        <v>0</v>
      </c>
      <c r="H598" s="664">
        <v>1535980</v>
      </c>
      <c r="I598" s="664">
        <f t="shared" si="4"/>
        <v>1396350</v>
      </c>
      <c r="J598" s="664">
        <f t="shared" si="5"/>
        <v>1535980</v>
      </c>
      <c r="K598" s="661"/>
    </row>
    <row r="599" spans="1:11" ht="18.75" customHeight="1">
      <c r="A599" s="661"/>
      <c r="B599" s="657" t="s">
        <v>11313</v>
      </c>
      <c r="C599" s="657" t="s">
        <v>11314</v>
      </c>
      <c r="D599" s="663" t="s">
        <v>11501</v>
      </c>
      <c r="E599" s="663" t="s">
        <v>11502</v>
      </c>
      <c r="F599" s="658">
        <v>0.1</v>
      </c>
      <c r="G599" s="658">
        <v>0</v>
      </c>
      <c r="H599" s="664">
        <v>684720</v>
      </c>
      <c r="I599" s="664">
        <f t="shared" si="4"/>
        <v>622470</v>
      </c>
      <c r="J599" s="664">
        <f t="shared" si="5"/>
        <v>684720</v>
      </c>
      <c r="K599" s="661"/>
    </row>
    <row r="600" spans="1:11" ht="18.75" customHeight="1">
      <c r="A600" s="661"/>
      <c r="B600" s="657" t="s">
        <v>11313</v>
      </c>
      <c r="C600" s="657" t="s">
        <v>11314</v>
      </c>
      <c r="D600" s="663" t="s">
        <v>1996</v>
      </c>
      <c r="E600" s="663" t="s">
        <v>1997</v>
      </c>
      <c r="F600" s="658">
        <v>0.1</v>
      </c>
      <c r="G600" s="658">
        <v>0</v>
      </c>
      <c r="H600" s="664">
        <v>335000</v>
      </c>
      <c r="I600" s="664">
        <f t="shared" si="4"/>
        <v>304550</v>
      </c>
      <c r="J600" s="664">
        <f t="shared" si="5"/>
        <v>335000</v>
      </c>
      <c r="K600" s="661"/>
    </row>
    <row r="601" spans="1:11" ht="18.75" customHeight="1">
      <c r="A601" s="661"/>
      <c r="B601" s="657" t="s">
        <v>11313</v>
      </c>
      <c r="C601" s="657" t="s">
        <v>11314</v>
      </c>
      <c r="D601" s="663" t="s">
        <v>11503</v>
      </c>
      <c r="E601" s="663" t="s">
        <v>11504</v>
      </c>
      <c r="F601" s="658">
        <v>0.1</v>
      </c>
      <c r="G601" s="658">
        <v>0</v>
      </c>
      <c r="H601" s="664">
        <v>315040</v>
      </c>
      <c r="I601" s="664">
        <f t="shared" si="4"/>
        <v>286400</v>
      </c>
      <c r="J601" s="664">
        <f t="shared" si="5"/>
        <v>315040</v>
      </c>
      <c r="K601" s="661"/>
    </row>
    <row r="602" spans="1:11" ht="18.75" customHeight="1">
      <c r="A602" s="661"/>
      <c r="B602" s="657" t="s">
        <v>11313</v>
      </c>
      <c r="C602" s="657" t="s">
        <v>11314</v>
      </c>
      <c r="D602" s="663" t="s">
        <v>11505</v>
      </c>
      <c r="E602" s="663" t="s">
        <v>11506</v>
      </c>
      <c r="F602" s="658">
        <v>0.1</v>
      </c>
      <c r="G602" s="658">
        <v>0</v>
      </c>
      <c r="H602" s="664">
        <v>444960</v>
      </c>
      <c r="I602" s="664">
        <f t="shared" si="4"/>
        <v>404510</v>
      </c>
      <c r="J602" s="664">
        <f t="shared" si="5"/>
        <v>444960</v>
      </c>
      <c r="K602" s="661"/>
    </row>
    <row r="603" spans="1:11" ht="18.75" customHeight="1">
      <c r="A603" s="661"/>
      <c r="B603" s="657" t="s">
        <v>1687</v>
      </c>
      <c r="C603" s="657" t="s">
        <v>11507</v>
      </c>
      <c r="D603" s="663" t="s">
        <v>1688</v>
      </c>
      <c r="E603" s="663" t="s">
        <v>1689</v>
      </c>
      <c r="F603" s="658">
        <v>0.1</v>
      </c>
      <c r="G603" s="658">
        <v>0</v>
      </c>
      <c r="H603" s="664">
        <v>103950</v>
      </c>
      <c r="I603" s="664">
        <f t="shared" si="4"/>
        <v>94500</v>
      </c>
      <c r="J603" s="664">
        <f t="shared" si="5"/>
        <v>103950</v>
      </c>
      <c r="K603" s="661"/>
    </row>
    <row r="604" spans="1:11" ht="18.75" customHeight="1">
      <c r="A604" s="661"/>
      <c r="B604" s="657" t="s">
        <v>1687</v>
      </c>
      <c r="C604" s="657" t="s">
        <v>11507</v>
      </c>
      <c r="D604" s="663" t="s">
        <v>11508</v>
      </c>
      <c r="E604" s="663" t="s">
        <v>11509</v>
      </c>
      <c r="F604" s="658">
        <v>0.1</v>
      </c>
      <c r="G604" s="658">
        <v>0</v>
      </c>
      <c r="H604" s="664">
        <v>149050</v>
      </c>
      <c r="I604" s="664">
        <f t="shared" si="4"/>
        <v>135500</v>
      </c>
      <c r="J604" s="664">
        <f t="shared" si="5"/>
        <v>149050</v>
      </c>
      <c r="K604" s="661"/>
    </row>
    <row r="605" spans="1:11" ht="18.75" customHeight="1">
      <c r="A605" s="661"/>
      <c r="B605" s="657" t="s">
        <v>1687</v>
      </c>
      <c r="C605" s="657" t="s">
        <v>11507</v>
      </c>
      <c r="D605" s="663" t="s">
        <v>1695</v>
      </c>
      <c r="E605" s="663" t="s">
        <v>1696</v>
      </c>
      <c r="F605" s="658">
        <v>0.1</v>
      </c>
      <c r="G605" s="658">
        <v>0</v>
      </c>
      <c r="H605" s="664">
        <v>99000</v>
      </c>
      <c r="I605" s="664">
        <f t="shared" si="4"/>
        <v>90000</v>
      </c>
      <c r="J605" s="664">
        <f t="shared" si="5"/>
        <v>99000</v>
      </c>
      <c r="K605" s="661"/>
    </row>
    <row r="606" spans="1:11" ht="18.75" customHeight="1">
      <c r="A606" s="661"/>
      <c r="B606" s="657" t="s">
        <v>1687</v>
      </c>
      <c r="C606" s="657" t="s">
        <v>11507</v>
      </c>
      <c r="D606" s="663" t="s">
        <v>1699</v>
      </c>
      <c r="E606" s="663" t="s">
        <v>1700</v>
      </c>
      <c r="F606" s="658">
        <v>0.1</v>
      </c>
      <c r="G606" s="658">
        <v>0</v>
      </c>
      <c r="H606" s="664">
        <v>127050</v>
      </c>
      <c r="I606" s="664">
        <f t="shared" si="4"/>
        <v>115500</v>
      </c>
      <c r="J606" s="664">
        <f t="shared" si="5"/>
        <v>127050</v>
      </c>
      <c r="K606" s="661"/>
    </row>
    <row r="607" spans="1:11" ht="18.75" customHeight="1">
      <c r="A607" s="661"/>
      <c r="B607" s="657" t="s">
        <v>1687</v>
      </c>
      <c r="C607" s="657" t="s">
        <v>11507</v>
      </c>
      <c r="D607" s="663" t="s">
        <v>11510</v>
      </c>
      <c r="E607" s="663" t="s">
        <v>11511</v>
      </c>
      <c r="F607" s="658">
        <v>0.1</v>
      </c>
      <c r="G607" s="658">
        <v>0</v>
      </c>
      <c r="H607" s="664">
        <v>220000</v>
      </c>
      <c r="I607" s="664">
        <f t="shared" si="4"/>
        <v>200000</v>
      </c>
      <c r="J607" s="664">
        <f t="shared" si="5"/>
        <v>220000</v>
      </c>
      <c r="K607" s="661"/>
    </row>
    <row r="608" spans="1:11" ht="18.75" customHeight="1">
      <c r="A608" s="661"/>
      <c r="B608" s="657" t="s">
        <v>1687</v>
      </c>
      <c r="C608" s="657" t="s">
        <v>11507</v>
      </c>
      <c r="D608" s="663" t="s">
        <v>11512</v>
      </c>
      <c r="E608" s="663" t="s">
        <v>11513</v>
      </c>
      <c r="F608" s="658">
        <v>0.1</v>
      </c>
      <c r="G608" s="658">
        <v>0</v>
      </c>
      <c r="H608" s="664">
        <v>280500</v>
      </c>
      <c r="I608" s="664">
        <f t="shared" si="4"/>
        <v>255000</v>
      </c>
      <c r="J608" s="664">
        <f t="shared" si="5"/>
        <v>280500</v>
      </c>
      <c r="K608" s="661"/>
    </row>
    <row r="609" spans="1:11" ht="18.75" customHeight="1">
      <c r="A609" s="661"/>
      <c r="B609" s="657" t="s">
        <v>1687</v>
      </c>
      <c r="C609" s="657" t="s">
        <v>11507</v>
      </c>
      <c r="D609" s="663" t="s">
        <v>11514</v>
      </c>
      <c r="E609" s="663" t="s">
        <v>11515</v>
      </c>
      <c r="F609" s="658">
        <v>0.1</v>
      </c>
      <c r="G609" s="658">
        <v>0</v>
      </c>
      <c r="H609" s="664">
        <v>220000</v>
      </c>
      <c r="I609" s="664">
        <f t="shared" si="4"/>
        <v>200000</v>
      </c>
      <c r="J609" s="664">
        <f t="shared" si="5"/>
        <v>220000</v>
      </c>
      <c r="K609" s="661"/>
    </row>
    <row r="610" spans="1:11" ht="18.75" customHeight="1">
      <c r="A610" s="661"/>
      <c r="B610" s="657" t="s">
        <v>1687</v>
      </c>
      <c r="C610" s="657" t="s">
        <v>11507</v>
      </c>
      <c r="D610" s="663" t="s">
        <v>11516</v>
      </c>
      <c r="E610" s="663" t="s">
        <v>11517</v>
      </c>
      <c r="F610" s="658">
        <v>0.1</v>
      </c>
      <c r="G610" s="658">
        <v>0</v>
      </c>
      <c r="H610" s="664">
        <v>280500</v>
      </c>
      <c r="I610" s="664">
        <f t="shared" si="4"/>
        <v>255000</v>
      </c>
      <c r="J610" s="664">
        <f t="shared" si="5"/>
        <v>280500</v>
      </c>
      <c r="K610" s="661"/>
    </row>
    <row r="611" spans="1:11" ht="18.75" customHeight="1">
      <c r="A611" s="661"/>
      <c r="B611" s="657" t="s">
        <v>1687</v>
      </c>
      <c r="C611" s="657" t="s">
        <v>11507</v>
      </c>
      <c r="D611" s="663" t="s">
        <v>11518</v>
      </c>
      <c r="E611" s="663" t="s">
        <v>11519</v>
      </c>
      <c r="F611" s="658">
        <v>0.1</v>
      </c>
      <c r="G611" s="658">
        <v>0</v>
      </c>
      <c r="H611" s="664">
        <v>269500</v>
      </c>
      <c r="I611" s="664">
        <f t="shared" si="4"/>
        <v>245000</v>
      </c>
      <c r="J611" s="664">
        <f t="shared" si="5"/>
        <v>269500</v>
      </c>
      <c r="K611" s="661"/>
    </row>
    <row r="612" spans="1:11" ht="18.75" customHeight="1">
      <c r="A612" s="661"/>
      <c r="B612" s="657" t="s">
        <v>1687</v>
      </c>
      <c r="C612" s="657" t="s">
        <v>11507</v>
      </c>
      <c r="D612" s="663" t="s">
        <v>11520</v>
      </c>
      <c r="E612" s="663" t="s">
        <v>11521</v>
      </c>
      <c r="F612" s="658">
        <v>0.1</v>
      </c>
      <c r="G612" s="658">
        <v>0</v>
      </c>
      <c r="H612" s="664">
        <v>371800.00000000006</v>
      </c>
      <c r="I612" s="664">
        <f t="shared" si="4"/>
        <v>338000</v>
      </c>
      <c r="J612" s="664">
        <f t="shared" si="5"/>
        <v>371800</v>
      </c>
      <c r="K612" s="661"/>
    </row>
    <row r="613" spans="1:11" ht="18.75" customHeight="1">
      <c r="A613" s="661"/>
      <c r="B613" s="657" t="s">
        <v>1687</v>
      </c>
      <c r="C613" s="657" t="s">
        <v>11507</v>
      </c>
      <c r="D613" s="663" t="s">
        <v>11522</v>
      </c>
      <c r="E613" s="663" t="s">
        <v>11523</v>
      </c>
      <c r="F613" s="658">
        <v>0.1</v>
      </c>
      <c r="G613" s="658">
        <v>0</v>
      </c>
      <c r="H613" s="664">
        <v>371800.00000000006</v>
      </c>
      <c r="I613" s="664">
        <f t="shared" si="4"/>
        <v>338000</v>
      </c>
      <c r="J613" s="664">
        <f t="shared" si="5"/>
        <v>371800</v>
      </c>
      <c r="K613" s="661"/>
    </row>
    <row r="614" spans="1:11" ht="18.75" customHeight="1">
      <c r="A614" s="661"/>
      <c r="B614" s="657" t="s">
        <v>1687</v>
      </c>
      <c r="C614" s="657" t="s">
        <v>11507</v>
      </c>
      <c r="D614" s="663" t="s">
        <v>11524</v>
      </c>
      <c r="E614" s="663" t="s">
        <v>11525</v>
      </c>
      <c r="F614" s="658">
        <v>0.1</v>
      </c>
      <c r="G614" s="658">
        <v>0</v>
      </c>
      <c r="H614" s="664">
        <v>374000</v>
      </c>
      <c r="I614" s="664">
        <f t="shared" si="4"/>
        <v>340000</v>
      </c>
      <c r="J614" s="664">
        <f t="shared" si="5"/>
        <v>374000</v>
      </c>
      <c r="K614" s="661"/>
    </row>
    <row r="615" spans="1:11" ht="18.75" customHeight="1">
      <c r="A615" s="661"/>
      <c r="B615" s="657" t="s">
        <v>1687</v>
      </c>
      <c r="C615" s="657" t="s">
        <v>11507</v>
      </c>
      <c r="D615" s="663" t="s">
        <v>11526</v>
      </c>
      <c r="E615" s="663" t="s">
        <v>11527</v>
      </c>
      <c r="F615" s="658">
        <v>0.1</v>
      </c>
      <c r="G615" s="658">
        <v>0</v>
      </c>
      <c r="H615" s="664">
        <v>300300</v>
      </c>
      <c r="I615" s="664">
        <f t="shared" si="4"/>
        <v>273000</v>
      </c>
      <c r="J615" s="664">
        <f t="shared" si="5"/>
        <v>300300</v>
      </c>
      <c r="K615" s="661"/>
    </row>
    <row r="616" spans="1:11" ht="18.75" customHeight="1">
      <c r="A616" s="661"/>
      <c r="B616" s="657" t="s">
        <v>1687</v>
      </c>
      <c r="C616" s="657" t="s">
        <v>11507</v>
      </c>
      <c r="D616" s="663" t="s">
        <v>11528</v>
      </c>
      <c r="E616" s="663" t="s">
        <v>11529</v>
      </c>
      <c r="F616" s="658">
        <v>0.1</v>
      </c>
      <c r="G616" s="658">
        <v>0</v>
      </c>
      <c r="H616" s="664">
        <v>388300</v>
      </c>
      <c r="I616" s="664">
        <f t="shared" si="4"/>
        <v>353000</v>
      </c>
      <c r="J616" s="664">
        <f t="shared" si="5"/>
        <v>388300</v>
      </c>
      <c r="K616" s="661"/>
    </row>
    <row r="617" spans="1:11" ht="18.75" customHeight="1">
      <c r="A617" s="661"/>
      <c r="B617" s="657" t="s">
        <v>1687</v>
      </c>
      <c r="C617" s="657" t="s">
        <v>11507</v>
      </c>
      <c r="D617" s="663" t="s">
        <v>11530</v>
      </c>
      <c r="E617" s="663" t="s">
        <v>11531</v>
      </c>
      <c r="F617" s="658">
        <v>0.1</v>
      </c>
      <c r="G617" s="658">
        <v>0</v>
      </c>
      <c r="H617" s="664">
        <v>495000.00000000006</v>
      </c>
      <c r="I617" s="664">
        <f t="shared" si="4"/>
        <v>450000</v>
      </c>
      <c r="J617" s="664">
        <f t="shared" si="5"/>
        <v>495000</v>
      </c>
      <c r="K617" s="667"/>
    </row>
    <row r="618" spans="1:11" ht="18.75" customHeight="1">
      <c r="A618" s="661"/>
      <c r="B618" s="657" t="s">
        <v>1687</v>
      </c>
      <c r="C618" s="657" t="s">
        <v>11507</v>
      </c>
      <c r="D618" s="663" t="s">
        <v>11532</v>
      </c>
      <c r="E618" s="663" t="s">
        <v>11533</v>
      </c>
      <c r="F618" s="658">
        <v>0.1</v>
      </c>
      <c r="G618" s="658">
        <v>0</v>
      </c>
      <c r="H618" s="664">
        <v>618200</v>
      </c>
      <c r="I618" s="664">
        <f t="shared" si="4"/>
        <v>562000</v>
      </c>
      <c r="J618" s="664">
        <f t="shared" si="5"/>
        <v>618200</v>
      </c>
      <c r="K618" s="661"/>
    </row>
    <row r="619" spans="1:11" ht="18.75" customHeight="1">
      <c r="A619" s="661"/>
      <c r="B619" s="657" t="s">
        <v>1687</v>
      </c>
      <c r="C619" s="657" t="s">
        <v>11507</v>
      </c>
      <c r="D619" s="663" t="s">
        <v>11534</v>
      </c>
      <c r="E619" s="663" t="s">
        <v>11535</v>
      </c>
      <c r="F619" s="658">
        <v>0.1</v>
      </c>
      <c r="G619" s="658">
        <v>0</v>
      </c>
      <c r="H619" s="664">
        <v>665500</v>
      </c>
      <c r="I619" s="664">
        <f t="shared" si="4"/>
        <v>605000</v>
      </c>
      <c r="J619" s="664">
        <f t="shared" si="5"/>
        <v>665500</v>
      </c>
      <c r="K619" s="661"/>
    </row>
    <row r="620" spans="1:11" ht="18.75" customHeight="1">
      <c r="A620" s="661"/>
      <c r="B620" s="657" t="s">
        <v>1687</v>
      </c>
      <c r="C620" s="657" t="s">
        <v>11507</v>
      </c>
      <c r="D620" s="663" t="s">
        <v>11536</v>
      </c>
      <c r="E620" s="663" t="s">
        <v>11537</v>
      </c>
      <c r="F620" s="658">
        <v>0.1</v>
      </c>
      <c r="G620" s="658">
        <v>0</v>
      </c>
      <c r="H620" s="664">
        <v>828300</v>
      </c>
      <c r="I620" s="664">
        <f t="shared" si="4"/>
        <v>753000</v>
      </c>
      <c r="J620" s="664">
        <f t="shared" si="5"/>
        <v>828300</v>
      </c>
      <c r="K620" s="661"/>
    </row>
    <row r="621" spans="1:11" ht="18.75" customHeight="1">
      <c r="A621" s="661"/>
      <c r="B621" s="657" t="s">
        <v>1687</v>
      </c>
      <c r="C621" s="657" t="s">
        <v>11507</v>
      </c>
      <c r="D621" s="663" t="s">
        <v>11538</v>
      </c>
      <c r="E621" s="663" t="s">
        <v>11539</v>
      </c>
      <c r="F621" s="658">
        <v>0.1</v>
      </c>
      <c r="G621" s="658">
        <v>0</v>
      </c>
      <c r="H621" s="664">
        <v>55000</v>
      </c>
      <c r="I621" s="664">
        <f t="shared" si="4"/>
        <v>50000</v>
      </c>
      <c r="J621" s="664">
        <f t="shared" si="5"/>
        <v>55000</v>
      </c>
      <c r="K621" s="661"/>
    </row>
    <row r="622" spans="1:11" ht="18.75" customHeight="1">
      <c r="A622" s="661"/>
      <c r="B622" s="657" t="s">
        <v>1687</v>
      </c>
      <c r="C622" s="657" t="s">
        <v>11507</v>
      </c>
      <c r="D622" s="663" t="s">
        <v>11540</v>
      </c>
      <c r="E622" s="663" t="s">
        <v>11541</v>
      </c>
      <c r="F622" s="658">
        <v>0.1</v>
      </c>
      <c r="G622" s="658">
        <v>0</v>
      </c>
      <c r="H622" s="664">
        <v>82500</v>
      </c>
      <c r="I622" s="664">
        <f t="shared" si="4"/>
        <v>75000</v>
      </c>
      <c r="J622" s="664">
        <f t="shared" si="5"/>
        <v>82500</v>
      </c>
      <c r="K622" s="661"/>
    </row>
    <row r="623" spans="1:11" ht="18.75" customHeight="1">
      <c r="A623" s="661"/>
      <c r="B623" s="657" t="s">
        <v>1687</v>
      </c>
      <c r="C623" s="657" t="s">
        <v>11507</v>
      </c>
      <c r="D623" s="663" t="s">
        <v>11542</v>
      </c>
      <c r="E623" s="663" t="s">
        <v>11543</v>
      </c>
      <c r="F623" s="658">
        <v>0.1</v>
      </c>
      <c r="G623" s="658">
        <v>0</v>
      </c>
      <c r="H623" s="664">
        <v>357500</v>
      </c>
      <c r="I623" s="664">
        <f t="shared" si="4"/>
        <v>325000</v>
      </c>
      <c r="J623" s="664">
        <f t="shared" si="5"/>
        <v>357500</v>
      </c>
      <c r="K623" s="661"/>
    </row>
    <row r="624" spans="1:11" ht="18.75" customHeight="1">
      <c r="A624" s="661"/>
      <c r="B624" s="657" t="s">
        <v>1687</v>
      </c>
      <c r="C624" s="657" t="s">
        <v>11507</v>
      </c>
      <c r="D624" s="663" t="s">
        <v>11544</v>
      </c>
      <c r="E624" s="663" t="s">
        <v>11545</v>
      </c>
      <c r="F624" s="658">
        <v>0.1</v>
      </c>
      <c r="G624" s="658">
        <v>0</v>
      </c>
      <c r="H624" s="664">
        <v>165000</v>
      </c>
      <c r="I624" s="664">
        <f t="shared" si="4"/>
        <v>150000</v>
      </c>
      <c r="J624" s="664">
        <f t="shared" si="5"/>
        <v>165000</v>
      </c>
      <c r="K624" s="661"/>
    </row>
    <row r="625" spans="1:11" ht="18.75" customHeight="1">
      <c r="A625" s="661"/>
      <c r="B625" s="657" t="s">
        <v>1687</v>
      </c>
      <c r="C625" s="657" t="s">
        <v>11507</v>
      </c>
      <c r="D625" s="663" t="s">
        <v>11546</v>
      </c>
      <c r="E625" s="663" t="s">
        <v>11547</v>
      </c>
      <c r="F625" s="658">
        <v>0.1</v>
      </c>
      <c r="G625" s="658">
        <v>0</v>
      </c>
      <c r="H625" s="664">
        <v>82500</v>
      </c>
      <c r="I625" s="664">
        <f t="shared" si="4"/>
        <v>75000</v>
      </c>
      <c r="J625" s="664">
        <f t="shared" si="5"/>
        <v>82500</v>
      </c>
      <c r="K625" s="661"/>
    </row>
    <row r="626" spans="1:11" ht="18.75" customHeight="1">
      <c r="A626" s="661"/>
      <c r="B626" s="657" t="s">
        <v>1687</v>
      </c>
      <c r="C626" s="657" t="s">
        <v>11507</v>
      </c>
      <c r="D626" s="663" t="s">
        <v>11548</v>
      </c>
      <c r="E626" s="663" t="s">
        <v>11549</v>
      </c>
      <c r="F626" s="658">
        <v>0.1</v>
      </c>
      <c r="G626" s="658">
        <v>0</v>
      </c>
      <c r="H626" s="664">
        <v>165000</v>
      </c>
      <c r="I626" s="664">
        <f t="shared" si="4"/>
        <v>150000</v>
      </c>
      <c r="J626" s="664">
        <f t="shared" si="5"/>
        <v>165000</v>
      </c>
      <c r="K626" s="661"/>
    </row>
    <row r="627" spans="1:11" ht="18.75" customHeight="1">
      <c r="A627" s="661"/>
      <c r="B627" s="657" t="s">
        <v>11550</v>
      </c>
      <c r="C627" s="657" t="s">
        <v>11551</v>
      </c>
      <c r="D627" s="663" t="s">
        <v>11552</v>
      </c>
      <c r="E627" s="663" t="s">
        <v>11553</v>
      </c>
      <c r="F627" s="658">
        <v>0.1</v>
      </c>
      <c r="G627" s="658">
        <v>0</v>
      </c>
      <c r="H627" s="664">
        <v>930600</v>
      </c>
      <c r="I627" s="664">
        <f t="shared" si="4"/>
        <v>846000</v>
      </c>
      <c r="J627" s="664">
        <f t="shared" si="5"/>
        <v>930600</v>
      </c>
      <c r="K627" s="661"/>
    </row>
    <row r="628" spans="1:11" ht="18.75" customHeight="1">
      <c r="A628" s="661"/>
      <c r="B628" s="657" t="s">
        <v>11550</v>
      </c>
      <c r="C628" s="657" t="s">
        <v>11551</v>
      </c>
      <c r="D628" s="663" t="s">
        <v>11554</v>
      </c>
      <c r="E628" s="663" t="s">
        <v>11555</v>
      </c>
      <c r="F628" s="658">
        <v>0.1</v>
      </c>
      <c r="G628" s="658">
        <v>0</v>
      </c>
      <c r="H628" s="664">
        <v>862400</v>
      </c>
      <c r="I628" s="664">
        <f t="shared" si="4"/>
        <v>784000</v>
      </c>
      <c r="J628" s="664">
        <f t="shared" si="5"/>
        <v>862400</v>
      </c>
      <c r="K628" s="661"/>
    </row>
    <row r="629" spans="1:11" ht="18.75" customHeight="1">
      <c r="A629" s="661"/>
      <c r="B629" s="657" t="s">
        <v>11550</v>
      </c>
      <c r="C629" s="657" t="s">
        <v>11551</v>
      </c>
      <c r="D629" s="663" t="s">
        <v>11556</v>
      </c>
      <c r="E629" s="663" t="s">
        <v>11557</v>
      </c>
      <c r="F629" s="658">
        <v>0.1</v>
      </c>
      <c r="G629" s="658">
        <v>0</v>
      </c>
      <c r="H629" s="664">
        <v>297000</v>
      </c>
      <c r="I629" s="664">
        <f t="shared" si="4"/>
        <v>270000</v>
      </c>
      <c r="J629" s="664">
        <f t="shared" si="5"/>
        <v>297000</v>
      </c>
      <c r="K629" s="661"/>
    </row>
    <row r="630" spans="1:11" ht="18.75" customHeight="1">
      <c r="A630" s="661"/>
      <c r="B630" s="657" t="s">
        <v>11550</v>
      </c>
      <c r="C630" s="657" t="s">
        <v>11551</v>
      </c>
      <c r="D630" s="663" t="s">
        <v>11558</v>
      </c>
      <c r="E630" s="663" t="s">
        <v>11559</v>
      </c>
      <c r="F630" s="658">
        <v>0.1</v>
      </c>
      <c r="G630" s="658">
        <v>0</v>
      </c>
      <c r="H630" s="664">
        <v>286000</v>
      </c>
      <c r="I630" s="664">
        <f t="shared" si="4"/>
        <v>260000</v>
      </c>
      <c r="J630" s="664">
        <f t="shared" si="5"/>
        <v>286000</v>
      </c>
      <c r="K630" s="661"/>
    </row>
    <row r="631" spans="1:11" ht="18.75" customHeight="1">
      <c r="A631" s="661"/>
      <c r="B631" s="657" t="s">
        <v>11550</v>
      </c>
      <c r="C631" s="657" t="s">
        <v>11551</v>
      </c>
      <c r="D631" s="663" t="s">
        <v>1893</v>
      </c>
      <c r="E631" s="663" t="s">
        <v>1894</v>
      </c>
      <c r="F631" s="658">
        <v>0.1</v>
      </c>
      <c r="G631" s="658">
        <v>0</v>
      </c>
      <c r="H631" s="664">
        <v>46200</v>
      </c>
      <c r="I631" s="664">
        <f t="shared" si="4"/>
        <v>42000</v>
      </c>
      <c r="J631" s="664">
        <f t="shared" si="5"/>
        <v>46200</v>
      </c>
      <c r="K631" s="661"/>
    </row>
    <row r="632" spans="1:11" ht="18.75" customHeight="1">
      <c r="A632" s="661"/>
      <c r="B632" s="657" t="s">
        <v>11550</v>
      </c>
      <c r="C632" s="657" t="s">
        <v>11551</v>
      </c>
      <c r="D632" s="663" t="s">
        <v>11560</v>
      </c>
      <c r="E632" s="663" t="s">
        <v>11561</v>
      </c>
      <c r="F632" s="658">
        <v>0.1</v>
      </c>
      <c r="G632" s="658">
        <v>0</v>
      </c>
      <c r="H632" s="664">
        <v>266200</v>
      </c>
      <c r="I632" s="664">
        <f t="shared" si="4"/>
        <v>242000</v>
      </c>
      <c r="J632" s="664">
        <f t="shared" si="5"/>
        <v>266200</v>
      </c>
      <c r="K632" s="661"/>
    </row>
    <row r="633" spans="1:11" ht="18.75" customHeight="1">
      <c r="A633" s="661"/>
      <c r="B633" s="657" t="s">
        <v>11550</v>
      </c>
      <c r="C633" s="657" t="s">
        <v>11551</v>
      </c>
      <c r="D633" s="663" t="s">
        <v>1895</v>
      </c>
      <c r="E633" s="663" t="s">
        <v>1896</v>
      </c>
      <c r="F633" s="658">
        <v>0.1</v>
      </c>
      <c r="G633" s="658">
        <v>0</v>
      </c>
      <c r="H633" s="664">
        <v>273020</v>
      </c>
      <c r="I633" s="664">
        <f t="shared" si="4"/>
        <v>248200</v>
      </c>
      <c r="J633" s="664">
        <f t="shared" si="5"/>
        <v>273020</v>
      </c>
      <c r="K633" s="661"/>
    </row>
    <row r="634" spans="1:11" ht="18.75" customHeight="1">
      <c r="A634" s="661"/>
      <c r="B634" s="657" t="s">
        <v>11550</v>
      </c>
      <c r="C634" s="657" t="s">
        <v>11551</v>
      </c>
      <c r="D634" s="663" t="s">
        <v>11562</v>
      </c>
      <c r="E634" s="663" t="s">
        <v>11563</v>
      </c>
      <c r="F634" s="658">
        <v>0.1</v>
      </c>
      <c r="G634" s="658">
        <v>0</v>
      </c>
      <c r="H634" s="664">
        <v>660000</v>
      </c>
      <c r="I634" s="664">
        <f t="shared" si="4"/>
        <v>600000</v>
      </c>
      <c r="J634" s="664">
        <f t="shared" si="5"/>
        <v>660000</v>
      </c>
      <c r="K634" s="661"/>
    </row>
    <row r="635" spans="1:11" ht="18.75" customHeight="1">
      <c r="A635" s="661"/>
      <c r="B635" s="657" t="s">
        <v>11550</v>
      </c>
      <c r="C635" s="657" t="s">
        <v>11551</v>
      </c>
      <c r="D635" s="663" t="s">
        <v>1889</v>
      </c>
      <c r="E635" s="663" t="s">
        <v>1890</v>
      </c>
      <c r="F635" s="658">
        <v>0.1</v>
      </c>
      <c r="G635" s="658">
        <v>0</v>
      </c>
      <c r="H635" s="664">
        <v>83400</v>
      </c>
      <c r="I635" s="664">
        <f t="shared" si="4"/>
        <v>75820</v>
      </c>
      <c r="J635" s="664">
        <f t="shared" si="5"/>
        <v>83400</v>
      </c>
      <c r="K635" s="661"/>
    </row>
    <row r="636" spans="1:11" ht="18.75" customHeight="1">
      <c r="A636" s="661"/>
      <c r="B636" s="657" t="s">
        <v>11550</v>
      </c>
      <c r="C636" s="657" t="s">
        <v>11551</v>
      </c>
      <c r="D636" s="663" t="s">
        <v>11564</v>
      </c>
      <c r="E636" s="663" t="s">
        <v>11565</v>
      </c>
      <c r="F636" s="658">
        <v>0.1</v>
      </c>
      <c r="G636" s="658">
        <v>0</v>
      </c>
      <c r="H636" s="664">
        <v>8800</v>
      </c>
      <c r="I636" s="664">
        <f t="shared" si="4"/>
        <v>8000</v>
      </c>
      <c r="J636" s="664">
        <f t="shared" si="5"/>
        <v>8800</v>
      </c>
      <c r="K636" s="661"/>
    </row>
    <row r="637" spans="1:11" ht="18.75" customHeight="1">
      <c r="A637" s="661"/>
      <c r="B637" s="657" t="s">
        <v>11550</v>
      </c>
      <c r="C637" s="657" t="s">
        <v>11551</v>
      </c>
      <c r="D637" s="663" t="s">
        <v>11566</v>
      </c>
      <c r="E637" s="663" t="s">
        <v>11567</v>
      </c>
      <c r="F637" s="658">
        <v>0.1</v>
      </c>
      <c r="G637" s="658">
        <v>0</v>
      </c>
      <c r="H637" s="664">
        <v>8800</v>
      </c>
      <c r="I637" s="664">
        <f t="shared" si="4"/>
        <v>8000</v>
      </c>
      <c r="J637" s="664">
        <f t="shared" si="5"/>
        <v>8800</v>
      </c>
      <c r="K637" s="661"/>
    </row>
    <row r="638" spans="1:11" ht="18.75" customHeight="1">
      <c r="A638" s="661"/>
      <c r="B638" s="657" t="s">
        <v>11550</v>
      </c>
      <c r="C638" s="657" t="s">
        <v>11551</v>
      </c>
      <c r="D638" s="663" t="s">
        <v>11568</v>
      </c>
      <c r="E638" s="663" t="s">
        <v>11569</v>
      </c>
      <c r="F638" s="658">
        <v>0.1</v>
      </c>
      <c r="G638" s="658">
        <v>0</v>
      </c>
      <c r="H638" s="664">
        <v>8800</v>
      </c>
      <c r="I638" s="664">
        <f t="shared" si="4"/>
        <v>8000</v>
      </c>
      <c r="J638" s="664">
        <f t="shared" si="5"/>
        <v>8800</v>
      </c>
      <c r="K638" s="661"/>
    </row>
    <row r="639" spans="1:11" ht="18.75" customHeight="1">
      <c r="A639" s="661"/>
      <c r="B639" s="657" t="s">
        <v>11550</v>
      </c>
      <c r="C639" s="657" t="s">
        <v>11551</v>
      </c>
      <c r="D639" s="663" t="s">
        <v>11570</v>
      </c>
      <c r="E639" s="663" t="s">
        <v>11571</v>
      </c>
      <c r="F639" s="658">
        <v>0.1</v>
      </c>
      <c r="G639" s="658">
        <v>0</v>
      </c>
      <c r="H639" s="664">
        <v>14380</v>
      </c>
      <c r="I639" s="664">
        <f t="shared" si="4"/>
        <v>13070</v>
      </c>
      <c r="J639" s="664">
        <f t="shared" si="5"/>
        <v>14380</v>
      </c>
      <c r="K639" s="661"/>
    </row>
    <row r="640" spans="1:11" ht="18.75" customHeight="1">
      <c r="A640" s="661"/>
      <c r="B640" s="657" t="s">
        <v>11550</v>
      </c>
      <c r="C640" s="657" t="s">
        <v>11551</v>
      </c>
      <c r="D640" s="663" t="s">
        <v>11572</v>
      </c>
      <c r="E640" s="663" t="s">
        <v>11573</v>
      </c>
      <c r="F640" s="658">
        <v>0.1</v>
      </c>
      <c r="G640" s="658">
        <v>0</v>
      </c>
      <c r="H640" s="664">
        <v>11940</v>
      </c>
      <c r="I640" s="664">
        <f t="shared" si="4"/>
        <v>10850</v>
      </c>
      <c r="J640" s="664">
        <f t="shared" si="5"/>
        <v>11940</v>
      </c>
      <c r="K640" s="661"/>
    </row>
    <row r="641" spans="1:11" ht="18.75" customHeight="1">
      <c r="A641" s="661"/>
      <c r="B641" s="657" t="s">
        <v>11550</v>
      </c>
      <c r="C641" s="657" t="s">
        <v>11551</v>
      </c>
      <c r="D641" s="663" t="s">
        <v>11574</v>
      </c>
      <c r="E641" s="663" t="s">
        <v>11575</v>
      </c>
      <c r="F641" s="658">
        <v>0.1</v>
      </c>
      <c r="G641" s="658">
        <v>0</v>
      </c>
      <c r="H641" s="664">
        <v>18280</v>
      </c>
      <c r="I641" s="664">
        <f t="shared" si="4"/>
        <v>16620</v>
      </c>
      <c r="J641" s="664">
        <f t="shared" si="5"/>
        <v>18280</v>
      </c>
      <c r="K641" s="661"/>
    </row>
    <row r="642" spans="1:11" ht="18.75" customHeight="1">
      <c r="A642" s="661"/>
      <c r="B642" s="657" t="s">
        <v>11550</v>
      </c>
      <c r="C642" s="657" t="s">
        <v>11551</v>
      </c>
      <c r="D642" s="663" t="s">
        <v>1897</v>
      </c>
      <c r="E642" s="663" t="s">
        <v>1898</v>
      </c>
      <c r="F642" s="658">
        <v>0.1</v>
      </c>
      <c r="G642" s="658">
        <v>0</v>
      </c>
      <c r="H642" s="664">
        <v>69600</v>
      </c>
      <c r="I642" s="664">
        <f t="shared" si="4"/>
        <v>63270</v>
      </c>
      <c r="J642" s="664">
        <f t="shared" si="5"/>
        <v>69600</v>
      </c>
      <c r="K642" s="661"/>
    </row>
    <row r="643" spans="1:11" ht="18.75" customHeight="1">
      <c r="A643" s="661"/>
      <c r="B643" s="657" t="s">
        <v>11550</v>
      </c>
      <c r="C643" s="657" t="s">
        <v>11551</v>
      </c>
      <c r="D643" s="663" t="s">
        <v>1766</v>
      </c>
      <c r="E643" s="663" t="s">
        <v>1767</v>
      </c>
      <c r="F643" s="658">
        <v>0.1</v>
      </c>
      <c r="G643" s="658">
        <v>0</v>
      </c>
      <c r="H643" s="664">
        <v>231600</v>
      </c>
      <c r="I643" s="664">
        <f t="shared" si="4"/>
        <v>210550</v>
      </c>
      <c r="J643" s="664">
        <f t="shared" si="5"/>
        <v>231600</v>
      </c>
      <c r="K643" s="661"/>
    </row>
    <row r="644" spans="1:11" ht="18.75" customHeight="1">
      <c r="A644" s="661"/>
      <c r="B644" s="657" t="s">
        <v>11550</v>
      </c>
      <c r="C644" s="657" t="s">
        <v>11551</v>
      </c>
      <c r="D644" s="663" t="s">
        <v>1810</v>
      </c>
      <c r="E644" s="663" t="s">
        <v>1811</v>
      </c>
      <c r="F644" s="658">
        <v>0.1</v>
      </c>
      <c r="G644" s="658">
        <v>0</v>
      </c>
      <c r="H644" s="664">
        <v>82200</v>
      </c>
      <c r="I644" s="664">
        <f t="shared" si="4"/>
        <v>74730</v>
      </c>
      <c r="J644" s="664">
        <f t="shared" si="5"/>
        <v>82200</v>
      </c>
      <c r="K644" s="661"/>
    </row>
    <row r="645" spans="1:11" ht="18.75" customHeight="1">
      <c r="A645" s="661"/>
      <c r="B645" s="657" t="s">
        <v>11576</v>
      </c>
      <c r="C645" s="657" t="s">
        <v>11577</v>
      </c>
      <c r="D645" s="663" t="s">
        <v>11578</v>
      </c>
      <c r="E645" s="663" t="s">
        <v>11579</v>
      </c>
      <c r="F645" s="658">
        <v>0.1</v>
      </c>
      <c r="G645" s="658">
        <v>0</v>
      </c>
      <c r="H645" s="664">
        <v>24200</v>
      </c>
      <c r="I645" s="664">
        <f t="shared" si="4"/>
        <v>22000</v>
      </c>
      <c r="J645" s="664">
        <f t="shared" si="5"/>
        <v>24200</v>
      </c>
      <c r="K645" s="661"/>
    </row>
    <row r="646" spans="1:11" ht="18.75" customHeight="1">
      <c r="A646" s="661"/>
      <c r="B646" s="657" t="s">
        <v>11576</v>
      </c>
      <c r="C646" s="657" t="s">
        <v>11577</v>
      </c>
      <c r="D646" s="663" t="s">
        <v>98</v>
      </c>
      <c r="E646" s="663" t="s">
        <v>11580</v>
      </c>
      <c r="F646" s="658">
        <v>0.1</v>
      </c>
      <c r="G646" s="658">
        <v>0</v>
      </c>
      <c r="H646" s="664">
        <v>638000</v>
      </c>
      <c r="I646" s="664">
        <f t="shared" si="4"/>
        <v>580000</v>
      </c>
      <c r="J646" s="664">
        <f t="shared" si="5"/>
        <v>638000</v>
      </c>
      <c r="K646" s="661"/>
    </row>
    <row r="647" spans="1:11" ht="18.75" customHeight="1">
      <c r="A647" s="661"/>
      <c r="B647" s="657" t="s">
        <v>11576</v>
      </c>
      <c r="C647" s="657" t="s">
        <v>11577</v>
      </c>
      <c r="D647" s="663" t="s">
        <v>11581</v>
      </c>
      <c r="E647" s="663" t="s">
        <v>11582</v>
      </c>
      <c r="F647" s="658">
        <v>0.1</v>
      </c>
      <c r="G647" s="658">
        <v>0</v>
      </c>
      <c r="H647" s="664">
        <v>49500</v>
      </c>
      <c r="I647" s="664">
        <f t="shared" si="4"/>
        <v>45000</v>
      </c>
      <c r="J647" s="664">
        <f t="shared" si="5"/>
        <v>49500</v>
      </c>
      <c r="K647" s="661"/>
    </row>
    <row r="648" spans="1:11" ht="18.75" customHeight="1">
      <c r="A648" s="661"/>
      <c r="B648" s="657" t="s">
        <v>11576</v>
      </c>
      <c r="C648" s="657" t="s">
        <v>11577</v>
      </c>
      <c r="D648" s="663" t="s">
        <v>11583</v>
      </c>
      <c r="E648" s="663" t="s">
        <v>11584</v>
      </c>
      <c r="F648" s="658">
        <v>0.1</v>
      </c>
      <c r="G648" s="658">
        <v>0</v>
      </c>
      <c r="H648" s="664">
        <v>44000</v>
      </c>
      <c r="I648" s="664">
        <f t="shared" si="4"/>
        <v>40000</v>
      </c>
      <c r="J648" s="664">
        <f t="shared" si="5"/>
        <v>44000</v>
      </c>
      <c r="K648" s="661"/>
    </row>
    <row r="649" spans="1:11" ht="18.75" customHeight="1">
      <c r="A649" s="661"/>
      <c r="B649" s="657" t="s">
        <v>11576</v>
      </c>
      <c r="C649" s="657" t="s">
        <v>11577</v>
      </c>
      <c r="D649" s="663" t="s">
        <v>88</v>
      </c>
      <c r="E649" s="663" t="s">
        <v>11585</v>
      </c>
      <c r="F649" s="658">
        <v>0.1</v>
      </c>
      <c r="G649" s="658">
        <v>0</v>
      </c>
      <c r="H649" s="664">
        <v>480000</v>
      </c>
      <c r="I649" s="664">
        <f t="shared" si="4"/>
        <v>436360</v>
      </c>
      <c r="J649" s="664">
        <f t="shared" si="5"/>
        <v>480000</v>
      </c>
      <c r="K649" s="661"/>
    </row>
    <row r="650" spans="1:11" ht="18.75" customHeight="1">
      <c r="A650" s="661"/>
      <c r="B650" s="657" t="s">
        <v>11576</v>
      </c>
      <c r="C650" s="657" t="s">
        <v>11577</v>
      </c>
      <c r="D650" s="663" t="s">
        <v>11586</v>
      </c>
      <c r="E650" s="663" t="s">
        <v>11587</v>
      </c>
      <c r="F650" s="658">
        <v>0.1</v>
      </c>
      <c r="G650" s="658">
        <v>0</v>
      </c>
      <c r="H650" s="664">
        <v>10010</v>
      </c>
      <c r="I650" s="664">
        <f t="shared" si="4"/>
        <v>9100</v>
      </c>
      <c r="J650" s="664">
        <f t="shared" si="5"/>
        <v>10010</v>
      </c>
      <c r="K650" s="661"/>
    </row>
    <row r="651" spans="1:11" ht="18.75" customHeight="1">
      <c r="A651" s="661"/>
      <c r="B651" s="657" t="s">
        <v>11576</v>
      </c>
      <c r="C651" s="657" t="s">
        <v>11577</v>
      </c>
      <c r="D651" s="663" t="s">
        <v>90</v>
      </c>
      <c r="E651" s="663" t="s">
        <v>11588</v>
      </c>
      <c r="F651" s="658">
        <v>0.1</v>
      </c>
      <c r="G651" s="658">
        <v>0</v>
      </c>
      <c r="H651" s="664">
        <v>1460030</v>
      </c>
      <c r="I651" s="664">
        <f t="shared" si="4"/>
        <v>1327300</v>
      </c>
      <c r="J651" s="664">
        <f t="shared" si="5"/>
        <v>1460030</v>
      </c>
      <c r="K651" s="661"/>
    </row>
    <row r="652" spans="1:11" ht="18.75" customHeight="1">
      <c r="A652" s="661"/>
      <c r="B652" s="657" t="s">
        <v>11576</v>
      </c>
      <c r="C652" s="657" t="s">
        <v>11577</v>
      </c>
      <c r="D652" s="663" t="s">
        <v>11589</v>
      </c>
      <c r="E652" s="663" t="s">
        <v>11590</v>
      </c>
      <c r="F652" s="658">
        <v>0.1</v>
      </c>
      <c r="G652" s="658">
        <v>0</v>
      </c>
      <c r="H652" s="664">
        <v>1980000</v>
      </c>
      <c r="I652" s="664">
        <f t="shared" si="4"/>
        <v>1800000</v>
      </c>
      <c r="J652" s="664">
        <f t="shared" si="5"/>
        <v>1980000</v>
      </c>
      <c r="K652" s="661"/>
    </row>
    <row r="653" spans="1:11" ht="18.75" customHeight="1">
      <c r="A653" s="661"/>
      <c r="B653" s="657" t="s">
        <v>11576</v>
      </c>
      <c r="C653" s="657" t="s">
        <v>11577</v>
      </c>
      <c r="D653" s="663" t="s">
        <v>92</v>
      </c>
      <c r="E653" s="663" t="s">
        <v>11591</v>
      </c>
      <c r="F653" s="658">
        <v>0.1</v>
      </c>
      <c r="G653" s="658">
        <v>0</v>
      </c>
      <c r="H653" s="664">
        <v>2409990</v>
      </c>
      <c r="I653" s="664">
        <f t="shared" si="4"/>
        <v>2190900</v>
      </c>
      <c r="J653" s="664">
        <f t="shared" si="5"/>
        <v>2409990</v>
      </c>
      <c r="K653" s="661"/>
    </row>
    <row r="654" spans="1:11" ht="18.75" customHeight="1">
      <c r="A654" s="661"/>
      <c r="B654" s="657" t="s">
        <v>11576</v>
      </c>
      <c r="C654" s="657" t="s">
        <v>11577</v>
      </c>
      <c r="D654" s="663" t="s">
        <v>11592</v>
      </c>
      <c r="E654" s="663" t="s">
        <v>11593</v>
      </c>
      <c r="F654" s="658">
        <v>0.1</v>
      </c>
      <c r="G654" s="658">
        <v>0</v>
      </c>
      <c r="H654" s="664">
        <v>3300000</v>
      </c>
      <c r="I654" s="664">
        <f t="shared" si="4"/>
        <v>3000000</v>
      </c>
      <c r="J654" s="664">
        <f t="shared" si="5"/>
        <v>3300000</v>
      </c>
      <c r="K654" s="661"/>
    </row>
    <row r="655" spans="1:11" ht="18.75" customHeight="1">
      <c r="A655" s="661"/>
      <c r="B655" s="657" t="s">
        <v>11576</v>
      </c>
      <c r="C655" s="657" t="s">
        <v>11577</v>
      </c>
      <c r="D655" s="663" t="s">
        <v>94</v>
      </c>
      <c r="E655" s="663" t="s">
        <v>11594</v>
      </c>
      <c r="F655" s="658">
        <v>0.1</v>
      </c>
      <c r="G655" s="658">
        <v>0</v>
      </c>
      <c r="H655" s="664">
        <v>5650040</v>
      </c>
      <c r="I655" s="664">
        <f t="shared" si="4"/>
        <v>5136400</v>
      </c>
      <c r="J655" s="664">
        <f t="shared" si="5"/>
        <v>5650040</v>
      </c>
      <c r="K655" s="661"/>
    </row>
    <row r="656" spans="1:11" ht="18.75" customHeight="1">
      <c r="A656" s="661"/>
      <c r="B656" s="657" t="s">
        <v>11576</v>
      </c>
      <c r="C656" s="657" t="s">
        <v>11577</v>
      </c>
      <c r="D656" s="663" t="s">
        <v>11595</v>
      </c>
      <c r="E656" s="663" t="s">
        <v>11596</v>
      </c>
      <c r="F656" s="658">
        <v>0.1</v>
      </c>
      <c r="G656" s="658">
        <v>0</v>
      </c>
      <c r="H656" s="664">
        <v>6050000</v>
      </c>
      <c r="I656" s="664">
        <f t="shared" si="4"/>
        <v>5500000</v>
      </c>
      <c r="J656" s="664">
        <f t="shared" si="5"/>
        <v>6050000</v>
      </c>
      <c r="K656" s="661"/>
    </row>
    <row r="657" spans="1:11" ht="18.75" customHeight="1">
      <c r="A657" s="661"/>
      <c r="B657" s="657" t="s">
        <v>11576</v>
      </c>
      <c r="C657" s="657" t="s">
        <v>11577</v>
      </c>
      <c r="D657" s="663" t="s">
        <v>96</v>
      </c>
      <c r="E657" s="663" t="s">
        <v>11597</v>
      </c>
      <c r="F657" s="658">
        <v>0.1</v>
      </c>
      <c r="G657" s="658">
        <v>0</v>
      </c>
      <c r="H657" s="664">
        <v>5450000</v>
      </c>
      <c r="I657" s="664">
        <f t="shared" si="4"/>
        <v>4954550</v>
      </c>
      <c r="J657" s="664">
        <f t="shared" si="5"/>
        <v>5450000</v>
      </c>
      <c r="K657" s="661"/>
    </row>
    <row r="658" spans="1:11" ht="18.75" customHeight="1">
      <c r="A658" s="661"/>
      <c r="B658" s="657" t="s">
        <v>11576</v>
      </c>
      <c r="C658" s="657" t="s">
        <v>11577</v>
      </c>
      <c r="D658" s="663" t="s">
        <v>11598</v>
      </c>
      <c r="E658" s="663" t="s">
        <v>11599</v>
      </c>
      <c r="F658" s="658">
        <v>0.1</v>
      </c>
      <c r="G658" s="658">
        <v>0</v>
      </c>
      <c r="H658" s="664">
        <v>297000</v>
      </c>
      <c r="I658" s="664">
        <f t="shared" si="4"/>
        <v>270000</v>
      </c>
      <c r="J658" s="664">
        <f t="shared" si="5"/>
        <v>297000</v>
      </c>
      <c r="K658" s="661"/>
    </row>
    <row r="659" spans="1:11" ht="18.75" customHeight="1">
      <c r="A659" s="661"/>
      <c r="B659" s="657" t="s">
        <v>11576</v>
      </c>
      <c r="C659" s="657" t="s">
        <v>11577</v>
      </c>
      <c r="D659" s="663" t="s">
        <v>11600</v>
      </c>
      <c r="E659" s="663" t="s">
        <v>11601</v>
      </c>
      <c r="F659" s="658">
        <v>0.1</v>
      </c>
      <c r="G659" s="658">
        <v>0</v>
      </c>
      <c r="H659" s="664">
        <v>300000</v>
      </c>
      <c r="I659" s="664">
        <f t="shared" si="4"/>
        <v>272730</v>
      </c>
      <c r="J659" s="664">
        <f t="shared" si="5"/>
        <v>300000</v>
      </c>
      <c r="K659" s="661"/>
    </row>
    <row r="660" spans="1:11" ht="18.75" customHeight="1">
      <c r="A660" s="661"/>
      <c r="B660" s="657" t="s">
        <v>113</v>
      </c>
      <c r="C660" s="657" t="s">
        <v>11602</v>
      </c>
      <c r="D660" s="663" t="s">
        <v>112</v>
      </c>
      <c r="E660" s="663" t="s">
        <v>113</v>
      </c>
      <c r="F660" s="658">
        <v>0.1</v>
      </c>
      <c r="G660" s="658">
        <v>0.05</v>
      </c>
      <c r="H660" s="664">
        <v>20020</v>
      </c>
      <c r="I660" s="664">
        <f t="shared" si="4"/>
        <v>18200</v>
      </c>
      <c r="J660" s="664">
        <f t="shared" si="5"/>
        <v>19020</v>
      </c>
      <c r="K660" s="661"/>
    </row>
    <row r="661" spans="1:11" ht="18.75" customHeight="1">
      <c r="A661" s="661"/>
      <c r="B661" s="657" t="s">
        <v>113</v>
      </c>
      <c r="C661" s="657" t="s">
        <v>11602</v>
      </c>
      <c r="D661" s="663" t="s">
        <v>125</v>
      </c>
      <c r="E661" s="663" t="s">
        <v>126</v>
      </c>
      <c r="F661" s="658">
        <v>0.1</v>
      </c>
      <c r="G661" s="658">
        <v>0.05</v>
      </c>
      <c r="H661" s="664">
        <v>19690</v>
      </c>
      <c r="I661" s="664">
        <f t="shared" si="4"/>
        <v>17900</v>
      </c>
      <c r="J661" s="664">
        <f t="shared" si="5"/>
        <v>18710</v>
      </c>
      <c r="K661" s="661"/>
    </row>
    <row r="662" spans="1:11" ht="18.75" customHeight="1">
      <c r="A662" s="661"/>
      <c r="B662" s="657" t="s">
        <v>113</v>
      </c>
      <c r="C662" s="657" t="s">
        <v>11602</v>
      </c>
      <c r="D662" s="663" t="s">
        <v>123</v>
      </c>
      <c r="E662" s="663" t="s">
        <v>124</v>
      </c>
      <c r="F662" s="658">
        <v>0.1</v>
      </c>
      <c r="G662" s="658">
        <v>0.05</v>
      </c>
      <c r="H662" s="664">
        <v>33550</v>
      </c>
      <c r="I662" s="664">
        <f t="shared" si="4"/>
        <v>30500</v>
      </c>
      <c r="J662" s="664">
        <f t="shared" si="5"/>
        <v>31870</v>
      </c>
      <c r="K662" s="661"/>
    </row>
    <row r="663" spans="1:11" ht="18.75" customHeight="1">
      <c r="A663" s="661"/>
      <c r="B663" s="657" t="s">
        <v>113</v>
      </c>
      <c r="C663" s="657" t="s">
        <v>11602</v>
      </c>
      <c r="D663" s="663" t="s">
        <v>116</v>
      </c>
      <c r="E663" s="663" t="s">
        <v>117</v>
      </c>
      <c r="F663" s="658">
        <v>0.1</v>
      </c>
      <c r="G663" s="658">
        <v>0.05</v>
      </c>
      <c r="H663" s="664">
        <v>40040</v>
      </c>
      <c r="I663" s="664">
        <f t="shared" si="4"/>
        <v>36400</v>
      </c>
      <c r="J663" s="664">
        <f t="shared" si="5"/>
        <v>38040</v>
      </c>
      <c r="K663" s="661"/>
    </row>
    <row r="664" spans="1:11" ht="18.75" customHeight="1">
      <c r="A664" s="661"/>
      <c r="B664" s="657" t="s">
        <v>113</v>
      </c>
      <c r="C664" s="657" t="s">
        <v>11602</v>
      </c>
      <c r="D664" s="663" t="s">
        <v>114</v>
      </c>
      <c r="E664" s="663" t="s">
        <v>115</v>
      </c>
      <c r="F664" s="658">
        <v>0.1</v>
      </c>
      <c r="G664" s="658">
        <v>0.05</v>
      </c>
      <c r="H664" s="664">
        <v>44990</v>
      </c>
      <c r="I664" s="664">
        <f t="shared" si="4"/>
        <v>40900</v>
      </c>
      <c r="J664" s="664">
        <f t="shared" si="5"/>
        <v>42740</v>
      </c>
      <c r="K664" s="661"/>
    </row>
    <row r="665" spans="1:11" ht="18.75" customHeight="1">
      <c r="A665" s="661"/>
      <c r="B665" s="657" t="s">
        <v>11603</v>
      </c>
      <c r="C665" s="657" t="s">
        <v>11604</v>
      </c>
      <c r="D665" s="663" t="s">
        <v>101</v>
      </c>
      <c r="E665" s="663" t="s">
        <v>102</v>
      </c>
      <c r="F665" s="658">
        <v>0.1</v>
      </c>
      <c r="G665" s="658">
        <v>0.08</v>
      </c>
      <c r="H665" s="664">
        <v>22000</v>
      </c>
      <c r="I665" s="664">
        <f t="shared" si="4"/>
        <v>20000</v>
      </c>
      <c r="J665" s="664">
        <f t="shared" si="5"/>
        <v>20240</v>
      </c>
      <c r="K665" s="661"/>
    </row>
    <row r="666" spans="1:11" ht="18.75" customHeight="1">
      <c r="A666" s="661"/>
      <c r="B666" s="657" t="s">
        <v>11603</v>
      </c>
      <c r="C666" s="657" t="s">
        <v>11604</v>
      </c>
      <c r="D666" s="663" t="s">
        <v>103</v>
      </c>
      <c r="E666" s="663" t="s">
        <v>11605</v>
      </c>
      <c r="F666" s="658">
        <v>0.1</v>
      </c>
      <c r="G666" s="658">
        <v>0.08</v>
      </c>
      <c r="H666" s="664">
        <v>22000</v>
      </c>
      <c r="I666" s="664">
        <f t="shared" si="4"/>
        <v>20000</v>
      </c>
      <c r="J666" s="664">
        <f t="shared" si="5"/>
        <v>20240</v>
      </c>
      <c r="K666" s="661"/>
    </row>
    <row r="667" spans="1:11" ht="18.75" customHeight="1">
      <c r="A667" s="661"/>
      <c r="B667" s="657" t="s">
        <v>11603</v>
      </c>
      <c r="C667" s="657" t="s">
        <v>11604</v>
      </c>
      <c r="D667" s="663" t="s">
        <v>105</v>
      </c>
      <c r="E667" s="663" t="s">
        <v>106</v>
      </c>
      <c r="F667" s="658">
        <v>0.1</v>
      </c>
      <c r="G667" s="658">
        <v>0.08</v>
      </c>
      <c r="H667" s="664">
        <v>67100</v>
      </c>
      <c r="I667" s="664">
        <f t="shared" si="4"/>
        <v>61000</v>
      </c>
      <c r="J667" s="664">
        <f t="shared" si="5"/>
        <v>61730</v>
      </c>
      <c r="K667" s="661"/>
    </row>
    <row r="668" spans="1:11" ht="18.75" customHeight="1">
      <c r="A668" s="661"/>
      <c r="B668" s="657" t="s">
        <v>11603</v>
      </c>
      <c r="C668" s="657" t="s">
        <v>11604</v>
      </c>
      <c r="D668" s="663" t="s">
        <v>107</v>
      </c>
      <c r="E668" s="663" t="s">
        <v>108</v>
      </c>
      <c r="F668" s="658">
        <v>0.1</v>
      </c>
      <c r="G668" s="658">
        <v>0.08</v>
      </c>
      <c r="H668" s="664">
        <v>61600</v>
      </c>
      <c r="I668" s="664">
        <f t="shared" si="4"/>
        <v>56000</v>
      </c>
      <c r="J668" s="664">
        <f t="shared" si="5"/>
        <v>56670</v>
      </c>
      <c r="K668" s="661"/>
    </row>
    <row r="669" spans="1:11" ht="18.75" customHeight="1">
      <c r="A669" s="661"/>
      <c r="B669" s="657" t="s">
        <v>11606</v>
      </c>
      <c r="C669" s="657" t="s">
        <v>11607</v>
      </c>
      <c r="D669" s="663" t="s">
        <v>11608</v>
      </c>
      <c r="E669" s="663" t="s">
        <v>11609</v>
      </c>
      <c r="F669" s="658">
        <v>0.1</v>
      </c>
      <c r="G669" s="658">
        <v>0.05</v>
      </c>
      <c r="H669" s="664">
        <v>6480</v>
      </c>
      <c r="I669" s="664">
        <f t="shared" si="4"/>
        <v>5890</v>
      </c>
      <c r="J669" s="664">
        <f t="shared" si="5"/>
        <v>6160</v>
      </c>
      <c r="K669" s="661"/>
    </row>
    <row r="670" spans="1:11" ht="18.75" customHeight="1">
      <c r="A670" s="661"/>
      <c r="B670" s="657" t="s">
        <v>11606</v>
      </c>
      <c r="C670" s="657" t="s">
        <v>11607</v>
      </c>
      <c r="D670" s="663" t="s">
        <v>11610</v>
      </c>
      <c r="E670" s="663" t="s">
        <v>11611</v>
      </c>
      <c r="F670" s="658">
        <v>0.1</v>
      </c>
      <c r="G670" s="658">
        <v>0.05</v>
      </c>
      <c r="H670" s="664">
        <v>13610</v>
      </c>
      <c r="I670" s="664">
        <f t="shared" si="4"/>
        <v>12370</v>
      </c>
      <c r="J670" s="664">
        <f t="shared" si="5"/>
        <v>12930</v>
      </c>
      <c r="K670" s="661"/>
    </row>
    <row r="671" spans="1:11" ht="18.75" customHeight="1">
      <c r="A671" s="661"/>
      <c r="B671" s="657" t="s">
        <v>11606</v>
      </c>
      <c r="C671" s="657" t="s">
        <v>11607</v>
      </c>
      <c r="D671" s="663" t="s">
        <v>11612</v>
      </c>
      <c r="E671" s="663" t="s">
        <v>11613</v>
      </c>
      <c r="F671" s="658">
        <v>0.1</v>
      </c>
      <c r="G671" s="658">
        <v>0.05</v>
      </c>
      <c r="H671" s="664">
        <v>9720</v>
      </c>
      <c r="I671" s="664">
        <f t="shared" si="4"/>
        <v>8840</v>
      </c>
      <c r="J671" s="664">
        <f t="shared" si="5"/>
        <v>9230</v>
      </c>
      <c r="K671" s="661"/>
    </row>
    <row r="672" spans="1:11" ht="18.75" customHeight="1">
      <c r="A672" s="661"/>
      <c r="B672" s="657" t="s">
        <v>11606</v>
      </c>
      <c r="C672" s="657" t="s">
        <v>11607</v>
      </c>
      <c r="D672" s="663" t="s">
        <v>11614</v>
      </c>
      <c r="E672" s="663" t="s">
        <v>11615</v>
      </c>
      <c r="F672" s="658">
        <v>0.1</v>
      </c>
      <c r="G672" s="658">
        <v>0.05</v>
      </c>
      <c r="H672" s="663"/>
      <c r="I672" s="664">
        <f t="shared" si="4"/>
        <v>0</v>
      </c>
      <c r="J672" s="664">
        <f t="shared" si="5"/>
        <v>0</v>
      </c>
      <c r="K672" s="661"/>
    </row>
    <row r="673" spans="1:11" ht="18.75" customHeight="1">
      <c r="A673" s="661"/>
      <c r="B673" s="657" t="s">
        <v>11606</v>
      </c>
      <c r="C673" s="657" t="s">
        <v>11607</v>
      </c>
      <c r="D673" s="663" t="s">
        <v>11616</v>
      </c>
      <c r="E673" s="663" t="s">
        <v>11617</v>
      </c>
      <c r="F673" s="658">
        <v>0.1</v>
      </c>
      <c r="G673" s="658">
        <v>0.05</v>
      </c>
      <c r="H673" s="663"/>
      <c r="I673" s="664">
        <f t="shared" si="4"/>
        <v>0</v>
      </c>
      <c r="J673" s="664">
        <f t="shared" si="5"/>
        <v>0</v>
      </c>
      <c r="K673" s="661"/>
    </row>
    <row r="674" spans="1:11" ht="18.75" customHeight="1">
      <c r="A674" s="661"/>
      <c r="B674" s="657" t="s">
        <v>11606</v>
      </c>
      <c r="C674" s="657" t="s">
        <v>11607</v>
      </c>
      <c r="D674" s="663" t="s">
        <v>118</v>
      </c>
      <c r="E674" s="663" t="s">
        <v>119</v>
      </c>
      <c r="F674" s="658">
        <v>0.1</v>
      </c>
      <c r="G674" s="658">
        <v>0.05</v>
      </c>
      <c r="H674" s="664">
        <v>80030</v>
      </c>
      <c r="I674" s="664">
        <f t="shared" si="4"/>
        <v>72750</v>
      </c>
      <c r="J674" s="664">
        <f t="shared" si="5"/>
        <v>76030</v>
      </c>
      <c r="K674" s="661"/>
    </row>
    <row r="675" spans="1:11" ht="18.75" customHeight="1">
      <c r="A675" s="661"/>
      <c r="B675" s="657" t="s">
        <v>11606</v>
      </c>
      <c r="C675" s="657" t="s">
        <v>11607</v>
      </c>
      <c r="D675" s="663" t="s">
        <v>11618</v>
      </c>
      <c r="E675" s="663" t="s">
        <v>121</v>
      </c>
      <c r="F675" s="658">
        <v>0.1</v>
      </c>
      <c r="G675" s="658">
        <v>0.05</v>
      </c>
      <c r="H675" s="664"/>
      <c r="I675" s="664">
        <f t="shared" si="4"/>
        <v>0</v>
      </c>
      <c r="J675" s="664">
        <f t="shared" si="5"/>
        <v>0</v>
      </c>
      <c r="K675" s="661"/>
    </row>
    <row r="676" spans="1:11" ht="18.75" customHeight="1">
      <c r="A676" s="661"/>
      <c r="B676" s="657" t="s">
        <v>11606</v>
      </c>
      <c r="C676" s="657" t="s">
        <v>11607</v>
      </c>
      <c r="D676" s="663" t="s">
        <v>11619</v>
      </c>
      <c r="E676" s="663" t="s">
        <v>11620</v>
      </c>
      <c r="F676" s="658">
        <v>0.1</v>
      </c>
      <c r="G676" s="658">
        <v>0.05</v>
      </c>
      <c r="H676" s="663"/>
      <c r="I676" s="664">
        <f t="shared" si="4"/>
        <v>0</v>
      </c>
      <c r="J676" s="664">
        <f t="shared" si="5"/>
        <v>0</v>
      </c>
      <c r="K676" s="661"/>
    </row>
    <row r="677" spans="1:11" ht="18.75" customHeight="1">
      <c r="A677" s="661"/>
      <c r="B677" s="657" t="s">
        <v>11606</v>
      </c>
      <c r="C677" s="657" t="s">
        <v>11607</v>
      </c>
      <c r="D677" s="663" t="s">
        <v>11621</v>
      </c>
      <c r="E677" s="663" t="s">
        <v>11622</v>
      </c>
      <c r="F677" s="658">
        <v>0.1</v>
      </c>
      <c r="G677" s="658">
        <v>0.05</v>
      </c>
      <c r="H677" s="664">
        <v>19440</v>
      </c>
      <c r="I677" s="664">
        <f t="shared" si="4"/>
        <v>17670</v>
      </c>
      <c r="J677" s="664">
        <f t="shared" si="5"/>
        <v>18470</v>
      </c>
      <c r="K677" s="661"/>
    </row>
    <row r="678" spans="1:11" ht="18.75" customHeight="1">
      <c r="A678" s="661"/>
      <c r="B678" s="657" t="s">
        <v>11606</v>
      </c>
      <c r="C678" s="657" t="s">
        <v>11607</v>
      </c>
      <c r="D678" s="663" t="s">
        <v>127</v>
      </c>
      <c r="E678" s="663" t="s">
        <v>128</v>
      </c>
      <c r="F678" s="658">
        <v>0.1</v>
      </c>
      <c r="G678" s="658">
        <v>0.05</v>
      </c>
      <c r="H678" s="663">
        <v>18040</v>
      </c>
      <c r="I678" s="664">
        <f t="shared" si="4"/>
        <v>16400</v>
      </c>
      <c r="J678" s="664">
        <f t="shared" si="5"/>
        <v>17140</v>
      </c>
      <c r="K678" s="661"/>
    </row>
    <row r="679" spans="1:11" ht="18.75" customHeight="1">
      <c r="A679" s="661"/>
      <c r="B679" s="657" t="s">
        <v>11606</v>
      </c>
      <c r="C679" s="657" t="s">
        <v>11607</v>
      </c>
      <c r="D679" s="663" t="s">
        <v>11623</v>
      </c>
      <c r="E679" s="663" t="s">
        <v>11624</v>
      </c>
      <c r="F679" s="658">
        <v>0.1</v>
      </c>
      <c r="G679" s="658">
        <v>0.05</v>
      </c>
      <c r="H679" s="664">
        <v>10800</v>
      </c>
      <c r="I679" s="664">
        <f t="shared" si="4"/>
        <v>9820</v>
      </c>
      <c r="J679" s="664">
        <f t="shared" si="5"/>
        <v>10260</v>
      </c>
      <c r="K679" s="661"/>
    </row>
    <row r="680" spans="1:11" ht="18.75" customHeight="1">
      <c r="A680" s="661"/>
      <c r="B680" s="657" t="s">
        <v>11606</v>
      </c>
      <c r="C680" s="657" t="s">
        <v>11607</v>
      </c>
      <c r="D680" s="663" t="s">
        <v>11625</v>
      </c>
      <c r="E680" s="663" t="s">
        <v>11626</v>
      </c>
      <c r="F680" s="658">
        <v>0.1</v>
      </c>
      <c r="G680" s="658">
        <v>0.05</v>
      </c>
      <c r="H680" s="663"/>
      <c r="I680" s="664">
        <f t="shared" si="4"/>
        <v>0</v>
      </c>
      <c r="J680" s="664">
        <f t="shared" si="5"/>
        <v>0</v>
      </c>
      <c r="K680" s="661"/>
    </row>
    <row r="681" spans="1:11" ht="18.75" customHeight="1">
      <c r="A681" s="661"/>
      <c r="B681" s="657" t="s">
        <v>11606</v>
      </c>
      <c r="C681" s="657" t="s">
        <v>11607</v>
      </c>
      <c r="D681" s="663" t="s">
        <v>11627</v>
      </c>
      <c r="E681" s="663" t="s">
        <v>11628</v>
      </c>
      <c r="F681" s="658">
        <v>0.1</v>
      </c>
      <c r="G681" s="658">
        <v>0.05</v>
      </c>
      <c r="H681" s="664">
        <v>19800</v>
      </c>
      <c r="I681" s="664">
        <f t="shared" si="4"/>
        <v>18000</v>
      </c>
      <c r="J681" s="664">
        <f t="shared" si="5"/>
        <v>18810</v>
      </c>
      <c r="K681" s="661"/>
    </row>
    <row r="682" spans="1:11" ht="18.75" customHeight="1">
      <c r="A682" s="661"/>
      <c r="B682" s="657" t="s">
        <v>11606</v>
      </c>
      <c r="C682" s="657" t="s">
        <v>11607</v>
      </c>
      <c r="D682" s="663" t="s">
        <v>11629</v>
      </c>
      <c r="E682" s="663" t="s">
        <v>11630</v>
      </c>
      <c r="F682" s="658">
        <v>0.1</v>
      </c>
      <c r="G682" s="658">
        <v>0.05</v>
      </c>
      <c r="H682" s="664">
        <v>19800</v>
      </c>
      <c r="I682" s="664">
        <f t="shared" si="4"/>
        <v>18000</v>
      </c>
      <c r="J682" s="664">
        <f t="shared" si="5"/>
        <v>18810</v>
      </c>
      <c r="K682" s="661"/>
    </row>
    <row r="683" spans="1:11" ht="18.75" customHeight="1">
      <c r="A683" s="661"/>
      <c r="B683" s="657" t="s">
        <v>11631</v>
      </c>
      <c r="C683" s="657" t="s">
        <v>11632</v>
      </c>
      <c r="D683" s="663" t="s">
        <v>11633</v>
      </c>
      <c r="E683" s="663" t="s">
        <v>11634</v>
      </c>
      <c r="F683" s="658">
        <v>0.1</v>
      </c>
      <c r="G683" s="658">
        <v>0.05</v>
      </c>
      <c r="H683" s="664">
        <v>13480</v>
      </c>
      <c r="I683" s="664">
        <f t="shared" si="4"/>
        <v>12250</v>
      </c>
      <c r="J683" s="664">
        <f t="shared" si="5"/>
        <v>12810</v>
      </c>
      <c r="K683" s="661"/>
    </row>
    <row r="684" spans="1:11" ht="18.75" customHeight="1">
      <c r="A684" s="661"/>
      <c r="B684" s="657" t="s">
        <v>11631</v>
      </c>
      <c r="C684" s="657" t="s">
        <v>11632</v>
      </c>
      <c r="D684" s="663" t="s">
        <v>11635</v>
      </c>
      <c r="E684" s="663" t="s">
        <v>11636</v>
      </c>
      <c r="F684" s="658">
        <v>0.1</v>
      </c>
      <c r="G684" s="658">
        <v>0.05</v>
      </c>
      <c r="H684" s="664">
        <v>13480</v>
      </c>
      <c r="I684" s="664">
        <f t="shared" si="4"/>
        <v>12250</v>
      </c>
      <c r="J684" s="664">
        <f t="shared" si="5"/>
        <v>12810</v>
      </c>
      <c r="K684" s="661"/>
    </row>
    <row r="685" spans="1:11" ht="18.75" customHeight="1">
      <c r="A685" s="661"/>
      <c r="B685" s="657" t="s">
        <v>11631</v>
      </c>
      <c r="C685" s="657" t="s">
        <v>11632</v>
      </c>
      <c r="D685" s="663" t="s">
        <v>11637</v>
      </c>
      <c r="E685" s="663" t="s">
        <v>11638</v>
      </c>
      <c r="F685" s="658">
        <v>0.1</v>
      </c>
      <c r="G685" s="658">
        <v>0.05</v>
      </c>
      <c r="H685" s="664">
        <v>16210</v>
      </c>
      <c r="I685" s="664">
        <f t="shared" si="4"/>
        <v>14740</v>
      </c>
      <c r="J685" s="664">
        <f t="shared" si="5"/>
        <v>15400</v>
      </c>
      <c r="K685" s="661"/>
    </row>
    <row r="686" spans="1:11" ht="18.75" customHeight="1">
      <c r="A686" s="661"/>
      <c r="B686" s="657" t="s">
        <v>11631</v>
      </c>
      <c r="C686" s="657" t="s">
        <v>11632</v>
      </c>
      <c r="D686" s="663" t="s">
        <v>11639</v>
      </c>
      <c r="E686" s="663" t="s">
        <v>11640</v>
      </c>
      <c r="F686" s="658">
        <v>0.1</v>
      </c>
      <c r="G686" s="658">
        <v>0.05</v>
      </c>
      <c r="H686" s="664">
        <v>22000</v>
      </c>
      <c r="I686" s="664">
        <f t="shared" si="4"/>
        <v>20000</v>
      </c>
      <c r="J686" s="664">
        <f t="shared" si="5"/>
        <v>20900</v>
      </c>
      <c r="K686" s="661"/>
    </row>
    <row r="687" spans="1:11" ht="18.75" customHeight="1">
      <c r="A687" s="661"/>
      <c r="B687" s="657" t="s">
        <v>11631</v>
      </c>
      <c r="C687" s="657" t="s">
        <v>11632</v>
      </c>
      <c r="D687" s="663" t="s">
        <v>11641</v>
      </c>
      <c r="E687" s="663" t="s">
        <v>11642</v>
      </c>
      <c r="F687" s="658">
        <v>0.1</v>
      </c>
      <c r="G687" s="658">
        <v>0.05</v>
      </c>
      <c r="H687" s="664">
        <v>16210</v>
      </c>
      <c r="I687" s="664">
        <f t="shared" si="4"/>
        <v>14740</v>
      </c>
      <c r="J687" s="664">
        <f t="shared" si="5"/>
        <v>15400</v>
      </c>
      <c r="K687" s="661"/>
    </row>
    <row r="688" spans="1:11" ht="18.75" customHeight="1">
      <c r="A688" s="661"/>
      <c r="B688" s="657" t="s">
        <v>11631</v>
      </c>
      <c r="C688" s="657" t="s">
        <v>11632</v>
      </c>
      <c r="D688" s="663" t="s">
        <v>11643</v>
      </c>
      <c r="E688" s="663" t="s">
        <v>11644</v>
      </c>
      <c r="F688" s="658">
        <v>0.1</v>
      </c>
      <c r="G688" s="658">
        <v>0.05</v>
      </c>
      <c r="H688" s="664">
        <v>22250</v>
      </c>
      <c r="I688" s="664">
        <f t="shared" si="4"/>
        <v>20230</v>
      </c>
      <c r="J688" s="664">
        <f t="shared" si="5"/>
        <v>21140</v>
      </c>
      <c r="K688" s="661"/>
    </row>
    <row r="689" spans="1:11" ht="18.75" customHeight="1">
      <c r="A689" s="661"/>
      <c r="B689" s="657" t="s">
        <v>11631</v>
      </c>
      <c r="C689" s="657" t="s">
        <v>11632</v>
      </c>
      <c r="D689" s="663" t="s">
        <v>11645</v>
      </c>
      <c r="E689" s="663" t="s">
        <v>11646</v>
      </c>
      <c r="F689" s="658">
        <v>0.1</v>
      </c>
      <c r="G689" s="658">
        <v>0.05</v>
      </c>
      <c r="H689" s="664">
        <v>23800</v>
      </c>
      <c r="I689" s="664">
        <f t="shared" si="4"/>
        <v>21640</v>
      </c>
      <c r="J689" s="664">
        <f t="shared" si="5"/>
        <v>22610</v>
      </c>
      <c r="K689" s="661"/>
    </row>
    <row r="690" spans="1:11" ht="18.75" customHeight="1">
      <c r="A690" s="661"/>
      <c r="B690" s="657" t="s">
        <v>11631</v>
      </c>
      <c r="C690" s="657" t="s">
        <v>11632</v>
      </c>
      <c r="D690" s="663" t="s">
        <v>11647</v>
      </c>
      <c r="E690" s="663" t="s">
        <v>11648</v>
      </c>
      <c r="F690" s="658">
        <v>0.1</v>
      </c>
      <c r="G690" s="658">
        <v>0.05</v>
      </c>
      <c r="H690" s="664">
        <v>28460</v>
      </c>
      <c r="I690" s="664">
        <f t="shared" si="4"/>
        <v>25870</v>
      </c>
      <c r="J690" s="664">
        <f t="shared" si="5"/>
        <v>27040</v>
      </c>
      <c r="K690" s="661"/>
    </row>
    <row r="691" spans="1:11" ht="18.75" customHeight="1">
      <c r="A691" s="661"/>
      <c r="B691" s="657" t="s">
        <v>11631</v>
      </c>
      <c r="C691" s="657" t="s">
        <v>11632</v>
      </c>
      <c r="D691" s="663" t="s">
        <v>11649</v>
      </c>
      <c r="E691" s="663" t="s">
        <v>11650</v>
      </c>
      <c r="F691" s="658">
        <v>0.1</v>
      </c>
      <c r="G691" s="658">
        <v>0.05</v>
      </c>
      <c r="H691" s="664">
        <v>31570</v>
      </c>
      <c r="I691" s="664">
        <f t="shared" si="4"/>
        <v>28700</v>
      </c>
      <c r="J691" s="664">
        <f t="shared" si="5"/>
        <v>29990</v>
      </c>
      <c r="K691" s="661"/>
    </row>
    <row r="692" spans="1:11" ht="18.75" customHeight="1">
      <c r="A692" s="661"/>
      <c r="B692" s="657" t="s">
        <v>11631</v>
      </c>
      <c r="C692" s="657" t="s">
        <v>11632</v>
      </c>
      <c r="D692" s="663" t="s">
        <v>11651</v>
      </c>
      <c r="E692" s="663" t="s">
        <v>11652</v>
      </c>
      <c r="F692" s="658">
        <v>0.1</v>
      </c>
      <c r="G692" s="658">
        <v>0.05</v>
      </c>
      <c r="H692" s="664">
        <v>34840</v>
      </c>
      <c r="I692" s="664">
        <f t="shared" si="4"/>
        <v>31670</v>
      </c>
      <c r="J692" s="664">
        <f t="shared" si="5"/>
        <v>33100</v>
      </c>
      <c r="K692" s="661"/>
    </row>
    <row r="693" spans="1:11" ht="18.75" customHeight="1">
      <c r="A693" s="661"/>
      <c r="B693" s="657" t="s">
        <v>11631</v>
      </c>
      <c r="C693" s="657" t="s">
        <v>11632</v>
      </c>
      <c r="D693" s="663" t="s">
        <v>11653</v>
      </c>
      <c r="E693" s="663" t="s">
        <v>11654</v>
      </c>
      <c r="F693" s="658">
        <v>0.1</v>
      </c>
      <c r="G693" s="658">
        <v>0.05</v>
      </c>
      <c r="H693" s="664">
        <v>38170</v>
      </c>
      <c r="I693" s="664">
        <f t="shared" si="4"/>
        <v>34700</v>
      </c>
      <c r="J693" s="664">
        <f t="shared" si="5"/>
        <v>36260</v>
      </c>
      <c r="K693" s="661"/>
    </row>
    <row r="694" spans="1:11" ht="18.75" customHeight="1">
      <c r="A694" s="661"/>
      <c r="B694" s="657" t="s">
        <v>11631</v>
      </c>
      <c r="C694" s="657" t="s">
        <v>11632</v>
      </c>
      <c r="D694" s="663" t="s">
        <v>11655</v>
      </c>
      <c r="E694" s="663" t="s">
        <v>11656</v>
      </c>
      <c r="F694" s="658">
        <v>0.1</v>
      </c>
      <c r="G694" s="658">
        <v>0.05</v>
      </c>
      <c r="H694" s="664">
        <v>12100</v>
      </c>
      <c r="I694" s="664">
        <f t="shared" si="4"/>
        <v>11000</v>
      </c>
      <c r="J694" s="664">
        <f t="shared" si="5"/>
        <v>11500</v>
      </c>
      <c r="K694" s="661"/>
    </row>
    <row r="695" spans="1:11" ht="18.75" customHeight="1">
      <c r="A695" s="661"/>
      <c r="B695" s="657" t="s">
        <v>11631</v>
      </c>
      <c r="C695" s="657" t="s">
        <v>11632</v>
      </c>
      <c r="D695" s="663" t="s">
        <v>11657</v>
      </c>
      <c r="E695" s="663" t="s">
        <v>11658</v>
      </c>
      <c r="F695" s="658">
        <v>0.1</v>
      </c>
      <c r="G695" s="658">
        <v>0.05</v>
      </c>
      <c r="H695" s="664">
        <v>12100</v>
      </c>
      <c r="I695" s="664">
        <f t="shared" si="4"/>
        <v>11000</v>
      </c>
      <c r="J695" s="664">
        <f t="shared" si="5"/>
        <v>11500</v>
      </c>
      <c r="K695" s="661"/>
    </row>
    <row r="696" spans="1:11" ht="18.75" customHeight="1">
      <c r="A696" s="661"/>
      <c r="B696" s="657" t="s">
        <v>11631</v>
      </c>
      <c r="C696" s="657" t="s">
        <v>11632</v>
      </c>
      <c r="D696" s="663" t="s">
        <v>11659</v>
      </c>
      <c r="E696" s="663" t="s">
        <v>11660</v>
      </c>
      <c r="F696" s="658">
        <v>0.1</v>
      </c>
      <c r="G696" s="658">
        <v>0.05</v>
      </c>
      <c r="H696" s="664">
        <v>15400</v>
      </c>
      <c r="I696" s="664">
        <f t="shared" si="4"/>
        <v>14000</v>
      </c>
      <c r="J696" s="664">
        <f t="shared" si="5"/>
        <v>14630</v>
      </c>
      <c r="K696" s="661"/>
    </row>
    <row r="697" spans="1:11" ht="18.75" customHeight="1">
      <c r="A697" s="661"/>
      <c r="B697" s="657" t="s">
        <v>11631</v>
      </c>
      <c r="C697" s="657" t="s">
        <v>11632</v>
      </c>
      <c r="D697" s="663" t="s">
        <v>11661</v>
      </c>
      <c r="E697" s="663" t="s">
        <v>11662</v>
      </c>
      <c r="F697" s="658">
        <v>0.1</v>
      </c>
      <c r="G697" s="658">
        <v>0.05</v>
      </c>
      <c r="H697" s="664">
        <v>36300</v>
      </c>
      <c r="I697" s="664">
        <f t="shared" si="4"/>
        <v>33000</v>
      </c>
      <c r="J697" s="664">
        <f t="shared" si="5"/>
        <v>34490</v>
      </c>
      <c r="K697" s="661"/>
    </row>
    <row r="698" spans="1:11" ht="18.75" customHeight="1">
      <c r="A698" s="661"/>
      <c r="B698" s="657" t="s">
        <v>11631</v>
      </c>
      <c r="C698" s="657" t="s">
        <v>11632</v>
      </c>
      <c r="D698" s="663" t="s">
        <v>11663</v>
      </c>
      <c r="E698" s="663" t="s">
        <v>11664</v>
      </c>
      <c r="F698" s="658">
        <v>0.1</v>
      </c>
      <c r="G698" s="658">
        <v>0.05</v>
      </c>
      <c r="H698" s="664">
        <v>47300</v>
      </c>
      <c r="I698" s="664">
        <f t="shared" si="4"/>
        <v>43000</v>
      </c>
      <c r="J698" s="664">
        <f t="shared" si="5"/>
        <v>44940</v>
      </c>
      <c r="K698" s="661"/>
    </row>
    <row r="699" spans="1:11" ht="18.75" customHeight="1">
      <c r="A699" s="661"/>
      <c r="B699" s="657" t="s">
        <v>11665</v>
      </c>
      <c r="C699" s="657" t="s">
        <v>11666</v>
      </c>
      <c r="D699" s="663" t="s">
        <v>11667</v>
      </c>
      <c r="E699" s="663" t="s">
        <v>11668</v>
      </c>
      <c r="F699" s="658">
        <v>0.1</v>
      </c>
      <c r="G699" s="658">
        <v>0.05</v>
      </c>
      <c r="H699" s="664">
        <v>295140</v>
      </c>
      <c r="I699" s="664">
        <f t="shared" si="4"/>
        <v>268310</v>
      </c>
      <c r="J699" s="664">
        <f t="shared" si="5"/>
        <v>280380</v>
      </c>
      <c r="K699" s="661"/>
    </row>
    <row r="700" spans="1:11" ht="18.75" customHeight="1">
      <c r="A700" s="661"/>
      <c r="B700" s="657" t="s">
        <v>11665</v>
      </c>
      <c r="C700" s="657" t="s">
        <v>11666</v>
      </c>
      <c r="D700" s="663" t="s">
        <v>11669</v>
      </c>
      <c r="E700" s="663" t="s">
        <v>11670</v>
      </c>
      <c r="F700" s="658">
        <v>0.1</v>
      </c>
      <c r="G700" s="658">
        <v>0.05</v>
      </c>
      <c r="H700" s="664">
        <v>332600</v>
      </c>
      <c r="I700" s="664">
        <f t="shared" si="4"/>
        <v>302360</v>
      </c>
      <c r="J700" s="664">
        <f t="shared" si="5"/>
        <v>315970</v>
      </c>
      <c r="K700" s="661"/>
    </row>
    <row r="701" spans="1:11" ht="18.75" customHeight="1">
      <c r="A701" s="661"/>
      <c r="B701" s="657" t="s">
        <v>11671</v>
      </c>
      <c r="C701" s="657" t="s">
        <v>11672</v>
      </c>
      <c r="D701" s="663" t="s">
        <v>1859</v>
      </c>
      <c r="E701" s="663" t="s">
        <v>1860</v>
      </c>
      <c r="F701" s="658">
        <v>0.1</v>
      </c>
      <c r="G701" s="658">
        <v>0.08</v>
      </c>
      <c r="H701" s="664">
        <v>476190</v>
      </c>
      <c r="I701" s="664">
        <f t="shared" si="4"/>
        <v>432900</v>
      </c>
      <c r="J701" s="664">
        <f t="shared" si="5"/>
        <v>438090</v>
      </c>
      <c r="K701" s="661"/>
    </row>
    <row r="702" spans="1:11" ht="18.75" customHeight="1">
      <c r="A702" s="661"/>
      <c r="B702" s="657" t="s">
        <v>11671</v>
      </c>
      <c r="C702" s="657" t="s">
        <v>11672</v>
      </c>
      <c r="D702" s="663" t="s">
        <v>1863</v>
      </c>
      <c r="E702" s="663" t="s">
        <v>1864</v>
      </c>
      <c r="F702" s="658">
        <v>0.1</v>
      </c>
      <c r="G702" s="658">
        <v>0.08</v>
      </c>
      <c r="H702" s="664">
        <v>610610</v>
      </c>
      <c r="I702" s="664">
        <f t="shared" si="4"/>
        <v>555100</v>
      </c>
      <c r="J702" s="664">
        <f t="shared" si="5"/>
        <v>561760</v>
      </c>
      <c r="K702" s="661"/>
    </row>
    <row r="703" spans="1:11" ht="18.75" customHeight="1">
      <c r="A703" s="661"/>
      <c r="B703" s="657" t="s">
        <v>11671</v>
      </c>
      <c r="C703" s="657" t="s">
        <v>11672</v>
      </c>
      <c r="D703" s="663" t="s">
        <v>11673</v>
      </c>
      <c r="E703" s="663" t="s">
        <v>11674</v>
      </c>
      <c r="F703" s="658">
        <v>0.1</v>
      </c>
      <c r="G703" s="658">
        <v>0.08</v>
      </c>
      <c r="H703" s="664">
        <v>20900</v>
      </c>
      <c r="I703" s="664">
        <f t="shared" si="4"/>
        <v>19000</v>
      </c>
      <c r="J703" s="664">
        <f t="shared" si="5"/>
        <v>19230</v>
      </c>
      <c r="K703" s="661"/>
    </row>
    <row r="704" spans="1:11" ht="18.75" customHeight="1">
      <c r="A704" s="661"/>
      <c r="B704" s="657" t="s">
        <v>11671</v>
      </c>
      <c r="C704" s="657" t="s">
        <v>11672</v>
      </c>
      <c r="D704" s="663" t="s">
        <v>11675</v>
      </c>
      <c r="E704" s="663" t="s">
        <v>11676</v>
      </c>
      <c r="F704" s="658">
        <v>0.1</v>
      </c>
      <c r="G704" s="658">
        <v>0.08</v>
      </c>
      <c r="H704" s="664">
        <v>27500</v>
      </c>
      <c r="I704" s="664">
        <f t="shared" si="4"/>
        <v>25000</v>
      </c>
      <c r="J704" s="664">
        <f t="shared" si="5"/>
        <v>25300</v>
      </c>
      <c r="K704" s="661"/>
    </row>
    <row r="705" spans="1:11" ht="18.75" customHeight="1">
      <c r="A705" s="661"/>
      <c r="B705" s="657" t="s">
        <v>11671</v>
      </c>
      <c r="C705" s="657" t="s">
        <v>11672</v>
      </c>
      <c r="D705" s="663" t="s">
        <v>11677</v>
      </c>
      <c r="E705" s="663" t="s">
        <v>11678</v>
      </c>
      <c r="F705" s="658">
        <v>0.1</v>
      </c>
      <c r="G705" s="658">
        <v>0.08</v>
      </c>
      <c r="H705" s="664">
        <v>29700</v>
      </c>
      <c r="I705" s="664">
        <f t="shared" si="4"/>
        <v>27000</v>
      </c>
      <c r="J705" s="664">
        <f t="shared" si="5"/>
        <v>27320</v>
      </c>
      <c r="K705" s="661"/>
    </row>
    <row r="706" spans="1:11" ht="18.75" customHeight="1">
      <c r="A706" s="661"/>
      <c r="B706" s="657" t="s">
        <v>11671</v>
      </c>
      <c r="C706" s="657" t="s">
        <v>11672</v>
      </c>
      <c r="D706" s="663" t="s">
        <v>11679</v>
      </c>
      <c r="E706" s="663" t="s">
        <v>11680</v>
      </c>
      <c r="F706" s="658">
        <v>0.1</v>
      </c>
      <c r="G706" s="658">
        <v>0.08</v>
      </c>
      <c r="H706" s="664">
        <v>79200</v>
      </c>
      <c r="I706" s="664">
        <f t="shared" si="4"/>
        <v>72000</v>
      </c>
      <c r="J706" s="664">
        <f t="shared" si="5"/>
        <v>72860</v>
      </c>
      <c r="K706" s="661"/>
    </row>
    <row r="707" spans="1:11" ht="18.75" customHeight="1">
      <c r="A707" s="661"/>
      <c r="B707" s="657" t="s">
        <v>11671</v>
      </c>
      <c r="C707" s="657" t="s">
        <v>11672</v>
      </c>
      <c r="D707" s="663" t="s">
        <v>11681</v>
      </c>
      <c r="E707" s="663" t="s">
        <v>11682</v>
      </c>
      <c r="F707" s="658">
        <v>0.1</v>
      </c>
      <c r="G707" s="658">
        <v>0.08</v>
      </c>
      <c r="H707" s="664">
        <v>106700</v>
      </c>
      <c r="I707" s="664">
        <f t="shared" si="4"/>
        <v>97000</v>
      </c>
      <c r="J707" s="664">
        <f t="shared" si="5"/>
        <v>98160</v>
      </c>
      <c r="K707" s="661"/>
    </row>
    <row r="708" spans="1:11" ht="18.75" customHeight="1">
      <c r="A708" s="661"/>
      <c r="B708" s="657" t="s">
        <v>11671</v>
      </c>
      <c r="C708" s="657" t="s">
        <v>11672</v>
      </c>
      <c r="D708" s="663" t="s">
        <v>11683</v>
      </c>
      <c r="E708" s="663" t="s">
        <v>11684</v>
      </c>
      <c r="F708" s="658">
        <v>0.1</v>
      </c>
      <c r="G708" s="658">
        <v>0.08</v>
      </c>
      <c r="H708" s="664">
        <v>122100</v>
      </c>
      <c r="I708" s="664">
        <f t="shared" si="4"/>
        <v>111000</v>
      </c>
      <c r="J708" s="664">
        <f t="shared" si="5"/>
        <v>112330</v>
      </c>
      <c r="K708" s="661"/>
    </row>
    <row r="709" spans="1:11" ht="18.75" customHeight="1">
      <c r="A709" s="661"/>
      <c r="B709" s="657" t="s">
        <v>11671</v>
      </c>
      <c r="C709" s="657" t="s">
        <v>11672</v>
      </c>
      <c r="D709" s="663" t="s">
        <v>11685</v>
      </c>
      <c r="E709" s="663" t="s">
        <v>11686</v>
      </c>
      <c r="F709" s="658">
        <v>0.1</v>
      </c>
      <c r="G709" s="658">
        <v>0.08</v>
      </c>
      <c r="H709" s="664">
        <v>176000</v>
      </c>
      <c r="I709" s="664">
        <f t="shared" si="4"/>
        <v>160000</v>
      </c>
      <c r="J709" s="664">
        <f t="shared" si="5"/>
        <v>161920</v>
      </c>
      <c r="K709" s="661"/>
    </row>
    <row r="710" spans="1:11" ht="18.75" customHeight="1">
      <c r="A710" s="661"/>
      <c r="B710" s="657" t="s">
        <v>11671</v>
      </c>
      <c r="C710" s="657" t="s">
        <v>11672</v>
      </c>
      <c r="D710" s="663" t="s">
        <v>11687</v>
      </c>
      <c r="E710" s="663" t="s">
        <v>11688</v>
      </c>
      <c r="F710" s="658">
        <v>0.1</v>
      </c>
      <c r="G710" s="658">
        <v>0.08</v>
      </c>
      <c r="H710" s="664">
        <v>18700</v>
      </c>
      <c r="I710" s="664">
        <f t="shared" si="4"/>
        <v>17000</v>
      </c>
      <c r="J710" s="664">
        <f t="shared" si="5"/>
        <v>17200</v>
      </c>
      <c r="K710" s="661"/>
    </row>
    <row r="711" spans="1:11" ht="18.75" customHeight="1">
      <c r="A711" s="661"/>
      <c r="B711" s="657" t="s">
        <v>11671</v>
      </c>
      <c r="C711" s="657" t="s">
        <v>11672</v>
      </c>
      <c r="D711" s="663" t="s">
        <v>11689</v>
      </c>
      <c r="E711" s="663" t="s">
        <v>11690</v>
      </c>
      <c r="F711" s="658">
        <v>0.1</v>
      </c>
      <c r="G711" s="658">
        <v>0.08</v>
      </c>
      <c r="H711" s="664">
        <v>198000</v>
      </c>
      <c r="I711" s="664">
        <f t="shared" si="4"/>
        <v>180000</v>
      </c>
      <c r="J711" s="664">
        <f t="shared" si="5"/>
        <v>182160</v>
      </c>
      <c r="K711" s="661"/>
    </row>
    <row r="712" spans="1:11" ht="18.75" customHeight="1">
      <c r="A712" s="661"/>
      <c r="B712" s="657" t="s">
        <v>11671</v>
      </c>
      <c r="C712" s="657" t="s">
        <v>11672</v>
      </c>
      <c r="D712" s="663" t="s">
        <v>11691</v>
      </c>
      <c r="E712" s="663" t="s">
        <v>11692</v>
      </c>
      <c r="F712" s="658">
        <v>0.1</v>
      </c>
      <c r="G712" s="658">
        <v>0.08</v>
      </c>
      <c r="H712" s="664">
        <v>253000</v>
      </c>
      <c r="I712" s="664">
        <f t="shared" si="4"/>
        <v>230000</v>
      </c>
      <c r="J712" s="664">
        <f t="shared" si="5"/>
        <v>232760</v>
      </c>
      <c r="K712" s="661"/>
    </row>
    <row r="713" spans="1:11" ht="18.75" customHeight="1">
      <c r="A713" s="661"/>
      <c r="B713" s="657" t="s">
        <v>11671</v>
      </c>
      <c r="C713" s="657" t="s">
        <v>11672</v>
      </c>
      <c r="D713" s="663" t="s">
        <v>11693</v>
      </c>
      <c r="E713" s="663" t="s">
        <v>11694</v>
      </c>
      <c r="F713" s="658">
        <v>0.1</v>
      </c>
      <c r="G713" s="658">
        <v>0.08</v>
      </c>
      <c r="H713" s="664">
        <v>28600</v>
      </c>
      <c r="I713" s="664">
        <f t="shared" si="4"/>
        <v>26000</v>
      </c>
      <c r="J713" s="664">
        <f t="shared" si="5"/>
        <v>26310</v>
      </c>
      <c r="K713" s="661"/>
    </row>
    <row r="714" spans="1:11" ht="18.75" customHeight="1">
      <c r="A714" s="661"/>
      <c r="B714" s="657" t="s">
        <v>11671</v>
      </c>
      <c r="C714" s="657" t="s">
        <v>11672</v>
      </c>
      <c r="D714" s="663" t="s">
        <v>11695</v>
      </c>
      <c r="E714" s="663" t="s">
        <v>11696</v>
      </c>
      <c r="F714" s="658">
        <v>0.1</v>
      </c>
      <c r="G714" s="658">
        <v>0.08</v>
      </c>
      <c r="H714" s="664">
        <v>33000</v>
      </c>
      <c r="I714" s="664">
        <f t="shared" si="4"/>
        <v>30000</v>
      </c>
      <c r="J714" s="664">
        <f t="shared" si="5"/>
        <v>30360</v>
      </c>
      <c r="K714" s="661"/>
    </row>
    <row r="715" spans="1:11" ht="18.75" customHeight="1">
      <c r="A715" s="661"/>
      <c r="B715" s="657" t="s">
        <v>11671</v>
      </c>
      <c r="C715" s="657" t="s">
        <v>11672</v>
      </c>
      <c r="D715" s="663" t="s">
        <v>1855</v>
      </c>
      <c r="E715" s="663" t="s">
        <v>1856</v>
      </c>
      <c r="F715" s="658">
        <v>0.1</v>
      </c>
      <c r="G715" s="658">
        <v>0.08</v>
      </c>
      <c r="H715" s="664">
        <v>20790</v>
      </c>
      <c r="I715" s="664">
        <f t="shared" si="4"/>
        <v>18900</v>
      </c>
      <c r="J715" s="664">
        <f t="shared" si="5"/>
        <v>19130</v>
      </c>
      <c r="K715" s="661"/>
    </row>
    <row r="716" spans="1:11" ht="18.75" customHeight="1">
      <c r="A716" s="661"/>
      <c r="B716" s="657" t="s">
        <v>11671</v>
      </c>
      <c r="C716" s="657" t="s">
        <v>11672</v>
      </c>
      <c r="D716" s="663" t="s">
        <v>11697</v>
      </c>
      <c r="E716" s="663" t="s">
        <v>11698</v>
      </c>
      <c r="F716" s="658">
        <v>0.1</v>
      </c>
      <c r="G716" s="658">
        <v>0.08</v>
      </c>
      <c r="H716" s="664">
        <v>27280</v>
      </c>
      <c r="I716" s="664">
        <f t="shared" si="4"/>
        <v>24800</v>
      </c>
      <c r="J716" s="664">
        <f t="shared" si="5"/>
        <v>25100</v>
      </c>
      <c r="K716" s="661"/>
    </row>
    <row r="717" spans="1:11" ht="18.75" customHeight="1">
      <c r="A717" s="661"/>
      <c r="B717" s="657" t="s">
        <v>11671</v>
      </c>
      <c r="C717" s="657" t="s">
        <v>11672</v>
      </c>
      <c r="D717" s="663" t="s">
        <v>11699</v>
      </c>
      <c r="E717" s="663" t="s">
        <v>11700</v>
      </c>
      <c r="F717" s="658">
        <v>0.1</v>
      </c>
      <c r="G717" s="658">
        <v>0.08</v>
      </c>
      <c r="H717" s="664">
        <v>31130</v>
      </c>
      <c r="I717" s="664">
        <f t="shared" si="4"/>
        <v>28300</v>
      </c>
      <c r="J717" s="664">
        <f t="shared" si="5"/>
        <v>28640</v>
      </c>
      <c r="K717" s="661"/>
    </row>
    <row r="718" spans="1:11" ht="18.75" customHeight="1">
      <c r="A718" s="661"/>
      <c r="B718" s="657" t="s">
        <v>11671</v>
      </c>
      <c r="C718" s="657" t="s">
        <v>11672</v>
      </c>
      <c r="D718" s="663" t="s">
        <v>11701</v>
      </c>
      <c r="E718" s="663" t="s">
        <v>11702</v>
      </c>
      <c r="F718" s="658">
        <v>0.1</v>
      </c>
      <c r="G718" s="658">
        <v>0.08</v>
      </c>
      <c r="H718" s="664">
        <v>33660</v>
      </c>
      <c r="I718" s="664">
        <f t="shared" si="4"/>
        <v>30600</v>
      </c>
      <c r="J718" s="664">
        <f t="shared" si="5"/>
        <v>30970</v>
      </c>
      <c r="K718" s="661"/>
    </row>
    <row r="719" spans="1:11" ht="18.75" customHeight="1">
      <c r="A719" s="661"/>
      <c r="B719" s="657" t="s">
        <v>11671</v>
      </c>
      <c r="C719" s="657" t="s">
        <v>11672</v>
      </c>
      <c r="D719" s="663" t="s">
        <v>11703</v>
      </c>
      <c r="E719" s="663" t="s">
        <v>11704</v>
      </c>
      <c r="F719" s="658">
        <v>0.1</v>
      </c>
      <c r="G719" s="658">
        <v>0.08</v>
      </c>
      <c r="H719" s="664">
        <v>33220</v>
      </c>
      <c r="I719" s="664">
        <f t="shared" si="4"/>
        <v>30200</v>
      </c>
      <c r="J719" s="664">
        <f t="shared" si="5"/>
        <v>30560</v>
      </c>
      <c r="K719" s="661"/>
    </row>
    <row r="720" spans="1:11" ht="18.75" customHeight="1">
      <c r="A720" s="661"/>
      <c r="B720" s="657" t="s">
        <v>11671</v>
      </c>
      <c r="C720" s="657" t="s">
        <v>11672</v>
      </c>
      <c r="D720" s="663" t="s">
        <v>11705</v>
      </c>
      <c r="E720" s="663" t="s">
        <v>11706</v>
      </c>
      <c r="F720" s="658">
        <v>0.1</v>
      </c>
      <c r="G720" s="658">
        <v>0.08</v>
      </c>
      <c r="H720" s="664">
        <v>43230</v>
      </c>
      <c r="I720" s="664">
        <f t="shared" si="4"/>
        <v>39300</v>
      </c>
      <c r="J720" s="664">
        <f t="shared" si="5"/>
        <v>39770</v>
      </c>
      <c r="K720" s="661"/>
    </row>
    <row r="721" spans="1:11" ht="18.75" customHeight="1">
      <c r="A721" s="661"/>
      <c r="B721" s="657" t="s">
        <v>11707</v>
      </c>
      <c r="C721" s="657" t="s">
        <v>11708</v>
      </c>
      <c r="D721" s="663" t="s">
        <v>1927</v>
      </c>
      <c r="E721" s="663" t="s">
        <v>1928</v>
      </c>
      <c r="F721" s="658">
        <v>0.1</v>
      </c>
      <c r="G721" s="658">
        <v>0.03</v>
      </c>
      <c r="H721" s="664">
        <v>34980</v>
      </c>
      <c r="I721" s="664">
        <f t="shared" si="4"/>
        <v>31800</v>
      </c>
      <c r="J721" s="664">
        <f t="shared" si="5"/>
        <v>33930</v>
      </c>
      <c r="K721" s="661"/>
    </row>
    <row r="722" spans="1:11" ht="18.75" customHeight="1">
      <c r="A722" s="661"/>
      <c r="B722" s="657" t="s">
        <v>11707</v>
      </c>
      <c r="C722" s="657" t="s">
        <v>11708</v>
      </c>
      <c r="D722" s="663" t="s">
        <v>11709</v>
      </c>
      <c r="E722" s="663" t="s">
        <v>11710</v>
      </c>
      <c r="F722" s="658">
        <v>0.1</v>
      </c>
      <c r="G722" s="658">
        <v>0.03</v>
      </c>
      <c r="H722" s="664">
        <v>67540</v>
      </c>
      <c r="I722" s="664">
        <f t="shared" si="4"/>
        <v>61400</v>
      </c>
      <c r="J722" s="664">
        <f t="shared" si="5"/>
        <v>65510</v>
      </c>
      <c r="K722" s="661"/>
    </row>
    <row r="723" spans="1:11" ht="18.75" customHeight="1">
      <c r="A723" s="661"/>
      <c r="B723" s="657" t="s">
        <v>11707</v>
      </c>
      <c r="C723" s="657" t="s">
        <v>11708</v>
      </c>
      <c r="D723" s="663" t="s">
        <v>11711</v>
      </c>
      <c r="E723" s="663" t="s">
        <v>11712</v>
      </c>
      <c r="F723" s="658">
        <v>0.1</v>
      </c>
      <c r="G723" s="658">
        <v>0.03</v>
      </c>
      <c r="H723" s="664">
        <v>79750</v>
      </c>
      <c r="I723" s="664">
        <f t="shared" si="4"/>
        <v>72500</v>
      </c>
      <c r="J723" s="664">
        <f t="shared" si="5"/>
        <v>77360</v>
      </c>
      <c r="K723" s="661"/>
    </row>
    <row r="724" spans="1:11" ht="18.75" customHeight="1">
      <c r="A724" s="661"/>
      <c r="B724" s="657" t="s">
        <v>11707</v>
      </c>
      <c r="C724" s="657" t="s">
        <v>11708</v>
      </c>
      <c r="D724" s="663" t="s">
        <v>11713</v>
      </c>
      <c r="E724" s="663" t="s">
        <v>11714</v>
      </c>
      <c r="F724" s="658">
        <v>0.1</v>
      </c>
      <c r="G724" s="658">
        <v>0.03</v>
      </c>
      <c r="H724" s="664">
        <v>66550</v>
      </c>
      <c r="I724" s="664">
        <f t="shared" si="4"/>
        <v>60500</v>
      </c>
      <c r="J724" s="664">
        <f t="shared" si="5"/>
        <v>64550</v>
      </c>
      <c r="K724" s="661"/>
    </row>
    <row r="725" spans="1:11" ht="18.75" customHeight="1">
      <c r="A725" s="661"/>
      <c r="B725" s="657" t="s">
        <v>11707</v>
      </c>
      <c r="C725" s="657" t="s">
        <v>11708</v>
      </c>
      <c r="D725" s="663" t="s">
        <v>11715</v>
      </c>
      <c r="E725" s="663" t="s">
        <v>11716</v>
      </c>
      <c r="F725" s="658">
        <v>0.1</v>
      </c>
      <c r="G725" s="658">
        <v>0.03</v>
      </c>
      <c r="H725" s="664">
        <v>81510</v>
      </c>
      <c r="I725" s="664">
        <f t="shared" si="4"/>
        <v>74100</v>
      </c>
      <c r="J725" s="664">
        <f t="shared" si="5"/>
        <v>79060</v>
      </c>
      <c r="K725" s="661"/>
    </row>
    <row r="726" spans="1:11" ht="18.75" customHeight="1">
      <c r="A726" s="661"/>
      <c r="B726" s="657" t="s">
        <v>11707</v>
      </c>
      <c r="C726" s="657" t="s">
        <v>11708</v>
      </c>
      <c r="D726" s="663" t="s">
        <v>11717</v>
      </c>
      <c r="E726" s="663" t="s">
        <v>11718</v>
      </c>
      <c r="F726" s="658">
        <v>0.1</v>
      </c>
      <c r="G726" s="658">
        <v>0.03</v>
      </c>
      <c r="H726" s="664">
        <v>66550</v>
      </c>
      <c r="I726" s="664">
        <f t="shared" si="4"/>
        <v>60500</v>
      </c>
      <c r="J726" s="664">
        <f t="shared" si="5"/>
        <v>64550</v>
      </c>
      <c r="K726" s="661"/>
    </row>
    <row r="727" spans="1:11" ht="18.75" customHeight="1">
      <c r="A727" s="661"/>
      <c r="B727" s="657" t="s">
        <v>11707</v>
      </c>
      <c r="C727" s="657" t="s">
        <v>11708</v>
      </c>
      <c r="D727" s="663" t="s">
        <v>11719</v>
      </c>
      <c r="E727" s="663" t="s">
        <v>11720</v>
      </c>
      <c r="F727" s="658">
        <v>0.1</v>
      </c>
      <c r="G727" s="658">
        <v>0.03</v>
      </c>
      <c r="H727" s="664">
        <v>82940</v>
      </c>
      <c r="I727" s="664">
        <f t="shared" si="4"/>
        <v>75400</v>
      </c>
      <c r="J727" s="664">
        <f t="shared" si="5"/>
        <v>80450</v>
      </c>
      <c r="K727" s="661"/>
    </row>
    <row r="728" spans="1:11" ht="18.75" customHeight="1">
      <c r="A728" s="661"/>
      <c r="B728" s="657" t="s">
        <v>11707</v>
      </c>
      <c r="C728" s="657" t="s">
        <v>11708</v>
      </c>
      <c r="D728" s="663" t="s">
        <v>11721</v>
      </c>
      <c r="E728" s="663" t="s">
        <v>11722</v>
      </c>
      <c r="F728" s="658">
        <v>0.1</v>
      </c>
      <c r="G728" s="658">
        <v>0.03</v>
      </c>
      <c r="H728" s="664">
        <v>1576500</v>
      </c>
      <c r="I728" s="664">
        <f t="shared" si="4"/>
        <v>1433180</v>
      </c>
      <c r="J728" s="664">
        <f t="shared" si="5"/>
        <v>1529210</v>
      </c>
      <c r="K728" s="661"/>
    </row>
    <row r="729" spans="1:11" ht="18.75" customHeight="1">
      <c r="A729" s="661"/>
      <c r="B729" s="657" t="s">
        <v>11707</v>
      </c>
      <c r="C729" s="657" t="s">
        <v>11708</v>
      </c>
      <c r="D729" s="663" t="s">
        <v>11723</v>
      </c>
      <c r="E729" s="663" t="s">
        <v>11724</v>
      </c>
      <c r="F729" s="658">
        <v>0.1</v>
      </c>
      <c r="G729" s="658">
        <v>0.03</v>
      </c>
      <c r="H729" s="664">
        <v>271700</v>
      </c>
      <c r="I729" s="664">
        <f t="shared" si="4"/>
        <v>247000</v>
      </c>
      <c r="J729" s="664">
        <f t="shared" si="5"/>
        <v>263550</v>
      </c>
      <c r="K729" s="661"/>
    </row>
    <row r="730" spans="1:11" ht="18.75" customHeight="1">
      <c r="A730" s="661"/>
      <c r="B730" s="657" t="s">
        <v>11707</v>
      </c>
      <c r="C730" s="657" t="s">
        <v>11708</v>
      </c>
      <c r="D730" s="663" t="s">
        <v>11725</v>
      </c>
      <c r="E730" s="663" t="s">
        <v>11726</v>
      </c>
      <c r="F730" s="658">
        <v>0.1</v>
      </c>
      <c r="G730" s="658">
        <v>0.03</v>
      </c>
      <c r="H730" s="664">
        <v>935000</v>
      </c>
      <c r="I730" s="664">
        <f t="shared" si="4"/>
        <v>850000</v>
      </c>
      <c r="J730" s="664">
        <f t="shared" si="5"/>
        <v>906950</v>
      </c>
      <c r="K730" s="661"/>
    </row>
    <row r="731" spans="1:11" ht="18.75" customHeight="1">
      <c r="A731" s="661"/>
      <c r="B731" s="657" t="s">
        <v>11707</v>
      </c>
      <c r="C731" s="657" t="s">
        <v>11708</v>
      </c>
      <c r="D731" s="663" t="s">
        <v>11727</v>
      </c>
      <c r="E731" s="663" t="s">
        <v>11728</v>
      </c>
      <c r="F731" s="658">
        <v>0.1</v>
      </c>
      <c r="G731" s="658">
        <v>0.03</v>
      </c>
      <c r="H731" s="663">
        <v>187000</v>
      </c>
      <c r="I731" s="664">
        <f t="shared" si="4"/>
        <v>170000</v>
      </c>
      <c r="J731" s="664">
        <f t="shared" si="5"/>
        <v>181390</v>
      </c>
      <c r="K731" s="661"/>
    </row>
    <row r="732" spans="1:11" ht="18.75" customHeight="1">
      <c r="A732" s="661"/>
      <c r="B732" s="657" t="s">
        <v>11707</v>
      </c>
      <c r="C732" s="657" t="s">
        <v>11708</v>
      </c>
      <c r="D732" s="663" t="s">
        <v>11729</v>
      </c>
      <c r="E732" s="663" t="s">
        <v>11730</v>
      </c>
      <c r="F732" s="658">
        <v>0.1</v>
      </c>
      <c r="G732" s="658">
        <v>0.03</v>
      </c>
      <c r="H732" s="664">
        <v>114620</v>
      </c>
      <c r="I732" s="664">
        <f t="shared" si="4"/>
        <v>104200</v>
      </c>
      <c r="J732" s="664">
        <f t="shared" si="5"/>
        <v>111180</v>
      </c>
      <c r="K732" s="661"/>
    </row>
    <row r="733" spans="1:11" ht="18.75" customHeight="1">
      <c r="A733" s="661"/>
      <c r="B733" s="657" t="s">
        <v>11707</v>
      </c>
      <c r="C733" s="657" t="s">
        <v>11708</v>
      </c>
      <c r="D733" s="663" t="s">
        <v>11731</v>
      </c>
      <c r="E733" s="663" t="s">
        <v>11732</v>
      </c>
      <c r="F733" s="658">
        <v>0.1</v>
      </c>
      <c r="G733" s="658">
        <v>0.03</v>
      </c>
      <c r="H733" s="664"/>
      <c r="I733" s="664">
        <f t="shared" si="4"/>
        <v>0</v>
      </c>
      <c r="J733" s="664">
        <f t="shared" si="5"/>
        <v>0</v>
      </c>
      <c r="K733" s="661"/>
    </row>
    <row r="734" spans="1:11" ht="18.75" customHeight="1">
      <c r="A734" s="661"/>
      <c r="B734" s="657" t="s">
        <v>11707</v>
      </c>
      <c r="C734" s="657" t="s">
        <v>11708</v>
      </c>
      <c r="D734" s="663" t="s">
        <v>11733</v>
      </c>
      <c r="E734" s="663" t="s">
        <v>11734</v>
      </c>
      <c r="F734" s="658">
        <v>0.1</v>
      </c>
      <c r="G734" s="658">
        <v>0.03</v>
      </c>
      <c r="H734" s="664">
        <v>435050</v>
      </c>
      <c r="I734" s="664">
        <f t="shared" si="4"/>
        <v>395500</v>
      </c>
      <c r="J734" s="664">
        <f t="shared" si="5"/>
        <v>422000</v>
      </c>
      <c r="K734" s="661"/>
    </row>
    <row r="735" spans="1:11" ht="18.75" customHeight="1">
      <c r="A735" s="661"/>
      <c r="B735" s="657" t="s">
        <v>11707</v>
      </c>
      <c r="C735" s="657" t="s">
        <v>11708</v>
      </c>
      <c r="D735" s="663" t="s">
        <v>11735</v>
      </c>
      <c r="E735" s="663" t="s">
        <v>11736</v>
      </c>
      <c r="F735" s="658">
        <v>0.1</v>
      </c>
      <c r="G735" s="658">
        <v>0.03</v>
      </c>
      <c r="H735" s="664"/>
      <c r="I735" s="664">
        <f t="shared" si="4"/>
        <v>0</v>
      </c>
      <c r="J735" s="664">
        <f t="shared" si="5"/>
        <v>0</v>
      </c>
      <c r="K735" s="661"/>
    </row>
    <row r="736" spans="1:11" ht="18.75" customHeight="1">
      <c r="A736" s="661"/>
      <c r="B736" s="657" t="s">
        <v>11707</v>
      </c>
      <c r="C736" s="657" t="s">
        <v>11708</v>
      </c>
      <c r="D736" s="663" t="s">
        <v>11737</v>
      </c>
      <c r="E736" s="663" t="s">
        <v>11738</v>
      </c>
      <c r="F736" s="658">
        <v>0.1</v>
      </c>
      <c r="G736" s="658">
        <v>0.03</v>
      </c>
      <c r="H736" s="664">
        <v>1870000</v>
      </c>
      <c r="I736" s="664">
        <f t="shared" si="4"/>
        <v>1700000</v>
      </c>
      <c r="J736" s="664">
        <f t="shared" si="5"/>
        <v>1813900</v>
      </c>
      <c r="K736" s="661"/>
    </row>
    <row r="737" spans="1:11" ht="18.75" customHeight="1">
      <c r="A737" s="661"/>
      <c r="B737" s="657" t="s">
        <v>11707</v>
      </c>
      <c r="C737" s="657" t="s">
        <v>11708</v>
      </c>
      <c r="D737" s="663" t="s">
        <v>11739</v>
      </c>
      <c r="E737" s="663" t="s">
        <v>11740</v>
      </c>
      <c r="F737" s="658">
        <v>0.1</v>
      </c>
      <c r="G737" s="658">
        <v>0.03</v>
      </c>
      <c r="H737" s="664">
        <v>451000</v>
      </c>
      <c r="I737" s="664">
        <f t="shared" si="4"/>
        <v>410000</v>
      </c>
      <c r="J737" s="664">
        <f t="shared" si="5"/>
        <v>437470</v>
      </c>
      <c r="K737" s="661"/>
    </row>
    <row r="738" spans="1:11" ht="18.75" customHeight="1">
      <c r="A738" s="661"/>
      <c r="B738" s="657" t="s">
        <v>11707</v>
      </c>
      <c r="C738" s="657" t="s">
        <v>11708</v>
      </c>
      <c r="D738" s="663" t="s">
        <v>11741</v>
      </c>
      <c r="E738" s="663" t="s">
        <v>11742</v>
      </c>
      <c r="F738" s="658">
        <v>0.1</v>
      </c>
      <c r="G738" s="658">
        <v>0.03</v>
      </c>
      <c r="H738" s="664">
        <v>33000</v>
      </c>
      <c r="I738" s="664">
        <f t="shared" si="4"/>
        <v>30000</v>
      </c>
      <c r="J738" s="664">
        <f t="shared" si="5"/>
        <v>32010</v>
      </c>
      <c r="K738" s="661"/>
    </row>
    <row r="739" spans="1:11" ht="18.75" customHeight="1">
      <c r="A739" s="661"/>
      <c r="B739" s="657" t="s">
        <v>11707</v>
      </c>
      <c r="C739" s="657" t="s">
        <v>11708</v>
      </c>
      <c r="D739" s="663" t="s">
        <v>11743</v>
      </c>
      <c r="E739" s="663" t="s">
        <v>11744</v>
      </c>
      <c r="F739" s="658">
        <v>0.1</v>
      </c>
      <c r="G739" s="658">
        <v>0.03</v>
      </c>
      <c r="H739" s="664">
        <v>59400</v>
      </c>
      <c r="I739" s="664">
        <f t="shared" si="4"/>
        <v>54000</v>
      </c>
      <c r="J739" s="664">
        <f t="shared" si="5"/>
        <v>57620</v>
      </c>
      <c r="K739" s="661"/>
    </row>
    <row r="740" spans="1:11" ht="18.75" customHeight="1">
      <c r="A740" s="661"/>
      <c r="B740" s="657" t="s">
        <v>11707</v>
      </c>
      <c r="C740" s="657" t="s">
        <v>11708</v>
      </c>
      <c r="D740" s="663" t="s">
        <v>11745</v>
      </c>
      <c r="E740" s="663" t="s">
        <v>11746</v>
      </c>
      <c r="F740" s="658">
        <v>0.1</v>
      </c>
      <c r="G740" s="658">
        <v>0.03</v>
      </c>
      <c r="H740" s="664">
        <v>150040</v>
      </c>
      <c r="I740" s="664">
        <f t="shared" si="4"/>
        <v>136400</v>
      </c>
      <c r="J740" s="664">
        <f t="shared" si="5"/>
        <v>145540</v>
      </c>
      <c r="K740" s="661"/>
    </row>
    <row r="741" spans="1:11" ht="18.75" customHeight="1">
      <c r="A741" s="661"/>
      <c r="B741" s="657" t="s">
        <v>11707</v>
      </c>
      <c r="C741" s="657" t="s">
        <v>11708</v>
      </c>
      <c r="D741" s="663" t="s">
        <v>11747</v>
      </c>
      <c r="E741" s="663" t="s">
        <v>11748</v>
      </c>
      <c r="F741" s="658">
        <v>0.1</v>
      </c>
      <c r="G741" s="658">
        <v>0.03</v>
      </c>
      <c r="H741" s="664">
        <v>84260</v>
      </c>
      <c r="I741" s="664">
        <f t="shared" si="4"/>
        <v>76600</v>
      </c>
      <c r="J741" s="664">
        <f t="shared" si="5"/>
        <v>81730</v>
      </c>
      <c r="K741" s="661"/>
    </row>
    <row r="742" spans="1:11" ht="18.75" customHeight="1">
      <c r="A742" s="661"/>
      <c r="B742" s="657" t="s">
        <v>11707</v>
      </c>
      <c r="C742" s="657" t="s">
        <v>11708</v>
      </c>
      <c r="D742" s="663" t="s">
        <v>11749</v>
      </c>
      <c r="E742" s="663" t="s">
        <v>11750</v>
      </c>
      <c r="F742" s="658">
        <v>0.1</v>
      </c>
      <c r="G742" s="658">
        <v>0.03</v>
      </c>
      <c r="H742" s="664">
        <v>99000</v>
      </c>
      <c r="I742" s="664">
        <f t="shared" si="4"/>
        <v>90000</v>
      </c>
      <c r="J742" s="664">
        <f t="shared" si="5"/>
        <v>96030</v>
      </c>
      <c r="K742" s="661"/>
    </row>
    <row r="743" spans="1:11" ht="18.75" customHeight="1">
      <c r="A743" s="661"/>
      <c r="B743" s="657" t="s">
        <v>2143</v>
      </c>
      <c r="C743" s="657" t="s">
        <v>11751</v>
      </c>
      <c r="D743" s="663" t="s">
        <v>2133</v>
      </c>
      <c r="E743" s="663" t="s">
        <v>2134</v>
      </c>
      <c r="F743" s="658">
        <v>0.1</v>
      </c>
      <c r="G743" s="658">
        <v>0.05</v>
      </c>
      <c r="H743" s="664">
        <v>9999990</v>
      </c>
      <c r="I743" s="664">
        <f t="shared" si="4"/>
        <v>9090900</v>
      </c>
      <c r="J743" s="664">
        <f t="shared" si="5"/>
        <v>9499990</v>
      </c>
      <c r="K743" s="661"/>
    </row>
    <row r="744" spans="1:11" ht="18.75" customHeight="1">
      <c r="A744" s="661"/>
      <c r="B744" s="657" t="s">
        <v>2143</v>
      </c>
      <c r="C744" s="657" t="s">
        <v>11751</v>
      </c>
      <c r="D744" s="663" t="s">
        <v>2144</v>
      </c>
      <c r="E744" s="663" t="s">
        <v>2145</v>
      </c>
      <c r="F744" s="658">
        <v>0.1</v>
      </c>
      <c r="G744" s="658">
        <v>0.05</v>
      </c>
      <c r="H744" s="664">
        <v>19980</v>
      </c>
      <c r="I744" s="664">
        <f t="shared" si="4"/>
        <v>18160</v>
      </c>
      <c r="J744" s="664">
        <f t="shared" si="5"/>
        <v>18980</v>
      </c>
      <c r="K744" s="661"/>
    </row>
    <row r="745" spans="1:11" ht="18.75" customHeight="1">
      <c r="A745" s="661"/>
      <c r="B745" s="657" t="s">
        <v>2143</v>
      </c>
      <c r="C745" s="657" t="s">
        <v>11751</v>
      </c>
      <c r="D745" s="663" t="s">
        <v>11752</v>
      </c>
      <c r="E745" s="663" t="s">
        <v>11753</v>
      </c>
      <c r="F745" s="658">
        <v>0.1</v>
      </c>
      <c r="G745" s="658">
        <v>0.05</v>
      </c>
      <c r="H745" s="664">
        <v>73700</v>
      </c>
      <c r="I745" s="664">
        <f t="shared" si="4"/>
        <v>67000</v>
      </c>
      <c r="J745" s="664">
        <f t="shared" si="5"/>
        <v>70020</v>
      </c>
      <c r="K745" s="661"/>
    </row>
    <row r="746" spans="1:11" ht="18.75" customHeight="1">
      <c r="A746" s="661"/>
      <c r="B746" s="657" t="s">
        <v>2143</v>
      </c>
      <c r="C746" s="657" t="s">
        <v>11751</v>
      </c>
      <c r="D746" s="663" t="s">
        <v>11754</v>
      </c>
      <c r="E746" s="663" t="s">
        <v>11755</v>
      </c>
      <c r="F746" s="658">
        <v>0.1</v>
      </c>
      <c r="G746" s="658">
        <v>0.05</v>
      </c>
      <c r="H746" s="664">
        <v>25300</v>
      </c>
      <c r="I746" s="664">
        <f t="shared" si="4"/>
        <v>23000</v>
      </c>
      <c r="J746" s="664">
        <f t="shared" si="5"/>
        <v>24040</v>
      </c>
      <c r="K746" s="661"/>
    </row>
    <row r="747" spans="1:11" ht="18.75" customHeight="1">
      <c r="A747" s="661"/>
      <c r="B747" s="657" t="s">
        <v>2143</v>
      </c>
      <c r="C747" s="657" t="s">
        <v>11751</v>
      </c>
      <c r="D747" s="663" t="s">
        <v>11756</v>
      </c>
      <c r="E747" s="663" t="s">
        <v>11757</v>
      </c>
      <c r="F747" s="658">
        <v>0.1</v>
      </c>
      <c r="G747" s="658">
        <v>0.05</v>
      </c>
      <c r="H747" s="664">
        <v>7150</v>
      </c>
      <c r="I747" s="664">
        <f t="shared" si="4"/>
        <v>6500</v>
      </c>
      <c r="J747" s="664">
        <f t="shared" si="5"/>
        <v>6790</v>
      </c>
      <c r="K747" s="661"/>
    </row>
    <row r="748" spans="1:11" ht="18.75" customHeight="1">
      <c r="A748" s="661"/>
      <c r="B748" s="657" t="s">
        <v>11758</v>
      </c>
      <c r="C748" s="657" t="s">
        <v>11759</v>
      </c>
      <c r="D748" s="663" t="s">
        <v>11760</v>
      </c>
      <c r="E748" s="663" t="s">
        <v>11761</v>
      </c>
      <c r="F748" s="658">
        <v>0.1</v>
      </c>
      <c r="G748" s="658">
        <v>0.02</v>
      </c>
      <c r="H748" s="664">
        <v>1964000</v>
      </c>
      <c r="I748" s="664">
        <f t="shared" si="4"/>
        <v>1785450</v>
      </c>
      <c r="J748" s="664">
        <f t="shared" si="5"/>
        <v>1924720</v>
      </c>
      <c r="K748" s="661"/>
    </row>
    <row r="749" spans="1:11" ht="18.75" customHeight="1">
      <c r="A749" s="661"/>
      <c r="B749" s="657" t="s">
        <v>11758</v>
      </c>
      <c r="C749" s="657" t="s">
        <v>11759</v>
      </c>
      <c r="D749" s="663" t="s">
        <v>11762</v>
      </c>
      <c r="E749" s="663" t="s">
        <v>11763</v>
      </c>
      <c r="F749" s="658">
        <v>0.1</v>
      </c>
      <c r="G749" s="658">
        <v>0.02</v>
      </c>
      <c r="H749" s="664">
        <v>375000</v>
      </c>
      <c r="I749" s="664">
        <f t="shared" si="4"/>
        <v>340910</v>
      </c>
      <c r="J749" s="664">
        <f t="shared" si="5"/>
        <v>367500</v>
      </c>
      <c r="K749" s="661"/>
    </row>
    <row r="750" spans="1:11" ht="18.75" customHeight="1">
      <c r="A750" s="661"/>
      <c r="B750" s="657" t="s">
        <v>11758</v>
      </c>
      <c r="C750" s="657" t="s">
        <v>11759</v>
      </c>
      <c r="D750" s="663" t="s">
        <v>2179</v>
      </c>
      <c r="E750" s="663" t="s">
        <v>2180</v>
      </c>
      <c r="F750" s="658">
        <v>0.1</v>
      </c>
      <c r="G750" s="658">
        <v>0.02</v>
      </c>
      <c r="H750" s="664">
        <v>366000</v>
      </c>
      <c r="I750" s="664">
        <f t="shared" si="4"/>
        <v>332730</v>
      </c>
      <c r="J750" s="664">
        <f t="shared" si="5"/>
        <v>358680</v>
      </c>
      <c r="K750" s="661"/>
    </row>
    <row r="751" spans="1:11" ht="18.75" customHeight="1">
      <c r="A751" s="661"/>
      <c r="B751" s="657" t="s">
        <v>11758</v>
      </c>
      <c r="C751" s="657" t="s">
        <v>11759</v>
      </c>
      <c r="D751" s="663" t="s">
        <v>11764</v>
      </c>
      <c r="E751" s="663" t="s">
        <v>11765</v>
      </c>
      <c r="F751" s="658">
        <v>0.1</v>
      </c>
      <c r="G751" s="658">
        <v>0.02</v>
      </c>
      <c r="H751" s="664">
        <v>1964000</v>
      </c>
      <c r="I751" s="664">
        <f t="shared" si="4"/>
        <v>1785450</v>
      </c>
      <c r="J751" s="664">
        <f t="shared" si="5"/>
        <v>1924720</v>
      </c>
      <c r="K751" s="661"/>
    </row>
    <row r="752" spans="1:11" ht="18.75" customHeight="1">
      <c r="A752" s="661"/>
      <c r="B752" s="657" t="s">
        <v>11758</v>
      </c>
      <c r="C752" s="657" t="s">
        <v>11759</v>
      </c>
      <c r="D752" s="663" t="s">
        <v>11766</v>
      </c>
      <c r="E752" s="663" t="s">
        <v>11767</v>
      </c>
      <c r="F752" s="658">
        <v>0.1</v>
      </c>
      <c r="G752" s="658">
        <v>0.02</v>
      </c>
      <c r="H752" s="664">
        <v>1964000</v>
      </c>
      <c r="I752" s="664">
        <f t="shared" si="4"/>
        <v>1785450</v>
      </c>
      <c r="J752" s="664">
        <f t="shared" si="5"/>
        <v>1924720</v>
      </c>
      <c r="K752" s="661"/>
    </row>
    <row r="753" spans="1:11" ht="18.75" customHeight="1">
      <c r="A753" s="661"/>
      <c r="B753" s="657" t="s">
        <v>11758</v>
      </c>
      <c r="C753" s="657" t="s">
        <v>11759</v>
      </c>
      <c r="D753" s="663" t="s">
        <v>11768</v>
      </c>
      <c r="E753" s="663" t="s">
        <v>11769</v>
      </c>
      <c r="F753" s="658">
        <v>0.1</v>
      </c>
      <c r="G753" s="658">
        <v>0.02</v>
      </c>
      <c r="H753" s="664">
        <v>427000</v>
      </c>
      <c r="I753" s="664">
        <f t="shared" si="4"/>
        <v>388180</v>
      </c>
      <c r="J753" s="664">
        <f t="shared" si="5"/>
        <v>418460</v>
      </c>
      <c r="K753" s="661"/>
    </row>
    <row r="754" spans="1:11" ht="18.75" customHeight="1">
      <c r="A754" s="661"/>
      <c r="B754" s="657" t="s">
        <v>11758</v>
      </c>
      <c r="C754" s="657" t="s">
        <v>11759</v>
      </c>
      <c r="D754" s="663" t="s">
        <v>11770</v>
      </c>
      <c r="E754" s="663" t="s">
        <v>11771</v>
      </c>
      <c r="F754" s="658">
        <v>0.1</v>
      </c>
      <c r="G754" s="658">
        <v>0.02</v>
      </c>
      <c r="H754" s="664">
        <v>635000</v>
      </c>
      <c r="I754" s="664">
        <f t="shared" si="4"/>
        <v>577270</v>
      </c>
      <c r="J754" s="664">
        <f t="shared" si="5"/>
        <v>622300</v>
      </c>
      <c r="K754" s="661"/>
    </row>
    <row r="755" spans="1:11" ht="18.75" customHeight="1">
      <c r="A755" s="661"/>
      <c r="B755" s="657" t="s">
        <v>11758</v>
      </c>
      <c r="C755" s="657" t="s">
        <v>11759</v>
      </c>
      <c r="D755" s="663" t="s">
        <v>11772</v>
      </c>
      <c r="E755" s="663" t="s">
        <v>11773</v>
      </c>
      <c r="F755" s="658">
        <v>0.1</v>
      </c>
      <c r="G755" s="658">
        <v>0.02</v>
      </c>
      <c r="H755" s="664">
        <v>1966000</v>
      </c>
      <c r="I755" s="664">
        <f t="shared" si="4"/>
        <v>1787270</v>
      </c>
      <c r="J755" s="664">
        <f t="shared" si="5"/>
        <v>1926680</v>
      </c>
      <c r="K755" s="661"/>
    </row>
    <row r="756" spans="1:11" ht="18.75" customHeight="1">
      <c r="A756" s="661"/>
      <c r="B756" s="657" t="s">
        <v>11758</v>
      </c>
      <c r="C756" s="657" t="s">
        <v>11759</v>
      </c>
      <c r="D756" s="663" t="s">
        <v>11774</v>
      </c>
      <c r="E756" s="663" t="s">
        <v>11775</v>
      </c>
      <c r="F756" s="658">
        <v>0.1</v>
      </c>
      <c r="G756" s="658">
        <v>0.02</v>
      </c>
      <c r="H756" s="664">
        <v>1943000</v>
      </c>
      <c r="I756" s="664">
        <f t="shared" si="4"/>
        <v>1766360</v>
      </c>
      <c r="J756" s="664">
        <f t="shared" si="5"/>
        <v>1904140</v>
      </c>
      <c r="K756" s="661"/>
    </row>
    <row r="757" spans="1:11" ht="18.75" customHeight="1">
      <c r="A757" s="661"/>
      <c r="B757" s="657" t="s">
        <v>11758</v>
      </c>
      <c r="C757" s="657" t="s">
        <v>11759</v>
      </c>
      <c r="D757" s="663" t="s">
        <v>11776</v>
      </c>
      <c r="E757" s="663" t="s">
        <v>11777</v>
      </c>
      <c r="F757" s="658">
        <v>0.1</v>
      </c>
      <c r="G757" s="658">
        <v>0.02</v>
      </c>
      <c r="H757" s="664">
        <v>2541000</v>
      </c>
      <c r="I757" s="664">
        <f t="shared" si="4"/>
        <v>2310000</v>
      </c>
      <c r="J757" s="664">
        <f t="shared" si="5"/>
        <v>2490180</v>
      </c>
      <c r="K757" s="661"/>
    </row>
    <row r="758" spans="1:11" ht="18.75" customHeight="1">
      <c r="A758" s="661"/>
      <c r="B758" s="657" t="s">
        <v>1819</v>
      </c>
      <c r="C758" s="657" t="s">
        <v>11778</v>
      </c>
      <c r="D758" s="663" t="s">
        <v>1867</v>
      </c>
      <c r="E758" s="663" t="s">
        <v>1868</v>
      </c>
      <c r="F758" s="658">
        <v>0.1</v>
      </c>
      <c r="G758" s="658">
        <v>0.05</v>
      </c>
      <c r="H758" s="664">
        <v>720000</v>
      </c>
      <c r="I758" s="664">
        <f t="shared" si="4"/>
        <v>654550</v>
      </c>
      <c r="J758" s="664">
        <f t="shared" si="5"/>
        <v>684000</v>
      </c>
      <c r="K758" s="661"/>
    </row>
    <row r="759" spans="1:11" ht="18.75" customHeight="1">
      <c r="A759" s="661"/>
      <c r="B759" s="657" t="s">
        <v>1819</v>
      </c>
      <c r="C759" s="657" t="s">
        <v>11778</v>
      </c>
      <c r="D759" s="663" t="s">
        <v>11779</v>
      </c>
      <c r="E759" s="663" t="s">
        <v>11780</v>
      </c>
      <c r="F759" s="658">
        <v>0.1</v>
      </c>
      <c r="G759" s="658">
        <v>0.05</v>
      </c>
      <c r="H759" s="664">
        <v>897070</v>
      </c>
      <c r="I759" s="664">
        <f t="shared" si="4"/>
        <v>815520</v>
      </c>
      <c r="J759" s="664">
        <f t="shared" si="5"/>
        <v>852220</v>
      </c>
      <c r="K759" s="661"/>
    </row>
    <row r="760" spans="1:11" ht="18.75" customHeight="1">
      <c r="A760" s="661"/>
      <c r="B760" s="657" t="s">
        <v>1819</v>
      </c>
      <c r="C760" s="657" t="s">
        <v>11778</v>
      </c>
      <c r="D760" s="663" t="s">
        <v>11781</v>
      </c>
      <c r="E760" s="663" t="s">
        <v>11782</v>
      </c>
      <c r="F760" s="658">
        <v>0.1</v>
      </c>
      <c r="G760" s="658">
        <v>0.05</v>
      </c>
      <c r="H760" s="664">
        <v>1017080</v>
      </c>
      <c r="I760" s="664">
        <f t="shared" si="4"/>
        <v>924620</v>
      </c>
      <c r="J760" s="664">
        <f t="shared" si="5"/>
        <v>966230</v>
      </c>
      <c r="K760" s="661"/>
    </row>
    <row r="761" spans="1:11" ht="18.75" customHeight="1">
      <c r="A761" s="661"/>
      <c r="B761" s="657" t="s">
        <v>1819</v>
      </c>
      <c r="C761" s="657" t="s">
        <v>11778</v>
      </c>
      <c r="D761" s="663" t="s">
        <v>11783</v>
      </c>
      <c r="E761" s="663" t="s">
        <v>11784</v>
      </c>
      <c r="F761" s="658">
        <v>0.1</v>
      </c>
      <c r="G761" s="658">
        <v>0.05</v>
      </c>
      <c r="H761" s="664">
        <v>354580</v>
      </c>
      <c r="I761" s="664">
        <f t="shared" si="4"/>
        <v>322350</v>
      </c>
      <c r="J761" s="664">
        <f t="shared" si="5"/>
        <v>336850</v>
      </c>
      <c r="K761" s="661"/>
    </row>
    <row r="762" spans="1:11" ht="18.75" customHeight="1">
      <c r="A762" s="661"/>
      <c r="B762" s="657" t="s">
        <v>1819</v>
      </c>
      <c r="C762" s="657" t="s">
        <v>11778</v>
      </c>
      <c r="D762" s="663" t="s">
        <v>11785</v>
      </c>
      <c r="E762" s="663" t="s">
        <v>11786</v>
      </c>
      <c r="F762" s="658">
        <v>0.1</v>
      </c>
      <c r="G762" s="658">
        <v>0.05</v>
      </c>
      <c r="H762" s="664">
        <v>450050</v>
      </c>
      <c r="I762" s="664">
        <f t="shared" si="4"/>
        <v>409140</v>
      </c>
      <c r="J762" s="664">
        <f t="shared" si="5"/>
        <v>427550</v>
      </c>
      <c r="K762" s="661"/>
    </row>
    <row r="763" spans="1:11" ht="18.75" customHeight="1">
      <c r="A763" s="661"/>
      <c r="B763" s="657" t="s">
        <v>1819</v>
      </c>
      <c r="C763" s="657" t="s">
        <v>11778</v>
      </c>
      <c r="D763" s="663" t="s">
        <v>11787</v>
      </c>
      <c r="E763" s="663" t="s">
        <v>11788</v>
      </c>
      <c r="F763" s="658">
        <v>0.1</v>
      </c>
      <c r="G763" s="658">
        <v>0.05</v>
      </c>
      <c r="H763" s="664">
        <v>324000</v>
      </c>
      <c r="I763" s="664">
        <f t="shared" si="4"/>
        <v>294550</v>
      </c>
      <c r="J763" s="664">
        <f t="shared" si="5"/>
        <v>307800</v>
      </c>
      <c r="K763" s="661"/>
    </row>
    <row r="764" spans="1:11" ht="18.75" customHeight="1">
      <c r="A764" s="661"/>
      <c r="B764" s="657" t="s">
        <v>1819</v>
      </c>
      <c r="C764" s="657" t="s">
        <v>11778</v>
      </c>
      <c r="D764" s="663" t="s">
        <v>1851</v>
      </c>
      <c r="E764" s="663" t="s">
        <v>1852</v>
      </c>
      <c r="F764" s="658">
        <v>0.1</v>
      </c>
      <c r="G764" s="658">
        <v>0.05</v>
      </c>
      <c r="H764" s="664">
        <v>171366.6</v>
      </c>
      <c r="I764" s="664">
        <f t="shared" si="4"/>
        <v>155790</v>
      </c>
      <c r="J764" s="664">
        <f t="shared" si="5"/>
        <v>162800</v>
      </c>
      <c r="K764" s="661"/>
    </row>
    <row r="765" spans="1:11" ht="18.75" customHeight="1">
      <c r="A765" s="661"/>
      <c r="B765" s="657" t="s">
        <v>1819</v>
      </c>
      <c r="C765" s="657" t="s">
        <v>11778</v>
      </c>
      <c r="D765" s="663" t="s">
        <v>11789</v>
      </c>
      <c r="E765" s="663" t="s">
        <v>11790</v>
      </c>
      <c r="F765" s="658">
        <v>0.1</v>
      </c>
      <c r="G765" s="658">
        <v>0.05</v>
      </c>
      <c r="H765" s="664">
        <v>189000</v>
      </c>
      <c r="I765" s="664">
        <f t="shared" si="4"/>
        <v>171820</v>
      </c>
      <c r="J765" s="664">
        <f t="shared" si="5"/>
        <v>179550</v>
      </c>
      <c r="K765" s="661"/>
    </row>
    <row r="766" spans="1:11" ht="18.75" customHeight="1">
      <c r="A766" s="661"/>
      <c r="B766" s="657" t="s">
        <v>1819</v>
      </c>
      <c r="C766" s="657" t="s">
        <v>11778</v>
      </c>
      <c r="D766" s="663" t="s">
        <v>11791</v>
      </c>
      <c r="E766" s="663" t="s">
        <v>11792</v>
      </c>
      <c r="F766" s="658">
        <v>0.1</v>
      </c>
      <c r="G766" s="658">
        <v>0.05</v>
      </c>
      <c r="H766" s="664">
        <v>189000</v>
      </c>
      <c r="I766" s="664">
        <f t="shared" si="4"/>
        <v>171820</v>
      </c>
      <c r="J766" s="664">
        <f t="shared" si="5"/>
        <v>179550</v>
      </c>
      <c r="K766" s="661"/>
    </row>
    <row r="767" spans="1:11" ht="18.75" customHeight="1">
      <c r="A767" s="661"/>
      <c r="B767" s="657" t="s">
        <v>1819</v>
      </c>
      <c r="C767" s="657" t="s">
        <v>11778</v>
      </c>
      <c r="D767" s="663" t="s">
        <v>11793</v>
      </c>
      <c r="E767" s="663" t="s">
        <v>11794</v>
      </c>
      <c r="F767" s="658">
        <v>0.1</v>
      </c>
      <c r="G767" s="658">
        <v>0.05</v>
      </c>
      <c r="H767" s="664">
        <v>162000</v>
      </c>
      <c r="I767" s="664">
        <f t="shared" si="4"/>
        <v>147270</v>
      </c>
      <c r="J767" s="664">
        <f t="shared" si="5"/>
        <v>153900</v>
      </c>
      <c r="K767" s="661"/>
    </row>
    <row r="768" spans="1:11" ht="18.75" customHeight="1">
      <c r="A768" s="661"/>
      <c r="B768" s="657" t="s">
        <v>1819</v>
      </c>
      <c r="C768" s="657" t="s">
        <v>11778</v>
      </c>
      <c r="D768" s="663" t="s">
        <v>1820</v>
      </c>
      <c r="E768" s="663" t="s">
        <v>1821</v>
      </c>
      <c r="F768" s="658">
        <v>0.1</v>
      </c>
      <c r="G768" s="658">
        <v>0.05</v>
      </c>
      <c r="H768" s="664">
        <v>110600</v>
      </c>
      <c r="I768" s="664">
        <f t="shared" si="4"/>
        <v>100550</v>
      </c>
      <c r="J768" s="664">
        <f t="shared" si="5"/>
        <v>105070</v>
      </c>
      <c r="K768" s="661"/>
    </row>
    <row r="769" spans="1:11" ht="18.75" customHeight="1">
      <c r="A769" s="661"/>
      <c r="B769" s="657" t="s">
        <v>1819</v>
      </c>
      <c r="C769" s="657" t="s">
        <v>11778</v>
      </c>
      <c r="D769" s="663" t="s">
        <v>1824</v>
      </c>
      <c r="E769" s="663" t="s">
        <v>1825</v>
      </c>
      <c r="F769" s="658">
        <v>0.1</v>
      </c>
      <c r="G769" s="658">
        <v>0.05</v>
      </c>
      <c r="H769" s="664">
        <v>110600</v>
      </c>
      <c r="I769" s="664">
        <f t="shared" si="4"/>
        <v>100550</v>
      </c>
      <c r="J769" s="664">
        <f t="shared" si="5"/>
        <v>105070</v>
      </c>
      <c r="K769" s="661"/>
    </row>
    <row r="770" spans="1:11" ht="18.75" customHeight="1">
      <c r="A770" s="661"/>
      <c r="B770" s="657" t="s">
        <v>1819</v>
      </c>
      <c r="C770" s="657" t="s">
        <v>11778</v>
      </c>
      <c r="D770" s="663" t="s">
        <v>11795</v>
      </c>
      <c r="E770" s="663" t="s">
        <v>11796</v>
      </c>
      <c r="F770" s="658">
        <v>0.1</v>
      </c>
      <c r="G770" s="658">
        <v>0.05</v>
      </c>
      <c r="H770" s="664">
        <v>1229850</v>
      </c>
      <c r="I770" s="664">
        <f t="shared" ref="I770:I778" si="6">IF(ISBLANK(H770),,ROUND(H770/(1+F770),-1))</f>
        <v>1118050</v>
      </c>
      <c r="J770" s="664">
        <f t="shared" ref="J770:J778" si="7">IF(ISBLANK(H770),,ROUND(H770*(1-G770),-1))</f>
        <v>1168360</v>
      </c>
      <c r="K770" s="661"/>
    </row>
    <row r="771" spans="1:11" ht="18.75" customHeight="1">
      <c r="A771" s="661"/>
      <c r="B771" s="657" t="s">
        <v>1819</v>
      </c>
      <c r="C771" s="657" t="s">
        <v>11778</v>
      </c>
      <c r="D771" s="663" t="s">
        <v>1875</v>
      </c>
      <c r="E771" s="663" t="s">
        <v>1876</v>
      </c>
      <c r="F771" s="658">
        <v>0.1</v>
      </c>
      <c r="G771" s="658">
        <v>0.05</v>
      </c>
      <c r="H771" s="664">
        <v>959040</v>
      </c>
      <c r="I771" s="664">
        <f t="shared" si="6"/>
        <v>871850</v>
      </c>
      <c r="J771" s="664">
        <f t="shared" si="7"/>
        <v>911090</v>
      </c>
      <c r="K771" s="661"/>
    </row>
    <row r="772" spans="1:11" ht="18.75" customHeight="1">
      <c r="A772" s="661"/>
      <c r="B772" s="657" t="s">
        <v>1819</v>
      </c>
      <c r="C772" s="657" t="s">
        <v>11778</v>
      </c>
      <c r="D772" s="663" t="s">
        <v>11797</v>
      </c>
      <c r="E772" s="663" t="s">
        <v>11798</v>
      </c>
      <c r="F772" s="658">
        <v>0.1</v>
      </c>
      <c r="G772" s="658">
        <v>0.05</v>
      </c>
      <c r="H772" s="664">
        <v>2224800</v>
      </c>
      <c r="I772" s="664">
        <f t="shared" si="6"/>
        <v>2022550</v>
      </c>
      <c r="J772" s="664">
        <f t="shared" si="7"/>
        <v>2113560</v>
      </c>
      <c r="K772" s="661"/>
    </row>
    <row r="773" spans="1:11" ht="18.75" customHeight="1">
      <c r="A773" s="661"/>
      <c r="B773" s="657" t="s">
        <v>1819</v>
      </c>
      <c r="C773" s="657" t="s">
        <v>11778</v>
      </c>
      <c r="D773" s="663" t="s">
        <v>1879</v>
      </c>
      <c r="E773" s="663" t="s">
        <v>1880</v>
      </c>
      <c r="F773" s="658">
        <v>0.1</v>
      </c>
      <c r="G773" s="658">
        <v>0.05</v>
      </c>
      <c r="H773" s="664">
        <v>1119300</v>
      </c>
      <c r="I773" s="664">
        <f t="shared" si="6"/>
        <v>1017550</v>
      </c>
      <c r="J773" s="664">
        <f t="shared" si="7"/>
        <v>1063340</v>
      </c>
      <c r="K773" s="661"/>
    </row>
    <row r="774" spans="1:11" ht="18.75" customHeight="1">
      <c r="A774" s="661"/>
      <c r="B774" s="657" t="s">
        <v>1819</v>
      </c>
      <c r="C774" s="657" t="s">
        <v>11778</v>
      </c>
      <c r="D774" s="663" t="s">
        <v>1883</v>
      </c>
      <c r="E774" s="663" t="s">
        <v>1884</v>
      </c>
      <c r="F774" s="658">
        <v>0.1</v>
      </c>
      <c r="G774" s="658">
        <v>0.05</v>
      </c>
      <c r="H774" s="664">
        <v>1407000</v>
      </c>
      <c r="I774" s="664">
        <f t="shared" si="6"/>
        <v>1279090</v>
      </c>
      <c r="J774" s="664">
        <f t="shared" si="7"/>
        <v>1336650</v>
      </c>
      <c r="K774" s="661"/>
    </row>
    <row r="775" spans="1:11" ht="18.75" customHeight="1">
      <c r="A775" s="661"/>
      <c r="B775" s="657" t="s">
        <v>1819</v>
      </c>
      <c r="C775" s="657" t="s">
        <v>11778</v>
      </c>
      <c r="D775" s="663" t="s">
        <v>11799</v>
      </c>
      <c r="E775" s="663" t="s">
        <v>11800</v>
      </c>
      <c r="F775" s="658">
        <v>0.1</v>
      </c>
      <c r="G775" s="658">
        <v>0.05</v>
      </c>
      <c r="H775" s="664">
        <v>4516370</v>
      </c>
      <c r="I775" s="664">
        <f t="shared" si="6"/>
        <v>4105790</v>
      </c>
      <c r="J775" s="664">
        <f t="shared" si="7"/>
        <v>4290550</v>
      </c>
      <c r="K775" s="661"/>
    </row>
    <row r="776" spans="1:11" ht="18.75" customHeight="1">
      <c r="A776" s="661"/>
      <c r="B776" s="657" t="s">
        <v>1819</v>
      </c>
      <c r="C776" s="657" t="s">
        <v>11778</v>
      </c>
      <c r="D776" s="663" t="s">
        <v>11801</v>
      </c>
      <c r="E776" s="663" t="s">
        <v>11802</v>
      </c>
      <c r="F776" s="658">
        <v>0.1</v>
      </c>
      <c r="G776" s="658">
        <v>0.05</v>
      </c>
      <c r="H776" s="664">
        <v>3019030</v>
      </c>
      <c r="I776" s="664">
        <f t="shared" si="6"/>
        <v>2744570</v>
      </c>
      <c r="J776" s="664">
        <f t="shared" si="7"/>
        <v>2868080</v>
      </c>
      <c r="K776" s="661"/>
    </row>
    <row r="777" spans="1:11" ht="18.75" customHeight="1">
      <c r="A777" s="661"/>
      <c r="B777" s="657" t="s">
        <v>1819</v>
      </c>
      <c r="C777" s="657" t="s">
        <v>11778</v>
      </c>
      <c r="D777" s="663" t="s">
        <v>1871</v>
      </c>
      <c r="E777" s="663" t="s">
        <v>1872</v>
      </c>
      <c r="F777" s="658">
        <v>0.1</v>
      </c>
      <c r="G777" s="658">
        <v>0.05</v>
      </c>
      <c r="H777" s="664">
        <v>889700</v>
      </c>
      <c r="I777" s="664">
        <f t="shared" si="6"/>
        <v>808820</v>
      </c>
      <c r="J777" s="664">
        <f t="shared" si="7"/>
        <v>845220</v>
      </c>
      <c r="K777" s="661"/>
    </row>
    <row r="778" spans="1:11" ht="18.75" customHeight="1">
      <c r="A778" s="661"/>
      <c r="B778" s="657" t="s">
        <v>11803</v>
      </c>
      <c r="C778" s="657" t="s">
        <v>11804</v>
      </c>
      <c r="D778" s="663" t="s">
        <v>11805</v>
      </c>
      <c r="E778" s="663" t="s">
        <v>11806</v>
      </c>
      <c r="F778" s="658">
        <v>0.1</v>
      </c>
      <c r="G778" s="658">
        <v>0</v>
      </c>
      <c r="H778" s="663"/>
      <c r="I778" s="664">
        <f t="shared" si="6"/>
        <v>0</v>
      </c>
      <c r="J778" s="664">
        <f t="shared" si="7"/>
        <v>0</v>
      </c>
      <c r="K778" s="661"/>
    </row>
  </sheetData>
  <autoFilter ref="A4:K778" xr:uid="{00000000-0009-0000-0000-000017000000}"/>
  <mergeCells count="1">
    <mergeCell ref="A1:K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Find</vt:lpstr>
      <vt:lpstr>code</vt:lpstr>
      <vt:lpstr>TỒN</vt:lpstr>
      <vt:lpstr>Bìa</vt:lpstr>
      <vt:lpstr>Qhan+BC+BB(05)</vt:lpstr>
      <vt:lpstr>ỐG+BTT TAISEI(6)</vt:lpstr>
      <vt:lpstr>Gas (03)</vt:lpstr>
      <vt:lpstr>TAISEI + D ĐỒNG (02) + OĐLX</vt:lpstr>
      <vt:lpstr>Taisei Kép + Bạc(01)</vt:lpstr>
      <vt:lpstr>Aeroflex Sợi</vt:lpstr>
      <vt:lpstr>Armaflex Sợi</vt:lpstr>
      <vt:lpstr>Aeroflex Tấm</vt:lpstr>
      <vt:lpstr>Phân loại đồng ống 20.8</vt:lpstr>
      <vt:lpstr>Hàng D - Dàn, Lốc, Vật tư</vt:lpstr>
      <vt:lpstr>Hàng D - Bảo ôn, CN</vt:lpstr>
      <vt:lpstr>Hàng co cút</vt:lpstr>
      <vt:lpstr>Ds các dự án</vt:lpstr>
      <vt:lpstr>ĐỒNG</vt:lpstr>
      <vt:lpstr>OĐLX</vt:lpstr>
      <vt:lpstr>XỐP ỐNG</vt:lpstr>
      <vt:lpstr>XỐP TẤM</vt:lpstr>
      <vt:lpstr>GAS</vt:lpstr>
      <vt:lpstr>ỐNG GIÓ</vt:lpstr>
      <vt:lpstr>BTT+BK</vt:lpstr>
      <vt:lpstr>CÁCH NHIỆT KHÁC</vt:lpstr>
      <vt:lpstr>VẬT TƯ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2023-05-08T16:58:34Z</dcterms:created>
  <dcterms:modified xsi:type="dcterms:W3CDTF">2023-05-08T16:58:35Z</dcterms:modified>
</cp:coreProperties>
</file>